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CKY\Rate Case - 2016\Data Requests\PSC Staff - Third Round\"/>
    </mc:Choice>
  </mc:AlternateContent>
  <bookViews>
    <workbookView xWindow="60" yWindow="255" windowWidth="12600" windowHeight="8445" tabRatio="872" firstSheet="1" activeTab="1"/>
  </bookViews>
  <sheets>
    <sheet name="Index A" sheetId="65" r:id="rId1"/>
    <sheet name="A- Financial Summary" sheetId="64" r:id="rId2"/>
    <sheet name="Index B" sheetId="39" r:id="rId3"/>
    <sheet name="B-1 p.1 Summary (Base)" sheetId="1" r:id="rId4"/>
    <sheet name="B-1 p.2 Summary (Forecast)" sheetId="45" r:id="rId5"/>
    <sheet name="B-2 p.1 Grouping (Base)" sheetId="2" r:id="rId6"/>
    <sheet name="B-2 p.2 Grouping (Forecast)" sheetId="46" r:id="rId7"/>
    <sheet name="B-2.1 Base Period GPA" sheetId="3" r:id="rId8"/>
    <sheet name="B-2.1 Forecast Period GPA" sheetId="47" r:id="rId9"/>
    <sheet name="WPB-2.1 Base Period" sheetId="27" r:id="rId10"/>
    <sheet name="WPB-2.1 13 mo avg" sheetId="44" r:id="rId11"/>
    <sheet name="Plant input detail " sheetId="41" r:id="rId12"/>
    <sheet name="Intangible Amort." sheetId="55" r:id="rId13"/>
    <sheet name="WPB2.2 Plant detail-w slippage" sheetId="57" r:id="rId14"/>
    <sheet name="WPB2.2a Intan Amort. w slippage" sheetId="58" r:id="rId15"/>
    <sheet name="B-2.2 Proposed Adj (Base)" sheetId="129" r:id="rId16"/>
    <sheet name="B-2.2 Proposed Adj (Forecast)" sheetId="128" r:id="rId17"/>
    <sheet name="B-2.3 Base Adds, Ret, Transfers" sheetId="7" r:id="rId18"/>
    <sheet name="B-2.3 Forecast Adds, Ret, Trans" sheetId="130" r:id="rId19"/>
    <sheet name="B-2.4 PP&amp;E Acquired (base)" sheetId="8" r:id="rId20"/>
    <sheet name="B-2.4 PP&amp;E Acquired (forecast)" sheetId="131" r:id="rId21"/>
    <sheet name="B-2.5 Leased Property (base)" sheetId="9" r:id="rId22"/>
    <sheet name="B-2.5 Leased Prop (forecast)" sheetId="132" r:id="rId23"/>
    <sheet name="B-2.6 Property Held (base)" sheetId="10" r:id="rId24"/>
    <sheet name="B-2.6 Property Held (forecast)" sheetId="133" r:id="rId25"/>
    <sheet name="B-2.7 PP&amp;E Excluded (base)" sheetId="11" r:id="rId26"/>
    <sheet name="B-2.7 PP&amp;E Excluded (forecast)" sheetId="134" r:id="rId27"/>
    <sheet name="B-3 Accum Dep&amp; Amort (Base)" sheetId="12" r:id="rId28"/>
    <sheet name="B-3 Accum Dep&amp;A (Forecast)" sheetId="48" r:id="rId29"/>
    <sheet name="WPB-3.1 AD&amp;A (Base)" sheetId="42" r:id="rId30"/>
    <sheet name="WPB-3.1 AD&amp;A (Forecast)" sheetId="43" r:id="rId31"/>
    <sheet name="B-3.1 Adj.  AD&amp;A (base)" sheetId="13" r:id="rId32"/>
    <sheet name="B-3.1 Adj.  AD&amp;A (Forecast)" sheetId="135" r:id="rId33"/>
    <sheet name="B-4 CWIP (In Service)" sheetId="37" r:id="rId34"/>
    <sheet name="B-5 Working Capital (Base)" sheetId="22" r:id="rId35"/>
    <sheet name="B-5 Working Capital (Forecast)" sheetId="50" r:id="rId36"/>
    <sheet name="B-5.1 Working Cap. (Base)" sheetId="34" r:id="rId37"/>
    <sheet name="B-5.1 Working Cap. (Forecast)" sheetId="54" r:id="rId38"/>
    <sheet name="WPB-5.1 M&amp;S and Prepayments" sheetId="19" r:id="rId39"/>
    <sheet name="WPB 5.3 Storage" sheetId="49" r:id="rId40"/>
    <sheet name="B-5.2 CWC (Base)" sheetId="21" r:id="rId41"/>
    <sheet name="B-5.2 CWC (Forecast)" sheetId="51" r:id="rId42"/>
    <sheet name="B-6 Def. Cr. &amp; ADIT (Base)" sheetId="53" r:id="rId43"/>
    <sheet name="B-6 Def. Cr. &amp; ADIT (Forecast)" sheetId="23" r:id="rId44"/>
    <sheet name="ADIT Calc-Do not print" sheetId="59" r:id="rId45"/>
    <sheet name="DNF - WPB-6 Acct. (forecast)" sheetId="24" r:id="rId46"/>
    <sheet name="WPB-6 Acct. 282 (forecast)" sheetId="61" r:id="rId47"/>
    <sheet name="WPB-6 Acct. 190 (forecast)" sheetId="60" r:id="rId48"/>
    <sheet name="WPB-6 Acct. 282 Adj (forecast)" sheetId="62" r:id="rId49"/>
    <sheet name="B-7 Juris Factor" sheetId="142" r:id="rId50"/>
    <sheet name="Operating Income Sum Index C" sheetId="66" r:id="rId51"/>
    <sheet name="Operating Income Summary C-1" sheetId="68" r:id="rId52"/>
    <sheet name="Adj Operating Income Sum C-2" sheetId="69" r:id="rId53"/>
    <sheet name="Oper Rev&amp;Exp by Accts C2.1A" sheetId="70" r:id="rId54"/>
    <sheet name="Oper Rev&amp;Exp by Accts C2.1B" sheetId="71" r:id="rId55"/>
    <sheet name="Total Co Accts Activ C2.2A" sheetId="72" r:id="rId56"/>
    <sheet name="Total Co Accts Activ C2.2B" sheetId="73" r:id="rId57"/>
    <sheet name="Adjusted Forecast Period" sheetId="136" r:id="rId58"/>
    <sheet name="Input O&amp;M FERC 8-16" sheetId="79" r:id="rId59"/>
    <sheet name="Input O&amp;M FERC 12-17" sheetId="80" r:id="rId60"/>
    <sheet name="Base TY Budget" sheetId="145" r:id="rId61"/>
    <sheet name="Forecast TY Budget &amp; D-2.4 Adj" sheetId="127" r:id="rId62"/>
    <sheet name="O&amp;M by CE Desc Variance" sheetId="81" r:id="rId63"/>
    <sheet name="Operating Income Sum Index D" sheetId="67" r:id="rId64"/>
    <sheet name="D-1" sheetId="74" r:id="rId65"/>
    <sheet name="D-2.1" sheetId="75" r:id="rId66"/>
    <sheet name="D-2.2" sheetId="76" r:id="rId67"/>
    <sheet name="D-2.3" sheetId="77" r:id="rId68"/>
    <sheet name="D-2.4" sheetId="78" r:id="rId69"/>
    <sheet name="Sch E Index" sheetId="137" r:id="rId70"/>
    <sheet name="E-1.1 Fed &amp; State Income Taxes" sheetId="123" r:id="rId71"/>
    <sheet name="Sch F Index" sheetId="85" r:id="rId72"/>
    <sheet name="F-1 Corp Due &amp; Memberships" sheetId="86" r:id="rId73"/>
    <sheet name="F-2 Charitable Contributions" sheetId="87" r:id="rId74"/>
    <sheet name="F-3 Country Club Dues" sheetId="88" r:id="rId75"/>
    <sheet name="F-4 Emp Recog &amp; Activities" sheetId="141" r:id="rId76"/>
    <sheet name="Party, Outing, Gift DO NOT USE" sheetId="89" state="hidden" r:id="rId77"/>
    <sheet name="Adv OLD FORMAT DO NOT USE" sheetId="91" state="hidden" r:id="rId78"/>
    <sheet name="F-5 Cust. Serv.&amp;Sales Expense" sheetId="90" r:id="rId79"/>
    <sheet name="F-6  Advertising" sheetId="139" r:id="rId80"/>
    <sheet name="Prof Serv OLD FORMAT DO NOT USE" sheetId="92" state="hidden" r:id="rId81"/>
    <sheet name="F-7 Professional Services Exp" sheetId="140" r:id="rId82"/>
    <sheet name="F-8 Rate Case Expense" sheetId="93" r:id="rId83"/>
    <sheet name="F-9 Civic,Political Activities" sheetId="94" r:id="rId84"/>
    <sheet name="Expense Reports" sheetId="95" state="hidden" r:id="rId85"/>
    <sheet name="Sch G Index" sheetId="96" r:id="rId86"/>
    <sheet name="G-1 Payroll Cost" sheetId="101" r:id="rId87"/>
    <sheet name="G-2 Payroll Analysis" sheetId="102" r:id="rId88"/>
    <sheet name="G-3 Executive Comp " sheetId="149" r:id="rId89"/>
    <sheet name="WPG-2" sheetId="104" r:id="rId90"/>
    <sheet name="Gross Conversion Factor Index H" sheetId="105" r:id="rId91"/>
    <sheet name="Gross Conversion Factor H-1" sheetId="106" r:id="rId92"/>
    <sheet name="INDEX - I" sheetId="107" r:id="rId93"/>
    <sheet name="I-1 Comp Income Statement" sheetId="108" r:id="rId94"/>
    <sheet name="I-2 Revenue Stats" sheetId="109" r:id="rId95"/>
    <sheet name="I-3 Sales Stats" sheetId="110" r:id="rId96"/>
    <sheet name="Cost of Capital Index J" sheetId="111" r:id="rId97"/>
    <sheet name="J-1 Cost of Capital Summary" sheetId="138" r:id="rId98"/>
    <sheet name="J-1 Base Period Cost of Capital" sheetId="112" r:id="rId99"/>
    <sheet name="J-1.1, J-1.2 13 MO AVG WACC" sheetId="118" r:id="rId100"/>
    <sheet name="J-2" sheetId="115" r:id="rId101"/>
    <sheet name="J-3" sheetId="116" r:id="rId102"/>
    <sheet name="J-4" sheetId="117" r:id="rId103"/>
    <sheet name="SCH K INDEX" sheetId="119" r:id="rId104"/>
    <sheet name="K - Comparative Financial Data" sheetId="120" r:id="rId105"/>
    <sheet name="SCH L - Tariff" sheetId="146" r:id="rId106"/>
    <sheet name="Sch. L" sheetId="147" r:id="rId107"/>
  </sheets>
  <externalReferences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</externalReferences>
  <definedNames>
    <definedName name="\A" localSheetId="88">'[1]TRANSPORTS-revised'!#REF!</definedName>
    <definedName name="\A">'[1]TRANSPORTS-revised'!#REF!</definedName>
    <definedName name="\C" localSheetId="88">#REF!</definedName>
    <definedName name="\C">#REF!</definedName>
    <definedName name="\f" localSheetId="88">'[2]E-2'!#REF!</definedName>
    <definedName name="\f">'[2]E-2'!#REF!</definedName>
    <definedName name="\p" localSheetId="88">#REF!</definedName>
    <definedName name="\p">#REF!</definedName>
    <definedName name="\s" localSheetId="88">'[2]E-2'!#REF!</definedName>
    <definedName name="\s">'[2]E-2'!#REF!</definedName>
    <definedName name="\t" localSheetId="88">#REF!</definedName>
    <definedName name="\t">#REF!</definedName>
    <definedName name="__ADJ24" localSheetId="88">#REF!</definedName>
    <definedName name="__ADJ24">#REF!</definedName>
    <definedName name="__ADJ25" localSheetId="88">#REF!</definedName>
    <definedName name="__ADJ25">#REF!</definedName>
    <definedName name="__adj4" localSheetId="88">#REF!</definedName>
    <definedName name="__adj4">#REF!</definedName>
    <definedName name="__ADJ44" localSheetId="88">#REF!</definedName>
    <definedName name="__ADJ44">#REF!</definedName>
    <definedName name="__ADJ48" localSheetId="88">#REF!</definedName>
    <definedName name="__ADJ48">#REF!</definedName>
    <definedName name="__ADJ49" localSheetId="88">#REF!</definedName>
    <definedName name="__ADJ49">#REF!</definedName>
    <definedName name="__ADJ51" localSheetId="88">#REF!</definedName>
    <definedName name="__ADJ51">#REF!</definedName>
    <definedName name="__EMP11" localSheetId="88">#REF!</definedName>
    <definedName name="__EMP11">#REF!</definedName>
    <definedName name="__EMP12" localSheetId="88">#REF!</definedName>
    <definedName name="__EMP12">#REF!</definedName>
    <definedName name="__EMP14" localSheetId="88">#REF!</definedName>
    <definedName name="__EMP14">#REF!</definedName>
    <definedName name="__EMP15" localSheetId="88">#REF!</definedName>
    <definedName name="__EMP15">#REF!</definedName>
    <definedName name="__EMP16" localSheetId="88">#REF!</definedName>
    <definedName name="__EMP16">#REF!</definedName>
    <definedName name="__EMP17" localSheetId="88">#REF!</definedName>
    <definedName name="__EMP17">#REF!</definedName>
    <definedName name="__EMP18" localSheetId="88">#REF!</definedName>
    <definedName name="__EMP18">#REF!</definedName>
    <definedName name="__EMP20" localSheetId="88">#REF!</definedName>
    <definedName name="__EMP20">#REF!</definedName>
    <definedName name="__EMP22" localSheetId="88">#REF!</definedName>
    <definedName name="__EMP22">#REF!</definedName>
    <definedName name="__EMP32" localSheetId="88">#REF!</definedName>
    <definedName name="__EMP32">#REF!</definedName>
    <definedName name="__EMP34" localSheetId="88">#REF!</definedName>
    <definedName name="__EMP34">#REF!</definedName>
    <definedName name="__EMP35" localSheetId="88">#REF!</definedName>
    <definedName name="__EMP35">#REF!</definedName>
    <definedName name="__EMP37" localSheetId="88">#REF!</definedName>
    <definedName name="__EMP37">#REF!</definedName>
    <definedName name="__EMP38" localSheetId="88">#REF!</definedName>
    <definedName name="__EMP38">#REF!</definedName>
    <definedName name="__EMP43" localSheetId="88">#REF!</definedName>
    <definedName name="__EMP43">#REF!</definedName>
    <definedName name="__EMP48" localSheetId="88">#REF!</definedName>
    <definedName name="__EMP48">#REF!</definedName>
    <definedName name="__EMP51" localSheetId="88">#REF!</definedName>
    <definedName name="__EMP51">#REF!</definedName>
    <definedName name="__EMP52" localSheetId="88">#REF!</definedName>
    <definedName name="__EMP52">#REF!</definedName>
    <definedName name="__EMP53" localSheetId="88">#REF!</definedName>
    <definedName name="__EMP53">#REF!</definedName>
    <definedName name="__FXD0111" localSheetId="88">#REF!</definedName>
    <definedName name="__FXD0111">#REF!</definedName>
    <definedName name="__FXD0151" localSheetId="88">#REF!</definedName>
    <definedName name="__FXD0151">#REF!</definedName>
    <definedName name="__FXD0212" localSheetId="88">#REF!</definedName>
    <definedName name="__FXD0212">#REF!</definedName>
    <definedName name="__FXD0214" localSheetId="88">#REF!</definedName>
    <definedName name="__FXD0214">#REF!</definedName>
    <definedName name="__FXD0234" localSheetId="88">#REF!</definedName>
    <definedName name="__FXD0234">#REF!</definedName>
    <definedName name="__FXD0235" localSheetId="88">#REF!</definedName>
    <definedName name="__FXD0235">#REF!</definedName>
    <definedName name="__FXD0237" localSheetId="88">#REF!</definedName>
    <definedName name="__FXD0237">#REF!</definedName>
    <definedName name="__FXD0238" localSheetId="88">#REF!</definedName>
    <definedName name="__FXD0238">#REF!</definedName>
    <definedName name="__FXD0251" localSheetId="88">#REF!</definedName>
    <definedName name="__FXD0251">#REF!</definedName>
    <definedName name="__FXD0612" localSheetId="88">#REF!</definedName>
    <definedName name="__FXD0612">#REF!</definedName>
    <definedName name="__FXD0614" localSheetId="88">#REF!</definedName>
    <definedName name="__FXD0614">#REF!</definedName>
    <definedName name="__FXD0615" localSheetId="88">#REF!</definedName>
    <definedName name="__FXD0615">#REF!</definedName>
    <definedName name="__FXD0616" localSheetId="88">#REF!</definedName>
    <definedName name="__FXD0616">#REF!</definedName>
    <definedName name="__FXD0617" localSheetId="88">#REF!</definedName>
    <definedName name="__FXD0617">#REF!</definedName>
    <definedName name="__FXD0618" localSheetId="88">#REF!</definedName>
    <definedName name="__FXD0618">#REF!</definedName>
    <definedName name="__FXD0632" localSheetId="88">#REF!</definedName>
    <definedName name="__FXD0632">#REF!</definedName>
    <definedName name="__FXD0634" localSheetId="88">#REF!</definedName>
    <definedName name="__FXD0634">#REF!</definedName>
    <definedName name="__FXD0635" localSheetId="88">#REF!</definedName>
    <definedName name="__FXD0635">#REF!</definedName>
    <definedName name="__FXD0637" localSheetId="88">#REF!</definedName>
    <definedName name="__FXD0637">#REF!</definedName>
    <definedName name="__FXD0638" localSheetId="88">#REF!</definedName>
    <definedName name="__FXD0638">#REF!</definedName>
    <definedName name="__FXD0643" localSheetId="88">#REF!</definedName>
    <definedName name="__FXD0643">#REF!</definedName>
    <definedName name="__FXD0651" localSheetId="88">#REF!</definedName>
    <definedName name="__FXD0651">#REF!</definedName>
    <definedName name="__FXD0653" localSheetId="88">#REF!</definedName>
    <definedName name="__FXD0653">#REF!</definedName>
    <definedName name="__FXD0814" localSheetId="88">#REF!</definedName>
    <definedName name="__FXD0814">#REF!</definedName>
    <definedName name="__FXD0832" localSheetId="88">#REF!</definedName>
    <definedName name="__FXD0832">#REF!</definedName>
    <definedName name="__FXD0834" localSheetId="88">#REF!</definedName>
    <definedName name="__FXD0834">#REF!</definedName>
    <definedName name="__FXD0835" localSheetId="88">#REF!</definedName>
    <definedName name="__FXD0835">#REF!</definedName>
    <definedName name="__FXD0837" localSheetId="88">#REF!</definedName>
    <definedName name="__FXD0837">#REF!</definedName>
    <definedName name="__FXD0838" localSheetId="88">#REF!</definedName>
    <definedName name="__FXD0838">#REF!</definedName>
    <definedName name="__FXD0851" localSheetId="88">#REF!</definedName>
    <definedName name="__FXD0851">#REF!</definedName>
    <definedName name="__FXD0932" localSheetId="88">#REF!</definedName>
    <definedName name="__FXD0932">#REF!</definedName>
    <definedName name="__FXD0934" localSheetId="88">#REF!</definedName>
    <definedName name="__FXD0934">#REF!</definedName>
    <definedName name="__FXD0935" localSheetId="88">#REF!</definedName>
    <definedName name="__FXD0935">#REF!</definedName>
    <definedName name="__FXD0937" localSheetId="88">#REF!</definedName>
    <definedName name="__FXD0937">#REF!</definedName>
    <definedName name="__FXD0938" localSheetId="88">#REF!</definedName>
    <definedName name="__FXD0938">#REF!</definedName>
    <definedName name="__FXD0951" localSheetId="88">#REF!</definedName>
    <definedName name="__FXD0951">#REF!</definedName>
    <definedName name="__FXD7032" localSheetId="88">#REF!</definedName>
    <definedName name="__FXD7032">#REF!</definedName>
    <definedName name="__FXD7034" localSheetId="88">#REF!</definedName>
    <definedName name="__FXD7034">#REF!</definedName>
    <definedName name="__FXD7035" localSheetId="88">#REF!</definedName>
    <definedName name="__FXD7035">#REF!</definedName>
    <definedName name="__FXD7037" localSheetId="88">#REF!</definedName>
    <definedName name="__FXD7037">#REF!</definedName>
    <definedName name="__FXD7038" localSheetId="88">#REF!</definedName>
    <definedName name="__FXD7038">#REF!</definedName>
    <definedName name="__FXD8614" localSheetId="88">#REF!</definedName>
    <definedName name="__FXD8614">#REF!</definedName>
    <definedName name="__FXD8615" localSheetId="88">#REF!</definedName>
    <definedName name="__FXD8615">#REF!</definedName>
    <definedName name="__FXD8616" localSheetId="88">#REF!</definedName>
    <definedName name="__FXD8616">#REF!</definedName>
    <definedName name="__FXD8617" localSheetId="88">#REF!</definedName>
    <definedName name="__FXD8617">#REF!</definedName>
    <definedName name="__FXD8618" localSheetId="88">#REF!</definedName>
    <definedName name="__FXD8618">#REF!</definedName>
    <definedName name="__FXD8632" localSheetId="88">#REF!</definedName>
    <definedName name="__FXD8632">#REF!</definedName>
    <definedName name="__FXD8634" localSheetId="88">#REF!</definedName>
    <definedName name="__FXD8634">#REF!</definedName>
    <definedName name="__FXD8635" localSheetId="88">#REF!</definedName>
    <definedName name="__FXD8635">#REF!</definedName>
    <definedName name="__FXD8637" localSheetId="88">#REF!</definedName>
    <definedName name="__FXD8637">#REF!</definedName>
    <definedName name="__FXD8638" localSheetId="88">#REF!</definedName>
    <definedName name="__FXD8638">#REF!</definedName>
    <definedName name="__FXD8651" localSheetId="88">#REF!</definedName>
    <definedName name="__FXD8651">#REF!</definedName>
    <definedName name="__SCH10" localSheetId="88">'[3]Rev Def Sum'!#REF!</definedName>
    <definedName name="__SCH10">'[3]Rev Def Sum'!#REF!</definedName>
    <definedName name="__sch17" localSheetId="88">#REF!</definedName>
    <definedName name="__sch17">#REF!</definedName>
    <definedName name="__SCH33">'[4]SCHEDULE 33 A REV.'!$A$1:$H$67</definedName>
    <definedName name="__SCH6">#N/A</definedName>
    <definedName name="__SUM0111" localSheetId="88">#REF!</definedName>
    <definedName name="__SUM0111">#REF!</definedName>
    <definedName name="__SUM0113" localSheetId="88">#REF!</definedName>
    <definedName name="__SUM0113">#REF!</definedName>
    <definedName name="__SUM0210" localSheetId="88">#REF!</definedName>
    <definedName name="__SUM0210">#REF!</definedName>
    <definedName name="__SUM0213" localSheetId="88">#REF!</definedName>
    <definedName name="__SUM0213">#REF!</definedName>
    <definedName name="__SUM0401" localSheetId="88">#REF!</definedName>
    <definedName name="__SUM0401">#REF!</definedName>
    <definedName name="__SUM0402" localSheetId="88">#REF!</definedName>
    <definedName name="__SUM0402">#REF!</definedName>
    <definedName name="__SUM0408" localSheetId="88">#REF!</definedName>
    <definedName name="__SUM0408">#REF!</definedName>
    <definedName name="__SUM0409" localSheetId="88">#REF!</definedName>
    <definedName name="__SUM0409">#REF!</definedName>
    <definedName name="__SUM0411" localSheetId="88">#REF!</definedName>
    <definedName name="__SUM0411">#REF!</definedName>
    <definedName name="__SUM0501" localSheetId="88">#REF!</definedName>
    <definedName name="__SUM0501">#REF!</definedName>
    <definedName name="__SUM0502" localSheetId="88">#REF!</definedName>
    <definedName name="__SUM0502">#REF!</definedName>
    <definedName name="__SUM0508" localSheetId="88">#REF!</definedName>
    <definedName name="__SUM0508">#REF!</definedName>
    <definedName name="__SUM0509" localSheetId="88">#REF!</definedName>
    <definedName name="__SUM0509">#REF!</definedName>
    <definedName name="__SUM0510" localSheetId="88">#REF!</definedName>
    <definedName name="__SUM0510">#REF!</definedName>
    <definedName name="__SUM0511" localSheetId="88">#REF!</definedName>
    <definedName name="__SUM0511">#REF!</definedName>
    <definedName name="__SUM0613" localSheetId="88">#REF!</definedName>
    <definedName name="__SUM0613">#REF!</definedName>
    <definedName name="__SUM0701" localSheetId="88">#REF!</definedName>
    <definedName name="__SUM0701">#REF!</definedName>
    <definedName name="__SUM0702" localSheetId="88">#REF!</definedName>
    <definedName name="__SUM0702">#REF!</definedName>
    <definedName name="__SUM0708" localSheetId="88">#REF!</definedName>
    <definedName name="__SUM0708">#REF!</definedName>
    <definedName name="__SUM0709" localSheetId="88">#REF!</definedName>
    <definedName name="__SUM0709">#REF!</definedName>
    <definedName name="__SUM0813" localSheetId="88">#REF!</definedName>
    <definedName name="__SUM0813">#REF!</definedName>
    <definedName name="__SUM0901" localSheetId="88">#REF!</definedName>
    <definedName name="__SUM0901">#REF!</definedName>
    <definedName name="__SUM0902" localSheetId="88">#REF!</definedName>
    <definedName name="__SUM0902">#REF!</definedName>
    <definedName name="__SUM0908" localSheetId="88">#REF!</definedName>
    <definedName name="__SUM0908">#REF!</definedName>
    <definedName name="__SUM0911" localSheetId="88">#REF!</definedName>
    <definedName name="__SUM0911">#REF!</definedName>
    <definedName name="__SUM0913" localSheetId="88">#REF!</definedName>
    <definedName name="__SUM0913">#REF!</definedName>
    <definedName name="__SUM5701" localSheetId="88">#REF!</definedName>
    <definedName name="__SUM5701">#REF!</definedName>
    <definedName name="__SUM5702" localSheetId="88">#REF!</definedName>
    <definedName name="__SUM5702">#REF!</definedName>
    <definedName name="__SUM5708" localSheetId="88">#REF!</definedName>
    <definedName name="__SUM5708">#REF!</definedName>
    <definedName name="__SUM5709" localSheetId="88">#REF!</definedName>
    <definedName name="__SUM5709">#REF!</definedName>
    <definedName name="__SUM5711" localSheetId="88">#REF!</definedName>
    <definedName name="__SUM5711">#REF!</definedName>
    <definedName name="__SUM5801" localSheetId="88">#REF!</definedName>
    <definedName name="__SUM5801">#REF!</definedName>
    <definedName name="__SUM5802" localSheetId="88">#REF!</definedName>
    <definedName name="__SUM5802">#REF!</definedName>
    <definedName name="__SUM5811" localSheetId="88">#REF!</definedName>
    <definedName name="__SUM5811">#REF!</definedName>
    <definedName name="__SUM6001" localSheetId="88">#REF!</definedName>
    <definedName name="__SUM6001">#REF!</definedName>
    <definedName name="__SUM6002" localSheetId="88">#REF!</definedName>
    <definedName name="__SUM6002">#REF!</definedName>
    <definedName name="__SUM6008" localSheetId="88">#REF!</definedName>
    <definedName name="__SUM6008">#REF!</definedName>
    <definedName name="__sum6009" localSheetId="88">#REF!</definedName>
    <definedName name="__sum6009">#REF!</definedName>
    <definedName name="__SUM6011" localSheetId="88">#REF!</definedName>
    <definedName name="__SUM6011">#REF!</definedName>
    <definedName name="__SUM6101" localSheetId="88">#REF!</definedName>
    <definedName name="__SUM6101">#REF!</definedName>
    <definedName name="__SUM6102" localSheetId="88">#REF!</definedName>
    <definedName name="__SUM6102">#REF!</definedName>
    <definedName name="__SUM6108" localSheetId="88">#REF!</definedName>
    <definedName name="__SUM6108">#REF!</definedName>
    <definedName name="__SUM6109" localSheetId="88">#REF!</definedName>
    <definedName name="__SUM6109">#REF!</definedName>
    <definedName name="__SUM6111" localSheetId="88">#REF!</definedName>
    <definedName name="__SUM6111">#REF!</definedName>
    <definedName name="__SUM6201" localSheetId="88">#REF!</definedName>
    <definedName name="__SUM6201">#REF!</definedName>
    <definedName name="__SUM6202" localSheetId="88">#REF!</definedName>
    <definedName name="__SUM6202">#REF!</definedName>
    <definedName name="__SUM6301" localSheetId="88">#REF!</definedName>
    <definedName name="__SUM6301">#REF!</definedName>
    <definedName name="__SUM6302" localSheetId="88">#REF!</definedName>
    <definedName name="__SUM6302">#REF!</definedName>
    <definedName name="__SUM6308" localSheetId="88">#REF!</definedName>
    <definedName name="__SUM6308">#REF!</definedName>
    <definedName name="__SUM6309" localSheetId="88">#REF!</definedName>
    <definedName name="__SUM6309">#REF!</definedName>
    <definedName name="__SUM6311" localSheetId="88">#REF!</definedName>
    <definedName name="__SUM6311">#REF!</definedName>
    <definedName name="__SUM6401" localSheetId="88">#REF!</definedName>
    <definedName name="__SUM6401">#REF!</definedName>
    <definedName name="__SUM6402" localSheetId="88">#REF!</definedName>
    <definedName name="__SUM6402">#REF!</definedName>
    <definedName name="__SUM6408" localSheetId="88">#REF!</definedName>
    <definedName name="__SUM6408">#REF!</definedName>
    <definedName name="__SUM6409" localSheetId="88">#REF!</definedName>
    <definedName name="__SUM6409">#REF!</definedName>
    <definedName name="__SUM6411" localSheetId="88">#REF!</definedName>
    <definedName name="__SUM6411">#REF!</definedName>
    <definedName name="__SUM6413" localSheetId="88">#REF!</definedName>
    <definedName name="__SUM6413">#REF!</definedName>
    <definedName name="__SUM6501" localSheetId="88">#REF!</definedName>
    <definedName name="__SUM6501">#REF!</definedName>
    <definedName name="__SUM6502" localSheetId="88">#REF!</definedName>
    <definedName name="__SUM6502">#REF!</definedName>
    <definedName name="__SUM6508" localSheetId="88">#REF!</definedName>
    <definedName name="__SUM6508">#REF!</definedName>
    <definedName name="__SUM6509" localSheetId="88">#REF!</definedName>
    <definedName name="__SUM6509">#REF!</definedName>
    <definedName name="__SUM6510" localSheetId="88">#REF!</definedName>
    <definedName name="__SUM6510">#REF!</definedName>
    <definedName name="__SUM6511" localSheetId="88">#REF!</definedName>
    <definedName name="__SUM6511">#REF!</definedName>
    <definedName name="__SUM6601" localSheetId="88">#REF!</definedName>
    <definedName name="__SUM6601">#REF!</definedName>
    <definedName name="__SUM6602" localSheetId="88">#REF!</definedName>
    <definedName name="__SUM6602">#REF!</definedName>
    <definedName name="__SUM6608" localSheetId="88">#REF!</definedName>
    <definedName name="__SUM6608">#REF!</definedName>
    <definedName name="__SUM6609" localSheetId="88">#REF!</definedName>
    <definedName name="__SUM6609">#REF!</definedName>
    <definedName name="__SUM6611" localSheetId="88">#REF!</definedName>
    <definedName name="__SUM6611">#REF!</definedName>
    <definedName name="__SUM6701" localSheetId="88">#REF!</definedName>
    <definedName name="__SUM6701">#REF!</definedName>
    <definedName name="__SUM6702" localSheetId="88">#REF!</definedName>
    <definedName name="__SUM6702">#REF!</definedName>
    <definedName name="__SUM6708" localSheetId="88">#REF!</definedName>
    <definedName name="__SUM6708">#REF!</definedName>
    <definedName name="__SUM6709" localSheetId="88">#REF!</definedName>
    <definedName name="__SUM6709">#REF!</definedName>
    <definedName name="__SUM6710" localSheetId="88">#REF!</definedName>
    <definedName name="__SUM6710">#REF!</definedName>
    <definedName name="__SUM6711" localSheetId="88">#REF!</definedName>
    <definedName name="__SUM6711">#REF!</definedName>
    <definedName name="__SUM6718" localSheetId="88">#REF!</definedName>
    <definedName name="__SUM6718">#REF!</definedName>
    <definedName name="__SUM6801" localSheetId="88">#REF!</definedName>
    <definedName name="__SUM6801">#REF!</definedName>
    <definedName name="__SUM6802" localSheetId="88">#REF!</definedName>
    <definedName name="__SUM6802">#REF!</definedName>
    <definedName name="__SUM7013" localSheetId="88">#REF!</definedName>
    <definedName name="__SUM7013">#REF!</definedName>
    <definedName name="__SUM7201" localSheetId="88">#REF!</definedName>
    <definedName name="__SUM7201">#REF!</definedName>
    <definedName name="__SUM7202" localSheetId="88">#REF!</definedName>
    <definedName name="__SUM7202">#REF!</definedName>
    <definedName name="__SUM7208" localSheetId="88">#REF!</definedName>
    <definedName name="__SUM7208">#REF!</definedName>
    <definedName name="__SUM7209" localSheetId="88">#REF!</definedName>
    <definedName name="__SUM7209">#REF!</definedName>
    <definedName name="__SUM7210" localSheetId="88">#REF!</definedName>
    <definedName name="__SUM7210">#REF!</definedName>
    <definedName name="__SUM7211" localSheetId="88">#REF!</definedName>
    <definedName name="__SUM7211">#REF!</definedName>
    <definedName name="__SUM7301" localSheetId="88">#REF!</definedName>
    <definedName name="__SUM7301">#REF!</definedName>
    <definedName name="__SUM7302" localSheetId="88">#REF!</definedName>
    <definedName name="__SUM7302">#REF!</definedName>
    <definedName name="__SUM7308" localSheetId="88">#REF!</definedName>
    <definedName name="__SUM7308">#REF!</definedName>
    <definedName name="__SUM7309" localSheetId="88">#REF!</definedName>
    <definedName name="__SUM7309">#REF!</definedName>
    <definedName name="__SUM7311" localSheetId="88">#REF!</definedName>
    <definedName name="__SUM7311">#REF!</definedName>
    <definedName name="__SUM7401" localSheetId="88">#REF!</definedName>
    <definedName name="__SUM7401">#REF!</definedName>
    <definedName name="__SUM7402" localSheetId="88">#REF!</definedName>
    <definedName name="__SUM7402">#REF!</definedName>
    <definedName name="__SUM7408" localSheetId="88">#REF!</definedName>
    <definedName name="__SUM7408">#REF!</definedName>
    <definedName name="__SUM7409" localSheetId="88">#REF!</definedName>
    <definedName name="__SUM7409">#REF!</definedName>
    <definedName name="__SUM7411" localSheetId="88">#REF!</definedName>
    <definedName name="__SUM7411">#REF!</definedName>
    <definedName name="__SUM7501" localSheetId="88">#REF!</definedName>
    <definedName name="__SUM7501">#REF!</definedName>
    <definedName name="__SUM7502" localSheetId="88">#REF!</definedName>
    <definedName name="__SUM7502">#REF!</definedName>
    <definedName name="__SUM7508" localSheetId="88">#REF!</definedName>
    <definedName name="__SUM7508">#REF!</definedName>
    <definedName name="__SUM7509" localSheetId="88">#REF!</definedName>
    <definedName name="__SUM7509">#REF!</definedName>
    <definedName name="__SUM7511" localSheetId="88">#REF!</definedName>
    <definedName name="__SUM7511">#REF!</definedName>
    <definedName name="__SUM7811" localSheetId="88">#REF!</definedName>
    <definedName name="__SUM7811">#REF!</definedName>
    <definedName name="__SUM7920" localSheetId="88">#REF!</definedName>
    <definedName name="__SUM7920">#REF!</definedName>
    <definedName name="__SUM8001" localSheetId="88">#REF!</definedName>
    <definedName name="__SUM8001">#REF!</definedName>
    <definedName name="__SUM8002" localSheetId="88">#REF!</definedName>
    <definedName name="__SUM8002">#REF!</definedName>
    <definedName name="__SUM8008" localSheetId="88">#REF!</definedName>
    <definedName name="__SUM8008">#REF!</definedName>
    <definedName name="__SUM8009" localSheetId="88">#REF!</definedName>
    <definedName name="__SUM8009">#REF!</definedName>
    <definedName name="__SUM8011" localSheetId="88">#REF!</definedName>
    <definedName name="__SUM8011">#REF!</definedName>
    <definedName name="__SUM8301" localSheetId="88">#REF!</definedName>
    <definedName name="__SUM8301">#REF!</definedName>
    <definedName name="__SUM8302" localSheetId="88">#REF!</definedName>
    <definedName name="__SUM8302">#REF!</definedName>
    <definedName name="__SUM8308" localSheetId="88">#REF!</definedName>
    <definedName name="__SUM8308">#REF!</definedName>
    <definedName name="__SUM8309" localSheetId="88">#REF!</definedName>
    <definedName name="__SUM8309">#REF!</definedName>
    <definedName name="__SUM8311" localSheetId="88">#REF!</definedName>
    <definedName name="__SUM8311">#REF!</definedName>
    <definedName name="__SUM8401" localSheetId="88">#REF!</definedName>
    <definedName name="__SUM8401">#REF!</definedName>
    <definedName name="__SUM8402" localSheetId="88">#REF!</definedName>
    <definedName name="__SUM8402">#REF!</definedName>
    <definedName name="__SUM8408" localSheetId="88">#REF!</definedName>
    <definedName name="__SUM8408">#REF!</definedName>
    <definedName name="__SUM8409" localSheetId="88">#REF!</definedName>
    <definedName name="__SUM8409">#REF!</definedName>
    <definedName name="__SUM8411" localSheetId="88">#REF!</definedName>
    <definedName name="__SUM8411">#REF!</definedName>
    <definedName name="__SUM8511" localSheetId="88">#REF!</definedName>
    <definedName name="__SUM8511">#REF!</definedName>
    <definedName name="__SUM8613" localSheetId="88">#REF!</definedName>
    <definedName name="__SUM8613">#REF!</definedName>
    <definedName name="__SUM8701" localSheetId="88">#REF!</definedName>
    <definedName name="__SUM8701">#REF!</definedName>
    <definedName name="__SUM8702" localSheetId="88">#REF!</definedName>
    <definedName name="__SUM8702">#REF!</definedName>
    <definedName name="__SUM8708" localSheetId="88">#REF!</definedName>
    <definedName name="__SUM8708">#REF!</definedName>
    <definedName name="__SUM8709" localSheetId="88">#REF!</definedName>
    <definedName name="__SUM8709">#REF!</definedName>
    <definedName name="__SUM8710" localSheetId="88">#REF!</definedName>
    <definedName name="__SUM8710">#REF!</definedName>
    <definedName name="__SUM8711" localSheetId="88">#REF!</definedName>
    <definedName name="__SUM8711">#REF!</definedName>
    <definedName name="__SUM8713" localSheetId="88">#REF!</definedName>
    <definedName name="__SUM8713">#REF!</definedName>
    <definedName name="__SUM8714" localSheetId="88">#REF!</definedName>
    <definedName name="__SUM8714">#REF!</definedName>
    <definedName name="__SUM8715" localSheetId="88">#REF!</definedName>
    <definedName name="__SUM8715">#REF!</definedName>
    <definedName name="__SUM8716" localSheetId="88">#REF!</definedName>
    <definedName name="__SUM8716">#REF!</definedName>
    <definedName name="__SUM8717" localSheetId="88">#REF!</definedName>
    <definedName name="__SUM8717">#REF!</definedName>
    <definedName name="__SUM8719" localSheetId="88">#REF!</definedName>
    <definedName name="__SUM8719">#REF!</definedName>
    <definedName name="_10TAXPROP" localSheetId="88">#REF!</definedName>
    <definedName name="_10TAXPROP">#REF!</definedName>
    <definedName name="_11GROSSTAX" localSheetId="88">#REF!</definedName>
    <definedName name="_11GROSSTAX">#REF!</definedName>
    <definedName name="_12FRANCTAX" localSheetId="88">#REF!</definedName>
    <definedName name="_12FRANCTAX">#REF!</definedName>
    <definedName name="_13TAXFED" localSheetId="88">#REF!</definedName>
    <definedName name="_13TAXFED">#REF!</definedName>
    <definedName name="_14DEBTINTEREST" localSheetId="88">#REF!</definedName>
    <definedName name="_14DEBTINTEREST">#REF!</definedName>
    <definedName name="_1QTR" localSheetId="88">#REF!</definedName>
    <definedName name="_1QTR">#REF!</definedName>
    <definedName name="_1QTR_PROPANE" localSheetId="88">#REF!</definedName>
    <definedName name="_1QTR_PROPANE">#REF!</definedName>
    <definedName name="_2_SUMMARY" localSheetId="88">#REF!</definedName>
    <definedName name="_2_SUMMARY">#REF!</definedName>
    <definedName name="_2_SUMMARY10" localSheetId="88">#REF!</definedName>
    <definedName name="_2_SUMMARY10">#REF!</definedName>
    <definedName name="_235" localSheetId="88">#REF!</definedName>
    <definedName name="_235">#REF!</definedName>
    <definedName name="_2QTR" localSheetId="88">#REF!</definedName>
    <definedName name="_2QTR">#REF!</definedName>
    <definedName name="_2QTR_PROPANE" localSheetId="88">#REF!</definedName>
    <definedName name="_2QTR_PROPANE">#REF!</definedName>
    <definedName name="_3_REV_LAG" localSheetId="88">#REF!</definedName>
    <definedName name="_3_REV_LAG">#REF!</definedName>
    <definedName name="_3A_COLLECTIONS" localSheetId="88">#REF!</definedName>
    <definedName name="_3A_COLLECTIONS">#REF!</definedName>
    <definedName name="_3B_ACC_REC" localSheetId="88">#REF!</definedName>
    <definedName name="_3B_ACC_REC">#REF!</definedName>
    <definedName name="_3C_ADJ_REV" localSheetId="88">#REF!</definedName>
    <definedName name="_3C_ADJ_REV">#REF!</definedName>
    <definedName name="_3QTR" localSheetId="88">#REF!</definedName>
    <definedName name="_3QTR">#REF!</definedName>
    <definedName name="_3QTR_PROPANE" localSheetId="88">#REF!</definedName>
    <definedName name="_3QTR_PROPANE">#REF!</definedName>
    <definedName name="_4GASPURCHASES" localSheetId="88">#REF!</definedName>
    <definedName name="_4GASPURCHASES">#REF!</definedName>
    <definedName name="_4QTR" localSheetId="88">#REF!</definedName>
    <definedName name="_4QTR">#REF!</definedName>
    <definedName name="_4QTR_PROPANE" localSheetId="88">#REF!</definedName>
    <definedName name="_4QTR_PROPANE">#REF!</definedName>
    <definedName name="_5A_NON_APP_GAS" localSheetId="88">#REF!</definedName>
    <definedName name="_5A_NON_APP_GAS">#REF!</definedName>
    <definedName name="_5GP_TCO" localSheetId="88">#REF!</definedName>
    <definedName name="_5GP_TCO">#REF!</definedName>
    <definedName name="_5GP_TCOINPUT" localSheetId="88">#REF!</definedName>
    <definedName name="_5GP_TCOINPUT">#REF!</definedName>
    <definedName name="_6_PAYROLL_COST" localSheetId="88">#REF!</definedName>
    <definedName name="_6_PAYROLL_COST">#REF!</definedName>
    <definedName name="_7BENEFITS" localSheetId="88">#REF!</definedName>
    <definedName name="_7BENEFITS">#REF!</definedName>
    <definedName name="_8TAXPSC" localSheetId="88">#REF!</definedName>
    <definedName name="_8TAXPSC">#REF!</definedName>
    <definedName name="_9_PAY_TAXES" localSheetId="88">#REF!</definedName>
    <definedName name="_9_PAY_TAXES">#REF!</definedName>
    <definedName name="_ADJ24" localSheetId="88">#REF!</definedName>
    <definedName name="_ADJ24">#REF!</definedName>
    <definedName name="_ADJ25" localSheetId="88">#REF!</definedName>
    <definedName name="_ADJ25">#REF!</definedName>
    <definedName name="_adj4" localSheetId="88">#REF!</definedName>
    <definedName name="_adj4">#REF!</definedName>
    <definedName name="_ADJ44" localSheetId="88">#REF!</definedName>
    <definedName name="_ADJ44">#REF!</definedName>
    <definedName name="_ADJ48" localSheetId="88">#REF!</definedName>
    <definedName name="_ADJ48">#REF!</definedName>
    <definedName name="_ADJ49" localSheetId="88">#REF!</definedName>
    <definedName name="_ADJ49">#REF!</definedName>
    <definedName name="_ADJ51" localSheetId="88">#REF!</definedName>
    <definedName name="_ADJ51">#REF!</definedName>
    <definedName name="_Dist_Values" localSheetId="88" hidden="1">#REF!</definedName>
    <definedName name="_Dist_Values" hidden="1">#REF!</definedName>
    <definedName name="_EMP11" localSheetId="88">#REF!</definedName>
    <definedName name="_EMP11">#REF!</definedName>
    <definedName name="_EMP12" localSheetId="88">#REF!</definedName>
    <definedName name="_EMP12">#REF!</definedName>
    <definedName name="_EMP14" localSheetId="88">#REF!</definedName>
    <definedName name="_EMP14">#REF!</definedName>
    <definedName name="_EMP15" localSheetId="88">#REF!</definedName>
    <definedName name="_EMP15">#REF!</definedName>
    <definedName name="_EMP16" localSheetId="88">#REF!</definedName>
    <definedName name="_EMP16">#REF!</definedName>
    <definedName name="_EMP17" localSheetId="88">#REF!</definedName>
    <definedName name="_EMP17">#REF!</definedName>
    <definedName name="_EMP18" localSheetId="88">#REF!</definedName>
    <definedName name="_EMP18">#REF!</definedName>
    <definedName name="_EMP20" localSheetId="88">#REF!</definedName>
    <definedName name="_EMP20">#REF!</definedName>
    <definedName name="_EMP22" localSheetId="88">#REF!</definedName>
    <definedName name="_EMP22">#REF!</definedName>
    <definedName name="_EMP32" localSheetId="88">#REF!</definedName>
    <definedName name="_EMP32">#REF!</definedName>
    <definedName name="_EMP34" localSheetId="88">#REF!</definedName>
    <definedName name="_EMP34">#REF!</definedName>
    <definedName name="_EMP35" localSheetId="88">#REF!</definedName>
    <definedName name="_EMP35">#REF!</definedName>
    <definedName name="_EMP37" localSheetId="88">#REF!</definedName>
    <definedName name="_EMP37">#REF!</definedName>
    <definedName name="_EMP38" localSheetId="88">#REF!</definedName>
    <definedName name="_EMP38">#REF!</definedName>
    <definedName name="_EMP43" localSheetId="88">#REF!</definedName>
    <definedName name="_EMP43">#REF!</definedName>
    <definedName name="_EMP48" localSheetId="88">#REF!</definedName>
    <definedName name="_EMP48">#REF!</definedName>
    <definedName name="_EMP51" localSheetId="88">#REF!</definedName>
    <definedName name="_EMP51">#REF!</definedName>
    <definedName name="_EMP52" localSheetId="88">#REF!</definedName>
    <definedName name="_EMP52">#REF!</definedName>
    <definedName name="_EMP53" localSheetId="88">#REF!</definedName>
    <definedName name="_EMP53">#REF!</definedName>
    <definedName name="_Fill" localSheetId="44" hidden="1">#REF!</definedName>
    <definedName name="_Fill" localSheetId="60" hidden="1">#REF!</definedName>
    <definedName name="_Fill" localSheetId="88" hidden="1">#REF!</definedName>
    <definedName name="_Fill" localSheetId="47" hidden="1">#REF!</definedName>
    <definedName name="_Fill" localSheetId="46" hidden="1">#REF!</definedName>
    <definedName name="_Fill" localSheetId="48" hidden="1">#REF!</definedName>
    <definedName name="_Fill" hidden="1">#REF!</definedName>
    <definedName name="_FS_ESC_3_X_\TA" localSheetId="88">'[2]E-2'!#REF!</definedName>
    <definedName name="_FS_ESC_3_X_\TA">'[2]E-2'!#REF!</definedName>
    <definedName name="_FXD0111" localSheetId="88">#REF!</definedName>
    <definedName name="_FXD0111">#REF!</definedName>
    <definedName name="_FXD0151" localSheetId="88">#REF!</definedName>
    <definedName name="_FXD0151">#REF!</definedName>
    <definedName name="_FXD0212" localSheetId="88">#REF!</definedName>
    <definedName name="_FXD0212">#REF!</definedName>
    <definedName name="_FXD0214" localSheetId="88">#REF!</definedName>
    <definedName name="_FXD0214">#REF!</definedName>
    <definedName name="_FXD0234" localSheetId="88">#REF!</definedName>
    <definedName name="_FXD0234">#REF!</definedName>
    <definedName name="_FXD0235" localSheetId="88">#REF!</definedName>
    <definedName name="_FXD0235">#REF!</definedName>
    <definedName name="_FXD0237" localSheetId="88">#REF!</definedName>
    <definedName name="_FXD0237">#REF!</definedName>
    <definedName name="_FXD0238" localSheetId="88">#REF!</definedName>
    <definedName name="_FXD0238">#REF!</definedName>
    <definedName name="_FXD0251" localSheetId="88">#REF!</definedName>
    <definedName name="_FXD0251">#REF!</definedName>
    <definedName name="_FXD0612" localSheetId="88">#REF!</definedName>
    <definedName name="_FXD0612">#REF!</definedName>
    <definedName name="_FXD0614" localSheetId="88">#REF!</definedName>
    <definedName name="_FXD0614">#REF!</definedName>
    <definedName name="_FXD0615" localSheetId="88">#REF!</definedName>
    <definedName name="_FXD0615">#REF!</definedName>
    <definedName name="_FXD0616" localSheetId="88">#REF!</definedName>
    <definedName name="_FXD0616">#REF!</definedName>
    <definedName name="_FXD0617" localSheetId="88">#REF!</definedName>
    <definedName name="_FXD0617">#REF!</definedName>
    <definedName name="_FXD0618" localSheetId="88">#REF!</definedName>
    <definedName name="_FXD0618">#REF!</definedName>
    <definedName name="_FXD0632" localSheetId="88">#REF!</definedName>
    <definedName name="_FXD0632">#REF!</definedName>
    <definedName name="_FXD0634" localSheetId="88">#REF!</definedName>
    <definedName name="_FXD0634">#REF!</definedName>
    <definedName name="_FXD0635" localSheetId="88">#REF!</definedName>
    <definedName name="_FXD0635">#REF!</definedName>
    <definedName name="_FXD0637" localSheetId="88">#REF!</definedName>
    <definedName name="_FXD0637">#REF!</definedName>
    <definedName name="_FXD0638" localSheetId="88">#REF!</definedName>
    <definedName name="_FXD0638">#REF!</definedName>
    <definedName name="_FXD0643" localSheetId="88">#REF!</definedName>
    <definedName name="_FXD0643">#REF!</definedName>
    <definedName name="_FXD0651" localSheetId="88">#REF!</definedName>
    <definedName name="_FXD0651">#REF!</definedName>
    <definedName name="_FXD0653" localSheetId="88">#REF!</definedName>
    <definedName name="_FXD0653">#REF!</definedName>
    <definedName name="_FXD0814" localSheetId="88">#REF!</definedName>
    <definedName name="_FXD0814">#REF!</definedName>
    <definedName name="_FXD0832" localSheetId="88">#REF!</definedName>
    <definedName name="_FXD0832">#REF!</definedName>
    <definedName name="_FXD0834" localSheetId="88">#REF!</definedName>
    <definedName name="_FXD0834">#REF!</definedName>
    <definedName name="_FXD0835" localSheetId="88">#REF!</definedName>
    <definedName name="_FXD0835">#REF!</definedName>
    <definedName name="_FXD0837" localSheetId="88">#REF!</definedName>
    <definedName name="_FXD0837">#REF!</definedName>
    <definedName name="_FXD0838" localSheetId="88">#REF!</definedName>
    <definedName name="_FXD0838">#REF!</definedName>
    <definedName name="_FXD0851" localSheetId="88">#REF!</definedName>
    <definedName name="_FXD0851">#REF!</definedName>
    <definedName name="_FXD0932" localSheetId="88">#REF!</definedName>
    <definedName name="_FXD0932">#REF!</definedName>
    <definedName name="_FXD0934" localSheetId="88">#REF!</definedName>
    <definedName name="_FXD0934">#REF!</definedName>
    <definedName name="_FXD0935" localSheetId="88">#REF!</definedName>
    <definedName name="_FXD0935">#REF!</definedName>
    <definedName name="_FXD0937" localSheetId="88">#REF!</definedName>
    <definedName name="_FXD0937">#REF!</definedName>
    <definedName name="_FXD0938" localSheetId="88">#REF!</definedName>
    <definedName name="_FXD0938">#REF!</definedName>
    <definedName name="_FXD0951" localSheetId="88">#REF!</definedName>
    <definedName name="_FXD0951">#REF!</definedName>
    <definedName name="_FXD7032" localSheetId="88">#REF!</definedName>
    <definedName name="_FXD7032">#REF!</definedName>
    <definedName name="_FXD7034" localSheetId="88">#REF!</definedName>
    <definedName name="_FXD7034">#REF!</definedName>
    <definedName name="_FXD7035" localSheetId="88">#REF!</definedName>
    <definedName name="_FXD7035">#REF!</definedName>
    <definedName name="_FXD7037" localSheetId="88">#REF!</definedName>
    <definedName name="_FXD7037">#REF!</definedName>
    <definedName name="_FXD7038" localSheetId="88">#REF!</definedName>
    <definedName name="_FXD7038">#REF!</definedName>
    <definedName name="_FXD8614" localSheetId="88">#REF!</definedName>
    <definedName name="_FXD8614">#REF!</definedName>
    <definedName name="_FXD8615" localSheetId="88">#REF!</definedName>
    <definedName name="_FXD8615">#REF!</definedName>
    <definedName name="_FXD8616" localSheetId="88">#REF!</definedName>
    <definedName name="_FXD8616">#REF!</definedName>
    <definedName name="_FXD8617" localSheetId="88">#REF!</definedName>
    <definedName name="_FXD8617">#REF!</definedName>
    <definedName name="_FXD8618" localSheetId="88">#REF!</definedName>
    <definedName name="_FXD8618">#REF!</definedName>
    <definedName name="_FXD8632" localSheetId="88">#REF!</definedName>
    <definedName name="_FXD8632">#REF!</definedName>
    <definedName name="_FXD8634" localSheetId="88">#REF!</definedName>
    <definedName name="_FXD8634">#REF!</definedName>
    <definedName name="_FXD8635" localSheetId="88">#REF!</definedName>
    <definedName name="_FXD8635">#REF!</definedName>
    <definedName name="_FXD8637" localSheetId="88">#REF!</definedName>
    <definedName name="_FXD8637">#REF!</definedName>
    <definedName name="_FXD8638" localSheetId="88">#REF!</definedName>
    <definedName name="_FXD8638">#REF!</definedName>
    <definedName name="_FXD8651" localSheetId="88">#REF!</definedName>
    <definedName name="_FXD8651">#REF!</definedName>
    <definedName name="_HOME__APP1__LP" localSheetId="88">#REF!</definedName>
    <definedName name="_HOME__APP1__LP">#REF!</definedName>
    <definedName name="_HOME__APP1__PC" localSheetId="88">'[2]E-2'!#REF!</definedName>
    <definedName name="_HOME__APP1__PC">'[2]E-2'!#REF!</definedName>
    <definedName name="_HOME__FS_ESC_3" localSheetId="88">'[2]E-2'!#REF!</definedName>
    <definedName name="_HOME__FS_ESC_3">'[2]E-2'!#REF!</definedName>
    <definedName name="_Order1" hidden="1">255</definedName>
    <definedName name="_Order2" hidden="1">255</definedName>
    <definedName name="_PRCRSA148..O17" localSheetId="88">'[2]E-2'!#REF!</definedName>
    <definedName name="_PRCRSA148..O17">'[2]E-2'!#REF!</definedName>
    <definedName name="_PRCRSAC1..AK46" localSheetId="88">#REF!</definedName>
    <definedName name="_PRCRSAC1..AK46">#REF!</definedName>
    <definedName name="_PRCRSO1..Y60_G" localSheetId="88">#REF!</definedName>
    <definedName name="_PRCRSO1..Y60_G">#REF!</definedName>
    <definedName name="_PRCRSQ148..AE1" localSheetId="88">'[2]E-2'!#REF!</definedName>
    <definedName name="_PRCRSQ148..AE1">'[2]E-2'!#REF!</definedName>
    <definedName name="_Regression_Int" localSheetId="3" hidden="1">1</definedName>
    <definedName name="_Regression_Int" localSheetId="4" hidden="1">1</definedName>
    <definedName name="_Regression_Int" localSheetId="5" hidden="1">1</definedName>
    <definedName name="_Regression_Int" localSheetId="6" hidden="1">1</definedName>
    <definedName name="_Regression_Int" localSheetId="7" hidden="1">1</definedName>
    <definedName name="_Regression_Int" localSheetId="8" hidden="1">1</definedName>
    <definedName name="_Regression_Int" localSheetId="15" hidden="1">1</definedName>
    <definedName name="_Regression_Int" localSheetId="16" hidden="1">1</definedName>
    <definedName name="_Regression_Int" localSheetId="17" hidden="1">1</definedName>
    <definedName name="_Regression_Int" localSheetId="18" hidden="1">1</definedName>
    <definedName name="_Regression_Int" localSheetId="19" hidden="1">1</definedName>
    <definedName name="_Regression_Int" localSheetId="20" hidden="1">1</definedName>
    <definedName name="_Regression_Int" localSheetId="22" hidden="1">1</definedName>
    <definedName name="_Regression_Int" localSheetId="21" hidden="1">1</definedName>
    <definedName name="_Regression_Int" localSheetId="23" hidden="1">1</definedName>
    <definedName name="_Regression_Int" localSheetId="24" hidden="1">1</definedName>
    <definedName name="_Regression_Int" localSheetId="25" hidden="1">1</definedName>
    <definedName name="_Regression_Int" localSheetId="26" hidden="1">1</definedName>
    <definedName name="_Regression_Int" localSheetId="27" hidden="1">1</definedName>
    <definedName name="_Regression_Int" localSheetId="28" hidden="1">1</definedName>
    <definedName name="_Regression_Int" localSheetId="31" hidden="1">1</definedName>
    <definedName name="_Regression_Int" localSheetId="32" hidden="1">1</definedName>
    <definedName name="_Regression_Int" localSheetId="33" hidden="1">1</definedName>
    <definedName name="_Regression_Int" localSheetId="34" hidden="1">1</definedName>
    <definedName name="_Regression_Int" localSheetId="35" hidden="1">1</definedName>
    <definedName name="_Regression_Int" localSheetId="36" hidden="1">1</definedName>
    <definedName name="_Regression_Int" localSheetId="37" hidden="1">1</definedName>
    <definedName name="_Regression_Int" localSheetId="40" hidden="1">1</definedName>
    <definedName name="_Regression_Int" localSheetId="41" hidden="1">1</definedName>
    <definedName name="_Regression_Int" localSheetId="42" hidden="1">1</definedName>
    <definedName name="_Regression_Int" localSheetId="43" hidden="1">1</definedName>
    <definedName name="_Regression_Int" localSheetId="96" hidden="1">1</definedName>
    <definedName name="_Regression_Int" localSheetId="64" hidden="1">1</definedName>
    <definedName name="_Regression_Int" localSheetId="65" hidden="1">1</definedName>
    <definedName name="_Regression_Int" localSheetId="66" hidden="1">1</definedName>
    <definedName name="_Regression_Int" localSheetId="67" hidden="1">1</definedName>
    <definedName name="_Regression_Int" localSheetId="68" hidden="1">1</definedName>
    <definedName name="_Regression_Int" localSheetId="45" hidden="1">1</definedName>
    <definedName name="_Regression_Int" localSheetId="91" hidden="1">1</definedName>
    <definedName name="_Regression_Int" localSheetId="90" hidden="1">1</definedName>
    <definedName name="_Regression_Int" localSheetId="92" hidden="1">1</definedName>
    <definedName name="_Regression_Int" localSheetId="2" hidden="1">1</definedName>
    <definedName name="_Regression_Int" localSheetId="100" hidden="1">1</definedName>
    <definedName name="_Regression_Int" localSheetId="101" hidden="1">1</definedName>
    <definedName name="_Regression_Int" localSheetId="102" hidden="1">1</definedName>
    <definedName name="_Regression_Int" localSheetId="104" hidden="1">1</definedName>
    <definedName name="_Regression_Int" localSheetId="50" hidden="1">1</definedName>
    <definedName name="_Regression_Int" localSheetId="63" hidden="1">1</definedName>
    <definedName name="_Regression_Int" localSheetId="11" hidden="1">1</definedName>
    <definedName name="_Regression_Int" localSheetId="69" hidden="1">1</definedName>
    <definedName name="_Regression_Int" localSheetId="71" hidden="1">1</definedName>
    <definedName name="_Regression_Int" localSheetId="85" hidden="1">1</definedName>
    <definedName name="_Regression_Int" localSheetId="103" hidden="1">1</definedName>
    <definedName name="_Regression_Int" localSheetId="105" hidden="1">1</definedName>
    <definedName name="_Regression_Int" localSheetId="10" hidden="1">1</definedName>
    <definedName name="_Regression_Int" localSheetId="9" hidden="1">1</definedName>
    <definedName name="_Regression_Int" localSheetId="13" hidden="1">1</definedName>
    <definedName name="_Regression_Int" localSheetId="29" hidden="1">1</definedName>
    <definedName name="_Regression_Int" localSheetId="30" hidden="1">1</definedName>
    <definedName name="_Regression_Int" localSheetId="38" hidden="1">1</definedName>
    <definedName name="_Regression_Int" localSheetId="47" hidden="1">1</definedName>
    <definedName name="_Regression_Int" localSheetId="46" hidden="1">1</definedName>
    <definedName name="_Regression_Int" localSheetId="48" hidden="1">1</definedName>
    <definedName name="_Regression_Int" localSheetId="89" hidden="1">1</definedName>
    <definedName name="_Regression_Int" hidden="1">1</definedName>
    <definedName name="_SCH10" localSheetId="88">'[5]Rev Def Sum'!#REF!</definedName>
    <definedName name="_SCH10">'[5]Rev Def Sum'!#REF!</definedName>
    <definedName name="_sch17" localSheetId="88">#REF!</definedName>
    <definedName name="_sch17">#REF!</definedName>
    <definedName name="_SCH33">'[6]SCHEDULE 33 A REV.'!$A$1:$H$67</definedName>
    <definedName name="_SCH6">#N/A</definedName>
    <definedName name="_Sort" localSheetId="88" hidden="1">#REF!</definedName>
    <definedName name="_Sort" hidden="1">#REF!</definedName>
    <definedName name="_SUM0111" localSheetId="88">#REF!</definedName>
    <definedName name="_SUM0111">#REF!</definedName>
    <definedName name="_SUM0113" localSheetId="88">#REF!</definedName>
    <definedName name="_SUM0113">#REF!</definedName>
    <definedName name="_SUM0210" localSheetId="88">#REF!</definedName>
    <definedName name="_SUM0210">#REF!</definedName>
    <definedName name="_SUM0213" localSheetId="88">#REF!</definedName>
    <definedName name="_SUM0213">#REF!</definedName>
    <definedName name="_SUM0401" localSheetId="88">#REF!</definedName>
    <definedName name="_SUM0401">#REF!</definedName>
    <definedName name="_SUM0402" localSheetId="88">#REF!</definedName>
    <definedName name="_SUM0402">#REF!</definedName>
    <definedName name="_SUM0408" localSheetId="88">#REF!</definedName>
    <definedName name="_SUM0408">#REF!</definedName>
    <definedName name="_SUM0409" localSheetId="88">#REF!</definedName>
    <definedName name="_SUM0409">#REF!</definedName>
    <definedName name="_SUM0411" localSheetId="88">#REF!</definedName>
    <definedName name="_SUM0411">#REF!</definedName>
    <definedName name="_SUM0501" localSheetId="88">#REF!</definedName>
    <definedName name="_SUM0501">#REF!</definedName>
    <definedName name="_SUM0502" localSheetId="88">#REF!</definedName>
    <definedName name="_SUM0502">#REF!</definedName>
    <definedName name="_SUM0508" localSheetId="88">#REF!</definedName>
    <definedName name="_SUM0508">#REF!</definedName>
    <definedName name="_SUM0509" localSheetId="88">#REF!</definedName>
    <definedName name="_SUM0509">#REF!</definedName>
    <definedName name="_SUM0510" localSheetId="88">#REF!</definedName>
    <definedName name="_SUM0510">#REF!</definedName>
    <definedName name="_SUM0511" localSheetId="88">#REF!</definedName>
    <definedName name="_SUM0511">#REF!</definedName>
    <definedName name="_SUM0613" localSheetId="88">#REF!</definedName>
    <definedName name="_SUM0613">#REF!</definedName>
    <definedName name="_SUM0701" localSheetId="88">#REF!</definedName>
    <definedName name="_SUM0701">#REF!</definedName>
    <definedName name="_SUM0702" localSheetId="88">#REF!</definedName>
    <definedName name="_SUM0702">#REF!</definedName>
    <definedName name="_SUM0708" localSheetId="88">#REF!</definedName>
    <definedName name="_SUM0708">#REF!</definedName>
    <definedName name="_SUM0709" localSheetId="88">#REF!</definedName>
    <definedName name="_SUM0709">#REF!</definedName>
    <definedName name="_SUM0813" localSheetId="88">#REF!</definedName>
    <definedName name="_SUM0813">#REF!</definedName>
    <definedName name="_SUM0901" localSheetId="88">#REF!</definedName>
    <definedName name="_SUM0901">#REF!</definedName>
    <definedName name="_SUM0902" localSheetId="88">#REF!</definedName>
    <definedName name="_SUM0902">#REF!</definedName>
    <definedName name="_SUM0908" localSheetId="88">#REF!</definedName>
    <definedName name="_SUM0908">#REF!</definedName>
    <definedName name="_SUM0911" localSheetId="88">#REF!</definedName>
    <definedName name="_SUM0911">#REF!</definedName>
    <definedName name="_SUM0913" localSheetId="88">#REF!</definedName>
    <definedName name="_SUM0913">#REF!</definedName>
    <definedName name="_SUM5701" localSheetId="88">#REF!</definedName>
    <definedName name="_SUM5701">#REF!</definedName>
    <definedName name="_SUM5702" localSheetId="88">#REF!</definedName>
    <definedName name="_SUM5702">#REF!</definedName>
    <definedName name="_SUM5708" localSheetId="88">#REF!</definedName>
    <definedName name="_SUM5708">#REF!</definedName>
    <definedName name="_SUM5709" localSheetId="88">#REF!</definedName>
    <definedName name="_SUM5709">#REF!</definedName>
    <definedName name="_SUM5711" localSheetId="88">#REF!</definedName>
    <definedName name="_SUM5711">#REF!</definedName>
    <definedName name="_SUM5801" localSheetId="88">#REF!</definedName>
    <definedName name="_SUM5801">#REF!</definedName>
    <definedName name="_SUM5802" localSheetId="88">#REF!</definedName>
    <definedName name="_SUM5802">#REF!</definedName>
    <definedName name="_SUM5811" localSheetId="88">#REF!</definedName>
    <definedName name="_SUM5811">#REF!</definedName>
    <definedName name="_SUM6001" localSheetId="88">#REF!</definedName>
    <definedName name="_SUM6001">#REF!</definedName>
    <definedName name="_SUM6002" localSheetId="88">#REF!</definedName>
    <definedName name="_SUM6002">#REF!</definedName>
    <definedName name="_SUM6008" localSheetId="88">#REF!</definedName>
    <definedName name="_SUM6008">#REF!</definedName>
    <definedName name="_sum6009" localSheetId="88">#REF!</definedName>
    <definedName name="_sum6009">#REF!</definedName>
    <definedName name="_SUM6011" localSheetId="88">#REF!</definedName>
    <definedName name="_SUM6011">#REF!</definedName>
    <definedName name="_SUM6101" localSheetId="88">#REF!</definedName>
    <definedName name="_SUM6101">#REF!</definedName>
    <definedName name="_SUM6102" localSheetId="88">#REF!</definedName>
    <definedName name="_SUM6102">#REF!</definedName>
    <definedName name="_SUM6108" localSheetId="88">#REF!</definedName>
    <definedName name="_SUM6108">#REF!</definedName>
    <definedName name="_SUM6109" localSheetId="88">#REF!</definedName>
    <definedName name="_SUM6109">#REF!</definedName>
    <definedName name="_SUM6111" localSheetId="88">#REF!</definedName>
    <definedName name="_SUM6111">#REF!</definedName>
    <definedName name="_SUM6201" localSheetId="88">#REF!</definedName>
    <definedName name="_SUM6201">#REF!</definedName>
    <definedName name="_SUM6202" localSheetId="88">#REF!</definedName>
    <definedName name="_SUM6202">#REF!</definedName>
    <definedName name="_SUM6301" localSheetId="88">#REF!</definedName>
    <definedName name="_SUM6301">#REF!</definedName>
    <definedName name="_SUM6302" localSheetId="88">#REF!</definedName>
    <definedName name="_SUM6302">#REF!</definedName>
    <definedName name="_SUM6308" localSheetId="88">#REF!</definedName>
    <definedName name="_SUM6308">#REF!</definedName>
    <definedName name="_SUM6309" localSheetId="88">#REF!</definedName>
    <definedName name="_SUM6309">#REF!</definedName>
    <definedName name="_SUM6311" localSheetId="88">#REF!</definedName>
    <definedName name="_SUM6311">#REF!</definedName>
    <definedName name="_SUM6401" localSheetId="88">#REF!</definedName>
    <definedName name="_SUM6401">#REF!</definedName>
    <definedName name="_SUM6402" localSheetId="88">#REF!</definedName>
    <definedName name="_SUM6402">#REF!</definedName>
    <definedName name="_SUM6408" localSheetId="88">#REF!</definedName>
    <definedName name="_SUM6408">#REF!</definedName>
    <definedName name="_SUM6409" localSheetId="88">#REF!</definedName>
    <definedName name="_SUM6409">#REF!</definedName>
    <definedName name="_SUM6411" localSheetId="88">#REF!</definedName>
    <definedName name="_SUM6411">#REF!</definedName>
    <definedName name="_SUM6413" localSheetId="88">#REF!</definedName>
    <definedName name="_SUM6413">#REF!</definedName>
    <definedName name="_SUM6501" localSheetId="88">#REF!</definedName>
    <definedName name="_SUM6501">#REF!</definedName>
    <definedName name="_SUM6502" localSheetId="88">#REF!</definedName>
    <definedName name="_SUM6502">#REF!</definedName>
    <definedName name="_SUM6508" localSheetId="88">#REF!</definedName>
    <definedName name="_SUM6508">#REF!</definedName>
    <definedName name="_SUM6509" localSheetId="88">#REF!</definedName>
    <definedName name="_SUM6509">#REF!</definedName>
    <definedName name="_SUM6510" localSheetId="88">#REF!</definedName>
    <definedName name="_SUM6510">#REF!</definedName>
    <definedName name="_SUM6511" localSheetId="88">#REF!</definedName>
    <definedName name="_SUM6511">#REF!</definedName>
    <definedName name="_SUM6601" localSheetId="88">#REF!</definedName>
    <definedName name="_SUM6601">#REF!</definedName>
    <definedName name="_SUM6602" localSheetId="88">#REF!</definedName>
    <definedName name="_SUM6602">#REF!</definedName>
    <definedName name="_SUM6608" localSheetId="88">#REF!</definedName>
    <definedName name="_SUM6608">#REF!</definedName>
    <definedName name="_SUM6609" localSheetId="88">#REF!</definedName>
    <definedName name="_SUM6609">#REF!</definedName>
    <definedName name="_SUM6611" localSheetId="88">#REF!</definedName>
    <definedName name="_SUM6611">#REF!</definedName>
    <definedName name="_SUM6701" localSheetId="88">#REF!</definedName>
    <definedName name="_SUM6701">#REF!</definedName>
    <definedName name="_SUM6702" localSheetId="88">#REF!</definedName>
    <definedName name="_SUM6702">#REF!</definedName>
    <definedName name="_SUM6708" localSheetId="88">#REF!</definedName>
    <definedName name="_SUM6708">#REF!</definedName>
    <definedName name="_SUM6709" localSheetId="88">#REF!</definedName>
    <definedName name="_SUM6709">#REF!</definedName>
    <definedName name="_SUM6710" localSheetId="88">#REF!</definedName>
    <definedName name="_SUM6710">#REF!</definedName>
    <definedName name="_SUM6711" localSheetId="88">#REF!</definedName>
    <definedName name="_SUM6711">#REF!</definedName>
    <definedName name="_SUM6718" localSheetId="88">#REF!</definedName>
    <definedName name="_SUM6718">#REF!</definedName>
    <definedName name="_SUM6801" localSheetId="88">#REF!</definedName>
    <definedName name="_SUM6801">#REF!</definedName>
    <definedName name="_SUM6802" localSheetId="88">#REF!</definedName>
    <definedName name="_SUM6802">#REF!</definedName>
    <definedName name="_SUM7013" localSheetId="88">#REF!</definedName>
    <definedName name="_SUM7013">#REF!</definedName>
    <definedName name="_SUM7201" localSheetId="88">#REF!</definedName>
    <definedName name="_SUM7201">#REF!</definedName>
    <definedName name="_SUM7202" localSheetId="88">#REF!</definedName>
    <definedName name="_SUM7202">#REF!</definedName>
    <definedName name="_SUM7208" localSheetId="88">#REF!</definedName>
    <definedName name="_SUM7208">#REF!</definedName>
    <definedName name="_SUM7209" localSheetId="88">#REF!</definedName>
    <definedName name="_SUM7209">#REF!</definedName>
    <definedName name="_SUM7210" localSheetId="88">#REF!</definedName>
    <definedName name="_SUM7210">#REF!</definedName>
    <definedName name="_SUM7211" localSheetId="88">#REF!</definedName>
    <definedName name="_SUM7211">#REF!</definedName>
    <definedName name="_SUM7301" localSheetId="88">#REF!</definedName>
    <definedName name="_SUM7301">#REF!</definedName>
    <definedName name="_SUM7302" localSheetId="88">#REF!</definedName>
    <definedName name="_SUM7302">#REF!</definedName>
    <definedName name="_SUM7308" localSheetId="88">#REF!</definedName>
    <definedName name="_SUM7308">#REF!</definedName>
    <definedName name="_SUM7309" localSheetId="88">#REF!</definedName>
    <definedName name="_SUM7309">#REF!</definedName>
    <definedName name="_SUM7311" localSheetId="88">#REF!</definedName>
    <definedName name="_SUM7311">#REF!</definedName>
    <definedName name="_SUM7401" localSheetId="88">#REF!</definedName>
    <definedName name="_SUM7401">#REF!</definedName>
    <definedName name="_SUM7402" localSheetId="88">#REF!</definedName>
    <definedName name="_SUM7402">#REF!</definedName>
    <definedName name="_SUM7408" localSheetId="88">#REF!</definedName>
    <definedName name="_SUM7408">#REF!</definedName>
    <definedName name="_SUM7409" localSheetId="88">#REF!</definedName>
    <definedName name="_SUM7409">#REF!</definedName>
    <definedName name="_SUM7411" localSheetId="88">#REF!</definedName>
    <definedName name="_SUM7411">#REF!</definedName>
    <definedName name="_SUM7501" localSheetId="88">#REF!</definedName>
    <definedName name="_SUM7501">#REF!</definedName>
    <definedName name="_SUM7502" localSheetId="88">#REF!</definedName>
    <definedName name="_SUM7502">#REF!</definedName>
    <definedName name="_SUM7508" localSheetId="88">#REF!</definedName>
    <definedName name="_SUM7508">#REF!</definedName>
    <definedName name="_SUM7509" localSheetId="88">#REF!</definedName>
    <definedName name="_SUM7509">#REF!</definedName>
    <definedName name="_SUM7511" localSheetId="88">#REF!</definedName>
    <definedName name="_SUM7511">#REF!</definedName>
    <definedName name="_SUM7811" localSheetId="88">#REF!</definedName>
    <definedName name="_SUM7811">#REF!</definedName>
    <definedName name="_SUM7920" localSheetId="88">#REF!</definedName>
    <definedName name="_SUM7920">#REF!</definedName>
    <definedName name="_SUM8001" localSheetId="88">#REF!</definedName>
    <definedName name="_SUM8001">#REF!</definedName>
    <definedName name="_SUM8002" localSheetId="88">#REF!</definedName>
    <definedName name="_SUM8002">#REF!</definedName>
    <definedName name="_SUM8008" localSheetId="88">#REF!</definedName>
    <definedName name="_SUM8008">#REF!</definedName>
    <definedName name="_SUM8009" localSheetId="88">#REF!</definedName>
    <definedName name="_SUM8009">#REF!</definedName>
    <definedName name="_SUM8011" localSheetId="88">#REF!</definedName>
    <definedName name="_SUM8011">#REF!</definedName>
    <definedName name="_SUM8301" localSheetId="88">#REF!</definedName>
    <definedName name="_SUM8301">#REF!</definedName>
    <definedName name="_SUM8302" localSheetId="88">#REF!</definedName>
    <definedName name="_SUM8302">#REF!</definedName>
    <definedName name="_SUM8308" localSheetId="88">#REF!</definedName>
    <definedName name="_SUM8308">#REF!</definedName>
    <definedName name="_SUM8309" localSheetId="88">#REF!</definedName>
    <definedName name="_SUM8309">#REF!</definedName>
    <definedName name="_SUM8311" localSheetId="88">#REF!</definedName>
    <definedName name="_SUM8311">#REF!</definedName>
    <definedName name="_SUM8401" localSheetId="88">#REF!</definedName>
    <definedName name="_SUM8401">#REF!</definedName>
    <definedName name="_SUM8402" localSheetId="88">#REF!</definedName>
    <definedName name="_SUM8402">#REF!</definedName>
    <definedName name="_SUM8408" localSheetId="88">#REF!</definedName>
    <definedName name="_SUM8408">#REF!</definedName>
    <definedName name="_SUM8409" localSheetId="88">#REF!</definedName>
    <definedName name="_SUM8409">#REF!</definedName>
    <definedName name="_SUM8411" localSheetId="88">#REF!</definedName>
    <definedName name="_SUM8411">#REF!</definedName>
    <definedName name="_SUM8511" localSheetId="88">#REF!</definedName>
    <definedName name="_SUM8511">#REF!</definedName>
    <definedName name="_SUM8613" localSheetId="88">#REF!</definedName>
    <definedName name="_SUM8613">#REF!</definedName>
    <definedName name="_SUM8701" localSheetId="88">#REF!</definedName>
    <definedName name="_SUM8701">#REF!</definedName>
    <definedName name="_SUM8702" localSheetId="88">#REF!</definedName>
    <definedName name="_SUM8702">#REF!</definedName>
    <definedName name="_SUM8708" localSheetId="88">#REF!</definedName>
    <definedName name="_SUM8708">#REF!</definedName>
    <definedName name="_SUM8709" localSheetId="88">#REF!</definedName>
    <definedName name="_SUM8709">#REF!</definedName>
    <definedName name="_SUM8710" localSheetId="88">#REF!</definedName>
    <definedName name="_SUM8710">#REF!</definedName>
    <definedName name="_SUM8711" localSheetId="88">#REF!</definedName>
    <definedName name="_SUM8711">#REF!</definedName>
    <definedName name="_SUM8713" localSheetId="88">#REF!</definedName>
    <definedName name="_SUM8713">#REF!</definedName>
    <definedName name="_SUM8714" localSheetId="88">#REF!</definedName>
    <definedName name="_SUM8714">#REF!</definedName>
    <definedName name="_SUM8715" localSheetId="88">#REF!</definedName>
    <definedName name="_SUM8715">#REF!</definedName>
    <definedName name="_SUM8716" localSheetId="88">#REF!</definedName>
    <definedName name="_SUM8716">#REF!</definedName>
    <definedName name="_SUM8717" localSheetId="88">#REF!</definedName>
    <definedName name="_SUM8717">#REF!</definedName>
    <definedName name="_SUM8719" localSheetId="88">#REF!</definedName>
    <definedName name="_SUM8719">#REF!</definedName>
    <definedName name="a" localSheetId="88" hidden="1">{"'Server Configuration'!$A$1:$DB$281"}</definedName>
    <definedName name="a" hidden="1">{"'Server Configuration'!$A$1:$DB$281"}</definedName>
    <definedName name="a_1" localSheetId="88" hidden="1">{"'Server Configuration'!$A$1:$DB$281"}</definedName>
    <definedName name="a_1" hidden="1">{"'Server Configuration'!$A$1:$DB$281"}</definedName>
    <definedName name="A_R_CAPCOMP" localSheetId="88">#REF!</definedName>
    <definedName name="A_R_CAPCOMP">#REF!</definedName>
    <definedName name="A_R_DAILY" localSheetId="88">#REF!</definedName>
    <definedName name="A_R_DAILY">#REF!</definedName>
    <definedName name="A_R_DAILYSUPPOR" localSheetId="88">#REF!</definedName>
    <definedName name="A_R_DAILYSUPPOR">#REF!</definedName>
    <definedName name="A_R_WKSHT1" localSheetId="88">#REF!</definedName>
    <definedName name="A_R_WKSHT1">#REF!</definedName>
    <definedName name="A_R_WKST2" localSheetId="88">#REF!</definedName>
    <definedName name="A_R_WKST2">#REF!</definedName>
    <definedName name="ACCT106" localSheetId="88">#REF!</definedName>
    <definedName name="ACCT106">#REF!</definedName>
    <definedName name="ACCT495" localSheetId="88">#REF!</definedName>
    <definedName name="ACCT495">#REF!</definedName>
    <definedName name="ACCT904" localSheetId="88">#REF!</definedName>
    <definedName name="ACCT904">#REF!</definedName>
    <definedName name="acctXref" localSheetId="88">#REF!</definedName>
    <definedName name="acctXref">#REF!</definedName>
    <definedName name="Active">[7]Inputs!$B$4</definedName>
    <definedName name="ACTUAL_VOL" localSheetId="88">#REF!</definedName>
    <definedName name="ACTUAL_VOL">#REF!</definedName>
    <definedName name="AddPMA" localSheetId="88">#REF!</definedName>
    <definedName name="AddPMA">#REF!</definedName>
    <definedName name="AddUSF" localSheetId="88">#REF!</definedName>
    <definedName name="AddUSF">#REF!</definedName>
    <definedName name="adj1to3" localSheetId="88">#REF!</definedName>
    <definedName name="adj1to3">#REF!</definedName>
    <definedName name="adj4a" localSheetId="88">#REF!</definedName>
    <definedName name="adj4a">#REF!</definedName>
    <definedName name="adj4b" localSheetId="88">#REF!</definedName>
    <definedName name="adj4b">#REF!</definedName>
    <definedName name="adj4c" localSheetId="88">#REF!</definedName>
    <definedName name="adj4c">#REF!</definedName>
    <definedName name="adj4d" localSheetId="88">#REF!</definedName>
    <definedName name="adj4d">#REF!</definedName>
    <definedName name="adj4e1" localSheetId="88">#REF!</definedName>
    <definedName name="adj4e1">#REF!</definedName>
    <definedName name="adj4e3" localSheetId="88">#REF!</definedName>
    <definedName name="adj4e3">#REF!</definedName>
    <definedName name="adj4f1" localSheetId="88">#REF!</definedName>
    <definedName name="adj4f1">#REF!</definedName>
    <definedName name="adj4f2" localSheetId="88">#REF!</definedName>
    <definedName name="adj4f2">#REF!</definedName>
    <definedName name="adj4f3" localSheetId="88">#REF!</definedName>
    <definedName name="adj4f3">#REF!</definedName>
    <definedName name="adj4g" localSheetId="88">#REF!</definedName>
    <definedName name="adj4g">#REF!</definedName>
    <definedName name="adj4h" localSheetId="88">#REF!</definedName>
    <definedName name="adj4h">#REF!</definedName>
    <definedName name="ADJ52_1of2" localSheetId="88">#REF!</definedName>
    <definedName name="ADJ52_1of2">#REF!</definedName>
    <definedName name="ADJ52_2of2" localSheetId="88">#REF!</definedName>
    <definedName name="ADJ52_2of2">#REF!</definedName>
    <definedName name="ADJMCF" localSheetId="88">#REF!</definedName>
    <definedName name="ADJMCF">#REF!</definedName>
    <definedName name="ADJMCF2" localSheetId="88">#REF!</definedName>
    <definedName name="ADJMCF2">#REF!</definedName>
    <definedName name="adjno">[8]Sch1!$G$1</definedName>
    <definedName name="ADJSUM" localSheetId="88">#REF!</definedName>
    <definedName name="ADJSUM">#REF!</definedName>
    <definedName name="AGENCY_GASCOSTS" localSheetId="88">#REF!</definedName>
    <definedName name="AGENCY_GASCOSTS">#REF!</definedName>
    <definedName name="AGENCY_HISTORY" localSheetId="88">#REF!</definedName>
    <definedName name="AGENCY_HISTORY">#REF!</definedName>
    <definedName name="AGENCY_TRANSP" localSheetId="88">#REF!</definedName>
    <definedName name="AGENCY_TRANSP">#REF!</definedName>
    <definedName name="ahahahahaha" localSheetId="44" hidden="1">{"'Server Configuration'!$A$1:$DB$281"}</definedName>
    <definedName name="ahahahahaha" localSheetId="6" hidden="1">{"'Server Configuration'!$A$1:$DB$281"}</definedName>
    <definedName name="ahahahahaha" localSheetId="88" hidden="1">{"'Server Configuration'!$A$1:$DB$281"}</definedName>
    <definedName name="ahahahahaha" localSheetId="47" hidden="1">{"'Server Configuration'!$A$1:$DB$281"}</definedName>
    <definedName name="ahahahahaha" localSheetId="46" hidden="1">{"'Server Configuration'!$A$1:$DB$281"}</definedName>
    <definedName name="ahahahahaha" localSheetId="48" hidden="1">{"'Server Configuration'!$A$1:$DB$281"}</definedName>
    <definedName name="ahahahahaha" hidden="1">{"'Server Configuration'!$A$1:$DB$281"}</definedName>
    <definedName name="ahahahahaha_1" localSheetId="88" hidden="1">{"'Server Configuration'!$A$1:$DB$281"}</definedName>
    <definedName name="ahahahahaha_1" hidden="1">{"'Server Configuration'!$A$1:$DB$281"}</definedName>
    <definedName name="ahahahahaha_2" localSheetId="88" hidden="1">{"'Server Configuration'!$A$1:$DB$281"}</definedName>
    <definedName name="ahahahahaha_2" hidden="1">{"'Server Configuration'!$A$1:$DB$281"}</definedName>
    <definedName name="Ainput2">'[9]L Graph (Data)'!$A$6:$DS$21</definedName>
    <definedName name="Ainputvol">'[10]L Graph (Data)'!$A$6:$DS$17</definedName>
    <definedName name="ali" localSheetId="88" hidden="1">{"'Server Configuration'!$A$1:$DB$281"}</definedName>
    <definedName name="ali" hidden="1">{"'Server Configuration'!$A$1:$DB$281"}</definedName>
    <definedName name="AllData">OFFSET('[11]SLCs Due &amp; Recd'!$A$11,0,0,COUNTA('[11]SLCs Due &amp; Recd'!$B$1:$B$65536),COUNTA('[11]SLCs Due &amp; Recd'!$A$11:$IV$11))</definedName>
    <definedName name="ALLOC">[12]VLOOKUP!$A$2:$S$26</definedName>
    <definedName name="ALLPAGES" localSheetId="88">#REF!</definedName>
    <definedName name="ALLPAGES">#REF!</definedName>
    <definedName name="ANGINC" localSheetId="88">#REF!</definedName>
    <definedName name="ANGINC">#REF!</definedName>
    <definedName name="ANNPCT" localSheetId="88">#REF!</definedName>
    <definedName name="ANNPCT">#REF!</definedName>
    <definedName name="ANNPCTANG" localSheetId="88">#REF!</definedName>
    <definedName name="ANNPCTANG">#REF!</definedName>
    <definedName name="Application_Fees">[7]Inputs!$B$50</definedName>
    <definedName name="AR" localSheetId="88">#REF!</definedName>
    <definedName name="AR">#REF!</definedName>
    <definedName name="AUTO11" localSheetId="88">#REF!</definedName>
    <definedName name="AUTO11">#REF!</definedName>
    <definedName name="AUTO12" localSheetId="88">#REF!</definedName>
    <definedName name="AUTO12">#REF!</definedName>
    <definedName name="AUTO14" localSheetId="88">#REF!</definedName>
    <definedName name="AUTO14">#REF!</definedName>
    <definedName name="AUTO15" localSheetId="88">#REF!</definedName>
    <definedName name="AUTO15">#REF!</definedName>
    <definedName name="AUTO16" localSheetId="88">#REF!</definedName>
    <definedName name="AUTO16">#REF!</definedName>
    <definedName name="AUTO17" localSheetId="88">#REF!</definedName>
    <definedName name="AUTO17">#REF!</definedName>
    <definedName name="AUTO18" localSheetId="88">#REF!</definedName>
    <definedName name="AUTO18">#REF!</definedName>
    <definedName name="AUTO20" localSheetId="88">#REF!</definedName>
    <definedName name="AUTO20">#REF!</definedName>
    <definedName name="AUTO22" localSheetId="88">#REF!</definedName>
    <definedName name="AUTO22">#REF!</definedName>
    <definedName name="AUTO32" localSheetId="88">#REF!</definedName>
    <definedName name="AUTO32">#REF!</definedName>
    <definedName name="AUTO34" localSheetId="88">#REF!</definedName>
    <definedName name="AUTO34">#REF!</definedName>
    <definedName name="AUTO35" localSheetId="88">#REF!</definedName>
    <definedName name="AUTO35">#REF!</definedName>
    <definedName name="AUTO37" localSheetId="88">#REF!</definedName>
    <definedName name="AUTO37">#REF!</definedName>
    <definedName name="AUTO38" localSheetId="88">#REF!</definedName>
    <definedName name="AUTO38">#REF!</definedName>
    <definedName name="AUTO48" localSheetId="88">#REF!</definedName>
    <definedName name="AUTO48">#REF!</definedName>
    <definedName name="AUTO51" localSheetId="88">#REF!</definedName>
    <definedName name="AUTO51">#REF!</definedName>
    <definedName name="AUTO52" localSheetId="88">#REF!</definedName>
    <definedName name="AUTO52">#REF!</definedName>
    <definedName name="AUTO53" localSheetId="88">#REF!</definedName>
    <definedName name="AUTO53">#REF!</definedName>
    <definedName name="AVG_BANK_BAL">[13]EXH10!$A$1:$J$47</definedName>
    <definedName name="Avg_Mo_pmt">[7]Inputs!$B$7</definedName>
    <definedName name="AVGrate">'[14]AVG FXrates'!$B$4:$F$47</definedName>
    <definedName name="b" localSheetId="88" hidden="1">{"'Server Configuration'!$A$1:$DB$281"}</definedName>
    <definedName name="b" hidden="1">{"'Server Configuration'!$A$1:$DB$281"}</definedName>
    <definedName name="b_1" localSheetId="88" hidden="1">{"'Server Configuration'!$A$1:$DB$281"}</definedName>
    <definedName name="b_1" hidden="1">{"'Server Configuration'!$A$1:$DB$281"}</definedName>
    <definedName name="Bank" localSheetId="88">[15]Input!#REF!</definedName>
    <definedName name="Bank">[15]Input!#REF!</definedName>
    <definedName name="base" localSheetId="88">'[16]Index A'!$C$16</definedName>
    <definedName name="base">'Index A'!$C$16</definedName>
    <definedName name="Baseline" localSheetId="88">#REF!</definedName>
    <definedName name="Baseline">#REF!</definedName>
    <definedName name="bdate">'[17]Oper Rev&amp;Exp by Accts C2.1A'!$A$4</definedName>
    <definedName name="BENEFITS" localSheetId="88">#REF!</definedName>
    <definedName name="BENEFITS">#REF!</definedName>
    <definedName name="Binputrusum">'[9]L Graph (Data)'!$A$97:$DS$109</definedName>
    <definedName name="binputsum">'[10]L Graph (Data)'!$A$19:$DS$29</definedName>
    <definedName name="binputsumru">'[18]L Graph (Data)'!$A$91:$DS$105</definedName>
    <definedName name="binputvol">'[18]L Graph (Data)'!$A$21:$DS$34</definedName>
    <definedName name="blip" localSheetId="44" hidden="1">{"'Server Configuration'!$A$1:$DB$281"}</definedName>
    <definedName name="blip" localSheetId="6" hidden="1">{"'Server Configuration'!$A$1:$DB$281"}</definedName>
    <definedName name="blip" localSheetId="88" hidden="1">{"'Server Configuration'!$A$1:$DB$281"}</definedName>
    <definedName name="blip" localSheetId="47" hidden="1">{"'Server Configuration'!$A$1:$DB$281"}</definedName>
    <definedName name="blip" localSheetId="46" hidden="1">{"'Server Configuration'!$A$1:$DB$281"}</definedName>
    <definedName name="blip" localSheetId="48" hidden="1">{"'Server Configuration'!$A$1:$DB$281"}</definedName>
    <definedName name="blip" hidden="1">{"'Server Configuration'!$A$1:$DB$281"}</definedName>
    <definedName name="blip_1" localSheetId="88" hidden="1">{"'Server Configuration'!$A$1:$DB$281"}</definedName>
    <definedName name="blip_1" hidden="1">{"'Server Configuration'!$A$1:$DB$281"}</definedName>
    <definedName name="blip_2" localSheetId="88" hidden="1">{"'Server Configuration'!$A$1:$DB$281"}</definedName>
    <definedName name="blip_2" hidden="1">{"'Server Configuration'!$A$1:$DB$281"}</definedName>
    <definedName name="blort" localSheetId="88">#REF!</definedName>
    <definedName name="blort">#REF!</definedName>
    <definedName name="BMSGRADE">[19]Assumptions!$J$8:$J$21</definedName>
    <definedName name="BOB" localSheetId="88">#REF!</definedName>
    <definedName name="BOB">#REF!</definedName>
    <definedName name="BTU">[20]Input!$B$11</definedName>
    <definedName name="ByTower" localSheetId="88">#REF!</definedName>
    <definedName name="ByTower">#REF!</definedName>
    <definedName name="CALDEN" localSheetId="88">#REF!</definedName>
    <definedName name="CALDEN">#REF!</definedName>
    <definedName name="Cap_Structure" localSheetId="88">#REF!</definedName>
    <definedName name="Cap_Structure">#REF!</definedName>
    <definedName name="case" localSheetId="88">'[16]B-1 p.1 Summary (Base)'!$A$2</definedName>
    <definedName name="case">'B-1 p.1 Summary (Base)'!$A$2</definedName>
    <definedName name="CCCfeeadj">'[10]L Graph (Data)'!$A$410:$DS$457</definedName>
    <definedName name="CCCvoladj">'[10]L Graph (Data)'!$A$359:$DS$406</definedName>
    <definedName name="Central_Call_Handling_Charge">'[21]Router Configuration'!$S$1</definedName>
    <definedName name="CHART32" localSheetId="88">#REF!</definedName>
    <definedName name="CHART32">#REF!</definedName>
    <definedName name="CHART34" localSheetId="88">#REF!</definedName>
    <definedName name="CHART34">#REF!</definedName>
    <definedName name="CHART35" localSheetId="88">#REF!</definedName>
    <definedName name="CHART35">#REF!</definedName>
    <definedName name="CHART37" localSheetId="88">#REF!</definedName>
    <definedName name="CHART37">#REF!</definedName>
    <definedName name="CHART38" localSheetId="88">#REF!</definedName>
    <definedName name="CHART38">#REF!</definedName>
    <definedName name="CInputChg">'[9]L Graph (Data)'!$A$41:$IV$56</definedName>
    <definedName name="Cinputvol">'[18]L Graph (Data)'!$A$38:$DS$51</definedName>
    <definedName name="Clarification" localSheetId="88">#REF!</definedName>
    <definedName name="Clarification">#REF!</definedName>
    <definedName name="co" localSheetId="88">'[16]Index A'!$A$10</definedName>
    <definedName name="co">'Index A'!$A$10</definedName>
    <definedName name="COLUMN1" localSheetId="88">#REF!</definedName>
    <definedName name="COLUMN1">#REF!</definedName>
    <definedName name="COLUMN2" localSheetId="88">#REF!</definedName>
    <definedName name="COLUMN2">#REF!</definedName>
    <definedName name="Commodity">[15]Input!$C$10</definedName>
    <definedName name="Companies" localSheetId="88">#REF!</definedName>
    <definedName name="Companies">#REF!</definedName>
    <definedName name="company">'[17]Operating Income Summary C-1'!$A$1</definedName>
    <definedName name="CONAME">[15]B!$A$1</definedName>
    <definedName name="CONTENTS" localSheetId="88">#REF!</definedName>
    <definedName name="CONTENTS">#REF!</definedName>
    <definedName name="Criticality" localSheetId="88">#REF!</definedName>
    <definedName name="Criticality">#REF!</definedName>
    <definedName name="curr_cust_pmts">'[7]Payment Calculation'!$C$24</definedName>
    <definedName name="CUSTCHG" localSheetId="88">#REF!</definedName>
    <definedName name="CUSTCHG">#REF!</definedName>
    <definedName name="CUSTCOM32" localSheetId="88">#REF!</definedName>
    <definedName name="CUSTCOM32">#REF!</definedName>
    <definedName name="CUSTCOM34" localSheetId="88">#REF!</definedName>
    <definedName name="CUSTCOM34">#REF!</definedName>
    <definedName name="CUSTCOM35" localSheetId="88">#REF!</definedName>
    <definedName name="CUSTCOM35">#REF!</definedName>
    <definedName name="CUSTCOM37" localSheetId="88">#REF!</definedName>
    <definedName name="CUSTCOM37">#REF!</definedName>
    <definedName name="CUSTCOM38" localSheetId="88">#REF!</definedName>
    <definedName name="CUSTCOM38">#REF!</definedName>
    <definedName name="CUSTGAS32" localSheetId="88">#REF!</definedName>
    <definedName name="CUSTGAS32">#REF!</definedName>
    <definedName name="CUSTGAS34" localSheetId="88">#REF!</definedName>
    <definedName name="CUSTGAS34">#REF!</definedName>
    <definedName name="CUSTGAS37" localSheetId="88">#REF!</definedName>
    <definedName name="CUSTGAS37">#REF!</definedName>
    <definedName name="CUSTHP32" localSheetId="88">#REF!</definedName>
    <definedName name="CUSTHP32">#REF!</definedName>
    <definedName name="CUSTHP34" localSheetId="88">#REF!</definedName>
    <definedName name="CUSTHP34">#REF!</definedName>
    <definedName name="CUSTHP35" localSheetId="88">#REF!</definedName>
    <definedName name="CUSTHP35">#REF!</definedName>
    <definedName name="CUSTHP37" localSheetId="88">#REF!</definedName>
    <definedName name="CUSTHP37">#REF!</definedName>
    <definedName name="CUSTHP38" localSheetId="88">#REF!</definedName>
    <definedName name="CUSTHP38">#REF!</definedName>
    <definedName name="CUSTRES32" localSheetId="88">#REF!</definedName>
    <definedName name="CUSTRES32">#REF!</definedName>
    <definedName name="CUSTRES34" localSheetId="88">#REF!</definedName>
    <definedName name="CUSTRES34">#REF!</definedName>
    <definedName name="CUSTRES35" localSheetId="88">#REF!</definedName>
    <definedName name="CUSTRES35">#REF!</definedName>
    <definedName name="CUSTRES37" localSheetId="88">#REF!</definedName>
    <definedName name="CUSTRES37">#REF!</definedName>
    <definedName name="CUSTRES38" localSheetId="88">#REF!</definedName>
    <definedName name="CUSTRES38">#REF!</definedName>
    <definedName name="CUSTRET16" localSheetId="88">#REF!</definedName>
    <definedName name="CUSTRET16">#REF!</definedName>
    <definedName name="CUSTRET32" localSheetId="88">#REF!</definedName>
    <definedName name="CUSTRET32">#REF!</definedName>
    <definedName name="CUSTRET34" localSheetId="88">#REF!</definedName>
    <definedName name="CUSTRET34">#REF!</definedName>
    <definedName name="CUSTRET35" localSheetId="88">#REF!</definedName>
    <definedName name="CUSTRET35">#REF!</definedName>
    <definedName name="CUSTRET37" localSheetId="88">#REF!</definedName>
    <definedName name="CUSTRET37">#REF!</definedName>
    <definedName name="CUSTRET38" localSheetId="88">#REF!</definedName>
    <definedName name="CUSTRET38">#REF!</definedName>
    <definedName name="CUSTRET43" localSheetId="88">#REF!</definedName>
    <definedName name="CUSTRET43">#REF!</definedName>
    <definedName name="CUSTTRAN32" localSheetId="88">#REF!</definedName>
    <definedName name="CUSTTRAN32">#REF!</definedName>
    <definedName name="CUSTTRAN34" localSheetId="88">#REF!</definedName>
    <definedName name="CUSTTRAN34">#REF!</definedName>
    <definedName name="CUSTTRAN35" localSheetId="88">#REF!</definedName>
    <definedName name="CUSTTRAN35">#REF!</definedName>
    <definedName name="CUSTTRAN37" localSheetId="88">#REF!</definedName>
    <definedName name="CUSTTRAN37">#REF!</definedName>
    <definedName name="CUSTTRAN38" localSheetId="88">#REF!</definedName>
    <definedName name="CUSTTRAN38">#REF!</definedName>
    <definedName name="CWC" localSheetId="88">'[5]Rev Def Sum'!#REF!</definedName>
    <definedName name="CWC">'[5]Rev Def Sum'!#REF!</definedName>
    <definedName name="CWC_12_96" localSheetId="88">#REF!</definedName>
    <definedName name="CWC_12_96">#REF!</definedName>
    <definedName name="CWC_12_97" localSheetId="88">#REF!</definedName>
    <definedName name="CWC_12_97">#REF!</definedName>
    <definedName name="CWC_9_97" localSheetId="88">#REF!</definedName>
    <definedName name="CWC_9_97">#REF!</definedName>
    <definedName name="D" localSheetId="88">{"'Server Configuration'!$A$1:$DB$281"}</definedName>
    <definedName name="D">{"'Server Configuration'!$A$1:$DB$281"}</definedName>
    <definedName name="D_1" localSheetId="88">{"'Server Configuration'!$A$1:$DB$281"}</definedName>
    <definedName name="D_1">{"'Server Configuration'!$A$1:$DB$281"}</definedName>
    <definedName name="D_2" localSheetId="88">{"'Server Configuration'!$A$1:$DB$281"}</definedName>
    <definedName name="D_2">{"'Server Configuration'!$A$1:$DB$281"}</definedName>
    <definedName name="da" localSheetId="88">{"'Server Configuration'!$A$1:$DB$281"}</definedName>
    <definedName name="da">{"'Server Configuration'!$A$1:$DB$281"}</definedName>
    <definedName name="da_1" localSheetId="88">{"'Server Configuration'!$A$1:$DB$281"}</definedName>
    <definedName name="da_1">{"'Server Configuration'!$A$1:$DB$281"}</definedName>
    <definedName name="dad" localSheetId="88" hidden="1">{"'Server Configuration'!$A$1:$DB$281"}</definedName>
    <definedName name="dad" hidden="1">{"'Server Configuration'!$A$1:$DB$281"}</definedName>
    <definedName name="data" localSheetId="60">'Base TY Budget'!$C$164:$E$500</definedName>
    <definedName name="data" localSheetId="61">'Forecast TY Budget &amp; D-2.4 Adj'!$C$166:$K$496</definedName>
    <definedName name="DATA2" localSheetId="88">#REF!</definedName>
    <definedName name="DATA2">#REF!</definedName>
    <definedName name="_xlnm.Database" localSheetId="88">#REF!</definedName>
    <definedName name="_xlnm.Database">#REF!</definedName>
    <definedName name="date">'[22]Operating Income Summary C-1'!$A$4</definedName>
    <definedName name="dateb" localSheetId="88">'[16]B-1 p.1 Summary (Base)'!$A$4</definedName>
    <definedName name="dateb">'B-1 p.1 Summary (Base)'!$A$4</definedName>
    <definedName name="datef" localSheetId="88">'[16]B-1 p.2 Summary (Forecast)'!$A$4</definedName>
    <definedName name="datef">'B-1 p.2 Summary (Forecast)'!$A$4</definedName>
    <definedName name="DAVE" localSheetId="88">'[2]E-2'!#REF!</definedName>
    <definedName name="DAVE">'[2]E-2'!#REF!</definedName>
    <definedName name="DC" localSheetId="88">[8]Sch2!#REF!</definedName>
    <definedName name="DC">[8]Sch2!#REF!</definedName>
    <definedName name="DEBT">[23]RORB!$B$2:$F$24</definedName>
    <definedName name="DEPPROD51" localSheetId="88">#REF!</definedName>
    <definedName name="DEPPROD51">#REF!</definedName>
    <definedName name="DEPR" localSheetId="88">#REF!</definedName>
    <definedName name="DEPR">#REF!</definedName>
    <definedName name="DEPTOT11" localSheetId="88">#REF!</definedName>
    <definedName name="DEPTOT11">#REF!</definedName>
    <definedName name="DEPTOT12" localSheetId="88">#REF!</definedName>
    <definedName name="DEPTOT12">#REF!</definedName>
    <definedName name="DEPTOT14" localSheetId="88">#REF!</definedName>
    <definedName name="DEPTOT14">#REF!</definedName>
    <definedName name="DEPTOT15" localSheetId="88">#REF!</definedName>
    <definedName name="DEPTOT15">#REF!</definedName>
    <definedName name="DEPTOT16" localSheetId="88">#REF!</definedName>
    <definedName name="DEPTOT16">#REF!</definedName>
    <definedName name="DEPTOT17" localSheetId="88">#REF!</definedName>
    <definedName name="DEPTOT17">#REF!</definedName>
    <definedName name="DEPTOT18" localSheetId="88">#REF!</definedName>
    <definedName name="DEPTOT18">#REF!</definedName>
    <definedName name="DEPTOT20" localSheetId="88">#REF!</definedName>
    <definedName name="DEPTOT20">#REF!</definedName>
    <definedName name="DEPTOT22" localSheetId="88">#REF!</definedName>
    <definedName name="DEPTOT22">#REF!</definedName>
    <definedName name="DEPTOT32" localSheetId="88">#REF!</definedName>
    <definedName name="DEPTOT32">#REF!</definedName>
    <definedName name="DEPTOT34" localSheetId="88">#REF!</definedName>
    <definedName name="DEPTOT34">#REF!</definedName>
    <definedName name="DEPTOT35" localSheetId="88">#REF!</definedName>
    <definedName name="DEPTOT35">#REF!</definedName>
    <definedName name="DEPTOT37" localSheetId="88">#REF!</definedName>
    <definedName name="DEPTOT37">#REF!</definedName>
    <definedName name="DEPTOT38" localSheetId="88">#REF!</definedName>
    <definedName name="DEPTOT38">#REF!</definedName>
    <definedName name="DEPTOT45" localSheetId="88">#REF!</definedName>
    <definedName name="DEPTOT45">#REF!</definedName>
    <definedName name="DEPTOT48" localSheetId="88">#REF!</definedName>
    <definedName name="DEPTOT48">#REF!</definedName>
    <definedName name="DEPTOT51" localSheetId="88">#REF!</definedName>
    <definedName name="DEPTOT51">#REF!</definedName>
    <definedName name="DEPTOT52" localSheetId="88">#REF!</definedName>
    <definedName name="DEPTOT52">#REF!</definedName>
    <definedName name="DEPTOT53" localSheetId="88">#REF!</definedName>
    <definedName name="DEPTOT53">#REF!</definedName>
    <definedName name="DIRBIL11" localSheetId="88">#REF!</definedName>
    <definedName name="DIRBIL11">#REF!</definedName>
    <definedName name="DIRBIL14" localSheetId="88">#REF!</definedName>
    <definedName name="DIRBIL14">#REF!</definedName>
    <definedName name="DIRBIL15" localSheetId="88">#REF!</definedName>
    <definedName name="DIRBIL15">#REF!</definedName>
    <definedName name="DIRBIL16" localSheetId="88">#REF!</definedName>
    <definedName name="DIRBIL16">#REF!</definedName>
    <definedName name="DIRBIL17" localSheetId="88">#REF!</definedName>
    <definedName name="DIRBIL17">#REF!</definedName>
    <definedName name="DIRBIL18" localSheetId="88">#REF!</definedName>
    <definedName name="DIRBIL18">#REF!</definedName>
    <definedName name="DIRBIL20" localSheetId="88">#REF!</definedName>
    <definedName name="DIRBIL20">#REF!</definedName>
    <definedName name="DIRBIL22" localSheetId="88">#REF!</definedName>
    <definedName name="DIRBIL22">#REF!</definedName>
    <definedName name="DIRBIL32" localSheetId="88">#REF!</definedName>
    <definedName name="DIRBIL32">#REF!</definedName>
    <definedName name="DIRBIL34" localSheetId="88">#REF!</definedName>
    <definedName name="DIRBIL34">#REF!</definedName>
    <definedName name="DIRBIL35" localSheetId="88">#REF!</definedName>
    <definedName name="DIRBIL35">#REF!</definedName>
    <definedName name="DIRBIL37" localSheetId="88">#REF!</definedName>
    <definedName name="DIRBIL37">#REF!</definedName>
    <definedName name="DIRBIL38" localSheetId="88">#REF!</definedName>
    <definedName name="DIRBIL38">#REF!</definedName>
    <definedName name="DIRBIL43" localSheetId="88">#REF!</definedName>
    <definedName name="DIRBIL43">#REF!</definedName>
    <definedName name="DIRBIL45" localSheetId="88">#REF!</definedName>
    <definedName name="DIRBIL45">#REF!</definedName>
    <definedName name="DIRBIL48" localSheetId="88">#REF!</definedName>
    <definedName name="DIRBIL48">#REF!</definedName>
    <definedName name="DIRBIL51" localSheetId="88">#REF!</definedName>
    <definedName name="DIRBIL51">#REF!</definedName>
    <definedName name="DIRBIL52" localSheetId="88">#REF!</definedName>
    <definedName name="DIRBIL52">#REF!</definedName>
    <definedName name="DIRBIL53" localSheetId="88">#REF!</definedName>
    <definedName name="DIRBIL53">#REF!</definedName>
    <definedName name="DISTINC" localSheetId="88">#REF!</definedName>
    <definedName name="DISTINC">#REF!</definedName>
    <definedName name="E_factor_amt">[7]Inputs!$B$32</definedName>
    <definedName name="EA">[7]Inputs!$B$8</definedName>
    <definedName name="EGC">[15]Input!$C$11</definedName>
    <definedName name="EGCDATE">[15]Input!$C$14</definedName>
    <definedName name="ENDrate">'[14]END FXrates'!$B$4:$F$46</definedName>
    <definedName name="Enrolled">[7]Inputs!$B$5</definedName>
    <definedName name="EQUITY">[23]RORB!$A$25:$G$49</definedName>
    <definedName name="Est_Enrollment">[7]Inputs!$B$17</definedName>
    <definedName name="EX3_SHT1" localSheetId="88">#REF!</definedName>
    <definedName name="EX3_SHT1">#REF!</definedName>
    <definedName name="EX3_SHT2" localSheetId="88">#REF!</definedName>
    <definedName name="EX3_SHT2">#REF!</definedName>
    <definedName name="EXPDIST32" localSheetId="88">#REF!</definedName>
    <definedName name="EXPDIST32">#REF!</definedName>
    <definedName name="EXPDIST34" localSheetId="88">#REF!</definedName>
    <definedName name="EXPDIST34">#REF!</definedName>
    <definedName name="EXPDIST35" localSheetId="88">#REF!</definedName>
    <definedName name="EXPDIST35">#REF!</definedName>
    <definedName name="EXPDIST37" localSheetId="88">#REF!</definedName>
    <definedName name="EXPDIST37">#REF!</definedName>
    <definedName name="EXPDIST38" localSheetId="88">#REF!</definedName>
    <definedName name="EXPDIST38">#REF!</definedName>
    <definedName name="EXPENSES" localSheetId="88">#REF!</definedName>
    <definedName name="EXPENSES">#REF!</definedName>
    <definedName name="EXPFACTOR" localSheetId="88">#REF!</definedName>
    <definedName name="EXPFACTOR">#REF!</definedName>
    <definedName name="EXPPROD51" localSheetId="88">#REF!</definedName>
    <definedName name="EXPPROD51">#REF!</definedName>
    <definedName name="EXPTOT11" localSheetId="88">#REF!</definedName>
    <definedName name="EXPTOT11">#REF!</definedName>
    <definedName name="EXPTOT12" localSheetId="88">#REF!</definedName>
    <definedName name="EXPTOT12">#REF!</definedName>
    <definedName name="EXPTOT14" localSheetId="88">#REF!</definedName>
    <definedName name="EXPTOT14">#REF!</definedName>
    <definedName name="EXPTOT15" localSheetId="88">#REF!</definedName>
    <definedName name="EXPTOT15">#REF!</definedName>
    <definedName name="EXPTOT16" localSheetId="88">#REF!</definedName>
    <definedName name="EXPTOT16">#REF!</definedName>
    <definedName name="EXPTOT17" localSheetId="88">#REF!</definedName>
    <definedName name="EXPTOT17">#REF!</definedName>
    <definedName name="EXPTOT18" localSheetId="88">#REF!</definedName>
    <definedName name="EXPTOT18">#REF!</definedName>
    <definedName name="EXPTOT20" localSheetId="88">#REF!</definedName>
    <definedName name="EXPTOT20">#REF!</definedName>
    <definedName name="EXPTOT22" localSheetId="88">#REF!</definedName>
    <definedName name="EXPTOT22">#REF!</definedName>
    <definedName name="EXPTOT32" localSheetId="88">#REF!</definedName>
    <definedName name="EXPTOT32">#REF!</definedName>
    <definedName name="EXPTOT34" localSheetId="88">#REF!</definedName>
    <definedName name="EXPTOT34">#REF!</definedName>
    <definedName name="EXPTOT35" localSheetId="88">#REF!</definedName>
    <definedName name="EXPTOT35">#REF!</definedName>
    <definedName name="EXPTOT37" localSheetId="88">#REF!</definedName>
    <definedName name="EXPTOT37">#REF!</definedName>
    <definedName name="EXPTOT38" localSheetId="88">#REF!</definedName>
    <definedName name="EXPTOT38">#REF!</definedName>
    <definedName name="EXPTOT45" localSheetId="88">#REF!</definedName>
    <definedName name="EXPTOT45">#REF!</definedName>
    <definedName name="EXPTOT48" localSheetId="88">#REF!</definedName>
    <definedName name="EXPTOT48">#REF!</definedName>
    <definedName name="EXPTOT51" localSheetId="88">#REF!</definedName>
    <definedName name="EXPTOT51">#REF!</definedName>
    <definedName name="EXPTOT52" localSheetId="88">#REF!</definedName>
    <definedName name="EXPTOT52">#REF!</definedName>
    <definedName name="EXPTOT53" localSheetId="88">#REF!</definedName>
    <definedName name="EXPTOT53">#REF!</definedName>
    <definedName name="EXPTRAN14" localSheetId="88">#REF!</definedName>
    <definedName name="EXPTRAN14">#REF!</definedName>
    <definedName name="EXPTRAN51" localSheetId="88">#REF!</definedName>
    <definedName name="EXPTRAN51">#REF!</definedName>
    <definedName name="FADIST32" localSheetId="88">#REF!</definedName>
    <definedName name="FADIST32">#REF!</definedName>
    <definedName name="FADIST34" localSheetId="88">#REF!</definedName>
    <definedName name="FADIST34">#REF!</definedName>
    <definedName name="FADIST35" localSheetId="88">#REF!</definedName>
    <definedName name="FADIST35">#REF!</definedName>
    <definedName name="FADIST37" localSheetId="88">#REF!</definedName>
    <definedName name="FADIST37">#REF!</definedName>
    <definedName name="FADIST38" localSheetId="88">#REF!</definedName>
    <definedName name="FADIST38">#REF!</definedName>
    <definedName name="FADSIT37" localSheetId="88">#REF!</definedName>
    <definedName name="FADSIT37">#REF!</definedName>
    <definedName name="FAPROD51" localSheetId="88">#REF!</definedName>
    <definedName name="FAPROD51">#REF!</definedName>
    <definedName name="FATOT11" localSheetId="88">#REF!</definedName>
    <definedName name="FATOT11">#REF!</definedName>
    <definedName name="FATOT12" localSheetId="88">#REF!</definedName>
    <definedName name="FATOT12">#REF!</definedName>
    <definedName name="FATOT14" localSheetId="88">#REF!</definedName>
    <definedName name="FATOT14">#REF!</definedName>
    <definedName name="FATOT15" localSheetId="88">#REF!</definedName>
    <definedName name="FATOT15">#REF!</definedName>
    <definedName name="FATOT16" localSheetId="88">#REF!</definedName>
    <definedName name="FATOT16">#REF!</definedName>
    <definedName name="FATOT17" localSheetId="88">#REF!</definedName>
    <definedName name="FATOT17">#REF!</definedName>
    <definedName name="FATOT18" localSheetId="88">#REF!</definedName>
    <definedName name="FATOT18">#REF!</definedName>
    <definedName name="FATOT20" localSheetId="88">#REF!</definedName>
    <definedName name="FATOT20">#REF!</definedName>
    <definedName name="FATOT22" localSheetId="88">#REF!</definedName>
    <definedName name="FATOT22">#REF!</definedName>
    <definedName name="FATOT32" localSheetId="88">#REF!</definedName>
    <definedName name="FATOT32">#REF!</definedName>
    <definedName name="FATOT34" localSheetId="88">#REF!</definedName>
    <definedName name="FATOT34">#REF!</definedName>
    <definedName name="FATOT35" localSheetId="88">#REF!</definedName>
    <definedName name="FATOT35">#REF!</definedName>
    <definedName name="FATOT37" localSheetId="88">#REF!</definedName>
    <definedName name="FATOT37">#REF!</definedName>
    <definedName name="FATOT38" localSheetId="88">#REF!</definedName>
    <definedName name="FATOT38">#REF!</definedName>
    <definedName name="fatot45" localSheetId="88">#REF!</definedName>
    <definedName name="fatot45">#REF!</definedName>
    <definedName name="FATOT48" localSheetId="88">#REF!</definedName>
    <definedName name="FATOT48">#REF!</definedName>
    <definedName name="FATOT51" localSheetId="88">#REF!</definedName>
    <definedName name="FATOT51">#REF!</definedName>
    <definedName name="FATOT52" localSheetId="88">#REF!</definedName>
    <definedName name="FATOT52">#REF!</definedName>
    <definedName name="FATOT53" localSheetId="88">#REF!</definedName>
    <definedName name="FATOT53">#REF!</definedName>
    <definedName name="FATRAN14" localSheetId="88">#REF!</definedName>
    <definedName name="FATRAN14">#REF!</definedName>
    <definedName name="FATRAN51" localSheetId="88">#REF!</definedName>
    <definedName name="FATRAN51">#REF!</definedName>
    <definedName name="fbdate">'[17]Operating Income Summary C-1'!$A$4</definedName>
    <definedName name="FDATE">'[17]Oper Rev&amp;Exp by Accts C2.1B'!$A$4</definedName>
    <definedName name="FEDTAX" localSheetId="88">'[5]Rev Def Sum'!#REF!</definedName>
    <definedName name="FEDTAX">'[5]Rev Def Sum'!#REF!</definedName>
    <definedName name="FICA">[24]Sheet1!$A$2:$R$48</definedName>
    <definedName name="FICA_CALULATION" localSheetId="88">#REF!</definedName>
    <definedName name="FICA_CALULATION">#REF!</definedName>
    <definedName name="FICA_FIC_TAX_MO" localSheetId="88">#REF!</definedName>
    <definedName name="FICA_FIC_TAX_MO">#REF!</definedName>
    <definedName name="FICA_FIT_TAX_BW" localSheetId="88">#REF!</definedName>
    <definedName name="FICA_FIT_TAX_BW">#REF!</definedName>
    <definedName name="FindRef">OFFSET('[11]% Invoice'!$A$1,0,0,COUNTA('[11]% Invoice'!$A$1:$A$65536),1)</definedName>
    <definedName name="forecast" localSheetId="88">'[16]Index A'!$C$18</definedName>
    <definedName name="forecast">'Index A'!$C$18</definedName>
    <definedName name="FOREM_S" localSheetId="88">#REF!</definedName>
    <definedName name="FOREM_S">#REF!</definedName>
    <definedName name="FORESTORE" localSheetId="88">#REF!</definedName>
    <definedName name="FORESTORE">#REF!</definedName>
    <definedName name="FORESUM" localSheetId="88">#REF!</definedName>
    <definedName name="FORESUM">#REF!</definedName>
    <definedName name="FTLEE" localSheetId="88">#REF!</definedName>
    <definedName name="FTLEE">#REF!</definedName>
    <definedName name="FTY" localSheetId="88">#REF!</definedName>
    <definedName name="FTY">#REF!</definedName>
    <definedName name="FUELCOST" localSheetId="88">#REF!</definedName>
    <definedName name="FUELCOST">#REF!</definedName>
    <definedName name="FY" localSheetId="88">[8]Sch2!#REF!</definedName>
    <definedName name="FY">[8]Sch2!#REF!</definedName>
    <definedName name="FYDESC" localSheetId="88">#REF!</definedName>
    <definedName name="FYDESC">#REF!</definedName>
    <definedName name="GARY" localSheetId="88">#REF!</definedName>
    <definedName name="GARY">#REF!</definedName>
    <definedName name="GAS_PURCH_SORT" localSheetId="88">#REF!</definedName>
    <definedName name="GAS_PURCH_SORT">#REF!</definedName>
    <definedName name="GASCOST" localSheetId="88">#REF!</definedName>
    <definedName name="GASCOST">#REF!</definedName>
    <definedName name="GASNOTE" localSheetId="88">#REF!</definedName>
    <definedName name="GASNOTE">#REF!</definedName>
    <definedName name="Grade">[19]Assumptions!$J$8:$J$21</definedName>
    <definedName name="GROSS_WAGES" localSheetId="88">#REF!</definedName>
    <definedName name="GROSS_WAGES">#REF!</definedName>
    <definedName name="header" localSheetId="88">#REF!</definedName>
    <definedName name="header">#REF!</definedName>
    <definedName name="HIS_AVG_RT_BASE" localSheetId="88">#REF!</definedName>
    <definedName name="HIS_AVG_RT_BASE">#REF!</definedName>
    <definedName name="HoursPerDay">7.5</definedName>
    <definedName name="ht" localSheetId="88" hidden="1">{"'Server Configuration'!$A$1:$DB$281"}</definedName>
    <definedName name="ht" hidden="1">{"'Server Configuration'!$A$1:$DB$281"}</definedName>
    <definedName name="ht_1" localSheetId="88" hidden="1">{"'Server Configuration'!$A$1:$DB$281"}</definedName>
    <definedName name="ht_1" hidden="1">{"'Server Configuration'!$A$1:$DB$281"}</definedName>
    <definedName name="HTML_CodePage" hidden="1">1252</definedName>
    <definedName name="HTML_Control" localSheetId="44" hidden="1">{"'Server Configuration'!$A$1:$DB$281"}</definedName>
    <definedName name="HTML_Control" localSheetId="6" hidden="1">{"'Server Configuration'!$A$1:$DB$281"}</definedName>
    <definedName name="HTML_Control" localSheetId="88" hidden="1">{"'Server Configuration'!$A$1:$DB$281"}</definedName>
    <definedName name="HTML_Control" localSheetId="47" hidden="1">{"'Server Configuration'!$A$1:$DB$281"}</definedName>
    <definedName name="HTML_Control" localSheetId="46" hidden="1">{"'Server Configuration'!$A$1:$DB$281"}</definedName>
    <definedName name="HTML_Control" localSheetId="48" hidden="1">{"'Server Configuration'!$A$1:$DB$281"}</definedName>
    <definedName name="HTML_Control" hidden="1">{"'Server Configuration'!$A$1:$DB$281"}</definedName>
    <definedName name="HTML_Control_1" localSheetId="88" hidden="1">{"'Server Configuration'!$A$1:$DB$281"}</definedName>
    <definedName name="HTML_Control_1" hidden="1">{"'Server Configuration'!$A$1:$DB$281"}</definedName>
    <definedName name="HTML_Control_2" localSheetId="88" hidden="1">{"'Server Configuration'!$A$1:$DB$281"}</definedName>
    <definedName name="HTML_Control_2" hidden="1">{"'Server Configuration'!$A$1:$DB$281"}</definedName>
    <definedName name="HTML_Description" hidden="1">""</definedName>
    <definedName name="HTML_Email" hidden="1">""</definedName>
    <definedName name="HTML_Header" hidden="1">"Server Configuration"</definedName>
    <definedName name="HTML_LastUpdate" hidden="1">"2/9/01"</definedName>
    <definedName name="HTML_LineAfter" hidden="1">FALSE</definedName>
    <definedName name="HTML_LineBefore" hidden="1">FALSE</definedName>
    <definedName name="HTML_Name" hidden="1">"Corporate Network Services"</definedName>
    <definedName name="HTML_OBDlg2" hidden="1">TRUE</definedName>
    <definedName name="HTML_OBDlg4" hidden="1">TRUE</definedName>
    <definedName name="HTML_OS" hidden="1">0</definedName>
    <definedName name="HTML_PathFile" hidden="1">"C:\WINNT\Profiles\E003999\Desktop\MyHTML.htm"</definedName>
    <definedName name="HTML_Title" hidden="1">"Asset Tracking 2_9_01"</definedName>
    <definedName name="Ibaselineunits">'[18]L Graph (Data)'!$A$71:$DS$84</definedName>
    <definedName name="IBM" localSheetId="88">{"'Server Configuration'!$A$1:$DB$281"}</definedName>
    <definedName name="IBM">{"'Server Configuration'!$A$1:$DB$281"}</definedName>
    <definedName name="IC" localSheetId="88">{"'Server Configuration'!$A$1:$DB$281"}</definedName>
    <definedName name="IC">{"'Server Configuration'!$A$1:$DB$281"}</definedName>
    <definedName name="IMFILE" localSheetId="88">#REF!</definedName>
    <definedName name="IMFILE">#REF!</definedName>
    <definedName name="INCTAX" localSheetId="88">'[5]Rev Def Sum'!#REF!</definedName>
    <definedName name="INCTAX">'[5]Rev Def Sum'!#REF!</definedName>
    <definedName name="INCTAX2" localSheetId="88">'[5]Rev Def Sum'!#REF!</definedName>
    <definedName name="INCTAX2">'[5]Rev Def Sum'!#REF!</definedName>
    <definedName name="INDADD" localSheetId="88">#REF!</definedName>
    <definedName name="INDADD">#REF!</definedName>
    <definedName name="INPUT" localSheetId="88">#REF!</definedName>
    <definedName name="INPUT">#REF!</definedName>
    <definedName name="Inputbase" localSheetId="88">'[9]A (Input) Inv MO Service Charge'!#REF!</definedName>
    <definedName name="Inputbase">'[9]A (Input) Inv MO Service Charge'!#REF!</definedName>
    <definedName name="INTCO" localSheetId="88">#REF!</definedName>
    <definedName name="INTCO">#REF!</definedName>
    <definedName name="INTEREST_WKST" localSheetId="88">#REF!</definedName>
    <definedName name="INTEREST_WKST">#REF!</definedName>
    <definedName name="IRefbase">'[9]L Graph (Data)'!$A$113:$DS$126</definedName>
    <definedName name="Irefbaseunits">'[18]L Graph (Data)'!$A$109:$DS$125</definedName>
    <definedName name="ITARCRRCCHARGE">'[10]L Graph (Data)'!$A$187:$DS$233</definedName>
    <definedName name="ITbasefee">'[10]L Graph (Data)'!$A$49:$DS$60</definedName>
    <definedName name="ITbaseRUFee">'[10]L Graph (Data)'!$A$239:$DS$286</definedName>
    <definedName name="ITbinputsumru">'[10]L Graph (Data)'!$A$81:$DS$128</definedName>
    <definedName name="ITbinputvol">'[10]L Graph (Data)'!$A$19:$DS$30</definedName>
    <definedName name="ITCinputvol">'[10]L Graph (Data)'!$A$34:$DS$45</definedName>
    <definedName name="ITIbaselineunits">'[10]L Graph (Data)'!$A$63:$DS$74</definedName>
    <definedName name="ITNetArcCharge">'[10]L Graph (Data)'!$A$293:$DS$339</definedName>
    <definedName name="ITnetservfee">'[10]L Graph (Data)'!$A$344:$DS$355</definedName>
    <definedName name="ITrefbaselineunits">'[10]L Graph (Data)'!$A$132:$DS$181</definedName>
    <definedName name="JTC" localSheetId="88">'[16]Operating Income Summary C-1'!$M$9</definedName>
    <definedName name="JTC">'Operating Income Summary C-1'!$M$9</definedName>
    <definedName name="LABOR" localSheetId="88">#REF!</definedName>
    <definedName name="LABOR">#REF!</definedName>
    <definedName name="licenseduration" localSheetId="88">#REF!</definedName>
    <definedName name="licenseduration">#REF!</definedName>
    <definedName name="licensescope" localSheetId="88">#REF!</definedName>
    <definedName name="licensescope">#REF!</definedName>
    <definedName name="LOBBYING" localSheetId="88">#REF!</definedName>
    <definedName name="LOBBYING">#REF!</definedName>
    <definedName name="lookup">'[25]Input Sheet'!$A$9:$BM$140</definedName>
    <definedName name="M_S" localSheetId="88">#REF!</definedName>
    <definedName name="M_S">#REF!</definedName>
    <definedName name="mktcomp" localSheetId="88">#REF!</definedName>
    <definedName name="mktcomp">#REF!</definedName>
    <definedName name="mktfin2" localSheetId="88">#REF!</definedName>
    <definedName name="mktfin2">#REF!</definedName>
    <definedName name="mktfin3" localSheetId="88">#REF!</definedName>
    <definedName name="mktfin3">#REF!</definedName>
    <definedName name="mktfin6" localSheetId="88">#REF!</definedName>
    <definedName name="mktfin6">#REF!</definedName>
    <definedName name="mktpage4" localSheetId="88">#REF!</definedName>
    <definedName name="mktpage4">#REF!</definedName>
    <definedName name="MKTPRODUCT" localSheetId="88">#REF!</definedName>
    <definedName name="MKTPRODUCT">#REF!</definedName>
    <definedName name="NCSC" localSheetId="88">'[26]Rev Def Sum'!#REF!</definedName>
    <definedName name="NCSC">'[26]Rev Def Sum'!#REF!</definedName>
    <definedName name="NCSCLB" localSheetId="88" hidden="1">{"'Server Configuration'!$A$1:$DB$281"}</definedName>
    <definedName name="NCSCLB" hidden="1">{"'Server Configuration'!$A$1:$DB$281"}</definedName>
    <definedName name="NEBT" localSheetId="88">#REF!</definedName>
    <definedName name="NEBT">#REF!</definedName>
    <definedName name="NEWFILE" localSheetId="88">#REF!</definedName>
    <definedName name="NEWFILE">#REF!</definedName>
    <definedName name="NJANG" localSheetId="88">#REF!</definedName>
    <definedName name="NJANG">#REF!</definedName>
    <definedName name="NJDIST" localSheetId="88">#REF!</definedName>
    <definedName name="NJDIST">#REF!</definedName>
    <definedName name="No." localSheetId="60">#REF!</definedName>
    <definedName name="No." localSheetId="88">#REF!</definedName>
    <definedName name="No.">#REF!</definedName>
    <definedName name="NORM_VOL" localSheetId="88">#REF!</definedName>
    <definedName name="NORM_VOL">#REF!</definedName>
    <definedName name="nousf" localSheetId="88">#REF!</definedName>
    <definedName name="nousf">#REF!</definedName>
    <definedName name="NPM" localSheetId="88">#REF!</definedName>
    <definedName name="NPM">#REF!</definedName>
    <definedName name="NvsAnswerCol">"'[PYR_SVC_BLUERI_AP IMAGES.xls]AVG FXrates'!$A$4:$A$21"</definedName>
    <definedName name="NvsASD">"V2001-09-30"</definedName>
    <definedName name="NvsASD_1">"V2007-09-30"</definedName>
    <definedName name="NvsASD_1_1">"V2012-06-30"</definedName>
    <definedName name="NvsAutoDrillOk">"VN"</definedName>
    <definedName name="NvsElapsedTime">0.00477291666902602</definedName>
    <definedName name="NvsElapsedTime_1">0.000219907407881692</definedName>
    <definedName name="NvsElapsedTime_1_1">0.00020833333110204</definedName>
    <definedName name="NvsElapsedTime_2">0.000219907407881692</definedName>
    <definedName name="NvsEndTime">35706.4988658565</definedName>
    <definedName name="NvsEndTime_1">39363.4914467593</definedName>
    <definedName name="NvsEndTime_1_1">41099.6144444444</definedName>
    <definedName name="NvsEndTime_2">39363.4914467593</definedName>
    <definedName name="NvsInstanceHook" localSheetId="88">#REF!='[27]September Travel Detail'!#REF!</definedName>
    <definedName name="NvsInstanceHook">#REF!='[27]September Travel Detail'!#REF!</definedName>
    <definedName name="NvsInstanceHook_1" localSheetId="88">#REF!='[27]September Travel Detail'!#REF!</definedName>
    <definedName name="NvsInstanceHook_1">#REF!='[27]September Travel Detail'!#REF!</definedName>
    <definedName name="NvsInstLang">"VENG"</definedName>
    <definedName name="NvsInstSpec">"%,FDEPTID,VHS9PW"</definedName>
    <definedName name="NvsInstSpec_1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"V2000-01-01"</definedName>
    <definedName name="NvsPanelEffdt_1">"V2099-01-01"</definedName>
    <definedName name="NvsPanelSetid">"VSHARE"</definedName>
    <definedName name="NvsParentRef">"'[PYR_SVC_BLUERI_BS-1003.xls]Balance Sheet'!$I$13"</definedName>
    <definedName name="NvsReqBU">"VPSC"</definedName>
    <definedName name="NvsReqBU_1">"V00012"</definedName>
    <definedName name="NvsReqBUOnly">"VN"</definedName>
    <definedName name="NvsReqBUOnly_1">"VY"</definedName>
    <definedName name="NvsStyleNme">"NiSource Corporate.xls"</definedName>
    <definedName name="NvsTransLed">"VN"</definedName>
    <definedName name="NvsTreeASD">"V2001-09-30"</definedName>
    <definedName name="NvsTreeASD_1">"V2007-09-30"</definedName>
    <definedName name="NvsTreeASD_1_1">"V2012-06-30"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NvsValTbl.LEDGER">"LED_DEFN_TBL"</definedName>
    <definedName name="NvsValTbl.PRODUCT">"PRODUCT_TBL"</definedName>
    <definedName name="NvsValTbl.PROGRAM_CODE">"PROGRAM_TBL"</definedName>
    <definedName name="NvsValTbl.SCENARIO">"BD_SCENARIO_TBL"</definedName>
    <definedName name="OPEB_Credit">[7]Inputs!$B$34</definedName>
    <definedName name="OTHERTAX" localSheetId="88">#REF!</definedName>
    <definedName name="OTHERTAX">#REF!</definedName>
    <definedName name="OTPAY" localSheetId="88">#REF!</definedName>
    <definedName name="OTPAY">#REF!</definedName>
    <definedName name="PAGE_" localSheetId="88">#REF!</definedName>
    <definedName name="PAGE_">#REF!</definedName>
    <definedName name="PAGE_1" localSheetId="88">#REF!</definedName>
    <definedName name="PAGE_1">#REF!</definedName>
    <definedName name="PAGE_10" localSheetId="88">#REF!</definedName>
    <definedName name="PAGE_10">#REF!</definedName>
    <definedName name="PAGE_11" localSheetId="88">#REF!</definedName>
    <definedName name="PAGE_11">#REF!</definedName>
    <definedName name="PAGE_12" localSheetId="88">#REF!</definedName>
    <definedName name="PAGE_12">#REF!</definedName>
    <definedName name="PAGE_13" localSheetId="88">#REF!</definedName>
    <definedName name="PAGE_13">#REF!</definedName>
    <definedName name="PAGE_14" localSheetId="88">#REF!</definedName>
    <definedName name="PAGE_14">#REF!</definedName>
    <definedName name="PAGE_19" localSheetId="88">#REF!</definedName>
    <definedName name="PAGE_19">#REF!</definedName>
    <definedName name="PAGE_2" localSheetId="88">#REF!</definedName>
    <definedName name="PAGE_2">#REF!</definedName>
    <definedName name="PAGE_20" localSheetId="88">#REF!</definedName>
    <definedName name="PAGE_20">#REF!</definedName>
    <definedName name="PAGE_21" localSheetId="88">#REF!</definedName>
    <definedName name="PAGE_21">#REF!</definedName>
    <definedName name="PAGE_25" localSheetId="88">#REF!</definedName>
    <definedName name="PAGE_25">#REF!</definedName>
    <definedName name="PAGE_3" localSheetId="88">#REF!</definedName>
    <definedName name="PAGE_3">#REF!</definedName>
    <definedName name="PAGE_4" localSheetId="88">#REF!</definedName>
    <definedName name="PAGE_4">#REF!</definedName>
    <definedName name="PAGE_5" localSheetId="88">#REF!</definedName>
    <definedName name="PAGE_5">#REF!</definedName>
    <definedName name="PAGE_6" localSheetId="88">#REF!</definedName>
    <definedName name="PAGE_6">#REF!</definedName>
    <definedName name="PAGE_7" localSheetId="88">#REF!</definedName>
    <definedName name="PAGE_7">#REF!</definedName>
    <definedName name="PAGE_8" localSheetId="88">#REF!</definedName>
    <definedName name="PAGE_8">#REF!</definedName>
    <definedName name="PAGE_9" localSheetId="88">#REF!</definedName>
    <definedName name="PAGE_9">#REF!</definedName>
    <definedName name="PAGE01" localSheetId="88">#REF!</definedName>
    <definedName name="PAGE01">#REF!</definedName>
    <definedName name="PAGE1" localSheetId="88">#REF!</definedName>
    <definedName name="PAGE1">#REF!</definedName>
    <definedName name="PAGE2" localSheetId="88">'[28]Rate Base Summary Sch B-1'!#REF!</definedName>
    <definedName name="PAGE2">'[28]Rate Base Summary Sch B-1'!#REF!</definedName>
    <definedName name="PAGE3" localSheetId="60">#REF!</definedName>
    <definedName name="PAGE3" localSheetId="88">#REF!</definedName>
    <definedName name="PAGE3">#REF!</definedName>
    <definedName name="PAGE4" localSheetId="60">#REF!</definedName>
    <definedName name="PAGE4" localSheetId="88">#REF!</definedName>
    <definedName name="PAGE4">#REF!</definedName>
    <definedName name="PAGE5" localSheetId="88">'[29]B-2.3'!#REF!</definedName>
    <definedName name="PAGE5">'[29]B-2.3'!#REF!</definedName>
    <definedName name="PAGE6" localSheetId="88">'[29]B-2.3'!#REF!</definedName>
    <definedName name="PAGE6">'[29]B-2.3'!#REF!</definedName>
    <definedName name="PAGE7" localSheetId="88">#REF!</definedName>
    <definedName name="PAGE7">#REF!</definedName>
    <definedName name="PAGE8" localSheetId="88">#REF!</definedName>
    <definedName name="PAGE8">#REF!</definedName>
    <definedName name="penalty" localSheetId="88">#REF!</definedName>
    <definedName name="penalty">#REF!</definedName>
    <definedName name="PerInvoiceLookup">OFFSET('[11]% Invoice'!$A$1,0,0,COUNTA('[11]% Invoice'!$A$1:$A$65536),COUNTA('[11]% Invoice'!$A$1:$IV$1))</definedName>
    <definedName name="PG5A" localSheetId="88">#REF!</definedName>
    <definedName name="PG5A">#REF!</definedName>
    <definedName name="PG5B" localSheetId="88">#REF!</definedName>
    <definedName name="PG5B">#REF!</definedName>
    <definedName name="PG5C" localSheetId="88">#REF!</definedName>
    <definedName name="PG5C">#REF!</definedName>
    <definedName name="PG5D" localSheetId="88">#REF!</definedName>
    <definedName name="PG5D">#REF!</definedName>
    <definedName name="PG5E" localSheetId="88">#REF!</definedName>
    <definedName name="PG5E">#REF!</definedName>
    <definedName name="PG5F" localSheetId="88">#REF!</definedName>
    <definedName name="PG5F">#REF!</definedName>
    <definedName name="plug" localSheetId="88">#REF!</definedName>
    <definedName name="plug">#REF!</definedName>
    <definedName name="plug1" localSheetId="88">#REF!</definedName>
    <definedName name="plug1">#REF!</definedName>
    <definedName name="pook" localSheetId="88">#REF!</definedName>
    <definedName name="pook">#REF!</definedName>
    <definedName name="PPTY" localSheetId="88">#REF!</definedName>
    <definedName name="PPTY">#REF!</definedName>
    <definedName name="PREMPAY" localSheetId="88">#REF!</definedName>
    <definedName name="PREMPAY">#REF!</definedName>
    <definedName name="PRINT" localSheetId="88">#REF!</definedName>
    <definedName name="PRINT">#REF!</definedName>
    <definedName name="_xlnm.Print_Area" localSheetId="1">'A- Financial Summary'!$A$1:$G$41</definedName>
    <definedName name="_xlnm.Print_Area" localSheetId="44">'ADIT Calc-Do not print'!$A$1:$G$89</definedName>
    <definedName name="_xlnm.Print_Area" localSheetId="52">'Adj Operating Income Sum C-2'!$A$1:$M$34</definedName>
    <definedName name="_xlnm.Print_Area" localSheetId="57">'Adjusted Forecast Period'!$A$1:$I$109</definedName>
    <definedName name="_xlnm.Print_Area" localSheetId="77">'Adv OLD FORMAT DO NOT USE'!$A$1:$N$43</definedName>
    <definedName name="_xlnm.Print_Area" localSheetId="3">'B-1 p.1 Summary (Base)'!$A$1:$J$36</definedName>
    <definedName name="_xlnm.Print_Area" localSheetId="4">'B-1 p.2 Summary (Forecast)'!$A$1:$I$46</definedName>
    <definedName name="_xlnm.Print_Area" localSheetId="5">'B-2 p.1 Grouping (Base)'!$A$1:$I$38</definedName>
    <definedName name="_xlnm.Print_Area" localSheetId="6">'B-2 p.2 Grouping (Forecast)'!$A$1:$J$43</definedName>
    <definedName name="_xlnm.Print_Area" localSheetId="7">'B-2.1 Base Period GPA'!$A$1:$H$79</definedName>
    <definedName name="_xlnm.Print_Area" localSheetId="8">'B-2.1 Forecast Period GPA'!$A$1:$I$78</definedName>
    <definedName name="_xlnm.Print_Area" localSheetId="15">'B-2.2 Proposed Adj (Base)'!$A$1:$O$32</definedName>
    <definedName name="_xlnm.Print_Area" localSheetId="16">'B-2.2 Proposed Adj (Forecast)'!$A$1:$O$32</definedName>
    <definedName name="_xlnm.Print_Area" localSheetId="17">'B-2.3 Base Adds, Ret, Transfers'!$A$1:$H$95</definedName>
    <definedName name="_xlnm.Print_Area" localSheetId="18">'B-2.3 Forecast Adds, Ret, Trans'!$A$1:$I$95</definedName>
    <definedName name="_xlnm.Print_Area" localSheetId="19">'B-2.4 PP&amp;E Acquired (base)'!$A$1:$I$26</definedName>
    <definedName name="_xlnm.Print_Area" localSheetId="20">'B-2.4 PP&amp;E Acquired (forecast)'!$A$1:$I$26</definedName>
    <definedName name="_xlnm.Print_Area" localSheetId="22">'B-2.5 Leased Prop (forecast)'!$A$1:$H$36</definedName>
    <definedName name="_xlnm.Print_Area" localSheetId="21">'B-2.5 Leased Property (base)'!$A$1:$H$36</definedName>
    <definedName name="_xlnm.Print_Area" localSheetId="23">'B-2.6 Property Held (base)'!$A$1:$L$44</definedName>
    <definedName name="_xlnm.Print_Area" localSheetId="24">'B-2.6 Property Held (forecast)'!$A$1:$L$15</definedName>
    <definedName name="_xlnm.Print_Area" localSheetId="25">'B-2.7 PP&amp;E Excluded (base)'!$A$1:$K$26</definedName>
    <definedName name="_xlnm.Print_Area" localSheetId="26">'B-2.7 PP&amp;E Excluded (forecast)'!$A$1:$K$26</definedName>
    <definedName name="_xlnm.Print_Area" localSheetId="27">'B-3 Accum Dep&amp; Amort (Base)'!$A$1:$K$94</definedName>
    <definedName name="_xlnm.Print_Area" localSheetId="28">'B-3 Accum Dep&amp;A (Forecast)'!$A$1:$L$98</definedName>
    <definedName name="_xlnm.Print_Area" localSheetId="31">'B-3.1 Adj.  AD&amp;A (base)'!$A$1:$O$37</definedName>
    <definedName name="_xlnm.Print_Area" localSheetId="32">'B-3.1 Adj.  AD&amp;A (Forecast)'!$A$1:$O$38</definedName>
    <definedName name="_xlnm.Print_Area" localSheetId="33">'B-4 CWIP (In Service)'!$A$1:$P$43</definedName>
    <definedName name="_xlnm.Print_Area" localSheetId="34">'B-5 Working Capital (Base)'!$A$1:$L$37</definedName>
    <definedName name="_xlnm.Print_Area" localSheetId="35">'B-5 Working Capital (Forecast)'!$A$1:$L$37</definedName>
    <definedName name="_xlnm.Print_Area" localSheetId="36">'B-5.1 Working Cap. (Base)'!$A$1:$F$32</definedName>
    <definedName name="_xlnm.Print_Area" localSheetId="37">'B-5.1 Working Cap. (Forecast)'!$A$1:$G$32</definedName>
    <definedName name="_xlnm.Print_Area" localSheetId="40">'B-5.2 CWC (Base)'!$A$1:$J$30</definedName>
    <definedName name="_xlnm.Print_Area" localSheetId="41">'B-5.2 CWC (Forecast)'!$A$1:$J$30</definedName>
    <definedName name="_xlnm.Print_Area" localSheetId="42">'B-6 Def. Cr. &amp; ADIT (Base)'!$A$1:$J$43</definedName>
    <definedName name="_xlnm.Print_Area" localSheetId="43">'B-6 Def. Cr. &amp; ADIT (Forecast)'!$A$1:$K$45</definedName>
    <definedName name="_xlnm.Print_Area" localSheetId="49">'B-7 Juris Factor'!$A$1:$E$46</definedName>
    <definedName name="_xlnm.Print_Area" localSheetId="60">'Base TY Budget'!$A$1:$Q$73</definedName>
    <definedName name="_xlnm.Print_Area" localSheetId="96">'Cost of Capital Index J'!$A$1:$C$30</definedName>
    <definedName name="_xlnm.Print_Area" localSheetId="64">'D-1'!$A$1:$O$269</definedName>
    <definedName name="_xlnm.Print_Area" localSheetId="65">'D-2.1'!$A$1:$S$101</definedName>
    <definedName name="_xlnm.Print_Area" localSheetId="66">'D-2.2'!$A$1:$T$148</definedName>
    <definedName name="_xlnm.Print_Area" localSheetId="67">'D-2.3'!$A$1:$S$23</definedName>
    <definedName name="_xlnm.Print_Area" localSheetId="68">'D-2.4'!$A$1:$R$150</definedName>
    <definedName name="_xlnm.Print_Area" localSheetId="45">'DNF - WPB-6 Acct. (forecast)'!$A$1:$F$33</definedName>
    <definedName name="_xlnm.Print_Area" localSheetId="70">'E-1.1 Fed &amp; State Income Taxes'!$A$1:$M$112</definedName>
    <definedName name="_xlnm.Print_Area" localSheetId="72">'F-1 Corp Due &amp; Memberships'!$A$1:$Q$46</definedName>
    <definedName name="_xlnm.Print_Area" localSheetId="73">'F-2 Charitable Contributions'!$A$1:$Q$54</definedName>
    <definedName name="_xlnm.Print_Area" localSheetId="74">'F-3 Country Club Dues'!$A$4:$Q$36</definedName>
    <definedName name="_xlnm.Print_Area" localSheetId="75">'F-4 Emp Recog &amp; Activities'!$A$1:$G$35</definedName>
    <definedName name="_xlnm.Print_Area" localSheetId="78">'F-5 Cust. Serv.&amp;Sales Expense'!$A$1:$Q$40</definedName>
    <definedName name="_xlnm.Print_Area" localSheetId="79">'F-6  Advertising'!$A$1:$E$27</definedName>
    <definedName name="_xlnm.Print_Area" localSheetId="81">'F-7 Professional Services Exp'!$A$1:$G$33</definedName>
    <definedName name="_xlnm.Print_Area" localSheetId="82">'F-8 Rate Case Expense'!$A$1:$I$33</definedName>
    <definedName name="_xlnm.Print_Area" localSheetId="83">'F-9 Civic,Political Activities'!$A$1:$G$29</definedName>
    <definedName name="_xlnm.Print_Area" localSheetId="61">'Forecast TY Budget &amp; D-2.4 Adj'!$A$1:$V$73</definedName>
    <definedName name="_xlnm.Print_Area" localSheetId="86">'G-1 Payroll Cost'!$A$1:$K$36</definedName>
    <definedName name="_xlnm.Print_Area" localSheetId="87">'G-2 Payroll Analysis'!$A$1:$Q$56</definedName>
    <definedName name="_xlnm.Print_Area" localSheetId="91">'Gross Conversion Factor H-1'!$A$1:$H$34</definedName>
    <definedName name="_xlnm.Print_Area" localSheetId="90">'Gross Conversion Factor Index H'!$A$1:$C$24</definedName>
    <definedName name="_xlnm.Print_Area" localSheetId="93">'I-1 Comp Income Statement'!$A$1:$L$45</definedName>
    <definedName name="_xlnm.Print_Area" localSheetId="94">'I-2 Revenue Stats'!$A$1:$L$62</definedName>
    <definedName name="_xlnm.Print_Area" localSheetId="95">'I-3 Sales Stats'!$A$1:$L$42</definedName>
    <definedName name="_xlnm.Print_Area" localSheetId="92">'INDEX - I'!$A$1:$C$31</definedName>
    <definedName name="_xlnm.Print_Area" localSheetId="0">'Index A'!$A$1:$D$36</definedName>
    <definedName name="_xlnm.Print_Area" localSheetId="2">'Index B'!$A$1:$C$37</definedName>
    <definedName name="_xlnm.Print_Area" localSheetId="59">'Input O&amp;M FERC 12-17'!$A$1:$O$61</definedName>
    <definedName name="_xlnm.Print_Area" localSheetId="58">'Input O&amp;M FERC 8-16'!$A$1:$O$86</definedName>
    <definedName name="_xlnm.Print_Area" localSheetId="12">'Intangible Amort.'!$A$1:$R$192</definedName>
    <definedName name="_xlnm.Print_Area" localSheetId="98">'J-1 Base Period Cost of Capital'!$A$1:$M$29</definedName>
    <definedName name="_xlnm.Print_Area" localSheetId="97">'J-1 Cost of Capital Summary'!$A$1:$M$30</definedName>
    <definedName name="_xlnm.Print_Area" localSheetId="99">'J-1.1, J-1.2 13 MO AVG WACC'!$A$1:$M$29</definedName>
    <definedName name="_xlnm.Print_Area" localSheetId="100">'J-2'!$A$1:$J$42</definedName>
    <definedName name="_xlnm.Print_Area" localSheetId="101">'J-3'!$A$1:$L$38</definedName>
    <definedName name="_xlnm.Print_Area" localSheetId="102">'J-4'!$A$1:$J$29</definedName>
    <definedName name="_xlnm.Print_Area" localSheetId="104">'K - Comparative Financial Data'!$A$1:$R$170</definedName>
    <definedName name="_xlnm.Print_Area" localSheetId="53">'Oper Rev&amp;Exp by Accts C2.1A'!$A$1:$G$143</definedName>
    <definedName name="_xlnm.Print_Area" localSheetId="54">'Oper Rev&amp;Exp by Accts C2.1B'!$A$1:$G$144</definedName>
    <definedName name="_xlnm.Print_Area" localSheetId="50">'Operating Income Sum Index C'!$A$1:$C$26</definedName>
    <definedName name="_xlnm.Print_Area" localSheetId="63">'Operating Income Sum Index D'!$A$1:$C$38</definedName>
    <definedName name="_xlnm.Print_Area" localSheetId="51">'Operating Income Summary C-1'!$A$1:$N$35</definedName>
    <definedName name="_xlnm.Print_Area" localSheetId="76">'Party, Outing, Gift DO NOT USE'!$A$1:$Q$37</definedName>
    <definedName name="_xlnm.Print_Area" localSheetId="11">'Plant input detail '!$A$1:$N$2379</definedName>
    <definedName name="_xlnm.Print_Area" localSheetId="80">'Prof Serv OLD FORMAT DO NOT USE'!$A$1:$S$40</definedName>
    <definedName name="_xlnm.Print_Area" localSheetId="69">'Sch E Index'!$A$1:$C$25</definedName>
    <definedName name="_xlnm.Print_Area" localSheetId="71">'Sch F Index'!$A$1:$C$34</definedName>
    <definedName name="_xlnm.Print_Area" localSheetId="85">'Sch G Index'!$A$1:$D$51</definedName>
    <definedName name="_xlnm.Print_Area" localSheetId="103">'SCH K INDEX'!$A$1:$I$36</definedName>
    <definedName name="_xlnm.Print_Area" localSheetId="105">'SCH L - Tariff'!$A$1:$D$22</definedName>
    <definedName name="_xlnm.Print_Area" localSheetId="106">'Sch. L'!$A$1:$H$14</definedName>
    <definedName name="_xlnm.Print_Area" localSheetId="55">'Total Co Accts Activ C2.2A'!$A$1:$P$104</definedName>
    <definedName name="_xlnm.Print_Area" localSheetId="56">'Total Co Accts Activ C2.2B'!$A$1:$P$104</definedName>
    <definedName name="_xlnm.Print_Area" localSheetId="39">'WPB 5.3 Storage'!$A$1:$J$74</definedName>
    <definedName name="_xlnm.Print_Area" localSheetId="10">'WPB-2.1 13 mo avg'!$A$1:$S$92</definedName>
    <definedName name="_xlnm.Print_Area" localSheetId="9">'WPB-2.1 Base Period'!$A$1:$Q$91</definedName>
    <definedName name="_xlnm.Print_Area" localSheetId="13">'WPB2.2 Plant detail-w slippage'!$A$1:$N$2377</definedName>
    <definedName name="_xlnm.Print_Area" localSheetId="14">'WPB2.2a Intan Amort. w slippage'!$A$1:$R$218</definedName>
    <definedName name="_xlnm.Print_Area" localSheetId="29">'WPB-3.1 AD&amp;A (Base)'!$A$1:$Q$91</definedName>
    <definedName name="_xlnm.Print_Area" localSheetId="30">'WPB-3.1 AD&amp;A (Forecast)'!$A$1:$S$91</definedName>
    <definedName name="_xlnm.Print_Area" localSheetId="38">'WPB-5.1 M&amp;S and Prepayments'!$A$1:$D$26</definedName>
    <definedName name="_xlnm.Print_Area" localSheetId="47">'WPB-6 Acct. 190 (forecast)'!$A$1:$F$32</definedName>
    <definedName name="_xlnm.Print_Area" localSheetId="46">'WPB-6 Acct. 282 (forecast)'!$A$1:$O$33</definedName>
    <definedName name="_xlnm.Print_Area" localSheetId="48">'WPB-6 Acct. 282 Adj (forecast)'!$A$1:$G$60</definedName>
    <definedName name="_xlnm.Print_Area" localSheetId="89">'WPG-2'!$A$1:$O$215</definedName>
    <definedName name="Print_Area_MI" localSheetId="31">'B-3.1 Adj.  AD&amp;A (base)'!$A$1:$O$45</definedName>
    <definedName name="Print_Area_MI" localSheetId="32">'B-3.1 Adj.  AD&amp;A (Forecast)'!$A$1:$O$45</definedName>
    <definedName name="Print_Area_MI" localSheetId="96">'Cost of Capital Index J'!$A$1:$H$24</definedName>
    <definedName name="Print_Area_MI" localSheetId="65">'D-2.1'!$A$1:$S$101</definedName>
    <definedName name="Print_Area_MI" localSheetId="66">'D-2.2'!$A$1:$S$152</definedName>
    <definedName name="Print_Area_MI" localSheetId="67">'D-2.3'!$A$1:$S$23</definedName>
    <definedName name="Print_Area_MI" localSheetId="68">'D-2.4'!$A$1:$R$84</definedName>
    <definedName name="Print_Area_MI" localSheetId="45">'DNF - WPB-6 Acct. (forecast)'!$A$4:$D$32</definedName>
    <definedName name="Print_Area_MI" localSheetId="70">#REF!</definedName>
    <definedName name="Print_Area_MI" localSheetId="91">'Gross Conversion Factor H-1'!$A$1:$M$34</definedName>
    <definedName name="Print_Area_MI" localSheetId="90">'Gross Conversion Factor Index H'!$A$1:$G$23</definedName>
    <definedName name="Print_Area_MI" localSheetId="92">'INDEX - I'!$A$1:$H$26</definedName>
    <definedName name="Print_Area_MI" localSheetId="2">'Index B'!$A$1:$N$39</definedName>
    <definedName name="Print_Area_MI" localSheetId="100">'J-2'!$A$56:$L$88</definedName>
    <definedName name="Print_Area_MI" localSheetId="101">'J-3'!$A$34:$L$82</definedName>
    <definedName name="Print_Area_MI" localSheetId="102">'J-4'!$A$1:$J$15</definedName>
    <definedName name="Print_Area_MI" localSheetId="63">'Operating Income Sum Index D'!$A$1:$N$41</definedName>
    <definedName name="Print_Area_MI" localSheetId="69">'Sch E Index'!$A$1:$D$48</definedName>
    <definedName name="Print_Area_MI" localSheetId="71">'Sch F Index'!$A$1:$D$45</definedName>
    <definedName name="Print_Area_MI" localSheetId="85">'Sch G Index'!$A$1:$H$48</definedName>
    <definedName name="Print_Area_MI" localSheetId="103">'SCH K INDEX'!$A$1:$I$28</definedName>
    <definedName name="Print_Area_MI" localSheetId="105">'SCH L - Tariff'!$A$1:$L$40</definedName>
    <definedName name="Print_Area_MI" localSheetId="38">'WPB-5.1 M&amp;S and Prepayments'!$B$1:$D$26</definedName>
    <definedName name="Print_Area_MI" localSheetId="47">'WPB-6 Acct. 190 (forecast)'!$A$4:$F$32</definedName>
    <definedName name="Print_Area_MI" localSheetId="46">'WPB-6 Acct. 282 (forecast)'!$A$4:$F$32</definedName>
    <definedName name="Print_Area_MI" localSheetId="48">'WPB-6 Acct. 282 Adj (forecast)'!$A$4:$D$29</definedName>
    <definedName name="Print_Area_MI" localSheetId="89">'WPG-2'!$A$1:$N$33</definedName>
    <definedName name="Print_Area_MI">'Operating Income Sum Index C'!$A$1:$N$41</definedName>
    <definedName name="_xlnm.Print_Titles" localSheetId="62">'O&amp;M by CE Desc Variance'!$1:$3</definedName>
    <definedName name="PRINTADJ" localSheetId="88">#REF!</definedName>
    <definedName name="PRINTADJ">#REF!</definedName>
    <definedName name="PRINTADS" localSheetId="88">#REF!</definedName>
    <definedName name="PRINTADS">#REF!</definedName>
    <definedName name="PRINTBENEFITS" localSheetId="88">#REF!</definedName>
    <definedName name="PRINTBENEFITS">#REF!</definedName>
    <definedName name="PRINTBILL" localSheetId="88">#REF!</definedName>
    <definedName name="PRINTBILL">#REF!</definedName>
    <definedName name="PRINTFICA" localSheetId="88">#REF!</definedName>
    <definedName name="PRINTFICA">#REF!</definedName>
    <definedName name="PRINTGC" localSheetId="88">#REF!</definedName>
    <definedName name="PRINTGC">#REF!</definedName>
    <definedName name="PRINTINPUT" localSheetId="88">#REF!</definedName>
    <definedName name="PRINTINPUT">#REF!</definedName>
    <definedName name="PRINTLABOR" localSheetId="88">#REF!</definedName>
    <definedName name="PRINTLABOR">#REF!</definedName>
    <definedName name="PRINTMAIN" localSheetId="88">#REF!</definedName>
    <definedName name="PRINTMAIN">#REF!</definedName>
    <definedName name="PRINTNORM" localSheetId="88">#REF!</definedName>
    <definedName name="PRINTNORM">#REF!</definedName>
    <definedName name="PRINTREVC" localSheetId="88">#REF!</definedName>
    <definedName name="PRINTREVC">#REF!</definedName>
    <definedName name="PRINTSCH35B" localSheetId="88">#REF!</definedName>
    <definedName name="PRINTSCH35B">#REF!</definedName>
    <definedName name="PRINTSUMMARY" localSheetId="88">#REF!</definedName>
    <definedName name="PRINTSUMMARY">#REF!</definedName>
    <definedName name="productlist">'[30]Product List'!$A$1:$E$23153</definedName>
    <definedName name="proj_cust_pmts">'[7]Payment Calculation'!$C$25</definedName>
    <definedName name="PROPTAX" localSheetId="88">#REF!</definedName>
    <definedName name="PROPTAX">#REF!</definedName>
    <definedName name="qryFTECategbyCountry" localSheetId="88">#REF!</definedName>
    <definedName name="qryFTECategbyCountry">#REF!</definedName>
    <definedName name="Quest" localSheetId="88">#REF!</definedName>
    <definedName name="Quest">#REF!</definedName>
    <definedName name="RATEBASE" localSheetId="88">'[5]Rev Def Sum'!#REF!</definedName>
    <definedName name="RATEBASE">'[5]Rev Def Sum'!#REF!</definedName>
    <definedName name="rates" localSheetId="88">#REF!</definedName>
    <definedName name="rates">#REF!</definedName>
    <definedName name="RECON2" localSheetId="88">#REF!</definedName>
    <definedName name="RECON2">#REF!</definedName>
    <definedName name="RECONCILATION" localSheetId="88">#REF!</definedName>
    <definedName name="RECONCILATION">#REF!</definedName>
    <definedName name="_xlnm.Recorder" localSheetId="88">#REF!</definedName>
    <definedName name="_xlnm.Recorder">#REF!</definedName>
    <definedName name="RefFunction">[19]Assumptions!$F$34:$F$39</definedName>
    <definedName name="RefGrade">[19]Assumptions!$F$7:$F$16</definedName>
    <definedName name="RefJobTitle">[19]Assumptions!$F$18:$F$31</definedName>
    <definedName name="REVALLOC">'[6]ATTACH REH-5A REV'!$A$1:$J$39</definedName>
    <definedName name="RISK" localSheetId="88">#REF!</definedName>
    <definedName name="RISK">#REF!</definedName>
    <definedName name="Rollups" localSheetId="88">#REF!</definedName>
    <definedName name="Rollups">#REF!</definedName>
    <definedName name="Rusty" localSheetId="88" hidden="1">{"'Server Configuration'!$A$1:$DB$281"}</definedName>
    <definedName name="Rusty" hidden="1">{"'Server Configuration'!$A$1:$DB$281"}</definedName>
    <definedName name="S35A" localSheetId="88">#REF!</definedName>
    <definedName name="S35A">#REF!</definedName>
    <definedName name="S35B" localSheetId="88">#REF!</definedName>
    <definedName name="S35B">#REF!</definedName>
    <definedName name="SAS_GasCost" localSheetId="88">[15]Input!#REF!</definedName>
    <definedName name="SAS_GasCost">[15]Input!#REF!</definedName>
    <definedName name="SCH_17_1of2" localSheetId="88">#REF!</definedName>
    <definedName name="SCH_17_1of2">#REF!</definedName>
    <definedName name="SCH_17_2of2" localSheetId="88">#REF!</definedName>
    <definedName name="SCH_17_2of2">#REF!</definedName>
    <definedName name="sch35a" localSheetId="88">#REF!</definedName>
    <definedName name="sch35a">#REF!</definedName>
    <definedName name="sch35b" localSheetId="88">#REF!</definedName>
    <definedName name="sch35b">#REF!</definedName>
    <definedName name="SCHEDULE_12" localSheetId="88">#REF!</definedName>
    <definedName name="SCHEDULE_12">#REF!</definedName>
    <definedName name="Sep_08_Man_Fee" localSheetId="88">#REF!</definedName>
    <definedName name="Sep_08_Man_Fee">#REF!</definedName>
    <definedName name="SGA" localSheetId="88">#REF!</definedName>
    <definedName name="SGA">#REF!</definedName>
    <definedName name="SHEET1" localSheetId="88">#REF!</definedName>
    <definedName name="SHEET1">#REF!</definedName>
    <definedName name="SHEET10" localSheetId="88">#REF!</definedName>
    <definedName name="SHEET10">#REF!</definedName>
    <definedName name="SHEET108" localSheetId="88">#REF!</definedName>
    <definedName name="SHEET108">#REF!</definedName>
    <definedName name="SHEET108_2" localSheetId="88">#REF!</definedName>
    <definedName name="SHEET108_2">#REF!</definedName>
    <definedName name="SHEET11" localSheetId="88">#REF!</definedName>
    <definedName name="SHEET11">#REF!</definedName>
    <definedName name="SHEET12" localSheetId="88">#REF!</definedName>
    <definedName name="SHEET12">#REF!</definedName>
    <definedName name="SHEET13" localSheetId="88">#REF!</definedName>
    <definedName name="SHEET13">#REF!</definedName>
    <definedName name="SHEET2" localSheetId="88">#REF!</definedName>
    <definedName name="SHEET2">#REF!</definedName>
    <definedName name="SHEET3" localSheetId="88">#REF!</definedName>
    <definedName name="SHEET3">#REF!</definedName>
    <definedName name="SHEET4" localSheetId="88">#REF!</definedName>
    <definedName name="SHEET4">#REF!</definedName>
    <definedName name="SHEET5" localSheetId="88">#REF!</definedName>
    <definedName name="SHEET5">#REF!</definedName>
    <definedName name="SHEET6" localSheetId="88">#REF!</definedName>
    <definedName name="SHEET6">#REF!</definedName>
    <definedName name="SHEET7" localSheetId="88">#REF!</definedName>
    <definedName name="SHEET7">#REF!</definedName>
    <definedName name="SHEET8" localSheetId="88">#REF!</definedName>
    <definedName name="SHEET8">#REF!</definedName>
    <definedName name="SHEET9" localSheetId="88">#REF!</definedName>
    <definedName name="SHEET9">#REF!</definedName>
    <definedName name="SMK" localSheetId="88">'[16]B-1 p.1 Summary (Base)'!$J$8</definedName>
    <definedName name="SMK">'B-1 p.1 Summary (Base)'!$J$8</definedName>
    <definedName name="SPECIFIC" localSheetId="88">#REF!</definedName>
    <definedName name="SPECIFIC">#REF!</definedName>
    <definedName name="STATETAX_PAY_MO" localSheetId="88">#REF!</definedName>
    <definedName name="STATETAX_PAY_MO">#REF!</definedName>
    <definedName name="STATETAX_PAY_WK" localSheetId="88">#REF!</definedName>
    <definedName name="STATETAX_PAY_WK">#REF!</definedName>
    <definedName name="STORAGE" localSheetId="88">#REF!</definedName>
    <definedName name="STORAGE">#REF!</definedName>
    <definedName name="STUDY" localSheetId="88">#REF!</definedName>
    <definedName name="STUDY">#REF!</definedName>
    <definedName name="SUM6406E" localSheetId="88">#REF!</definedName>
    <definedName name="SUM6406E">#REF!</definedName>
    <definedName name="SUM6406P" localSheetId="88">#REF!</definedName>
    <definedName name="SUM6406P">#REF!</definedName>
    <definedName name="SUM6503E" localSheetId="88">#REF!</definedName>
    <definedName name="SUM6503E">#REF!</definedName>
    <definedName name="SUM6503P" localSheetId="88">#REF!</definedName>
    <definedName name="SUM6503P">#REF!</definedName>
    <definedName name="SUM6703E" localSheetId="88">#REF!</definedName>
    <definedName name="SUM6703E">#REF!</definedName>
    <definedName name="SUM6703P" localSheetId="88">#REF!</definedName>
    <definedName name="SUM6703P">#REF!</definedName>
    <definedName name="SUM7203E" localSheetId="88">#REF!</definedName>
    <definedName name="SUM7203E">#REF!</definedName>
    <definedName name="SUM7203P" localSheetId="88">#REF!</definedName>
    <definedName name="SUM7203P">#REF!</definedName>
    <definedName name="SUM8703E" localSheetId="88">#REF!</definedName>
    <definedName name="SUM8703E">#REF!</definedName>
    <definedName name="SUM8703P" localSheetId="88">#REF!</definedName>
    <definedName name="SUM8703P">#REF!</definedName>
    <definedName name="SUMM5" localSheetId="88">#REF!</definedName>
    <definedName name="SUMM5">#REF!</definedName>
    <definedName name="SUMMARY" localSheetId="88">#REF!</definedName>
    <definedName name="SUMMARY">#REF!</definedName>
    <definedName name="SummaryTable" localSheetId="88">#REF!</definedName>
    <definedName name="SummaryTable">#REF!</definedName>
    <definedName name="TABLE" localSheetId="88">#REF!</definedName>
    <definedName name="TABLE">#REF!</definedName>
    <definedName name="Teldata" localSheetId="88">#REF!</definedName>
    <definedName name="Teldata">#REF!</definedName>
    <definedName name="TEMP" localSheetId="88">#REF!</definedName>
    <definedName name="TEMP">#REF!</definedName>
    <definedName name="test" localSheetId="88">'[25]Input Sheet'!#REF!</definedName>
    <definedName name="test">'[25]Input Sheet'!#REF!</definedName>
    <definedName name="test1" localSheetId="88">'[25]Input Sheet'!#REF!</definedName>
    <definedName name="test1">'[25]Input Sheet'!#REF!</definedName>
    <definedName name="tol">0.001</definedName>
    <definedName name="TOTALONM" localSheetId="88">#REF!</definedName>
    <definedName name="TOTALONM">#REF!</definedName>
    <definedName name="Totals" localSheetId="88">'[31]Complete Listing incl LCN'!#REF!</definedName>
    <definedName name="Totals">'[31]Complete Listing incl LCN'!#REF!</definedName>
    <definedName name="TY" localSheetId="88">[15]B!#REF!</definedName>
    <definedName name="TY">[15]B!#REF!</definedName>
    <definedName name="TYDESC">[15]B!$A$3</definedName>
    <definedName name="UNEMPLOY_TAX" localSheetId="88">#REF!</definedName>
    <definedName name="UNEMPLOY_TAX">#REF!</definedName>
    <definedName name="Usage_per_Cust">[7]Inputs!$B$12</definedName>
    <definedName name="usd">[32]Assumptions!$C$13</definedName>
    <definedName name="USF" localSheetId="88">#REF!</definedName>
    <definedName name="USF">#REF!</definedName>
    <definedName name="VOL_COMP2" localSheetId="88">#REF!</definedName>
    <definedName name="VOL_COMP2">#REF!</definedName>
    <definedName name="VOL_COMPARISON" localSheetId="88">#REF!</definedName>
    <definedName name="VOL_COMPARISON">#REF!</definedName>
    <definedName name="WCSUM" localSheetId="88">#REF!</definedName>
    <definedName name="WCSUM">#REF!</definedName>
    <definedName name="wit">'[17]Operating Income Summary C-1'!$M$9</definedName>
    <definedName name="Witness">[15]Input!$B$8</definedName>
    <definedName name="WORKAREA">'[6]ATTACH REH-5A REV'!$B$52:$K$169</definedName>
    <definedName name="WorkingDaysPerYear">210</definedName>
    <definedName name="Xref">'[33]xref acct'!$A$3:$C$167</definedName>
  </definedNames>
  <calcPr calcId="152511"/>
</workbook>
</file>

<file path=xl/calcChain.xml><?xml version="1.0" encoding="utf-8"?>
<calcChain xmlns="http://schemas.openxmlformats.org/spreadsheetml/2006/main">
  <c r="A4" i="60" l="1"/>
  <c r="A4" i="61"/>
  <c r="A4" i="23"/>
  <c r="A4" i="53"/>
  <c r="A4" i="51"/>
  <c r="A4" i="54"/>
  <c r="A4" i="34"/>
  <c r="A4" i="50"/>
  <c r="A4" i="22"/>
  <c r="A4" i="13"/>
  <c r="A4" i="48"/>
  <c r="A4" i="12"/>
  <c r="A4" i="134"/>
  <c r="A4" i="11"/>
  <c r="A4" i="133"/>
  <c r="A4" i="10"/>
  <c r="A4" i="132"/>
  <c r="A4" i="9"/>
  <c r="A4" i="131"/>
  <c r="A4" i="8"/>
  <c r="A4" i="128"/>
  <c r="A4" i="129"/>
  <c r="A4" i="27"/>
  <c r="A4" i="47"/>
  <c r="A4" i="3"/>
  <c r="A4" i="46"/>
  <c r="A4" i="2"/>
  <c r="A4" i="64"/>
  <c r="R185" i="55" l="1"/>
  <c r="R184" i="55"/>
  <c r="N183" i="55"/>
  <c r="M183" i="55"/>
  <c r="K182" i="55"/>
  <c r="J182" i="55"/>
  <c r="G173" i="55"/>
  <c r="G174" i="55"/>
  <c r="G175" i="55"/>
  <c r="G176" i="55"/>
  <c r="G177" i="55"/>
  <c r="G178" i="55"/>
  <c r="G179" i="55"/>
  <c r="G180" i="55"/>
  <c r="G181" i="55"/>
  <c r="G172" i="55"/>
  <c r="L83" i="55"/>
  <c r="Q90" i="55" l="1"/>
  <c r="Q89" i="55"/>
  <c r="P89" i="55"/>
  <c r="P88" i="55"/>
  <c r="O88" i="55"/>
  <c r="O87" i="55"/>
  <c r="N87" i="55"/>
  <c r="N86" i="55"/>
  <c r="M86" i="55"/>
  <c r="M85" i="55"/>
  <c r="L85" i="55"/>
  <c r="L84" i="55"/>
  <c r="K84" i="55"/>
  <c r="K83" i="55"/>
  <c r="J83" i="55"/>
  <c r="J82" i="55"/>
  <c r="I82" i="55"/>
  <c r="I81" i="55"/>
  <c r="H81" i="55"/>
  <c r="F89" i="7" l="1"/>
  <c r="F86" i="7"/>
  <c r="E86" i="7"/>
  <c r="F76" i="7"/>
  <c r="E76" i="7"/>
  <c r="F71" i="7"/>
  <c r="E71" i="7"/>
  <c r="F70" i="7"/>
  <c r="F66" i="7"/>
  <c r="E66" i="7"/>
  <c r="F64" i="7"/>
  <c r="E64" i="7"/>
  <c r="F63" i="7"/>
  <c r="E63" i="7"/>
  <c r="E62" i="7"/>
  <c r="F61" i="7"/>
  <c r="E61" i="7"/>
  <c r="F45" i="7"/>
  <c r="E45" i="7"/>
  <c r="F42" i="7"/>
  <c r="E42" i="7"/>
  <c r="E40" i="7"/>
  <c r="F40" i="7"/>
  <c r="E37" i="7"/>
  <c r="F35" i="7"/>
  <c r="E35" i="7"/>
  <c r="E32" i="7"/>
  <c r="E21" i="7" l="1"/>
  <c r="K80" i="27" l="1"/>
  <c r="K72" i="27"/>
  <c r="K70" i="27"/>
  <c r="K65" i="27"/>
  <c r="K60" i="27"/>
  <c r="K58" i="27"/>
  <c r="K57" i="27"/>
  <c r="K55" i="27"/>
  <c r="K41" i="27"/>
  <c r="K38" i="27"/>
  <c r="K36" i="27"/>
  <c r="K34" i="27"/>
  <c r="K33" i="27"/>
  <c r="K31" i="27"/>
  <c r="K27" i="27"/>
  <c r="K15" i="27"/>
  <c r="K18" i="27"/>
  <c r="G28" i="37"/>
  <c r="O39" i="37"/>
  <c r="I39" i="37"/>
  <c r="K40" i="37"/>
  <c r="G40" i="37"/>
  <c r="I36" i="37"/>
  <c r="O36" i="37"/>
  <c r="O29" i="37"/>
  <c r="I29" i="37"/>
  <c r="K27" i="37"/>
  <c r="G27" i="37"/>
  <c r="G25" i="37"/>
  <c r="K25" i="37"/>
  <c r="A95" i="58" l="1"/>
  <c r="F1084" i="41" l="1"/>
  <c r="F978" i="41"/>
  <c r="F872" i="41"/>
  <c r="F766" i="41" l="1"/>
  <c r="E1084" i="41"/>
  <c r="E978" i="41"/>
  <c r="E872" i="41"/>
  <c r="C65" i="80" l="1"/>
  <c r="D65" i="80"/>
  <c r="O65" i="80" s="1"/>
  <c r="E65" i="80"/>
  <c r="F65" i="80"/>
  <c r="G65" i="80"/>
  <c r="H65" i="80"/>
  <c r="I65" i="80"/>
  <c r="J65" i="80"/>
  <c r="K65" i="80"/>
  <c r="L65" i="80"/>
  <c r="M65" i="80"/>
  <c r="N65" i="80"/>
  <c r="A67" i="80"/>
  <c r="C68" i="80"/>
  <c r="C69" i="80"/>
  <c r="D69" i="80"/>
  <c r="C70" i="80"/>
  <c r="C71" i="80"/>
  <c r="D68" i="80" s="1"/>
  <c r="C74" i="80"/>
  <c r="D74" i="80"/>
  <c r="E74" i="80"/>
  <c r="F74" i="80"/>
  <c r="G74" i="80"/>
  <c r="H74" i="80"/>
  <c r="I74" i="80"/>
  <c r="J74" i="80"/>
  <c r="K74" i="80"/>
  <c r="L74" i="80"/>
  <c r="M74" i="80"/>
  <c r="N74" i="80"/>
  <c r="A76" i="80"/>
  <c r="C77" i="80"/>
  <c r="D77" i="80"/>
  <c r="C78" i="80"/>
  <c r="D78" i="80"/>
  <c r="C79" i="80"/>
  <c r="C80" i="80"/>
  <c r="D79" i="80" s="1"/>
  <c r="P2" i="57"/>
  <c r="D102" i="58" s="1"/>
  <c r="P102" i="58" l="1"/>
  <c r="Q102" i="58"/>
  <c r="D70" i="80"/>
  <c r="A126" i="149"/>
  <c r="A124" i="149"/>
  <c r="K133" i="149"/>
  <c r="A55" i="149"/>
  <c r="A53" i="149"/>
  <c r="K62" i="149"/>
  <c r="A17" i="149" l="1"/>
  <c r="A18" i="149" s="1"/>
  <c r="A19" i="149" s="1"/>
  <c r="A21" i="149" s="1"/>
  <c r="A22" i="149" s="1"/>
  <c r="A23" i="149" s="1"/>
  <c r="A24" i="149" s="1"/>
  <c r="A26" i="149" s="1"/>
  <c r="A27" i="149" s="1"/>
  <c r="A28" i="149" s="1"/>
  <c r="A29" i="149" s="1"/>
  <c r="A30" i="149" s="1"/>
  <c r="A32" i="149" s="1"/>
  <c r="A35" i="149" s="1"/>
  <c r="A36" i="149" s="1"/>
  <c r="A37" i="149" s="1"/>
  <c r="A38" i="149" s="1"/>
  <c r="A40" i="149" s="1"/>
  <c r="A41" i="149" s="1"/>
  <c r="A42" i="149" s="1"/>
  <c r="A43" i="149" s="1"/>
  <c r="A45" i="149" s="1"/>
  <c r="A46" i="149" s="1"/>
  <c r="A47" i="149" s="1"/>
  <c r="A48" i="149" s="1"/>
  <c r="A49" i="149" s="1"/>
  <c r="A51" i="149" s="1"/>
  <c r="A69" i="149" s="1"/>
  <c r="A70" i="149" s="1"/>
  <c r="A71" i="149" s="1"/>
  <c r="A73" i="149" s="1"/>
  <c r="K10" i="149"/>
  <c r="A5" i="149"/>
  <c r="A4" i="149"/>
  <c r="A2" i="149"/>
  <c r="A56" i="149" l="1"/>
  <c r="A127" i="149"/>
  <c r="A57" i="149"/>
  <c r="A128" i="149"/>
  <c r="A54" i="149"/>
  <c r="A125" i="149"/>
  <c r="A74" i="149"/>
  <c r="E23" i="101"/>
  <c r="D84" i="145"/>
  <c r="D85" i="145"/>
  <c r="D86" i="145"/>
  <c r="D87" i="145"/>
  <c r="D88" i="145"/>
  <c r="D89" i="145"/>
  <c r="D90" i="145"/>
  <c r="D91" i="145"/>
  <c r="D92" i="145"/>
  <c r="D93" i="145"/>
  <c r="D94" i="145"/>
  <c r="D95" i="145"/>
  <c r="D96" i="145"/>
  <c r="D97" i="145"/>
  <c r="D98" i="145"/>
  <c r="D99" i="145"/>
  <c r="D83" i="145"/>
  <c r="F89" i="145"/>
  <c r="A75" i="149" l="1"/>
  <c r="L9" i="110"/>
  <c r="L9" i="109"/>
  <c r="A61" i="109"/>
  <c r="A76" i="149" l="1"/>
  <c r="A42" i="110"/>
  <c r="A62" i="109"/>
  <c r="A78" i="149" l="1"/>
  <c r="A79" i="149" s="1"/>
  <c r="A80" i="149" s="1"/>
  <c r="A81" i="149" s="1"/>
  <c r="A82" i="149" s="1"/>
  <c r="A84" i="149" s="1"/>
  <c r="A87" i="149" s="1"/>
  <c r="A88" i="149" s="1"/>
  <c r="A89" i="149" s="1"/>
  <c r="A90" i="149" s="1"/>
  <c r="A92" i="149" s="1"/>
  <c r="A93" i="149" s="1"/>
  <c r="A94" i="149" s="1"/>
  <c r="A95" i="149" s="1"/>
  <c r="A97" i="149" s="1"/>
  <c r="A98" i="149" s="1"/>
  <c r="A99" i="149" s="1"/>
  <c r="A100" i="149" s="1"/>
  <c r="A101" i="149" s="1"/>
  <c r="A103" i="149" s="1"/>
  <c r="A106" i="149" s="1"/>
  <c r="A107" i="149" s="1"/>
  <c r="A108" i="149" s="1"/>
  <c r="A109" i="149" s="1"/>
  <c r="A111" i="149" s="1"/>
  <c r="A112" i="149" s="1"/>
  <c r="A113" i="149" s="1"/>
  <c r="A114" i="149" s="1"/>
  <c r="A116" i="149" s="1"/>
  <c r="A117" i="149" s="1"/>
  <c r="A118" i="149" s="1"/>
  <c r="A119" i="149" s="1"/>
  <c r="A120" i="149" s="1"/>
  <c r="A122" i="149" s="1"/>
  <c r="A140" i="149" s="1"/>
  <c r="A141" i="149" s="1"/>
  <c r="A142" i="149" s="1"/>
  <c r="A144" i="149" s="1"/>
  <c r="A145" i="149" s="1"/>
  <c r="A146" i="149" s="1"/>
  <c r="A147" i="149" s="1"/>
  <c r="A149" i="149" s="1"/>
  <c r="A150" i="149" s="1"/>
  <c r="A151" i="149" s="1"/>
  <c r="A152" i="149" s="1"/>
  <c r="A153" i="149" s="1"/>
  <c r="A155" i="149" s="1"/>
  <c r="A158" i="149" s="1"/>
  <c r="A159" i="149" s="1"/>
  <c r="A160" i="149" s="1"/>
  <c r="A161" i="149" s="1"/>
  <c r="A163" i="149" s="1"/>
  <c r="A164" i="149" s="1"/>
  <c r="A165" i="149" s="1"/>
  <c r="A166" i="149" s="1"/>
  <c r="A168" i="149" s="1"/>
  <c r="A169" i="149" s="1"/>
  <c r="A170" i="149" s="1"/>
  <c r="A171" i="149" s="1"/>
  <c r="A172" i="149" s="1"/>
  <c r="A174" i="149" s="1"/>
  <c r="S118" i="76"/>
  <c r="D138" i="74"/>
  <c r="D135" i="74"/>
  <c r="D134" i="74"/>
  <c r="D133" i="74"/>
  <c r="G16" i="118" l="1"/>
  <c r="C13" i="146" l="1"/>
  <c r="C11" i="146"/>
  <c r="C9" i="146"/>
  <c r="A2" i="147" s="1"/>
  <c r="C20" i="139" l="1"/>
  <c r="E20" i="139"/>
  <c r="N230" i="74" l="1"/>
  <c r="N233" i="74"/>
  <c r="N224" i="74"/>
  <c r="N228" i="74"/>
  <c r="N227" i="74"/>
  <c r="N223" i="74"/>
  <c r="N222" i="74"/>
  <c r="N232" i="74"/>
  <c r="N234" i="74"/>
  <c r="N231" i="74"/>
  <c r="N236" i="74" l="1"/>
  <c r="N235" i="74"/>
  <c r="N225" i="74"/>
  <c r="D132" i="74"/>
  <c r="S89" i="76" s="1"/>
  <c r="D126" i="74"/>
  <c r="D137" i="74"/>
  <c r="D131" i="74"/>
  <c r="D130" i="74"/>
  <c r="D129" i="74"/>
  <c r="D128" i="74"/>
  <c r="D127" i="74" l="1"/>
  <c r="D125" i="74"/>
  <c r="R102" i="127" l="1"/>
  <c r="R123" i="127"/>
  <c r="R112" i="127"/>
  <c r="S67" i="127"/>
  <c r="S62" i="127"/>
  <c r="S61" i="127"/>
  <c r="S56" i="127"/>
  <c r="S55" i="127"/>
  <c r="S51" i="127"/>
  <c r="S49" i="127"/>
  <c r="S48" i="127"/>
  <c r="S43" i="127"/>
  <c r="S37" i="127"/>
  <c r="S36" i="127"/>
  <c r="S33" i="127"/>
  <c r="S28" i="127"/>
  <c r="S27" i="127"/>
  <c r="S22" i="127"/>
  <c r="R79" i="127"/>
  <c r="Q473" i="127"/>
  <c r="R209" i="127"/>
  <c r="R9" i="127" l="1"/>
  <c r="R110" i="127"/>
  <c r="R44" i="127"/>
  <c r="R41" i="127"/>
  <c r="R28" i="127"/>
  <c r="R14" i="127"/>
  <c r="R13" i="127"/>
  <c r="R10" i="127"/>
  <c r="S66" i="127"/>
  <c r="L24" i="59" l="1"/>
  <c r="I24" i="59"/>
  <c r="S44" i="127" l="1"/>
  <c r="I24" i="112" l="1"/>
  <c r="I18" i="112"/>
  <c r="K42" i="86" l="1"/>
  <c r="A42" i="86"/>
  <c r="Q42" i="86"/>
  <c r="Q36" i="86"/>
  <c r="K36" i="86"/>
  <c r="Q35" i="86"/>
  <c r="K35" i="86"/>
  <c r="Q34" i="86"/>
  <c r="K34" i="86"/>
  <c r="Q33" i="86"/>
  <c r="K33" i="86"/>
  <c r="Q32" i="86"/>
  <c r="K32" i="86"/>
  <c r="Q31" i="86"/>
  <c r="K31" i="86"/>
  <c r="Q30" i="86"/>
  <c r="K30" i="86"/>
  <c r="Q29" i="102" l="1"/>
  <c r="E2263" i="41" l="1"/>
  <c r="E2206" i="41"/>
  <c r="I23" i="101" l="1"/>
  <c r="I24" i="101"/>
  <c r="I22" i="101"/>
  <c r="E1156" i="41" l="1"/>
  <c r="E1782" i="41" l="1"/>
  <c r="E1839" i="41"/>
  <c r="E1842" i="41"/>
  <c r="E2266" i="41"/>
  <c r="I174" i="104" l="1"/>
  <c r="J174" i="104"/>
  <c r="K174" i="104"/>
  <c r="L174" i="104"/>
  <c r="M174" i="104"/>
  <c r="N174" i="104"/>
  <c r="H173" i="104" l="1"/>
  <c r="H172" i="104"/>
  <c r="H120" i="120" l="1"/>
  <c r="G183" i="104" l="1"/>
  <c r="I19" i="120" l="1"/>
  <c r="I18" i="120"/>
  <c r="H23" i="120"/>
  <c r="J158" i="120"/>
  <c r="G98" i="120"/>
  <c r="G97" i="120"/>
  <c r="H98" i="120"/>
  <c r="H97" i="120"/>
  <c r="G71" i="120" l="1"/>
  <c r="H71" i="120"/>
  <c r="G57" i="120"/>
  <c r="G55" i="120"/>
  <c r="G54" i="120"/>
  <c r="H57" i="120"/>
  <c r="H54" i="120"/>
  <c r="H55" i="120"/>
  <c r="E2325" i="41" l="1"/>
  <c r="E2320" i="41"/>
  <c r="E2248" i="41"/>
  <c r="E2219" i="41"/>
  <c r="E2214" i="41"/>
  <c r="E2142" i="41"/>
  <c r="E2113" i="41"/>
  <c r="E2108" i="41"/>
  <c r="E2036" i="41"/>
  <c r="E2007" i="41"/>
  <c r="E2002" i="41"/>
  <c r="E1930" i="41"/>
  <c r="E1901" i="41"/>
  <c r="E1896" i="41"/>
  <c r="E1824" i="41"/>
  <c r="E1795" i="41"/>
  <c r="E1790" i="41"/>
  <c r="E1718" i="41"/>
  <c r="E1689" i="41"/>
  <c r="E1684" i="41"/>
  <c r="E1612" i="41"/>
  <c r="E1583" i="41"/>
  <c r="E1578" i="41"/>
  <c r="E1506" i="41"/>
  <c r="E1477" i="41"/>
  <c r="E1472" i="41"/>
  <c r="E1400" i="41"/>
  <c r="E1371" i="41"/>
  <c r="E1366" i="41"/>
  <c r="E1265" i="41"/>
  <c r="E1260" i="41"/>
  <c r="E1159" i="41"/>
  <c r="E1154" i="41"/>
  <c r="G46" i="87" l="1"/>
  <c r="A47" i="87"/>
  <c r="A46" i="87"/>
  <c r="K28" i="87"/>
  <c r="Q28" i="87"/>
  <c r="Q27" i="87"/>
  <c r="K27" i="87"/>
  <c r="G26" i="87"/>
  <c r="R10" i="120" l="1"/>
  <c r="H9" i="106"/>
  <c r="Q13" i="102"/>
  <c r="K13" i="101"/>
  <c r="G9" i="95"/>
  <c r="G12" i="94"/>
  <c r="I12" i="93"/>
  <c r="G13" i="140"/>
  <c r="S10" i="92"/>
  <c r="E12" i="139"/>
  <c r="N9" i="91"/>
  <c r="Q9" i="89"/>
  <c r="Q12" i="90"/>
  <c r="G9" i="141"/>
  <c r="Q12" i="88"/>
  <c r="Q12" i="87"/>
  <c r="Q13" i="86"/>
  <c r="R8" i="78"/>
  <c r="S8" i="77"/>
  <c r="S8" i="76"/>
  <c r="O8" i="74"/>
  <c r="H8" i="136"/>
  <c r="P8" i="73"/>
  <c r="P8" i="72"/>
  <c r="G8" i="71"/>
  <c r="G8" i="70"/>
  <c r="M8" i="69"/>
  <c r="R121" i="78" l="1"/>
  <c r="R65" i="78"/>
  <c r="D184" i="104"/>
  <c r="D183" i="104"/>
  <c r="C183" i="104"/>
  <c r="F180" i="104"/>
  <c r="D180" i="104"/>
  <c r="C180" i="104"/>
  <c r="D179" i="104"/>
  <c r="C179" i="104"/>
  <c r="F176" i="104"/>
  <c r="E176" i="104"/>
  <c r="D176" i="104"/>
  <c r="C176" i="104"/>
  <c r="D173" i="104"/>
  <c r="O173" i="104" s="1"/>
  <c r="F172" i="104"/>
  <c r="E172" i="104"/>
  <c r="D172" i="104"/>
  <c r="C172" i="104"/>
  <c r="H180" i="104"/>
  <c r="G180" i="104"/>
  <c r="H176" i="104"/>
  <c r="G176" i="104"/>
  <c r="G172" i="104"/>
  <c r="O172" i="104" l="1"/>
  <c r="O180" i="104"/>
  <c r="K18" i="109"/>
  <c r="K17" i="109"/>
  <c r="K16" i="109"/>
  <c r="K19" i="109"/>
  <c r="K158" i="120" l="1"/>
  <c r="K157" i="120"/>
  <c r="I157" i="120"/>
  <c r="K156" i="120"/>
  <c r="J156" i="120"/>
  <c r="I156" i="120"/>
  <c r="P123" i="120"/>
  <c r="O123" i="120"/>
  <c r="N123" i="120"/>
  <c r="M123" i="120"/>
  <c r="L123" i="120"/>
  <c r="K123" i="120"/>
  <c r="J123" i="120"/>
  <c r="I123" i="120"/>
  <c r="K120" i="120"/>
  <c r="J120" i="120"/>
  <c r="I120" i="120"/>
  <c r="G89" i="42" l="1"/>
  <c r="H89" i="42"/>
  <c r="I89" i="42"/>
  <c r="J89" i="42"/>
  <c r="K89" i="42"/>
  <c r="F89" i="42"/>
  <c r="G89" i="27"/>
  <c r="H89" i="27"/>
  <c r="I89" i="27"/>
  <c r="J89" i="27"/>
  <c r="K89" i="27"/>
  <c r="L89" i="27"/>
  <c r="M89" i="27"/>
  <c r="N89" i="27"/>
  <c r="O89" i="27"/>
  <c r="P89" i="27"/>
  <c r="Q89" i="27"/>
  <c r="F89" i="27"/>
  <c r="E134" i="145" l="1"/>
  <c r="E106" i="145"/>
  <c r="E107" i="145"/>
  <c r="E108" i="145"/>
  <c r="E109" i="145"/>
  <c r="E110" i="145"/>
  <c r="E111" i="145"/>
  <c r="E112" i="145"/>
  <c r="E113" i="145"/>
  <c r="E114" i="145"/>
  <c r="E115" i="145"/>
  <c r="E116" i="145"/>
  <c r="E117" i="145"/>
  <c r="E118" i="145"/>
  <c r="E119" i="145"/>
  <c r="E120" i="145"/>
  <c r="E121" i="145"/>
  <c r="E122" i="145"/>
  <c r="E123" i="145"/>
  <c r="E124" i="145"/>
  <c r="E125" i="145"/>
  <c r="E126" i="145"/>
  <c r="E127" i="145"/>
  <c r="E128" i="145"/>
  <c r="E129" i="145"/>
  <c r="E130" i="145"/>
  <c r="E131" i="145"/>
  <c r="E132" i="145"/>
  <c r="E133" i="145"/>
  <c r="E105" i="145"/>
  <c r="E103" i="145"/>
  <c r="E102" i="145"/>
  <c r="E84" i="145"/>
  <c r="E85" i="145"/>
  <c r="E86" i="145"/>
  <c r="E87" i="145"/>
  <c r="E88" i="145"/>
  <c r="E89" i="145"/>
  <c r="E90" i="145"/>
  <c r="E91" i="145"/>
  <c r="E92" i="145"/>
  <c r="E93" i="145"/>
  <c r="E94" i="145"/>
  <c r="E95" i="145"/>
  <c r="E96" i="145"/>
  <c r="E97" i="145"/>
  <c r="E98" i="145"/>
  <c r="E99" i="145"/>
  <c r="E83" i="145"/>
  <c r="E79" i="145"/>
  <c r="G121" i="145"/>
  <c r="H121" i="145"/>
  <c r="I121" i="145"/>
  <c r="J121" i="145"/>
  <c r="K121" i="145"/>
  <c r="G122" i="145"/>
  <c r="H122" i="145"/>
  <c r="I122" i="145"/>
  <c r="J122" i="145"/>
  <c r="K122" i="145"/>
  <c r="G123" i="145"/>
  <c r="H123" i="145"/>
  <c r="I123" i="145"/>
  <c r="J123" i="145"/>
  <c r="K123" i="145"/>
  <c r="G124" i="145"/>
  <c r="H124" i="145"/>
  <c r="I124" i="145"/>
  <c r="J124" i="145"/>
  <c r="K124" i="145"/>
  <c r="G125" i="145"/>
  <c r="H125" i="145"/>
  <c r="I125" i="145"/>
  <c r="J125" i="145"/>
  <c r="K125" i="145"/>
  <c r="G126" i="145"/>
  <c r="H126" i="145"/>
  <c r="I126" i="145"/>
  <c r="J126" i="145"/>
  <c r="K126" i="145"/>
  <c r="G127" i="145"/>
  <c r="H127" i="145"/>
  <c r="I127" i="145"/>
  <c r="J127" i="145"/>
  <c r="K127" i="145"/>
  <c r="G128" i="145"/>
  <c r="H128" i="145"/>
  <c r="I128" i="145"/>
  <c r="J128" i="145"/>
  <c r="K128" i="145"/>
  <c r="G129" i="145"/>
  <c r="H129" i="145"/>
  <c r="I129" i="145"/>
  <c r="J129" i="145"/>
  <c r="K129" i="145"/>
  <c r="G130" i="145"/>
  <c r="H130" i="145"/>
  <c r="I130" i="145"/>
  <c r="J130" i="145"/>
  <c r="K130" i="145"/>
  <c r="G133" i="145"/>
  <c r="H133" i="145"/>
  <c r="I133" i="145"/>
  <c r="J133" i="145"/>
  <c r="K133" i="145"/>
  <c r="G134" i="145"/>
  <c r="H134" i="145"/>
  <c r="I134" i="145"/>
  <c r="J134" i="145"/>
  <c r="K134" i="145"/>
  <c r="F134" i="145"/>
  <c r="F133" i="145"/>
  <c r="F130" i="145"/>
  <c r="F129" i="145"/>
  <c r="F128" i="145"/>
  <c r="F127" i="145"/>
  <c r="F126" i="145"/>
  <c r="F125" i="145"/>
  <c r="F124" i="145"/>
  <c r="F123" i="145"/>
  <c r="F122" i="145"/>
  <c r="F121" i="145"/>
  <c r="G116" i="145"/>
  <c r="H116" i="145"/>
  <c r="I116" i="145"/>
  <c r="J116" i="145"/>
  <c r="K116" i="145"/>
  <c r="G117" i="145"/>
  <c r="H117" i="145"/>
  <c r="I117" i="145"/>
  <c r="J117" i="145"/>
  <c r="K117" i="145"/>
  <c r="G118" i="145"/>
  <c r="H118" i="145"/>
  <c r="I118" i="145"/>
  <c r="J118" i="145"/>
  <c r="K118" i="145"/>
  <c r="G119" i="145"/>
  <c r="H119" i="145"/>
  <c r="I119" i="145"/>
  <c r="J119" i="145"/>
  <c r="K119" i="145"/>
  <c r="G120" i="145"/>
  <c r="H120" i="145"/>
  <c r="I120" i="145"/>
  <c r="J120" i="145"/>
  <c r="K120" i="145"/>
  <c r="F120" i="145"/>
  <c r="F119" i="145"/>
  <c r="F118" i="145"/>
  <c r="F117" i="145"/>
  <c r="F116" i="145"/>
  <c r="G105" i="145"/>
  <c r="H105" i="145"/>
  <c r="I105" i="145"/>
  <c r="J105" i="145"/>
  <c r="K105" i="145"/>
  <c r="G106" i="145"/>
  <c r="H106" i="145"/>
  <c r="I106" i="145"/>
  <c r="J106" i="145"/>
  <c r="K106" i="145"/>
  <c r="G107" i="145"/>
  <c r="H107" i="145"/>
  <c r="I107" i="145"/>
  <c r="J107" i="145"/>
  <c r="K107" i="145"/>
  <c r="G108" i="145"/>
  <c r="H108" i="145"/>
  <c r="I108" i="145"/>
  <c r="J108" i="145"/>
  <c r="K108" i="145"/>
  <c r="G109" i="145"/>
  <c r="H109" i="145"/>
  <c r="I109" i="145"/>
  <c r="J109" i="145"/>
  <c r="K109" i="145"/>
  <c r="G110" i="145"/>
  <c r="H110" i="145"/>
  <c r="I110" i="145"/>
  <c r="J110" i="145"/>
  <c r="K110" i="145"/>
  <c r="G111" i="145"/>
  <c r="H111" i="145"/>
  <c r="I111" i="145"/>
  <c r="J111" i="145"/>
  <c r="K111" i="145"/>
  <c r="G112" i="145"/>
  <c r="H112" i="145"/>
  <c r="I112" i="145"/>
  <c r="J112" i="145"/>
  <c r="K112" i="145"/>
  <c r="G113" i="145"/>
  <c r="H113" i="145"/>
  <c r="I113" i="145"/>
  <c r="J113" i="145"/>
  <c r="K113" i="145"/>
  <c r="G114" i="145"/>
  <c r="H114" i="145"/>
  <c r="I114" i="145"/>
  <c r="J114" i="145"/>
  <c r="K114" i="145"/>
  <c r="G115" i="145"/>
  <c r="H115" i="145"/>
  <c r="I115" i="145"/>
  <c r="J115" i="145"/>
  <c r="K115" i="145"/>
  <c r="F115" i="145"/>
  <c r="F114" i="145"/>
  <c r="F113" i="145"/>
  <c r="F112" i="145"/>
  <c r="F111" i="145"/>
  <c r="F110" i="145"/>
  <c r="F109" i="145"/>
  <c r="F108" i="145"/>
  <c r="F107" i="145"/>
  <c r="F106" i="145"/>
  <c r="F105" i="145"/>
  <c r="G102" i="145"/>
  <c r="H102" i="145"/>
  <c r="I102" i="145"/>
  <c r="J102" i="145"/>
  <c r="K102" i="145"/>
  <c r="F102" i="145"/>
  <c r="G83" i="145"/>
  <c r="H83" i="145"/>
  <c r="I83" i="145"/>
  <c r="J83" i="145"/>
  <c r="K83" i="145"/>
  <c r="F83" i="145"/>
  <c r="G93" i="145"/>
  <c r="H93" i="145"/>
  <c r="I93" i="145"/>
  <c r="J93" i="145"/>
  <c r="K93" i="145"/>
  <c r="F93" i="145"/>
  <c r="G94" i="145"/>
  <c r="H94" i="145"/>
  <c r="I94" i="145"/>
  <c r="J94" i="145"/>
  <c r="K94" i="145"/>
  <c r="G95" i="145"/>
  <c r="H95" i="145"/>
  <c r="I95" i="145"/>
  <c r="J95" i="145"/>
  <c r="K95" i="145"/>
  <c r="G96" i="145"/>
  <c r="H96" i="145"/>
  <c r="I96" i="145"/>
  <c r="J96" i="145"/>
  <c r="K96" i="145"/>
  <c r="G97" i="145"/>
  <c r="H97" i="145"/>
  <c r="I97" i="145"/>
  <c r="J97" i="145"/>
  <c r="K97" i="145"/>
  <c r="G98" i="145"/>
  <c r="H98" i="145"/>
  <c r="I98" i="145"/>
  <c r="J98" i="145"/>
  <c r="K98" i="145"/>
  <c r="G99" i="145"/>
  <c r="H99" i="145"/>
  <c r="I99" i="145"/>
  <c r="J99" i="145"/>
  <c r="K99" i="145"/>
  <c r="F95" i="145"/>
  <c r="F96" i="145"/>
  <c r="F97" i="145"/>
  <c r="F98" i="145"/>
  <c r="F99" i="145"/>
  <c r="F94" i="145"/>
  <c r="G92" i="145"/>
  <c r="H92" i="145"/>
  <c r="I92" i="145"/>
  <c r="J92" i="145"/>
  <c r="K92" i="145"/>
  <c r="F92" i="145"/>
  <c r="G90" i="145"/>
  <c r="H90" i="145"/>
  <c r="I90" i="145"/>
  <c r="J90" i="145"/>
  <c r="K90" i="145"/>
  <c r="G91" i="145"/>
  <c r="H91" i="145"/>
  <c r="I91" i="145"/>
  <c r="J91" i="145"/>
  <c r="K91" i="145"/>
  <c r="F91" i="145"/>
  <c r="F90" i="145"/>
  <c r="G89" i="145"/>
  <c r="H89" i="145"/>
  <c r="I89" i="145"/>
  <c r="J89" i="145"/>
  <c r="K89" i="145"/>
  <c r="G88" i="145"/>
  <c r="H88" i="145"/>
  <c r="I88" i="145"/>
  <c r="J88" i="145"/>
  <c r="K88" i="145"/>
  <c r="F88" i="145"/>
  <c r="G87" i="145"/>
  <c r="H87" i="145"/>
  <c r="I87" i="145"/>
  <c r="J87" i="145"/>
  <c r="K87" i="145"/>
  <c r="F87" i="145"/>
  <c r="G86" i="145"/>
  <c r="H86" i="145"/>
  <c r="I86" i="145"/>
  <c r="J86" i="145"/>
  <c r="K86" i="145"/>
  <c r="F86" i="145"/>
  <c r="G85" i="145"/>
  <c r="H85" i="145"/>
  <c r="I85" i="145"/>
  <c r="J85" i="145"/>
  <c r="K85" i="145"/>
  <c r="F85" i="145"/>
  <c r="G84" i="145"/>
  <c r="H84" i="145"/>
  <c r="I84" i="145"/>
  <c r="J84" i="145"/>
  <c r="K84" i="145"/>
  <c r="F84" i="145"/>
  <c r="G79" i="145"/>
  <c r="H79" i="145"/>
  <c r="I79" i="145"/>
  <c r="J79" i="145"/>
  <c r="K79" i="145"/>
  <c r="F79" i="145"/>
  <c r="D136" i="74" l="1"/>
  <c r="K85" i="57"/>
  <c r="K2311" i="57"/>
  <c r="K2205" i="57"/>
  <c r="K2099" i="57"/>
  <c r="K1993" i="57"/>
  <c r="K1887" i="57"/>
  <c r="K1781" i="57"/>
  <c r="K1675" i="57"/>
  <c r="K1569" i="57"/>
  <c r="K1463" i="57"/>
  <c r="K1357" i="57"/>
  <c r="K1251" i="57"/>
  <c r="K1145" i="57"/>
  <c r="K1039" i="57"/>
  <c r="K933" i="57"/>
  <c r="K827" i="57"/>
  <c r="K721" i="57"/>
  <c r="K615" i="57"/>
  <c r="K509" i="57"/>
  <c r="K403" i="57"/>
  <c r="K297" i="57"/>
  <c r="K191" i="57"/>
  <c r="K2313" i="41"/>
  <c r="K2207" i="41"/>
  <c r="K2101" i="41"/>
  <c r="K1995" i="41"/>
  <c r="K1889" i="41"/>
  <c r="K1783" i="41"/>
  <c r="K1677" i="41"/>
  <c r="K1571" i="41"/>
  <c r="K1465" i="41"/>
  <c r="K1359" i="41"/>
  <c r="K1253" i="41"/>
  <c r="K1147" i="41"/>
  <c r="K1041" i="41"/>
  <c r="K935" i="41"/>
  <c r="K829" i="41"/>
  <c r="K723" i="41"/>
  <c r="K617" i="41"/>
  <c r="K511" i="41"/>
  <c r="K405" i="41"/>
  <c r="K299" i="41"/>
  <c r="K193" i="41"/>
  <c r="K87" i="41"/>
  <c r="L38" i="109" l="1"/>
  <c r="L37" i="109"/>
  <c r="K38" i="109"/>
  <c r="K37" i="109"/>
  <c r="H20" i="110"/>
  <c r="I27" i="109"/>
  <c r="I26" i="109"/>
  <c r="I25" i="109"/>
  <c r="I36" i="109" l="1"/>
  <c r="I35" i="109"/>
  <c r="I37" i="109"/>
  <c r="J36" i="109" l="1"/>
  <c r="J35" i="109"/>
  <c r="H19" i="110" l="1"/>
  <c r="G19" i="110"/>
  <c r="H28" i="109"/>
  <c r="H19" i="108" l="1"/>
  <c r="H17" i="108"/>
  <c r="G17" i="108"/>
  <c r="I92" i="57" l="1"/>
  <c r="I94" i="41"/>
  <c r="J18" i="116" l="1"/>
  <c r="S132" i="127" l="1"/>
  <c r="S133" i="127"/>
  <c r="S126" i="127"/>
  <c r="S127" i="127"/>
  <c r="S128" i="127"/>
  <c r="S129" i="127"/>
  <c r="S130" i="127"/>
  <c r="S131" i="127"/>
  <c r="S111" i="127"/>
  <c r="S112" i="127"/>
  <c r="S113" i="127"/>
  <c r="S114" i="127"/>
  <c r="S115" i="127"/>
  <c r="S116" i="127"/>
  <c r="S117" i="127"/>
  <c r="S118" i="127"/>
  <c r="S119" i="127"/>
  <c r="S120" i="127"/>
  <c r="S121" i="127"/>
  <c r="S122" i="127"/>
  <c r="S123" i="127"/>
  <c r="S124" i="127"/>
  <c r="S96" i="127"/>
  <c r="S97" i="127"/>
  <c r="S98" i="127"/>
  <c r="P18" i="73" l="1"/>
  <c r="P19" i="73"/>
  <c r="P20" i="73"/>
  <c r="P21" i="73"/>
  <c r="E78" i="7" l="1"/>
  <c r="E38" i="7"/>
  <c r="E65" i="7"/>
  <c r="F21" i="7"/>
  <c r="E68" i="7" l="1"/>
  <c r="E41" i="7"/>
  <c r="E69" i="7" l="1"/>
  <c r="I8" i="45" l="1"/>
  <c r="I8" i="2"/>
  <c r="J9" i="46"/>
  <c r="H8" i="3"/>
  <c r="I8" i="47"/>
  <c r="Q8" i="27"/>
  <c r="Q49" i="27"/>
  <c r="S50" i="44"/>
  <c r="S8" i="44"/>
  <c r="N2334" i="41"/>
  <c r="N2281" i="41"/>
  <c r="N2228" i="41"/>
  <c r="N2175" i="41"/>
  <c r="N2122" i="41"/>
  <c r="N2069" i="41"/>
  <c r="N2016" i="41"/>
  <c r="N1963" i="41"/>
  <c r="N1910" i="41"/>
  <c r="N1857" i="41"/>
  <c r="N1804" i="41"/>
  <c r="N1751" i="41"/>
  <c r="N1698" i="41"/>
  <c r="N1645" i="41"/>
  <c r="N1592" i="41"/>
  <c r="N1539" i="41"/>
  <c r="N1486" i="41"/>
  <c r="N1433" i="41"/>
  <c r="N1380" i="41"/>
  <c r="N1327" i="41"/>
  <c r="N1274" i="41"/>
  <c r="N1221" i="41"/>
  <c r="N1168" i="41"/>
  <c r="N1115" i="41"/>
  <c r="N1062" i="41"/>
  <c r="N1009" i="41"/>
  <c r="N956" i="41"/>
  <c r="N903" i="41"/>
  <c r="N850" i="41"/>
  <c r="N797" i="41"/>
  <c r="N744" i="41"/>
  <c r="N691" i="41"/>
  <c r="N638" i="41"/>
  <c r="N585" i="41"/>
  <c r="N532" i="41"/>
  <c r="N479" i="41"/>
  <c r="N426" i="41"/>
  <c r="N373" i="41"/>
  <c r="N320" i="41"/>
  <c r="N267" i="41"/>
  <c r="N214" i="41"/>
  <c r="N161" i="41"/>
  <c r="N108" i="41"/>
  <c r="N55" i="41"/>
  <c r="N8" i="41"/>
  <c r="Q8" i="55"/>
  <c r="N2332" i="57"/>
  <c r="N2279" i="57"/>
  <c r="N2226" i="57"/>
  <c r="N2173" i="57"/>
  <c r="N2120" i="57"/>
  <c r="N2067" i="57"/>
  <c r="N2014" i="57"/>
  <c r="N1961" i="57"/>
  <c r="N1908" i="57"/>
  <c r="N1855" i="57"/>
  <c r="N1802" i="57"/>
  <c r="N1749" i="57"/>
  <c r="N1696" i="57"/>
  <c r="N1643" i="57"/>
  <c r="N1590" i="57"/>
  <c r="N1537" i="57"/>
  <c r="N1484" i="57"/>
  <c r="N1431" i="57"/>
  <c r="N1378" i="57"/>
  <c r="N1325" i="57"/>
  <c r="N1272" i="57"/>
  <c r="N1219" i="57"/>
  <c r="N1166" i="57"/>
  <c r="N1113" i="57"/>
  <c r="N1060" i="57"/>
  <c r="N1007" i="57"/>
  <c r="N954" i="57"/>
  <c r="N901" i="57"/>
  <c r="N848" i="57"/>
  <c r="N795" i="57"/>
  <c r="N742" i="57"/>
  <c r="N689" i="57"/>
  <c r="N636" i="57"/>
  <c r="N583" i="57"/>
  <c r="N530" i="57"/>
  <c r="N477" i="57"/>
  <c r="N424" i="57"/>
  <c r="N371" i="57"/>
  <c r="N318" i="57"/>
  <c r="N265" i="57"/>
  <c r="N212" i="57"/>
  <c r="N159" i="57"/>
  <c r="N106" i="57"/>
  <c r="N53" i="57"/>
  <c r="N8" i="57"/>
  <c r="Q8" i="58"/>
  <c r="R195" i="58"/>
  <c r="Q87" i="58"/>
  <c r="R116" i="58"/>
  <c r="O8" i="129"/>
  <c r="O8" i="128"/>
  <c r="H53" i="7"/>
  <c r="H8" i="7"/>
  <c r="I53" i="130"/>
  <c r="I8" i="130"/>
  <c r="I8" i="8"/>
  <c r="I8" i="131"/>
  <c r="H8" i="9"/>
  <c r="H8" i="132"/>
  <c r="L7" i="10"/>
  <c r="L7" i="133"/>
  <c r="K8" i="11"/>
  <c r="K8" i="134"/>
  <c r="K8" i="12"/>
  <c r="L8" i="48"/>
  <c r="O8" i="37"/>
  <c r="L8" i="22"/>
  <c r="L8" i="50"/>
  <c r="E10" i="142"/>
  <c r="J8" i="51"/>
  <c r="J8" i="21"/>
  <c r="F8" i="34"/>
  <c r="G8" i="54"/>
  <c r="J6" i="49"/>
  <c r="F18" i="106" l="1"/>
  <c r="D34" i="49" l="1"/>
  <c r="J41" i="49"/>
  <c r="J39" i="49"/>
  <c r="I34" i="49" l="1"/>
  <c r="J34" i="49" l="1"/>
  <c r="J32" i="49"/>
  <c r="J30" i="49"/>
  <c r="J28" i="49"/>
  <c r="J26" i="49"/>
  <c r="J24" i="49"/>
  <c r="J22" i="49"/>
  <c r="J20" i="49"/>
  <c r="J18" i="49"/>
  <c r="J16" i="49"/>
  <c r="J14" i="49"/>
  <c r="F14" i="49"/>
  <c r="F16" i="49" s="1"/>
  <c r="F18" i="49" s="1"/>
  <c r="F20" i="49" s="1"/>
  <c r="F22" i="49" s="1"/>
  <c r="F24" i="49" s="1"/>
  <c r="F26" i="49" s="1"/>
  <c r="F28" i="49" s="1"/>
  <c r="F30" i="49" s="1"/>
  <c r="F32" i="49" s="1"/>
  <c r="F34" i="49" s="1"/>
  <c r="D32" i="49"/>
  <c r="D22" i="19" l="1"/>
  <c r="D21" i="19"/>
  <c r="D20" i="19"/>
  <c r="D19" i="19"/>
  <c r="D18" i="19"/>
  <c r="D17" i="19"/>
  <c r="D16" i="19"/>
  <c r="D15" i="19"/>
  <c r="D14" i="19"/>
  <c r="D13" i="19"/>
  <c r="D12" i="19"/>
  <c r="D11" i="19"/>
  <c r="D10" i="19"/>
  <c r="F92" i="12" l="1"/>
  <c r="H93" i="7"/>
  <c r="I148" i="57"/>
  <c r="D148" i="57"/>
  <c r="D76" i="3"/>
  <c r="F76" i="3" s="1"/>
  <c r="H76" i="3" s="1"/>
  <c r="E29" i="2" s="1"/>
  <c r="L2376" i="41"/>
  <c r="L2270" i="41"/>
  <c r="L2164" i="41"/>
  <c r="L2058" i="41"/>
  <c r="L1952" i="41"/>
  <c r="L1846" i="41"/>
  <c r="L1740" i="41"/>
  <c r="L1634" i="41"/>
  <c r="L1528" i="41"/>
  <c r="L1422" i="41"/>
  <c r="L1316" i="41"/>
  <c r="L1210" i="41"/>
  <c r="L1104" i="41"/>
  <c r="L998" i="41"/>
  <c r="L892" i="41"/>
  <c r="L786" i="41"/>
  <c r="L680" i="41"/>
  <c r="L574" i="41"/>
  <c r="L468" i="41"/>
  <c r="L362" i="41"/>
  <c r="L256" i="41"/>
  <c r="A155" i="41"/>
  <c r="I150" i="41"/>
  <c r="D150" i="41"/>
  <c r="G150" i="41" s="1"/>
  <c r="D256" i="41" s="1"/>
  <c r="G256" i="41" s="1"/>
  <c r="D362" i="41" s="1"/>
  <c r="G362" i="41" s="1"/>
  <c r="D468" i="41" s="1"/>
  <c r="G468" i="41" s="1"/>
  <c r="D574" i="41" s="1"/>
  <c r="G574" i="41" s="1"/>
  <c r="D680" i="41" s="1"/>
  <c r="G680" i="41" s="1"/>
  <c r="D786" i="41" s="1"/>
  <c r="G786" i="41" s="1"/>
  <c r="D892" i="41" s="1"/>
  <c r="G892" i="41" s="1"/>
  <c r="D998" i="41" s="1"/>
  <c r="G998" i="41" s="1"/>
  <c r="D1104" i="41" s="1"/>
  <c r="G1104" i="41" s="1"/>
  <c r="D1210" i="41" s="1"/>
  <c r="G1210" i="41" s="1"/>
  <c r="D1316" i="41" s="1"/>
  <c r="G1316" i="41" s="1"/>
  <c r="D1422" i="41" s="1"/>
  <c r="G1422" i="41" s="1"/>
  <c r="D1528" i="41" s="1"/>
  <c r="G1528" i="41" s="1"/>
  <c r="D1634" i="41" s="1"/>
  <c r="G1634" i="41" s="1"/>
  <c r="D1740" i="41" s="1"/>
  <c r="G1740" i="41" s="1"/>
  <c r="D1846" i="41" s="1"/>
  <c r="G1846" i="41" s="1"/>
  <c r="D1952" i="41" s="1"/>
  <c r="G1952" i="41" s="1"/>
  <c r="D2058" i="41" s="1"/>
  <c r="G2058" i="41" s="1"/>
  <c r="D2164" i="41" s="1"/>
  <c r="G2164" i="41" s="1"/>
  <c r="D2270" i="41" s="1"/>
  <c r="G2270" i="41" s="1"/>
  <c r="D2376" i="41" s="1"/>
  <c r="G2376" i="41" s="1"/>
  <c r="L150" i="41"/>
  <c r="A56" i="27"/>
  <c r="N150" i="41" l="1"/>
  <c r="I256" i="41" s="1"/>
  <c r="N256" i="41" s="1"/>
  <c r="I362" i="41" s="1"/>
  <c r="N362" i="41" s="1"/>
  <c r="I468" i="41" s="1"/>
  <c r="N468" i="41" s="1"/>
  <c r="I574" i="41" s="1"/>
  <c r="N574" i="41" s="1"/>
  <c r="I680" i="41" s="1"/>
  <c r="N680" i="41" s="1"/>
  <c r="I786" i="41" s="1"/>
  <c r="N786" i="41" s="1"/>
  <c r="I892" i="41" s="1"/>
  <c r="N892" i="41" s="1"/>
  <c r="I998" i="41" s="1"/>
  <c r="N998" i="41" s="1"/>
  <c r="I1104" i="41" s="1"/>
  <c r="N1104" i="41" s="1"/>
  <c r="I1210" i="41" s="1"/>
  <c r="N1210" i="41" s="1"/>
  <c r="I1316" i="41" s="1"/>
  <c r="N1316" i="41" s="1"/>
  <c r="I1422" i="41" s="1"/>
  <c r="N1422" i="41" s="1"/>
  <c r="I1528" i="41" s="1"/>
  <c r="N1528" i="41" s="1"/>
  <c r="I1634" i="41" s="1"/>
  <c r="N1634" i="41" s="1"/>
  <c r="I1740" i="41" s="1"/>
  <c r="N1740" i="41" s="1"/>
  <c r="I1846" i="41" s="1"/>
  <c r="N1846" i="41" s="1"/>
  <c r="I1952" i="41" s="1"/>
  <c r="N1952" i="41" s="1"/>
  <c r="I2058" i="41" s="1"/>
  <c r="N2058" i="41" s="1"/>
  <c r="I2164" i="41" s="1"/>
  <c r="N2164" i="41" s="1"/>
  <c r="I2270" i="41" s="1"/>
  <c r="N2270" i="41" s="1"/>
  <c r="I2376" i="41" s="1"/>
  <c r="N2376" i="41" s="1"/>
  <c r="R145" i="78" l="1"/>
  <c r="R140" i="78" l="1"/>
  <c r="R134" i="78"/>
  <c r="R129" i="78" l="1"/>
  <c r="R108" i="78"/>
  <c r="R102" i="78"/>
  <c r="R97" i="78"/>
  <c r="A117" i="78"/>
  <c r="A115" i="78"/>
  <c r="G104" i="58" l="1"/>
  <c r="G117" i="55"/>
  <c r="H135" i="55"/>
  <c r="I135" i="55" s="1"/>
  <c r="J135" i="55" s="1"/>
  <c r="K135" i="55" s="1"/>
  <c r="L135" i="55" s="1"/>
  <c r="M135" i="55" s="1"/>
  <c r="N135" i="55" s="1"/>
  <c r="O135" i="55" s="1"/>
  <c r="P135" i="55" s="1"/>
  <c r="Q135" i="55" s="1"/>
  <c r="R135" i="55" s="1"/>
  <c r="D183" i="55"/>
  <c r="L182" i="55"/>
  <c r="M182" i="55" s="1"/>
  <c r="N182" i="55" s="1"/>
  <c r="O182" i="55" s="1"/>
  <c r="P182" i="55" s="1"/>
  <c r="Q182" i="55" s="1"/>
  <c r="R182" i="55" s="1"/>
  <c r="H181" i="55"/>
  <c r="I181" i="55" s="1"/>
  <c r="J181" i="55" s="1"/>
  <c r="K181" i="55" s="1"/>
  <c r="L181" i="55" s="1"/>
  <c r="M181" i="55" s="1"/>
  <c r="N181" i="55" s="1"/>
  <c r="O181" i="55" s="1"/>
  <c r="P181" i="55" s="1"/>
  <c r="Q181" i="55" s="1"/>
  <c r="R181" i="55" s="1"/>
  <c r="H180" i="55"/>
  <c r="I180" i="55" s="1"/>
  <c r="J180" i="55" s="1"/>
  <c r="K180" i="55" s="1"/>
  <c r="L180" i="55" s="1"/>
  <c r="M180" i="55" s="1"/>
  <c r="N180" i="55" s="1"/>
  <c r="O180" i="55" s="1"/>
  <c r="P180" i="55" s="1"/>
  <c r="Q180" i="55" s="1"/>
  <c r="R180" i="55" s="1"/>
  <c r="H179" i="55"/>
  <c r="I179" i="55" s="1"/>
  <c r="J179" i="55" s="1"/>
  <c r="K179" i="55" s="1"/>
  <c r="L179" i="55" s="1"/>
  <c r="M179" i="55" s="1"/>
  <c r="N179" i="55" s="1"/>
  <c r="O179" i="55" s="1"/>
  <c r="P179" i="55" s="1"/>
  <c r="Q179" i="55" s="1"/>
  <c r="R179" i="55" s="1"/>
  <c r="H178" i="55"/>
  <c r="I178" i="55" s="1"/>
  <c r="J178" i="55" s="1"/>
  <c r="K178" i="55" s="1"/>
  <c r="L178" i="55" s="1"/>
  <c r="M178" i="55" s="1"/>
  <c r="N178" i="55" s="1"/>
  <c r="O178" i="55" s="1"/>
  <c r="P178" i="55" s="1"/>
  <c r="Q178" i="55" s="1"/>
  <c r="R178" i="55" s="1"/>
  <c r="H177" i="55"/>
  <c r="I177" i="55" s="1"/>
  <c r="J177" i="55" s="1"/>
  <c r="K177" i="55" s="1"/>
  <c r="L177" i="55" s="1"/>
  <c r="M177" i="55" s="1"/>
  <c r="N177" i="55" s="1"/>
  <c r="O177" i="55" s="1"/>
  <c r="P177" i="55" s="1"/>
  <c r="Q177" i="55" s="1"/>
  <c r="R177" i="55" s="1"/>
  <c r="H176" i="55"/>
  <c r="I176" i="55" s="1"/>
  <c r="J176" i="55" s="1"/>
  <c r="K176" i="55" s="1"/>
  <c r="L176" i="55" s="1"/>
  <c r="M176" i="55" s="1"/>
  <c r="N176" i="55" s="1"/>
  <c r="O176" i="55" s="1"/>
  <c r="P176" i="55" s="1"/>
  <c r="Q176" i="55" s="1"/>
  <c r="R176" i="55" s="1"/>
  <c r="H175" i="55"/>
  <c r="I175" i="55" s="1"/>
  <c r="J175" i="55" s="1"/>
  <c r="K175" i="55" s="1"/>
  <c r="L175" i="55" s="1"/>
  <c r="M175" i="55" s="1"/>
  <c r="N175" i="55" s="1"/>
  <c r="O175" i="55" s="1"/>
  <c r="P175" i="55" s="1"/>
  <c r="Q175" i="55" s="1"/>
  <c r="R175" i="55" s="1"/>
  <c r="H174" i="55"/>
  <c r="I174" i="55" s="1"/>
  <c r="J174" i="55" s="1"/>
  <c r="K174" i="55" s="1"/>
  <c r="L174" i="55" s="1"/>
  <c r="M174" i="55" s="1"/>
  <c r="N174" i="55" s="1"/>
  <c r="O174" i="55" s="1"/>
  <c r="P174" i="55" s="1"/>
  <c r="Q174" i="55" s="1"/>
  <c r="R174" i="55" s="1"/>
  <c r="H172" i="55"/>
  <c r="I172" i="55" s="1"/>
  <c r="J172" i="55" s="1"/>
  <c r="K172" i="55" s="1"/>
  <c r="L172" i="55" s="1"/>
  <c r="M172" i="55" s="1"/>
  <c r="N172" i="55" s="1"/>
  <c r="O172" i="55" s="1"/>
  <c r="P172" i="55" s="1"/>
  <c r="Q172" i="55" s="1"/>
  <c r="R172" i="55" s="1"/>
  <c r="I162" i="55"/>
  <c r="J162" i="55" s="1"/>
  <c r="K162" i="55" s="1"/>
  <c r="L162" i="55" s="1"/>
  <c r="M162" i="55" s="1"/>
  <c r="N162" i="55" s="1"/>
  <c r="O162" i="55" s="1"/>
  <c r="P162" i="55" s="1"/>
  <c r="Q162" i="55" s="1"/>
  <c r="R162" i="55" s="1"/>
  <c r="I161" i="55"/>
  <c r="J161" i="55" s="1"/>
  <c r="K161" i="55" s="1"/>
  <c r="L161" i="55" s="1"/>
  <c r="M161" i="55" s="1"/>
  <c r="N161" i="55" s="1"/>
  <c r="O161" i="55" s="1"/>
  <c r="P161" i="55" s="1"/>
  <c r="Q161" i="55" s="1"/>
  <c r="R161" i="55" s="1"/>
  <c r="N159" i="55"/>
  <c r="O159" i="55" s="1"/>
  <c r="P159" i="55" s="1"/>
  <c r="Q159" i="55" s="1"/>
  <c r="R159" i="55" s="1"/>
  <c r="I151" i="55"/>
  <c r="J151" i="55" s="1"/>
  <c r="K151" i="55" s="1"/>
  <c r="L151" i="55" s="1"/>
  <c r="M151" i="55" s="1"/>
  <c r="N151" i="55" s="1"/>
  <c r="O151" i="55" s="1"/>
  <c r="P151" i="55" s="1"/>
  <c r="Q151" i="55" s="1"/>
  <c r="R151" i="55" s="1"/>
  <c r="P134" i="55"/>
  <c r="Q134" i="55" s="1"/>
  <c r="R134" i="55" s="1"/>
  <c r="O126" i="55"/>
  <c r="P126" i="55" s="1"/>
  <c r="Q126" i="55" s="1"/>
  <c r="R126" i="55" s="1"/>
  <c r="R123" i="55"/>
  <c r="I122" i="55"/>
  <c r="J122" i="55" s="1"/>
  <c r="K122" i="55" s="1"/>
  <c r="L122" i="55" s="1"/>
  <c r="M122" i="55" s="1"/>
  <c r="N122" i="55" s="1"/>
  <c r="O122" i="55" s="1"/>
  <c r="P122" i="55" s="1"/>
  <c r="Q122" i="55" s="1"/>
  <c r="R122" i="55" s="1"/>
  <c r="I116" i="55"/>
  <c r="J116" i="55" s="1"/>
  <c r="K116" i="55" s="1"/>
  <c r="L116" i="55" s="1"/>
  <c r="M116" i="55" s="1"/>
  <c r="N116" i="55" s="1"/>
  <c r="O116" i="55" s="1"/>
  <c r="P116" i="55" s="1"/>
  <c r="Q116" i="55" s="1"/>
  <c r="R116" i="55" s="1"/>
  <c r="R110" i="55"/>
  <c r="Q110" i="55"/>
  <c r="P110" i="55"/>
  <c r="O110" i="55"/>
  <c r="N110" i="55"/>
  <c r="M110" i="55"/>
  <c r="L110" i="55"/>
  <c r="K110" i="55"/>
  <c r="J110" i="55"/>
  <c r="I110" i="55"/>
  <c r="H110" i="55"/>
  <c r="G110" i="55"/>
  <c r="D110" i="55"/>
  <c r="A107" i="55"/>
  <c r="A108" i="55" s="1"/>
  <c r="A109" i="55" s="1"/>
  <c r="A110" i="55" s="1"/>
  <c r="Q88" i="55"/>
  <c r="P87" i="55"/>
  <c r="Q87" i="55" s="1"/>
  <c r="O86" i="55"/>
  <c r="P86" i="55" s="1"/>
  <c r="Q86" i="55" s="1"/>
  <c r="N85" i="55"/>
  <c r="O85" i="55" s="1"/>
  <c r="P85" i="55" s="1"/>
  <c r="Q85" i="55" s="1"/>
  <c r="M84" i="55"/>
  <c r="N84" i="55" s="1"/>
  <c r="O84" i="55" s="1"/>
  <c r="P84" i="55" s="1"/>
  <c r="Q84" i="55" s="1"/>
  <c r="M83" i="55"/>
  <c r="N83" i="55" s="1"/>
  <c r="O83" i="55" s="1"/>
  <c r="P83" i="55" s="1"/>
  <c r="Q83" i="55" s="1"/>
  <c r="K82" i="55"/>
  <c r="L82" i="55" s="1"/>
  <c r="M82" i="55" s="1"/>
  <c r="N82" i="55" s="1"/>
  <c r="O82" i="55" s="1"/>
  <c r="P82" i="55" s="1"/>
  <c r="Q82" i="55" s="1"/>
  <c r="J81" i="55"/>
  <c r="K81" i="55" s="1"/>
  <c r="L81" i="55" s="1"/>
  <c r="M81" i="55" s="1"/>
  <c r="N81" i="55" s="1"/>
  <c r="O81" i="55" s="1"/>
  <c r="P81" i="55" s="1"/>
  <c r="Q81" i="55" s="1"/>
  <c r="I79" i="55"/>
  <c r="J79" i="55" s="1"/>
  <c r="K79" i="55" s="1"/>
  <c r="L79" i="55" s="1"/>
  <c r="M79" i="55" s="1"/>
  <c r="N79" i="55" s="1"/>
  <c r="O79" i="55" s="1"/>
  <c r="P79" i="55" s="1"/>
  <c r="Q79" i="55" s="1"/>
  <c r="I78" i="55"/>
  <c r="J78" i="55" s="1"/>
  <c r="K78" i="55" s="1"/>
  <c r="L78" i="55" s="1"/>
  <c r="M78" i="55" s="1"/>
  <c r="N78" i="55" s="1"/>
  <c r="O78" i="55" s="1"/>
  <c r="P78" i="55" s="1"/>
  <c r="Q78" i="55" s="1"/>
  <c r="G168" i="55" s="1"/>
  <c r="I77" i="55"/>
  <c r="J77" i="55" s="1"/>
  <c r="K77" i="55" s="1"/>
  <c r="L77" i="55" s="1"/>
  <c r="M77" i="55" s="1"/>
  <c r="N77" i="55" s="1"/>
  <c r="O77" i="55" s="1"/>
  <c r="P77" i="55" s="1"/>
  <c r="Q77" i="55" s="1"/>
  <c r="G167" i="55" s="1"/>
  <c r="I76" i="55"/>
  <c r="J76" i="55" s="1"/>
  <c r="K76" i="55" s="1"/>
  <c r="L76" i="55" s="1"/>
  <c r="M76" i="55" s="1"/>
  <c r="N76" i="55" s="1"/>
  <c r="O76" i="55" s="1"/>
  <c r="P76" i="55" s="1"/>
  <c r="Q76" i="55" s="1"/>
  <c r="G166" i="55" s="1"/>
  <c r="H166" i="55" s="1"/>
  <c r="I166" i="55" s="1"/>
  <c r="J166" i="55" s="1"/>
  <c r="K166" i="55" s="1"/>
  <c r="L166" i="55" s="1"/>
  <c r="M166" i="55" s="1"/>
  <c r="N166" i="55" s="1"/>
  <c r="O166" i="55" s="1"/>
  <c r="P166" i="55" s="1"/>
  <c r="Q166" i="55" s="1"/>
  <c r="R166" i="55" s="1"/>
  <c r="I75" i="55"/>
  <c r="J75" i="55" s="1"/>
  <c r="K75" i="55" s="1"/>
  <c r="L75" i="55" s="1"/>
  <c r="M75" i="55" s="1"/>
  <c r="N75" i="55" s="1"/>
  <c r="O75" i="55" s="1"/>
  <c r="P75" i="55" s="1"/>
  <c r="Q75" i="55" s="1"/>
  <c r="G165" i="55" s="1"/>
  <c r="I74" i="55"/>
  <c r="J74" i="55" s="1"/>
  <c r="K74" i="55" s="1"/>
  <c r="L74" i="55" s="1"/>
  <c r="M74" i="55" s="1"/>
  <c r="N74" i="55" s="1"/>
  <c r="O74" i="55" s="1"/>
  <c r="P74" i="55" s="1"/>
  <c r="Q74" i="55" s="1"/>
  <c r="G164" i="55" s="1"/>
  <c r="I73" i="55"/>
  <c r="J73" i="55" s="1"/>
  <c r="K73" i="55" s="1"/>
  <c r="L73" i="55" s="1"/>
  <c r="M73" i="55" s="1"/>
  <c r="N73" i="55" s="1"/>
  <c r="O73" i="55" s="1"/>
  <c r="P73" i="55" s="1"/>
  <c r="Q73" i="55" s="1"/>
  <c r="G163" i="55" s="1"/>
  <c r="I72" i="55"/>
  <c r="J72" i="55" s="1"/>
  <c r="K72" i="55" s="1"/>
  <c r="L72" i="55" s="1"/>
  <c r="M72" i="55" s="1"/>
  <c r="N72" i="55" s="1"/>
  <c r="O72" i="55" s="1"/>
  <c r="P72" i="55" s="1"/>
  <c r="Q72" i="55" s="1"/>
  <c r="I71" i="55"/>
  <c r="J71" i="55" s="1"/>
  <c r="K71" i="55" s="1"/>
  <c r="L71" i="55" s="1"/>
  <c r="M71" i="55" s="1"/>
  <c r="N71" i="55" s="1"/>
  <c r="O71" i="55" s="1"/>
  <c r="P71" i="55" s="1"/>
  <c r="Q71" i="55" s="1"/>
  <c r="G161" i="55" s="1"/>
  <c r="I70" i="55"/>
  <c r="J70" i="55" s="1"/>
  <c r="K70" i="55" s="1"/>
  <c r="L70" i="55" s="1"/>
  <c r="M70" i="55" s="1"/>
  <c r="N70" i="55" s="1"/>
  <c r="O70" i="55" s="1"/>
  <c r="P70" i="55" s="1"/>
  <c r="Q70" i="55" s="1"/>
  <c r="G160" i="55" s="1"/>
  <c r="I69" i="55"/>
  <c r="J69" i="55" s="1"/>
  <c r="K69" i="55" s="1"/>
  <c r="L69" i="55" s="1"/>
  <c r="M69" i="55" s="1"/>
  <c r="N69" i="55" s="1"/>
  <c r="O69" i="55" s="1"/>
  <c r="P69" i="55" s="1"/>
  <c r="Q69" i="55" s="1"/>
  <c r="I68" i="55"/>
  <c r="J68" i="55" s="1"/>
  <c r="K68" i="55" s="1"/>
  <c r="L68" i="55" s="1"/>
  <c r="M68" i="55" s="1"/>
  <c r="N68" i="55" s="1"/>
  <c r="O68" i="55" s="1"/>
  <c r="P68" i="55" s="1"/>
  <c r="Q68" i="55" s="1"/>
  <c r="I67" i="55"/>
  <c r="J67" i="55" s="1"/>
  <c r="K67" i="55" s="1"/>
  <c r="L67" i="55" s="1"/>
  <c r="M67" i="55" s="1"/>
  <c r="N67" i="55" s="1"/>
  <c r="O67" i="55" s="1"/>
  <c r="P67" i="55" s="1"/>
  <c r="Q67" i="55" s="1"/>
  <c r="I66" i="55"/>
  <c r="J66" i="55" s="1"/>
  <c r="K66" i="55" s="1"/>
  <c r="L66" i="55" s="1"/>
  <c r="M66" i="55" s="1"/>
  <c r="N66" i="55" s="1"/>
  <c r="O66" i="55" s="1"/>
  <c r="P66" i="55" s="1"/>
  <c r="Q66" i="55" s="1"/>
  <c r="G156" i="55" s="1"/>
  <c r="I65" i="55"/>
  <c r="J65" i="55" s="1"/>
  <c r="K65" i="55" s="1"/>
  <c r="L65" i="55" s="1"/>
  <c r="M65" i="55" s="1"/>
  <c r="N65" i="55" s="1"/>
  <c r="O65" i="55" s="1"/>
  <c r="P65" i="55" s="1"/>
  <c r="Q65" i="55" s="1"/>
  <c r="G155" i="55" s="1"/>
  <c r="I64" i="55"/>
  <c r="J64" i="55" s="1"/>
  <c r="K64" i="55" s="1"/>
  <c r="L64" i="55" s="1"/>
  <c r="M64" i="55" s="1"/>
  <c r="N64" i="55" s="1"/>
  <c r="O64" i="55" s="1"/>
  <c r="P64" i="55" s="1"/>
  <c r="Q64" i="55" s="1"/>
  <c r="I63" i="55"/>
  <c r="J63" i="55" s="1"/>
  <c r="K63" i="55" s="1"/>
  <c r="L63" i="55" s="1"/>
  <c r="M63" i="55" s="1"/>
  <c r="N63" i="55" s="1"/>
  <c r="O63" i="55" s="1"/>
  <c r="P63" i="55" s="1"/>
  <c r="Q63" i="55" s="1"/>
  <c r="G153" i="55" s="1"/>
  <c r="I62" i="55"/>
  <c r="J62" i="55" s="1"/>
  <c r="K62" i="55" s="1"/>
  <c r="L62" i="55" s="1"/>
  <c r="M62" i="55" s="1"/>
  <c r="N62" i="55" s="1"/>
  <c r="O62" i="55" s="1"/>
  <c r="P62" i="55" s="1"/>
  <c r="Q62" i="55" s="1"/>
  <c r="G152" i="55" s="1"/>
  <c r="I61" i="55"/>
  <c r="J61" i="55" s="1"/>
  <c r="K61" i="55" s="1"/>
  <c r="L61" i="55" s="1"/>
  <c r="M61" i="55" s="1"/>
  <c r="N61" i="55" s="1"/>
  <c r="O61" i="55" s="1"/>
  <c r="P61" i="55" s="1"/>
  <c r="Q61" i="55" s="1"/>
  <c r="G151" i="55" s="1"/>
  <c r="I60" i="55"/>
  <c r="J60" i="55" s="1"/>
  <c r="K60" i="55" s="1"/>
  <c r="L60" i="55" s="1"/>
  <c r="M60" i="55" s="1"/>
  <c r="N60" i="55" s="1"/>
  <c r="O60" i="55" s="1"/>
  <c r="P60" i="55" s="1"/>
  <c r="Q60" i="55" s="1"/>
  <c r="I59" i="55"/>
  <c r="J59" i="55" s="1"/>
  <c r="K59" i="55" s="1"/>
  <c r="L59" i="55" s="1"/>
  <c r="M59" i="55" s="1"/>
  <c r="N59" i="55" s="1"/>
  <c r="O59" i="55" s="1"/>
  <c r="P59" i="55" s="1"/>
  <c r="Q59" i="55" s="1"/>
  <c r="G149" i="55" s="1"/>
  <c r="I58" i="55"/>
  <c r="J58" i="55" s="1"/>
  <c r="K58" i="55" s="1"/>
  <c r="L58" i="55" s="1"/>
  <c r="M58" i="55" s="1"/>
  <c r="N58" i="55" s="1"/>
  <c r="O58" i="55" s="1"/>
  <c r="P58" i="55" s="1"/>
  <c r="Q58" i="55" s="1"/>
  <c r="G148" i="55" s="1"/>
  <c r="I57" i="55"/>
  <c r="J57" i="55" s="1"/>
  <c r="K57" i="55" s="1"/>
  <c r="L57" i="55" s="1"/>
  <c r="M57" i="55" s="1"/>
  <c r="N57" i="55" s="1"/>
  <c r="O57" i="55" s="1"/>
  <c r="P57" i="55" s="1"/>
  <c r="Q57" i="55" s="1"/>
  <c r="I56" i="55"/>
  <c r="J56" i="55" s="1"/>
  <c r="K56" i="55" s="1"/>
  <c r="L56" i="55" s="1"/>
  <c r="M56" i="55" s="1"/>
  <c r="N56" i="55" s="1"/>
  <c r="O56" i="55" s="1"/>
  <c r="P56" i="55" s="1"/>
  <c r="Q56" i="55" s="1"/>
  <c r="I55" i="55"/>
  <c r="J55" i="55" s="1"/>
  <c r="K55" i="55" s="1"/>
  <c r="L55" i="55" s="1"/>
  <c r="M55" i="55" s="1"/>
  <c r="N55" i="55" s="1"/>
  <c r="O55" i="55" s="1"/>
  <c r="P55" i="55" s="1"/>
  <c r="Q55" i="55" s="1"/>
  <c r="G145" i="55" s="1"/>
  <c r="I54" i="55"/>
  <c r="J54" i="55" s="1"/>
  <c r="K54" i="55" s="1"/>
  <c r="L54" i="55" s="1"/>
  <c r="M54" i="55" s="1"/>
  <c r="N54" i="55" s="1"/>
  <c r="O54" i="55" s="1"/>
  <c r="P54" i="55" s="1"/>
  <c r="Q54" i="55" s="1"/>
  <c r="G144" i="55" s="1"/>
  <c r="I53" i="55"/>
  <c r="J53" i="55" s="1"/>
  <c r="K53" i="55" s="1"/>
  <c r="L53" i="55" s="1"/>
  <c r="M53" i="55" s="1"/>
  <c r="N53" i="55" s="1"/>
  <c r="O53" i="55" s="1"/>
  <c r="P53" i="55" s="1"/>
  <c r="Q53" i="55" s="1"/>
  <c r="G143" i="55" s="1"/>
  <c r="I52" i="55"/>
  <c r="J52" i="55" s="1"/>
  <c r="K52" i="55" s="1"/>
  <c r="L52" i="55" s="1"/>
  <c r="M52" i="55" s="1"/>
  <c r="N52" i="55" s="1"/>
  <c r="O52" i="55" s="1"/>
  <c r="P52" i="55" s="1"/>
  <c r="Q52" i="55" s="1"/>
  <c r="I51" i="55"/>
  <c r="J51" i="55" s="1"/>
  <c r="K51" i="55" s="1"/>
  <c r="L51" i="55" s="1"/>
  <c r="M51" i="55" s="1"/>
  <c r="N51" i="55" s="1"/>
  <c r="O51" i="55" s="1"/>
  <c r="P51" i="55" s="1"/>
  <c r="Q51" i="55" s="1"/>
  <c r="G141" i="55" s="1"/>
  <c r="I50" i="55"/>
  <c r="J50" i="55" s="1"/>
  <c r="K50" i="55" s="1"/>
  <c r="L50" i="55" s="1"/>
  <c r="M50" i="55" s="1"/>
  <c r="N50" i="55" s="1"/>
  <c r="O50" i="55" s="1"/>
  <c r="P50" i="55" s="1"/>
  <c r="Q50" i="55" s="1"/>
  <c r="G140" i="55" s="1"/>
  <c r="I49" i="55"/>
  <c r="J49" i="55" s="1"/>
  <c r="K49" i="55" s="1"/>
  <c r="L49" i="55" s="1"/>
  <c r="M49" i="55" s="1"/>
  <c r="N49" i="55" s="1"/>
  <c r="O49" i="55" s="1"/>
  <c r="P49" i="55" s="1"/>
  <c r="Q49" i="55" s="1"/>
  <c r="G139" i="55" s="1"/>
  <c r="I48" i="55"/>
  <c r="J48" i="55" s="1"/>
  <c r="K48" i="55" s="1"/>
  <c r="L48" i="55" s="1"/>
  <c r="M48" i="55" s="1"/>
  <c r="N48" i="55" s="1"/>
  <c r="O48" i="55" s="1"/>
  <c r="P48" i="55" s="1"/>
  <c r="Q48" i="55" s="1"/>
  <c r="I47" i="55"/>
  <c r="J47" i="55" s="1"/>
  <c r="K47" i="55" s="1"/>
  <c r="L47" i="55" s="1"/>
  <c r="M47" i="55" s="1"/>
  <c r="N47" i="55" s="1"/>
  <c r="O47" i="55" s="1"/>
  <c r="P47" i="55" s="1"/>
  <c r="Q47" i="55" s="1"/>
  <c r="G137" i="55" s="1"/>
  <c r="I46" i="55"/>
  <c r="J46" i="55" s="1"/>
  <c r="K46" i="55" s="1"/>
  <c r="L46" i="55" s="1"/>
  <c r="M46" i="55" s="1"/>
  <c r="N46" i="55" s="1"/>
  <c r="O46" i="55" s="1"/>
  <c r="P46" i="55" s="1"/>
  <c r="Q46" i="55" s="1"/>
  <c r="G136" i="55" s="1"/>
  <c r="I45" i="55"/>
  <c r="J45" i="55" s="1"/>
  <c r="K45" i="55" s="1"/>
  <c r="L45" i="55" s="1"/>
  <c r="M45" i="55" s="1"/>
  <c r="N45" i="55" s="1"/>
  <c r="O45" i="55" s="1"/>
  <c r="P45" i="55" s="1"/>
  <c r="Q45" i="55" s="1"/>
  <c r="I44" i="55"/>
  <c r="J44" i="55" s="1"/>
  <c r="K44" i="55" s="1"/>
  <c r="L44" i="55" s="1"/>
  <c r="M44" i="55" s="1"/>
  <c r="N44" i="55" s="1"/>
  <c r="O44" i="55" s="1"/>
  <c r="P44" i="55" s="1"/>
  <c r="Q44" i="55" s="1"/>
  <c r="I43" i="55"/>
  <c r="J43" i="55" s="1"/>
  <c r="K43" i="55" s="1"/>
  <c r="L43" i="55" s="1"/>
  <c r="M43" i="55" s="1"/>
  <c r="N43" i="55" s="1"/>
  <c r="O43" i="55" s="1"/>
  <c r="P43" i="55" s="1"/>
  <c r="Q43" i="55" s="1"/>
  <c r="G133" i="55" s="1"/>
  <c r="I42" i="55"/>
  <c r="J42" i="55" s="1"/>
  <c r="K42" i="55" s="1"/>
  <c r="L42" i="55" s="1"/>
  <c r="M42" i="55" s="1"/>
  <c r="N42" i="55" s="1"/>
  <c r="O42" i="55" s="1"/>
  <c r="P42" i="55" s="1"/>
  <c r="Q42" i="55" s="1"/>
  <c r="G132" i="55" s="1"/>
  <c r="I41" i="55"/>
  <c r="J41" i="55" s="1"/>
  <c r="K41" i="55" s="1"/>
  <c r="L41" i="55" s="1"/>
  <c r="M41" i="55" s="1"/>
  <c r="N41" i="55" s="1"/>
  <c r="O41" i="55" s="1"/>
  <c r="P41" i="55" s="1"/>
  <c r="Q41" i="55" s="1"/>
  <c r="I40" i="55"/>
  <c r="J40" i="55" s="1"/>
  <c r="K40" i="55" s="1"/>
  <c r="L40" i="55" s="1"/>
  <c r="M40" i="55" s="1"/>
  <c r="N40" i="55" s="1"/>
  <c r="O40" i="55" s="1"/>
  <c r="P40" i="55" s="1"/>
  <c r="Q40" i="55" s="1"/>
  <c r="P39" i="55"/>
  <c r="Q39" i="55" s="1"/>
  <c r="G129" i="55" s="1"/>
  <c r="I39" i="55"/>
  <c r="J39" i="55" s="1"/>
  <c r="K39" i="55" s="1"/>
  <c r="L39" i="55" s="1"/>
  <c r="M39" i="55" s="1"/>
  <c r="N39" i="55" s="1"/>
  <c r="I38" i="55"/>
  <c r="J38" i="55" s="1"/>
  <c r="K38" i="55" s="1"/>
  <c r="L38" i="55" s="1"/>
  <c r="M38" i="55" s="1"/>
  <c r="N38" i="55" s="1"/>
  <c r="O38" i="55" s="1"/>
  <c r="P38" i="55" s="1"/>
  <c r="Q38" i="55" s="1"/>
  <c r="G128" i="55" s="1"/>
  <c r="I37" i="55"/>
  <c r="J37" i="55" s="1"/>
  <c r="K37" i="55" s="1"/>
  <c r="L37" i="55" s="1"/>
  <c r="M37" i="55" s="1"/>
  <c r="N37" i="55" s="1"/>
  <c r="O37" i="55" s="1"/>
  <c r="P37" i="55" s="1"/>
  <c r="Q37" i="55" s="1"/>
  <c r="I36" i="55"/>
  <c r="J36" i="55" s="1"/>
  <c r="K36" i="55" s="1"/>
  <c r="L36" i="55" s="1"/>
  <c r="M36" i="55" s="1"/>
  <c r="N36" i="55" s="1"/>
  <c r="O36" i="55" s="1"/>
  <c r="P36" i="55" s="1"/>
  <c r="Q36" i="55" s="1"/>
  <c r="G126" i="55" s="1"/>
  <c r="I35" i="55"/>
  <c r="J35" i="55" s="1"/>
  <c r="K35" i="55" s="1"/>
  <c r="L35" i="55" s="1"/>
  <c r="M35" i="55" s="1"/>
  <c r="N35" i="55" s="1"/>
  <c r="O35" i="55" s="1"/>
  <c r="P35" i="55" s="1"/>
  <c r="Q35" i="55" s="1"/>
  <c r="G125" i="55" s="1"/>
  <c r="I34" i="55"/>
  <c r="J34" i="55" s="1"/>
  <c r="K34" i="55" s="1"/>
  <c r="L34" i="55" s="1"/>
  <c r="M34" i="55" s="1"/>
  <c r="N34" i="55" s="1"/>
  <c r="O34" i="55" s="1"/>
  <c r="P34" i="55" s="1"/>
  <c r="Q34" i="55" s="1"/>
  <c r="I33" i="55"/>
  <c r="J33" i="55" s="1"/>
  <c r="K33" i="55" s="1"/>
  <c r="L33" i="55" s="1"/>
  <c r="M33" i="55" s="1"/>
  <c r="N33" i="55" s="1"/>
  <c r="O33" i="55" s="1"/>
  <c r="P33" i="55" s="1"/>
  <c r="Q33" i="55" s="1"/>
  <c r="I32" i="55"/>
  <c r="J32" i="55" s="1"/>
  <c r="K32" i="55" s="1"/>
  <c r="L32" i="55" s="1"/>
  <c r="M32" i="55" s="1"/>
  <c r="N32" i="55" s="1"/>
  <c r="O32" i="55" s="1"/>
  <c r="P32" i="55" s="1"/>
  <c r="Q32" i="55" s="1"/>
  <c r="G122" i="55" s="1"/>
  <c r="I31" i="55"/>
  <c r="J31" i="55" s="1"/>
  <c r="K31" i="55" s="1"/>
  <c r="L31" i="55" s="1"/>
  <c r="M31" i="55" s="1"/>
  <c r="N31" i="55" s="1"/>
  <c r="O31" i="55" s="1"/>
  <c r="P31" i="55" s="1"/>
  <c r="Q31" i="55" s="1"/>
  <c r="I30" i="55"/>
  <c r="J30" i="55" s="1"/>
  <c r="K30" i="55" s="1"/>
  <c r="L30" i="55" s="1"/>
  <c r="M30" i="55" s="1"/>
  <c r="N30" i="55" s="1"/>
  <c r="O30" i="55" s="1"/>
  <c r="P30" i="55" s="1"/>
  <c r="Q30" i="55" s="1"/>
  <c r="G120" i="55" s="1"/>
  <c r="I29" i="55"/>
  <c r="J29" i="55" s="1"/>
  <c r="K29" i="55" s="1"/>
  <c r="L29" i="55" s="1"/>
  <c r="M29" i="55" s="1"/>
  <c r="N29" i="55" s="1"/>
  <c r="O29" i="55" s="1"/>
  <c r="P29" i="55" s="1"/>
  <c r="Q29" i="55" s="1"/>
  <c r="G119" i="55" s="1"/>
  <c r="I28" i="55"/>
  <c r="J28" i="55" s="1"/>
  <c r="K28" i="55" s="1"/>
  <c r="L28" i="55" s="1"/>
  <c r="M28" i="55" s="1"/>
  <c r="N28" i="55" s="1"/>
  <c r="O28" i="55" s="1"/>
  <c r="P28" i="55" s="1"/>
  <c r="Q28" i="55" s="1"/>
  <c r="G118" i="55" s="1"/>
  <c r="I27" i="55"/>
  <c r="J27" i="55" s="1"/>
  <c r="K27" i="55" s="1"/>
  <c r="L27" i="55" s="1"/>
  <c r="M27" i="55" s="1"/>
  <c r="N27" i="55" s="1"/>
  <c r="I26" i="55"/>
  <c r="J26" i="55" s="1"/>
  <c r="K26" i="55" s="1"/>
  <c r="L26" i="55" s="1"/>
  <c r="M26" i="55" s="1"/>
  <c r="N26" i="55" s="1"/>
  <c r="O26" i="55" s="1"/>
  <c r="P26" i="55" s="1"/>
  <c r="Q26" i="55" s="1"/>
  <c r="G116" i="55" s="1"/>
  <c r="I25" i="55"/>
  <c r="J25" i="55" s="1"/>
  <c r="K25" i="55" s="1"/>
  <c r="L25" i="55" s="1"/>
  <c r="M25" i="55" s="1"/>
  <c r="N25" i="55" s="1"/>
  <c r="O25" i="55" s="1"/>
  <c r="P25" i="55" s="1"/>
  <c r="Q25" i="55" s="1"/>
  <c r="G115" i="55" s="1"/>
  <c r="I24" i="55"/>
  <c r="J24" i="55" s="1"/>
  <c r="K24" i="55" s="1"/>
  <c r="L24" i="55" s="1"/>
  <c r="M24" i="55" s="1"/>
  <c r="N24" i="55" s="1"/>
  <c r="O24" i="55" s="1"/>
  <c r="P24" i="55" s="1"/>
  <c r="Q24" i="55" s="1"/>
  <c r="G114" i="55" s="1"/>
  <c r="I23" i="55"/>
  <c r="J23" i="55" s="1"/>
  <c r="K23" i="55" s="1"/>
  <c r="L23" i="55" s="1"/>
  <c r="M23" i="55" s="1"/>
  <c r="N23" i="55" s="1"/>
  <c r="O23" i="55" s="1"/>
  <c r="P23" i="55" s="1"/>
  <c r="Q23" i="55" s="1"/>
  <c r="G113" i="55" s="1"/>
  <c r="H113" i="55" s="1"/>
  <c r="I113" i="55" s="1"/>
  <c r="J113" i="55" s="1"/>
  <c r="K113" i="55" s="1"/>
  <c r="L113" i="55" s="1"/>
  <c r="M113" i="55" s="1"/>
  <c r="N113" i="55" s="1"/>
  <c r="O113" i="55" s="1"/>
  <c r="P113" i="55" s="1"/>
  <c r="Q113" i="55" s="1"/>
  <c r="R113" i="55" s="1"/>
  <c r="H20" i="55"/>
  <c r="G20" i="55"/>
  <c r="D20" i="55"/>
  <c r="I19" i="55"/>
  <c r="J19" i="55" s="1"/>
  <c r="K19" i="55" s="1"/>
  <c r="L19" i="55" s="1"/>
  <c r="M19" i="55" s="1"/>
  <c r="N19" i="55" s="1"/>
  <c r="O19" i="55" s="1"/>
  <c r="P19" i="55" s="1"/>
  <c r="Q19" i="55" s="1"/>
  <c r="I18" i="55"/>
  <c r="J18" i="55" s="1"/>
  <c r="K18" i="55" s="1"/>
  <c r="L18" i="55" s="1"/>
  <c r="M18" i="55" s="1"/>
  <c r="N18" i="55" s="1"/>
  <c r="O18" i="55" s="1"/>
  <c r="P18" i="55" s="1"/>
  <c r="Q18" i="55" s="1"/>
  <c r="I17" i="55"/>
  <c r="A17" i="55"/>
  <c r="A18" i="55" s="1"/>
  <c r="A19" i="55" s="1"/>
  <c r="A20" i="55" s="1"/>
  <c r="H173" i="55" l="1"/>
  <c r="I173" i="55" s="1"/>
  <c r="J173" i="55" s="1"/>
  <c r="K173" i="55" s="1"/>
  <c r="L173" i="55" s="1"/>
  <c r="M173" i="55" s="1"/>
  <c r="N173" i="55" s="1"/>
  <c r="O173" i="55" s="1"/>
  <c r="P173" i="55" s="1"/>
  <c r="Q173" i="55" s="1"/>
  <c r="R173" i="55" s="1"/>
  <c r="O183" i="55"/>
  <c r="P183" i="55" s="1"/>
  <c r="Q183" i="55" s="1"/>
  <c r="R183" i="55" s="1"/>
  <c r="H126" i="55"/>
  <c r="I126" i="55" s="1"/>
  <c r="J126" i="55" s="1"/>
  <c r="K126" i="55" s="1"/>
  <c r="L126" i="55" s="1"/>
  <c r="M126" i="55" s="1"/>
  <c r="H119" i="55"/>
  <c r="I119" i="55" s="1"/>
  <c r="J119" i="55" s="1"/>
  <c r="K119" i="55" s="1"/>
  <c r="L119" i="55" s="1"/>
  <c r="M119" i="55" s="1"/>
  <c r="N119" i="55" s="1"/>
  <c r="O119" i="55" s="1"/>
  <c r="P119" i="55" s="1"/>
  <c r="Q119" i="55" s="1"/>
  <c r="R119" i="55" s="1"/>
  <c r="H167" i="55"/>
  <c r="I167" i="55" s="1"/>
  <c r="J167" i="55" s="1"/>
  <c r="K167" i="55" s="1"/>
  <c r="L167" i="55" s="1"/>
  <c r="M167" i="55" s="1"/>
  <c r="N167" i="55" s="1"/>
  <c r="O167" i="55" s="1"/>
  <c r="P167" i="55" s="1"/>
  <c r="Q167" i="55" s="1"/>
  <c r="R167" i="55" s="1"/>
  <c r="H120" i="55"/>
  <c r="I120" i="55" s="1"/>
  <c r="J120" i="55" s="1"/>
  <c r="K120" i="55" s="1"/>
  <c r="L120" i="55" s="1"/>
  <c r="M120" i="55" s="1"/>
  <c r="N120" i="55" s="1"/>
  <c r="O120" i="55" s="1"/>
  <c r="P120" i="55" s="1"/>
  <c r="Q120" i="55" s="1"/>
  <c r="R120" i="55" s="1"/>
  <c r="H143" i="55"/>
  <c r="I143" i="55" s="1"/>
  <c r="J143" i="55" s="1"/>
  <c r="K143" i="55" s="1"/>
  <c r="L143" i="55" s="1"/>
  <c r="M143" i="55" s="1"/>
  <c r="N143" i="55" s="1"/>
  <c r="O143" i="55" s="1"/>
  <c r="P143" i="55" s="1"/>
  <c r="Q143" i="55" s="1"/>
  <c r="R143" i="55" s="1"/>
  <c r="H155" i="55"/>
  <c r="I155" i="55" s="1"/>
  <c r="J155" i="55" s="1"/>
  <c r="K155" i="55" s="1"/>
  <c r="L155" i="55" s="1"/>
  <c r="M155" i="55" s="1"/>
  <c r="N155" i="55" s="1"/>
  <c r="O155" i="55" s="1"/>
  <c r="P155" i="55" s="1"/>
  <c r="Q155" i="55" s="1"/>
  <c r="R155" i="55" s="1"/>
  <c r="G124" i="55"/>
  <c r="H124" i="55" s="1"/>
  <c r="I124" i="55" s="1"/>
  <c r="J124" i="55" s="1"/>
  <c r="K124" i="55" s="1"/>
  <c r="L124" i="55" s="1"/>
  <c r="M124" i="55" s="1"/>
  <c r="N124" i="55" s="1"/>
  <c r="O124" i="55" s="1"/>
  <c r="P124" i="55" s="1"/>
  <c r="Q124" i="55" s="1"/>
  <c r="R124" i="55" s="1"/>
  <c r="G159" i="55"/>
  <c r="H159" i="55" s="1"/>
  <c r="I159" i="55" s="1"/>
  <c r="J159" i="55" s="1"/>
  <c r="K159" i="55" s="1"/>
  <c r="L159" i="55" s="1"/>
  <c r="G162" i="55"/>
  <c r="H117" i="55"/>
  <c r="I117" i="55" s="1"/>
  <c r="J117" i="55" s="1"/>
  <c r="K117" i="55" s="1"/>
  <c r="L117" i="55" s="1"/>
  <c r="M117" i="55" s="1"/>
  <c r="N117" i="55" s="1"/>
  <c r="O117" i="55" s="1"/>
  <c r="P117" i="55" s="1"/>
  <c r="Q117" i="55" s="1"/>
  <c r="R117" i="55" s="1"/>
  <c r="H156" i="55"/>
  <c r="I156" i="55" s="1"/>
  <c r="J156" i="55" s="1"/>
  <c r="K156" i="55" s="1"/>
  <c r="L156" i="55" s="1"/>
  <c r="M156" i="55" s="1"/>
  <c r="N156" i="55" s="1"/>
  <c r="O156" i="55" s="1"/>
  <c r="P156" i="55" s="1"/>
  <c r="Q156" i="55" s="1"/>
  <c r="R156" i="55" s="1"/>
  <c r="H160" i="55"/>
  <c r="I160" i="55" s="1"/>
  <c r="J160" i="55" s="1"/>
  <c r="K160" i="55" s="1"/>
  <c r="L160" i="55" s="1"/>
  <c r="M160" i="55" s="1"/>
  <c r="N160" i="55" s="1"/>
  <c r="O160" i="55" s="1"/>
  <c r="P160" i="55" s="1"/>
  <c r="Q160" i="55" s="1"/>
  <c r="R160" i="55" s="1"/>
  <c r="H164" i="55"/>
  <c r="I164" i="55" s="1"/>
  <c r="J164" i="55" s="1"/>
  <c r="K164" i="55" s="1"/>
  <c r="L164" i="55" s="1"/>
  <c r="M164" i="55" s="1"/>
  <c r="N164" i="55" s="1"/>
  <c r="O164" i="55" s="1"/>
  <c r="P164" i="55" s="1"/>
  <c r="Q164" i="55" s="1"/>
  <c r="R164" i="55" s="1"/>
  <c r="G123" i="55"/>
  <c r="H123" i="55" s="1"/>
  <c r="I123" i="55" s="1"/>
  <c r="J123" i="55" s="1"/>
  <c r="K123" i="55" s="1"/>
  <c r="L123" i="55" s="1"/>
  <c r="M123" i="55" s="1"/>
  <c r="N123" i="55" s="1"/>
  <c r="O123" i="55" s="1"/>
  <c r="P123" i="55" s="1"/>
  <c r="G147" i="55"/>
  <c r="H147" i="55" s="1"/>
  <c r="I147" i="55" s="1"/>
  <c r="J147" i="55" s="1"/>
  <c r="K147" i="55" s="1"/>
  <c r="L147" i="55" s="1"/>
  <c r="M147" i="55" s="1"/>
  <c r="N147" i="55" s="1"/>
  <c r="O147" i="55" s="1"/>
  <c r="P147" i="55" s="1"/>
  <c r="Q147" i="55" s="1"/>
  <c r="R147" i="55" s="1"/>
  <c r="G131" i="55"/>
  <c r="H131" i="55" s="1"/>
  <c r="I131" i="55" s="1"/>
  <c r="J131" i="55" s="1"/>
  <c r="K131" i="55" s="1"/>
  <c r="L131" i="55" s="1"/>
  <c r="M131" i="55" s="1"/>
  <c r="N131" i="55" s="1"/>
  <c r="O131" i="55" s="1"/>
  <c r="P131" i="55" s="1"/>
  <c r="Q131" i="55" s="1"/>
  <c r="R131" i="55" s="1"/>
  <c r="G127" i="55"/>
  <c r="H127" i="55" s="1"/>
  <c r="I127" i="55" s="1"/>
  <c r="J127" i="55" s="1"/>
  <c r="K127" i="55" s="1"/>
  <c r="L127" i="55" s="1"/>
  <c r="M127" i="55" s="1"/>
  <c r="N127" i="55" s="1"/>
  <c r="O127" i="55" s="1"/>
  <c r="P127" i="55" s="1"/>
  <c r="Q127" i="55" s="1"/>
  <c r="R127" i="55" s="1"/>
  <c r="G158" i="55"/>
  <c r="H158" i="55" s="1"/>
  <c r="I158" i="55" s="1"/>
  <c r="J158" i="55" s="1"/>
  <c r="K158" i="55" s="1"/>
  <c r="L158" i="55" s="1"/>
  <c r="M158" i="55" s="1"/>
  <c r="N158" i="55" s="1"/>
  <c r="O158" i="55" s="1"/>
  <c r="P158" i="55" s="1"/>
  <c r="Q158" i="55" s="1"/>
  <c r="R158" i="55" s="1"/>
  <c r="G154" i="55"/>
  <c r="H154" i="55" s="1"/>
  <c r="I154" i="55" s="1"/>
  <c r="J154" i="55" s="1"/>
  <c r="K154" i="55" s="1"/>
  <c r="L154" i="55" s="1"/>
  <c r="M154" i="55" s="1"/>
  <c r="N154" i="55" s="1"/>
  <c r="O154" i="55" s="1"/>
  <c r="P154" i="55" s="1"/>
  <c r="Q154" i="55" s="1"/>
  <c r="R154" i="55" s="1"/>
  <c r="H139" i="55"/>
  <c r="I139" i="55" s="1"/>
  <c r="J139" i="55" s="1"/>
  <c r="K139" i="55" s="1"/>
  <c r="L139" i="55" s="1"/>
  <c r="M139" i="55" s="1"/>
  <c r="N139" i="55" s="1"/>
  <c r="O139" i="55" s="1"/>
  <c r="P139" i="55" s="1"/>
  <c r="Q139" i="55" s="1"/>
  <c r="R139" i="55" s="1"/>
  <c r="H114" i="55"/>
  <c r="I114" i="55" s="1"/>
  <c r="J114" i="55" s="1"/>
  <c r="K114" i="55" s="1"/>
  <c r="L114" i="55" s="1"/>
  <c r="M114" i="55" s="1"/>
  <c r="N114" i="55" s="1"/>
  <c r="O114" i="55" s="1"/>
  <c r="P114" i="55" s="1"/>
  <c r="Q114" i="55" s="1"/>
  <c r="R114" i="55" s="1"/>
  <c r="H125" i="55"/>
  <c r="I125" i="55" s="1"/>
  <c r="J125" i="55" s="1"/>
  <c r="K125" i="55" s="1"/>
  <c r="L125" i="55" s="1"/>
  <c r="M125" i="55" s="1"/>
  <c r="N125" i="55" s="1"/>
  <c r="O125" i="55" s="1"/>
  <c r="P125" i="55" s="1"/>
  <c r="Q125" i="55" s="1"/>
  <c r="R125" i="55" s="1"/>
  <c r="H129" i="55"/>
  <c r="I129" i="55" s="1"/>
  <c r="J129" i="55" s="1"/>
  <c r="K129" i="55" s="1"/>
  <c r="L129" i="55" s="1"/>
  <c r="M129" i="55" s="1"/>
  <c r="N129" i="55" s="1"/>
  <c r="O129" i="55" s="1"/>
  <c r="P129" i="55" s="1"/>
  <c r="Q129" i="55" s="1"/>
  <c r="R129" i="55" s="1"/>
  <c r="H133" i="55"/>
  <c r="I133" i="55" s="1"/>
  <c r="J133" i="55" s="1"/>
  <c r="K133" i="55" s="1"/>
  <c r="L133" i="55" s="1"/>
  <c r="M133" i="55" s="1"/>
  <c r="N133" i="55" s="1"/>
  <c r="O133" i="55" s="1"/>
  <c r="P133" i="55" s="1"/>
  <c r="Q133" i="55" s="1"/>
  <c r="R133" i="55" s="1"/>
  <c r="H153" i="55"/>
  <c r="I153" i="55" s="1"/>
  <c r="J153" i="55" s="1"/>
  <c r="K153" i="55" s="1"/>
  <c r="L153" i="55" s="1"/>
  <c r="M153" i="55" s="1"/>
  <c r="N153" i="55" s="1"/>
  <c r="O153" i="55" s="1"/>
  <c r="P153" i="55" s="1"/>
  <c r="Q153" i="55" s="1"/>
  <c r="R153" i="55" s="1"/>
  <c r="H165" i="55"/>
  <c r="I165" i="55" s="1"/>
  <c r="J165" i="55" s="1"/>
  <c r="K165" i="55" s="1"/>
  <c r="L165" i="55" s="1"/>
  <c r="M165" i="55" s="1"/>
  <c r="N165" i="55" s="1"/>
  <c r="O165" i="55" s="1"/>
  <c r="P165" i="55" s="1"/>
  <c r="Q165" i="55" s="1"/>
  <c r="R165" i="55" s="1"/>
  <c r="G121" i="55"/>
  <c r="H121" i="55" s="1"/>
  <c r="I121" i="55" s="1"/>
  <c r="J121" i="55" s="1"/>
  <c r="K121" i="55" s="1"/>
  <c r="L121" i="55" s="1"/>
  <c r="M121" i="55" s="1"/>
  <c r="N121" i="55" s="1"/>
  <c r="O121" i="55" s="1"/>
  <c r="P121" i="55" s="1"/>
  <c r="Q121" i="55" s="1"/>
  <c r="R121" i="55" s="1"/>
  <c r="G150" i="55"/>
  <c r="H150" i="55" s="1"/>
  <c r="I150" i="55" s="1"/>
  <c r="J150" i="55" s="1"/>
  <c r="K150" i="55" s="1"/>
  <c r="L150" i="55" s="1"/>
  <c r="M150" i="55" s="1"/>
  <c r="N150" i="55" s="1"/>
  <c r="O150" i="55" s="1"/>
  <c r="P150" i="55" s="1"/>
  <c r="Q150" i="55" s="1"/>
  <c r="R150" i="55" s="1"/>
  <c r="G146" i="55"/>
  <c r="H146" i="55" s="1"/>
  <c r="I146" i="55" s="1"/>
  <c r="J146" i="55" s="1"/>
  <c r="K146" i="55" s="1"/>
  <c r="L146" i="55" s="1"/>
  <c r="M146" i="55" s="1"/>
  <c r="N146" i="55" s="1"/>
  <c r="O146" i="55" s="1"/>
  <c r="P146" i="55" s="1"/>
  <c r="Q146" i="55" s="1"/>
  <c r="R146" i="55" s="1"/>
  <c r="G142" i="55"/>
  <c r="H142" i="55" s="1"/>
  <c r="I142" i="55" s="1"/>
  <c r="J142" i="55" s="1"/>
  <c r="K142" i="55" s="1"/>
  <c r="L142" i="55" s="1"/>
  <c r="M142" i="55" s="1"/>
  <c r="N142" i="55" s="1"/>
  <c r="O142" i="55" s="1"/>
  <c r="P142" i="55" s="1"/>
  <c r="Q142" i="55" s="1"/>
  <c r="G138" i="55"/>
  <c r="H138" i="55" s="1"/>
  <c r="I138" i="55" s="1"/>
  <c r="J138" i="55" s="1"/>
  <c r="K138" i="55" s="1"/>
  <c r="L138" i="55" s="1"/>
  <c r="M138" i="55" s="1"/>
  <c r="N138" i="55" s="1"/>
  <c r="O138" i="55" s="1"/>
  <c r="P138" i="55" s="1"/>
  <c r="Q138" i="55" s="1"/>
  <c r="R138" i="55" s="1"/>
  <c r="G134" i="55"/>
  <c r="H134" i="55" s="1"/>
  <c r="I134" i="55" s="1"/>
  <c r="J134" i="55" s="1"/>
  <c r="K134" i="55" s="1"/>
  <c r="L134" i="55" s="1"/>
  <c r="M134" i="55" s="1"/>
  <c r="N134" i="55" s="1"/>
  <c r="G130" i="55"/>
  <c r="H130" i="55" s="1"/>
  <c r="I130" i="55" s="1"/>
  <c r="J130" i="55" s="1"/>
  <c r="K130" i="55" s="1"/>
  <c r="L130" i="55" s="1"/>
  <c r="M130" i="55" s="1"/>
  <c r="N130" i="55" s="1"/>
  <c r="O130" i="55" s="1"/>
  <c r="P130" i="55" s="1"/>
  <c r="Q130" i="55" s="1"/>
  <c r="R130" i="55" s="1"/>
  <c r="G157" i="55"/>
  <c r="H157" i="55" s="1"/>
  <c r="I157" i="55" s="1"/>
  <c r="J157" i="55" s="1"/>
  <c r="K157" i="55" s="1"/>
  <c r="L157" i="55" s="1"/>
  <c r="M157" i="55" s="1"/>
  <c r="N157" i="55" s="1"/>
  <c r="O157" i="55" s="1"/>
  <c r="P157" i="55" s="1"/>
  <c r="Q157" i="55" s="1"/>
  <c r="R157" i="55" s="1"/>
  <c r="G169" i="55"/>
  <c r="H169" i="55" s="1"/>
  <c r="I169" i="55" s="1"/>
  <c r="J169" i="55" s="1"/>
  <c r="K169" i="55" s="1"/>
  <c r="L169" i="55" s="1"/>
  <c r="M169" i="55" s="1"/>
  <c r="N169" i="55" s="1"/>
  <c r="O169" i="55" s="1"/>
  <c r="P169" i="55" s="1"/>
  <c r="Q169" i="55" s="1"/>
  <c r="R169" i="55" s="1"/>
  <c r="H137" i="55"/>
  <c r="I137" i="55" s="1"/>
  <c r="J137" i="55" s="1"/>
  <c r="K137" i="55" s="1"/>
  <c r="L137" i="55" s="1"/>
  <c r="M137" i="55" s="1"/>
  <c r="N137" i="55" s="1"/>
  <c r="O137" i="55" s="1"/>
  <c r="P137" i="55" s="1"/>
  <c r="Q137" i="55" s="1"/>
  <c r="R137" i="55" s="1"/>
  <c r="H141" i="55"/>
  <c r="I141" i="55" s="1"/>
  <c r="J141" i="55" s="1"/>
  <c r="K141" i="55" s="1"/>
  <c r="L141" i="55" s="1"/>
  <c r="M141" i="55" s="1"/>
  <c r="N141" i="55" s="1"/>
  <c r="O141" i="55" s="1"/>
  <c r="P141" i="55" s="1"/>
  <c r="Q141" i="55" s="1"/>
  <c r="R141" i="55" s="1"/>
  <c r="H145" i="55"/>
  <c r="I145" i="55" s="1"/>
  <c r="J145" i="55" s="1"/>
  <c r="K145" i="55" s="1"/>
  <c r="L145" i="55" s="1"/>
  <c r="M145" i="55" s="1"/>
  <c r="N145" i="55" s="1"/>
  <c r="O145" i="55" s="1"/>
  <c r="P145" i="55" s="1"/>
  <c r="Q145" i="55" s="1"/>
  <c r="R145" i="55" s="1"/>
  <c r="H149" i="55"/>
  <c r="I149" i="55" s="1"/>
  <c r="J149" i="55" s="1"/>
  <c r="K149" i="55" s="1"/>
  <c r="L149" i="55" s="1"/>
  <c r="M149" i="55" s="1"/>
  <c r="N149" i="55" s="1"/>
  <c r="O149" i="55" s="1"/>
  <c r="P149" i="55" s="1"/>
  <c r="Q149" i="55" s="1"/>
  <c r="R149" i="55" s="1"/>
  <c r="H168" i="55"/>
  <c r="I168" i="55" s="1"/>
  <c r="J168" i="55" s="1"/>
  <c r="K168" i="55" s="1"/>
  <c r="L168" i="55" s="1"/>
  <c r="M168" i="55" s="1"/>
  <c r="N168" i="55" s="1"/>
  <c r="O168" i="55" s="1"/>
  <c r="P168" i="55" s="1"/>
  <c r="Q168" i="55" s="1"/>
  <c r="R168" i="55" s="1"/>
  <c r="H163" i="55"/>
  <c r="I163" i="55" s="1"/>
  <c r="J163" i="55" s="1"/>
  <c r="K163" i="55" s="1"/>
  <c r="L163" i="55" s="1"/>
  <c r="M163" i="55" s="1"/>
  <c r="N163" i="55" s="1"/>
  <c r="O163" i="55" s="1"/>
  <c r="P163" i="55" s="1"/>
  <c r="Q163" i="55" s="1"/>
  <c r="R163" i="55" s="1"/>
  <c r="H152" i="55"/>
  <c r="I152" i="55" s="1"/>
  <c r="J152" i="55" s="1"/>
  <c r="K152" i="55" s="1"/>
  <c r="L152" i="55" s="1"/>
  <c r="M152" i="55" s="1"/>
  <c r="N152" i="55" s="1"/>
  <c r="O152" i="55" s="1"/>
  <c r="P152" i="55" s="1"/>
  <c r="Q152" i="55" s="1"/>
  <c r="R152" i="55" s="1"/>
  <c r="H128" i="55"/>
  <c r="I128" i="55" s="1"/>
  <c r="J128" i="55" s="1"/>
  <c r="K128" i="55" s="1"/>
  <c r="L128" i="55" s="1"/>
  <c r="M128" i="55" s="1"/>
  <c r="N128" i="55" s="1"/>
  <c r="O128" i="55" s="1"/>
  <c r="P128" i="55" s="1"/>
  <c r="Q128" i="55" s="1"/>
  <c r="R128" i="55" s="1"/>
  <c r="H132" i="55"/>
  <c r="I132" i="55" s="1"/>
  <c r="J132" i="55" s="1"/>
  <c r="K132" i="55" s="1"/>
  <c r="L132" i="55" s="1"/>
  <c r="M132" i="55" s="1"/>
  <c r="N132" i="55" s="1"/>
  <c r="O132" i="55" s="1"/>
  <c r="P132" i="55" s="1"/>
  <c r="Q132" i="55" s="1"/>
  <c r="R132" i="55" s="1"/>
  <c r="H136" i="55"/>
  <c r="I136" i="55" s="1"/>
  <c r="J136" i="55" s="1"/>
  <c r="K136" i="55" s="1"/>
  <c r="L136" i="55" s="1"/>
  <c r="M136" i="55" s="1"/>
  <c r="N136" i="55" s="1"/>
  <c r="O136" i="55" s="1"/>
  <c r="P136" i="55" s="1"/>
  <c r="Q136" i="55" s="1"/>
  <c r="R136" i="55" s="1"/>
  <c r="H140" i="55"/>
  <c r="I140" i="55" s="1"/>
  <c r="J140" i="55" s="1"/>
  <c r="K140" i="55" s="1"/>
  <c r="L140" i="55" s="1"/>
  <c r="M140" i="55" s="1"/>
  <c r="N140" i="55" s="1"/>
  <c r="O140" i="55" s="1"/>
  <c r="P140" i="55" s="1"/>
  <c r="Q140" i="55" s="1"/>
  <c r="R140" i="55" s="1"/>
  <c r="H144" i="55"/>
  <c r="I144" i="55" s="1"/>
  <c r="J144" i="55" s="1"/>
  <c r="K144" i="55" s="1"/>
  <c r="L144" i="55" s="1"/>
  <c r="M144" i="55" s="1"/>
  <c r="N144" i="55" s="1"/>
  <c r="O144" i="55" s="1"/>
  <c r="P144" i="55" s="1"/>
  <c r="Q144" i="55" s="1"/>
  <c r="R144" i="55" s="1"/>
  <c r="H148" i="55"/>
  <c r="I148" i="55" s="1"/>
  <c r="J148" i="55" s="1"/>
  <c r="K148" i="55" s="1"/>
  <c r="L148" i="55" s="1"/>
  <c r="M148" i="55" s="1"/>
  <c r="N148" i="55" s="1"/>
  <c r="O148" i="55" s="1"/>
  <c r="P148" i="55" s="1"/>
  <c r="Q148" i="55" s="1"/>
  <c r="R148" i="55" s="1"/>
  <c r="H118" i="55"/>
  <c r="I118" i="55" s="1"/>
  <c r="J118" i="55" s="1"/>
  <c r="K118" i="55" s="1"/>
  <c r="L118" i="55" s="1"/>
  <c r="M118" i="55" s="1"/>
  <c r="N118" i="55" s="1"/>
  <c r="O118" i="55" s="1"/>
  <c r="P118" i="55" s="1"/>
  <c r="Q118" i="55" s="1"/>
  <c r="R118" i="55" s="1"/>
  <c r="H115" i="55"/>
  <c r="I115" i="55" s="1"/>
  <c r="J115" i="55" s="1"/>
  <c r="K115" i="55" s="1"/>
  <c r="L115" i="55" s="1"/>
  <c r="M115" i="55" s="1"/>
  <c r="N115" i="55" s="1"/>
  <c r="O115" i="55" s="1"/>
  <c r="P115" i="55" s="1"/>
  <c r="Q115" i="55" s="1"/>
  <c r="R115" i="55" s="1"/>
  <c r="I20" i="55"/>
  <c r="J17" i="55"/>
  <c r="K17" i="55" s="1"/>
  <c r="L17" i="55" s="1"/>
  <c r="K20" i="55" l="1"/>
  <c r="J20" i="55"/>
  <c r="L20" i="55"/>
  <c r="M17" i="55"/>
  <c r="M20" i="55" l="1"/>
  <c r="N17" i="55"/>
  <c r="O17" i="55" l="1"/>
  <c r="N20" i="55"/>
  <c r="O20" i="55" l="1"/>
  <c r="P17" i="55"/>
  <c r="P20" i="55" l="1"/>
  <c r="Q17" i="55"/>
  <c r="Q20" i="55" s="1"/>
  <c r="K83" i="27" l="1"/>
  <c r="K28" i="27"/>
  <c r="G34" i="37"/>
  <c r="O37" i="37"/>
  <c r="I37" i="37"/>
  <c r="O24" i="37"/>
  <c r="I24" i="37"/>
  <c r="L88" i="42" l="1"/>
  <c r="M88" i="42" l="1"/>
  <c r="L89" i="42"/>
  <c r="G2287" i="41"/>
  <c r="D2287" i="41"/>
  <c r="G2181" i="41"/>
  <c r="D2181" i="41"/>
  <c r="G2075" i="41"/>
  <c r="D2075" i="41"/>
  <c r="N88" i="42" l="1"/>
  <c r="M89" i="42"/>
  <c r="G1969" i="41"/>
  <c r="D1969" i="41"/>
  <c r="G1863" i="41"/>
  <c r="D1863" i="41"/>
  <c r="G1757" i="41"/>
  <c r="D1757" i="41"/>
  <c r="G1651" i="41"/>
  <c r="D1651" i="41"/>
  <c r="G1545" i="41"/>
  <c r="D1545" i="41"/>
  <c r="G1439" i="41"/>
  <c r="D1439" i="41"/>
  <c r="G1333" i="41"/>
  <c r="D1333" i="41"/>
  <c r="G1227" i="41"/>
  <c r="D1227" i="41"/>
  <c r="G1121" i="41"/>
  <c r="D1121" i="41"/>
  <c r="D61" i="41"/>
  <c r="G1015" i="41"/>
  <c r="D1015" i="41"/>
  <c r="G909" i="41"/>
  <c r="D909" i="41"/>
  <c r="G803" i="41"/>
  <c r="D803" i="41"/>
  <c r="G697" i="41"/>
  <c r="D697" i="41"/>
  <c r="G591" i="41"/>
  <c r="D591" i="41"/>
  <c r="G485" i="41"/>
  <c r="D485" i="41"/>
  <c r="G379" i="41"/>
  <c r="D379" i="41"/>
  <c r="G273" i="41"/>
  <c r="D273" i="41"/>
  <c r="G167" i="41"/>
  <c r="D167" i="41"/>
  <c r="G61" i="41"/>
  <c r="O88" i="42" l="1"/>
  <c r="N89" i="42"/>
  <c r="G2285" i="57"/>
  <c r="D2285" i="57"/>
  <c r="G2179" i="57"/>
  <c r="D2179" i="57"/>
  <c r="G2073" i="57"/>
  <c r="D2073" i="57"/>
  <c r="G1967" i="57"/>
  <c r="D1967" i="57"/>
  <c r="G1861" i="57"/>
  <c r="D1861" i="57"/>
  <c r="G1755" i="57"/>
  <c r="D1755" i="57"/>
  <c r="G1649" i="57"/>
  <c r="D1649" i="57"/>
  <c r="G1543" i="57"/>
  <c r="D1543" i="57"/>
  <c r="G1437" i="57"/>
  <c r="D1437" i="57"/>
  <c r="G1331" i="57"/>
  <c r="D1331" i="57"/>
  <c r="G1225" i="57"/>
  <c r="D1225" i="57"/>
  <c r="G1119" i="57"/>
  <c r="D1119" i="57"/>
  <c r="G1013" i="57"/>
  <c r="D1013" i="57"/>
  <c r="G907" i="57"/>
  <c r="D907" i="57"/>
  <c r="G801" i="57"/>
  <c r="D801" i="57"/>
  <c r="G695" i="57"/>
  <c r="D695" i="57"/>
  <c r="G589" i="57"/>
  <c r="D589" i="57"/>
  <c r="G483" i="57"/>
  <c r="D483" i="57"/>
  <c r="G377" i="57"/>
  <c r="D377" i="57"/>
  <c r="G271" i="57"/>
  <c r="D271" i="57"/>
  <c r="G165" i="57"/>
  <c r="D165" i="57"/>
  <c r="D59" i="57"/>
  <c r="G59" i="57"/>
  <c r="P88" i="42" l="1"/>
  <c r="O89" i="42"/>
  <c r="Q88" i="42" l="1"/>
  <c r="P89" i="42"/>
  <c r="D192" i="104"/>
  <c r="Q89" i="42" l="1"/>
  <c r="I92" i="12"/>
  <c r="K92" i="12" l="1"/>
  <c r="G92" i="12"/>
  <c r="D272" i="81"/>
  <c r="D273" i="81"/>
  <c r="D274" i="81"/>
  <c r="D275" i="81"/>
  <c r="D276" i="81"/>
  <c r="D277" i="81"/>
  <c r="D278" i="81"/>
  <c r="D279" i="81"/>
  <c r="C272" i="81"/>
  <c r="C273" i="81"/>
  <c r="C274" i="81"/>
  <c r="C275" i="81"/>
  <c r="C276" i="81"/>
  <c r="C277" i="81"/>
  <c r="C278" i="81"/>
  <c r="C279" i="81"/>
  <c r="B275" i="81"/>
  <c r="B276" i="81"/>
  <c r="B277" i="81"/>
  <c r="B278" i="81"/>
  <c r="B279" i="81"/>
  <c r="D77" i="81"/>
  <c r="B77" i="81"/>
  <c r="C77" i="81"/>
  <c r="E276" i="81" l="1"/>
  <c r="E279" i="81"/>
  <c r="E275" i="81"/>
  <c r="E278" i="81"/>
  <c r="E277" i="81"/>
  <c r="E77" i="81"/>
  <c r="R212" i="127"/>
  <c r="C473" i="127"/>
  <c r="H473" i="145"/>
  <c r="I473" i="145"/>
  <c r="J473" i="145"/>
  <c r="K473" i="145"/>
  <c r="L473" i="145"/>
  <c r="M473" i="145"/>
  <c r="N473" i="145"/>
  <c r="O473" i="145"/>
  <c r="P473" i="145"/>
  <c r="Q473" i="145"/>
  <c r="C473" i="145"/>
  <c r="A411" i="127"/>
  <c r="A412" i="127"/>
  <c r="A413" i="127"/>
  <c r="R412" i="127"/>
  <c r="R411" i="127"/>
  <c r="G411" i="127"/>
  <c r="H411" i="127"/>
  <c r="I411" i="127"/>
  <c r="J411" i="127"/>
  <c r="K411" i="127"/>
  <c r="L411" i="127"/>
  <c r="M411" i="127"/>
  <c r="N411" i="127"/>
  <c r="O411" i="127"/>
  <c r="P411" i="127"/>
  <c r="Q411" i="127"/>
  <c r="G412" i="127"/>
  <c r="H412" i="127"/>
  <c r="I412" i="127"/>
  <c r="J412" i="127"/>
  <c r="K412" i="127"/>
  <c r="L412" i="127"/>
  <c r="M412" i="127"/>
  <c r="N412" i="127"/>
  <c r="O412" i="127"/>
  <c r="P412" i="127"/>
  <c r="Q412" i="127"/>
  <c r="F412" i="127"/>
  <c r="F411" i="127"/>
  <c r="E96" i="127"/>
  <c r="E97" i="127"/>
  <c r="G212" i="127"/>
  <c r="H212" i="127"/>
  <c r="I212" i="127"/>
  <c r="J212" i="127"/>
  <c r="K212" i="127"/>
  <c r="L212" i="127"/>
  <c r="M212" i="127"/>
  <c r="N212" i="127"/>
  <c r="O212" i="127"/>
  <c r="P212" i="127"/>
  <c r="Q212" i="127"/>
  <c r="F212" i="127"/>
  <c r="E111" i="127"/>
  <c r="E412" i="127" l="1"/>
  <c r="E411" i="127"/>
  <c r="F472" i="145"/>
  <c r="G472" i="145"/>
  <c r="H472" i="145"/>
  <c r="I472" i="145"/>
  <c r="J472" i="145"/>
  <c r="K472" i="145"/>
  <c r="M212" i="145"/>
  <c r="N212" i="145"/>
  <c r="O212" i="145"/>
  <c r="P212" i="145"/>
  <c r="Q212" i="145"/>
  <c r="L212" i="145"/>
  <c r="L210" i="145" l="1"/>
  <c r="M411" i="145" l="1"/>
  <c r="N411" i="145"/>
  <c r="O411" i="145"/>
  <c r="P411" i="145"/>
  <c r="Q411" i="145"/>
  <c r="M412" i="145"/>
  <c r="N412" i="145"/>
  <c r="O412" i="145"/>
  <c r="P412" i="145"/>
  <c r="Q412" i="145"/>
  <c r="L411" i="145"/>
  <c r="L412" i="145"/>
  <c r="A411" i="145"/>
  <c r="A412" i="145"/>
  <c r="E412" i="145" l="1"/>
  <c r="E411" i="145"/>
  <c r="I408" i="145"/>
  <c r="D249" i="81"/>
  <c r="D250" i="81"/>
  <c r="D251" i="81"/>
  <c r="D252" i="81"/>
  <c r="D253" i="81"/>
  <c r="D254" i="81"/>
  <c r="D255" i="81"/>
  <c r="D257" i="81"/>
  <c r="D258" i="81"/>
  <c r="D260" i="81"/>
  <c r="D261" i="81"/>
  <c r="D262" i="81"/>
  <c r="D264" i="81"/>
  <c r="D265" i="81"/>
  <c r="D266" i="81"/>
  <c r="D268" i="81"/>
  <c r="D269" i="81"/>
  <c r="D270" i="81"/>
  <c r="B249" i="81"/>
  <c r="B250" i="81"/>
  <c r="B251" i="81"/>
  <c r="B252" i="81"/>
  <c r="B253" i="81"/>
  <c r="B254" i="81"/>
  <c r="B255" i="81"/>
  <c r="B256" i="81"/>
  <c r="B257" i="81"/>
  <c r="B258" i="81"/>
  <c r="B259" i="81"/>
  <c r="B260" i="81"/>
  <c r="B261" i="81"/>
  <c r="B262" i="81"/>
  <c r="B263" i="81"/>
  <c r="B264" i="81"/>
  <c r="B265" i="81"/>
  <c r="B266" i="81"/>
  <c r="B267" i="81"/>
  <c r="B268" i="81"/>
  <c r="B269" i="81"/>
  <c r="B270" i="81"/>
  <c r="A405" i="127"/>
  <c r="A404" i="127"/>
  <c r="A403" i="127"/>
  <c r="A402" i="127"/>
  <c r="A401" i="127"/>
  <c r="A400" i="127"/>
  <c r="A399" i="127"/>
  <c r="A398" i="127"/>
  <c r="A395" i="127"/>
  <c r="A396" i="127"/>
  <c r="A397" i="127"/>
  <c r="A394" i="127"/>
  <c r="A392" i="127"/>
  <c r="A393" i="127"/>
  <c r="A391" i="127"/>
  <c r="A384" i="127"/>
  <c r="A385" i="127"/>
  <c r="A386" i="127"/>
  <c r="A387" i="127"/>
  <c r="A388" i="127"/>
  <c r="A389" i="127"/>
  <c r="A390" i="127"/>
  <c r="A383" i="127"/>
  <c r="E392" i="145"/>
  <c r="C257" i="81" s="1"/>
  <c r="E393" i="145"/>
  <c r="C258" i="81" s="1"/>
  <c r="A392" i="145"/>
  <c r="A393" i="145"/>
  <c r="A391" i="145"/>
  <c r="I65" i="145"/>
  <c r="E403" i="145"/>
  <c r="C268" i="81" s="1"/>
  <c r="E404" i="145"/>
  <c r="C269" i="81" s="1"/>
  <c r="E405" i="145"/>
  <c r="C270" i="81" s="1"/>
  <c r="C402" i="145"/>
  <c r="A405" i="145"/>
  <c r="A404" i="145"/>
  <c r="A403" i="145"/>
  <c r="A402" i="145"/>
  <c r="E399" i="145"/>
  <c r="C264" i="81" s="1"/>
  <c r="E400" i="145"/>
  <c r="C265" i="81" s="1"/>
  <c r="E401" i="145"/>
  <c r="C266" i="81" s="1"/>
  <c r="C398" i="145"/>
  <c r="A400" i="145"/>
  <c r="A401" i="145"/>
  <c r="A399" i="145"/>
  <c r="A398" i="145"/>
  <c r="I36" i="145"/>
  <c r="I27" i="145"/>
  <c r="E384" i="145"/>
  <c r="C249" i="81" s="1"/>
  <c r="E385" i="145"/>
  <c r="C250" i="81" s="1"/>
  <c r="E386" i="145"/>
  <c r="C251" i="81" s="1"/>
  <c r="E387" i="145"/>
  <c r="C252" i="81" s="1"/>
  <c r="E388" i="145"/>
  <c r="C253" i="81" s="1"/>
  <c r="E389" i="145"/>
  <c r="C254" i="81" s="1"/>
  <c r="E390" i="145"/>
  <c r="C255" i="81" s="1"/>
  <c r="C383" i="145"/>
  <c r="A390" i="145"/>
  <c r="A389" i="145"/>
  <c r="A388" i="145"/>
  <c r="A387" i="145"/>
  <c r="A386" i="145"/>
  <c r="A385" i="145"/>
  <c r="A384" i="145"/>
  <c r="A383" i="145"/>
  <c r="E395" i="145"/>
  <c r="C260" i="81" s="1"/>
  <c r="E260" i="81" s="1"/>
  <c r="E396" i="145"/>
  <c r="C261" i="81" s="1"/>
  <c r="E261" i="81" s="1"/>
  <c r="E397" i="145"/>
  <c r="C262" i="81" s="1"/>
  <c r="A397" i="145"/>
  <c r="A396" i="145"/>
  <c r="A395" i="145"/>
  <c r="A394" i="145"/>
  <c r="E262" i="81" l="1"/>
  <c r="E255" i="81"/>
  <c r="E251" i="81"/>
  <c r="E264" i="81"/>
  <c r="E268" i="81"/>
  <c r="E254" i="81"/>
  <c r="E250" i="81"/>
  <c r="E258" i="81"/>
  <c r="E253" i="81"/>
  <c r="E249" i="81"/>
  <c r="E266" i="81"/>
  <c r="E270" i="81"/>
  <c r="E257" i="81"/>
  <c r="E252" i="81"/>
  <c r="E265" i="81"/>
  <c r="E269" i="81"/>
  <c r="B8" i="81"/>
  <c r="B313" i="81"/>
  <c r="B314" i="81"/>
  <c r="B315" i="81"/>
  <c r="B316" i="81"/>
  <c r="B317" i="81"/>
  <c r="B318" i="81"/>
  <c r="B319" i="81"/>
  <c r="B320" i="81"/>
  <c r="B321" i="81"/>
  <c r="B322" i="81"/>
  <c r="B323" i="81"/>
  <c r="B324" i="81"/>
  <c r="B325" i="81"/>
  <c r="B326" i="81"/>
  <c r="B327" i="81"/>
  <c r="B328" i="81"/>
  <c r="B331" i="81"/>
  <c r="B333" i="81"/>
  <c r="B308" i="81"/>
  <c r="B309" i="81"/>
  <c r="B312" i="81"/>
  <c r="B246" i="81"/>
  <c r="B247" i="81"/>
  <c r="B248" i="81"/>
  <c r="B271" i="81"/>
  <c r="B272" i="81"/>
  <c r="B273" i="81"/>
  <c r="B274" i="81"/>
  <c r="B281" i="81"/>
  <c r="B282" i="81"/>
  <c r="B283" i="81"/>
  <c r="B284" i="81"/>
  <c r="B285" i="81"/>
  <c r="B286" i="81"/>
  <c r="B287" i="81"/>
  <c r="B290" i="81"/>
  <c r="B291" i="81"/>
  <c r="B292" i="81"/>
  <c r="B293" i="81"/>
  <c r="B294" i="81"/>
  <c r="B295" i="81"/>
  <c r="B296" i="81"/>
  <c r="B297" i="81"/>
  <c r="B298" i="81"/>
  <c r="B299" i="81"/>
  <c r="B300" i="81"/>
  <c r="B301" i="81"/>
  <c r="B302" i="81"/>
  <c r="B303" i="81"/>
  <c r="B304" i="81"/>
  <c r="B305" i="81"/>
  <c r="B306" i="81"/>
  <c r="B307" i="81"/>
  <c r="B241" i="81"/>
  <c r="B120" i="81"/>
  <c r="B245" i="81"/>
  <c r="B227" i="81"/>
  <c r="B228" i="81"/>
  <c r="B229" i="81"/>
  <c r="B230" i="81"/>
  <c r="B231" i="81"/>
  <c r="B234" i="81"/>
  <c r="B235" i="81"/>
  <c r="B238" i="81"/>
  <c r="B240" i="81"/>
  <c r="B212" i="81"/>
  <c r="B213" i="81"/>
  <c r="B214" i="81"/>
  <c r="B215" i="81"/>
  <c r="B216" i="81"/>
  <c r="B217" i="81"/>
  <c r="B218" i="81"/>
  <c r="B219" i="81"/>
  <c r="B220" i="81"/>
  <c r="B221" i="81"/>
  <c r="B222" i="81"/>
  <c r="B223" i="81"/>
  <c r="B224" i="81"/>
  <c r="B225" i="81"/>
  <c r="B226" i="81"/>
  <c r="B200" i="81"/>
  <c r="B201" i="81"/>
  <c r="B202" i="81"/>
  <c r="B204" i="81"/>
  <c r="B205" i="81"/>
  <c r="B206" i="81"/>
  <c r="B207" i="81"/>
  <c r="B208" i="81"/>
  <c r="B211" i="81"/>
  <c r="B167" i="81"/>
  <c r="B168" i="81"/>
  <c r="B169" i="81"/>
  <c r="B170" i="81"/>
  <c r="B171" i="81"/>
  <c r="B172" i="81"/>
  <c r="B173" i="81"/>
  <c r="B174" i="81"/>
  <c r="B175" i="81"/>
  <c r="B176" i="81"/>
  <c r="B177" i="81"/>
  <c r="B178" i="81"/>
  <c r="B179" i="81"/>
  <c r="B180" i="81"/>
  <c r="B181" i="81"/>
  <c r="B182" i="81"/>
  <c r="B183" i="81"/>
  <c r="B184" i="81"/>
  <c r="B185" i="81"/>
  <c r="B186" i="81"/>
  <c r="B187" i="81"/>
  <c r="B188" i="81"/>
  <c r="B189" i="81"/>
  <c r="B190" i="81"/>
  <c r="B191" i="81"/>
  <c r="B192" i="81"/>
  <c r="B195" i="81"/>
  <c r="B196" i="81"/>
  <c r="B199" i="81"/>
  <c r="B146" i="81"/>
  <c r="B147" i="81"/>
  <c r="B148" i="81"/>
  <c r="B149" i="81"/>
  <c r="B150" i="81"/>
  <c r="B151" i="81"/>
  <c r="B152" i="81"/>
  <c r="B153" i="81"/>
  <c r="B154" i="81"/>
  <c r="B155" i="81"/>
  <c r="B156" i="81"/>
  <c r="B157" i="81"/>
  <c r="B158" i="81"/>
  <c r="B161" i="81"/>
  <c r="B162" i="81"/>
  <c r="B163" i="81"/>
  <c r="B164" i="81"/>
  <c r="B165" i="81"/>
  <c r="B166" i="81"/>
  <c r="B135" i="81"/>
  <c r="B136" i="81"/>
  <c r="B139" i="81"/>
  <c r="B140" i="81"/>
  <c r="B141" i="81"/>
  <c r="B142" i="81"/>
  <c r="B145" i="81"/>
  <c r="B118" i="81"/>
  <c r="B122" i="81"/>
  <c r="B123" i="81"/>
  <c r="B124" i="81"/>
  <c r="B125" i="81"/>
  <c r="B126" i="81"/>
  <c r="B127" i="81"/>
  <c r="B128" i="81"/>
  <c r="B129" i="81"/>
  <c r="B130" i="81"/>
  <c r="B131" i="81"/>
  <c r="B132" i="81"/>
  <c r="B133" i="81"/>
  <c r="B134" i="81"/>
  <c r="B97" i="81"/>
  <c r="B98" i="81"/>
  <c r="B99" i="81"/>
  <c r="B100" i="81"/>
  <c r="B101" i="81"/>
  <c r="B102" i="81"/>
  <c r="B103" i="81"/>
  <c r="B104" i="81"/>
  <c r="B105" i="81"/>
  <c r="B106" i="81"/>
  <c r="B107" i="81"/>
  <c r="B110" i="81"/>
  <c r="B111" i="81"/>
  <c r="B112" i="81"/>
  <c r="B113" i="81"/>
  <c r="B114" i="81"/>
  <c r="B117" i="81"/>
  <c r="B96" i="81"/>
  <c r="B82" i="81"/>
  <c r="B83" i="81"/>
  <c r="B84" i="81"/>
  <c r="B85" i="81"/>
  <c r="B86" i="81"/>
  <c r="B89" i="81"/>
  <c r="B91" i="81"/>
  <c r="B92" i="81"/>
  <c r="B93" i="81"/>
  <c r="B48" i="81"/>
  <c r="B49" i="81"/>
  <c r="B52" i="81"/>
  <c r="B53" i="81"/>
  <c r="B54" i="81"/>
  <c r="B55" i="81"/>
  <c r="B56" i="81"/>
  <c r="B57" i="81"/>
  <c r="B58" i="81"/>
  <c r="B59" i="81"/>
  <c r="B60" i="81"/>
  <c r="B61" i="81"/>
  <c r="B62" i="81"/>
  <c r="B63" i="81"/>
  <c r="B64" i="81"/>
  <c r="B65" i="81"/>
  <c r="B66" i="81"/>
  <c r="B67" i="81"/>
  <c r="B68" i="81"/>
  <c r="B69" i="81"/>
  <c r="B70" i="81"/>
  <c r="B71" i="81"/>
  <c r="B72" i="81"/>
  <c r="B73" i="81"/>
  <c r="B74" i="81"/>
  <c r="B79" i="81"/>
  <c r="B32" i="81"/>
  <c r="B33" i="81"/>
  <c r="B34" i="81"/>
  <c r="B35" i="81"/>
  <c r="B36" i="81"/>
  <c r="B37" i="81"/>
  <c r="B38" i="81"/>
  <c r="B39" i="81"/>
  <c r="B40" i="81"/>
  <c r="B41" i="81"/>
  <c r="B42" i="81"/>
  <c r="B43" i="81"/>
  <c r="B44" i="81"/>
  <c r="B45" i="81"/>
  <c r="B46" i="81"/>
  <c r="B47" i="81"/>
  <c r="B28" i="81"/>
  <c r="B31" i="81"/>
  <c r="B9" i="81"/>
  <c r="B10" i="81"/>
  <c r="B11" i="81"/>
  <c r="B12" i="81"/>
  <c r="B13" i="81"/>
  <c r="B14" i="81"/>
  <c r="B15" i="81"/>
  <c r="B16" i="81"/>
  <c r="B17" i="81"/>
  <c r="B18" i="81"/>
  <c r="B19" i="81"/>
  <c r="B20" i="81"/>
  <c r="B21" i="81"/>
  <c r="B22" i="81"/>
  <c r="B23" i="81"/>
  <c r="B24" i="81"/>
  <c r="B25" i="81"/>
  <c r="B26" i="81"/>
  <c r="B27" i="81"/>
  <c r="D239" i="81"/>
  <c r="D198" i="81"/>
  <c r="I113" i="74" l="1"/>
  <c r="I117" i="74"/>
  <c r="I60" i="74"/>
  <c r="I64" i="74"/>
  <c r="I68" i="74"/>
  <c r="I72" i="74"/>
  <c r="I76" i="74"/>
  <c r="I80" i="74"/>
  <c r="I84" i="74"/>
  <c r="I88" i="74"/>
  <c r="I92" i="74"/>
  <c r="I114" i="74"/>
  <c r="I118" i="74"/>
  <c r="I61" i="74"/>
  <c r="I65" i="74"/>
  <c r="I69" i="74"/>
  <c r="I73" i="74"/>
  <c r="I77" i="74"/>
  <c r="I81" i="74"/>
  <c r="I85" i="74"/>
  <c r="I89" i="74"/>
  <c r="I93" i="74"/>
  <c r="I115" i="74"/>
  <c r="I112" i="74"/>
  <c r="I62" i="74"/>
  <c r="I66" i="74"/>
  <c r="I70" i="74"/>
  <c r="I74" i="74"/>
  <c r="I82" i="74"/>
  <c r="I86" i="74"/>
  <c r="I90" i="74"/>
  <c r="I94" i="74"/>
  <c r="I98" i="74"/>
  <c r="I116" i="74"/>
  <c r="I59" i="74"/>
  <c r="I63" i="74"/>
  <c r="I67" i="74"/>
  <c r="I79" i="74"/>
  <c r="I83" i="74"/>
  <c r="I87" i="74"/>
  <c r="I91" i="74"/>
  <c r="I95" i="74"/>
  <c r="I58" i="74"/>
  <c r="G62" i="74"/>
  <c r="G112" i="74"/>
  <c r="G90" i="74"/>
  <c r="G86" i="74"/>
  <c r="G116" i="74"/>
  <c r="G97" i="74"/>
  <c r="G89" i="74"/>
  <c r="G85" i="74"/>
  <c r="G81" i="74"/>
  <c r="G65" i="74"/>
  <c r="G61" i="74"/>
  <c r="G114" i="74"/>
  <c r="G92" i="74"/>
  <c r="G88" i="74"/>
  <c r="G84" i="74"/>
  <c r="G72" i="74"/>
  <c r="G60" i="74"/>
  <c r="G113" i="74"/>
  <c r="G58" i="74"/>
  <c r="G91" i="74"/>
  <c r="G79" i="74"/>
  <c r="G63" i="74"/>
  <c r="G59" i="74"/>
  <c r="C111" i="81" l="1"/>
  <c r="E337" i="145"/>
  <c r="I13" i="72" l="1"/>
  <c r="I38" i="72"/>
  <c r="I32" i="72"/>
  <c r="H38" i="72" l="1"/>
  <c r="G13" i="72" l="1"/>
  <c r="G38" i="72" l="1"/>
  <c r="F135" i="145" l="1"/>
  <c r="G135" i="145"/>
  <c r="H135" i="145"/>
  <c r="I135" i="145"/>
  <c r="J135" i="145"/>
  <c r="K135" i="145"/>
  <c r="J9" i="145"/>
  <c r="G60" i="145"/>
  <c r="H60" i="145"/>
  <c r="I60" i="145"/>
  <c r="J60" i="145"/>
  <c r="K60" i="145"/>
  <c r="G61" i="145"/>
  <c r="H61" i="145"/>
  <c r="I61" i="145"/>
  <c r="J61" i="145"/>
  <c r="K61" i="145"/>
  <c r="G62" i="145"/>
  <c r="H62" i="145"/>
  <c r="I62" i="145"/>
  <c r="J62" i="145"/>
  <c r="K62" i="145"/>
  <c r="G63" i="145"/>
  <c r="H63" i="145"/>
  <c r="I63" i="145"/>
  <c r="J63" i="145"/>
  <c r="K63" i="145"/>
  <c r="G64" i="145"/>
  <c r="H64" i="145"/>
  <c r="I64" i="145"/>
  <c r="J64" i="145"/>
  <c r="K64" i="145"/>
  <c r="G65" i="145"/>
  <c r="H65" i="145"/>
  <c r="J65" i="145"/>
  <c r="K65" i="145"/>
  <c r="G66" i="145"/>
  <c r="H66" i="145"/>
  <c r="I66" i="145"/>
  <c r="J66" i="145"/>
  <c r="K66" i="145"/>
  <c r="G67" i="145"/>
  <c r="H67" i="145"/>
  <c r="I67" i="145"/>
  <c r="J67" i="145"/>
  <c r="K67" i="145"/>
  <c r="G68" i="145"/>
  <c r="H68" i="145"/>
  <c r="I68" i="145"/>
  <c r="J68" i="145"/>
  <c r="K68" i="145"/>
  <c r="G69" i="145"/>
  <c r="H69" i="145"/>
  <c r="I69" i="145"/>
  <c r="J69" i="145"/>
  <c r="K69" i="145"/>
  <c r="G70" i="145"/>
  <c r="H70" i="145"/>
  <c r="I70" i="145"/>
  <c r="J70" i="145"/>
  <c r="K70" i="145"/>
  <c r="F70" i="145"/>
  <c r="F69" i="145"/>
  <c r="F68" i="145"/>
  <c r="F67" i="145"/>
  <c r="F66" i="145"/>
  <c r="F65" i="145"/>
  <c r="F64" i="145"/>
  <c r="F63" i="145"/>
  <c r="F62" i="145"/>
  <c r="F61" i="145"/>
  <c r="F60" i="145"/>
  <c r="G55" i="145"/>
  <c r="H55" i="145"/>
  <c r="I55" i="145"/>
  <c r="J55" i="145"/>
  <c r="K55" i="145"/>
  <c r="G56" i="145"/>
  <c r="H56" i="145"/>
  <c r="I56" i="145"/>
  <c r="J56" i="145"/>
  <c r="K56" i="145"/>
  <c r="G57" i="145"/>
  <c r="H57" i="145"/>
  <c r="I57" i="145"/>
  <c r="J57" i="145"/>
  <c r="K57" i="145"/>
  <c r="F57" i="145"/>
  <c r="F56" i="145"/>
  <c r="F55" i="145"/>
  <c r="G50" i="145"/>
  <c r="H50" i="145"/>
  <c r="I50" i="145"/>
  <c r="J50" i="145"/>
  <c r="K50" i="145"/>
  <c r="G51" i="145"/>
  <c r="H51" i="145"/>
  <c r="I51" i="145"/>
  <c r="J51" i="145"/>
  <c r="K51" i="145"/>
  <c r="F51" i="145"/>
  <c r="F50" i="145"/>
  <c r="G48" i="145"/>
  <c r="H48" i="145"/>
  <c r="I48" i="145"/>
  <c r="J48" i="145"/>
  <c r="K48" i="145"/>
  <c r="G49" i="145"/>
  <c r="H49" i="145"/>
  <c r="I49" i="145"/>
  <c r="J49" i="145"/>
  <c r="K49" i="145"/>
  <c r="F49" i="145"/>
  <c r="F48" i="145"/>
  <c r="G41" i="145"/>
  <c r="H41" i="145"/>
  <c r="I41" i="145"/>
  <c r="J41" i="145"/>
  <c r="K41" i="145"/>
  <c r="G42" i="145"/>
  <c r="H42" i="145"/>
  <c r="I42" i="145"/>
  <c r="J42" i="145"/>
  <c r="K42" i="145"/>
  <c r="G43" i="145"/>
  <c r="H43" i="145"/>
  <c r="I43" i="145"/>
  <c r="J43" i="145"/>
  <c r="K43" i="145"/>
  <c r="G44" i="145"/>
  <c r="H44" i="145"/>
  <c r="I44" i="145"/>
  <c r="J44" i="145"/>
  <c r="K44" i="145"/>
  <c r="G45" i="145"/>
  <c r="H45" i="145"/>
  <c r="I45" i="145"/>
  <c r="J45" i="145"/>
  <c r="K45" i="145"/>
  <c r="F45" i="145"/>
  <c r="F44" i="145"/>
  <c r="F43" i="145"/>
  <c r="F42" i="145"/>
  <c r="F41" i="145"/>
  <c r="G31" i="145"/>
  <c r="H31" i="145"/>
  <c r="I31" i="145"/>
  <c r="J31" i="145"/>
  <c r="K31" i="145"/>
  <c r="G32" i="145"/>
  <c r="H32" i="145"/>
  <c r="I32" i="145"/>
  <c r="J32" i="145"/>
  <c r="K32" i="145"/>
  <c r="G33" i="145"/>
  <c r="H33" i="145"/>
  <c r="I33" i="145"/>
  <c r="J33" i="145"/>
  <c r="K33" i="145"/>
  <c r="G34" i="145"/>
  <c r="H34" i="145"/>
  <c r="I34" i="145"/>
  <c r="J34" i="145"/>
  <c r="K34" i="145"/>
  <c r="G35" i="145"/>
  <c r="H35" i="145"/>
  <c r="I35" i="145"/>
  <c r="J35" i="145"/>
  <c r="K35" i="145"/>
  <c r="G36" i="145"/>
  <c r="H36" i="145"/>
  <c r="J36" i="145"/>
  <c r="K36" i="145"/>
  <c r="G37" i="145"/>
  <c r="H37" i="145"/>
  <c r="I37" i="145"/>
  <c r="J37" i="145"/>
  <c r="K37" i="145"/>
  <c r="G38" i="145"/>
  <c r="H38" i="145"/>
  <c r="I38" i="145"/>
  <c r="J38" i="145"/>
  <c r="K38" i="145"/>
  <c r="F38" i="145"/>
  <c r="F37" i="145"/>
  <c r="F36" i="145"/>
  <c r="F35" i="145"/>
  <c r="F34" i="145"/>
  <c r="F33" i="145"/>
  <c r="F32" i="145"/>
  <c r="F31" i="145"/>
  <c r="G20" i="145"/>
  <c r="H20" i="145"/>
  <c r="I20" i="145"/>
  <c r="J20" i="145"/>
  <c r="K20" i="145"/>
  <c r="G21" i="145"/>
  <c r="H21" i="145"/>
  <c r="I21" i="145"/>
  <c r="J21" i="145"/>
  <c r="K21" i="145"/>
  <c r="G22" i="145"/>
  <c r="H22" i="145"/>
  <c r="I22" i="145"/>
  <c r="J22" i="145"/>
  <c r="K22" i="145"/>
  <c r="G23" i="145"/>
  <c r="H23" i="145"/>
  <c r="I23" i="145"/>
  <c r="J23" i="145"/>
  <c r="K23" i="145"/>
  <c r="G24" i="145"/>
  <c r="H24" i="145"/>
  <c r="I24" i="145"/>
  <c r="J24" i="145"/>
  <c r="K24" i="145"/>
  <c r="G25" i="145"/>
  <c r="H25" i="145"/>
  <c r="I25" i="145"/>
  <c r="J25" i="145"/>
  <c r="K25" i="145"/>
  <c r="G26" i="145"/>
  <c r="H26" i="145"/>
  <c r="I26" i="145"/>
  <c r="J26" i="145"/>
  <c r="K26" i="145"/>
  <c r="G27" i="145"/>
  <c r="H27" i="145"/>
  <c r="J27" i="145"/>
  <c r="K27" i="145"/>
  <c r="G28" i="145"/>
  <c r="H28" i="145"/>
  <c r="I28" i="145"/>
  <c r="J28" i="145"/>
  <c r="K28" i="145"/>
  <c r="F28" i="145"/>
  <c r="F27" i="145"/>
  <c r="F26" i="145"/>
  <c r="F25" i="145"/>
  <c r="F24" i="145"/>
  <c r="F23" i="145"/>
  <c r="F22" i="145"/>
  <c r="F21" i="145"/>
  <c r="F20" i="145"/>
  <c r="G17" i="145"/>
  <c r="H17" i="145"/>
  <c r="I17" i="145"/>
  <c r="J17" i="145"/>
  <c r="K17" i="145"/>
  <c r="F17" i="145"/>
  <c r="G14" i="145"/>
  <c r="H14" i="145"/>
  <c r="I14" i="145"/>
  <c r="J14" i="145"/>
  <c r="K14" i="145"/>
  <c r="F14" i="145"/>
  <c r="G13" i="145"/>
  <c r="H13" i="145"/>
  <c r="I13" i="145"/>
  <c r="J13" i="145"/>
  <c r="K13" i="145"/>
  <c r="F13" i="145"/>
  <c r="G10" i="145"/>
  <c r="H10" i="145"/>
  <c r="I10" i="145"/>
  <c r="J10" i="145"/>
  <c r="K10" i="145"/>
  <c r="F10" i="145"/>
  <c r="K9" i="145"/>
  <c r="I9" i="145"/>
  <c r="H9" i="145"/>
  <c r="G9" i="145"/>
  <c r="F9" i="145"/>
  <c r="F72" i="145" l="1"/>
  <c r="F73" i="145" s="1"/>
  <c r="K72" i="145"/>
  <c r="K73" i="145" s="1"/>
  <c r="G72" i="145"/>
  <c r="G73" i="145" s="1"/>
  <c r="I72" i="145"/>
  <c r="I73" i="145" s="1"/>
  <c r="H72" i="145"/>
  <c r="H73" i="145" s="1"/>
  <c r="J72" i="145"/>
  <c r="J73" i="145" s="1"/>
  <c r="H55" i="79"/>
  <c r="H50" i="79"/>
  <c r="H48" i="79"/>
  <c r="H10" i="79"/>
  <c r="G55" i="79" l="1"/>
  <c r="G50" i="79"/>
  <c r="G48" i="79"/>
  <c r="G10" i="79"/>
  <c r="F50" i="79" l="1"/>
  <c r="F55" i="79"/>
  <c r="F48" i="79"/>
  <c r="F10" i="79" l="1"/>
  <c r="G464" i="145" l="1"/>
  <c r="H464" i="145"/>
  <c r="I464" i="145"/>
  <c r="J464" i="145"/>
  <c r="K464" i="145"/>
  <c r="F464" i="145"/>
  <c r="G445" i="145"/>
  <c r="H445" i="145"/>
  <c r="I445" i="145"/>
  <c r="J445" i="145"/>
  <c r="K445" i="145"/>
  <c r="F445" i="145"/>
  <c r="G423" i="145"/>
  <c r="H423" i="145"/>
  <c r="I423" i="145"/>
  <c r="J423" i="145"/>
  <c r="K423" i="145"/>
  <c r="F423" i="145"/>
  <c r="G376" i="145"/>
  <c r="H376" i="145"/>
  <c r="I376" i="145"/>
  <c r="J376" i="145"/>
  <c r="K376" i="145"/>
  <c r="F376" i="145"/>
  <c r="G370" i="145"/>
  <c r="H370" i="145"/>
  <c r="I370" i="145"/>
  <c r="J370" i="145"/>
  <c r="K370" i="145"/>
  <c r="F370" i="145"/>
  <c r="F366" i="145"/>
  <c r="G366" i="145"/>
  <c r="H366" i="145"/>
  <c r="I366" i="145"/>
  <c r="J366" i="145"/>
  <c r="K366" i="145"/>
  <c r="F343" i="145"/>
  <c r="G343" i="145"/>
  <c r="H343" i="145"/>
  <c r="I343" i="145"/>
  <c r="J343" i="145"/>
  <c r="K343" i="145"/>
  <c r="G331" i="145" l="1"/>
  <c r="H331" i="145"/>
  <c r="I331" i="145"/>
  <c r="J331" i="145"/>
  <c r="K331" i="145"/>
  <c r="F331" i="145"/>
  <c r="G327" i="145"/>
  <c r="H327" i="145"/>
  <c r="I327" i="145"/>
  <c r="J327" i="145"/>
  <c r="K327" i="145"/>
  <c r="F327" i="145"/>
  <c r="G293" i="145"/>
  <c r="H293" i="145"/>
  <c r="I293" i="145"/>
  <c r="J293" i="145"/>
  <c r="K293" i="145"/>
  <c r="F293" i="145"/>
  <c r="G277" i="145"/>
  <c r="H277" i="145"/>
  <c r="I277" i="145"/>
  <c r="J277" i="145"/>
  <c r="K277" i="145"/>
  <c r="F277" i="145"/>
  <c r="G271" i="145"/>
  <c r="H271" i="145"/>
  <c r="I271" i="145"/>
  <c r="J271" i="145"/>
  <c r="K271" i="145"/>
  <c r="F271" i="145"/>
  <c r="G254" i="145"/>
  <c r="H254" i="145"/>
  <c r="I254" i="145"/>
  <c r="J254" i="145"/>
  <c r="K254" i="145"/>
  <c r="F254" i="145"/>
  <c r="G250" i="145"/>
  <c r="H250" i="145"/>
  <c r="I250" i="145"/>
  <c r="J250" i="145"/>
  <c r="K250" i="145"/>
  <c r="F250" i="145"/>
  <c r="G243" i="145"/>
  <c r="H243" i="145"/>
  <c r="I243" i="145"/>
  <c r="J243" i="145"/>
  <c r="K243" i="145"/>
  <c r="F243" i="145"/>
  <c r="K229" i="145"/>
  <c r="J229" i="145"/>
  <c r="I229" i="145"/>
  <c r="H229" i="145"/>
  <c r="G229" i="145"/>
  <c r="F229" i="145"/>
  <c r="G222" i="145"/>
  <c r="H222" i="145"/>
  <c r="I222" i="145"/>
  <c r="J222" i="145"/>
  <c r="K222" i="145"/>
  <c r="F222" i="145"/>
  <c r="G215" i="145"/>
  <c r="H215" i="145"/>
  <c r="I215" i="145"/>
  <c r="J215" i="145"/>
  <c r="K215" i="145"/>
  <c r="F215" i="145"/>
  <c r="G210" i="145"/>
  <c r="H210" i="145"/>
  <c r="I210" i="145"/>
  <c r="J210" i="145"/>
  <c r="K210" i="145"/>
  <c r="F210" i="145"/>
  <c r="G185" i="145"/>
  <c r="H185" i="145"/>
  <c r="I185" i="145"/>
  <c r="J185" i="145"/>
  <c r="K185" i="145"/>
  <c r="F185" i="145"/>
  <c r="G164" i="145"/>
  <c r="G473" i="145" s="1"/>
  <c r="H164" i="145"/>
  <c r="I164" i="145"/>
  <c r="J164" i="145"/>
  <c r="K164" i="145"/>
  <c r="F164" i="145"/>
  <c r="F473" i="145" s="1"/>
  <c r="G475" i="145" l="1"/>
  <c r="F476" i="145"/>
  <c r="H475" i="145"/>
  <c r="G476" i="145"/>
  <c r="I475" i="145"/>
  <c r="K475" i="145"/>
  <c r="J475" i="145"/>
  <c r="H476" i="145"/>
  <c r="F475" i="145" l="1"/>
  <c r="I476" i="145"/>
  <c r="K476" i="145"/>
  <c r="J476" i="145"/>
  <c r="R254" i="127" l="1"/>
  <c r="R250" i="127"/>
  <c r="R243" i="127"/>
  <c r="F224" i="127"/>
  <c r="F464" i="127"/>
  <c r="F445" i="127"/>
  <c r="F380" i="127"/>
  <c r="F378" i="127"/>
  <c r="F372" i="127"/>
  <c r="F366" i="127"/>
  <c r="F343" i="127"/>
  <c r="F327" i="127"/>
  <c r="F321" i="127" s="1"/>
  <c r="F271" i="127"/>
  <c r="G254" i="127"/>
  <c r="H254" i="127"/>
  <c r="I254" i="127"/>
  <c r="J254" i="127"/>
  <c r="K254" i="127"/>
  <c r="L254" i="127"/>
  <c r="M254" i="127"/>
  <c r="N254" i="127"/>
  <c r="O254" i="127"/>
  <c r="P254" i="127"/>
  <c r="Q254" i="127"/>
  <c r="F254" i="127"/>
  <c r="G250" i="127"/>
  <c r="H250" i="127"/>
  <c r="I250" i="127"/>
  <c r="J250" i="127"/>
  <c r="K250" i="127"/>
  <c r="L250" i="127"/>
  <c r="M250" i="127"/>
  <c r="N250" i="127"/>
  <c r="O250" i="127"/>
  <c r="P250" i="127"/>
  <c r="Q250" i="127"/>
  <c r="F250" i="127"/>
  <c r="G243" i="127"/>
  <c r="H243" i="127"/>
  <c r="I243" i="127"/>
  <c r="J243" i="127"/>
  <c r="K243" i="127"/>
  <c r="L243" i="127"/>
  <c r="M243" i="127"/>
  <c r="N243" i="127"/>
  <c r="O243" i="127"/>
  <c r="P243" i="127"/>
  <c r="Q243" i="127"/>
  <c r="F243" i="127"/>
  <c r="F210" i="127"/>
  <c r="F185" i="127"/>
  <c r="C464" i="127"/>
  <c r="D460" i="127" s="1"/>
  <c r="C445" i="127"/>
  <c r="C423" i="127"/>
  <c r="D417" i="127" s="1"/>
  <c r="C376" i="127"/>
  <c r="C370" i="127"/>
  <c r="D369" i="127" s="1"/>
  <c r="C366" i="127"/>
  <c r="D346" i="127" s="1"/>
  <c r="C343" i="127"/>
  <c r="C331" i="127"/>
  <c r="D330" i="127" s="1"/>
  <c r="C327" i="127"/>
  <c r="D304" i="127" s="1"/>
  <c r="C293" i="127"/>
  <c r="D290" i="127" s="1"/>
  <c r="C277" i="127"/>
  <c r="C271" i="127"/>
  <c r="C254" i="127"/>
  <c r="C250" i="127"/>
  <c r="D249" i="127" s="1"/>
  <c r="C243" i="127"/>
  <c r="D235" i="127" s="1"/>
  <c r="C229" i="127"/>
  <c r="C222" i="127"/>
  <c r="D219" i="127" s="1"/>
  <c r="N219" i="127" s="1"/>
  <c r="C215" i="127"/>
  <c r="D214" i="127" s="1"/>
  <c r="C210" i="127"/>
  <c r="C185" i="127"/>
  <c r="D169" i="127" s="1"/>
  <c r="C164" i="127"/>
  <c r="D162" i="127" s="1"/>
  <c r="A143" i="127"/>
  <c r="A144" i="127"/>
  <c r="A145" i="127"/>
  <c r="A146" i="127"/>
  <c r="A147" i="127"/>
  <c r="A148" i="127"/>
  <c r="A149" i="127"/>
  <c r="A150" i="127"/>
  <c r="A151" i="127"/>
  <c r="A152" i="127"/>
  <c r="A153" i="127"/>
  <c r="A154" i="127"/>
  <c r="A155" i="127"/>
  <c r="A156" i="127"/>
  <c r="A157" i="127"/>
  <c r="A158" i="127"/>
  <c r="A159" i="127"/>
  <c r="A160" i="127"/>
  <c r="A161" i="127"/>
  <c r="A162" i="127"/>
  <c r="A163" i="127"/>
  <c r="A166" i="127"/>
  <c r="F164" i="127"/>
  <c r="A167" i="127"/>
  <c r="A168" i="127"/>
  <c r="A169" i="127"/>
  <c r="A170" i="127"/>
  <c r="A171" i="127"/>
  <c r="A172" i="127"/>
  <c r="A173" i="127"/>
  <c r="A174" i="127"/>
  <c r="A175" i="127"/>
  <c r="A176" i="127"/>
  <c r="A177" i="127"/>
  <c r="A178" i="127"/>
  <c r="A179" i="127"/>
  <c r="A180" i="127"/>
  <c r="A181" i="127"/>
  <c r="A182" i="127"/>
  <c r="A183" i="127"/>
  <c r="A184" i="127"/>
  <c r="A187" i="127"/>
  <c r="A188" i="127"/>
  <c r="A189" i="127"/>
  <c r="A190" i="127"/>
  <c r="A191" i="127"/>
  <c r="A192" i="127"/>
  <c r="A193" i="127"/>
  <c r="A194" i="127"/>
  <c r="A195" i="127"/>
  <c r="A196" i="127"/>
  <c r="A197" i="127"/>
  <c r="A198" i="127"/>
  <c r="A199" i="127"/>
  <c r="A200" i="127"/>
  <c r="A201" i="127"/>
  <c r="A202" i="127"/>
  <c r="A203" i="127"/>
  <c r="A204" i="127"/>
  <c r="A205" i="127"/>
  <c r="A206" i="127"/>
  <c r="A207" i="127"/>
  <c r="A208" i="127"/>
  <c r="A209" i="127"/>
  <c r="A214" i="127"/>
  <c r="A217" i="127"/>
  <c r="A218" i="127"/>
  <c r="A219" i="127"/>
  <c r="F215" i="127"/>
  <c r="A220" i="127"/>
  <c r="A221" i="127"/>
  <c r="A224" i="127"/>
  <c r="A226" i="127"/>
  <c r="F222" i="127"/>
  <c r="A227" i="127"/>
  <c r="A228" i="127"/>
  <c r="A231" i="127"/>
  <c r="A232" i="127"/>
  <c r="A233" i="127"/>
  <c r="F229" i="127"/>
  <c r="A234" i="127"/>
  <c r="A235" i="127"/>
  <c r="A236" i="127"/>
  <c r="A237" i="127"/>
  <c r="A238" i="127"/>
  <c r="A239" i="127"/>
  <c r="A240" i="127"/>
  <c r="A241" i="127"/>
  <c r="A242" i="127"/>
  <c r="A245" i="127"/>
  <c r="A246" i="127"/>
  <c r="A247" i="127"/>
  <c r="A248" i="127"/>
  <c r="A249" i="127"/>
  <c r="A252" i="127"/>
  <c r="A253" i="127"/>
  <c r="A256" i="127"/>
  <c r="A257" i="127"/>
  <c r="A258" i="127"/>
  <c r="A259" i="127"/>
  <c r="A260" i="127"/>
  <c r="A261" i="127"/>
  <c r="A262" i="127"/>
  <c r="A263" i="127"/>
  <c r="A264" i="127"/>
  <c r="A265" i="127"/>
  <c r="A266" i="127"/>
  <c r="A267" i="127"/>
  <c r="A268" i="127"/>
  <c r="A269" i="127"/>
  <c r="A270" i="127"/>
  <c r="A273" i="127"/>
  <c r="A274" i="127"/>
  <c r="A275" i="127"/>
  <c r="F277" i="127"/>
  <c r="A276" i="127"/>
  <c r="A279" i="127"/>
  <c r="A280" i="127"/>
  <c r="A281" i="127"/>
  <c r="A282" i="127"/>
  <c r="A283" i="127"/>
  <c r="A284" i="127"/>
  <c r="A285" i="127"/>
  <c r="A286" i="127"/>
  <c r="A287" i="127"/>
  <c r="F293" i="127"/>
  <c r="A288" i="127"/>
  <c r="A289" i="127"/>
  <c r="A290" i="127"/>
  <c r="A291" i="127"/>
  <c r="A292" i="127"/>
  <c r="A295" i="127"/>
  <c r="A296" i="127"/>
  <c r="A297" i="127"/>
  <c r="A298" i="127"/>
  <c r="A299" i="127"/>
  <c r="A300" i="127"/>
  <c r="A301" i="127"/>
  <c r="A302" i="127"/>
  <c r="A303" i="127"/>
  <c r="A304" i="127"/>
  <c r="A305" i="127"/>
  <c r="A306" i="127"/>
  <c r="A307" i="127"/>
  <c r="A308" i="127"/>
  <c r="A309" i="127"/>
  <c r="A310" i="127"/>
  <c r="A311" i="127"/>
  <c r="A312" i="127"/>
  <c r="A313" i="127"/>
  <c r="A314" i="127"/>
  <c r="A315" i="127"/>
  <c r="A316" i="127"/>
  <c r="A317" i="127"/>
  <c r="A318" i="127"/>
  <c r="A319" i="127"/>
  <c r="A320" i="127"/>
  <c r="A321" i="127"/>
  <c r="A322" i="127"/>
  <c r="A323" i="127"/>
  <c r="A324" i="127"/>
  <c r="F331" i="127"/>
  <c r="A325" i="127"/>
  <c r="A326" i="127"/>
  <c r="F333" i="127"/>
  <c r="F334" i="127"/>
  <c r="F335" i="127"/>
  <c r="A329" i="127"/>
  <c r="F336" i="127"/>
  <c r="A330" i="127"/>
  <c r="A333" i="127"/>
  <c r="A334" i="127"/>
  <c r="A335" i="127"/>
  <c r="A336" i="127"/>
  <c r="A338" i="127"/>
  <c r="A339" i="127"/>
  <c r="A340" i="127"/>
  <c r="A341" i="127"/>
  <c r="A342" i="127"/>
  <c r="A345" i="127"/>
  <c r="A346" i="127"/>
  <c r="A347" i="127"/>
  <c r="A348" i="127"/>
  <c r="A349" i="127"/>
  <c r="A350" i="127"/>
  <c r="A351" i="127"/>
  <c r="A352" i="127"/>
  <c r="A353" i="127"/>
  <c r="A354" i="127"/>
  <c r="A355" i="127"/>
  <c r="A356" i="127"/>
  <c r="A357" i="127"/>
  <c r="A358" i="127"/>
  <c r="A359" i="127"/>
  <c r="A360" i="127"/>
  <c r="A361" i="127"/>
  <c r="A362" i="127"/>
  <c r="A363" i="127"/>
  <c r="A364" i="127"/>
  <c r="A365" i="127"/>
  <c r="F370" i="127"/>
  <c r="A368" i="127"/>
  <c r="A369" i="127"/>
  <c r="A372" i="127"/>
  <c r="F376" i="127"/>
  <c r="A374" i="127"/>
  <c r="A375" i="127"/>
  <c r="F381" i="127"/>
  <c r="A378" i="127"/>
  <c r="F382" i="127"/>
  <c r="F383" i="127"/>
  <c r="A380" i="127"/>
  <c r="F391" i="127"/>
  <c r="A381" i="127"/>
  <c r="F394" i="127"/>
  <c r="A382" i="127"/>
  <c r="F398" i="127"/>
  <c r="F402" i="127"/>
  <c r="F406" i="127"/>
  <c r="F407" i="127"/>
  <c r="F408" i="127"/>
  <c r="F409" i="127"/>
  <c r="A406" i="127"/>
  <c r="F414" i="127"/>
  <c r="A407" i="127"/>
  <c r="F410" i="127"/>
  <c r="A408" i="127"/>
  <c r="F413" i="127"/>
  <c r="A409" i="127"/>
  <c r="A414" i="127"/>
  <c r="A410" i="127"/>
  <c r="A416" i="127"/>
  <c r="A417" i="127"/>
  <c r="A418" i="127"/>
  <c r="A419" i="127"/>
  <c r="A420" i="127"/>
  <c r="A421" i="127"/>
  <c r="F423" i="127"/>
  <c r="A422" i="127"/>
  <c r="A425" i="127"/>
  <c r="A426" i="127"/>
  <c r="A427" i="127"/>
  <c r="A428" i="127"/>
  <c r="A429" i="127"/>
  <c r="A430" i="127"/>
  <c r="A431" i="127"/>
  <c r="A432" i="127"/>
  <c r="A433" i="127"/>
  <c r="A434" i="127"/>
  <c r="A435" i="127"/>
  <c r="A436" i="127"/>
  <c r="A437" i="127"/>
  <c r="A438" i="127"/>
  <c r="A439" i="127"/>
  <c r="A440" i="127"/>
  <c r="A441" i="127"/>
  <c r="A442" i="127"/>
  <c r="A443" i="127"/>
  <c r="A444" i="127"/>
  <c r="A447" i="127"/>
  <c r="A448" i="127"/>
  <c r="A449" i="127"/>
  <c r="A450" i="127"/>
  <c r="A451" i="127"/>
  <c r="A452" i="127"/>
  <c r="A453" i="127"/>
  <c r="A454" i="127"/>
  <c r="A455" i="127"/>
  <c r="A456" i="127"/>
  <c r="A457" i="127"/>
  <c r="A458" i="127"/>
  <c r="A459" i="127"/>
  <c r="A460" i="127"/>
  <c r="A461" i="127"/>
  <c r="A462" i="127"/>
  <c r="F466" i="127"/>
  <c r="A463" i="127"/>
  <c r="F468" i="127"/>
  <c r="A466" i="127"/>
  <c r="A468" i="127"/>
  <c r="G164" i="127"/>
  <c r="H164" i="127"/>
  <c r="I164" i="127"/>
  <c r="J164" i="127"/>
  <c r="K164" i="127"/>
  <c r="L164" i="127"/>
  <c r="M164" i="127"/>
  <c r="N164" i="127"/>
  <c r="O164" i="127"/>
  <c r="P164" i="127"/>
  <c r="Q164" i="127"/>
  <c r="G185" i="127"/>
  <c r="H185" i="127"/>
  <c r="I185" i="127"/>
  <c r="J185" i="127"/>
  <c r="K185" i="127"/>
  <c r="L185" i="127"/>
  <c r="M185" i="127"/>
  <c r="N185" i="127"/>
  <c r="O185" i="127"/>
  <c r="P185" i="127"/>
  <c r="Q185" i="127"/>
  <c r="G210" i="127"/>
  <c r="H210" i="127"/>
  <c r="I210" i="127"/>
  <c r="J210" i="127"/>
  <c r="K210" i="127"/>
  <c r="L210" i="127"/>
  <c r="M210" i="127"/>
  <c r="N210" i="127"/>
  <c r="O210" i="127"/>
  <c r="P210" i="127"/>
  <c r="Q210" i="127"/>
  <c r="G215" i="127"/>
  <c r="H215" i="127"/>
  <c r="I215" i="127"/>
  <c r="J215" i="127"/>
  <c r="K215" i="127"/>
  <c r="L215" i="127"/>
  <c r="M215" i="127"/>
  <c r="N215" i="127"/>
  <c r="O215" i="127"/>
  <c r="P215" i="127"/>
  <c r="Q215" i="127"/>
  <c r="G222" i="127"/>
  <c r="H222" i="127"/>
  <c r="I222" i="127"/>
  <c r="J222" i="127"/>
  <c r="K222" i="127"/>
  <c r="L222" i="127"/>
  <c r="M222" i="127"/>
  <c r="N222" i="127"/>
  <c r="O222" i="127"/>
  <c r="P222" i="127"/>
  <c r="Q222" i="127"/>
  <c r="G224" i="127"/>
  <c r="H224" i="127"/>
  <c r="I224" i="127"/>
  <c r="J224" i="127"/>
  <c r="K224" i="127"/>
  <c r="L224" i="127"/>
  <c r="M224" i="127"/>
  <c r="N224" i="127"/>
  <c r="O224" i="127"/>
  <c r="P224" i="127"/>
  <c r="Q224" i="127"/>
  <c r="G229" i="127"/>
  <c r="H229" i="127"/>
  <c r="I229" i="127"/>
  <c r="J229" i="127"/>
  <c r="K229" i="127"/>
  <c r="L229" i="127"/>
  <c r="M229" i="127"/>
  <c r="N229" i="127"/>
  <c r="O229" i="127"/>
  <c r="P229" i="127"/>
  <c r="Q229" i="127"/>
  <c r="G271" i="127"/>
  <c r="H271" i="127"/>
  <c r="I271" i="127"/>
  <c r="J271" i="127"/>
  <c r="K271" i="127"/>
  <c r="L271" i="127"/>
  <c r="M271" i="127"/>
  <c r="N271" i="127"/>
  <c r="O271" i="127"/>
  <c r="P271" i="127"/>
  <c r="Q271" i="127"/>
  <c r="G277" i="127"/>
  <c r="H277" i="127"/>
  <c r="I277" i="127"/>
  <c r="J277" i="127"/>
  <c r="K277" i="127"/>
  <c r="L277" i="127"/>
  <c r="M277" i="127"/>
  <c r="N277" i="127"/>
  <c r="O277" i="127"/>
  <c r="P277" i="127"/>
  <c r="Q277" i="127"/>
  <c r="G293" i="127"/>
  <c r="H293" i="127"/>
  <c r="I293" i="127"/>
  <c r="J293" i="127"/>
  <c r="K293" i="127"/>
  <c r="L293" i="127"/>
  <c r="M293" i="127"/>
  <c r="N293" i="127"/>
  <c r="O293" i="127"/>
  <c r="P293" i="127"/>
  <c r="Q293" i="127"/>
  <c r="G327" i="127"/>
  <c r="G321" i="127" s="1"/>
  <c r="H327" i="127"/>
  <c r="H321" i="127" s="1"/>
  <c r="I327" i="127"/>
  <c r="I321" i="127" s="1"/>
  <c r="J327" i="127"/>
  <c r="J321" i="127" s="1"/>
  <c r="K327" i="127"/>
  <c r="K321" i="127" s="1"/>
  <c r="L327" i="127"/>
  <c r="L321" i="127" s="1"/>
  <c r="M327" i="127"/>
  <c r="M321" i="127" s="1"/>
  <c r="N327" i="127"/>
  <c r="N321" i="127" s="1"/>
  <c r="O327" i="127"/>
  <c r="O321" i="127" s="1"/>
  <c r="P327" i="127"/>
  <c r="P321" i="127" s="1"/>
  <c r="Q327" i="127"/>
  <c r="Q321" i="127" s="1"/>
  <c r="G331" i="127"/>
  <c r="H331" i="127"/>
  <c r="I331" i="127"/>
  <c r="J331" i="127"/>
  <c r="K331" i="127"/>
  <c r="L331" i="127"/>
  <c r="M331" i="127"/>
  <c r="N331" i="127"/>
  <c r="O331" i="127"/>
  <c r="P331" i="127"/>
  <c r="Q331" i="127"/>
  <c r="G333" i="127"/>
  <c r="H333" i="127"/>
  <c r="I333" i="127"/>
  <c r="J333" i="127"/>
  <c r="K333" i="127"/>
  <c r="L333" i="127"/>
  <c r="M333" i="127"/>
  <c r="N333" i="127"/>
  <c r="O333" i="127"/>
  <c r="P333" i="127"/>
  <c r="Q333" i="127"/>
  <c r="G334" i="127"/>
  <c r="H334" i="127"/>
  <c r="I334" i="127"/>
  <c r="J334" i="127"/>
  <c r="K334" i="127"/>
  <c r="L334" i="127"/>
  <c r="M334" i="127"/>
  <c r="N334" i="127"/>
  <c r="O334" i="127"/>
  <c r="P334" i="127"/>
  <c r="Q334" i="127"/>
  <c r="G335" i="127"/>
  <c r="H335" i="127"/>
  <c r="I335" i="127"/>
  <c r="J335" i="127"/>
  <c r="K335" i="127"/>
  <c r="L335" i="127"/>
  <c r="M335" i="127"/>
  <c r="N335" i="127"/>
  <c r="O335" i="127"/>
  <c r="P335" i="127"/>
  <c r="Q335" i="127"/>
  <c r="G336" i="127"/>
  <c r="H336" i="127"/>
  <c r="I336" i="127"/>
  <c r="J336" i="127"/>
  <c r="K336" i="127"/>
  <c r="L336" i="127"/>
  <c r="M336" i="127"/>
  <c r="N336" i="127"/>
  <c r="O336" i="127"/>
  <c r="P336" i="127"/>
  <c r="Q336" i="127"/>
  <c r="G343" i="127"/>
  <c r="H343" i="127"/>
  <c r="I343" i="127"/>
  <c r="J343" i="127"/>
  <c r="K343" i="127"/>
  <c r="L343" i="127"/>
  <c r="M343" i="127"/>
  <c r="N343" i="127"/>
  <c r="O343" i="127"/>
  <c r="P343" i="127"/>
  <c r="Q343" i="127"/>
  <c r="G366" i="127"/>
  <c r="H366" i="127"/>
  <c r="I366" i="127"/>
  <c r="J366" i="127"/>
  <c r="K366" i="127"/>
  <c r="L366" i="127"/>
  <c r="M366" i="127"/>
  <c r="N366" i="127"/>
  <c r="O366" i="127"/>
  <c r="P366" i="127"/>
  <c r="Q366" i="127"/>
  <c r="G370" i="127"/>
  <c r="H370" i="127"/>
  <c r="I370" i="127"/>
  <c r="J370" i="127"/>
  <c r="K370" i="127"/>
  <c r="L370" i="127"/>
  <c r="M370" i="127"/>
  <c r="N370" i="127"/>
  <c r="O370" i="127"/>
  <c r="P370" i="127"/>
  <c r="Q370" i="127"/>
  <c r="G372" i="127"/>
  <c r="H372" i="127"/>
  <c r="I372" i="127"/>
  <c r="J372" i="127"/>
  <c r="K372" i="127"/>
  <c r="L372" i="127"/>
  <c r="M372" i="127"/>
  <c r="N372" i="127"/>
  <c r="O372" i="127"/>
  <c r="P372" i="127"/>
  <c r="Q372" i="127"/>
  <c r="G376" i="127"/>
  <c r="H376" i="127"/>
  <c r="I376" i="127"/>
  <c r="J376" i="127"/>
  <c r="K376" i="127"/>
  <c r="L376" i="127"/>
  <c r="M376" i="127"/>
  <c r="N376" i="127"/>
  <c r="O376" i="127"/>
  <c r="P376" i="127"/>
  <c r="Q376" i="127"/>
  <c r="G378" i="127"/>
  <c r="H378" i="127"/>
  <c r="I378" i="127"/>
  <c r="J378" i="127"/>
  <c r="K378" i="127"/>
  <c r="L378" i="127"/>
  <c r="M378" i="127"/>
  <c r="N378" i="127"/>
  <c r="O378" i="127"/>
  <c r="P378" i="127"/>
  <c r="Q378" i="127"/>
  <c r="G380" i="127"/>
  <c r="H380" i="127"/>
  <c r="I380" i="127"/>
  <c r="J380" i="127"/>
  <c r="K380" i="127"/>
  <c r="L380" i="127"/>
  <c r="M380" i="127"/>
  <c r="N380" i="127"/>
  <c r="O380" i="127"/>
  <c r="P380" i="127"/>
  <c r="Q380" i="127"/>
  <c r="G381" i="127"/>
  <c r="H381" i="127"/>
  <c r="I381" i="127"/>
  <c r="J381" i="127"/>
  <c r="K381" i="127"/>
  <c r="L381" i="127"/>
  <c r="M381" i="127"/>
  <c r="N381" i="127"/>
  <c r="O381" i="127"/>
  <c r="P381" i="127"/>
  <c r="Q381" i="127"/>
  <c r="G382" i="127"/>
  <c r="H382" i="127"/>
  <c r="I382" i="127"/>
  <c r="J382" i="127"/>
  <c r="K382" i="127"/>
  <c r="L382" i="127"/>
  <c r="M382" i="127"/>
  <c r="N382" i="127"/>
  <c r="O382" i="127"/>
  <c r="P382" i="127"/>
  <c r="Q382" i="127"/>
  <c r="G383" i="127"/>
  <c r="H383" i="127"/>
  <c r="I383" i="127"/>
  <c r="J383" i="127"/>
  <c r="K383" i="127"/>
  <c r="L383" i="127"/>
  <c r="M383" i="127"/>
  <c r="N383" i="127"/>
  <c r="O383" i="127"/>
  <c r="P383" i="127"/>
  <c r="Q383" i="127"/>
  <c r="G391" i="127"/>
  <c r="H391" i="127"/>
  <c r="I391" i="127"/>
  <c r="J391" i="127"/>
  <c r="K391" i="127"/>
  <c r="L391" i="127"/>
  <c r="M391" i="127"/>
  <c r="N391" i="127"/>
  <c r="O391" i="127"/>
  <c r="P391" i="127"/>
  <c r="Q391" i="127"/>
  <c r="G394" i="127"/>
  <c r="H394" i="127"/>
  <c r="I394" i="127"/>
  <c r="J394" i="127"/>
  <c r="K394" i="127"/>
  <c r="L394" i="127"/>
  <c r="M394" i="127"/>
  <c r="N394" i="127"/>
  <c r="O394" i="127"/>
  <c r="P394" i="127"/>
  <c r="Q394" i="127"/>
  <c r="G398" i="127"/>
  <c r="H398" i="127"/>
  <c r="I398" i="127"/>
  <c r="J398" i="127"/>
  <c r="K398" i="127"/>
  <c r="L398" i="127"/>
  <c r="M398" i="127"/>
  <c r="N398" i="127"/>
  <c r="O398" i="127"/>
  <c r="P398" i="127"/>
  <c r="Q398" i="127"/>
  <c r="G402" i="127"/>
  <c r="H402" i="127"/>
  <c r="I402" i="127"/>
  <c r="J402" i="127"/>
  <c r="K402" i="127"/>
  <c r="L402" i="127"/>
  <c r="M402" i="127"/>
  <c r="N402" i="127"/>
  <c r="O402" i="127"/>
  <c r="P402" i="127"/>
  <c r="Q402" i="127"/>
  <c r="G406" i="127"/>
  <c r="H406" i="127"/>
  <c r="I406" i="127"/>
  <c r="J406" i="127"/>
  <c r="K406" i="127"/>
  <c r="L406" i="127"/>
  <c r="M406" i="127"/>
  <c r="N406" i="127"/>
  <c r="O406" i="127"/>
  <c r="P406" i="127"/>
  <c r="Q406" i="127"/>
  <c r="G407" i="127"/>
  <c r="H407" i="127"/>
  <c r="I407" i="127"/>
  <c r="J407" i="127"/>
  <c r="K407" i="127"/>
  <c r="L407" i="127"/>
  <c r="M407" i="127"/>
  <c r="N407" i="127"/>
  <c r="O407" i="127"/>
  <c r="P407" i="127"/>
  <c r="Q407" i="127"/>
  <c r="G408" i="127"/>
  <c r="H408" i="127"/>
  <c r="I408" i="127"/>
  <c r="J408" i="127"/>
  <c r="K408" i="127"/>
  <c r="L408" i="127"/>
  <c r="M408" i="127"/>
  <c r="N408" i="127"/>
  <c r="O408" i="127"/>
  <c r="P408" i="127"/>
  <c r="Q408" i="127"/>
  <c r="G409" i="127"/>
  <c r="H409" i="127"/>
  <c r="I409" i="127"/>
  <c r="J409" i="127"/>
  <c r="K409" i="127"/>
  <c r="L409" i="127"/>
  <c r="M409" i="127"/>
  <c r="N409" i="127"/>
  <c r="O409" i="127"/>
  <c r="P409" i="127"/>
  <c r="Q409" i="127"/>
  <c r="G414" i="127"/>
  <c r="H414" i="127"/>
  <c r="I414" i="127"/>
  <c r="J414" i="127"/>
  <c r="K414" i="127"/>
  <c r="L414" i="127"/>
  <c r="M414" i="127"/>
  <c r="N414" i="127"/>
  <c r="O414" i="127"/>
  <c r="P414" i="127"/>
  <c r="Q414" i="127"/>
  <c r="G410" i="127"/>
  <c r="H410" i="127"/>
  <c r="I410" i="127"/>
  <c r="J410" i="127"/>
  <c r="K410" i="127"/>
  <c r="L410" i="127"/>
  <c r="M410" i="127"/>
  <c r="N410" i="127"/>
  <c r="O410" i="127"/>
  <c r="P410" i="127"/>
  <c r="Q410" i="127"/>
  <c r="G413" i="127"/>
  <c r="H413" i="127"/>
  <c r="I413" i="127"/>
  <c r="J413" i="127"/>
  <c r="K413" i="127"/>
  <c r="L413" i="127"/>
  <c r="M413" i="127"/>
  <c r="N413" i="127"/>
  <c r="O413" i="127"/>
  <c r="P413" i="127"/>
  <c r="Q413" i="127"/>
  <c r="G423" i="127"/>
  <c r="H423" i="127"/>
  <c r="I423" i="127"/>
  <c r="J423" i="127"/>
  <c r="J417" i="127" s="1"/>
  <c r="K423" i="127"/>
  <c r="L423" i="127"/>
  <c r="M423" i="127"/>
  <c r="N423" i="127"/>
  <c r="N417" i="127" s="1"/>
  <c r="O423" i="127"/>
  <c r="P423" i="127"/>
  <c r="Q423" i="127"/>
  <c r="G445" i="127"/>
  <c r="H445" i="127"/>
  <c r="I445" i="127"/>
  <c r="J445" i="127"/>
  <c r="K445" i="127"/>
  <c r="L445" i="127"/>
  <c r="M445" i="127"/>
  <c r="N445" i="127"/>
  <c r="O445" i="127"/>
  <c r="P445" i="127"/>
  <c r="Q445" i="127"/>
  <c r="G464" i="127"/>
  <c r="H464" i="127"/>
  <c r="I464" i="127"/>
  <c r="J464" i="127"/>
  <c r="K464" i="127"/>
  <c r="L464" i="127"/>
  <c r="M464" i="127"/>
  <c r="N464" i="127"/>
  <c r="O464" i="127"/>
  <c r="P464" i="127"/>
  <c r="Q464" i="127"/>
  <c r="G466" i="127"/>
  <c r="H466" i="127"/>
  <c r="I466" i="127"/>
  <c r="J466" i="127"/>
  <c r="K466" i="127"/>
  <c r="L466" i="127"/>
  <c r="M466" i="127"/>
  <c r="N466" i="127"/>
  <c r="O466" i="127"/>
  <c r="P466" i="127"/>
  <c r="Q466" i="127"/>
  <c r="G468" i="127"/>
  <c r="H468" i="127"/>
  <c r="I468" i="127"/>
  <c r="J468" i="127"/>
  <c r="K468" i="127"/>
  <c r="L468" i="127"/>
  <c r="M468" i="127"/>
  <c r="N468" i="127"/>
  <c r="O468" i="127"/>
  <c r="P468" i="127"/>
  <c r="Q468" i="127"/>
  <c r="D74" i="79"/>
  <c r="E74" i="79"/>
  <c r="F74" i="79"/>
  <c r="G74" i="79"/>
  <c r="H74" i="79"/>
  <c r="C74" i="79"/>
  <c r="D65" i="79"/>
  <c r="E65" i="79"/>
  <c r="F65" i="79"/>
  <c r="G65" i="79"/>
  <c r="H65" i="79"/>
  <c r="C65" i="79"/>
  <c r="C70" i="79"/>
  <c r="A425" i="145"/>
  <c r="A426" i="145"/>
  <c r="A427" i="145"/>
  <c r="A428" i="145"/>
  <c r="A429" i="145"/>
  <c r="A430" i="145"/>
  <c r="A431" i="145"/>
  <c r="A432" i="145"/>
  <c r="A433" i="145"/>
  <c r="A434" i="145"/>
  <c r="A435" i="145"/>
  <c r="A436" i="145"/>
  <c r="A437" i="145"/>
  <c r="A438" i="145"/>
  <c r="A439" i="145"/>
  <c r="A440" i="145"/>
  <c r="A441" i="145"/>
  <c r="A442" i="145"/>
  <c r="A443" i="145"/>
  <c r="A444" i="145"/>
  <c r="A282" i="145"/>
  <c r="A283" i="145"/>
  <c r="A284" i="145"/>
  <c r="A285" i="145"/>
  <c r="A286" i="145"/>
  <c r="A287" i="145"/>
  <c r="L391" i="145"/>
  <c r="M391" i="145"/>
  <c r="N391" i="145"/>
  <c r="O391" i="145"/>
  <c r="P391" i="145"/>
  <c r="Q391" i="145"/>
  <c r="N473" i="127" l="1"/>
  <c r="J473" i="127"/>
  <c r="M473" i="127"/>
  <c r="I473" i="127"/>
  <c r="F473" i="127"/>
  <c r="P473" i="127"/>
  <c r="L473" i="127"/>
  <c r="H473" i="127"/>
  <c r="O473" i="127"/>
  <c r="K473" i="127"/>
  <c r="G473" i="127"/>
  <c r="H460" i="127"/>
  <c r="I460" i="127"/>
  <c r="E224" i="127"/>
  <c r="D89" i="81" s="1"/>
  <c r="F460" i="127"/>
  <c r="O460" i="127"/>
  <c r="D456" i="127"/>
  <c r="G456" i="127" s="1"/>
  <c r="E468" i="127"/>
  <c r="D333" i="81" s="1"/>
  <c r="M460" i="127"/>
  <c r="D455" i="127"/>
  <c r="M455" i="127" s="1"/>
  <c r="D195" i="127"/>
  <c r="I195" i="127" s="1"/>
  <c r="R235" i="127"/>
  <c r="K460" i="127"/>
  <c r="E466" i="127"/>
  <c r="D331" i="81" s="1"/>
  <c r="P460" i="127"/>
  <c r="D457" i="127"/>
  <c r="K457" i="127" s="1"/>
  <c r="H417" i="127"/>
  <c r="K417" i="127"/>
  <c r="H456" i="127"/>
  <c r="O456" i="127"/>
  <c r="E372" i="127"/>
  <c r="D238" i="81" s="1"/>
  <c r="J460" i="127"/>
  <c r="N460" i="127"/>
  <c r="Q460" i="127"/>
  <c r="L460" i="127"/>
  <c r="G460" i="127"/>
  <c r="J456" i="127"/>
  <c r="O346" i="127"/>
  <c r="G346" i="127"/>
  <c r="O290" i="127"/>
  <c r="N162" i="127"/>
  <c r="J162" i="127"/>
  <c r="G162" i="127"/>
  <c r="Q162" i="127"/>
  <c r="O162" i="127"/>
  <c r="H162" i="127"/>
  <c r="M162" i="127"/>
  <c r="K162" i="127"/>
  <c r="P162" i="127"/>
  <c r="I162" i="127"/>
  <c r="L162" i="127"/>
  <c r="F162" i="127"/>
  <c r="E391" i="145"/>
  <c r="C256" i="81" s="1"/>
  <c r="L455" i="127"/>
  <c r="H455" i="127"/>
  <c r="G455" i="127"/>
  <c r="F455" i="127"/>
  <c r="O417" i="127"/>
  <c r="G417" i="127"/>
  <c r="E391" i="127"/>
  <c r="D256" i="81" s="1"/>
  <c r="F417" i="127"/>
  <c r="Q417" i="127"/>
  <c r="M417" i="127"/>
  <c r="I417" i="127"/>
  <c r="E414" i="127"/>
  <c r="K169" i="127"/>
  <c r="I346" i="127"/>
  <c r="P417" i="127"/>
  <c r="L417" i="127"/>
  <c r="E410" i="127"/>
  <c r="E409" i="127"/>
  <c r="E407" i="127"/>
  <c r="E402" i="127"/>
  <c r="D267" i="81" s="1"/>
  <c r="E394" i="127"/>
  <c r="D259" i="81" s="1"/>
  <c r="E383" i="127"/>
  <c r="D248" i="81" s="1"/>
  <c r="E378" i="127"/>
  <c r="D120" i="81" s="1"/>
  <c r="E413" i="127"/>
  <c r="E408" i="127"/>
  <c r="E398" i="127"/>
  <c r="D263" i="81" s="1"/>
  <c r="E382" i="127"/>
  <c r="D247" i="81" s="1"/>
  <c r="E380" i="127"/>
  <c r="D245" i="81" s="1"/>
  <c r="E406" i="127"/>
  <c r="D271" i="81" s="1"/>
  <c r="E381" i="127"/>
  <c r="D246" i="81" s="1"/>
  <c r="N346" i="127"/>
  <c r="J346" i="127"/>
  <c r="L304" i="127"/>
  <c r="F346" i="127"/>
  <c r="K346" i="127"/>
  <c r="P346" i="127"/>
  <c r="L346" i="127"/>
  <c r="H346" i="127"/>
  <c r="E321" i="127"/>
  <c r="D187" i="81" s="1"/>
  <c r="Q346" i="127"/>
  <c r="M346" i="127"/>
  <c r="H290" i="127"/>
  <c r="K290" i="127"/>
  <c r="G290" i="127"/>
  <c r="M290" i="127"/>
  <c r="I290" i="127"/>
  <c r="Q290" i="127"/>
  <c r="J290" i="127"/>
  <c r="N290" i="127"/>
  <c r="E334" i="127"/>
  <c r="D200" i="81" s="1"/>
  <c r="E335" i="127"/>
  <c r="D201" i="81" s="1"/>
  <c r="J304" i="127"/>
  <c r="N304" i="127"/>
  <c r="G304" i="127"/>
  <c r="K304" i="127"/>
  <c r="O304" i="127"/>
  <c r="H304" i="127"/>
  <c r="P304" i="127"/>
  <c r="I304" i="127"/>
  <c r="Q304" i="127"/>
  <c r="F304" i="127"/>
  <c r="E333" i="127"/>
  <c r="D199" i="81" s="1"/>
  <c r="M304" i="127"/>
  <c r="E336" i="127"/>
  <c r="D202" i="81" s="1"/>
  <c r="Q235" i="127"/>
  <c r="F195" i="127"/>
  <c r="F290" i="127"/>
  <c r="P290" i="127"/>
  <c r="L290" i="127"/>
  <c r="G169" i="127"/>
  <c r="D198" i="127"/>
  <c r="H169" i="127"/>
  <c r="L169" i="127"/>
  <c r="P169" i="127"/>
  <c r="F169" i="127"/>
  <c r="I169" i="127"/>
  <c r="M169" i="127"/>
  <c r="Q169" i="127"/>
  <c r="J169" i="127"/>
  <c r="N169" i="127"/>
  <c r="O169" i="127"/>
  <c r="J198" i="127"/>
  <c r="P195" i="127"/>
  <c r="G235" i="127"/>
  <c r="K235" i="127"/>
  <c r="O235" i="127"/>
  <c r="F235" i="127"/>
  <c r="H235" i="127"/>
  <c r="L235" i="127"/>
  <c r="P235" i="127"/>
  <c r="M235" i="127"/>
  <c r="N235" i="127"/>
  <c r="J235" i="127"/>
  <c r="L214" i="127"/>
  <c r="D237" i="127"/>
  <c r="R237" i="127" s="1"/>
  <c r="I235" i="127"/>
  <c r="Q214" i="127"/>
  <c r="D181" i="127"/>
  <c r="D209" i="127"/>
  <c r="F219" i="127"/>
  <c r="D350" i="127"/>
  <c r="H219" i="127"/>
  <c r="D245" i="127"/>
  <c r="R245" i="127" s="1"/>
  <c r="D190" i="127"/>
  <c r="K214" i="127"/>
  <c r="M214" i="127"/>
  <c r="D354" i="127"/>
  <c r="H214" i="127"/>
  <c r="D156" i="127"/>
  <c r="D146" i="127"/>
  <c r="D246" i="127"/>
  <c r="R246" i="127" s="1"/>
  <c r="D247" i="127"/>
  <c r="R247" i="127" s="1"/>
  <c r="D362" i="127"/>
  <c r="D421" i="127"/>
  <c r="G214" i="127"/>
  <c r="D248" i="127"/>
  <c r="R248" i="127" s="1"/>
  <c r="P214" i="127"/>
  <c r="I219" i="127"/>
  <c r="M219" i="127"/>
  <c r="Q219" i="127"/>
  <c r="J219" i="127"/>
  <c r="O219" i="127"/>
  <c r="K219" i="127"/>
  <c r="P219" i="127"/>
  <c r="G219" i="127"/>
  <c r="L219" i="127"/>
  <c r="D239" i="127"/>
  <c r="R239" i="127" s="1"/>
  <c r="D232" i="127"/>
  <c r="R232" i="127" s="1"/>
  <c r="D236" i="127"/>
  <c r="R236" i="127" s="1"/>
  <c r="D234" i="127"/>
  <c r="R234" i="127" s="1"/>
  <c r="J214" i="127"/>
  <c r="N214" i="127"/>
  <c r="F214" i="127"/>
  <c r="O214" i="127"/>
  <c r="I214" i="127"/>
  <c r="D238" i="127"/>
  <c r="R238" i="127" s="1"/>
  <c r="D233" i="127"/>
  <c r="R233" i="127" s="1"/>
  <c r="D170" i="127"/>
  <c r="D203" i="127"/>
  <c r="D204" i="127"/>
  <c r="D360" i="127"/>
  <c r="D356" i="127"/>
  <c r="D215" i="127"/>
  <c r="D287" i="127"/>
  <c r="D279" i="127"/>
  <c r="D148" i="127"/>
  <c r="D283" i="127"/>
  <c r="D289" i="127"/>
  <c r="D240" i="127"/>
  <c r="R240" i="127" s="1"/>
  <c r="D286" i="127"/>
  <c r="D348" i="127"/>
  <c r="D358" i="127"/>
  <c r="D463" i="127"/>
  <c r="D458" i="127"/>
  <c r="D450" i="127"/>
  <c r="D449" i="127"/>
  <c r="D252" i="127"/>
  <c r="R252" i="127" s="1"/>
  <c r="R253" i="127" s="1"/>
  <c r="D439" i="127"/>
  <c r="D425" i="127"/>
  <c r="D435" i="127"/>
  <c r="D461" i="127"/>
  <c r="D161" i="127"/>
  <c r="D160" i="127"/>
  <c r="D152" i="127"/>
  <c r="D144" i="127"/>
  <c r="D158" i="127"/>
  <c r="D150" i="127"/>
  <c r="D292" i="127"/>
  <c r="D285" i="127"/>
  <c r="D281" i="127"/>
  <c r="D291" i="127"/>
  <c r="D288" i="127"/>
  <c r="D284" i="127"/>
  <c r="D280" i="127"/>
  <c r="D427" i="127"/>
  <c r="D451" i="127"/>
  <c r="D154" i="127"/>
  <c r="D180" i="127"/>
  <c r="D174" i="127"/>
  <c r="D167" i="127"/>
  <c r="D207" i="127"/>
  <c r="D200" i="127"/>
  <c r="D194" i="127"/>
  <c r="D189" i="127"/>
  <c r="D206" i="127"/>
  <c r="D199" i="127"/>
  <c r="D192" i="127"/>
  <c r="D188" i="127"/>
  <c r="D282" i="127"/>
  <c r="D300" i="127"/>
  <c r="D433" i="127"/>
  <c r="D454" i="127"/>
  <c r="D352" i="127"/>
  <c r="D218" i="127"/>
  <c r="D220" i="127"/>
  <c r="D217" i="127"/>
  <c r="D263" i="127"/>
  <c r="D269" i="127"/>
  <c r="F269" i="127" s="1"/>
  <c r="D259" i="127"/>
  <c r="F259" i="127" s="1"/>
  <c r="D267" i="127"/>
  <c r="D257" i="127"/>
  <c r="D308" i="127"/>
  <c r="D316" i="127"/>
  <c r="D296" i="127"/>
  <c r="D312" i="127"/>
  <c r="D183" i="127"/>
  <c r="D179" i="127"/>
  <c r="D175" i="127"/>
  <c r="D171" i="127"/>
  <c r="D184" i="127"/>
  <c r="D178" i="127"/>
  <c r="D173" i="127"/>
  <c r="D168" i="127"/>
  <c r="D166" i="127"/>
  <c r="D182" i="127"/>
  <c r="D177" i="127"/>
  <c r="D172" i="127"/>
  <c r="D241" i="127"/>
  <c r="R241" i="127" s="1"/>
  <c r="D242" i="127"/>
  <c r="D231" i="127"/>
  <c r="R231" i="127" s="1"/>
  <c r="D261" i="127"/>
  <c r="D320" i="127"/>
  <c r="D329" i="127"/>
  <c r="D341" i="127"/>
  <c r="D339" i="127"/>
  <c r="D176" i="127"/>
  <c r="D221" i="127"/>
  <c r="D265" i="127"/>
  <c r="D275" i="127"/>
  <c r="D273" i="127"/>
  <c r="D323" i="127"/>
  <c r="D419" i="127"/>
  <c r="D208" i="127"/>
  <c r="D205" i="127"/>
  <c r="D201" i="127"/>
  <c r="D197" i="127"/>
  <c r="D193" i="127"/>
  <c r="D187" i="127"/>
  <c r="D443" i="127"/>
  <c r="D437" i="127"/>
  <c r="D429" i="127"/>
  <c r="D452" i="127"/>
  <c r="D448" i="127"/>
  <c r="D191" i="127"/>
  <c r="D196" i="127"/>
  <c r="D202" i="127"/>
  <c r="D431" i="127"/>
  <c r="D441" i="127"/>
  <c r="D447" i="127"/>
  <c r="D453" i="127"/>
  <c r="D459" i="127"/>
  <c r="D462" i="127"/>
  <c r="D326" i="127"/>
  <c r="D324" i="127"/>
  <c r="D322" i="127"/>
  <c r="D319" i="127"/>
  <c r="D317" i="127"/>
  <c r="D315" i="127"/>
  <c r="D313" i="127"/>
  <c r="D311" i="127"/>
  <c r="D309" i="127"/>
  <c r="D307" i="127"/>
  <c r="D305" i="127"/>
  <c r="D303" i="127"/>
  <c r="D301" i="127"/>
  <c r="D299" i="127"/>
  <c r="D297" i="127"/>
  <c r="D295" i="127"/>
  <c r="F295" i="127" s="1"/>
  <c r="D325" i="127"/>
  <c r="D368" i="127"/>
  <c r="D143" i="127"/>
  <c r="G143" i="127" s="1"/>
  <c r="D147" i="127"/>
  <c r="D151" i="127"/>
  <c r="D155" i="127"/>
  <c r="D159" i="127"/>
  <c r="D163" i="127"/>
  <c r="D302" i="127"/>
  <c r="D310" i="127"/>
  <c r="D318" i="127"/>
  <c r="D375" i="127"/>
  <c r="D374" i="127"/>
  <c r="D145" i="127"/>
  <c r="D149" i="127"/>
  <c r="D153" i="127"/>
  <c r="D157" i="127"/>
  <c r="D228" i="127"/>
  <c r="D226" i="127"/>
  <c r="D227" i="127"/>
  <c r="D298" i="127"/>
  <c r="D306" i="127"/>
  <c r="D314" i="127"/>
  <c r="D270" i="127"/>
  <c r="D268" i="127"/>
  <c r="D266" i="127"/>
  <c r="D264" i="127"/>
  <c r="D262" i="127"/>
  <c r="D260" i="127"/>
  <c r="D258" i="127"/>
  <c r="D256" i="127"/>
  <c r="D342" i="127"/>
  <c r="D340" i="127"/>
  <c r="D338" i="127"/>
  <c r="D365" i="127"/>
  <c r="D363" i="127"/>
  <c r="D361" i="127"/>
  <c r="D359" i="127"/>
  <c r="D357" i="127"/>
  <c r="D355" i="127"/>
  <c r="D353" i="127"/>
  <c r="D351" i="127"/>
  <c r="D349" i="127"/>
  <c r="D347" i="127"/>
  <c r="D345" i="127"/>
  <c r="D444" i="127"/>
  <c r="D442" i="127"/>
  <c r="D440" i="127"/>
  <c r="D438" i="127"/>
  <c r="D436" i="127"/>
  <c r="D434" i="127"/>
  <c r="D432" i="127"/>
  <c r="D430" i="127"/>
  <c r="D428" i="127"/>
  <c r="D426" i="127"/>
  <c r="D253" i="127"/>
  <c r="D276" i="127"/>
  <c r="D274" i="127"/>
  <c r="D364" i="127"/>
  <c r="D422" i="127"/>
  <c r="D420" i="127"/>
  <c r="D418" i="127"/>
  <c r="D416" i="127"/>
  <c r="P457" i="127" l="1"/>
  <c r="N457" i="127"/>
  <c r="L195" i="127"/>
  <c r="M457" i="127"/>
  <c r="G457" i="127"/>
  <c r="H457" i="127"/>
  <c r="K195" i="127"/>
  <c r="Q195" i="127"/>
  <c r="G195" i="127"/>
  <c r="J195" i="127"/>
  <c r="N455" i="127"/>
  <c r="O455" i="127"/>
  <c r="L456" i="127"/>
  <c r="E256" i="81"/>
  <c r="N195" i="127"/>
  <c r="H195" i="127"/>
  <c r="J457" i="127"/>
  <c r="F457" i="127"/>
  <c r="Q457" i="127"/>
  <c r="J455" i="127"/>
  <c r="I455" i="127"/>
  <c r="Q455" i="127"/>
  <c r="M456" i="127"/>
  <c r="N456" i="127"/>
  <c r="F456" i="127"/>
  <c r="I456" i="127"/>
  <c r="M195" i="127"/>
  <c r="O195" i="127"/>
  <c r="L457" i="127"/>
  <c r="K455" i="127"/>
  <c r="P455" i="127"/>
  <c r="P456" i="127"/>
  <c r="Q456" i="127"/>
  <c r="K456" i="127"/>
  <c r="O457" i="127"/>
  <c r="I457" i="127"/>
  <c r="H453" i="127"/>
  <c r="L453" i="127"/>
  <c r="P453" i="127"/>
  <c r="I453" i="127"/>
  <c r="N453" i="127"/>
  <c r="J453" i="127"/>
  <c r="O453" i="127"/>
  <c r="F453" i="127"/>
  <c r="K453" i="127"/>
  <c r="Q453" i="127"/>
  <c r="M453" i="127"/>
  <c r="G453" i="127"/>
  <c r="G448" i="127"/>
  <c r="K448" i="127"/>
  <c r="O448" i="127"/>
  <c r="J448" i="127"/>
  <c r="P448" i="127"/>
  <c r="L448" i="127"/>
  <c r="Q448" i="127"/>
  <c r="F448" i="127"/>
  <c r="H448" i="127"/>
  <c r="M448" i="127"/>
  <c r="I448" i="127"/>
  <c r="N448" i="127"/>
  <c r="I450" i="127"/>
  <c r="M450" i="127"/>
  <c r="Q450" i="127"/>
  <c r="F450" i="127"/>
  <c r="J450" i="127"/>
  <c r="O450" i="127"/>
  <c r="K450" i="127"/>
  <c r="P450" i="127"/>
  <c r="G450" i="127"/>
  <c r="L450" i="127"/>
  <c r="H450" i="127"/>
  <c r="N450" i="127"/>
  <c r="J447" i="127"/>
  <c r="N447" i="127"/>
  <c r="F447" i="127"/>
  <c r="K447" i="127"/>
  <c r="P447" i="127"/>
  <c r="G447" i="127"/>
  <c r="L447" i="127"/>
  <c r="Q447" i="127"/>
  <c r="H447" i="127"/>
  <c r="M447" i="127"/>
  <c r="I447" i="127"/>
  <c r="O447" i="127"/>
  <c r="G452" i="127"/>
  <c r="K452" i="127"/>
  <c r="O452" i="127"/>
  <c r="I452" i="127"/>
  <c r="N452" i="127"/>
  <c r="F452" i="127"/>
  <c r="J452" i="127"/>
  <c r="P452" i="127"/>
  <c r="L452" i="127"/>
  <c r="Q452" i="127"/>
  <c r="H452" i="127"/>
  <c r="M452" i="127"/>
  <c r="H458" i="127"/>
  <c r="L458" i="127"/>
  <c r="P458" i="127"/>
  <c r="G458" i="127"/>
  <c r="M458" i="127"/>
  <c r="F458" i="127"/>
  <c r="I458" i="127"/>
  <c r="N458" i="127"/>
  <c r="J458" i="127"/>
  <c r="O458" i="127"/>
  <c r="K458" i="127"/>
  <c r="Q458" i="127"/>
  <c r="E460" i="127"/>
  <c r="D325" i="81" s="1"/>
  <c r="H462" i="127"/>
  <c r="L462" i="127"/>
  <c r="P462" i="127"/>
  <c r="K462" i="127"/>
  <c r="Q462" i="127"/>
  <c r="G462" i="127"/>
  <c r="M462" i="127"/>
  <c r="I462" i="127"/>
  <c r="N462" i="127"/>
  <c r="J462" i="127"/>
  <c r="O462" i="127"/>
  <c r="F462" i="127"/>
  <c r="G461" i="127"/>
  <c r="K461" i="127"/>
  <c r="O461" i="127"/>
  <c r="L461" i="127"/>
  <c r="Q461" i="127"/>
  <c r="H461" i="127"/>
  <c r="M461" i="127"/>
  <c r="I461" i="127"/>
  <c r="N461" i="127"/>
  <c r="F461" i="127"/>
  <c r="P461" i="127"/>
  <c r="J461" i="127"/>
  <c r="I459" i="127"/>
  <c r="M459" i="127"/>
  <c r="Q459" i="127"/>
  <c r="F459" i="127"/>
  <c r="G459" i="127"/>
  <c r="L459" i="127"/>
  <c r="H459" i="127"/>
  <c r="N459" i="127"/>
  <c r="J459" i="127"/>
  <c r="O459" i="127"/>
  <c r="K459" i="127"/>
  <c r="P459" i="127"/>
  <c r="I454" i="127"/>
  <c r="M454" i="127"/>
  <c r="Q454" i="127"/>
  <c r="F454" i="127"/>
  <c r="H454" i="127"/>
  <c r="N454" i="127"/>
  <c r="J454" i="127"/>
  <c r="O454" i="127"/>
  <c r="K454" i="127"/>
  <c r="P454" i="127"/>
  <c r="G454" i="127"/>
  <c r="L454" i="127"/>
  <c r="J451" i="127"/>
  <c r="N451" i="127"/>
  <c r="I451" i="127"/>
  <c r="O451" i="127"/>
  <c r="K451" i="127"/>
  <c r="P451" i="127"/>
  <c r="G451" i="127"/>
  <c r="L451" i="127"/>
  <c r="Q451" i="127"/>
  <c r="M451" i="127"/>
  <c r="H451" i="127"/>
  <c r="F451" i="127"/>
  <c r="H449" i="127"/>
  <c r="L449" i="127"/>
  <c r="P449" i="127"/>
  <c r="J449" i="127"/>
  <c r="O449" i="127"/>
  <c r="K449" i="127"/>
  <c r="Q449" i="127"/>
  <c r="G449" i="127"/>
  <c r="M449" i="127"/>
  <c r="F449" i="127"/>
  <c r="N449" i="127"/>
  <c r="I449" i="127"/>
  <c r="Q157" i="127"/>
  <c r="F157" i="127"/>
  <c r="N151" i="127"/>
  <c r="F187" i="127"/>
  <c r="J158" i="127"/>
  <c r="N158" i="127"/>
  <c r="I158" i="127"/>
  <c r="O158" i="127"/>
  <c r="F158" i="127"/>
  <c r="K158" i="127"/>
  <c r="P158" i="127"/>
  <c r="G158" i="127"/>
  <c r="L158" i="127"/>
  <c r="Q158" i="127"/>
  <c r="H158" i="127"/>
  <c r="M158" i="127"/>
  <c r="O161" i="127"/>
  <c r="K161" i="127"/>
  <c r="F161" i="127"/>
  <c r="M161" i="127"/>
  <c r="P161" i="127"/>
  <c r="I161" i="127"/>
  <c r="G161" i="127"/>
  <c r="N161" i="127"/>
  <c r="L161" i="127"/>
  <c r="H161" i="127"/>
  <c r="Q161" i="127"/>
  <c r="J161" i="127"/>
  <c r="G148" i="127"/>
  <c r="O146" i="127"/>
  <c r="I198" i="127"/>
  <c r="M153" i="127"/>
  <c r="Q147" i="127"/>
  <c r="K154" i="127"/>
  <c r="P144" i="127"/>
  <c r="G156" i="127"/>
  <c r="K149" i="127"/>
  <c r="G159" i="127"/>
  <c r="K159" i="127"/>
  <c r="O159" i="127"/>
  <c r="I159" i="127"/>
  <c r="N159" i="127"/>
  <c r="J159" i="127"/>
  <c r="P159" i="127"/>
  <c r="F159" i="127"/>
  <c r="L159" i="127"/>
  <c r="Q159" i="127"/>
  <c r="M159" i="127"/>
  <c r="H159" i="127"/>
  <c r="P152" i="127"/>
  <c r="R242" i="127"/>
  <c r="Q145" i="127"/>
  <c r="Q155" i="127"/>
  <c r="J150" i="127"/>
  <c r="P160" i="127"/>
  <c r="L160" i="127"/>
  <c r="H160" i="127"/>
  <c r="K160" i="127"/>
  <c r="I160" i="127"/>
  <c r="N160" i="127"/>
  <c r="Q160" i="127"/>
  <c r="J160" i="127"/>
  <c r="F160" i="127"/>
  <c r="O160" i="127"/>
  <c r="M160" i="127"/>
  <c r="G160" i="127"/>
  <c r="R249" i="127"/>
  <c r="J436" i="127"/>
  <c r="N436" i="127"/>
  <c r="I436" i="127"/>
  <c r="O436" i="127"/>
  <c r="F436" i="127"/>
  <c r="G436" i="127"/>
  <c r="L436" i="127"/>
  <c r="Q436" i="127"/>
  <c r="H436" i="127"/>
  <c r="M436" i="127"/>
  <c r="P436" i="127"/>
  <c r="K436" i="127"/>
  <c r="I431" i="127"/>
  <c r="M431" i="127"/>
  <c r="Q431" i="127"/>
  <c r="J431" i="127"/>
  <c r="K431" i="127"/>
  <c r="P431" i="127"/>
  <c r="F431" i="127"/>
  <c r="G431" i="127"/>
  <c r="N431" i="127"/>
  <c r="H431" i="127"/>
  <c r="O431" i="127"/>
  <c r="L431" i="127"/>
  <c r="G429" i="127"/>
  <c r="K429" i="127"/>
  <c r="O429" i="127"/>
  <c r="F429" i="127"/>
  <c r="H429" i="127"/>
  <c r="L429" i="127"/>
  <c r="P429" i="127"/>
  <c r="I429" i="127"/>
  <c r="Q429" i="127"/>
  <c r="M429" i="127"/>
  <c r="N429" i="127"/>
  <c r="J429" i="127"/>
  <c r="I439" i="127"/>
  <c r="M439" i="127"/>
  <c r="Q439" i="127"/>
  <c r="H439" i="127"/>
  <c r="N439" i="127"/>
  <c r="K439" i="127"/>
  <c r="P439" i="127"/>
  <c r="F439" i="127"/>
  <c r="G439" i="127"/>
  <c r="L439" i="127"/>
  <c r="J439" i="127"/>
  <c r="O439" i="127"/>
  <c r="H430" i="127"/>
  <c r="L430" i="127"/>
  <c r="P430" i="127"/>
  <c r="I430" i="127"/>
  <c r="M430" i="127"/>
  <c r="Q430" i="127"/>
  <c r="N430" i="127"/>
  <c r="J430" i="127"/>
  <c r="K430" i="127"/>
  <c r="F430" i="127"/>
  <c r="G430" i="127"/>
  <c r="O430" i="127"/>
  <c r="H438" i="127"/>
  <c r="L438" i="127"/>
  <c r="P438" i="127"/>
  <c r="I438" i="127"/>
  <c r="N438" i="127"/>
  <c r="K438" i="127"/>
  <c r="Q438" i="127"/>
  <c r="G438" i="127"/>
  <c r="M438" i="127"/>
  <c r="F438" i="127"/>
  <c r="O438" i="127"/>
  <c r="J438" i="127"/>
  <c r="G437" i="127"/>
  <c r="K437" i="127"/>
  <c r="O437" i="127"/>
  <c r="F437" i="127"/>
  <c r="I437" i="127"/>
  <c r="N437" i="127"/>
  <c r="L437" i="127"/>
  <c r="Q437" i="127"/>
  <c r="H437" i="127"/>
  <c r="M437" i="127"/>
  <c r="J437" i="127"/>
  <c r="P437" i="127"/>
  <c r="J428" i="127"/>
  <c r="N428" i="127"/>
  <c r="G428" i="127"/>
  <c r="K428" i="127"/>
  <c r="O428" i="127"/>
  <c r="L428" i="127"/>
  <c r="H428" i="127"/>
  <c r="P428" i="127"/>
  <c r="F428" i="127"/>
  <c r="I428" i="127"/>
  <c r="Q428" i="127"/>
  <c r="M428" i="127"/>
  <c r="J432" i="127"/>
  <c r="N432" i="127"/>
  <c r="K432" i="127"/>
  <c r="P432" i="127"/>
  <c r="H432" i="127"/>
  <c r="M432" i="127"/>
  <c r="I432" i="127"/>
  <c r="O432" i="127"/>
  <c r="G432" i="127"/>
  <c r="Q432" i="127"/>
  <c r="F432" i="127"/>
  <c r="L432" i="127"/>
  <c r="J440" i="127"/>
  <c r="N440" i="127"/>
  <c r="H440" i="127"/>
  <c r="M440" i="127"/>
  <c r="K440" i="127"/>
  <c r="P440" i="127"/>
  <c r="G440" i="127"/>
  <c r="L440" i="127"/>
  <c r="Q440" i="127"/>
  <c r="F440" i="127"/>
  <c r="O440" i="127"/>
  <c r="I440" i="127"/>
  <c r="I443" i="127"/>
  <c r="M443" i="127"/>
  <c r="Q443" i="127"/>
  <c r="G443" i="127"/>
  <c r="L443" i="127"/>
  <c r="J443" i="127"/>
  <c r="O443" i="127"/>
  <c r="K443" i="127"/>
  <c r="P443" i="127"/>
  <c r="H443" i="127"/>
  <c r="N443" i="127"/>
  <c r="F443" i="127"/>
  <c r="I435" i="127"/>
  <c r="M435" i="127"/>
  <c r="Q435" i="127"/>
  <c r="J435" i="127"/>
  <c r="O435" i="127"/>
  <c r="G435" i="127"/>
  <c r="L435" i="127"/>
  <c r="H435" i="127"/>
  <c r="N435" i="127"/>
  <c r="F435" i="127"/>
  <c r="K435" i="127"/>
  <c r="P435" i="127"/>
  <c r="H426" i="127"/>
  <c r="L426" i="127"/>
  <c r="P426" i="127"/>
  <c r="I426" i="127"/>
  <c r="M426" i="127"/>
  <c r="Q426" i="127"/>
  <c r="J426" i="127"/>
  <c r="F426" i="127"/>
  <c r="N426" i="127"/>
  <c r="G426" i="127"/>
  <c r="O426" i="127"/>
  <c r="K426" i="127"/>
  <c r="H434" i="127"/>
  <c r="L434" i="127"/>
  <c r="P434" i="127"/>
  <c r="J434" i="127"/>
  <c r="O434" i="127"/>
  <c r="G434" i="127"/>
  <c r="M434" i="127"/>
  <c r="F434" i="127"/>
  <c r="I434" i="127"/>
  <c r="N434" i="127"/>
  <c r="Q434" i="127"/>
  <c r="K434" i="127"/>
  <c r="H442" i="127"/>
  <c r="L442" i="127"/>
  <c r="P442" i="127"/>
  <c r="G442" i="127"/>
  <c r="M442" i="127"/>
  <c r="F442" i="127"/>
  <c r="J442" i="127"/>
  <c r="O442" i="127"/>
  <c r="K442" i="127"/>
  <c r="Q442" i="127"/>
  <c r="I442" i="127"/>
  <c r="N442" i="127"/>
  <c r="G441" i="127"/>
  <c r="K441" i="127"/>
  <c r="O441" i="127"/>
  <c r="F441" i="127"/>
  <c r="H441" i="127"/>
  <c r="M441" i="127"/>
  <c r="J441" i="127"/>
  <c r="P441" i="127"/>
  <c r="L441" i="127"/>
  <c r="Q441" i="127"/>
  <c r="I441" i="127"/>
  <c r="N441" i="127"/>
  <c r="G433" i="127"/>
  <c r="K433" i="127"/>
  <c r="O433" i="127"/>
  <c r="F433" i="127"/>
  <c r="J433" i="127"/>
  <c r="P433" i="127"/>
  <c r="H433" i="127"/>
  <c r="M433" i="127"/>
  <c r="I433" i="127"/>
  <c r="N433" i="127"/>
  <c r="L433" i="127"/>
  <c r="Q433" i="127"/>
  <c r="I427" i="127"/>
  <c r="M427" i="127"/>
  <c r="Q427" i="127"/>
  <c r="J427" i="127"/>
  <c r="N427" i="127"/>
  <c r="G427" i="127"/>
  <c r="O427" i="127"/>
  <c r="K427" i="127"/>
  <c r="L427" i="127"/>
  <c r="P427" i="127"/>
  <c r="H427" i="127"/>
  <c r="F427" i="127"/>
  <c r="G425" i="127"/>
  <c r="K425" i="127"/>
  <c r="O425" i="127"/>
  <c r="H425" i="127"/>
  <c r="L425" i="127"/>
  <c r="P425" i="127"/>
  <c r="M425" i="127"/>
  <c r="I425" i="127"/>
  <c r="Q425" i="127"/>
  <c r="F425" i="127"/>
  <c r="J425" i="127"/>
  <c r="N425" i="127"/>
  <c r="I418" i="127"/>
  <c r="M418" i="127"/>
  <c r="Q418" i="127"/>
  <c r="J418" i="127"/>
  <c r="N418" i="127"/>
  <c r="G418" i="127"/>
  <c r="K418" i="127"/>
  <c r="O418" i="127"/>
  <c r="F418" i="127"/>
  <c r="H418" i="127"/>
  <c r="L418" i="127"/>
  <c r="P418" i="127"/>
  <c r="G420" i="127"/>
  <c r="K420" i="127"/>
  <c r="O420" i="127"/>
  <c r="F420" i="127"/>
  <c r="H420" i="127"/>
  <c r="L420" i="127"/>
  <c r="P420" i="127"/>
  <c r="I420" i="127"/>
  <c r="M420" i="127"/>
  <c r="Q420" i="127"/>
  <c r="J420" i="127"/>
  <c r="N420" i="127"/>
  <c r="J419" i="127"/>
  <c r="N419" i="127"/>
  <c r="G419" i="127"/>
  <c r="K419" i="127"/>
  <c r="O419" i="127"/>
  <c r="H419" i="127"/>
  <c r="L419" i="127"/>
  <c r="P419" i="127"/>
  <c r="I419" i="127"/>
  <c r="M419" i="127"/>
  <c r="Q419" i="127"/>
  <c r="F419" i="127"/>
  <c r="H421" i="127"/>
  <c r="L421" i="127"/>
  <c r="P421" i="127"/>
  <c r="I421" i="127"/>
  <c r="M421" i="127"/>
  <c r="Q421" i="127"/>
  <c r="F421" i="127"/>
  <c r="J421" i="127"/>
  <c r="N421" i="127"/>
  <c r="G421" i="127"/>
  <c r="K421" i="127"/>
  <c r="O421" i="127"/>
  <c r="E417" i="127"/>
  <c r="D282" i="81" s="1"/>
  <c r="G416" i="127"/>
  <c r="K416" i="127"/>
  <c r="O416" i="127"/>
  <c r="H416" i="127"/>
  <c r="L416" i="127"/>
  <c r="P416" i="127"/>
  <c r="I416" i="127"/>
  <c r="M416" i="127"/>
  <c r="Q416" i="127"/>
  <c r="F416" i="127"/>
  <c r="J416" i="127"/>
  <c r="N416" i="127"/>
  <c r="P198" i="127"/>
  <c r="E346" i="127"/>
  <c r="D212" i="81" s="1"/>
  <c r="N156" i="127"/>
  <c r="Q156" i="127"/>
  <c r="O156" i="127"/>
  <c r="M156" i="127"/>
  <c r="I374" i="127"/>
  <c r="I375" i="127" s="1"/>
  <c r="M374" i="127"/>
  <c r="M375" i="127" s="1"/>
  <c r="Q374" i="127"/>
  <c r="Q375" i="127" s="1"/>
  <c r="J374" i="127"/>
  <c r="J375" i="127" s="1"/>
  <c r="N374" i="127"/>
  <c r="N375" i="127" s="1"/>
  <c r="G374" i="127"/>
  <c r="G375" i="127" s="1"/>
  <c r="K374" i="127"/>
  <c r="K375" i="127" s="1"/>
  <c r="O374" i="127"/>
  <c r="O375" i="127" s="1"/>
  <c r="H374" i="127"/>
  <c r="H375" i="127" s="1"/>
  <c r="L374" i="127"/>
  <c r="L375" i="127" s="1"/>
  <c r="P374" i="127"/>
  <c r="P375" i="127" s="1"/>
  <c r="F374" i="127"/>
  <c r="L156" i="127"/>
  <c r="H345" i="127"/>
  <c r="L345" i="127"/>
  <c r="P345" i="127"/>
  <c r="I345" i="127"/>
  <c r="M345" i="127"/>
  <c r="Q345" i="127"/>
  <c r="G345" i="127"/>
  <c r="O345" i="127"/>
  <c r="J345" i="127"/>
  <c r="K345" i="127"/>
  <c r="F345" i="127"/>
  <c r="N345" i="127"/>
  <c r="H353" i="127"/>
  <c r="L353" i="127"/>
  <c r="P353" i="127"/>
  <c r="K353" i="127"/>
  <c r="Q353" i="127"/>
  <c r="G353" i="127"/>
  <c r="M353" i="127"/>
  <c r="F353" i="127"/>
  <c r="I353" i="127"/>
  <c r="N353" i="127"/>
  <c r="J353" i="127"/>
  <c r="O353" i="127"/>
  <c r="H361" i="127"/>
  <c r="L361" i="127"/>
  <c r="P361" i="127"/>
  <c r="I361" i="127"/>
  <c r="N361" i="127"/>
  <c r="J361" i="127"/>
  <c r="O361" i="127"/>
  <c r="K361" i="127"/>
  <c r="Q361" i="127"/>
  <c r="M361" i="127"/>
  <c r="F361" i="127"/>
  <c r="G361" i="127"/>
  <c r="G348" i="127"/>
  <c r="K348" i="127"/>
  <c r="O348" i="127"/>
  <c r="H348" i="127"/>
  <c r="M348" i="127"/>
  <c r="I348" i="127"/>
  <c r="N348" i="127"/>
  <c r="F348" i="127"/>
  <c r="J348" i="127"/>
  <c r="P348" i="127"/>
  <c r="L348" i="127"/>
  <c r="Q348" i="127"/>
  <c r="G360" i="127"/>
  <c r="K360" i="127"/>
  <c r="O360" i="127"/>
  <c r="I360" i="127"/>
  <c r="N360" i="127"/>
  <c r="J360" i="127"/>
  <c r="P360" i="127"/>
  <c r="L360" i="127"/>
  <c r="Q360" i="127"/>
  <c r="F360" i="127"/>
  <c r="H360" i="127"/>
  <c r="M360" i="127"/>
  <c r="J347" i="127"/>
  <c r="N347" i="127"/>
  <c r="F347" i="127"/>
  <c r="H347" i="127"/>
  <c r="M347" i="127"/>
  <c r="I347" i="127"/>
  <c r="O347" i="127"/>
  <c r="K347" i="127"/>
  <c r="P347" i="127"/>
  <c r="G347" i="127"/>
  <c r="L347" i="127"/>
  <c r="Q347" i="127"/>
  <c r="J355" i="127"/>
  <c r="N355" i="127"/>
  <c r="F355" i="127"/>
  <c r="K355" i="127"/>
  <c r="P355" i="127"/>
  <c r="G355" i="127"/>
  <c r="L355" i="127"/>
  <c r="Q355" i="127"/>
  <c r="H355" i="127"/>
  <c r="M355" i="127"/>
  <c r="O355" i="127"/>
  <c r="I355" i="127"/>
  <c r="J363" i="127"/>
  <c r="N363" i="127"/>
  <c r="F363" i="127"/>
  <c r="H363" i="127"/>
  <c r="M363" i="127"/>
  <c r="I363" i="127"/>
  <c r="O363" i="127"/>
  <c r="K363" i="127"/>
  <c r="P363" i="127"/>
  <c r="L363" i="127"/>
  <c r="Q363" i="127"/>
  <c r="G363" i="127"/>
  <c r="I354" i="127"/>
  <c r="M354" i="127"/>
  <c r="Q354" i="127"/>
  <c r="K354" i="127"/>
  <c r="P354" i="127"/>
  <c r="G354" i="127"/>
  <c r="L354" i="127"/>
  <c r="H354" i="127"/>
  <c r="N354" i="127"/>
  <c r="F354" i="127"/>
  <c r="J354" i="127"/>
  <c r="O354" i="127"/>
  <c r="G364" i="127"/>
  <c r="K364" i="127"/>
  <c r="O364" i="127"/>
  <c r="H364" i="127"/>
  <c r="M364" i="127"/>
  <c r="I364" i="127"/>
  <c r="N364" i="127"/>
  <c r="F364" i="127"/>
  <c r="J364" i="127"/>
  <c r="P364" i="127"/>
  <c r="L364" i="127"/>
  <c r="Q364" i="127"/>
  <c r="H349" i="127"/>
  <c r="L349" i="127"/>
  <c r="P349" i="127"/>
  <c r="G349" i="127"/>
  <c r="M349" i="127"/>
  <c r="I349" i="127"/>
  <c r="N349" i="127"/>
  <c r="J349" i="127"/>
  <c r="O349" i="127"/>
  <c r="F349" i="127"/>
  <c r="K349" i="127"/>
  <c r="Q349" i="127"/>
  <c r="H357" i="127"/>
  <c r="L357" i="127"/>
  <c r="P357" i="127"/>
  <c r="J357" i="127"/>
  <c r="O357" i="127"/>
  <c r="F357" i="127"/>
  <c r="K357" i="127"/>
  <c r="Q357" i="127"/>
  <c r="G357" i="127"/>
  <c r="M357" i="127"/>
  <c r="N357" i="127"/>
  <c r="I357" i="127"/>
  <c r="D370" i="127"/>
  <c r="H368" i="127"/>
  <c r="H369" i="127" s="1"/>
  <c r="L368" i="127"/>
  <c r="L369" i="127" s="1"/>
  <c r="P368" i="127"/>
  <c r="P369" i="127" s="1"/>
  <c r="I368" i="127"/>
  <c r="I369" i="127" s="1"/>
  <c r="M368" i="127"/>
  <c r="M369" i="127" s="1"/>
  <c r="Q368" i="127"/>
  <c r="Q369" i="127" s="1"/>
  <c r="F368" i="127"/>
  <c r="F369" i="127" s="1"/>
  <c r="K368" i="127"/>
  <c r="K369" i="127" s="1"/>
  <c r="N368" i="127"/>
  <c r="N369" i="127" s="1"/>
  <c r="G368" i="127"/>
  <c r="G369" i="127" s="1"/>
  <c r="O368" i="127"/>
  <c r="O369" i="127" s="1"/>
  <c r="J368" i="127"/>
  <c r="J369" i="127" s="1"/>
  <c r="J351" i="127"/>
  <c r="N351" i="127"/>
  <c r="F351" i="127"/>
  <c r="G351" i="127"/>
  <c r="L351" i="127"/>
  <c r="Q351" i="127"/>
  <c r="H351" i="127"/>
  <c r="M351" i="127"/>
  <c r="I351" i="127"/>
  <c r="O351" i="127"/>
  <c r="K351" i="127"/>
  <c r="P351" i="127"/>
  <c r="J359" i="127"/>
  <c r="N359" i="127"/>
  <c r="F359" i="127"/>
  <c r="I359" i="127"/>
  <c r="O359" i="127"/>
  <c r="K359" i="127"/>
  <c r="P359" i="127"/>
  <c r="G359" i="127"/>
  <c r="L359" i="127"/>
  <c r="Q359" i="127"/>
  <c r="M359" i="127"/>
  <c r="H359" i="127"/>
  <c r="G352" i="127"/>
  <c r="K352" i="127"/>
  <c r="O352" i="127"/>
  <c r="L352" i="127"/>
  <c r="Q352" i="127"/>
  <c r="F352" i="127"/>
  <c r="H352" i="127"/>
  <c r="M352" i="127"/>
  <c r="I352" i="127"/>
  <c r="N352" i="127"/>
  <c r="J352" i="127"/>
  <c r="P352" i="127"/>
  <c r="I358" i="127"/>
  <c r="M358" i="127"/>
  <c r="Q358" i="127"/>
  <c r="J358" i="127"/>
  <c r="O358" i="127"/>
  <c r="K358" i="127"/>
  <c r="P358" i="127"/>
  <c r="F358" i="127"/>
  <c r="G358" i="127"/>
  <c r="L358" i="127"/>
  <c r="H358" i="127"/>
  <c r="N358" i="127"/>
  <c r="G356" i="127"/>
  <c r="K356" i="127"/>
  <c r="O356" i="127"/>
  <c r="J356" i="127"/>
  <c r="P356" i="127"/>
  <c r="L356" i="127"/>
  <c r="Q356" i="127"/>
  <c r="H356" i="127"/>
  <c r="M356" i="127"/>
  <c r="I356" i="127"/>
  <c r="F356" i="127"/>
  <c r="N356" i="127"/>
  <c r="I362" i="127"/>
  <c r="M362" i="127"/>
  <c r="Q362" i="127"/>
  <c r="H362" i="127"/>
  <c r="N362" i="127"/>
  <c r="F362" i="127"/>
  <c r="J362" i="127"/>
  <c r="O362" i="127"/>
  <c r="K362" i="127"/>
  <c r="P362" i="127"/>
  <c r="G362" i="127"/>
  <c r="L362" i="127"/>
  <c r="I350" i="127"/>
  <c r="M350" i="127"/>
  <c r="Q350" i="127"/>
  <c r="G350" i="127"/>
  <c r="L350" i="127"/>
  <c r="H350" i="127"/>
  <c r="N350" i="127"/>
  <c r="J350" i="127"/>
  <c r="O350" i="127"/>
  <c r="K350" i="127"/>
  <c r="P350" i="127"/>
  <c r="F350" i="127"/>
  <c r="H302" i="127"/>
  <c r="L302" i="127"/>
  <c r="P302" i="127"/>
  <c r="I302" i="127"/>
  <c r="M302" i="127"/>
  <c r="Q302" i="127"/>
  <c r="N302" i="127"/>
  <c r="G302" i="127"/>
  <c r="O302" i="127"/>
  <c r="J302" i="127"/>
  <c r="K302" i="127"/>
  <c r="F302" i="127"/>
  <c r="G297" i="127"/>
  <c r="K297" i="127"/>
  <c r="O297" i="127"/>
  <c r="H297" i="127"/>
  <c r="L297" i="127"/>
  <c r="P297" i="127"/>
  <c r="M297" i="127"/>
  <c r="N297" i="127"/>
  <c r="J297" i="127"/>
  <c r="Q297" i="127"/>
  <c r="I297" i="127"/>
  <c r="F297" i="127"/>
  <c r="G305" i="127"/>
  <c r="K305" i="127"/>
  <c r="O305" i="127"/>
  <c r="H305" i="127"/>
  <c r="L305" i="127"/>
  <c r="P305" i="127"/>
  <c r="M305" i="127"/>
  <c r="N305" i="127"/>
  <c r="I305" i="127"/>
  <c r="J305" i="127"/>
  <c r="F305" i="127"/>
  <c r="Q305" i="127"/>
  <c r="G313" i="127"/>
  <c r="K313" i="127"/>
  <c r="O313" i="127"/>
  <c r="H313" i="127"/>
  <c r="L313" i="127"/>
  <c r="P313" i="127"/>
  <c r="M313" i="127"/>
  <c r="N313" i="127"/>
  <c r="J313" i="127"/>
  <c r="Q313" i="127"/>
  <c r="I313" i="127"/>
  <c r="F313" i="127"/>
  <c r="J322" i="127"/>
  <c r="N322" i="127"/>
  <c r="G322" i="127"/>
  <c r="K322" i="127"/>
  <c r="O322" i="127"/>
  <c r="M322" i="127"/>
  <c r="F322" i="127"/>
  <c r="H322" i="127"/>
  <c r="P322" i="127"/>
  <c r="I322" i="127"/>
  <c r="Q322" i="127"/>
  <c r="L322" i="127"/>
  <c r="G339" i="127"/>
  <c r="K339" i="127"/>
  <c r="O339" i="127"/>
  <c r="H339" i="127"/>
  <c r="L339" i="127"/>
  <c r="P339" i="127"/>
  <c r="I339" i="127"/>
  <c r="Q339" i="127"/>
  <c r="J339" i="127"/>
  <c r="F339" i="127"/>
  <c r="M339" i="127"/>
  <c r="N339" i="127"/>
  <c r="J296" i="127"/>
  <c r="N296" i="127"/>
  <c r="G296" i="127"/>
  <c r="K296" i="127"/>
  <c r="O296" i="127"/>
  <c r="H296" i="127"/>
  <c r="P296" i="127"/>
  <c r="I296" i="127"/>
  <c r="Q296" i="127"/>
  <c r="F296" i="127"/>
  <c r="L296" i="127"/>
  <c r="M296" i="127"/>
  <c r="J338" i="127"/>
  <c r="N338" i="127"/>
  <c r="G338" i="127"/>
  <c r="K338" i="127"/>
  <c r="O338" i="127"/>
  <c r="L338" i="127"/>
  <c r="M338" i="127"/>
  <c r="H338" i="127"/>
  <c r="P338" i="127"/>
  <c r="Q338" i="127"/>
  <c r="I338" i="127"/>
  <c r="F338" i="127"/>
  <c r="H314" i="127"/>
  <c r="L314" i="127"/>
  <c r="P314" i="127"/>
  <c r="I314" i="127"/>
  <c r="M314" i="127"/>
  <c r="Q314" i="127"/>
  <c r="J314" i="127"/>
  <c r="K314" i="127"/>
  <c r="O314" i="127"/>
  <c r="F314" i="127"/>
  <c r="G314" i="127"/>
  <c r="N314" i="127"/>
  <c r="I299" i="127"/>
  <c r="M299" i="127"/>
  <c r="Q299" i="127"/>
  <c r="J299" i="127"/>
  <c r="N299" i="127"/>
  <c r="G299" i="127"/>
  <c r="O299" i="127"/>
  <c r="F299" i="127"/>
  <c r="H299" i="127"/>
  <c r="P299" i="127"/>
  <c r="K299" i="127"/>
  <c r="L299" i="127"/>
  <c r="I307" i="127"/>
  <c r="M307" i="127"/>
  <c r="Q307" i="127"/>
  <c r="J307" i="127"/>
  <c r="N307" i="127"/>
  <c r="G307" i="127"/>
  <c r="O307" i="127"/>
  <c r="F307" i="127"/>
  <c r="H307" i="127"/>
  <c r="P307" i="127"/>
  <c r="L307" i="127"/>
  <c r="K307" i="127"/>
  <c r="I315" i="127"/>
  <c r="M315" i="127"/>
  <c r="J315" i="127"/>
  <c r="N315" i="127"/>
  <c r="G315" i="127"/>
  <c r="O315" i="127"/>
  <c r="F315" i="127"/>
  <c r="H315" i="127"/>
  <c r="P315" i="127"/>
  <c r="K315" i="127"/>
  <c r="L315" i="127"/>
  <c r="Q315" i="127"/>
  <c r="H324" i="127"/>
  <c r="L324" i="127"/>
  <c r="P324" i="127"/>
  <c r="I324" i="127"/>
  <c r="M324" i="127"/>
  <c r="Q324" i="127"/>
  <c r="F324" i="127"/>
  <c r="G324" i="127"/>
  <c r="O324" i="127"/>
  <c r="J324" i="127"/>
  <c r="K324" i="127"/>
  <c r="N324" i="127"/>
  <c r="I341" i="127"/>
  <c r="M341" i="127"/>
  <c r="Q341" i="127"/>
  <c r="J341" i="127"/>
  <c r="N341" i="127"/>
  <c r="F341" i="127"/>
  <c r="K341" i="127"/>
  <c r="L341" i="127"/>
  <c r="G341" i="127"/>
  <c r="H341" i="127"/>
  <c r="P341" i="127"/>
  <c r="O341" i="127"/>
  <c r="H316" i="127"/>
  <c r="L316" i="127"/>
  <c r="P316" i="127"/>
  <c r="I316" i="127"/>
  <c r="M316" i="127"/>
  <c r="Q316" i="127"/>
  <c r="F316" i="127"/>
  <c r="G316" i="127"/>
  <c r="O316" i="127"/>
  <c r="J316" i="127"/>
  <c r="K316" i="127"/>
  <c r="N316" i="127"/>
  <c r="H340" i="127"/>
  <c r="L340" i="127"/>
  <c r="P340" i="127"/>
  <c r="F340" i="127"/>
  <c r="I340" i="127"/>
  <c r="M340" i="127"/>
  <c r="Q340" i="127"/>
  <c r="N340" i="127"/>
  <c r="G340" i="127"/>
  <c r="O340" i="127"/>
  <c r="J340" i="127"/>
  <c r="K340" i="127"/>
  <c r="H306" i="127"/>
  <c r="L306" i="127"/>
  <c r="P306" i="127"/>
  <c r="I306" i="127"/>
  <c r="M306" i="127"/>
  <c r="Q306" i="127"/>
  <c r="J306" i="127"/>
  <c r="K306" i="127"/>
  <c r="G306" i="127"/>
  <c r="F306" i="127"/>
  <c r="N306" i="127"/>
  <c r="O306" i="127"/>
  <c r="J318" i="127"/>
  <c r="N318" i="127"/>
  <c r="G318" i="127"/>
  <c r="K318" i="127"/>
  <c r="O318" i="127"/>
  <c r="I318" i="127"/>
  <c r="Q318" i="127"/>
  <c r="L318" i="127"/>
  <c r="M318" i="127"/>
  <c r="F318" i="127"/>
  <c r="H318" i="127"/>
  <c r="P318" i="127"/>
  <c r="I325" i="127"/>
  <c r="M325" i="127"/>
  <c r="Q325" i="127"/>
  <c r="J325" i="127"/>
  <c r="N325" i="127"/>
  <c r="L325" i="127"/>
  <c r="G325" i="127"/>
  <c r="O325" i="127"/>
  <c r="F325" i="127"/>
  <c r="H325" i="127"/>
  <c r="P325" i="127"/>
  <c r="K325" i="127"/>
  <c r="G301" i="127"/>
  <c r="K301" i="127"/>
  <c r="O301" i="127"/>
  <c r="H301" i="127"/>
  <c r="L301" i="127"/>
  <c r="P301" i="127"/>
  <c r="I301" i="127"/>
  <c r="Q301" i="127"/>
  <c r="J301" i="127"/>
  <c r="N301" i="127"/>
  <c r="M301" i="127"/>
  <c r="F301" i="127"/>
  <c r="G309" i="127"/>
  <c r="K309" i="127"/>
  <c r="O309" i="127"/>
  <c r="H309" i="127"/>
  <c r="L309" i="127"/>
  <c r="P309" i="127"/>
  <c r="I309" i="127"/>
  <c r="Q309" i="127"/>
  <c r="J309" i="127"/>
  <c r="M309" i="127"/>
  <c r="F309" i="127"/>
  <c r="N309" i="127"/>
  <c r="I317" i="127"/>
  <c r="M317" i="127"/>
  <c r="Q317" i="127"/>
  <c r="J317" i="127"/>
  <c r="N317" i="127"/>
  <c r="L317" i="127"/>
  <c r="G317" i="127"/>
  <c r="O317" i="127"/>
  <c r="F317" i="127"/>
  <c r="H317" i="127"/>
  <c r="P317" i="127"/>
  <c r="K317" i="127"/>
  <c r="G323" i="127"/>
  <c r="K323" i="127"/>
  <c r="O323" i="127"/>
  <c r="F323" i="127"/>
  <c r="H323" i="127"/>
  <c r="L323" i="127"/>
  <c r="P323" i="127"/>
  <c r="J323" i="127"/>
  <c r="M323" i="127"/>
  <c r="N323" i="127"/>
  <c r="I323" i="127"/>
  <c r="Q323" i="127"/>
  <c r="D331" i="127"/>
  <c r="I329" i="127"/>
  <c r="I330" i="127" s="1"/>
  <c r="M329" i="127"/>
  <c r="M330" i="127" s="1"/>
  <c r="Q329" i="127"/>
  <c r="Q330" i="127" s="1"/>
  <c r="J329" i="127"/>
  <c r="J330" i="127" s="1"/>
  <c r="N329" i="127"/>
  <c r="N330" i="127" s="1"/>
  <c r="F329" i="127"/>
  <c r="K329" i="127"/>
  <c r="K330" i="127" s="1"/>
  <c r="L329" i="127"/>
  <c r="L330" i="127" s="1"/>
  <c r="P329" i="127"/>
  <c r="P330" i="127" s="1"/>
  <c r="O329" i="127"/>
  <c r="O330" i="127" s="1"/>
  <c r="G329" i="127"/>
  <c r="G330" i="127" s="1"/>
  <c r="H329" i="127"/>
  <c r="H330" i="127" s="1"/>
  <c r="J308" i="127"/>
  <c r="N308" i="127"/>
  <c r="G308" i="127"/>
  <c r="K308" i="127"/>
  <c r="O308" i="127"/>
  <c r="L308" i="127"/>
  <c r="M308" i="127"/>
  <c r="F308" i="127"/>
  <c r="Q308" i="127"/>
  <c r="H308" i="127"/>
  <c r="I308" i="127"/>
  <c r="P308" i="127"/>
  <c r="J300" i="127"/>
  <c r="N300" i="127"/>
  <c r="G300" i="127"/>
  <c r="K300" i="127"/>
  <c r="O300" i="127"/>
  <c r="L300" i="127"/>
  <c r="M300" i="127"/>
  <c r="F300" i="127"/>
  <c r="I300" i="127"/>
  <c r="P300" i="127"/>
  <c r="Q300" i="127"/>
  <c r="H300" i="127"/>
  <c r="H298" i="127"/>
  <c r="L298" i="127"/>
  <c r="P298" i="127"/>
  <c r="I298" i="127"/>
  <c r="M298" i="127"/>
  <c r="Q298" i="127"/>
  <c r="J298" i="127"/>
  <c r="K298" i="127"/>
  <c r="O298" i="127"/>
  <c r="F298" i="127"/>
  <c r="N298" i="127"/>
  <c r="G298" i="127"/>
  <c r="H310" i="127"/>
  <c r="L310" i="127"/>
  <c r="P310" i="127"/>
  <c r="I310" i="127"/>
  <c r="M310" i="127"/>
  <c r="Q310" i="127"/>
  <c r="N310" i="127"/>
  <c r="G310" i="127"/>
  <c r="O310" i="127"/>
  <c r="K310" i="127"/>
  <c r="F310" i="127"/>
  <c r="J310" i="127"/>
  <c r="I295" i="127"/>
  <c r="M295" i="127"/>
  <c r="Q295" i="127"/>
  <c r="J295" i="127"/>
  <c r="N295" i="127"/>
  <c r="K295" i="127"/>
  <c r="L295" i="127"/>
  <c r="P295" i="127"/>
  <c r="G295" i="127"/>
  <c r="H295" i="127"/>
  <c r="O295" i="127"/>
  <c r="I303" i="127"/>
  <c r="M303" i="127"/>
  <c r="Q303" i="127"/>
  <c r="J303" i="127"/>
  <c r="N303" i="127"/>
  <c r="K303" i="127"/>
  <c r="F303" i="127"/>
  <c r="L303" i="127"/>
  <c r="H303" i="127"/>
  <c r="O303" i="127"/>
  <c r="P303" i="127"/>
  <c r="G303" i="127"/>
  <c r="I311" i="127"/>
  <c r="M311" i="127"/>
  <c r="Q311" i="127"/>
  <c r="J311" i="127"/>
  <c r="N311" i="127"/>
  <c r="K311" i="127"/>
  <c r="F311" i="127"/>
  <c r="L311" i="127"/>
  <c r="P311" i="127"/>
  <c r="G311" i="127"/>
  <c r="H311" i="127"/>
  <c r="O311" i="127"/>
  <c r="G319" i="127"/>
  <c r="K319" i="127"/>
  <c r="O319" i="127"/>
  <c r="F319" i="127"/>
  <c r="H319" i="127"/>
  <c r="L319" i="127"/>
  <c r="P319" i="127"/>
  <c r="N319" i="127"/>
  <c r="I319" i="127"/>
  <c r="Q319" i="127"/>
  <c r="J319" i="127"/>
  <c r="M319" i="127"/>
  <c r="H320" i="127"/>
  <c r="L320" i="127"/>
  <c r="P320" i="127"/>
  <c r="I320" i="127"/>
  <c r="M320" i="127"/>
  <c r="Q320" i="127"/>
  <c r="F320" i="127"/>
  <c r="K320" i="127"/>
  <c r="N320" i="127"/>
  <c r="G320" i="127"/>
  <c r="O320" i="127"/>
  <c r="J320" i="127"/>
  <c r="J312" i="127"/>
  <c r="N312" i="127"/>
  <c r="G312" i="127"/>
  <c r="K312" i="127"/>
  <c r="O312" i="127"/>
  <c r="H312" i="127"/>
  <c r="P312" i="127"/>
  <c r="I312" i="127"/>
  <c r="Q312" i="127"/>
  <c r="F312" i="127"/>
  <c r="L312" i="127"/>
  <c r="M312" i="127"/>
  <c r="E304" i="127"/>
  <c r="D170" i="81" s="1"/>
  <c r="J288" i="127"/>
  <c r="N288" i="127"/>
  <c r="G288" i="127"/>
  <c r="K288" i="127"/>
  <c r="O288" i="127"/>
  <c r="F288" i="127"/>
  <c r="H288" i="127"/>
  <c r="P288" i="127"/>
  <c r="I288" i="127"/>
  <c r="Q288" i="127"/>
  <c r="L288" i="127"/>
  <c r="M288" i="127"/>
  <c r="I291" i="127"/>
  <c r="M291" i="127"/>
  <c r="Q291" i="127"/>
  <c r="F291" i="127"/>
  <c r="J291" i="127"/>
  <c r="N291" i="127"/>
  <c r="H291" i="127"/>
  <c r="P291" i="127"/>
  <c r="K291" i="127"/>
  <c r="L291" i="127"/>
  <c r="G291" i="127"/>
  <c r="O291" i="127"/>
  <c r="H198" i="127"/>
  <c r="F198" i="127"/>
  <c r="L198" i="127"/>
  <c r="E290" i="127"/>
  <c r="D156" i="81" s="1"/>
  <c r="H282" i="127"/>
  <c r="L282" i="127"/>
  <c r="P282" i="127"/>
  <c r="I282" i="127"/>
  <c r="M282" i="127"/>
  <c r="Q282" i="127"/>
  <c r="J282" i="127"/>
  <c r="F282" i="127"/>
  <c r="K282" i="127"/>
  <c r="N282" i="127"/>
  <c r="G282" i="127"/>
  <c r="O282" i="127"/>
  <c r="J280" i="127"/>
  <c r="N280" i="127"/>
  <c r="G280" i="127"/>
  <c r="K280" i="127"/>
  <c r="O280" i="127"/>
  <c r="F280" i="127"/>
  <c r="H280" i="127"/>
  <c r="P280" i="127"/>
  <c r="I280" i="127"/>
  <c r="Q280" i="127"/>
  <c r="L280" i="127"/>
  <c r="M280" i="127"/>
  <c r="G281" i="127"/>
  <c r="K281" i="127"/>
  <c r="O281" i="127"/>
  <c r="H281" i="127"/>
  <c r="L281" i="127"/>
  <c r="P281" i="127"/>
  <c r="M281" i="127"/>
  <c r="N281" i="127"/>
  <c r="I281" i="127"/>
  <c r="Q281" i="127"/>
  <c r="J281" i="127"/>
  <c r="F281" i="127"/>
  <c r="G289" i="127"/>
  <c r="K289" i="127"/>
  <c r="O289" i="127"/>
  <c r="H289" i="127"/>
  <c r="L289" i="127"/>
  <c r="P289" i="127"/>
  <c r="M289" i="127"/>
  <c r="N289" i="127"/>
  <c r="I289" i="127"/>
  <c r="Q289" i="127"/>
  <c r="J289" i="127"/>
  <c r="F289" i="127"/>
  <c r="I279" i="127"/>
  <c r="M279" i="127"/>
  <c r="Q279" i="127"/>
  <c r="J279" i="127"/>
  <c r="N279" i="127"/>
  <c r="F279" i="127"/>
  <c r="K279" i="127"/>
  <c r="L279" i="127"/>
  <c r="G279" i="127"/>
  <c r="O279" i="127"/>
  <c r="H279" i="127"/>
  <c r="P279" i="127"/>
  <c r="N198" i="127"/>
  <c r="Q198" i="127"/>
  <c r="K198" i="127"/>
  <c r="J284" i="127"/>
  <c r="N284" i="127"/>
  <c r="G284" i="127"/>
  <c r="K284" i="127"/>
  <c r="O284" i="127"/>
  <c r="F284" i="127"/>
  <c r="L284" i="127"/>
  <c r="M284" i="127"/>
  <c r="H284" i="127"/>
  <c r="P284" i="127"/>
  <c r="I284" i="127"/>
  <c r="Q284" i="127"/>
  <c r="G285" i="127"/>
  <c r="K285" i="127"/>
  <c r="O285" i="127"/>
  <c r="H285" i="127"/>
  <c r="L285" i="127"/>
  <c r="P285" i="127"/>
  <c r="I285" i="127"/>
  <c r="Q285" i="127"/>
  <c r="J285" i="127"/>
  <c r="F285" i="127"/>
  <c r="M285" i="127"/>
  <c r="N285" i="127"/>
  <c r="H286" i="127"/>
  <c r="L286" i="127"/>
  <c r="P286" i="127"/>
  <c r="I286" i="127"/>
  <c r="M286" i="127"/>
  <c r="Q286" i="127"/>
  <c r="N286" i="127"/>
  <c r="G286" i="127"/>
  <c r="O286" i="127"/>
  <c r="J286" i="127"/>
  <c r="F286" i="127"/>
  <c r="K286" i="127"/>
  <c r="I283" i="127"/>
  <c r="M283" i="127"/>
  <c r="Q283" i="127"/>
  <c r="F283" i="127"/>
  <c r="J283" i="127"/>
  <c r="N283" i="127"/>
  <c r="G283" i="127"/>
  <c r="O283" i="127"/>
  <c r="H283" i="127"/>
  <c r="P283" i="127"/>
  <c r="K283" i="127"/>
  <c r="L283" i="127"/>
  <c r="I287" i="127"/>
  <c r="M287" i="127"/>
  <c r="Q287" i="127"/>
  <c r="F287" i="127"/>
  <c r="J287" i="127"/>
  <c r="N287" i="127"/>
  <c r="K287" i="127"/>
  <c r="L287" i="127"/>
  <c r="G287" i="127"/>
  <c r="O287" i="127"/>
  <c r="H287" i="127"/>
  <c r="P287" i="127"/>
  <c r="O198" i="127"/>
  <c r="M198" i="127"/>
  <c r="G198" i="127"/>
  <c r="I274" i="127"/>
  <c r="M274" i="127"/>
  <c r="Q274" i="127"/>
  <c r="G274" i="127"/>
  <c r="O274" i="127"/>
  <c r="J274" i="127"/>
  <c r="N274" i="127"/>
  <c r="K274" i="127"/>
  <c r="L274" i="127"/>
  <c r="P274" i="127"/>
  <c r="F274" i="127"/>
  <c r="H274" i="127"/>
  <c r="O252" i="127"/>
  <c r="O253" i="127" s="1"/>
  <c r="K252" i="127"/>
  <c r="K253" i="127" s="1"/>
  <c r="G252" i="127"/>
  <c r="N252" i="127"/>
  <c r="N253" i="127" s="1"/>
  <c r="J252" i="127"/>
  <c r="J253" i="127" s="1"/>
  <c r="F252" i="127"/>
  <c r="F253" i="127" s="1"/>
  <c r="L252" i="127"/>
  <c r="L253" i="127" s="1"/>
  <c r="M252" i="127"/>
  <c r="M253" i="127" s="1"/>
  <c r="Q252" i="127"/>
  <c r="Q253" i="127" s="1"/>
  <c r="I252" i="127"/>
  <c r="I253" i="127" s="1"/>
  <c r="P252" i="127"/>
  <c r="P253" i="127" s="1"/>
  <c r="H252" i="127"/>
  <c r="H253" i="127" s="1"/>
  <c r="H260" i="127"/>
  <c r="L260" i="127"/>
  <c r="P260" i="127"/>
  <c r="J260" i="127"/>
  <c r="I260" i="127"/>
  <c r="M260" i="127"/>
  <c r="Q260" i="127"/>
  <c r="N260" i="127"/>
  <c r="O260" i="127"/>
  <c r="G260" i="127"/>
  <c r="F260" i="127"/>
  <c r="K260" i="127"/>
  <c r="H268" i="127"/>
  <c r="L268" i="127"/>
  <c r="P268" i="127"/>
  <c r="I268" i="127"/>
  <c r="M268" i="127"/>
  <c r="Q268" i="127"/>
  <c r="G268" i="127"/>
  <c r="O268" i="127"/>
  <c r="N268" i="127"/>
  <c r="J268" i="127"/>
  <c r="K268" i="127"/>
  <c r="F268" i="127"/>
  <c r="G259" i="127"/>
  <c r="K259" i="127"/>
  <c r="O259" i="127"/>
  <c r="I259" i="127"/>
  <c r="Q259" i="127"/>
  <c r="H259" i="127"/>
  <c r="L259" i="127"/>
  <c r="P259" i="127"/>
  <c r="M259" i="127"/>
  <c r="J259" i="127"/>
  <c r="N259" i="127"/>
  <c r="J262" i="127"/>
  <c r="N262" i="127"/>
  <c r="G262" i="127"/>
  <c r="K262" i="127"/>
  <c r="O262" i="127"/>
  <c r="F262" i="127"/>
  <c r="I262" i="127"/>
  <c r="Q262" i="127"/>
  <c r="H262" i="127"/>
  <c r="L262" i="127"/>
  <c r="M262" i="127"/>
  <c r="P262" i="127"/>
  <c r="H273" i="127"/>
  <c r="L273" i="127"/>
  <c r="P273" i="127"/>
  <c r="J273" i="127"/>
  <c r="N273" i="127"/>
  <c r="I273" i="127"/>
  <c r="M273" i="127"/>
  <c r="Q273" i="127"/>
  <c r="F273" i="127"/>
  <c r="G273" i="127"/>
  <c r="K273" i="127"/>
  <c r="O273" i="127"/>
  <c r="I269" i="127"/>
  <c r="M269" i="127"/>
  <c r="Q269" i="127"/>
  <c r="J269" i="127"/>
  <c r="N269" i="127"/>
  <c r="L269" i="127"/>
  <c r="G269" i="127"/>
  <c r="O269" i="127"/>
  <c r="H269" i="127"/>
  <c r="P269" i="127"/>
  <c r="K269" i="127"/>
  <c r="J258" i="127"/>
  <c r="N258" i="127"/>
  <c r="H258" i="127"/>
  <c r="P258" i="127"/>
  <c r="G258" i="127"/>
  <c r="K258" i="127"/>
  <c r="O258" i="127"/>
  <c r="F258" i="127"/>
  <c r="L258" i="127"/>
  <c r="Q258" i="127"/>
  <c r="I258" i="127"/>
  <c r="M258" i="127"/>
  <c r="J266" i="127"/>
  <c r="N266" i="127"/>
  <c r="G266" i="127"/>
  <c r="K266" i="127"/>
  <c r="O266" i="127"/>
  <c r="F266" i="127"/>
  <c r="M266" i="127"/>
  <c r="L266" i="127"/>
  <c r="H266" i="127"/>
  <c r="P266" i="127"/>
  <c r="I266" i="127"/>
  <c r="Q266" i="127"/>
  <c r="I265" i="127"/>
  <c r="M265" i="127"/>
  <c r="Q265" i="127"/>
  <c r="F265" i="127"/>
  <c r="J265" i="127"/>
  <c r="N265" i="127"/>
  <c r="H265" i="127"/>
  <c r="P265" i="127"/>
  <c r="O265" i="127"/>
  <c r="K265" i="127"/>
  <c r="L265" i="127"/>
  <c r="G265" i="127"/>
  <c r="G267" i="127"/>
  <c r="K267" i="127"/>
  <c r="O267" i="127"/>
  <c r="H267" i="127"/>
  <c r="L267" i="127"/>
  <c r="P267" i="127"/>
  <c r="J267" i="127"/>
  <c r="Q267" i="127"/>
  <c r="M267" i="127"/>
  <c r="F267" i="127"/>
  <c r="N267" i="127"/>
  <c r="I267" i="127"/>
  <c r="Q148" i="127"/>
  <c r="K145" i="127"/>
  <c r="H256" i="127"/>
  <c r="L256" i="127"/>
  <c r="P256" i="127"/>
  <c r="J256" i="127"/>
  <c r="N256" i="127"/>
  <c r="I256" i="127"/>
  <c r="M256" i="127"/>
  <c r="Q256" i="127"/>
  <c r="F256" i="127"/>
  <c r="K256" i="127"/>
  <c r="O256" i="127"/>
  <c r="G256" i="127"/>
  <c r="H264" i="127"/>
  <c r="L264" i="127"/>
  <c r="P264" i="127"/>
  <c r="I264" i="127"/>
  <c r="M264" i="127"/>
  <c r="Q264" i="127"/>
  <c r="K264" i="127"/>
  <c r="F264" i="127"/>
  <c r="J264" i="127"/>
  <c r="N264" i="127"/>
  <c r="G264" i="127"/>
  <c r="O264" i="127"/>
  <c r="J275" i="127"/>
  <c r="N275" i="127"/>
  <c r="F275" i="127"/>
  <c r="H275" i="127"/>
  <c r="L275" i="127"/>
  <c r="G275" i="127"/>
  <c r="K275" i="127"/>
  <c r="O275" i="127"/>
  <c r="P275" i="127"/>
  <c r="Q275" i="127"/>
  <c r="M275" i="127"/>
  <c r="I275" i="127"/>
  <c r="I261" i="127"/>
  <c r="M261" i="127"/>
  <c r="Q261" i="127"/>
  <c r="F261" i="127"/>
  <c r="J261" i="127"/>
  <c r="N261" i="127"/>
  <c r="L261" i="127"/>
  <c r="K261" i="127"/>
  <c r="G261" i="127"/>
  <c r="O261" i="127"/>
  <c r="H261" i="127"/>
  <c r="P261" i="127"/>
  <c r="I257" i="127"/>
  <c r="M257" i="127"/>
  <c r="Q257" i="127"/>
  <c r="F257" i="127"/>
  <c r="K257" i="127"/>
  <c r="O257" i="127"/>
  <c r="J257" i="127"/>
  <c r="N257" i="127"/>
  <c r="G257" i="127"/>
  <c r="P257" i="127"/>
  <c r="L257" i="127"/>
  <c r="H257" i="127"/>
  <c r="G263" i="127"/>
  <c r="K263" i="127"/>
  <c r="O263" i="127"/>
  <c r="H263" i="127"/>
  <c r="L263" i="127"/>
  <c r="P263" i="127"/>
  <c r="N263" i="127"/>
  <c r="M263" i="127"/>
  <c r="I263" i="127"/>
  <c r="Q263" i="127"/>
  <c r="J263" i="127"/>
  <c r="F263" i="127"/>
  <c r="K150" i="127"/>
  <c r="J146" i="127"/>
  <c r="I197" i="127"/>
  <c r="M197" i="127"/>
  <c r="Q197" i="127"/>
  <c r="J197" i="127"/>
  <c r="N197" i="127"/>
  <c r="G197" i="127"/>
  <c r="O197" i="127"/>
  <c r="F197" i="127"/>
  <c r="H197" i="127"/>
  <c r="P197" i="127"/>
  <c r="K197" i="127"/>
  <c r="L197" i="127"/>
  <c r="G176" i="127"/>
  <c r="K176" i="127"/>
  <c r="O176" i="127"/>
  <c r="M176" i="127"/>
  <c r="H176" i="127"/>
  <c r="L176" i="127"/>
  <c r="P176" i="127"/>
  <c r="F176" i="127"/>
  <c r="I176" i="127"/>
  <c r="Q176" i="127"/>
  <c r="J176" i="127"/>
  <c r="N176" i="127"/>
  <c r="I241" i="127"/>
  <c r="M241" i="127"/>
  <c r="Q241" i="127"/>
  <c r="J241" i="127"/>
  <c r="N241" i="127"/>
  <c r="K241" i="127"/>
  <c r="F241" i="127"/>
  <c r="L241" i="127"/>
  <c r="G241" i="127"/>
  <c r="O241" i="127"/>
  <c r="P241" i="127"/>
  <c r="H241" i="127"/>
  <c r="H202" i="127"/>
  <c r="L202" i="127"/>
  <c r="P202" i="127"/>
  <c r="I202" i="127"/>
  <c r="M202" i="127"/>
  <c r="Q202" i="127"/>
  <c r="F202" i="127"/>
  <c r="J202" i="127"/>
  <c r="N202" i="127"/>
  <c r="G202" i="127"/>
  <c r="K202" i="127"/>
  <c r="O202" i="127"/>
  <c r="I166" i="127"/>
  <c r="M166" i="127"/>
  <c r="Q166" i="127"/>
  <c r="J166" i="127"/>
  <c r="N166" i="127"/>
  <c r="K166" i="127"/>
  <c r="O166" i="127"/>
  <c r="P166" i="127"/>
  <c r="L166" i="127"/>
  <c r="F166" i="127"/>
  <c r="G166" i="127"/>
  <c r="H166" i="127"/>
  <c r="J183" i="127"/>
  <c r="N183" i="127"/>
  <c r="F183" i="127"/>
  <c r="L183" i="127"/>
  <c r="G183" i="127"/>
  <c r="K183" i="127"/>
  <c r="O183" i="127"/>
  <c r="H183" i="127"/>
  <c r="P183" i="127"/>
  <c r="I183" i="127"/>
  <c r="M183" i="127"/>
  <c r="Q183" i="127"/>
  <c r="H206" i="127"/>
  <c r="L206" i="127"/>
  <c r="P206" i="127"/>
  <c r="I206" i="127"/>
  <c r="M206" i="127"/>
  <c r="Q206" i="127"/>
  <c r="F206" i="127"/>
  <c r="N206" i="127"/>
  <c r="J206" i="127"/>
  <c r="G206" i="127"/>
  <c r="O206" i="127"/>
  <c r="K206" i="127"/>
  <c r="J207" i="127"/>
  <c r="N207" i="127"/>
  <c r="G207" i="127"/>
  <c r="K207" i="127"/>
  <c r="O207" i="127"/>
  <c r="H207" i="127"/>
  <c r="P207" i="127"/>
  <c r="M207" i="127"/>
  <c r="I207" i="127"/>
  <c r="Q207" i="127"/>
  <c r="F207" i="127"/>
  <c r="L207" i="127"/>
  <c r="J238" i="127"/>
  <c r="N238" i="127"/>
  <c r="G238" i="127"/>
  <c r="K238" i="127"/>
  <c r="O238" i="127"/>
  <c r="L238" i="127"/>
  <c r="M238" i="127"/>
  <c r="H238" i="127"/>
  <c r="P238" i="127"/>
  <c r="Q238" i="127"/>
  <c r="I238" i="127"/>
  <c r="F238" i="127"/>
  <c r="H232" i="127"/>
  <c r="L232" i="127"/>
  <c r="P232" i="127"/>
  <c r="I232" i="127"/>
  <c r="M232" i="127"/>
  <c r="Q232" i="127"/>
  <c r="F232" i="127"/>
  <c r="N232" i="127"/>
  <c r="G232" i="127"/>
  <c r="O232" i="127"/>
  <c r="J232" i="127"/>
  <c r="K232" i="127"/>
  <c r="G248" i="127"/>
  <c r="K248" i="127"/>
  <c r="O248" i="127"/>
  <c r="H248" i="127"/>
  <c r="L248" i="127"/>
  <c r="P248" i="127"/>
  <c r="M248" i="127"/>
  <c r="N248" i="127"/>
  <c r="I248" i="127"/>
  <c r="F248" i="127"/>
  <c r="Q248" i="127"/>
  <c r="J248" i="127"/>
  <c r="I246" i="127"/>
  <c r="M246" i="127"/>
  <c r="Q246" i="127"/>
  <c r="F246" i="127"/>
  <c r="J246" i="127"/>
  <c r="N246" i="127"/>
  <c r="K246" i="127"/>
  <c r="L246" i="127"/>
  <c r="O246" i="127"/>
  <c r="P246" i="127"/>
  <c r="G246" i="127"/>
  <c r="H246" i="127"/>
  <c r="H227" i="127"/>
  <c r="L227" i="127"/>
  <c r="P227" i="127"/>
  <c r="I227" i="127"/>
  <c r="M227" i="127"/>
  <c r="Q227" i="127"/>
  <c r="J227" i="127"/>
  <c r="F227" i="127"/>
  <c r="K227" i="127"/>
  <c r="N227" i="127"/>
  <c r="G227" i="127"/>
  <c r="O227" i="127"/>
  <c r="H196" i="127"/>
  <c r="L196" i="127"/>
  <c r="P196" i="127"/>
  <c r="I196" i="127"/>
  <c r="M196" i="127"/>
  <c r="Q196" i="127"/>
  <c r="J196" i="127"/>
  <c r="K196" i="127"/>
  <c r="N196" i="127"/>
  <c r="G196" i="127"/>
  <c r="O196" i="127"/>
  <c r="F196" i="127"/>
  <c r="G201" i="127"/>
  <c r="K201" i="127"/>
  <c r="O201" i="127"/>
  <c r="F201" i="127"/>
  <c r="H201" i="127"/>
  <c r="L201" i="127"/>
  <c r="P201" i="127"/>
  <c r="M201" i="127"/>
  <c r="Q201" i="127"/>
  <c r="N201" i="127"/>
  <c r="I201" i="127"/>
  <c r="J201" i="127"/>
  <c r="G172" i="127"/>
  <c r="K172" i="127"/>
  <c r="O172" i="127"/>
  <c r="I172" i="127"/>
  <c r="Q172" i="127"/>
  <c r="H172" i="127"/>
  <c r="L172" i="127"/>
  <c r="P172" i="127"/>
  <c r="F172" i="127"/>
  <c r="M172" i="127"/>
  <c r="N172" i="127"/>
  <c r="J172" i="127"/>
  <c r="G168" i="127"/>
  <c r="K168" i="127"/>
  <c r="J168" i="127"/>
  <c r="O168" i="127"/>
  <c r="H168" i="127"/>
  <c r="Q168" i="127"/>
  <c r="L168" i="127"/>
  <c r="P168" i="127"/>
  <c r="F168" i="127"/>
  <c r="M168" i="127"/>
  <c r="I168" i="127"/>
  <c r="N168" i="127"/>
  <c r="J171" i="127"/>
  <c r="N171" i="127"/>
  <c r="F171" i="127"/>
  <c r="L171" i="127"/>
  <c r="G171" i="127"/>
  <c r="K171" i="127"/>
  <c r="O171" i="127"/>
  <c r="H171" i="127"/>
  <c r="P171" i="127"/>
  <c r="I171" i="127"/>
  <c r="M171" i="127"/>
  <c r="Q171" i="127"/>
  <c r="H188" i="127"/>
  <c r="L188" i="127"/>
  <c r="P188" i="127"/>
  <c r="I188" i="127"/>
  <c r="M188" i="127"/>
  <c r="Q188" i="127"/>
  <c r="J188" i="127"/>
  <c r="K188" i="127"/>
  <c r="N188" i="127"/>
  <c r="G188" i="127"/>
  <c r="F188" i="127"/>
  <c r="O188" i="127"/>
  <c r="I189" i="127"/>
  <c r="M189" i="127"/>
  <c r="Q189" i="127"/>
  <c r="J189" i="127"/>
  <c r="N189" i="127"/>
  <c r="G189" i="127"/>
  <c r="O189" i="127"/>
  <c r="F189" i="127"/>
  <c r="H189" i="127"/>
  <c r="P189" i="127"/>
  <c r="K189" i="127"/>
  <c r="L189" i="127"/>
  <c r="J167" i="127"/>
  <c r="N167" i="127"/>
  <c r="G167" i="127"/>
  <c r="K167" i="127"/>
  <c r="O167" i="127"/>
  <c r="H167" i="127"/>
  <c r="P167" i="127"/>
  <c r="F167" i="127"/>
  <c r="I167" i="127"/>
  <c r="Q167" i="127"/>
  <c r="L167" i="127"/>
  <c r="M167" i="127"/>
  <c r="J204" i="127"/>
  <c r="N204" i="127"/>
  <c r="G204" i="127"/>
  <c r="K204" i="127"/>
  <c r="O204" i="127"/>
  <c r="L204" i="127"/>
  <c r="P204" i="127"/>
  <c r="F204" i="127"/>
  <c r="M204" i="127"/>
  <c r="H204" i="127"/>
  <c r="I204" i="127"/>
  <c r="Q204" i="127"/>
  <c r="G239" i="127"/>
  <c r="K239" i="127"/>
  <c r="O239" i="127"/>
  <c r="F239" i="127"/>
  <c r="H239" i="127"/>
  <c r="L239" i="127"/>
  <c r="P239" i="127"/>
  <c r="I239" i="127"/>
  <c r="Q239" i="127"/>
  <c r="J239" i="127"/>
  <c r="M239" i="127"/>
  <c r="N239" i="127"/>
  <c r="J190" i="127"/>
  <c r="N190" i="127"/>
  <c r="G190" i="127"/>
  <c r="K190" i="127"/>
  <c r="O190" i="127"/>
  <c r="L190" i="127"/>
  <c r="M190" i="127"/>
  <c r="F190" i="127"/>
  <c r="H190" i="127"/>
  <c r="P190" i="127"/>
  <c r="Q190" i="127"/>
  <c r="I190" i="127"/>
  <c r="I237" i="127"/>
  <c r="M237" i="127"/>
  <c r="Q237" i="127"/>
  <c r="J237" i="127"/>
  <c r="N237" i="127"/>
  <c r="G237" i="127"/>
  <c r="O237" i="127"/>
  <c r="H237" i="127"/>
  <c r="P237" i="127"/>
  <c r="F237" i="127"/>
  <c r="K237" i="127"/>
  <c r="L237" i="127"/>
  <c r="H146" i="127"/>
  <c r="G226" i="127"/>
  <c r="K226" i="127"/>
  <c r="O226" i="127"/>
  <c r="H226" i="127"/>
  <c r="L226" i="127"/>
  <c r="P226" i="127"/>
  <c r="M226" i="127"/>
  <c r="N226" i="127"/>
  <c r="F226" i="127"/>
  <c r="Q226" i="127"/>
  <c r="I226" i="127"/>
  <c r="J226" i="127"/>
  <c r="M146" i="127"/>
  <c r="G191" i="127"/>
  <c r="K191" i="127"/>
  <c r="O191" i="127"/>
  <c r="H191" i="127"/>
  <c r="L191" i="127"/>
  <c r="P191" i="127"/>
  <c r="I191" i="127"/>
  <c r="Q191" i="127"/>
  <c r="J191" i="127"/>
  <c r="M191" i="127"/>
  <c r="F191" i="127"/>
  <c r="N191" i="127"/>
  <c r="G187" i="127"/>
  <c r="K187" i="127"/>
  <c r="O187" i="127"/>
  <c r="H187" i="127"/>
  <c r="L187" i="127"/>
  <c r="P187" i="127"/>
  <c r="M187" i="127"/>
  <c r="N187" i="127"/>
  <c r="I187" i="127"/>
  <c r="Q187" i="127"/>
  <c r="J187" i="127"/>
  <c r="G205" i="127"/>
  <c r="K205" i="127"/>
  <c r="O205" i="127"/>
  <c r="F205" i="127"/>
  <c r="H205" i="127"/>
  <c r="L205" i="127"/>
  <c r="P205" i="127"/>
  <c r="I205" i="127"/>
  <c r="Q205" i="127"/>
  <c r="N205" i="127"/>
  <c r="J205" i="127"/>
  <c r="M205" i="127"/>
  <c r="G231" i="127"/>
  <c r="K231" i="127"/>
  <c r="O231" i="127"/>
  <c r="H231" i="127"/>
  <c r="L231" i="127"/>
  <c r="P231" i="127"/>
  <c r="I231" i="127"/>
  <c r="Q231" i="127"/>
  <c r="J231" i="127"/>
  <c r="F231" i="127"/>
  <c r="M231" i="127"/>
  <c r="N231" i="127"/>
  <c r="H177" i="127"/>
  <c r="L177" i="127"/>
  <c r="P177" i="127"/>
  <c r="J177" i="127"/>
  <c r="F177" i="127"/>
  <c r="I177" i="127"/>
  <c r="M177" i="127"/>
  <c r="Q177" i="127"/>
  <c r="N177" i="127"/>
  <c r="G177" i="127"/>
  <c r="K177" i="127"/>
  <c r="O177" i="127"/>
  <c r="H173" i="127"/>
  <c r="L173" i="127"/>
  <c r="P173" i="127"/>
  <c r="N173" i="127"/>
  <c r="I173" i="127"/>
  <c r="M173" i="127"/>
  <c r="Q173" i="127"/>
  <c r="J173" i="127"/>
  <c r="F173" i="127"/>
  <c r="G173" i="127"/>
  <c r="K173" i="127"/>
  <c r="O173" i="127"/>
  <c r="J175" i="127"/>
  <c r="N175" i="127"/>
  <c r="F175" i="127"/>
  <c r="H175" i="127"/>
  <c r="P175" i="127"/>
  <c r="G175" i="127"/>
  <c r="K175" i="127"/>
  <c r="O175" i="127"/>
  <c r="L175" i="127"/>
  <c r="M175" i="127"/>
  <c r="Q175" i="127"/>
  <c r="I175" i="127"/>
  <c r="H192" i="127"/>
  <c r="L192" i="127"/>
  <c r="P192" i="127"/>
  <c r="I192" i="127"/>
  <c r="M192" i="127"/>
  <c r="Q192" i="127"/>
  <c r="N192" i="127"/>
  <c r="G192" i="127"/>
  <c r="O192" i="127"/>
  <c r="J192" i="127"/>
  <c r="F192" i="127"/>
  <c r="K192" i="127"/>
  <c r="J194" i="127"/>
  <c r="N194" i="127"/>
  <c r="G194" i="127"/>
  <c r="K194" i="127"/>
  <c r="O194" i="127"/>
  <c r="H194" i="127"/>
  <c r="P194" i="127"/>
  <c r="I194" i="127"/>
  <c r="Q194" i="127"/>
  <c r="F194" i="127"/>
  <c r="L194" i="127"/>
  <c r="M194" i="127"/>
  <c r="I174" i="127"/>
  <c r="M174" i="127"/>
  <c r="Q174" i="127"/>
  <c r="K174" i="127"/>
  <c r="J174" i="127"/>
  <c r="N174" i="127"/>
  <c r="G174" i="127"/>
  <c r="O174" i="127"/>
  <c r="H174" i="127"/>
  <c r="L174" i="127"/>
  <c r="F174" i="127"/>
  <c r="P174" i="127"/>
  <c r="H240" i="127"/>
  <c r="L240" i="127"/>
  <c r="P240" i="127"/>
  <c r="I240" i="127"/>
  <c r="M240" i="127"/>
  <c r="Q240" i="127"/>
  <c r="F240" i="127"/>
  <c r="N240" i="127"/>
  <c r="G240" i="127"/>
  <c r="O240" i="127"/>
  <c r="J240" i="127"/>
  <c r="K240" i="127"/>
  <c r="I203" i="127"/>
  <c r="M203" i="127"/>
  <c r="Q203" i="127"/>
  <c r="J203" i="127"/>
  <c r="N203" i="127"/>
  <c r="G203" i="127"/>
  <c r="O203" i="127"/>
  <c r="K203" i="127"/>
  <c r="L203" i="127"/>
  <c r="H203" i="127"/>
  <c r="P203" i="127"/>
  <c r="F203" i="127"/>
  <c r="J234" i="127"/>
  <c r="N234" i="127"/>
  <c r="G234" i="127"/>
  <c r="K234" i="127"/>
  <c r="O234" i="127"/>
  <c r="H234" i="127"/>
  <c r="P234" i="127"/>
  <c r="I234" i="127"/>
  <c r="Q234" i="127"/>
  <c r="F234" i="127"/>
  <c r="L234" i="127"/>
  <c r="M234" i="127"/>
  <c r="H245" i="127"/>
  <c r="L245" i="127"/>
  <c r="P245" i="127"/>
  <c r="I245" i="127"/>
  <c r="M245" i="127"/>
  <c r="Q245" i="127"/>
  <c r="N245" i="127"/>
  <c r="G245" i="127"/>
  <c r="O245" i="127"/>
  <c r="J245" i="127"/>
  <c r="K245" i="127"/>
  <c r="F245" i="127"/>
  <c r="L146" i="127"/>
  <c r="I156" i="127"/>
  <c r="F146" i="127"/>
  <c r="I193" i="127"/>
  <c r="M193" i="127"/>
  <c r="Q193" i="127"/>
  <c r="J193" i="127"/>
  <c r="N193" i="127"/>
  <c r="K193" i="127"/>
  <c r="F193" i="127"/>
  <c r="L193" i="127"/>
  <c r="G193" i="127"/>
  <c r="O193" i="127"/>
  <c r="P193" i="127"/>
  <c r="H193" i="127"/>
  <c r="G208" i="127"/>
  <c r="K208" i="127"/>
  <c r="O208" i="127"/>
  <c r="F208" i="127"/>
  <c r="H208" i="127"/>
  <c r="L208" i="127"/>
  <c r="P208" i="127"/>
  <c r="M208" i="127"/>
  <c r="I208" i="127"/>
  <c r="N208" i="127"/>
  <c r="Q208" i="127"/>
  <c r="J208" i="127"/>
  <c r="I182" i="127"/>
  <c r="M182" i="127"/>
  <c r="Q182" i="127"/>
  <c r="G182" i="127"/>
  <c r="O182" i="127"/>
  <c r="J182" i="127"/>
  <c r="N182" i="127"/>
  <c r="K182" i="127"/>
  <c r="P182" i="127"/>
  <c r="H182" i="127"/>
  <c r="L182" i="127"/>
  <c r="F182" i="127"/>
  <c r="I178" i="127"/>
  <c r="M178" i="127"/>
  <c r="Q178" i="127"/>
  <c r="G178" i="127"/>
  <c r="O178" i="127"/>
  <c r="J178" i="127"/>
  <c r="N178" i="127"/>
  <c r="K178" i="127"/>
  <c r="L178" i="127"/>
  <c r="P178" i="127"/>
  <c r="F178" i="127"/>
  <c r="H178" i="127"/>
  <c r="J179" i="127"/>
  <c r="N179" i="127"/>
  <c r="F179" i="127"/>
  <c r="L179" i="127"/>
  <c r="G179" i="127"/>
  <c r="K179" i="127"/>
  <c r="O179" i="127"/>
  <c r="H179" i="127"/>
  <c r="P179" i="127"/>
  <c r="Q179" i="127"/>
  <c r="I179" i="127"/>
  <c r="M179" i="127"/>
  <c r="I199" i="127"/>
  <c r="M199" i="127"/>
  <c r="Q199" i="127"/>
  <c r="J199" i="127"/>
  <c r="N199" i="127"/>
  <c r="K199" i="127"/>
  <c r="F199" i="127"/>
  <c r="G199" i="127"/>
  <c r="O199" i="127"/>
  <c r="H199" i="127"/>
  <c r="P199" i="127"/>
  <c r="L199" i="127"/>
  <c r="J200" i="127"/>
  <c r="N200" i="127"/>
  <c r="G200" i="127"/>
  <c r="K200" i="127"/>
  <c r="O200" i="127"/>
  <c r="H200" i="127"/>
  <c r="P200" i="127"/>
  <c r="L200" i="127"/>
  <c r="M200" i="127"/>
  <c r="I200" i="127"/>
  <c r="Q200" i="127"/>
  <c r="F200" i="127"/>
  <c r="G180" i="127"/>
  <c r="K180" i="127"/>
  <c r="O180" i="127"/>
  <c r="I180" i="127"/>
  <c r="Q180" i="127"/>
  <c r="H180" i="127"/>
  <c r="L180" i="127"/>
  <c r="P180" i="127"/>
  <c r="F180" i="127"/>
  <c r="M180" i="127"/>
  <c r="J180" i="127"/>
  <c r="N180" i="127"/>
  <c r="I170" i="127"/>
  <c r="M170" i="127"/>
  <c r="Q170" i="127"/>
  <c r="G170" i="127"/>
  <c r="O170" i="127"/>
  <c r="J170" i="127"/>
  <c r="N170" i="127"/>
  <c r="K170" i="127"/>
  <c r="F170" i="127"/>
  <c r="H170" i="127"/>
  <c r="L170" i="127"/>
  <c r="P170" i="127"/>
  <c r="I233" i="127"/>
  <c r="M233" i="127"/>
  <c r="Q233" i="127"/>
  <c r="J233" i="127"/>
  <c r="N233" i="127"/>
  <c r="K233" i="127"/>
  <c r="F233" i="127"/>
  <c r="L233" i="127"/>
  <c r="O233" i="127"/>
  <c r="G233" i="127"/>
  <c r="H233" i="127"/>
  <c r="P233" i="127"/>
  <c r="H236" i="127"/>
  <c r="L236" i="127"/>
  <c r="P236" i="127"/>
  <c r="I236" i="127"/>
  <c r="M236" i="127"/>
  <c r="Q236" i="127"/>
  <c r="F236" i="127"/>
  <c r="J236" i="127"/>
  <c r="K236" i="127"/>
  <c r="N236" i="127"/>
  <c r="G236" i="127"/>
  <c r="O236" i="127"/>
  <c r="J247" i="127"/>
  <c r="N247" i="127"/>
  <c r="G247" i="127"/>
  <c r="K247" i="127"/>
  <c r="O247" i="127"/>
  <c r="F247" i="127"/>
  <c r="H247" i="127"/>
  <c r="P247" i="127"/>
  <c r="I247" i="127"/>
  <c r="Q247" i="127"/>
  <c r="L247" i="127"/>
  <c r="M247" i="127"/>
  <c r="H181" i="127"/>
  <c r="L181" i="127"/>
  <c r="P181" i="127"/>
  <c r="I181" i="127"/>
  <c r="M181" i="127"/>
  <c r="Q181" i="127"/>
  <c r="J181" i="127"/>
  <c r="N181" i="127"/>
  <c r="F181" i="127"/>
  <c r="K181" i="127"/>
  <c r="O181" i="127"/>
  <c r="G181" i="127"/>
  <c r="I152" i="127"/>
  <c r="P146" i="127"/>
  <c r="Q146" i="127"/>
  <c r="O148" i="127"/>
  <c r="N146" i="127"/>
  <c r="I146" i="127"/>
  <c r="Q143" i="127"/>
  <c r="G146" i="127"/>
  <c r="J156" i="127"/>
  <c r="F156" i="127"/>
  <c r="L148" i="127"/>
  <c r="K156" i="127"/>
  <c r="Q144" i="127"/>
  <c r="H156" i="127"/>
  <c r="P156" i="127"/>
  <c r="E235" i="127"/>
  <c r="D100" i="81" s="1"/>
  <c r="I148" i="127"/>
  <c r="M150" i="127"/>
  <c r="P148" i="127"/>
  <c r="E195" i="127"/>
  <c r="D60" i="81" s="1"/>
  <c r="Q150" i="127"/>
  <c r="K148" i="127"/>
  <c r="L154" i="127"/>
  <c r="N144" i="127"/>
  <c r="I151" i="127"/>
  <c r="D254" i="127"/>
  <c r="K146" i="127"/>
  <c r="F148" i="127"/>
  <c r="N150" i="127"/>
  <c r="O150" i="127"/>
  <c r="E219" i="127"/>
  <c r="D84" i="81" s="1"/>
  <c r="G217" i="127"/>
  <c r="K217" i="127"/>
  <c r="O217" i="127"/>
  <c r="J217" i="127"/>
  <c r="P217" i="127"/>
  <c r="L217" i="127"/>
  <c r="Q217" i="127"/>
  <c r="F217" i="127"/>
  <c r="H217" i="127"/>
  <c r="M217" i="127"/>
  <c r="I217" i="127"/>
  <c r="N217" i="127"/>
  <c r="J220" i="127"/>
  <c r="N220" i="127"/>
  <c r="I220" i="127"/>
  <c r="O220" i="127"/>
  <c r="F220" i="127"/>
  <c r="K220" i="127"/>
  <c r="P220" i="127"/>
  <c r="G220" i="127"/>
  <c r="L220" i="127"/>
  <c r="M220" i="127"/>
  <c r="Q220" i="127"/>
  <c r="H220" i="127"/>
  <c r="J152" i="127"/>
  <c r="H218" i="127"/>
  <c r="L218" i="127"/>
  <c r="P218" i="127"/>
  <c r="F218" i="127"/>
  <c r="J218" i="127"/>
  <c r="O218" i="127"/>
  <c r="K218" i="127"/>
  <c r="Q218" i="127"/>
  <c r="G218" i="127"/>
  <c r="M218" i="127"/>
  <c r="N218" i="127"/>
  <c r="I218" i="127"/>
  <c r="H150" i="127"/>
  <c r="K157" i="127"/>
  <c r="J148" i="127"/>
  <c r="N148" i="127"/>
  <c r="M148" i="127"/>
  <c r="H148" i="127"/>
  <c r="F144" i="127"/>
  <c r="E214" i="127"/>
  <c r="G144" i="127"/>
  <c r="I144" i="127"/>
  <c r="L144" i="127"/>
  <c r="O144" i="127"/>
  <c r="M154" i="127"/>
  <c r="M144" i="127"/>
  <c r="H152" i="127"/>
  <c r="H144" i="127"/>
  <c r="E169" i="127"/>
  <c r="D34" i="81" s="1"/>
  <c r="P150" i="127"/>
  <c r="J144" i="127"/>
  <c r="M151" i="127"/>
  <c r="Q152" i="127"/>
  <c r="Q151" i="127"/>
  <c r="K144" i="127"/>
  <c r="I154" i="127"/>
  <c r="M145" i="127"/>
  <c r="I145" i="127"/>
  <c r="G149" i="127"/>
  <c r="O145" i="127"/>
  <c r="M149" i="127"/>
  <c r="D293" i="127"/>
  <c r="G145" i="127"/>
  <c r="I149" i="127"/>
  <c r="D222" i="127"/>
  <c r="M152" i="127"/>
  <c r="L152" i="127"/>
  <c r="G152" i="127"/>
  <c r="K152" i="127"/>
  <c r="F152" i="127"/>
  <c r="M155" i="127"/>
  <c r="I155" i="127"/>
  <c r="N154" i="127"/>
  <c r="J154" i="127"/>
  <c r="Q154" i="127"/>
  <c r="P154" i="127"/>
  <c r="O154" i="127"/>
  <c r="I150" i="127"/>
  <c r="L150" i="127"/>
  <c r="F150" i="127"/>
  <c r="H154" i="127"/>
  <c r="G150" i="127"/>
  <c r="G153" i="127"/>
  <c r="N152" i="127"/>
  <c r="D277" i="127"/>
  <c r="O152" i="127"/>
  <c r="G154" i="127"/>
  <c r="F154" i="127"/>
  <c r="O147" i="127"/>
  <c r="J145" i="127"/>
  <c r="J157" i="127"/>
  <c r="I157" i="127"/>
  <c r="D210" i="127"/>
  <c r="D464" i="127"/>
  <c r="K155" i="127"/>
  <c r="D243" i="127"/>
  <c r="G151" i="127"/>
  <c r="G157" i="127"/>
  <c r="O157" i="127"/>
  <c r="D185" i="127"/>
  <c r="L153" i="127"/>
  <c r="F153" i="127"/>
  <c r="H153" i="127"/>
  <c r="P153" i="127"/>
  <c r="I153" i="127"/>
  <c r="N153" i="127"/>
  <c r="K153" i="127"/>
  <c r="J153" i="127"/>
  <c r="O153" i="127"/>
  <c r="Q153" i="127"/>
  <c r="D250" i="127"/>
  <c r="D366" i="127"/>
  <c r="D229" i="127"/>
  <c r="L149" i="127"/>
  <c r="F149" i="127"/>
  <c r="P149" i="127"/>
  <c r="H149" i="127"/>
  <c r="N149" i="127"/>
  <c r="O149" i="127"/>
  <c r="Q149" i="127"/>
  <c r="J149" i="127"/>
  <c r="L147" i="127"/>
  <c r="F147" i="127"/>
  <c r="H147" i="127"/>
  <c r="J147" i="127"/>
  <c r="P147" i="127"/>
  <c r="N147" i="127"/>
  <c r="G147" i="127"/>
  <c r="M147" i="127"/>
  <c r="I147" i="127"/>
  <c r="K147" i="127"/>
  <c r="P143" i="127"/>
  <c r="D164" i="127"/>
  <c r="H143" i="127"/>
  <c r="L143" i="127"/>
  <c r="M143" i="127"/>
  <c r="I143" i="127"/>
  <c r="J143" i="127"/>
  <c r="N143" i="127"/>
  <c r="K143" i="127"/>
  <c r="F143" i="127"/>
  <c r="O143" i="127"/>
  <c r="D445" i="127"/>
  <c r="D271" i="127"/>
  <c r="N145" i="127"/>
  <c r="F145" i="127"/>
  <c r="H145" i="127"/>
  <c r="L145" i="127"/>
  <c r="P145" i="127"/>
  <c r="D376" i="127"/>
  <c r="F155" i="127"/>
  <c r="G155" i="127"/>
  <c r="N155" i="127"/>
  <c r="H155" i="127"/>
  <c r="O155" i="127"/>
  <c r="J155" i="127"/>
  <c r="P155" i="127"/>
  <c r="L155" i="127"/>
  <c r="D423" i="127"/>
  <c r="D343" i="127"/>
  <c r="N157" i="127"/>
  <c r="H157" i="127"/>
  <c r="P157" i="127"/>
  <c r="L157" i="127"/>
  <c r="M157" i="127"/>
  <c r="K151" i="127"/>
  <c r="F151" i="127"/>
  <c r="H151" i="127"/>
  <c r="O151" i="127"/>
  <c r="P151" i="127"/>
  <c r="J151" i="127"/>
  <c r="L151" i="127"/>
  <c r="D327" i="127"/>
  <c r="E456" i="127" l="1"/>
  <c r="D321" i="81" s="1"/>
  <c r="E457" i="127"/>
  <c r="D322" i="81" s="1"/>
  <c r="E455" i="127"/>
  <c r="D320" i="81" s="1"/>
  <c r="E461" i="127"/>
  <c r="D326" i="81" s="1"/>
  <c r="J422" i="127"/>
  <c r="O422" i="127"/>
  <c r="E419" i="127"/>
  <c r="D284" i="81" s="1"/>
  <c r="E427" i="127"/>
  <c r="D292" i="81" s="1"/>
  <c r="E443" i="127"/>
  <c r="D308" i="81" s="1"/>
  <c r="E212" i="127"/>
  <c r="E454" i="127"/>
  <c r="D319" i="81" s="1"/>
  <c r="E452" i="127"/>
  <c r="D317" i="81" s="1"/>
  <c r="E447" i="127"/>
  <c r="D312" i="81" s="1"/>
  <c r="E215" i="127"/>
  <c r="D79" i="81"/>
  <c r="E449" i="127"/>
  <c r="D314" i="81" s="1"/>
  <c r="E462" i="127"/>
  <c r="D327" i="81" s="1"/>
  <c r="E448" i="127"/>
  <c r="D313" i="81" s="1"/>
  <c r="E451" i="127"/>
  <c r="D316" i="81" s="1"/>
  <c r="E459" i="127"/>
  <c r="D324" i="81" s="1"/>
  <c r="E458" i="127"/>
  <c r="D323" i="81" s="1"/>
  <c r="E450" i="127"/>
  <c r="D315" i="81" s="1"/>
  <c r="E453" i="127"/>
  <c r="D318" i="81" s="1"/>
  <c r="F33" i="127"/>
  <c r="I422" i="127"/>
  <c r="E433" i="127"/>
  <c r="D298" i="81" s="1"/>
  <c r="E441" i="127"/>
  <c r="D306" i="81" s="1"/>
  <c r="E434" i="127"/>
  <c r="D299" i="81" s="1"/>
  <c r="E426" i="127"/>
  <c r="D291" i="81" s="1"/>
  <c r="E437" i="127"/>
  <c r="D302" i="81" s="1"/>
  <c r="E439" i="127"/>
  <c r="D304" i="81" s="1"/>
  <c r="E429" i="127"/>
  <c r="D294" i="81" s="1"/>
  <c r="E432" i="127"/>
  <c r="D297" i="81" s="1"/>
  <c r="E431" i="127"/>
  <c r="D296" i="81" s="1"/>
  <c r="E425" i="127"/>
  <c r="D290" i="81" s="1"/>
  <c r="E442" i="127"/>
  <c r="D307" i="81" s="1"/>
  <c r="E435" i="127"/>
  <c r="D300" i="81" s="1"/>
  <c r="E440" i="127"/>
  <c r="D305" i="81" s="1"/>
  <c r="E438" i="127"/>
  <c r="D303" i="81" s="1"/>
  <c r="E430" i="127"/>
  <c r="D295" i="81" s="1"/>
  <c r="E428" i="127"/>
  <c r="D293" i="81" s="1"/>
  <c r="E436" i="127"/>
  <c r="D301" i="81" s="1"/>
  <c r="E420" i="127"/>
  <c r="D285" i="81" s="1"/>
  <c r="E416" i="127"/>
  <c r="D281" i="81" s="1"/>
  <c r="P422" i="127"/>
  <c r="K422" i="127"/>
  <c r="E421" i="127"/>
  <c r="D286" i="81" s="1"/>
  <c r="Q422" i="127"/>
  <c r="L422" i="127"/>
  <c r="G422" i="127"/>
  <c r="N422" i="127"/>
  <c r="M422" i="127"/>
  <c r="H422" i="127"/>
  <c r="E418" i="127"/>
  <c r="D283" i="81" s="1"/>
  <c r="L228" i="127"/>
  <c r="E237" i="127"/>
  <c r="D102" i="81" s="1"/>
  <c r="H342" i="127"/>
  <c r="E349" i="127"/>
  <c r="D215" i="81" s="1"/>
  <c r="I342" i="127"/>
  <c r="E357" i="127"/>
  <c r="D223" i="81" s="1"/>
  <c r="E348" i="127"/>
  <c r="D214" i="81" s="1"/>
  <c r="E353" i="127"/>
  <c r="D219" i="81" s="1"/>
  <c r="E289" i="127"/>
  <c r="D155" i="81" s="1"/>
  <c r="E198" i="127"/>
  <c r="D63" i="81" s="1"/>
  <c r="E303" i="127"/>
  <c r="D169" i="81" s="1"/>
  <c r="E295" i="127"/>
  <c r="D161" i="81" s="1"/>
  <c r="E310" i="127"/>
  <c r="D176" i="81" s="1"/>
  <c r="E301" i="127"/>
  <c r="D167" i="81" s="1"/>
  <c r="E313" i="127"/>
  <c r="D179" i="81" s="1"/>
  <c r="E297" i="127"/>
  <c r="D163" i="81" s="1"/>
  <c r="E350" i="127"/>
  <c r="D216" i="81" s="1"/>
  <c r="E358" i="127"/>
  <c r="D224" i="81" s="1"/>
  <c r="E354" i="127"/>
  <c r="D220" i="81" s="1"/>
  <c r="E363" i="127"/>
  <c r="D229" i="81" s="1"/>
  <c r="E355" i="127"/>
  <c r="D221" i="81" s="1"/>
  <c r="E347" i="127"/>
  <c r="D213" i="81" s="1"/>
  <c r="E361" i="127"/>
  <c r="D227" i="81" s="1"/>
  <c r="E345" i="127"/>
  <c r="D211" i="81" s="1"/>
  <c r="E369" i="127"/>
  <c r="D235" i="81" s="1"/>
  <c r="P342" i="127"/>
  <c r="O342" i="127"/>
  <c r="E356" i="127"/>
  <c r="D222" i="81" s="1"/>
  <c r="E359" i="127"/>
  <c r="D225" i="81" s="1"/>
  <c r="E351" i="127"/>
  <c r="D217" i="81" s="1"/>
  <c r="E368" i="127"/>
  <c r="D234" i="81" s="1"/>
  <c r="E364" i="127"/>
  <c r="D230" i="81" s="1"/>
  <c r="E360" i="127"/>
  <c r="D226" i="81" s="1"/>
  <c r="F375" i="127"/>
  <c r="E314" i="127"/>
  <c r="D180" i="81" s="1"/>
  <c r="E362" i="127"/>
  <c r="D228" i="81" s="1"/>
  <c r="E352" i="127"/>
  <c r="D218" i="81" s="1"/>
  <c r="E340" i="127"/>
  <c r="D206" i="81" s="1"/>
  <c r="N342" i="127"/>
  <c r="E302" i="127"/>
  <c r="D168" i="81" s="1"/>
  <c r="E298" i="127"/>
  <c r="D164" i="81" s="1"/>
  <c r="E309" i="127"/>
  <c r="D175" i="81" s="1"/>
  <c r="E296" i="127"/>
  <c r="D162" i="81" s="1"/>
  <c r="E305" i="127"/>
  <c r="D171" i="81" s="1"/>
  <c r="E285" i="127"/>
  <c r="D151" i="81" s="1"/>
  <c r="E318" i="127"/>
  <c r="D184" i="81" s="1"/>
  <c r="E306" i="127"/>
  <c r="D172" i="81" s="1"/>
  <c r="L342" i="127"/>
  <c r="E316" i="127"/>
  <c r="D182" i="81" s="1"/>
  <c r="Q342" i="127"/>
  <c r="E307" i="127"/>
  <c r="D173" i="81" s="1"/>
  <c r="E299" i="127"/>
  <c r="D165" i="81" s="1"/>
  <c r="E338" i="127"/>
  <c r="D204" i="81" s="1"/>
  <c r="G342" i="127"/>
  <c r="E320" i="127"/>
  <c r="D186" i="81" s="1"/>
  <c r="E311" i="127"/>
  <c r="D177" i="81" s="1"/>
  <c r="E323" i="127"/>
  <c r="D189" i="81" s="1"/>
  <c r="E312" i="127"/>
  <c r="D178" i="81" s="1"/>
  <c r="E329" i="127"/>
  <c r="D195" i="81" s="1"/>
  <c r="J342" i="127"/>
  <c r="E339" i="127"/>
  <c r="D205" i="81" s="1"/>
  <c r="K342" i="127"/>
  <c r="E322" i="127"/>
  <c r="D188" i="81" s="1"/>
  <c r="F342" i="127"/>
  <c r="I228" i="127"/>
  <c r="O228" i="127"/>
  <c r="L276" i="127"/>
  <c r="I276" i="127"/>
  <c r="E319" i="127"/>
  <c r="D185" i="81" s="1"/>
  <c r="E300" i="127"/>
  <c r="D166" i="81" s="1"/>
  <c r="E308" i="127"/>
  <c r="D174" i="81" s="1"/>
  <c r="E317" i="127"/>
  <c r="D183" i="81" s="1"/>
  <c r="E325" i="127"/>
  <c r="D191" i="81" s="1"/>
  <c r="E341" i="127"/>
  <c r="D207" i="81" s="1"/>
  <c r="M342" i="127"/>
  <c r="E324" i="127"/>
  <c r="D190" i="81" s="1"/>
  <c r="E315" i="127"/>
  <c r="D181" i="81" s="1"/>
  <c r="E284" i="127"/>
  <c r="D150" i="81" s="1"/>
  <c r="P292" i="127"/>
  <c r="L292" i="127"/>
  <c r="J292" i="127"/>
  <c r="P276" i="127"/>
  <c r="H292" i="127"/>
  <c r="K292" i="127"/>
  <c r="Q292" i="127"/>
  <c r="E281" i="127"/>
  <c r="D147" i="81" s="1"/>
  <c r="E282" i="127"/>
  <c r="D148" i="81" s="1"/>
  <c r="E287" i="127"/>
  <c r="D153" i="81" s="1"/>
  <c r="E283" i="127"/>
  <c r="D149" i="81" s="1"/>
  <c r="O292" i="127"/>
  <c r="E279" i="127"/>
  <c r="D145" i="81" s="1"/>
  <c r="F292" i="127"/>
  <c r="M292" i="127"/>
  <c r="E291" i="127"/>
  <c r="D157" i="81" s="1"/>
  <c r="E288" i="127"/>
  <c r="D154" i="81" s="1"/>
  <c r="H228" i="127"/>
  <c r="Q270" i="127"/>
  <c r="E258" i="127"/>
  <c r="D124" i="81" s="1"/>
  <c r="Q276" i="127"/>
  <c r="J276" i="127"/>
  <c r="E259" i="127"/>
  <c r="D125" i="81" s="1"/>
  <c r="E268" i="127"/>
  <c r="D134" i="81" s="1"/>
  <c r="G276" i="127"/>
  <c r="E286" i="127"/>
  <c r="D152" i="81" s="1"/>
  <c r="G292" i="127"/>
  <c r="N292" i="127"/>
  <c r="I292" i="127"/>
  <c r="E280" i="127"/>
  <c r="D146" i="81" s="1"/>
  <c r="E190" i="127"/>
  <c r="D55" i="81" s="1"/>
  <c r="M228" i="127"/>
  <c r="E248" i="127"/>
  <c r="D113" i="81" s="1"/>
  <c r="O270" i="127"/>
  <c r="M270" i="127"/>
  <c r="P270" i="127"/>
  <c r="M276" i="127"/>
  <c r="E260" i="127"/>
  <c r="D126" i="81" s="1"/>
  <c r="E252" i="127"/>
  <c r="D117" i="81" s="1"/>
  <c r="G253" i="127"/>
  <c r="E253" i="127" s="1"/>
  <c r="D118" i="81" s="1"/>
  <c r="E274" i="127"/>
  <c r="D140" i="81" s="1"/>
  <c r="G270" i="127"/>
  <c r="K270" i="127"/>
  <c r="I270" i="127"/>
  <c r="N270" i="127"/>
  <c r="L270" i="127"/>
  <c r="E267" i="127"/>
  <c r="D133" i="81" s="1"/>
  <c r="E266" i="127"/>
  <c r="D132" i="81" s="1"/>
  <c r="E262" i="127"/>
  <c r="D128" i="81" s="1"/>
  <c r="J270" i="127"/>
  <c r="E275" i="127"/>
  <c r="D141" i="81" s="1"/>
  <c r="E264" i="127"/>
  <c r="D130" i="81" s="1"/>
  <c r="E265" i="127"/>
  <c r="D131" i="81" s="1"/>
  <c r="E269" i="127"/>
  <c r="D135" i="81" s="1"/>
  <c r="K276" i="127"/>
  <c r="E245" i="127"/>
  <c r="D110" i="81" s="1"/>
  <c r="E247" i="127"/>
  <c r="D112" i="81" s="1"/>
  <c r="E246" i="127"/>
  <c r="D111" i="81" s="1"/>
  <c r="E111" i="81" s="1"/>
  <c r="I75" i="74" s="1"/>
  <c r="E263" i="127"/>
  <c r="D129" i="81" s="1"/>
  <c r="E257" i="127"/>
  <c r="D123" i="81" s="1"/>
  <c r="E261" i="127"/>
  <c r="D127" i="81" s="1"/>
  <c r="H276" i="127"/>
  <c r="E256" i="127"/>
  <c r="D122" i="81" s="1"/>
  <c r="H270" i="127"/>
  <c r="E273" i="127"/>
  <c r="D139" i="81" s="1"/>
  <c r="N276" i="127"/>
  <c r="O276" i="127"/>
  <c r="E156" i="127"/>
  <c r="D21" i="81" s="1"/>
  <c r="L249" i="127"/>
  <c r="H249" i="127"/>
  <c r="K249" i="127"/>
  <c r="M249" i="127"/>
  <c r="E181" i="127"/>
  <c r="D46" i="81" s="1"/>
  <c r="F249" i="127"/>
  <c r="G249" i="127"/>
  <c r="P249" i="127"/>
  <c r="J249" i="127"/>
  <c r="O249" i="127"/>
  <c r="I249" i="127"/>
  <c r="Q249" i="127"/>
  <c r="N249" i="127"/>
  <c r="E146" i="127"/>
  <c r="D11" i="81" s="1"/>
  <c r="E187" i="127"/>
  <c r="D52" i="81" s="1"/>
  <c r="J228" i="127"/>
  <c r="E240" i="127"/>
  <c r="D105" i="81" s="1"/>
  <c r="G242" i="127"/>
  <c r="E171" i="127"/>
  <c r="D36" i="81" s="1"/>
  <c r="G228" i="127"/>
  <c r="N228" i="127"/>
  <c r="P228" i="127"/>
  <c r="E233" i="127"/>
  <c r="D98" i="81" s="1"/>
  <c r="J242" i="127"/>
  <c r="L242" i="127"/>
  <c r="F242" i="127"/>
  <c r="E202" i="127"/>
  <c r="D67" i="81" s="1"/>
  <c r="N209" i="127"/>
  <c r="E217" i="127"/>
  <c r="D82" i="81" s="1"/>
  <c r="Q228" i="127"/>
  <c r="E226" i="127"/>
  <c r="D91" i="81" s="1"/>
  <c r="E231" i="127"/>
  <c r="D96" i="81" s="1"/>
  <c r="Q242" i="127"/>
  <c r="H242" i="127"/>
  <c r="E239" i="127"/>
  <c r="D104" i="81" s="1"/>
  <c r="L163" i="127"/>
  <c r="E206" i="127"/>
  <c r="D71" i="81" s="1"/>
  <c r="E148" i="127"/>
  <c r="D13" i="81" s="1"/>
  <c r="K228" i="127"/>
  <c r="N242" i="127"/>
  <c r="I242" i="127"/>
  <c r="O242" i="127"/>
  <c r="E232" i="127"/>
  <c r="D97" i="81" s="1"/>
  <c r="E236" i="127"/>
  <c r="D101" i="81" s="1"/>
  <c r="E234" i="127"/>
  <c r="D99" i="81" s="1"/>
  <c r="E238" i="127"/>
  <c r="D103" i="81" s="1"/>
  <c r="M242" i="127"/>
  <c r="P242" i="127"/>
  <c r="K242" i="127"/>
  <c r="E241" i="127"/>
  <c r="D106" i="81" s="1"/>
  <c r="E144" i="127"/>
  <c r="D9" i="81" s="1"/>
  <c r="E204" i="127"/>
  <c r="D69" i="81" s="1"/>
  <c r="E200" i="127"/>
  <c r="D65" i="81" s="1"/>
  <c r="L209" i="127"/>
  <c r="I209" i="127"/>
  <c r="F228" i="127"/>
  <c r="E199" i="127"/>
  <c r="D64" i="81" s="1"/>
  <c r="E205" i="127"/>
  <c r="D70" i="81" s="1"/>
  <c r="E208" i="127"/>
  <c r="D73" i="81" s="1"/>
  <c r="E218" i="127"/>
  <c r="D83" i="81" s="1"/>
  <c r="J209" i="127"/>
  <c r="M209" i="127"/>
  <c r="E194" i="127"/>
  <c r="D59" i="81" s="1"/>
  <c r="E192" i="127"/>
  <c r="D57" i="81" s="1"/>
  <c r="E220" i="127"/>
  <c r="D85" i="81" s="1"/>
  <c r="E201" i="127"/>
  <c r="D66" i="81" s="1"/>
  <c r="H209" i="127"/>
  <c r="G209" i="127"/>
  <c r="E193" i="127"/>
  <c r="D58" i="81" s="1"/>
  <c r="E207" i="127"/>
  <c r="D72" i="81" s="1"/>
  <c r="P209" i="127"/>
  <c r="O209" i="127"/>
  <c r="E203" i="127"/>
  <c r="D68" i="81" s="1"/>
  <c r="E196" i="127"/>
  <c r="D61" i="81" s="1"/>
  <c r="E227" i="127"/>
  <c r="D92" i="81" s="1"/>
  <c r="Q209" i="127"/>
  <c r="E189" i="127"/>
  <c r="D54" i="81" s="1"/>
  <c r="K209" i="127"/>
  <c r="E188" i="127"/>
  <c r="D53" i="81" s="1"/>
  <c r="E197" i="127"/>
  <c r="D62" i="81" s="1"/>
  <c r="E191" i="127"/>
  <c r="D56" i="81" s="1"/>
  <c r="E178" i="127"/>
  <c r="D43" i="81" s="1"/>
  <c r="E182" i="127"/>
  <c r="D47" i="81" s="1"/>
  <c r="I184" i="127"/>
  <c r="G184" i="127"/>
  <c r="E168" i="127"/>
  <c r="D33" i="81" s="1"/>
  <c r="E170" i="127"/>
  <c r="D35" i="81" s="1"/>
  <c r="E174" i="127"/>
  <c r="D39" i="81" s="1"/>
  <c r="Q184" i="127"/>
  <c r="E173" i="127"/>
  <c r="D38" i="81" s="1"/>
  <c r="P184" i="127"/>
  <c r="P472" i="127" s="1"/>
  <c r="E150" i="127"/>
  <c r="D15" i="81" s="1"/>
  <c r="E167" i="127"/>
  <c r="D32" i="81" s="1"/>
  <c r="O184" i="127"/>
  <c r="E172" i="127"/>
  <c r="D37" i="81" s="1"/>
  <c r="L184" i="127"/>
  <c r="H184" i="127"/>
  <c r="N184" i="127"/>
  <c r="G463" i="127"/>
  <c r="L221" i="127"/>
  <c r="E179" i="127"/>
  <c r="D44" i="81" s="1"/>
  <c r="E176" i="127"/>
  <c r="D41" i="81" s="1"/>
  <c r="M184" i="127"/>
  <c r="K184" i="127"/>
  <c r="E175" i="127"/>
  <c r="D40" i="81" s="1"/>
  <c r="E177" i="127"/>
  <c r="D42" i="81" s="1"/>
  <c r="E180" i="127"/>
  <c r="D45" i="81" s="1"/>
  <c r="E183" i="127"/>
  <c r="D48" i="81" s="1"/>
  <c r="J184" i="127"/>
  <c r="O221" i="127"/>
  <c r="H221" i="127"/>
  <c r="E154" i="127"/>
  <c r="D19" i="81" s="1"/>
  <c r="I365" i="127"/>
  <c r="P221" i="127"/>
  <c r="H163" i="127"/>
  <c r="M221" i="127"/>
  <c r="E157" i="127"/>
  <c r="D22" i="81" s="1"/>
  <c r="E149" i="127"/>
  <c r="D14" i="81" s="1"/>
  <c r="E155" i="127"/>
  <c r="D20" i="81" s="1"/>
  <c r="E153" i="127"/>
  <c r="D18" i="81" s="1"/>
  <c r="N221" i="127"/>
  <c r="I221" i="127"/>
  <c r="F221" i="127"/>
  <c r="E145" i="127"/>
  <c r="D10" i="81" s="1"/>
  <c r="E147" i="127"/>
  <c r="D12" i="81" s="1"/>
  <c r="M365" i="127"/>
  <c r="K221" i="127"/>
  <c r="E151" i="127"/>
  <c r="D16" i="81" s="1"/>
  <c r="E143" i="127"/>
  <c r="E152" i="127"/>
  <c r="D17" i="81" s="1"/>
  <c r="F209" i="127"/>
  <c r="Q365" i="127"/>
  <c r="N365" i="127"/>
  <c r="M463" i="127"/>
  <c r="Q463" i="127"/>
  <c r="J365" i="127"/>
  <c r="H365" i="127"/>
  <c r="J221" i="127"/>
  <c r="O463" i="127"/>
  <c r="P163" i="127"/>
  <c r="K365" i="127"/>
  <c r="P365" i="127"/>
  <c r="G221" i="127"/>
  <c r="Q221" i="127"/>
  <c r="K463" i="127"/>
  <c r="F330" i="127"/>
  <c r="E330" i="127" s="1"/>
  <c r="D196" i="81" s="1"/>
  <c r="L463" i="127"/>
  <c r="N463" i="127"/>
  <c r="J463" i="127"/>
  <c r="H463" i="127"/>
  <c r="P463" i="127"/>
  <c r="N163" i="127"/>
  <c r="J163" i="127"/>
  <c r="I463" i="127"/>
  <c r="F463" i="127"/>
  <c r="O365" i="127"/>
  <c r="L365" i="127"/>
  <c r="G365" i="127"/>
  <c r="F270" i="127"/>
  <c r="F365" i="127"/>
  <c r="F422" i="127"/>
  <c r="F276" i="127"/>
  <c r="F444" i="127"/>
  <c r="J444" i="127"/>
  <c r="L444" i="127"/>
  <c r="H444" i="127"/>
  <c r="P444" i="127"/>
  <c r="N444" i="127"/>
  <c r="M444" i="127"/>
  <c r="G444" i="127"/>
  <c r="O444" i="127"/>
  <c r="K444" i="127"/>
  <c r="I444" i="127"/>
  <c r="Q444" i="127"/>
  <c r="F326" i="127"/>
  <c r="P326" i="127"/>
  <c r="I326" i="127"/>
  <c r="Q326" i="127"/>
  <c r="L326" i="127"/>
  <c r="O326" i="127"/>
  <c r="J326" i="127"/>
  <c r="H326" i="127"/>
  <c r="K326" i="127"/>
  <c r="M326" i="127"/>
  <c r="N326" i="127"/>
  <c r="G326" i="127"/>
  <c r="N472" i="127" l="1"/>
  <c r="N476" i="127" s="1"/>
  <c r="J472" i="127"/>
  <c r="H472" i="127"/>
  <c r="H476" i="127" s="1"/>
  <c r="L472" i="127"/>
  <c r="L476" i="127" s="1"/>
  <c r="D8" i="81"/>
  <c r="J476" i="127"/>
  <c r="P476" i="127"/>
  <c r="E463" i="127"/>
  <c r="E444" i="127"/>
  <c r="D309" i="81" s="1"/>
  <c r="E422" i="127"/>
  <c r="E365" i="127"/>
  <c r="D231" i="81" s="1"/>
  <c r="E342" i="127"/>
  <c r="E370" i="127"/>
  <c r="E331" i="127"/>
  <c r="E326" i="127"/>
  <c r="E292" i="127"/>
  <c r="E276" i="127"/>
  <c r="D142" i="81" s="1"/>
  <c r="E270" i="127"/>
  <c r="E254" i="127"/>
  <c r="E249" i="127"/>
  <c r="E228" i="127"/>
  <c r="E242" i="127"/>
  <c r="D107" i="81" s="1"/>
  <c r="E221" i="127"/>
  <c r="E209" i="127"/>
  <c r="D74" i="81" s="1"/>
  <c r="F163" i="127"/>
  <c r="E366" i="127"/>
  <c r="E464" i="127" l="1"/>
  <c r="D328" i="81"/>
  <c r="E445" i="127"/>
  <c r="E250" i="127"/>
  <c r="D114" i="81"/>
  <c r="E222" i="127"/>
  <c r="D86" i="81"/>
  <c r="E327" i="127"/>
  <c r="D192" i="81"/>
  <c r="E271" i="127"/>
  <c r="D136" i="81"/>
  <c r="E423" i="127"/>
  <c r="D287" i="81"/>
  <c r="E229" i="127"/>
  <c r="D93" i="81"/>
  <c r="E293" i="127"/>
  <c r="D158" i="81"/>
  <c r="E343" i="127"/>
  <c r="D208" i="81"/>
  <c r="E277" i="127"/>
  <c r="A232" i="145" l="1"/>
  <c r="A233" i="145"/>
  <c r="A234" i="145"/>
  <c r="A235" i="145"/>
  <c r="A236" i="145"/>
  <c r="A237" i="145"/>
  <c r="A238" i="145"/>
  <c r="A239" i="145"/>
  <c r="A240" i="145"/>
  <c r="A246" i="145"/>
  <c r="A247" i="145"/>
  <c r="A321" i="145"/>
  <c r="A322" i="145"/>
  <c r="A455" i="145"/>
  <c r="A456" i="145"/>
  <c r="O94" i="104" l="1"/>
  <c r="O121" i="104"/>
  <c r="O154" i="104"/>
  <c r="N147" i="104"/>
  <c r="N143" i="104"/>
  <c r="N139" i="104"/>
  <c r="L146" i="104" l="1"/>
  <c r="M143" i="104"/>
  <c r="M139" i="104" l="1"/>
  <c r="E49" i="79" l="1"/>
  <c r="E55" i="79"/>
  <c r="E50" i="79"/>
  <c r="E48" i="79"/>
  <c r="E10" i="79"/>
  <c r="F38" i="72"/>
  <c r="F26" i="72"/>
  <c r="F16" i="72"/>
  <c r="D49" i="79" l="1"/>
  <c r="D55" i="79"/>
  <c r="D50" i="79"/>
  <c r="D48" i="79"/>
  <c r="D10" i="79"/>
  <c r="E38" i="72"/>
  <c r="E26" i="72"/>
  <c r="E16" i="72"/>
  <c r="E17" i="72"/>
  <c r="C49" i="79" l="1"/>
  <c r="C55" i="79"/>
  <c r="C50" i="79"/>
  <c r="C48" i="79"/>
  <c r="C10" i="79"/>
  <c r="D38" i="72"/>
  <c r="D26" i="72"/>
  <c r="L151" i="104" l="1"/>
  <c r="L150" i="104"/>
  <c r="L147" i="104"/>
  <c r="L143" i="104"/>
  <c r="L140" i="104"/>
  <c r="L139" i="104"/>
  <c r="J140" i="104" l="1"/>
  <c r="J139" i="104"/>
  <c r="K139" i="104"/>
  <c r="K150" i="104" l="1"/>
  <c r="K147" i="104"/>
  <c r="K146" i="104"/>
  <c r="K143" i="104"/>
  <c r="J151" i="104" l="1"/>
  <c r="J150" i="104"/>
  <c r="J146" i="104"/>
  <c r="J143" i="104"/>
  <c r="I143" i="104" l="1"/>
  <c r="I150" i="104"/>
  <c r="I151" i="104"/>
  <c r="H151" i="104"/>
  <c r="I147" i="104"/>
  <c r="I146" i="104"/>
  <c r="I139" i="104" l="1"/>
  <c r="A79" i="72" l="1"/>
  <c r="A80" i="72"/>
  <c r="A81" i="72"/>
  <c r="A82" i="72"/>
  <c r="A83" i="72" s="1"/>
  <c r="A84" i="72" s="1"/>
  <c r="A85" i="72" s="1"/>
  <c r="A86" i="72" s="1"/>
  <c r="A87" i="72" s="1"/>
  <c r="A88" i="72" s="1"/>
  <c r="A89" i="72" s="1"/>
  <c r="A90" i="72" s="1"/>
  <c r="A91" i="72" s="1"/>
  <c r="A92" i="72" s="1"/>
  <c r="A93" i="72" s="1"/>
  <c r="A94" i="72" s="1"/>
  <c r="A95" i="72" s="1"/>
  <c r="A96" i="72" s="1"/>
  <c r="A97" i="72" s="1"/>
  <c r="A94" i="73"/>
  <c r="A95" i="73"/>
  <c r="A96" i="73"/>
  <c r="A97" i="73"/>
  <c r="A98" i="73" s="1"/>
  <c r="A99" i="73" s="1"/>
  <c r="E97" i="72"/>
  <c r="F97" i="72"/>
  <c r="G97" i="72"/>
  <c r="H97" i="72"/>
  <c r="I97" i="72"/>
  <c r="E98" i="72"/>
  <c r="F98" i="72"/>
  <c r="G98" i="72"/>
  <c r="H98" i="72"/>
  <c r="I98" i="72"/>
  <c r="E99" i="72"/>
  <c r="F99" i="72"/>
  <c r="G99" i="72"/>
  <c r="H99" i="72"/>
  <c r="I99" i="72"/>
  <c r="D99" i="72"/>
  <c r="D98" i="72"/>
  <c r="D97" i="72"/>
  <c r="Q14" i="145"/>
  <c r="P14" i="145"/>
  <c r="O14" i="145"/>
  <c r="N14" i="145"/>
  <c r="M14" i="145"/>
  <c r="L14" i="145"/>
  <c r="Q13" i="145"/>
  <c r="P13" i="145"/>
  <c r="O13" i="145"/>
  <c r="N13" i="145"/>
  <c r="M13" i="145"/>
  <c r="L13" i="145"/>
  <c r="Q10" i="145"/>
  <c r="P10" i="145"/>
  <c r="O10" i="145"/>
  <c r="N10" i="145"/>
  <c r="M10" i="145"/>
  <c r="L10" i="145"/>
  <c r="B215" i="74" l="1"/>
  <c r="C215" i="74"/>
  <c r="N113" i="74"/>
  <c r="N114" i="74"/>
  <c r="N115" i="74"/>
  <c r="N116" i="74"/>
  <c r="N117" i="74"/>
  <c r="N118" i="74"/>
  <c r="N112" i="74"/>
  <c r="N59" i="74"/>
  <c r="N60" i="74"/>
  <c r="N61" i="74"/>
  <c r="N62" i="74"/>
  <c r="N63" i="74"/>
  <c r="N64" i="74"/>
  <c r="N65" i="74"/>
  <c r="N66" i="74"/>
  <c r="N67" i="74"/>
  <c r="N68" i="74"/>
  <c r="N69" i="74"/>
  <c r="N70" i="74"/>
  <c r="N71" i="74"/>
  <c r="N72" i="74"/>
  <c r="N73" i="74"/>
  <c r="N74" i="74"/>
  <c r="N75" i="74"/>
  <c r="N76" i="74"/>
  <c r="N77" i="74"/>
  <c r="N78" i="74"/>
  <c r="N79" i="74"/>
  <c r="N80" i="74"/>
  <c r="N81" i="74"/>
  <c r="N82" i="74"/>
  <c r="N83" i="74"/>
  <c r="N85" i="74"/>
  <c r="N86" i="74"/>
  <c r="N87" i="74"/>
  <c r="N88" i="74"/>
  <c r="N89" i="74"/>
  <c r="N90" i="74"/>
  <c r="N91" i="74"/>
  <c r="N92" i="74"/>
  <c r="N93" i="74"/>
  <c r="N94" i="74"/>
  <c r="N95" i="74"/>
  <c r="N96" i="74"/>
  <c r="N97" i="74"/>
  <c r="N98" i="74"/>
  <c r="N58" i="74"/>
  <c r="M113" i="74"/>
  <c r="M114" i="74"/>
  <c r="M118" i="74"/>
  <c r="M112" i="74"/>
  <c r="M59" i="74"/>
  <c r="M60" i="74"/>
  <c r="M61" i="74"/>
  <c r="M62" i="74"/>
  <c r="M65" i="74"/>
  <c r="M72" i="74"/>
  <c r="M73" i="74"/>
  <c r="M74" i="74"/>
  <c r="M81" i="74"/>
  <c r="M82" i="74"/>
  <c r="M84" i="74"/>
  <c r="M85" i="74"/>
  <c r="M90" i="74"/>
  <c r="M58" i="74"/>
  <c r="L113" i="74"/>
  <c r="L114" i="74"/>
  <c r="L115" i="74"/>
  <c r="L116" i="74"/>
  <c r="L117" i="74"/>
  <c r="L118" i="74"/>
  <c r="L112" i="74"/>
  <c r="L60" i="74"/>
  <c r="L61" i="74"/>
  <c r="L62" i="74"/>
  <c r="L63" i="74"/>
  <c r="L65" i="74"/>
  <c r="L68" i="74"/>
  <c r="L72" i="74"/>
  <c r="L73" i="74"/>
  <c r="L76" i="74"/>
  <c r="L77" i="74"/>
  <c r="L79" i="74"/>
  <c r="L81" i="74"/>
  <c r="L82" i="74"/>
  <c r="L84" i="74"/>
  <c r="L86" i="74"/>
  <c r="L87" i="74"/>
  <c r="L88" i="74"/>
  <c r="L89" i="74"/>
  <c r="L90" i="74"/>
  <c r="L91" i="74"/>
  <c r="L92" i="74"/>
  <c r="L93" i="74"/>
  <c r="L95" i="74"/>
  <c r="L96" i="74"/>
  <c r="L97" i="74"/>
  <c r="L98" i="74"/>
  <c r="L59" i="74"/>
  <c r="K113" i="74"/>
  <c r="K114" i="74"/>
  <c r="K116" i="74"/>
  <c r="K117" i="74"/>
  <c r="K118" i="74"/>
  <c r="K112" i="74"/>
  <c r="K59" i="74"/>
  <c r="K60" i="74"/>
  <c r="K61" i="74"/>
  <c r="K62" i="74"/>
  <c r="K63" i="74"/>
  <c r="K64" i="74"/>
  <c r="K65" i="74"/>
  <c r="K66" i="74"/>
  <c r="K67" i="74"/>
  <c r="K68" i="74"/>
  <c r="K69" i="74"/>
  <c r="K70" i="74"/>
  <c r="K72" i="74"/>
  <c r="K73" i="74"/>
  <c r="K74" i="74"/>
  <c r="K75" i="74"/>
  <c r="K76" i="74"/>
  <c r="K77" i="74"/>
  <c r="K78" i="74"/>
  <c r="K79" i="74"/>
  <c r="K80" i="74"/>
  <c r="K81" i="74"/>
  <c r="K82" i="74"/>
  <c r="K83" i="74"/>
  <c r="K84" i="74"/>
  <c r="K85" i="74"/>
  <c r="K87" i="74"/>
  <c r="K88" i="74"/>
  <c r="K89" i="74"/>
  <c r="K90" i="74"/>
  <c r="K91" i="74"/>
  <c r="K92" i="74"/>
  <c r="K93" i="74"/>
  <c r="K95" i="74"/>
  <c r="K96" i="74"/>
  <c r="K97" i="74"/>
  <c r="K98" i="74"/>
  <c r="K58" i="74"/>
  <c r="J113" i="74"/>
  <c r="J114" i="74"/>
  <c r="J115" i="74"/>
  <c r="J116" i="74"/>
  <c r="J117" i="74"/>
  <c r="J118" i="74"/>
  <c r="J112" i="74"/>
  <c r="J59" i="74"/>
  <c r="J60" i="74"/>
  <c r="J61" i="74"/>
  <c r="J62" i="74"/>
  <c r="J63" i="74"/>
  <c r="J65" i="74"/>
  <c r="J72" i="74"/>
  <c r="J74" i="74"/>
  <c r="J79" i="74"/>
  <c r="J80" i="74"/>
  <c r="J81" i="74"/>
  <c r="J82" i="74"/>
  <c r="J84" i="74"/>
  <c r="J85" i="74"/>
  <c r="J86" i="74"/>
  <c r="J87" i="74"/>
  <c r="J88" i="74"/>
  <c r="J89" i="74"/>
  <c r="J90" i="74"/>
  <c r="J91" i="74"/>
  <c r="J92" i="74"/>
  <c r="J93" i="74"/>
  <c r="J96" i="74"/>
  <c r="J97" i="74"/>
  <c r="J98" i="74"/>
  <c r="J58" i="74"/>
  <c r="H113" i="74"/>
  <c r="H114" i="74"/>
  <c r="H117" i="74"/>
  <c r="H118" i="74"/>
  <c r="H112" i="74"/>
  <c r="H59" i="74"/>
  <c r="H60" i="74"/>
  <c r="H61" i="74"/>
  <c r="H62" i="74"/>
  <c r="H63" i="74"/>
  <c r="H64" i="74"/>
  <c r="H65" i="74"/>
  <c r="H68" i="74"/>
  <c r="H73" i="74"/>
  <c r="H74" i="74"/>
  <c r="H76" i="74"/>
  <c r="H77" i="74"/>
  <c r="H79" i="74"/>
  <c r="H80" i="74"/>
  <c r="H81" i="74"/>
  <c r="H82" i="74"/>
  <c r="H84" i="74"/>
  <c r="H85" i="74"/>
  <c r="H86" i="74"/>
  <c r="H87" i="74"/>
  <c r="H88" i="74"/>
  <c r="H89" i="74"/>
  <c r="H90" i="74"/>
  <c r="H91" i="74"/>
  <c r="H92" i="74"/>
  <c r="H93" i="74"/>
  <c r="H96" i="74"/>
  <c r="H97" i="74"/>
  <c r="H98" i="74"/>
  <c r="H58" i="74"/>
  <c r="F113" i="74"/>
  <c r="F114" i="74"/>
  <c r="F116" i="74"/>
  <c r="F117" i="74"/>
  <c r="F118" i="74"/>
  <c r="F112" i="74"/>
  <c r="F59" i="74"/>
  <c r="F60" i="74"/>
  <c r="F61" i="74"/>
  <c r="F62" i="74"/>
  <c r="F63" i="74"/>
  <c r="F65" i="74"/>
  <c r="F72" i="74"/>
  <c r="F81" i="74"/>
  <c r="F82" i="74"/>
  <c r="F84" i="74"/>
  <c r="F85" i="74"/>
  <c r="F87" i="74"/>
  <c r="F88" i="74"/>
  <c r="F89" i="74"/>
  <c r="F90" i="74"/>
  <c r="F91" i="74"/>
  <c r="F92" i="74"/>
  <c r="F93" i="74"/>
  <c r="F96" i="74"/>
  <c r="F97" i="74"/>
  <c r="F98" i="74"/>
  <c r="F58" i="74"/>
  <c r="E59" i="74"/>
  <c r="E60" i="74"/>
  <c r="E61" i="74"/>
  <c r="E62" i="74"/>
  <c r="E63" i="74"/>
  <c r="E72" i="74"/>
  <c r="E84" i="74"/>
  <c r="E85" i="74"/>
  <c r="E88" i="74"/>
  <c r="E89" i="74"/>
  <c r="E90" i="74"/>
  <c r="E91" i="74"/>
  <c r="E92" i="74"/>
  <c r="E94" i="74"/>
  <c r="E96" i="74"/>
  <c r="E97" i="74"/>
  <c r="E98" i="74"/>
  <c r="E58" i="74"/>
  <c r="E113" i="74"/>
  <c r="E114" i="74"/>
  <c r="E115" i="74"/>
  <c r="E116" i="74"/>
  <c r="E117" i="74"/>
  <c r="E118" i="74"/>
  <c r="E112" i="74"/>
  <c r="E215" i="74" l="1"/>
  <c r="F215" i="74"/>
  <c r="H215" i="74"/>
  <c r="G215" i="74"/>
  <c r="I215" i="74"/>
  <c r="P68" i="127"/>
  <c r="N68" i="127"/>
  <c r="L68" i="127"/>
  <c r="J68" i="127"/>
  <c r="H68" i="127"/>
  <c r="F68" i="127"/>
  <c r="Q41" i="127"/>
  <c r="P41" i="127"/>
  <c r="O41" i="127"/>
  <c r="N41" i="127"/>
  <c r="M41" i="127"/>
  <c r="L41" i="127"/>
  <c r="K41" i="127"/>
  <c r="J41" i="127"/>
  <c r="I41" i="127"/>
  <c r="H41" i="127"/>
  <c r="G41" i="127"/>
  <c r="F41" i="127"/>
  <c r="Q14" i="127"/>
  <c r="P14" i="127"/>
  <c r="O14" i="127"/>
  <c r="N14" i="127"/>
  <c r="M14" i="127"/>
  <c r="L14" i="127"/>
  <c r="K14" i="127"/>
  <c r="J14" i="127"/>
  <c r="I14" i="127"/>
  <c r="H14" i="127"/>
  <c r="G14" i="127"/>
  <c r="F14" i="127"/>
  <c r="Q13" i="127"/>
  <c r="P13" i="127"/>
  <c r="O13" i="127"/>
  <c r="N13" i="127"/>
  <c r="M13" i="127"/>
  <c r="L13" i="127"/>
  <c r="K13" i="127"/>
  <c r="J13" i="127"/>
  <c r="I13" i="127"/>
  <c r="H13" i="127"/>
  <c r="G13" i="127"/>
  <c r="F13" i="127"/>
  <c r="Q10" i="127"/>
  <c r="P10" i="127"/>
  <c r="O10" i="127"/>
  <c r="N10" i="127"/>
  <c r="M10" i="127"/>
  <c r="L10" i="127"/>
  <c r="K10" i="127"/>
  <c r="J10" i="127"/>
  <c r="I10" i="127"/>
  <c r="H10" i="127"/>
  <c r="G10" i="127"/>
  <c r="F10" i="127"/>
  <c r="F86" i="74"/>
  <c r="E239" i="81"/>
  <c r="L215" i="74" l="1"/>
  <c r="Q141" i="145"/>
  <c r="P141" i="145"/>
  <c r="O141" i="145"/>
  <c r="N141" i="145"/>
  <c r="M141" i="145"/>
  <c r="L141" i="145"/>
  <c r="Q78" i="145"/>
  <c r="P78" i="145"/>
  <c r="O78" i="145"/>
  <c r="N78" i="145"/>
  <c r="M78" i="145"/>
  <c r="L78" i="145"/>
  <c r="Q468" i="145"/>
  <c r="P468" i="145"/>
  <c r="O468" i="145"/>
  <c r="N468" i="145"/>
  <c r="M468" i="145"/>
  <c r="L468" i="145"/>
  <c r="A468" i="145"/>
  <c r="Q466" i="145"/>
  <c r="P466" i="145"/>
  <c r="O466" i="145"/>
  <c r="N466" i="145"/>
  <c r="M466" i="145"/>
  <c r="L466" i="145"/>
  <c r="A466" i="145"/>
  <c r="Q464" i="145"/>
  <c r="P464" i="145"/>
  <c r="O464" i="145"/>
  <c r="N464" i="145"/>
  <c r="M464" i="145"/>
  <c r="L464" i="145"/>
  <c r="C464" i="145"/>
  <c r="A463" i="145"/>
  <c r="A462" i="145"/>
  <c r="A461" i="145"/>
  <c r="A460" i="145"/>
  <c r="A459" i="145"/>
  <c r="A458" i="145"/>
  <c r="A457" i="145"/>
  <c r="A454" i="145"/>
  <c r="A453" i="145"/>
  <c r="A452" i="145"/>
  <c r="A451" i="145"/>
  <c r="A450" i="145"/>
  <c r="A449" i="145"/>
  <c r="A448" i="145"/>
  <c r="Q447" i="145"/>
  <c r="P447" i="145"/>
  <c r="O447" i="145"/>
  <c r="N447" i="145"/>
  <c r="M447" i="145"/>
  <c r="L447" i="145"/>
  <c r="A447" i="145"/>
  <c r="Q445" i="145"/>
  <c r="P445" i="145"/>
  <c r="O445" i="145"/>
  <c r="N445" i="145"/>
  <c r="M445" i="145"/>
  <c r="L445" i="145"/>
  <c r="C445" i="145"/>
  <c r="Q423" i="145"/>
  <c r="P423" i="145"/>
  <c r="O423" i="145"/>
  <c r="N423" i="145"/>
  <c r="M423" i="145"/>
  <c r="L423" i="145"/>
  <c r="C423" i="145"/>
  <c r="D422" i="145" s="1"/>
  <c r="A422" i="145"/>
  <c r="A421" i="145"/>
  <c r="A420" i="145"/>
  <c r="A419" i="145"/>
  <c r="A418" i="145"/>
  <c r="A417" i="145"/>
  <c r="A416" i="145"/>
  <c r="Q413" i="145"/>
  <c r="P413" i="145"/>
  <c r="O413" i="145"/>
  <c r="N413" i="145"/>
  <c r="M413" i="145"/>
  <c r="L413" i="145"/>
  <c r="A413" i="145"/>
  <c r="Q410" i="145"/>
  <c r="P410" i="145"/>
  <c r="O410" i="145"/>
  <c r="N410" i="145"/>
  <c r="M410" i="145"/>
  <c r="L410" i="145"/>
  <c r="A410" i="145"/>
  <c r="Q414" i="145"/>
  <c r="P414" i="145"/>
  <c r="O414" i="145"/>
  <c r="N414" i="145"/>
  <c r="M414" i="145"/>
  <c r="L414" i="145"/>
  <c r="A414" i="145"/>
  <c r="Q409" i="145"/>
  <c r="P409" i="145"/>
  <c r="O409" i="145"/>
  <c r="N409" i="145"/>
  <c r="M409" i="145"/>
  <c r="L409" i="145"/>
  <c r="A409" i="145"/>
  <c r="Q408" i="145"/>
  <c r="P408" i="145"/>
  <c r="O408" i="145"/>
  <c r="N408" i="145"/>
  <c r="M408" i="145"/>
  <c r="L408" i="145"/>
  <c r="A408" i="145"/>
  <c r="Q407" i="145"/>
  <c r="P407" i="145"/>
  <c r="O407" i="145"/>
  <c r="N407" i="145"/>
  <c r="M407" i="145"/>
  <c r="L407" i="145"/>
  <c r="A407" i="145"/>
  <c r="Q406" i="145"/>
  <c r="P406" i="145"/>
  <c r="O406" i="145"/>
  <c r="N406" i="145"/>
  <c r="M406" i="145"/>
  <c r="L406" i="145"/>
  <c r="A406" i="145"/>
  <c r="Q402" i="145"/>
  <c r="P402" i="145"/>
  <c r="O402" i="145"/>
  <c r="N402" i="145"/>
  <c r="M402" i="145"/>
  <c r="L402" i="145"/>
  <c r="Q398" i="145"/>
  <c r="P398" i="145"/>
  <c r="O398" i="145"/>
  <c r="N398" i="145"/>
  <c r="M398" i="145"/>
  <c r="L398" i="145"/>
  <c r="Q394" i="145"/>
  <c r="P394" i="145"/>
  <c r="O394" i="145"/>
  <c r="N394" i="145"/>
  <c r="M394" i="145"/>
  <c r="L394" i="145"/>
  <c r="Q383" i="145"/>
  <c r="P383" i="145"/>
  <c r="O383" i="145"/>
  <c r="N383" i="145"/>
  <c r="M383" i="145"/>
  <c r="L383" i="145"/>
  <c r="Q382" i="145"/>
  <c r="P382" i="145"/>
  <c r="O382" i="145"/>
  <c r="N382" i="145"/>
  <c r="M382" i="145"/>
  <c r="L382" i="145"/>
  <c r="A382" i="145"/>
  <c r="Q381" i="145"/>
  <c r="P381" i="145"/>
  <c r="O381" i="145"/>
  <c r="N381" i="145"/>
  <c r="M381" i="145"/>
  <c r="L381" i="145"/>
  <c r="A381" i="145"/>
  <c r="Q380" i="145"/>
  <c r="P380" i="145"/>
  <c r="O380" i="145"/>
  <c r="N380" i="145"/>
  <c r="M380" i="145"/>
  <c r="L380" i="145"/>
  <c r="A380" i="145"/>
  <c r="Q378" i="145"/>
  <c r="P378" i="145"/>
  <c r="O378" i="145"/>
  <c r="N378" i="145"/>
  <c r="M378" i="145"/>
  <c r="L378" i="145"/>
  <c r="A378" i="145"/>
  <c r="Q376" i="145"/>
  <c r="P376" i="145"/>
  <c r="O376" i="145"/>
  <c r="N376" i="145"/>
  <c r="M376" i="145"/>
  <c r="L376" i="145"/>
  <c r="C376" i="145"/>
  <c r="D375" i="145" s="1"/>
  <c r="A375" i="145"/>
  <c r="A374" i="145"/>
  <c r="Q372" i="145"/>
  <c r="P372" i="145"/>
  <c r="O372" i="145"/>
  <c r="N372" i="145"/>
  <c r="M372" i="145"/>
  <c r="L372" i="145"/>
  <c r="E372" i="145" s="1"/>
  <c r="C238" i="81" s="1"/>
  <c r="E238" i="81" s="1"/>
  <c r="A372" i="145"/>
  <c r="Q370" i="145"/>
  <c r="P370" i="145"/>
  <c r="O370" i="145"/>
  <c r="N370" i="145"/>
  <c r="M370" i="145"/>
  <c r="L370" i="145"/>
  <c r="C370" i="145"/>
  <c r="A369" i="145"/>
  <c r="A368" i="145"/>
  <c r="Q366" i="145"/>
  <c r="P366" i="145"/>
  <c r="O366" i="145"/>
  <c r="N366" i="145"/>
  <c r="M366" i="145"/>
  <c r="L366" i="145"/>
  <c r="C366" i="145"/>
  <c r="A365" i="145"/>
  <c r="A364" i="145"/>
  <c r="A363" i="145"/>
  <c r="A362" i="145"/>
  <c r="A361" i="145"/>
  <c r="A360" i="145"/>
  <c r="A359" i="145"/>
  <c r="A358" i="145"/>
  <c r="A357" i="145"/>
  <c r="A356" i="145"/>
  <c r="A355" i="145"/>
  <c r="A354" i="145"/>
  <c r="A353" i="145"/>
  <c r="A352" i="145"/>
  <c r="A351" i="145"/>
  <c r="A350" i="145"/>
  <c r="A349" i="145"/>
  <c r="A348" i="145"/>
  <c r="A347" i="145"/>
  <c r="A346" i="145"/>
  <c r="A345" i="145"/>
  <c r="Q343" i="145"/>
  <c r="P343" i="145"/>
  <c r="O343" i="145"/>
  <c r="N343" i="145"/>
  <c r="M343" i="145"/>
  <c r="L343" i="145"/>
  <c r="C343" i="145"/>
  <c r="A342" i="145"/>
  <c r="A341" i="145"/>
  <c r="A340" i="145"/>
  <c r="A339" i="145"/>
  <c r="A338" i="145"/>
  <c r="Q336" i="145"/>
  <c r="P336" i="145"/>
  <c r="O336" i="145"/>
  <c r="N336" i="145"/>
  <c r="M336" i="145"/>
  <c r="L336" i="145"/>
  <c r="E336" i="145" s="1"/>
  <c r="C202" i="81" s="1"/>
  <c r="E202" i="81" s="1"/>
  <c r="A336" i="145"/>
  <c r="Q335" i="145"/>
  <c r="P335" i="145"/>
  <c r="O335" i="145"/>
  <c r="N335" i="145"/>
  <c r="M335" i="145"/>
  <c r="L335" i="145"/>
  <c r="A335" i="145"/>
  <c r="Q334" i="145"/>
  <c r="P334" i="145"/>
  <c r="O334" i="145"/>
  <c r="N334" i="145"/>
  <c r="M334" i="145"/>
  <c r="L334" i="145"/>
  <c r="A334" i="145"/>
  <c r="Q333" i="145"/>
  <c r="P333" i="145"/>
  <c r="O333" i="145"/>
  <c r="N333" i="145"/>
  <c r="M333" i="145"/>
  <c r="L333" i="145"/>
  <c r="A333" i="145"/>
  <c r="Q331" i="145"/>
  <c r="P331" i="145"/>
  <c r="O331" i="145"/>
  <c r="N331" i="145"/>
  <c r="M331" i="145"/>
  <c r="L331" i="145"/>
  <c r="C331" i="145"/>
  <c r="A330" i="145"/>
  <c r="A329" i="145"/>
  <c r="Q327" i="145"/>
  <c r="P327" i="145"/>
  <c r="O327" i="145"/>
  <c r="N327" i="145"/>
  <c r="M327" i="145"/>
  <c r="L327" i="145"/>
  <c r="C327" i="145"/>
  <c r="A326" i="145"/>
  <c r="A325" i="145"/>
  <c r="A324" i="145"/>
  <c r="A323" i="145"/>
  <c r="A320" i="145"/>
  <c r="A319" i="145"/>
  <c r="A318" i="145"/>
  <c r="A317" i="145"/>
  <c r="A316" i="145"/>
  <c r="A315" i="145"/>
  <c r="A314" i="145"/>
  <c r="A313" i="145"/>
  <c r="A312" i="145"/>
  <c r="A311" i="145"/>
  <c r="A310" i="145"/>
  <c r="A309" i="145"/>
  <c r="A308" i="145"/>
  <c r="A307" i="145"/>
  <c r="A306" i="145"/>
  <c r="A305" i="145"/>
  <c r="A304" i="145"/>
  <c r="A303" i="145"/>
  <c r="A302" i="145"/>
  <c r="A301" i="145"/>
  <c r="A300" i="145"/>
  <c r="A299" i="145"/>
  <c r="A298" i="145"/>
  <c r="A297" i="145"/>
  <c r="A296" i="145"/>
  <c r="A295" i="145"/>
  <c r="Q293" i="145"/>
  <c r="P293" i="145"/>
  <c r="O293" i="145"/>
  <c r="N293" i="145"/>
  <c r="M293" i="145"/>
  <c r="L293" i="145"/>
  <c r="C293" i="145"/>
  <c r="A292" i="145"/>
  <c r="A291" i="145"/>
  <c r="A290" i="145"/>
  <c r="A289" i="145"/>
  <c r="A288" i="145"/>
  <c r="A281" i="145"/>
  <c r="A280" i="145"/>
  <c r="A279" i="145"/>
  <c r="Q277" i="145"/>
  <c r="P277" i="145"/>
  <c r="O277" i="145"/>
  <c r="N277" i="145"/>
  <c r="M277" i="145"/>
  <c r="L277" i="145"/>
  <c r="C277" i="145"/>
  <c r="A276" i="145"/>
  <c r="A275" i="145"/>
  <c r="A274" i="145"/>
  <c r="A273" i="145"/>
  <c r="Q271" i="145"/>
  <c r="P271" i="145"/>
  <c r="O271" i="145"/>
  <c r="N271" i="145"/>
  <c r="M271" i="145"/>
  <c r="L271" i="145"/>
  <c r="C271" i="145"/>
  <c r="D259" i="145" s="1"/>
  <c r="A270" i="145"/>
  <c r="A269" i="145"/>
  <c r="A268" i="145"/>
  <c r="A267" i="145"/>
  <c r="A266" i="145"/>
  <c r="A265" i="145"/>
  <c r="A264" i="145"/>
  <c r="A263" i="145"/>
  <c r="A262" i="145"/>
  <c r="A261" i="145"/>
  <c r="A260" i="145"/>
  <c r="A259" i="145"/>
  <c r="A258" i="145"/>
  <c r="A257" i="145"/>
  <c r="A256" i="145"/>
  <c r="Q254" i="145"/>
  <c r="P254" i="145"/>
  <c r="O254" i="145"/>
  <c r="N254" i="145"/>
  <c r="M254" i="145"/>
  <c r="L254" i="145"/>
  <c r="C254" i="145"/>
  <c r="D253" i="145" s="1"/>
  <c r="A253" i="145"/>
  <c r="A252" i="145"/>
  <c r="Q250" i="145"/>
  <c r="P250" i="145"/>
  <c r="O250" i="145"/>
  <c r="N250" i="145"/>
  <c r="M250" i="145"/>
  <c r="L250" i="145"/>
  <c r="C250" i="145"/>
  <c r="A249" i="145"/>
  <c r="A248" i="145"/>
  <c r="A245" i="145"/>
  <c r="Q243" i="145"/>
  <c r="P243" i="145"/>
  <c r="O243" i="145"/>
  <c r="N243" i="145"/>
  <c r="M243" i="145"/>
  <c r="L243" i="145"/>
  <c r="C243" i="145"/>
  <c r="A242" i="145"/>
  <c r="A241" i="145"/>
  <c r="A231" i="145"/>
  <c r="Q229" i="145"/>
  <c r="P229" i="145"/>
  <c r="O229" i="145"/>
  <c r="N229" i="145"/>
  <c r="M229" i="145"/>
  <c r="L229" i="145"/>
  <c r="C229" i="145"/>
  <c r="D228" i="145" s="1"/>
  <c r="A228" i="145"/>
  <c r="A227" i="145"/>
  <c r="A226" i="145"/>
  <c r="Q224" i="145"/>
  <c r="P224" i="145"/>
  <c r="O224" i="145"/>
  <c r="N224" i="145"/>
  <c r="M224" i="145"/>
  <c r="L224" i="145"/>
  <c r="A224" i="145"/>
  <c r="Q222" i="145"/>
  <c r="P222" i="145"/>
  <c r="O222" i="145"/>
  <c r="N222" i="145"/>
  <c r="M222" i="145"/>
  <c r="L222" i="145"/>
  <c r="C222" i="145"/>
  <c r="D221" i="145" s="1"/>
  <c r="A221" i="145"/>
  <c r="A220" i="145"/>
  <c r="A219" i="145"/>
  <c r="A218" i="145"/>
  <c r="A217" i="145"/>
  <c r="Q215" i="145"/>
  <c r="P215" i="145"/>
  <c r="O215" i="145"/>
  <c r="N215" i="145"/>
  <c r="M215" i="145"/>
  <c r="L215" i="145"/>
  <c r="C215" i="145"/>
  <c r="D214" i="145" s="1"/>
  <c r="A214" i="145"/>
  <c r="Q210" i="145"/>
  <c r="P210" i="145"/>
  <c r="O210" i="145"/>
  <c r="N210" i="145"/>
  <c r="M210" i="145"/>
  <c r="C210" i="145"/>
  <c r="A209" i="145"/>
  <c r="A208" i="145"/>
  <c r="A207" i="145"/>
  <c r="A206" i="145"/>
  <c r="A205" i="145"/>
  <c r="A204" i="145"/>
  <c r="A203" i="145"/>
  <c r="A202" i="145"/>
  <c r="A201" i="145"/>
  <c r="A200" i="145"/>
  <c r="A199" i="145"/>
  <c r="A198" i="145"/>
  <c r="A197" i="145"/>
  <c r="A196" i="145"/>
  <c r="A195" i="145"/>
  <c r="A194" i="145"/>
  <c r="A193" i="145"/>
  <c r="A192" i="145"/>
  <c r="A191" i="145"/>
  <c r="A190" i="145"/>
  <c r="A189" i="145"/>
  <c r="A188" i="145"/>
  <c r="A187" i="145"/>
  <c r="Q185" i="145"/>
  <c r="P185" i="145"/>
  <c r="O185" i="145"/>
  <c r="N185" i="145"/>
  <c r="M185" i="145"/>
  <c r="L185" i="145"/>
  <c r="C185" i="145"/>
  <c r="D184" i="145" s="1"/>
  <c r="A184" i="145"/>
  <c r="A183" i="145"/>
  <c r="A182" i="145"/>
  <c r="A181" i="145"/>
  <c r="A180" i="145"/>
  <c r="A179" i="145"/>
  <c r="A178" i="145"/>
  <c r="A177" i="145"/>
  <c r="A176" i="145"/>
  <c r="A175" i="145"/>
  <c r="A174" i="145"/>
  <c r="A173" i="145"/>
  <c r="A172" i="145"/>
  <c r="A171" i="145"/>
  <c r="A170" i="145"/>
  <c r="A169" i="145"/>
  <c r="A168" i="145"/>
  <c r="A167" i="145"/>
  <c r="A166" i="145"/>
  <c r="Q164" i="145"/>
  <c r="P164" i="145"/>
  <c r="O164" i="145"/>
  <c r="N164" i="145"/>
  <c r="M164" i="145"/>
  <c r="L164" i="145"/>
  <c r="C164" i="145"/>
  <c r="A163" i="145"/>
  <c r="A162" i="145"/>
  <c r="A161" i="145"/>
  <c r="A160" i="145"/>
  <c r="A159" i="145"/>
  <c r="A158" i="145"/>
  <c r="A157" i="145"/>
  <c r="A156" i="145"/>
  <c r="A155" i="145"/>
  <c r="A154" i="145"/>
  <c r="A153" i="145"/>
  <c r="A152" i="145"/>
  <c r="A151" i="145"/>
  <c r="A150" i="145"/>
  <c r="A149" i="145"/>
  <c r="A148" i="145"/>
  <c r="A147" i="145"/>
  <c r="A146" i="145"/>
  <c r="A145" i="145"/>
  <c r="A144" i="145"/>
  <c r="A143" i="145"/>
  <c r="Q135" i="145"/>
  <c r="P135" i="145"/>
  <c r="O135" i="145"/>
  <c r="N135" i="145"/>
  <c r="M135" i="145"/>
  <c r="L135" i="145"/>
  <c r="D124" i="74"/>
  <c r="L475" i="145" l="1"/>
  <c r="P475" i="145"/>
  <c r="M475" i="145"/>
  <c r="Q475" i="145"/>
  <c r="N475" i="145"/>
  <c r="O475" i="145"/>
  <c r="E378" i="145"/>
  <c r="C120" i="81" s="1"/>
  <c r="E120" i="81" s="1"/>
  <c r="E394" i="145"/>
  <c r="C259" i="81" s="1"/>
  <c r="E259" i="81" s="1"/>
  <c r="D163" i="145"/>
  <c r="E383" i="145"/>
  <c r="C248" i="81" s="1"/>
  <c r="E248" i="81" s="1"/>
  <c r="E406" i="145"/>
  <c r="C271" i="81" s="1"/>
  <c r="E271" i="81" s="1"/>
  <c r="E335" i="145"/>
  <c r="C201" i="81" s="1"/>
  <c r="E201" i="81" s="1"/>
  <c r="E414" i="145"/>
  <c r="E334" i="145"/>
  <c r="C200" i="81" s="1"/>
  <c r="E200" i="81" s="1"/>
  <c r="E381" i="145"/>
  <c r="C246" i="81" s="1"/>
  <c r="E246" i="81" s="1"/>
  <c r="E402" i="145"/>
  <c r="C267" i="81" s="1"/>
  <c r="E267" i="81" s="1"/>
  <c r="E409" i="145"/>
  <c r="E274" i="81" s="1"/>
  <c r="E224" i="145"/>
  <c r="C89" i="81" s="1"/>
  <c r="E89" i="81" s="1"/>
  <c r="E333" i="145"/>
  <c r="C199" i="81" s="1"/>
  <c r="E199" i="81" s="1"/>
  <c r="E447" i="145"/>
  <c r="C312" i="81" s="1"/>
  <c r="E312" i="81" s="1"/>
  <c r="E407" i="145"/>
  <c r="E272" i="81" s="1"/>
  <c r="E410" i="145"/>
  <c r="E382" i="145"/>
  <c r="C247" i="81" s="1"/>
  <c r="E247" i="81" s="1"/>
  <c r="E380" i="145"/>
  <c r="C245" i="81" s="1"/>
  <c r="E245" i="81" s="1"/>
  <c r="E398" i="145"/>
  <c r="C263" i="81" s="1"/>
  <c r="E263" i="81" s="1"/>
  <c r="E408" i="145"/>
  <c r="E273" i="81" s="1"/>
  <c r="E413" i="145"/>
  <c r="D240" i="145"/>
  <c r="Q240" i="145" s="1"/>
  <c r="D235" i="145"/>
  <c r="D239" i="145"/>
  <c r="D234" i="145"/>
  <c r="D232" i="145"/>
  <c r="D236" i="145"/>
  <c r="D238" i="145"/>
  <c r="D233" i="145"/>
  <c r="D237" i="145"/>
  <c r="D322" i="145"/>
  <c r="D323" i="145"/>
  <c r="D321" i="145"/>
  <c r="D338" i="145"/>
  <c r="D339" i="145"/>
  <c r="D455" i="145"/>
  <c r="D457" i="145"/>
  <c r="D456" i="145"/>
  <c r="D458" i="145"/>
  <c r="D440" i="145"/>
  <c r="Q440" i="145" s="1"/>
  <c r="D434" i="145"/>
  <c r="D438" i="145"/>
  <c r="D437" i="145"/>
  <c r="D436" i="145"/>
  <c r="D435" i="145"/>
  <c r="D439" i="145"/>
  <c r="D283" i="145"/>
  <c r="D284" i="145"/>
  <c r="D287" i="145"/>
  <c r="D282" i="145"/>
  <c r="D285" i="145"/>
  <c r="D288" i="145"/>
  <c r="D286" i="145"/>
  <c r="D441" i="145"/>
  <c r="Q441" i="145" s="1"/>
  <c r="D170" i="145"/>
  <c r="D427" i="145"/>
  <c r="Q427" i="145" s="1"/>
  <c r="D432" i="145"/>
  <c r="D428" i="145"/>
  <c r="D431" i="145"/>
  <c r="Q431" i="145" s="1"/>
  <c r="D241" i="145"/>
  <c r="L241" i="145" s="1"/>
  <c r="D417" i="145"/>
  <c r="M417" i="145" s="1"/>
  <c r="D421" i="145"/>
  <c r="M421" i="145" s="1"/>
  <c r="D169" i="145"/>
  <c r="P169" i="145" s="1"/>
  <c r="D252" i="145"/>
  <c r="P252" i="145" s="1"/>
  <c r="P253" i="145" s="1"/>
  <c r="D227" i="145"/>
  <c r="Q227" i="145" s="1"/>
  <c r="D242" i="145"/>
  <c r="D248" i="145"/>
  <c r="P248" i="145" s="1"/>
  <c r="M44" i="145"/>
  <c r="J33" i="79" s="1"/>
  <c r="Q44" i="145"/>
  <c r="N33" i="79" s="1"/>
  <c r="D419" i="145"/>
  <c r="N419" i="145" s="1"/>
  <c r="D420" i="145"/>
  <c r="M420" i="145" s="1"/>
  <c r="D416" i="145"/>
  <c r="P416" i="145" s="1"/>
  <c r="D418" i="145"/>
  <c r="O418" i="145" s="1"/>
  <c r="D171" i="145"/>
  <c r="L171" i="145" s="1"/>
  <c r="N44" i="145"/>
  <c r="K33" i="79" s="1"/>
  <c r="O44" i="145"/>
  <c r="L33" i="79" s="1"/>
  <c r="D374" i="145"/>
  <c r="D167" i="145"/>
  <c r="L167" i="145" s="1"/>
  <c r="D226" i="145"/>
  <c r="D256" i="145"/>
  <c r="Q256" i="145" s="1"/>
  <c r="D166" i="145"/>
  <c r="D173" i="145"/>
  <c r="M173" i="145" s="1"/>
  <c r="D231" i="145"/>
  <c r="N231" i="145" s="1"/>
  <c r="D245" i="145"/>
  <c r="O245" i="145" s="1"/>
  <c r="D247" i="145"/>
  <c r="M247" i="145" s="1"/>
  <c r="D249" i="145"/>
  <c r="D168" i="145"/>
  <c r="N168" i="145" s="1"/>
  <c r="D172" i="145"/>
  <c r="Q172" i="145" s="1"/>
  <c r="D174" i="145"/>
  <c r="L44" i="145"/>
  <c r="I33" i="79" s="1"/>
  <c r="P44" i="145"/>
  <c r="M33" i="79" s="1"/>
  <c r="E468" i="145"/>
  <c r="C333" i="81" s="1"/>
  <c r="E333" i="81" s="1"/>
  <c r="O259" i="145"/>
  <c r="N259" i="145"/>
  <c r="Q259" i="145"/>
  <c r="P259" i="145"/>
  <c r="L259" i="145"/>
  <c r="O440" i="145"/>
  <c r="N440" i="145"/>
  <c r="N214" i="145"/>
  <c r="Q214" i="145"/>
  <c r="M214" i="145"/>
  <c r="P214" i="145"/>
  <c r="O214" i="145"/>
  <c r="L214" i="145"/>
  <c r="D215" i="145"/>
  <c r="D188" i="145"/>
  <c r="D187" i="145"/>
  <c r="D209" i="145"/>
  <c r="D208" i="145"/>
  <c r="D207" i="145"/>
  <c r="D206" i="145"/>
  <c r="O206" i="145" s="1"/>
  <c r="D205" i="145"/>
  <c r="D204" i="145"/>
  <c r="D203" i="145"/>
  <c r="D202" i="145"/>
  <c r="D201" i="145"/>
  <c r="D200" i="145"/>
  <c r="D199" i="145"/>
  <c r="D198" i="145"/>
  <c r="D197" i="145"/>
  <c r="D196" i="145"/>
  <c r="D195" i="145"/>
  <c r="D194" i="145"/>
  <c r="D193" i="145"/>
  <c r="D192" i="145"/>
  <c r="D191" i="145"/>
  <c r="D190" i="145"/>
  <c r="D189" i="145"/>
  <c r="O240" i="145"/>
  <c r="M259" i="145"/>
  <c r="E135" i="145"/>
  <c r="D292" i="145"/>
  <c r="D291" i="145"/>
  <c r="D290" i="145"/>
  <c r="D289" i="145"/>
  <c r="D281" i="145"/>
  <c r="D280" i="145"/>
  <c r="D279" i="145"/>
  <c r="D270" i="145"/>
  <c r="D269" i="145"/>
  <c r="D268" i="145"/>
  <c r="D267" i="145"/>
  <c r="D266" i="145"/>
  <c r="D265" i="145"/>
  <c r="D264" i="145"/>
  <c r="D263" i="145"/>
  <c r="D262" i="145"/>
  <c r="D258" i="145"/>
  <c r="D261" i="145"/>
  <c r="D257" i="145"/>
  <c r="D260" i="145"/>
  <c r="D330" i="145"/>
  <c r="D329" i="145"/>
  <c r="D463" i="145"/>
  <c r="D462" i="145"/>
  <c r="D461" i="145"/>
  <c r="D460" i="145"/>
  <c r="D459" i="145"/>
  <c r="D454" i="145"/>
  <c r="D453" i="145"/>
  <c r="D452" i="145"/>
  <c r="D451" i="145"/>
  <c r="D450" i="145"/>
  <c r="D449" i="145"/>
  <c r="D448" i="145"/>
  <c r="D447" i="145"/>
  <c r="D143" i="145"/>
  <c r="D144" i="145"/>
  <c r="D145" i="145"/>
  <c r="D146" i="145"/>
  <c r="D147" i="145"/>
  <c r="D148" i="145"/>
  <c r="D149" i="145"/>
  <c r="D150" i="145"/>
  <c r="D151" i="145"/>
  <c r="D152" i="145"/>
  <c r="D153" i="145"/>
  <c r="D154" i="145"/>
  <c r="D155" i="145"/>
  <c r="D156" i="145"/>
  <c r="D157" i="145"/>
  <c r="D158" i="145"/>
  <c r="D159" i="145"/>
  <c r="D160" i="145"/>
  <c r="D161" i="145"/>
  <c r="D162" i="145"/>
  <c r="D175" i="145"/>
  <c r="D176" i="145"/>
  <c r="D177" i="145"/>
  <c r="D178" i="145"/>
  <c r="D179" i="145"/>
  <c r="D180" i="145"/>
  <c r="D181" i="145"/>
  <c r="D182" i="145"/>
  <c r="D183" i="145"/>
  <c r="D217" i="145"/>
  <c r="D218" i="145"/>
  <c r="D219" i="145"/>
  <c r="D220" i="145"/>
  <c r="D276" i="145"/>
  <c r="D275" i="145"/>
  <c r="O275" i="145" s="1"/>
  <c r="D274" i="145"/>
  <c r="O274" i="145" s="1"/>
  <c r="D273" i="145"/>
  <c r="O273" i="145" s="1"/>
  <c r="D326" i="145"/>
  <c r="D325" i="145"/>
  <c r="D324" i="145"/>
  <c r="D320" i="145"/>
  <c r="D319" i="145"/>
  <c r="D318" i="145"/>
  <c r="D317" i="145"/>
  <c r="D316" i="145"/>
  <c r="D315" i="145"/>
  <c r="D314" i="145"/>
  <c r="D313" i="145"/>
  <c r="D312" i="145"/>
  <c r="D311" i="145"/>
  <c r="D310" i="145"/>
  <c r="D309" i="145"/>
  <c r="D308" i="145"/>
  <c r="D307" i="145"/>
  <c r="D306" i="145"/>
  <c r="D305" i="145"/>
  <c r="D304" i="145"/>
  <c r="D303" i="145"/>
  <c r="D302" i="145"/>
  <c r="D301" i="145"/>
  <c r="D300" i="145"/>
  <c r="D299" i="145"/>
  <c r="D298" i="145"/>
  <c r="D297" i="145"/>
  <c r="D296" i="145"/>
  <c r="D295" i="145"/>
  <c r="D342" i="145"/>
  <c r="D341" i="145"/>
  <c r="D340" i="145"/>
  <c r="D365" i="145"/>
  <c r="D364" i="145"/>
  <c r="D363" i="145"/>
  <c r="D362" i="145"/>
  <c r="D361" i="145"/>
  <c r="D360" i="145"/>
  <c r="D359" i="145"/>
  <c r="D358" i="145"/>
  <c r="D357" i="145"/>
  <c r="D356" i="145"/>
  <c r="D355" i="145"/>
  <c r="D354" i="145"/>
  <c r="D353" i="145"/>
  <c r="D352" i="145"/>
  <c r="D351" i="145"/>
  <c r="D350" i="145"/>
  <c r="D349" i="145"/>
  <c r="D348" i="145"/>
  <c r="D347" i="145"/>
  <c r="D346" i="145"/>
  <c r="D345" i="145"/>
  <c r="O432" i="145"/>
  <c r="D369" i="145"/>
  <c r="D368" i="145"/>
  <c r="D444" i="145"/>
  <c r="D443" i="145"/>
  <c r="D430" i="145"/>
  <c r="D426" i="145"/>
  <c r="D442" i="145"/>
  <c r="D433" i="145"/>
  <c r="D429" i="145"/>
  <c r="D425" i="145"/>
  <c r="E466" i="145"/>
  <c r="C331" i="81" s="1"/>
  <c r="E331" i="81" s="1"/>
  <c r="E212" i="145" l="1"/>
  <c r="M240" i="145"/>
  <c r="N240" i="145"/>
  <c r="L240" i="145"/>
  <c r="N84" i="74"/>
  <c r="P441" i="145"/>
  <c r="P240" i="145"/>
  <c r="E214" i="145"/>
  <c r="C79" i="81" s="1"/>
  <c r="E79" i="81" s="1"/>
  <c r="E259" i="145"/>
  <c r="C125" i="81" s="1"/>
  <c r="E125" i="81" s="1"/>
  <c r="J68" i="74" s="1"/>
  <c r="L440" i="145"/>
  <c r="O417" i="145"/>
  <c r="M440" i="145"/>
  <c r="P440" i="145"/>
  <c r="O321" i="145"/>
  <c r="M321" i="145"/>
  <c r="L321" i="145"/>
  <c r="Q321" i="145"/>
  <c r="N321" i="145"/>
  <c r="P321" i="145"/>
  <c r="O234" i="145"/>
  <c r="L234" i="145"/>
  <c r="P234" i="145"/>
  <c r="N234" i="145"/>
  <c r="M234" i="145"/>
  <c r="Q234" i="145"/>
  <c r="O455" i="145"/>
  <c r="N455" i="145"/>
  <c r="Q455" i="145"/>
  <c r="P455" i="145"/>
  <c r="M455" i="145"/>
  <c r="L455" i="145"/>
  <c r="L323" i="145"/>
  <c r="O323" i="145"/>
  <c r="P323" i="145"/>
  <c r="Q323" i="145"/>
  <c r="M323" i="145"/>
  <c r="N323" i="145"/>
  <c r="O238" i="145"/>
  <c r="L238" i="145"/>
  <c r="P238" i="145"/>
  <c r="N238" i="145"/>
  <c r="M238" i="145"/>
  <c r="Q238" i="145"/>
  <c r="M239" i="145"/>
  <c r="Q239" i="145"/>
  <c r="L239" i="145"/>
  <c r="N239" i="145"/>
  <c r="O239" i="145"/>
  <c r="P239" i="145"/>
  <c r="M457" i="145"/>
  <c r="O457" i="145"/>
  <c r="N457" i="145"/>
  <c r="P457" i="145"/>
  <c r="L457" i="145"/>
  <c r="Q457" i="145"/>
  <c r="M233" i="145"/>
  <c r="Q233" i="145"/>
  <c r="P233" i="145"/>
  <c r="N233" i="145"/>
  <c r="O233" i="145"/>
  <c r="L233" i="145"/>
  <c r="L458" i="145"/>
  <c r="O458" i="145"/>
  <c r="N458" i="145"/>
  <c r="Q458" i="145"/>
  <c r="P458" i="145"/>
  <c r="M458" i="145"/>
  <c r="L339" i="145"/>
  <c r="P339" i="145"/>
  <c r="M339" i="145"/>
  <c r="Q339" i="145"/>
  <c r="N339" i="145"/>
  <c r="O339" i="145"/>
  <c r="O322" i="145"/>
  <c r="L322" i="145"/>
  <c r="P322" i="145"/>
  <c r="M322" i="145"/>
  <c r="Q322" i="145"/>
  <c r="N322" i="145"/>
  <c r="O236" i="145"/>
  <c r="L236" i="145"/>
  <c r="P236" i="145"/>
  <c r="N236" i="145"/>
  <c r="M236" i="145"/>
  <c r="Q236" i="145"/>
  <c r="M235" i="145"/>
  <c r="Q235" i="145"/>
  <c r="P235" i="145"/>
  <c r="N235" i="145"/>
  <c r="O235" i="145"/>
  <c r="L235" i="145"/>
  <c r="M456" i="145"/>
  <c r="Q456" i="145"/>
  <c r="N456" i="145"/>
  <c r="L456" i="145"/>
  <c r="O456" i="145"/>
  <c r="P456" i="145"/>
  <c r="O338" i="145"/>
  <c r="N338" i="145"/>
  <c r="Q338" i="145"/>
  <c r="M338" i="145"/>
  <c r="P338" i="145"/>
  <c r="L338" i="145"/>
  <c r="M237" i="145"/>
  <c r="Q237" i="145"/>
  <c r="P237" i="145"/>
  <c r="N237" i="145"/>
  <c r="O237" i="145"/>
  <c r="L237" i="145"/>
  <c r="O232" i="145"/>
  <c r="N232" i="145"/>
  <c r="L232" i="145"/>
  <c r="P232" i="145"/>
  <c r="M232" i="145"/>
  <c r="Q232" i="145"/>
  <c r="O421" i="145"/>
  <c r="O252" i="145"/>
  <c r="O253" i="145" s="1"/>
  <c r="M427" i="145"/>
  <c r="N441" i="145"/>
  <c r="Q170" i="145"/>
  <c r="L170" i="145"/>
  <c r="N285" i="145"/>
  <c r="M285" i="145"/>
  <c r="P285" i="145"/>
  <c r="L285" i="145"/>
  <c r="Q285" i="145"/>
  <c r="O285" i="145"/>
  <c r="N283" i="145"/>
  <c r="M283" i="145"/>
  <c r="O283" i="145"/>
  <c r="P283" i="145"/>
  <c r="L283" i="145"/>
  <c r="Q283" i="145"/>
  <c r="N437" i="145"/>
  <c r="O437" i="145"/>
  <c r="L437" i="145"/>
  <c r="P437" i="145"/>
  <c r="M437" i="145"/>
  <c r="Q437" i="145"/>
  <c r="O282" i="145"/>
  <c r="N282" i="145"/>
  <c r="L282" i="145"/>
  <c r="Q282" i="145"/>
  <c r="M282" i="145"/>
  <c r="P282" i="145"/>
  <c r="L439" i="145"/>
  <c r="P439" i="145"/>
  <c r="M439" i="145"/>
  <c r="Q439" i="145"/>
  <c r="N439" i="145"/>
  <c r="O439" i="145"/>
  <c r="O438" i="145"/>
  <c r="L438" i="145"/>
  <c r="P438" i="145"/>
  <c r="M438" i="145"/>
  <c r="Q438" i="145"/>
  <c r="N438" i="145"/>
  <c r="L441" i="145"/>
  <c r="O286" i="145"/>
  <c r="N286" i="145"/>
  <c r="L286" i="145"/>
  <c r="Q286" i="145"/>
  <c r="M286" i="145"/>
  <c r="P286" i="145"/>
  <c r="O287" i="145"/>
  <c r="N287" i="145"/>
  <c r="M287" i="145"/>
  <c r="P287" i="145"/>
  <c r="L287" i="145"/>
  <c r="Q287" i="145"/>
  <c r="L435" i="145"/>
  <c r="P435" i="145"/>
  <c r="M435" i="145"/>
  <c r="Q435" i="145"/>
  <c r="N435" i="145"/>
  <c r="O435" i="145"/>
  <c r="O434" i="145"/>
  <c r="L434" i="145"/>
  <c r="P434" i="145"/>
  <c r="M434" i="145"/>
  <c r="Q434" i="145"/>
  <c r="N434" i="145"/>
  <c r="M441" i="145"/>
  <c r="O441" i="145"/>
  <c r="O227" i="145"/>
  <c r="O170" i="145"/>
  <c r="O288" i="145"/>
  <c r="L288" i="145"/>
  <c r="Q288" i="145"/>
  <c r="N288" i="145"/>
  <c r="M288" i="145"/>
  <c r="P288" i="145"/>
  <c r="O284" i="145"/>
  <c r="L284" i="145"/>
  <c r="Q284" i="145"/>
  <c r="M284" i="145"/>
  <c r="N284" i="145"/>
  <c r="P284" i="145"/>
  <c r="M436" i="145"/>
  <c r="Q436" i="145"/>
  <c r="N436" i="145"/>
  <c r="O436" i="145"/>
  <c r="L436" i="145"/>
  <c r="P436" i="145"/>
  <c r="N416" i="145"/>
  <c r="L427" i="145"/>
  <c r="N170" i="145"/>
  <c r="M170" i="145"/>
  <c r="P170" i="145"/>
  <c r="N427" i="145"/>
  <c r="L245" i="145"/>
  <c r="M432" i="145"/>
  <c r="P432" i="145"/>
  <c r="L431" i="145"/>
  <c r="P427" i="145"/>
  <c r="O427" i="145"/>
  <c r="Q432" i="145"/>
  <c r="M252" i="145"/>
  <c r="M253" i="145" s="1"/>
  <c r="N432" i="145"/>
  <c r="N252" i="145"/>
  <c r="N253" i="145" s="1"/>
  <c r="N431" i="145"/>
  <c r="N248" i="145"/>
  <c r="L432" i="145"/>
  <c r="M428" i="145"/>
  <c r="L374" i="145"/>
  <c r="O420" i="145"/>
  <c r="O428" i="145"/>
  <c r="P428" i="145"/>
  <c r="Q428" i="145"/>
  <c r="Q416" i="145"/>
  <c r="M431" i="145"/>
  <c r="N428" i="145"/>
  <c r="P431" i="145"/>
  <c r="O431" i="145"/>
  <c r="L428" i="145"/>
  <c r="L416" i="145"/>
  <c r="N169" i="145"/>
  <c r="N166" i="145"/>
  <c r="O419" i="145"/>
  <c r="L227" i="145"/>
  <c r="L419" i="145"/>
  <c r="P421" i="145"/>
  <c r="L252" i="145"/>
  <c r="N227" i="145"/>
  <c r="N226" i="145"/>
  <c r="P420" i="145"/>
  <c r="P227" i="145"/>
  <c r="M227" i="145"/>
  <c r="N418" i="145"/>
  <c r="Q231" i="145"/>
  <c r="Q241" i="145"/>
  <c r="M168" i="145"/>
  <c r="O247" i="145"/>
  <c r="L248" i="145"/>
  <c r="Q252" i="145"/>
  <c r="Q253" i="145" s="1"/>
  <c r="Q248" i="145"/>
  <c r="P247" i="145"/>
  <c r="M248" i="145"/>
  <c r="O248" i="145"/>
  <c r="P241" i="145"/>
  <c r="N241" i="145"/>
  <c r="M171" i="145"/>
  <c r="O166" i="145"/>
  <c r="L169" i="145"/>
  <c r="Q169" i="145"/>
  <c r="M169" i="145"/>
  <c r="O172" i="145"/>
  <c r="O169" i="145"/>
  <c r="L166" i="145"/>
  <c r="M241" i="145"/>
  <c r="O241" i="145"/>
  <c r="M166" i="145"/>
  <c r="P245" i="145"/>
  <c r="L420" i="145"/>
  <c r="E420" i="145" s="1"/>
  <c r="C285" i="81" s="1"/>
  <c r="E285" i="81" s="1"/>
  <c r="L417" i="145"/>
  <c r="N421" i="145"/>
  <c r="L173" i="145"/>
  <c r="L418" i="145"/>
  <c r="N374" i="145"/>
  <c r="N375" i="145" s="1"/>
  <c r="M172" i="145"/>
  <c r="Q420" i="145"/>
  <c r="Q417" i="145"/>
  <c r="Q421" i="145"/>
  <c r="Q374" i="145"/>
  <c r="Q375" i="145" s="1"/>
  <c r="N245" i="145"/>
  <c r="M374" i="145"/>
  <c r="M375" i="145" s="1"/>
  <c r="Q173" i="145"/>
  <c r="L421" i="145"/>
  <c r="N420" i="145"/>
  <c r="N417" i="145"/>
  <c r="L172" i="145"/>
  <c r="P418" i="145"/>
  <c r="P374" i="145"/>
  <c r="O374" i="145"/>
  <c r="O375" i="145" s="1"/>
  <c r="P417" i="145"/>
  <c r="D254" i="145"/>
  <c r="M256" i="145"/>
  <c r="O256" i="145"/>
  <c r="D243" i="145"/>
  <c r="L168" i="145"/>
  <c r="P256" i="145"/>
  <c r="P166" i="145"/>
  <c r="N256" i="145"/>
  <c r="P231" i="145"/>
  <c r="O231" i="145"/>
  <c r="Q167" i="145"/>
  <c r="L256" i="145"/>
  <c r="M416" i="145"/>
  <c r="Q418" i="145"/>
  <c r="D423" i="145"/>
  <c r="O416" i="145"/>
  <c r="M418" i="145"/>
  <c r="M419" i="145"/>
  <c r="Q419" i="145"/>
  <c r="P419" i="145"/>
  <c r="P174" i="145"/>
  <c r="M174" i="145"/>
  <c r="L226" i="145"/>
  <c r="D229" i="145"/>
  <c r="O171" i="145"/>
  <c r="N171" i="145"/>
  <c r="Q171" i="145"/>
  <c r="D250" i="145"/>
  <c r="L174" i="145"/>
  <c r="D376" i="145"/>
  <c r="Q247" i="145"/>
  <c r="M226" i="145"/>
  <c r="O226" i="145"/>
  <c r="O28" i="145" s="1"/>
  <c r="L19" i="79" s="1"/>
  <c r="Q166" i="145"/>
  <c r="P171" i="145"/>
  <c r="N174" i="145"/>
  <c r="P172" i="145"/>
  <c r="M245" i="145"/>
  <c r="Q245" i="145"/>
  <c r="P173" i="145"/>
  <c r="N173" i="145"/>
  <c r="O173" i="145"/>
  <c r="D185" i="145"/>
  <c r="D271" i="145"/>
  <c r="N247" i="145"/>
  <c r="L247" i="145"/>
  <c r="P226" i="145"/>
  <c r="P28" i="145" s="1"/>
  <c r="M19" i="79" s="1"/>
  <c r="Q174" i="145"/>
  <c r="N172" i="145"/>
  <c r="Q226" i="145"/>
  <c r="P168" i="145"/>
  <c r="Q168" i="145"/>
  <c r="O168" i="145"/>
  <c r="M231" i="145"/>
  <c r="L231" i="145"/>
  <c r="P167" i="145"/>
  <c r="N167" i="145"/>
  <c r="M167" i="145"/>
  <c r="O167" i="145"/>
  <c r="O174" i="145"/>
  <c r="P183" i="145"/>
  <c r="L183" i="145"/>
  <c r="O183" i="145"/>
  <c r="N183" i="145"/>
  <c r="M183" i="145"/>
  <c r="Q183" i="145"/>
  <c r="P152" i="145"/>
  <c r="L152" i="145"/>
  <c r="O152" i="145"/>
  <c r="Q152" i="145"/>
  <c r="N152" i="145"/>
  <c r="M152" i="145"/>
  <c r="D464" i="145"/>
  <c r="N192" i="145"/>
  <c r="Q192" i="145"/>
  <c r="M192" i="145"/>
  <c r="P192" i="145"/>
  <c r="O192" i="145"/>
  <c r="L192" i="145"/>
  <c r="P347" i="145"/>
  <c r="L347" i="145"/>
  <c r="M347" i="145"/>
  <c r="Q347" i="145"/>
  <c r="O347" i="145"/>
  <c r="N347" i="145"/>
  <c r="Q350" i="145"/>
  <c r="M350" i="145"/>
  <c r="P350" i="145"/>
  <c r="L350" i="145"/>
  <c r="O350" i="145"/>
  <c r="N350" i="145"/>
  <c r="Q354" i="145"/>
  <c r="M354" i="145"/>
  <c r="P354" i="145"/>
  <c r="L354" i="145"/>
  <c r="O354" i="145"/>
  <c r="N354" i="145"/>
  <c r="Q358" i="145"/>
  <c r="M358" i="145"/>
  <c r="P358" i="145"/>
  <c r="L358" i="145"/>
  <c r="O358" i="145"/>
  <c r="N358" i="145"/>
  <c r="Q362" i="145"/>
  <c r="M362" i="145"/>
  <c r="P362" i="145"/>
  <c r="L362" i="145"/>
  <c r="O362" i="145"/>
  <c r="N362" i="145"/>
  <c r="D343" i="145"/>
  <c r="Q298" i="145"/>
  <c r="M298" i="145"/>
  <c r="P298" i="145"/>
  <c r="L298" i="145"/>
  <c r="N298" i="145"/>
  <c r="O298" i="145"/>
  <c r="Q302" i="145"/>
  <c r="M302" i="145"/>
  <c r="P302" i="145"/>
  <c r="L302" i="145"/>
  <c r="N302" i="145"/>
  <c r="O302" i="145"/>
  <c r="Q306" i="145"/>
  <c r="M306" i="145"/>
  <c r="P306" i="145"/>
  <c r="L306" i="145"/>
  <c r="N306" i="145"/>
  <c r="O306" i="145"/>
  <c r="Q310" i="145"/>
  <c r="M310" i="145"/>
  <c r="P310" i="145"/>
  <c r="L310" i="145"/>
  <c r="N310" i="145"/>
  <c r="O310" i="145"/>
  <c r="Q314" i="145"/>
  <c r="M314" i="145"/>
  <c r="P314" i="145"/>
  <c r="L314" i="145"/>
  <c r="N314" i="145"/>
  <c r="O314" i="145"/>
  <c r="Q318" i="145"/>
  <c r="M318" i="145"/>
  <c r="P318" i="145"/>
  <c r="L318" i="145"/>
  <c r="N318" i="145"/>
  <c r="O318" i="145"/>
  <c r="Q273" i="145"/>
  <c r="M273" i="145"/>
  <c r="D277" i="145"/>
  <c r="P273" i="145"/>
  <c r="L273" i="145"/>
  <c r="N273" i="145"/>
  <c r="N219" i="145"/>
  <c r="Q219" i="145"/>
  <c r="M219" i="145"/>
  <c r="L219" i="145"/>
  <c r="P219" i="145"/>
  <c r="O219" i="145"/>
  <c r="P182" i="145"/>
  <c r="L182" i="145"/>
  <c r="O182" i="145"/>
  <c r="Q182" i="145"/>
  <c r="N182" i="145"/>
  <c r="M182" i="145"/>
  <c r="P178" i="145"/>
  <c r="L178" i="145"/>
  <c r="O178" i="145"/>
  <c r="Q178" i="145"/>
  <c r="N178" i="145"/>
  <c r="M178" i="145"/>
  <c r="P159" i="145"/>
  <c r="L159" i="145"/>
  <c r="O159" i="145"/>
  <c r="Q159" i="145"/>
  <c r="N159" i="145"/>
  <c r="M159" i="145"/>
  <c r="P155" i="145"/>
  <c r="L155" i="145"/>
  <c r="O155" i="145"/>
  <c r="Q155" i="145"/>
  <c r="N155" i="145"/>
  <c r="M155" i="145"/>
  <c r="P151" i="145"/>
  <c r="L151" i="145"/>
  <c r="O151" i="145"/>
  <c r="Q151" i="145"/>
  <c r="N151" i="145"/>
  <c r="M151" i="145"/>
  <c r="P147" i="145"/>
  <c r="L147" i="145"/>
  <c r="O147" i="145"/>
  <c r="Q147" i="145"/>
  <c r="N147" i="145"/>
  <c r="M147" i="145"/>
  <c r="P145" i="145"/>
  <c r="L145" i="145"/>
  <c r="O145" i="145"/>
  <c r="Q145" i="145"/>
  <c r="N145" i="145"/>
  <c r="M145" i="145"/>
  <c r="Q448" i="145"/>
  <c r="M448" i="145"/>
  <c r="P448" i="145"/>
  <c r="L448" i="145"/>
  <c r="O448" i="145"/>
  <c r="N448" i="145"/>
  <c r="Q452" i="145"/>
  <c r="M452" i="145"/>
  <c r="P452" i="145"/>
  <c r="L452" i="145"/>
  <c r="O452" i="145"/>
  <c r="N452" i="145"/>
  <c r="Q461" i="145"/>
  <c r="M461" i="145"/>
  <c r="P461" i="145"/>
  <c r="L461" i="145"/>
  <c r="O461" i="145"/>
  <c r="N461" i="145"/>
  <c r="O261" i="145"/>
  <c r="N261" i="145"/>
  <c r="M261" i="145"/>
  <c r="L261" i="145"/>
  <c r="Q261" i="145"/>
  <c r="P261" i="145"/>
  <c r="Q264" i="145"/>
  <c r="M264" i="145"/>
  <c r="P264" i="145"/>
  <c r="L264" i="145"/>
  <c r="O264" i="145"/>
  <c r="N264" i="145"/>
  <c r="Q268" i="145"/>
  <c r="M268" i="145"/>
  <c r="P268" i="145"/>
  <c r="L268" i="145"/>
  <c r="O268" i="145"/>
  <c r="N268" i="145"/>
  <c r="Q290" i="145"/>
  <c r="M290" i="145"/>
  <c r="P290" i="145"/>
  <c r="L290" i="145"/>
  <c r="O290" i="145"/>
  <c r="N290" i="145"/>
  <c r="N189" i="145"/>
  <c r="Q189" i="145"/>
  <c r="M189" i="145"/>
  <c r="P189" i="145"/>
  <c r="O189" i="145"/>
  <c r="L189" i="145"/>
  <c r="N193" i="145"/>
  <c r="Q193" i="145"/>
  <c r="M193" i="145"/>
  <c r="P193" i="145"/>
  <c r="O193" i="145"/>
  <c r="L193" i="145"/>
  <c r="N197" i="145"/>
  <c r="Q197" i="145"/>
  <c r="M197" i="145"/>
  <c r="P197" i="145"/>
  <c r="O197" i="145"/>
  <c r="L197" i="145"/>
  <c r="N200" i="145"/>
  <c r="Q200" i="145"/>
  <c r="M200" i="145"/>
  <c r="P200" i="145"/>
  <c r="O200" i="145"/>
  <c r="L200" i="145"/>
  <c r="N204" i="145"/>
  <c r="Q204" i="145"/>
  <c r="M204" i="145"/>
  <c r="P204" i="145"/>
  <c r="O204" i="145"/>
  <c r="L204" i="145"/>
  <c r="N207" i="145"/>
  <c r="Q207" i="145"/>
  <c r="M207" i="145"/>
  <c r="P207" i="145"/>
  <c r="O207" i="145"/>
  <c r="L207" i="145"/>
  <c r="N188" i="145"/>
  <c r="Q188" i="145"/>
  <c r="M188" i="145"/>
  <c r="P188" i="145"/>
  <c r="O188" i="145"/>
  <c r="L188" i="145"/>
  <c r="D366" i="145"/>
  <c r="Q351" i="145"/>
  <c r="M351" i="145"/>
  <c r="P351" i="145"/>
  <c r="L351" i="145"/>
  <c r="O351" i="145"/>
  <c r="N351" i="145"/>
  <c r="Q355" i="145"/>
  <c r="M355" i="145"/>
  <c r="P355" i="145"/>
  <c r="L355" i="145"/>
  <c r="O355" i="145"/>
  <c r="N355" i="145"/>
  <c r="Q359" i="145"/>
  <c r="M359" i="145"/>
  <c r="P359" i="145"/>
  <c r="L359" i="145"/>
  <c r="O359" i="145"/>
  <c r="N359" i="145"/>
  <c r="Q363" i="145"/>
  <c r="M363" i="145"/>
  <c r="P363" i="145"/>
  <c r="L363" i="145"/>
  <c r="O363" i="145"/>
  <c r="N363" i="145"/>
  <c r="Q295" i="145"/>
  <c r="Q17" i="145" s="1"/>
  <c r="N10" i="79" s="1"/>
  <c r="M295" i="145"/>
  <c r="M17" i="145" s="1"/>
  <c r="J10" i="79" s="1"/>
  <c r="D327" i="145"/>
  <c r="P295" i="145"/>
  <c r="P17" i="145" s="1"/>
  <c r="M10" i="79" s="1"/>
  <c r="L295" i="145"/>
  <c r="N295" i="145"/>
  <c r="N17" i="145" s="1"/>
  <c r="K10" i="79" s="1"/>
  <c r="O295" i="145"/>
  <c r="O17" i="145" s="1"/>
  <c r="L10" i="79" s="1"/>
  <c r="Q299" i="145"/>
  <c r="M299" i="145"/>
  <c r="P299" i="145"/>
  <c r="L299" i="145"/>
  <c r="N299" i="145"/>
  <c r="O299" i="145"/>
  <c r="Q303" i="145"/>
  <c r="M303" i="145"/>
  <c r="P303" i="145"/>
  <c r="L303" i="145"/>
  <c r="N303" i="145"/>
  <c r="O303" i="145"/>
  <c r="Q307" i="145"/>
  <c r="M307" i="145"/>
  <c r="P307" i="145"/>
  <c r="L307" i="145"/>
  <c r="N307" i="145"/>
  <c r="O307" i="145"/>
  <c r="Q311" i="145"/>
  <c r="M311" i="145"/>
  <c r="P311" i="145"/>
  <c r="L311" i="145"/>
  <c r="N311" i="145"/>
  <c r="O311" i="145"/>
  <c r="Q315" i="145"/>
  <c r="M315" i="145"/>
  <c r="P315" i="145"/>
  <c r="L315" i="145"/>
  <c r="N315" i="145"/>
  <c r="O315" i="145"/>
  <c r="Q319" i="145"/>
  <c r="M319" i="145"/>
  <c r="P319" i="145"/>
  <c r="L319" i="145"/>
  <c r="N319" i="145"/>
  <c r="O319" i="145"/>
  <c r="Q324" i="145"/>
  <c r="M324" i="145"/>
  <c r="P324" i="145"/>
  <c r="L324" i="145"/>
  <c r="N324" i="145"/>
  <c r="O324" i="145"/>
  <c r="Q274" i="145"/>
  <c r="M274" i="145"/>
  <c r="P274" i="145"/>
  <c r="L274" i="145"/>
  <c r="N274" i="145"/>
  <c r="N218" i="145"/>
  <c r="Q218" i="145"/>
  <c r="M218" i="145"/>
  <c r="L218" i="145"/>
  <c r="O218" i="145"/>
  <c r="P218" i="145"/>
  <c r="P162" i="145"/>
  <c r="L162" i="145"/>
  <c r="O162" i="145"/>
  <c r="M162" i="145"/>
  <c r="Q162" i="145"/>
  <c r="N162" i="145"/>
  <c r="P154" i="145"/>
  <c r="L154" i="145"/>
  <c r="O154" i="145"/>
  <c r="M154" i="145"/>
  <c r="Q154" i="145"/>
  <c r="N154" i="145"/>
  <c r="P144" i="145"/>
  <c r="L144" i="145"/>
  <c r="O144" i="145"/>
  <c r="M144" i="145"/>
  <c r="Q144" i="145"/>
  <c r="N144" i="145"/>
  <c r="Q329" i="145"/>
  <c r="Q330" i="145" s="1"/>
  <c r="M329" i="145"/>
  <c r="M330" i="145" s="1"/>
  <c r="D331" i="145"/>
  <c r="P329" i="145"/>
  <c r="P330" i="145" s="1"/>
  <c r="L329" i="145"/>
  <c r="O329" i="145"/>
  <c r="O330" i="145" s="1"/>
  <c r="N329" i="145"/>
  <c r="N330" i="145" s="1"/>
  <c r="Q269" i="145"/>
  <c r="M269" i="145"/>
  <c r="P269" i="145"/>
  <c r="L269" i="145"/>
  <c r="O269" i="145"/>
  <c r="N269" i="145"/>
  <c r="N190" i="145"/>
  <c r="Q190" i="145"/>
  <c r="M190" i="145"/>
  <c r="P190" i="145"/>
  <c r="O190" i="145"/>
  <c r="L190" i="145"/>
  <c r="N194" i="145"/>
  <c r="Q194" i="145"/>
  <c r="M194" i="145"/>
  <c r="P194" i="145"/>
  <c r="O194" i="145"/>
  <c r="L194" i="145"/>
  <c r="N198" i="145"/>
  <c r="Q198" i="145"/>
  <c r="M198" i="145"/>
  <c r="P198" i="145"/>
  <c r="O198" i="145"/>
  <c r="L198" i="145"/>
  <c r="N201" i="145"/>
  <c r="Q201" i="145"/>
  <c r="M201" i="145"/>
  <c r="P201" i="145"/>
  <c r="O201" i="145"/>
  <c r="L201" i="145"/>
  <c r="N205" i="145"/>
  <c r="Q205" i="145"/>
  <c r="M205" i="145"/>
  <c r="P205" i="145"/>
  <c r="O205" i="145"/>
  <c r="L205" i="145"/>
  <c r="N208" i="145"/>
  <c r="Q208" i="145"/>
  <c r="M208" i="145"/>
  <c r="P208" i="145"/>
  <c r="O208" i="145"/>
  <c r="L208" i="145"/>
  <c r="O433" i="145"/>
  <c r="N433" i="145"/>
  <c r="M433" i="145"/>
  <c r="L433" i="145"/>
  <c r="Q433" i="145"/>
  <c r="P433" i="145"/>
  <c r="O430" i="145"/>
  <c r="N430" i="145"/>
  <c r="L430" i="145"/>
  <c r="Q430" i="145"/>
  <c r="P430" i="145"/>
  <c r="M430" i="145"/>
  <c r="P346" i="145"/>
  <c r="L346" i="145"/>
  <c r="M346" i="145"/>
  <c r="Q346" i="145"/>
  <c r="N346" i="145"/>
  <c r="O346" i="145"/>
  <c r="Q349" i="145"/>
  <c r="M349" i="145"/>
  <c r="P349" i="145"/>
  <c r="L349" i="145"/>
  <c r="O349" i="145"/>
  <c r="N349" i="145"/>
  <c r="Q353" i="145"/>
  <c r="M353" i="145"/>
  <c r="P353" i="145"/>
  <c r="L353" i="145"/>
  <c r="O353" i="145"/>
  <c r="N353" i="145"/>
  <c r="Q357" i="145"/>
  <c r="M357" i="145"/>
  <c r="P357" i="145"/>
  <c r="L357" i="145"/>
  <c r="O357" i="145"/>
  <c r="N357" i="145"/>
  <c r="Q361" i="145"/>
  <c r="M361" i="145"/>
  <c r="P361" i="145"/>
  <c r="L361" i="145"/>
  <c r="O361" i="145"/>
  <c r="N361" i="145"/>
  <c r="Q341" i="145"/>
  <c r="M341" i="145"/>
  <c r="P341" i="145"/>
  <c r="L341" i="145"/>
  <c r="N341" i="145"/>
  <c r="O341" i="145"/>
  <c r="Q297" i="145"/>
  <c r="M297" i="145"/>
  <c r="P297" i="145"/>
  <c r="L297" i="145"/>
  <c r="N297" i="145"/>
  <c r="O297" i="145"/>
  <c r="Q301" i="145"/>
  <c r="M301" i="145"/>
  <c r="P301" i="145"/>
  <c r="L301" i="145"/>
  <c r="N301" i="145"/>
  <c r="O301" i="145"/>
  <c r="Q305" i="145"/>
  <c r="M305" i="145"/>
  <c r="P305" i="145"/>
  <c r="L305" i="145"/>
  <c r="N305" i="145"/>
  <c r="O305" i="145"/>
  <c r="Q309" i="145"/>
  <c r="M309" i="145"/>
  <c r="P309" i="145"/>
  <c r="L309" i="145"/>
  <c r="N309" i="145"/>
  <c r="O309" i="145"/>
  <c r="Q313" i="145"/>
  <c r="M313" i="145"/>
  <c r="P313" i="145"/>
  <c r="L313" i="145"/>
  <c r="N313" i="145"/>
  <c r="O313" i="145"/>
  <c r="Q317" i="145"/>
  <c r="M317" i="145"/>
  <c r="P317" i="145"/>
  <c r="L317" i="145"/>
  <c r="N317" i="145"/>
  <c r="O317" i="145"/>
  <c r="N220" i="145"/>
  <c r="Q220" i="145"/>
  <c r="M220" i="145"/>
  <c r="L220" i="145"/>
  <c r="P220" i="145"/>
  <c r="O220" i="145"/>
  <c r="P179" i="145"/>
  <c r="L179" i="145"/>
  <c r="O179" i="145"/>
  <c r="N179" i="145"/>
  <c r="M179" i="145"/>
  <c r="Q179" i="145"/>
  <c r="P175" i="145"/>
  <c r="L175" i="145"/>
  <c r="O175" i="145"/>
  <c r="N175" i="145"/>
  <c r="M175" i="145"/>
  <c r="Q175" i="145"/>
  <c r="P160" i="145"/>
  <c r="L160" i="145"/>
  <c r="O160" i="145"/>
  <c r="Q160" i="145"/>
  <c r="N160" i="145"/>
  <c r="M160" i="145"/>
  <c r="P156" i="145"/>
  <c r="L156" i="145"/>
  <c r="O156" i="145"/>
  <c r="Q156" i="145"/>
  <c r="N156" i="145"/>
  <c r="M156" i="145"/>
  <c r="P148" i="145"/>
  <c r="L148" i="145"/>
  <c r="O148" i="145"/>
  <c r="Q148" i="145"/>
  <c r="N148" i="145"/>
  <c r="M148" i="145"/>
  <c r="P146" i="145"/>
  <c r="L146" i="145"/>
  <c r="O146" i="145"/>
  <c r="Q146" i="145"/>
  <c r="N146" i="145"/>
  <c r="M146" i="145"/>
  <c r="Q451" i="145"/>
  <c r="M451" i="145"/>
  <c r="P451" i="145"/>
  <c r="L451" i="145"/>
  <c r="O451" i="145"/>
  <c r="N451" i="145"/>
  <c r="Q460" i="145"/>
  <c r="M460" i="145"/>
  <c r="P460" i="145"/>
  <c r="L460" i="145"/>
  <c r="O460" i="145"/>
  <c r="N460" i="145"/>
  <c r="O257" i="145"/>
  <c r="N257" i="145"/>
  <c r="M257" i="145"/>
  <c r="L257" i="145"/>
  <c r="Q257" i="145"/>
  <c r="P257" i="145"/>
  <c r="Q263" i="145"/>
  <c r="M263" i="145"/>
  <c r="P263" i="145"/>
  <c r="L263" i="145"/>
  <c r="O263" i="145"/>
  <c r="N263" i="145"/>
  <c r="Q267" i="145"/>
  <c r="M267" i="145"/>
  <c r="P267" i="145"/>
  <c r="L267" i="145"/>
  <c r="O267" i="145"/>
  <c r="N267" i="145"/>
  <c r="Q281" i="145"/>
  <c r="M281" i="145"/>
  <c r="P281" i="145"/>
  <c r="L281" i="145"/>
  <c r="O281" i="145"/>
  <c r="N281" i="145"/>
  <c r="Q289" i="145"/>
  <c r="M289" i="145"/>
  <c r="P289" i="145"/>
  <c r="L289" i="145"/>
  <c r="O289" i="145"/>
  <c r="N289" i="145"/>
  <c r="N196" i="145"/>
  <c r="Q196" i="145"/>
  <c r="M196" i="145"/>
  <c r="P196" i="145"/>
  <c r="O196" i="145"/>
  <c r="L196" i="145"/>
  <c r="N199" i="145"/>
  <c r="Q199" i="145"/>
  <c r="M199" i="145"/>
  <c r="P199" i="145"/>
  <c r="O199" i="145"/>
  <c r="L199" i="145"/>
  <c r="N203" i="145"/>
  <c r="Q203" i="145"/>
  <c r="M203" i="145"/>
  <c r="P203" i="145"/>
  <c r="O203" i="145"/>
  <c r="L203" i="145"/>
  <c r="P187" i="145"/>
  <c r="L187" i="145"/>
  <c r="O187" i="145"/>
  <c r="M187" i="145"/>
  <c r="D210" i="145"/>
  <c r="Q187" i="145"/>
  <c r="N187" i="145"/>
  <c r="D445" i="145"/>
  <c r="O425" i="145"/>
  <c r="N425" i="145"/>
  <c r="M425" i="145"/>
  <c r="L425" i="145"/>
  <c r="Q425" i="145"/>
  <c r="P425" i="145"/>
  <c r="O442" i="145"/>
  <c r="N442" i="145"/>
  <c r="M442" i="145"/>
  <c r="L442" i="145"/>
  <c r="Q442" i="145"/>
  <c r="P442" i="145"/>
  <c r="Q368" i="145"/>
  <c r="Q369" i="145" s="1"/>
  <c r="M368" i="145"/>
  <c r="M369" i="145" s="1"/>
  <c r="D370" i="145"/>
  <c r="P368" i="145"/>
  <c r="P369" i="145" s="1"/>
  <c r="L368" i="145"/>
  <c r="N368" i="145"/>
  <c r="N369" i="145" s="1"/>
  <c r="O368" i="145"/>
  <c r="O369" i="145" s="1"/>
  <c r="P181" i="145"/>
  <c r="L181" i="145"/>
  <c r="O181" i="145"/>
  <c r="Q181" i="145"/>
  <c r="N181" i="145"/>
  <c r="M181" i="145"/>
  <c r="P177" i="145"/>
  <c r="L177" i="145"/>
  <c r="O177" i="145"/>
  <c r="Q177" i="145"/>
  <c r="N177" i="145"/>
  <c r="M177" i="145"/>
  <c r="P158" i="145"/>
  <c r="L158" i="145"/>
  <c r="O158" i="145"/>
  <c r="M158" i="145"/>
  <c r="Q158" i="145"/>
  <c r="N158" i="145"/>
  <c r="P150" i="145"/>
  <c r="L150" i="145"/>
  <c r="O150" i="145"/>
  <c r="M150" i="145"/>
  <c r="Q150" i="145"/>
  <c r="N150" i="145"/>
  <c r="Q449" i="145"/>
  <c r="M449" i="145"/>
  <c r="P449" i="145"/>
  <c r="L449" i="145"/>
  <c r="O449" i="145"/>
  <c r="N449" i="145"/>
  <c r="Q453" i="145"/>
  <c r="M453" i="145"/>
  <c r="P453" i="145"/>
  <c r="L453" i="145"/>
  <c r="O453" i="145"/>
  <c r="N453" i="145"/>
  <c r="Q462" i="145"/>
  <c r="M462" i="145"/>
  <c r="P462" i="145"/>
  <c r="L462" i="145"/>
  <c r="O462" i="145"/>
  <c r="N462" i="145"/>
  <c r="O258" i="145"/>
  <c r="N258" i="145"/>
  <c r="L258" i="145"/>
  <c r="Q258" i="145"/>
  <c r="P258" i="145"/>
  <c r="M258" i="145"/>
  <c r="Q265" i="145"/>
  <c r="M265" i="145"/>
  <c r="P265" i="145"/>
  <c r="L265" i="145"/>
  <c r="O265" i="145"/>
  <c r="N265" i="145"/>
  <c r="Q279" i="145"/>
  <c r="Q9" i="145" s="1"/>
  <c r="N9" i="79" s="1"/>
  <c r="M279" i="145"/>
  <c r="M9" i="145" s="1"/>
  <c r="J9" i="79" s="1"/>
  <c r="D293" i="145"/>
  <c r="P279" i="145"/>
  <c r="P9" i="145" s="1"/>
  <c r="M9" i="79" s="1"/>
  <c r="L279" i="145"/>
  <c r="O279" i="145"/>
  <c r="O9" i="145" s="1"/>
  <c r="L9" i="79" s="1"/>
  <c r="N279" i="145"/>
  <c r="N9" i="145" s="1"/>
  <c r="K9" i="79" s="1"/>
  <c r="Q291" i="145"/>
  <c r="M291" i="145"/>
  <c r="P291" i="145"/>
  <c r="L291" i="145"/>
  <c r="O291" i="145"/>
  <c r="N291" i="145"/>
  <c r="O429" i="145"/>
  <c r="N429" i="145"/>
  <c r="M429" i="145"/>
  <c r="L429" i="145"/>
  <c r="Q429" i="145"/>
  <c r="P429" i="145"/>
  <c r="O426" i="145"/>
  <c r="N426" i="145"/>
  <c r="L426" i="145"/>
  <c r="Q426" i="145"/>
  <c r="P426" i="145"/>
  <c r="M426" i="145"/>
  <c r="Q443" i="145"/>
  <c r="M443" i="145"/>
  <c r="P443" i="145"/>
  <c r="L443" i="145"/>
  <c r="O443" i="145"/>
  <c r="N443" i="145"/>
  <c r="P345" i="145"/>
  <c r="M345" i="145"/>
  <c r="Q345" i="145"/>
  <c r="L345" i="145"/>
  <c r="O345" i="145"/>
  <c r="N345" i="145"/>
  <c r="Q348" i="145"/>
  <c r="M348" i="145"/>
  <c r="P348" i="145"/>
  <c r="L348" i="145"/>
  <c r="O348" i="145"/>
  <c r="N348" i="145"/>
  <c r="Q352" i="145"/>
  <c r="M352" i="145"/>
  <c r="P352" i="145"/>
  <c r="L352" i="145"/>
  <c r="O352" i="145"/>
  <c r="N352" i="145"/>
  <c r="Q356" i="145"/>
  <c r="M356" i="145"/>
  <c r="P356" i="145"/>
  <c r="L356" i="145"/>
  <c r="O356" i="145"/>
  <c r="N356" i="145"/>
  <c r="Q360" i="145"/>
  <c r="M360" i="145"/>
  <c r="P360" i="145"/>
  <c r="L360" i="145"/>
  <c r="O360" i="145"/>
  <c r="N360" i="145"/>
  <c r="Q364" i="145"/>
  <c r="M364" i="145"/>
  <c r="P364" i="145"/>
  <c r="L364" i="145"/>
  <c r="O364" i="145"/>
  <c r="N364" i="145"/>
  <c r="Q340" i="145"/>
  <c r="M340" i="145"/>
  <c r="P340" i="145"/>
  <c r="L340" i="145"/>
  <c r="N340" i="145"/>
  <c r="O340" i="145"/>
  <c r="Q296" i="145"/>
  <c r="M296" i="145"/>
  <c r="P296" i="145"/>
  <c r="L296" i="145"/>
  <c r="N296" i="145"/>
  <c r="O296" i="145"/>
  <c r="Q300" i="145"/>
  <c r="M300" i="145"/>
  <c r="P300" i="145"/>
  <c r="L300" i="145"/>
  <c r="N300" i="145"/>
  <c r="O300" i="145"/>
  <c r="Q304" i="145"/>
  <c r="M304" i="145"/>
  <c r="P304" i="145"/>
  <c r="L304" i="145"/>
  <c r="N304" i="145"/>
  <c r="O304" i="145"/>
  <c r="Q308" i="145"/>
  <c r="M308" i="145"/>
  <c r="P308" i="145"/>
  <c r="L308" i="145"/>
  <c r="N308" i="145"/>
  <c r="O308" i="145"/>
  <c r="Q312" i="145"/>
  <c r="M312" i="145"/>
  <c r="P312" i="145"/>
  <c r="L312" i="145"/>
  <c r="N312" i="145"/>
  <c r="O312" i="145"/>
  <c r="Q316" i="145"/>
  <c r="M316" i="145"/>
  <c r="P316" i="145"/>
  <c r="L316" i="145"/>
  <c r="N316" i="145"/>
  <c r="O316" i="145"/>
  <c r="Q320" i="145"/>
  <c r="M320" i="145"/>
  <c r="P320" i="145"/>
  <c r="L320" i="145"/>
  <c r="N320" i="145"/>
  <c r="O320" i="145"/>
  <c r="Q325" i="145"/>
  <c r="M325" i="145"/>
  <c r="P325" i="145"/>
  <c r="L325" i="145"/>
  <c r="N325" i="145"/>
  <c r="O325" i="145"/>
  <c r="Q275" i="145"/>
  <c r="M275" i="145"/>
  <c r="P275" i="145"/>
  <c r="L275" i="145"/>
  <c r="N275" i="145"/>
  <c r="N217" i="145"/>
  <c r="Q217" i="145"/>
  <c r="M217" i="145"/>
  <c r="D222" i="145"/>
  <c r="L217" i="145"/>
  <c r="P217" i="145"/>
  <c r="O217" i="145"/>
  <c r="P180" i="145"/>
  <c r="L180" i="145"/>
  <c r="O180" i="145"/>
  <c r="M180" i="145"/>
  <c r="Q180" i="145"/>
  <c r="N180" i="145"/>
  <c r="P176" i="145"/>
  <c r="L176" i="145"/>
  <c r="O176" i="145"/>
  <c r="M176" i="145"/>
  <c r="Q176" i="145"/>
  <c r="N176" i="145"/>
  <c r="P161" i="145"/>
  <c r="L161" i="145"/>
  <c r="O161" i="145"/>
  <c r="N161" i="145"/>
  <c r="M161" i="145"/>
  <c r="Q161" i="145"/>
  <c r="P157" i="145"/>
  <c r="P41" i="145" s="1"/>
  <c r="M30" i="79" s="1"/>
  <c r="L157" i="145"/>
  <c r="O157" i="145"/>
  <c r="O41" i="145" s="1"/>
  <c r="L30" i="79" s="1"/>
  <c r="N157" i="145"/>
  <c r="N41" i="145" s="1"/>
  <c r="K30" i="79" s="1"/>
  <c r="M157" i="145"/>
  <c r="M41" i="145" s="1"/>
  <c r="J30" i="79" s="1"/>
  <c r="Q157" i="145"/>
  <c r="Q41" i="145" s="1"/>
  <c r="N30" i="79" s="1"/>
  <c r="P153" i="145"/>
  <c r="L153" i="145"/>
  <c r="O153" i="145"/>
  <c r="N153" i="145"/>
  <c r="M153" i="145"/>
  <c r="Q153" i="145"/>
  <c r="P149" i="145"/>
  <c r="L149" i="145"/>
  <c r="O149" i="145"/>
  <c r="N149" i="145"/>
  <c r="M149" i="145"/>
  <c r="Q149" i="145"/>
  <c r="D164" i="145"/>
  <c r="P143" i="145"/>
  <c r="L143" i="145"/>
  <c r="O143" i="145"/>
  <c r="N143" i="145"/>
  <c r="M143" i="145"/>
  <c r="Q143" i="145"/>
  <c r="Q450" i="145"/>
  <c r="M450" i="145"/>
  <c r="P450" i="145"/>
  <c r="L450" i="145"/>
  <c r="O450" i="145"/>
  <c r="N450" i="145"/>
  <c r="Q454" i="145"/>
  <c r="M454" i="145"/>
  <c r="P454" i="145"/>
  <c r="L454" i="145"/>
  <c r="O454" i="145"/>
  <c r="N454" i="145"/>
  <c r="Q459" i="145"/>
  <c r="M459" i="145"/>
  <c r="P459" i="145"/>
  <c r="L459" i="145"/>
  <c r="O459" i="145"/>
  <c r="N459" i="145"/>
  <c r="O276" i="145"/>
  <c r="O260" i="145"/>
  <c r="N260" i="145"/>
  <c r="P260" i="145"/>
  <c r="M260" i="145"/>
  <c r="L260" i="145"/>
  <c r="Q260" i="145"/>
  <c r="O262" i="145"/>
  <c r="N262" i="145"/>
  <c r="L262" i="145"/>
  <c r="Q262" i="145"/>
  <c r="P262" i="145"/>
  <c r="M262" i="145"/>
  <c r="Q266" i="145"/>
  <c r="M266" i="145"/>
  <c r="P266" i="145"/>
  <c r="L266" i="145"/>
  <c r="O266" i="145"/>
  <c r="N266" i="145"/>
  <c r="Q280" i="145"/>
  <c r="M280" i="145"/>
  <c r="P280" i="145"/>
  <c r="L280" i="145"/>
  <c r="O280" i="145"/>
  <c r="N280" i="145"/>
  <c r="N191" i="145"/>
  <c r="Q191" i="145"/>
  <c r="M191" i="145"/>
  <c r="P191" i="145"/>
  <c r="O191" i="145"/>
  <c r="L191" i="145"/>
  <c r="N195" i="145"/>
  <c r="Q195" i="145"/>
  <c r="M195" i="145"/>
  <c r="P195" i="145"/>
  <c r="O195" i="145"/>
  <c r="L195" i="145"/>
  <c r="N202" i="145"/>
  <c r="Q202" i="145"/>
  <c r="M202" i="145"/>
  <c r="P202" i="145"/>
  <c r="O202" i="145"/>
  <c r="L202" i="145"/>
  <c r="N206" i="145"/>
  <c r="Q206" i="145"/>
  <c r="M206" i="145"/>
  <c r="P206" i="145"/>
  <c r="L206" i="145"/>
  <c r="A131" i="70"/>
  <c r="A130" i="70"/>
  <c r="A131" i="71"/>
  <c r="A130" i="71"/>
  <c r="E96" i="72"/>
  <c r="F96" i="72"/>
  <c r="G96" i="72"/>
  <c r="H96" i="72"/>
  <c r="I96" i="72"/>
  <c r="D96" i="72"/>
  <c r="E231" i="145" l="1"/>
  <c r="C96" i="81" s="1"/>
  <c r="E96" i="81" s="1"/>
  <c r="H66" i="74" s="1"/>
  <c r="E418" i="145"/>
  <c r="C283" i="81" s="1"/>
  <c r="E283" i="81" s="1"/>
  <c r="E241" i="145"/>
  <c r="C106" i="81" s="1"/>
  <c r="E106" i="81" s="1"/>
  <c r="H95" i="74" s="1"/>
  <c r="E440" i="145"/>
  <c r="C305" i="81" s="1"/>
  <c r="E305" i="81" s="1"/>
  <c r="E240" i="145"/>
  <c r="C105" i="81" s="1"/>
  <c r="E105" i="81" s="1"/>
  <c r="H94" i="74" s="1"/>
  <c r="E274" i="145"/>
  <c r="C140" i="81" s="1"/>
  <c r="E140" i="81" s="1"/>
  <c r="K86" i="74" s="1"/>
  <c r="E452" i="145"/>
  <c r="C317" i="81" s="1"/>
  <c r="E317" i="81" s="1"/>
  <c r="E428" i="145"/>
  <c r="C293" i="81" s="1"/>
  <c r="E293" i="81" s="1"/>
  <c r="E432" i="145"/>
  <c r="C297" i="81" s="1"/>
  <c r="E297" i="81" s="1"/>
  <c r="E245" i="145"/>
  <c r="C110" i="81" s="1"/>
  <c r="E110" i="81" s="1"/>
  <c r="I71" i="74" s="1"/>
  <c r="E436" i="145"/>
  <c r="C301" i="81" s="1"/>
  <c r="E301" i="81" s="1"/>
  <c r="E338" i="145"/>
  <c r="C204" i="81" s="1"/>
  <c r="E204" i="81" s="1"/>
  <c r="E456" i="145"/>
  <c r="C321" i="81" s="1"/>
  <c r="E321" i="81" s="1"/>
  <c r="E455" i="145"/>
  <c r="C320" i="81" s="1"/>
  <c r="E320" i="81" s="1"/>
  <c r="E454" i="145"/>
  <c r="C319" i="81" s="1"/>
  <c r="E319" i="81" s="1"/>
  <c r="E449" i="145"/>
  <c r="C314" i="81" s="1"/>
  <c r="E314" i="81" s="1"/>
  <c r="E426" i="145"/>
  <c r="C291" i="81" s="1"/>
  <c r="E291" i="81" s="1"/>
  <c r="E462" i="145"/>
  <c r="C327" i="81" s="1"/>
  <c r="E327" i="81" s="1"/>
  <c r="E430" i="145"/>
  <c r="C295" i="81" s="1"/>
  <c r="E295" i="81" s="1"/>
  <c r="E205" i="145"/>
  <c r="C70" i="81" s="1"/>
  <c r="E70" i="81" s="1"/>
  <c r="G94" i="74" s="1"/>
  <c r="E198" i="145"/>
  <c r="C63" i="81" s="1"/>
  <c r="E63" i="81" s="1"/>
  <c r="G77" i="74" s="1"/>
  <c r="E190" i="145"/>
  <c r="C55" i="81" s="1"/>
  <c r="E55" i="81" s="1"/>
  <c r="G68" i="74" s="1"/>
  <c r="E269" i="145"/>
  <c r="C135" i="81" s="1"/>
  <c r="E135" i="81" s="1"/>
  <c r="J94" i="74" s="1"/>
  <c r="E319" i="145"/>
  <c r="C185" i="81" s="1"/>
  <c r="E185" i="81" s="1"/>
  <c r="M94" i="74" s="1"/>
  <c r="E311" i="145"/>
  <c r="C177" i="81" s="1"/>
  <c r="E177" i="81" s="1"/>
  <c r="E303" i="145"/>
  <c r="C169" i="81" s="1"/>
  <c r="E169" i="81" s="1"/>
  <c r="E207" i="145"/>
  <c r="C72" i="81" s="1"/>
  <c r="E72" i="81" s="1"/>
  <c r="G115" i="74" s="1"/>
  <c r="E200" i="145"/>
  <c r="C65" i="81" s="1"/>
  <c r="E65" i="81" s="1"/>
  <c r="G80" i="74" s="1"/>
  <c r="E193" i="145"/>
  <c r="C58" i="81" s="1"/>
  <c r="E58" i="81" s="1"/>
  <c r="E268" i="145"/>
  <c r="C134" i="81" s="1"/>
  <c r="E134" i="81" s="1"/>
  <c r="J83" i="74" s="1"/>
  <c r="E261" i="145"/>
  <c r="C127" i="81" s="1"/>
  <c r="E127" i="81" s="1"/>
  <c r="J70" i="74" s="1"/>
  <c r="E314" i="145"/>
  <c r="C180" i="81" s="1"/>
  <c r="E180" i="81" s="1"/>
  <c r="E306" i="145"/>
  <c r="C172" i="81" s="1"/>
  <c r="E172" i="81" s="1"/>
  <c r="E298" i="145"/>
  <c r="C164" i="81" s="1"/>
  <c r="E164" i="81" s="1"/>
  <c r="E256" i="145"/>
  <c r="C122" i="81" s="1"/>
  <c r="E122" i="81" s="1"/>
  <c r="J64" i="74" s="1"/>
  <c r="E172" i="145"/>
  <c r="C37" i="81" s="1"/>
  <c r="E37" i="81" s="1"/>
  <c r="F71" i="74" s="1"/>
  <c r="E235" i="145"/>
  <c r="C100" i="81" s="1"/>
  <c r="E100" i="81" s="1"/>
  <c r="E265" i="145"/>
  <c r="C131" i="81" s="1"/>
  <c r="E131" i="81" s="1"/>
  <c r="J76" i="74" s="1"/>
  <c r="E275" i="145"/>
  <c r="C141" i="81" s="1"/>
  <c r="E141" i="81" s="1"/>
  <c r="K94" i="74" s="1"/>
  <c r="E443" i="145"/>
  <c r="C308" i="81" s="1"/>
  <c r="E308" i="81" s="1"/>
  <c r="E429" i="145"/>
  <c r="C294" i="81" s="1"/>
  <c r="E294" i="81" s="1"/>
  <c r="E433" i="145"/>
  <c r="C298" i="81" s="1"/>
  <c r="E298" i="81" s="1"/>
  <c r="E215" i="145"/>
  <c r="E226" i="145"/>
  <c r="C91" i="81" s="1"/>
  <c r="E91" i="81" s="1"/>
  <c r="E171" i="145"/>
  <c r="C36" i="81" s="1"/>
  <c r="E36" i="81" s="1"/>
  <c r="F70" i="74" s="1"/>
  <c r="E248" i="145"/>
  <c r="C113" i="81" s="1"/>
  <c r="E113" i="81" s="1"/>
  <c r="I96" i="74" s="1"/>
  <c r="E431" i="145"/>
  <c r="C296" i="81" s="1"/>
  <c r="E296" i="81" s="1"/>
  <c r="E427" i="145"/>
  <c r="C292" i="81" s="1"/>
  <c r="E292" i="81" s="1"/>
  <c r="E434" i="145"/>
  <c r="C299" i="81" s="1"/>
  <c r="E299" i="81" s="1"/>
  <c r="E441" i="145"/>
  <c r="C306" i="81" s="1"/>
  <c r="E306" i="81" s="1"/>
  <c r="E439" i="145"/>
  <c r="C304" i="81" s="1"/>
  <c r="E304" i="81" s="1"/>
  <c r="E458" i="145"/>
  <c r="C323" i="81" s="1"/>
  <c r="E323" i="81" s="1"/>
  <c r="E457" i="145"/>
  <c r="C322" i="81" s="1"/>
  <c r="E322" i="81" s="1"/>
  <c r="E459" i="145"/>
  <c r="C324" i="81" s="1"/>
  <c r="E324" i="81" s="1"/>
  <c r="E450" i="145"/>
  <c r="C315" i="81" s="1"/>
  <c r="E315" i="81" s="1"/>
  <c r="E453" i="145"/>
  <c r="C318" i="81" s="1"/>
  <c r="E318" i="81" s="1"/>
  <c r="L369" i="145"/>
  <c r="E369" i="145" s="1"/>
  <c r="C235" i="81" s="1"/>
  <c r="E235" i="81" s="1"/>
  <c r="E368" i="145"/>
  <c r="C234" i="81" s="1"/>
  <c r="E234" i="81" s="1"/>
  <c r="L330" i="145"/>
  <c r="E330" i="145" s="1"/>
  <c r="C196" i="81" s="1"/>
  <c r="E196" i="81" s="1"/>
  <c r="E329" i="145"/>
  <c r="C195" i="81" s="1"/>
  <c r="E195" i="81" s="1"/>
  <c r="E324" i="145"/>
  <c r="C190" i="81" s="1"/>
  <c r="E190" i="81" s="1"/>
  <c r="M115" i="74" s="1"/>
  <c r="E461" i="145"/>
  <c r="C326" i="81" s="1"/>
  <c r="E326" i="81" s="1"/>
  <c r="E448" i="145"/>
  <c r="C313" i="81" s="1"/>
  <c r="E313" i="81" s="1"/>
  <c r="E167" i="145"/>
  <c r="C32" i="81" s="1"/>
  <c r="E32" i="81" s="1"/>
  <c r="F66" i="74" s="1"/>
  <c r="E247" i="145"/>
  <c r="C112" i="81" s="1"/>
  <c r="E112" i="81" s="1"/>
  <c r="I78" i="74" s="1"/>
  <c r="E419" i="145"/>
  <c r="C284" i="81" s="1"/>
  <c r="E284" i="81" s="1"/>
  <c r="L375" i="145"/>
  <c r="E374" i="145"/>
  <c r="C240" i="81" s="1"/>
  <c r="E438" i="145"/>
  <c r="C303" i="81" s="1"/>
  <c r="E303" i="81" s="1"/>
  <c r="E150" i="145"/>
  <c r="C15" i="81" s="1"/>
  <c r="E15" i="81" s="1"/>
  <c r="E417" i="145"/>
  <c r="C282" i="81" s="1"/>
  <c r="E282" i="81" s="1"/>
  <c r="L253" i="145"/>
  <c r="E253" i="145" s="1"/>
  <c r="C118" i="81" s="1"/>
  <c r="E118" i="81" s="1"/>
  <c r="E252" i="145"/>
  <c r="C117" i="81" s="1"/>
  <c r="E117" i="81" s="1"/>
  <c r="E435" i="145"/>
  <c r="C300" i="81" s="1"/>
  <c r="E300" i="81" s="1"/>
  <c r="E442" i="145"/>
  <c r="C307" i="81" s="1"/>
  <c r="E307" i="81" s="1"/>
  <c r="E460" i="145"/>
  <c r="C325" i="81" s="1"/>
  <c r="E325" i="81" s="1"/>
  <c r="E325" i="145"/>
  <c r="C191" i="81" s="1"/>
  <c r="E191" i="81" s="1"/>
  <c r="M116" i="74" s="1"/>
  <c r="E340" i="145"/>
  <c r="C206" i="81" s="1"/>
  <c r="E206" i="81" s="1"/>
  <c r="E425" i="145"/>
  <c r="C290" i="81" s="1"/>
  <c r="E290" i="81" s="1"/>
  <c r="E451" i="145"/>
  <c r="C316" i="81" s="1"/>
  <c r="E316" i="81" s="1"/>
  <c r="E341" i="145"/>
  <c r="C207" i="81" s="1"/>
  <c r="E207" i="81" s="1"/>
  <c r="E273" i="145"/>
  <c r="C139" i="81" s="1"/>
  <c r="E139" i="81" s="1"/>
  <c r="K71" i="74" s="1"/>
  <c r="E421" i="145"/>
  <c r="C286" i="81" s="1"/>
  <c r="E286" i="81" s="1"/>
  <c r="E227" i="145"/>
  <c r="C92" i="81" s="1"/>
  <c r="E92" i="81" s="1"/>
  <c r="E416" i="145"/>
  <c r="C281" i="81" s="1"/>
  <c r="E281" i="81" s="1"/>
  <c r="E437" i="145"/>
  <c r="C302" i="81" s="1"/>
  <c r="E302" i="81" s="1"/>
  <c r="E339" i="145"/>
  <c r="C205" i="81" s="1"/>
  <c r="E205" i="81" s="1"/>
  <c r="E147" i="145"/>
  <c r="C12" i="81" s="1"/>
  <c r="E12" i="81" s="1"/>
  <c r="E155" i="145"/>
  <c r="C20" i="81" s="1"/>
  <c r="E20" i="81" s="1"/>
  <c r="E178" i="145"/>
  <c r="C43" i="81" s="1"/>
  <c r="E43" i="81" s="1"/>
  <c r="F78" i="74" s="1"/>
  <c r="E320" i="145"/>
  <c r="C186" i="81" s="1"/>
  <c r="E186" i="81" s="1"/>
  <c r="E312" i="145"/>
  <c r="C178" i="81" s="1"/>
  <c r="E178" i="81" s="1"/>
  <c r="E304" i="145"/>
  <c r="C170" i="81" s="1"/>
  <c r="E170" i="81" s="1"/>
  <c r="M75" i="74" s="1"/>
  <c r="E356" i="145"/>
  <c r="C222" i="81" s="1"/>
  <c r="E222" i="81" s="1"/>
  <c r="E187" i="145"/>
  <c r="C52" i="81" s="1"/>
  <c r="E52" i="81" s="1"/>
  <c r="E199" i="145"/>
  <c r="C64" i="81" s="1"/>
  <c r="E64" i="81" s="1"/>
  <c r="G78" i="74" s="1"/>
  <c r="E281" i="145"/>
  <c r="C147" i="81" s="1"/>
  <c r="E147" i="81" s="1"/>
  <c r="L66" i="74" s="1"/>
  <c r="E263" i="145"/>
  <c r="C129" i="81" s="1"/>
  <c r="E129" i="81" s="1"/>
  <c r="J73" i="74" s="1"/>
  <c r="E148" i="145"/>
  <c r="C13" i="81" s="1"/>
  <c r="E13" i="81" s="1"/>
  <c r="E160" i="145"/>
  <c r="C25" i="81" s="1"/>
  <c r="E179" i="145"/>
  <c r="C44" i="81" s="1"/>
  <c r="E44" i="81" s="1"/>
  <c r="F79" i="74" s="1"/>
  <c r="E220" i="145"/>
  <c r="C85" i="81" s="1"/>
  <c r="E85" i="81" s="1"/>
  <c r="E313" i="145"/>
  <c r="C179" i="81" s="1"/>
  <c r="E179" i="81" s="1"/>
  <c r="E305" i="145"/>
  <c r="C171" i="81" s="1"/>
  <c r="E171" i="81" s="1"/>
  <c r="E297" i="145"/>
  <c r="C163" i="81" s="1"/>
  <c r="E163" i="81" s="1"/>
  <c r="E361" i="145"/>
  <c r="C227" i="81" s="1"/>
  <c r="E227" i="81" s="1"/>
  <c r="E353" i="145"/>
  <c r="C219" i="81" s="1"/>
  <c r="E219" i="81" s="1"/>
  <c r="E154" i="145"/>
  <c r="C19" i="81" s="1"/>
  <c r="E19" i="81" s="1"/>
  <c r="E359" i="145"/>
  <c r="C225" i="81" s="1"/>
  <c r="E225" i="81" s="1"/>
  <c r="E351" i="145"/>
  <c r="C217" i="81" s="1"/>
  <c r="E217" i="81" s="1"/>
  <c r="E358" i="145"/>
  <c r="C224" i="81" s="1"/>
  <c r="E224" i="81" s="1"/>
  <c r="E350" i="145"/>
  <c r="C216" i="81" s="1"/>
  <c r="E216" i="81" s="1"/>
  <c r="E347" i="145"/>
  <c r="C213" i="81" s="1"/>
  <c r="E213" i="81" s="1"/>
  <c r="E192" i="145"/>
  <c r="C57" i="81" s="1"/>
  <c r="E57" i="81" s="1"/>
  <c r="G70" i="74" s="1"/>
  <c r="E284" i="145"/>
  <c r="C150" i="81" s="1"/>
  <c r="E150" i="81" s="1"/>
  <c r="L70" i="74" s="1"/>
  <c r="E282" i="145"/>
  <c r="C148" i="81" s="1"/>
  <c r="E148" i="81" s="1"/>
  <c r="L67" i="74" s="1"/>
  <c r="E239" i="145"/>
  <c r="C104" i="81" s="1"/>
  <c r="E104" i="81" s="1"/>
  <c r="H83" i="74" s="1"/>
  <c r="E262" i="145"/>
  <c r="C128" i="81" s="1"/>
  <c r="E128" i="81" s="1"/>
  <c r="J71" i="74" s="1"/>
  <c r="E260" i="145"/>
  <c r="C126" i="81" s="1"/>
  <c r="E126" i="81" s="1"/>
  <c r="J69" i="74" s="1"/>
  <c r="E143" i="145"/>
  <c r="E158" i="145"/>
  <c r="C23" i="81" s="1"/>
  <c r="E181" i="145"/>
  <c r="C46" i="81" s="1"/>
  <c r="E46" i="81" s="1"/>
  <c r="F83" i="74" s="1"/>
  <c r="E208" i="145"/>
  <c r="C73" i="81" s="1"/>
  <c r="E73" i="81" s="1"/>
  <c r="G117" i="74" s="1"/>
  <c r="E201" i="145"/>
  <c r="C66" i="81" s="1"/>
  <c r="E66" i="81" s="1"/>
  <c r="G82" i="74" s="1"/>
  <c r="E194" i="145"/>
  <c r="C59" i="81" s="1"/>
  <c r="E59" i="81" s="1"/>
  <c r="G73" i="74" s="1"/>
  <c r="E315" i="145"/>
  <c r="C181" i="81" s="1"/>
  <c r="E181" i="81" s="1"/>
  <c r="E307" i="145"/>
  <c r="C173" i="81" s="1"/>
  <c r="E173" i="81" s="1"/>
  <c r="M78" i="74" s="1"/>
  <c r="E299" i="145"/>
  <c r="C165" i="81" s="1"/>
  <c r="E165" i="81" s="1"/>
  <c r="E188" i="145"/>
  <c r="C53" i="81" s="1"/>
  <c r="E53" i="81" s="1"/>
  <c r="E204" i="145"/>
  <c r="C69" i="81" s="1"/>
  <c r="E69" i="81" s="1"/>
  <c r="G93" i="74" s="1"/>
  <c r="E197" i="145"/>
  <c r="C62" i="81" s="1"/>
  <c r="E62" i="81" s="1"/>
  <c r="G76" i="74" s="1"/>
  <c r="E189" i="145"/>
  <c r="C54" i="81" s="1"/>
  <c r="E54" i="81" s="1"/>
  <c r="G67" i="74" s="1"/>
  <c r="E290" i="145"/>
  <c r="C156" i="81" s="1"/>
  <c r="E156" i="81" s="1"/>
  <c r="L83" i="74" s="1"/>
  <c r="E264" i="145"/>
  <c r="C130" i="81" s="1"/>
  <c r="E130" i="81" s="1"/>
  <c r="J75" i="74" s="1"/>
  <c r="E145" i="145"/>
  <c r="C10" i="81" s="1"/>
  <c r="E10" i="81" s="1"/>
  <c r="E151" i="145"/>
  <c r="C16" i="81" s="1"/>
  <c r="E16" i="81" s="1"/>
  <c r="E159" i="145"/>
  <c r="C24" i="81" s="1"/>
  <c r="E182" i="145"/>
  <c r="C47" i="81" s="1"/>
  <c r="E47" i="81" s="1"/>
  <c r="F94" i="74" s="1"/>
  <c r="E219" i="145"/>
  <c r="C84" i="81" s="1"/>
  <c r="E84" i="81" s="1"/>
  <c r="E318" i="145"/>
  <c r="C184" i="81" s="1"/>
  <c r="E184" i="81" s="1"/>
  <c r="E310" i="145"/>
  <c r="C176" i="81" s="1"/>
  <c r="E176" i="81" s="1"/>
  <c r="E302" i="145"/>
  <c r="C168" i="81" s="1"/>
  <c r="E168" i="81" s="1"/>
  <c r="E183" i="145"/>
  <c r="C48" i="81" s="1"/>
  <c r="E48" i="81" s="1"/>
  <c r="F95" i="74" s="1"/>
  <c r="E173" i="145"/>
  <c r="C38" i="81" s="1"/>
  <c r="E38" i="81" s="1"/>
  <c r="F73" i="74" s="1"/>
  <c r="E166" i="145"/>
  <c r="C31" i="81" s="1"/>
  <c r="E287" i="145"/>
  <c r="C153" i="81" s="1"/>
  <c r="E153" i="81" s="1"/>
  <c r="L75" i="74" s="1"/>
  <c r="E286" i="145"/>
  <c r="C152" i="81" s="1"/>
  <c r="E152" i="81" s="1"/>
  <c r="L74" i="74" s="1"/>
  <c r="E285" i="145"/>
  <c r="C151" i="81" s="1"/>
  <c r="E151" i="81" s="1"/>
  <c r="L71" i="74" s="1"/>
  <c r="E170" i="145"/>
  <c r="C35" i="81" s="1"/>
  <c r="E35" i="81" s="1"/>
  <c r="F69" i="74" s="1"/>
  <c r="E237" i="145"/>
  <c r="C102" i="81" s="1"/>
  <c r="E102" i="81" s="1"/>
  <c r="H75" i="74" s="1"/>
  <c r="E236" i="145"/>
  <c r="C101" i="81" s="1"/>
  <c r="E101" i="81" s="1"/>
  <c r="E233" i="145"/>
  <c r="C98" i="81" s="1"/>
  <c r="E98" i="81" s="1"/>
  <c r="H69" i="74" s="1"/>
  <c r="E234" i="145"/>
  <c r="C99" i="81" s="1"/>
  <c r="E99" i="81" s="1"/>
  <c r="H70" i="74" s="1"/>
  <c r="E177" i="145"/>
  <c r="C42" i="81" s="1"/>
  <c r="E42" i="81" s="1"/>
  <c r="F77" i="74" s="1"/>
  <c r="L17" i="145"/>
  <c r="I10" i="79" s="1"/>
  <c r="E295" i="145"/>
  <c r="C161" i="81" s="1"/>
  <c r="E161" i="81" s="1"/>
  <c r="M63" i="74" s="1"/>
  <c r="E152" i="145"/>
  <c r="C17" i="81" s="1"/>
  <c r="E17" i="81" s="1"/>
  <c r="E322" i="145"/>
  <c r="C188" i="81" s="1"/>
  <c r="E188" i="81" s="1"/>
  <c r="M97" i="74" s="1"/>
  <c r="E238" i="145"/>
  <c r="C103" i="81" s="1"/>
  <c r="E103" i="81" s="1"/>
  <c r="H78" i="74" s="1"/>
  <c r="E202" i="145"/>
  <c r="C67" i="81" s="1"/>
  <c r="E67" i="81" s="1"/>
  <c r="G83" i="74" s="1"/>
  <c r="E191" i="145"/>
  <c r="C56" i="81" s="1"/>
  <c r="E56" i="81" s="1"/>
  <c r="G69" i="74" s="1"/>
  <c r="E280" i="145"/>
  <c r="C146" i="81" s="1"/>
  <c r="E146" i="81" s="1"/>
  <c r="L64" i="74" s="1"/>
  <c r="E149" i="145"/>
  <c r="C14" i="81" s="1"/>
  <c r="E14" i="81" s="1"/>
  <c r="L41" i="145"/>
  <c r="I30" i="79" s="1"/>
  <c r="E157" i="145"/>
  <c r="C22" i="81" s="1"/>
  <c r="E22" i="81" s="1"/>
  <c r="E176" i="145"/>
  <c r="C41" i="81" s="1"/>
  <c r="E41" i="81" s="1"/>
  <c r="F76" i="74" s="1"/>
  <c r="E296" i="145"/>
  <c r="C162" i="81" s="1"/>
  <c r="E162" i="81" s="1"/>
  <c r="E364" i="145"/>
  <c r="C230" i="81" s="1"/>
  <c r="E230" i="81" s="1"/>
  <c r="E348" i="145"/>
  <c r="C214" i="81" s="1"/>
  <c r="E214" i="81" s="1"/>
  <c r="L9" i="145"/>
  <c r="I9" i="79" s="1"/>
  <c r="E279" i="145"/>
  <c r="C145" i="81" s="1"/>
  <c r="E145" i="81" s="1"/>
  <c r="L58" i="74" s="1"/>
  <c r="E206" i="145"/>
  <c r="C71" i="81" s="1"/>
  <c r="E71" i="81" s="1"/>
  <c r="E195" i="145"/>
  <c r="C60" i="81" s="1"/>
  <c r="E60" i="81" s="1"/>
  <c r="G74" i="74" s="1"/>
  <c r="E266" i="145"/>
  <c r="C132" i="81" s="1"/>
  <c r="E132" i="81" s="1"/>
  <c r="J77" i="74" s="1"/>
  <c r="E153" i="145"/>
  <c r="C18" i="81" s="1"/>
  <c r="E18" i="81" s="1"/>
  <c r="E161" i="145"/>
  <c r="C26" i="81" s="1"/>
  <c r="E180" i="145"/>
  <c r="C45" i="81" s="1"/>
  <c r="E45" i="81" s="1"/>
  <c r="F80" i="74" s="1"/>
  <c r="E217" i="145"/>
  <c r="E316" i="145"/>
  <c r="C182" i="81" s="1"/>
  <c r="E182" i="81" s="1"/>
  <c r="E308" i="145"/>
  <c r="C174" i="81" s="1"/>
  <c r="E174" i="81" s="1"/>
  <c r="E300" i="145"/>
  <c r="C166" i="81" s="1"/>
  <c r="E166" i="81" s="1"/>
  <c r="E360" i="145"/>
  <c r="C226" i="81" s="1"/>
  <c r="E226" i="81" s="1"/>
  <c r="E352" i="145"/>
  <c r="C218" i="81" s="1"/>
  <c r="E218" i="81" s="1"/>
  <c r="E345" i="145"/>
  <c r="C211" i="81" s="1"/>
  <c r="E211" i="81" s="1"/>
  <c r="E291" i="145"/>
  <c r="C157" i="81" s="1"/>
  <c r="E157" i="81" s="1"/>
  <c r="L85" i="74" s="1"/>
  <c r="E258" i="145"/>
  <c r="C124" i="81" s="1"/>
  <c r="E124" i="81" s="1"/>
  <c r="J67" i="74" s="1"/>
  <c r="E203" i="145"/>
  <c r="C68" i="81" s="1"/>
  <c r="E68" i="81" s="1"/>
  <c r="G87" i="74" s="1"/>
  <c r="E196" i="145"/>
  <c r="C61" i="81" s="1"/>
  <c r="E61" i="81" s="1"/>
  <c r="G75" i="74" s="1"/>
  <c r="E289" i="145"/>
  <c r="C155" i="81" s="1"/>
  <c r="E155" i="81" s="1"/>
  <c r="L80" i="74" s="1"/>
  <c r="E267" i="145"/>
  <c r="C133" i="81" s="1"/>
  <c r="E133" i="81" s="1"/>
  <c r="J78" i="74" s="1"/>
  <c r="E257" i="145"/>
  <c r="C123" i="81" s="1"/>
  <c r="E123" i="81" s="1"/>
  <c r="J66" i="74" s="1"/>
  <c r="E146" i="145"/>
  <c r="C11" i="81" s="1"/>
  <c r="E11" i="81" s="1"/>
  <c r="E156" i="145"/>
  <c r="C21" i="81" s="1"/>
  <c r="E21" i="81" s="1"/>
  <c r="E175" i="145"/>
  <c r="C40" i="81" s="1"/>
  <c r="E40" i="81" s="1"/>
  <c r="F75" i="74" s="1"/>
  <c r="E317" i="145"/>
  <c r="C183" i="81" s="1"/>
  <c r="E183" i="81" s="1"/>
  <c r="E309" i="145"/>
  <c r="C175" i="81" s="1"/>
  <c r="E175" i="81" s="1"/>
  <c r="E301" i="145"/>
  <c r="C167" i="81" s="1"/>
  <c r="E167" i="81" s="1"/>
  <c r="E357" i="145"/>
  <c r="C223" i="81" s="1"/>
  <c r="E223" i="81" s="1"/>
  <c r="E349" i="145"/>
  <c r="C215" i="81" s="1"/>
  <c r="E215" i="81" s="1"/>
  <c r="E346" i="145"/>
  <c r="C212" i="81" s="1"/>
  <c r="E212" i="81" s="1"/>
  <c r="E144" i="145"/>
  <c r="C9" i="81" s="1"/>
  <c r="E9" i="81" s="1"/>
  <c r="E162" i="145"/>
  <c r="C27" i="81" s="1"/>
  <c r="E218" i="145"/>
  <c r="C83" i="81" s="1"/>
  <c r="E83" i="81" s="1"/>
  <c r="E363" i="145"/>
  <c r="C229" i="81" s="1"/>
  <c r="E229" i="81" s="1"/>
  <c r="E355" i="145"/>
  <c r="C221" i="81" s="1"/>
  <c r="E221" i="81" s="1"/>
  <c r="E362" i="145"/>
  <c r="C228" i="81" s="1"/>
  <c r="E228" i="81" s="1"/>
  <c r="E354" i="145"/>
  <c r="C220" i="81" s="1"/>
  <c r="E220" i="81" s="1"/>
  <c r="G98" i="74"/>
  <c r="E174" i="145"/>
  <c r="C39" i="81" s="1"/>
  <c r="E39" i="81" s="1"/>
  <c r="F74" i="74" s="1"/>
  <c r="E168" i="145"/>
  <c r="C33" i="81" s="1"/>
  <c r="E33" i="81" s="1"/>
  <c r="F67" i="74" s="1"/>
  <c r="E169" i="145"/>
  <c r="C34" i="81" s="1"/>
  <c r="E34" i="81" s="1"/>
  <c r="F68" i="74" s="1"/>
  <c r="E288" i="145"/>
  <c r="C154" i="81" s="1"/>
  <c r="E154" i="81" s="1"/>
  <c r="L78" i="74" s="1"/>
  <c r="E283" i="145"/>
  <c r="C149" i="81" s="1"/>
  <c r="E149" i="81" s="1"/>
  <c r="L69" i="74" s="1"/>
  <c r="E232" i="145"/>
  <c r="C97" i="81" s="1"/>
  <c r="E97" i="81" s="1"/>
  <c r="E323" i="145"/>
  <c r="C189" i="81" s="1"/>
  <c r="E189" i="81" s="1"/>
  <c r="M98" i="74" s="1"/>
  <c r="E321" i="145"/>
  <c r="C187" i="81" s="1"/>
  <c r="E187" i="81" s="1"/>
  <c r="M96" i="74" s="1"/>
  <c r="M228" i="145"/>
  <c r="N28" i="145"/>
  <c r="K19" i="79" s="1"/>
  <c r="L28" i="145"/>
  <c r="I19" i="79" s="1"/>
  <c r="L57" i="145"/>
  <c r="P249" i="145"/>
  <c r="P64" i="145" s="1"/>
  <c r="M52" i="79" s="1"/>
  <c r="L249" i="145"/>
  <c r="M51" i="145"/>
  <c r="J41" i="79" s="1"/>
  <c r="L422" i="145"/>
  <c r="P50" i="145"/>
  <c r="M40" i="79" s="1"/>
  <c r="O422" i="145"/>
  <c r="N51" i="145"/>
  <c r="K41" i="79" s="1"/>
  <c r="Q51" i="145"/>
  <c r="N41" i="79" s="1"/>
  <c r="N228" i="145"/>
  <c r="N68" i="145" s="1"/>
  <c r="K56" i="79" s="1"/>
  <c r="O249" i="145"/>
  <c r="O64" i="145" s="1"/>
  <c r="L52" i="79" s="1"/>
  <c r="Q422" i="145"/>
  <c r="L42" i="145"/>
  <c r="I31" i="79" s="1"/>
  <c r="L242" i="145"/>
  <c r="L45" i="145"/>
  <c r="I34" i="79" s="1"/>
  <c r="L51" i="145"/>
  <c r="I41" i="79" s="1"/>
  <c r="Q242" i="145"/>
  <c r="O50" i="145"/>
  <c r="L40" i="79" s="1"/>
  <c r="O57" i="145"/>
  <c r="P51" i="145"/>
  <c r="M41" i="79" s="1"/>
  <c r="N242" i="145"/>
  <c r="P242" i="145"/>
  <c r="O228" i="145"/>
  <c r="O68" i="145" s="1"/>
  <c r="L56" i="79" s="1"/>
  <c r="N249" i="145"/>
  <c r="N64" i="145" s="1"/>
  <c r="K52" i="79" s="1"/>
  <c r="M249" i="145"/>
  <c r="M64" i="145" s="1"/>
  <c r="J52" i="79" s="1"/>
  <c r="P24" i="145"/>
  <c r="M15" i="79" s="1"/>
  <c r="P38" i="145"/>
  <c r="M28" i="79" s="1"/>
  <c r="Q21" i="145"/>
  <c r="N12" i="79" s="1"/>
  <c r="L21" i="145"/>
  <c r="I12" i="79" s="1"/>
  <c r="M28" i="145"/>
  <c r="J19" i="79" s="1"/>
  <c r="P20" i="145"/>
  <c r="M11" i="79" s="1"/>
  <c r="O35" i="145"/>
  <c r="L25" i="79" s="1"/>
  <c r="N31" i="145"/>
  <c r="K21" i="79" s="1"/>
  <c r="M45" i="145"/>
  <c r="J34" i="79" s="1"/>
  <c r="N422" i="145"/>
  <c r="P375" i="145"/>
  <c r="M242" i="145"/>
  <c r="M422" i="145"/>
  <c r="P66" i="145"/>
  <c r="M54" i="79" s="1"/>
  <c r="O51" i="145"/>
  <c r="L41" i="79" s="1"/>
  <c r="M55" i="145"/>
  <c r="J43" i="79" s="1"/>
  <c r="O45" i="145"/>
  <c r="L34" i="79" s="1"/>
  <c r="N57" i="145"/>
  <c r="Q57" i="145"/>
  <c r="L50" i="145"/>
  <c r="I40" i="79" s="1"/>
  <c r="P228" i="145"/>
  <c r="P68" i="145" s="1"/>
  <c r="M56" i="79" s="1"/>
  <c r="P26" i="145"/>
  <c r="M17" i="79" s="1"/>
  <c r="N55" i="145"/>
  <c r="K43" i="79" s="1"/>
  <c r="Q55" i="145"/>
  <c r="N43" i="79" s="1"/>
  <c r="O242" i="145"/>
  <c r="L56" i="145"/>
  <c r="I44" i="79" s="1"/>
  <c r="P57" i="145"/>
  <c r="M50" i="145"/>
  <c r="J40" i="79" s="1"/>
  <c r="O56" i="145"/>
  <c r="L44" i="79" s="1"/>
  <c r="P56" i="145"/>
  <c r="M44" i="79" s="1"/>
  <c r="M57" i="145"/>
  <c r="N50" i="145"/>
  <c r="K40" i="79" s="1"/>
  <c r="Q50" i="145"/>
  <c r="N40" i="79" s="1"/>
  <c r="N38" i="145"/>
  <c r="K28" i="79" s="1"/>
  <c r="M56" i="145"/>
  <c r="J44" i="79" s="1"/>
  <c r="L55" i="145"/>
  <c r="I43" i="79" s="1"/>
  <c r="N56" i="145"/>
  <c r="K44" i="79" s="1"/>
  <c r="Q56" i="145"/>
  <c r="N44" i="79" s="1"/>
  <c r="O55" i="145"/>
  <c r="L43" i="79" s="1"/>
  <c r="P55" i="145"/>
  <c r="M43" i="79" s="1"/>
  <c r="P25" i="145"/>
  <c r="M16" i="79" s="1"/>
  <c r="N42" i="145"/>
  <c r="K31" i="79" s="1"/>
  <c r="O42" i="145"/>
  <c r="L31" i="79" s="1"/>
  <c r="M23" i="145"/>
  <c r="J14" i="79" s="1"/>
  <c r="O24" i="145"/>
  <c r="L15" i="79" s="1"/>
  <c r="L31" i="145"/>
  <c r="I21" i="79" s="1"/>
  <c r="N23" i="145"/>
  <c r="K14" i="79" s="1"/>
  <c r="M60" i="145"/>
  <c r="J48" i="79" s="1"/>
  <c r="P65" i="145"/>
  <c r="M53" i="79" s="1"/>
  <c r="P31" i="145"/>
  <c r="M21" i="79" s="1"/>
  <c r="O60" i="145"/>
  <c r="L48" i="79" s="1"/>
  <c r="O26" i="145"/>
  <c r="L17" i="79" s="1"/>
  <c r="M20" i="145"/>
  <c r="J11" i="79" s="1"/>
  <c r="P221" i="145"/>
  <c r="P63" i="145" s="1"/>
  <c r="M51" i="79" s="1"/>
  <c r="N22" i="145"/>
  <c r="K13" i="79" s="1"/>
  <c r="Q48" i="145"/>
  <c r="N38" i="79" s="1"/>
  <c r="Q66" i="145"/>
  <c r="N54" i="79" s="1"/>
  <c r="P422" i="145"/>
  <c r="M24" i="145"/>
  <c r="J15" i="79" s="1"/>
  <c r="O23" i="145"/>
  <c r="L14" i="79" s="1"/>
  <c r="M27" i="145"/>
  <c r="J18" i="79" s="1"/>
  <c r="P36" i="145"/>
  <c r="M26" i="79" s="1"/>
  <c r="M68" i="145"/>
  <c r="J56" i="79" s="1"/>
  <c r="N34" i="145"/>
  <c r="K24" i="79" s="1"/>
  <c r="P34" i="145"/>
  <c r="M24" i="79" s="1"/>
  <c r="N20" i="145"/>
  <c r="K11" i="79" s="1"/>
  <c r="N24" i="145"/>
  <c r="K15" i="79" s="1"/>
  <c r="Q31" i="145"/>
  <c r="N21" i="79" s="1"/>
  <c r="O31" i="145"/>
  <c r="L21" i="79" s="1"/>
  <c r="L35" i="145"/>
  <c r="I25" i="79" s="1"/>
  <c r="L66" i="145"/>
  <c r="I54" i="79" s="1"/>
  <c r="N45" i="145"/>
  <c r="K34" i="79" s="1"/>
  <c r="P45" i="145"/>
  <c r="M34" i="79" s="1"/>
  <c r="N25" i="145"/>
  <c r="K16" i="79" s="1"/>
  <c r="M25" i="145"/>
  <c r="J16" i="79" s="1"/>
  <c r="N32" i="145"/>
  <c r="K22" i="79" s="1"/>
  <c r="O32" i="145"/>
  <c r="L22" i="79" s="1"/>
  <c r="Q42" i="145"/>
  <c r="N31" i="79" s="1"/>
  <c r="L23" i="145"/>
  <c r="I14" i="79" s="1"/>
  <c r="N27" i="145"/>
  <c r="K18" i="79" s="1"/>
  <c r="P27" i="145"/>
  <c r="M18" i="79" s="1"/>
  <c r="Q38" i="145"/>
  <c r="N28" i="79" s="1"/>
  <c r="O48" i="145"/>
  <c r="L38" i="79" s="1"/>
  <c r="P21" i="145"/>
  <c r="M12" i="79" s="1"/>
  <c r="M36" i="145"/>
  <c r="J26" i="79" s="1"/>
  <c r="N60" i="145"/>
  <c r="K48" i="79" s="1"/>
  <c r="Q22" i="145"/>
  <c r="N13" i="79" s="1"/>
  <c r="P22" i="145"/>
  <c r="M13" i="79" s="1"/>
  <c r="M33" i="145"/>
  <c r="J23" i="79" s="1"/>
  <c r="M37" i="145"/>
  <c r="J27" i="79" s="1"/>
  <c r="O37" i="145"/>
  <c r="L27" i="79" s="1"/>
  <c r="M65" i="145"/>
  <c r="J53" i="79" s="1"/>
  <c r="Q34" i="145"/>
  <c r="N24" i="79" s="1"/>
  <c r="Q35" i="145"/>
  <c r="N25" i="79" s="1"/>
  <c r="M32" i="145"/>
  <c r="J22" i="79" s="1"/>
  <c r="L27" i="145"/>
  <c r="I18" i="79" s="1"/>
  <c r="Q26" i="145"/>
  <c r="N17" i="79" s="1"/>
  <c r="P33" i="145"/>
  <c r="M23" i="79" s="1"/>
  <c r="Q20" i="145"/>
  <c r="N11" i="79" s="1"/>
  <c r="Q24" i="145"/>
  <c r="N15" i="79" s="1"/>
  <c r="M21" i="145"/>
  <c r="J12" i="79" s="1"/>
  <c r="N36" i="145"/>
  <c r="K26" i="79" s="1"/>
  <c r="O36" i="145"/>
  <c r="L26" i="79" s="1"/>
  <c r="Q60" i="145"/>
  <c r="N48" i="79" s="1"/>
  <c r="L60" i="145"/>
  <c r="I48" i="79" s="1"/>
  <c r="M26" i="145"/>
  <c r="J17" i="79" s="1"/>
  <c r="O33" i="145"/>
  <c r="L23" i="79" s="1"/>
  <c r="N37" i="145"/>
  <c r="K27" i="79" s="1"/>
  <c r="L37" i="145"/>
  <c r="I27" i="79" s="1"/>
  <c r="L65" i="145"/>
  <c r="I53" i="79" s="1"/>
  <c r="Q65" i="145"/>
  <c r="N53" i="79" s="1"/>
  <c r="O34" i="145"/>
  <c r="L24" i="79" s="1"/>
  <c r="Q28" i="145"/>
  <c r="N19" i="79" s="1"/>
  <c r="Q228" i="145"/>
  <c r="Q68" i="145" s="1"/>
  <c r="N56" i="79" s="1"/>
  <c r="Q249" i="145"/>
  <c r="Q64" i="145" s="1"/>
  <c r="N52" i="79" s="1"/>
  <c r="L22" i="145"/>
  <c r="I13" i="79" s="1"/>
  <c r="Q33" i="145"/>
  <c r="N23" i="79" s="1"/>
  <c r="O20" i="145"/>
  <c r="L11" i="79" s="1"/>
  <c r="M35" i="145"/>
  <c r="J25" i="79" s="1"/>
  <c r="P35" i="145"/>
  <c r="M25" i="79" s="1"/>
  <c r="N66" i="145"/>
  <c r="K54" i="79" s="1"/>
  <c r="O25" i="145"/>
  <c r="L16" i="79" s="1"/>
  <c r="Q32" i="145"/>
  <c r="N22" i="79" s="1"/>
  <c r="L32" i="145"/>
  <c r="I22" i="79" s="1"/>
  <c r="P42" i="145"/>
  <c r="M31" i="79" s="1"/>
  <c r="P23" i="145"/>
  <c r="M14" i="79" s="1"/>
  <c r="Q27" i="145"/>
  <c r="N18" i="79" s="1"/>
  <c r="O38" i="145"/>
  <c r="L28" i="79" s="1"/>
  <c r="M48" i="145"/>
  <c r="J38" i="79" s="1"/>
  <c r="L48" i="145"/>
  <c r="I38" i="79" s="1"/>
  <c r="L20" i="145"/>
  <c r="I11" i="79" s="1"/>
  <c r="L24" i="145"/>
  <c r="I15" i="79" s="1"/>
  <c r="M31" i="145"/>
  <c r="J21" i="79" s="1"/>
  <c r="N35" i="145"/>
  <c r="K25" i="79" s="1"/>
  <c r="O66" i="145"/>
  <c r="L54" i="79" s="1"/>
  <c r="M66" i="145"/>
  <c r="J54" i="79" s="1"/>
  <c r="Q45" i="145"/>
  <c r="N34" i="79" s="1"/>
  <c r="O270" i="145"/>
  <c r="Q25" i="145"/>
  <c r="N16" i="79" s="1"/>
  <c r="L25" i="145"/>
  <c r="I16" i="79" s="1"/>
  <c r="P32" i="145"/>
  <c r="M22" i="79" s="1"/>
  <c r="M42" i="145"/>
  <c r="J31" i="79" s="1"/>
  <c r="Q23" i="145"/>
  <c r="N14" i="79" s="1"/>
  <c r="O27" i="145"/>
  <c r="L18" i="79" s="1"/>
  <c r="M38" i="145"/>
  <c r="J28" i="79" s="1"/>
  <c r="L38" i="145"/>
  <c r="I28" i="79" s="1"/>
  <c r="N48" i="145"/>
  <c r="K38" i="79" s="1"/>
  <c r="P48" i="145"/>
  <c r="M38" i="79" s="1"/>
  <c r="N21" i="145"/>
  <c r="K12" i="79" s="1"/>
  <c r="O21" i="145"/>
  <c r="L12" i="79" s="1"/>
  <c r="Q36" i="145"/>
  <c r="N26" i="79" s="1"/>
  <c r="L36" i="145"/>
  <c r="I26" i="79" s="1"/>
  <c r="P60" i="145"/>
  <c r="M48" i="79" s="1"/>
  <c r="M22" i="145"/>
  <c r="J13" i="79" s="1"/>
  <c r="O22" i="145"/>
  <c r="L13" i="79" s="1"/>
  <c r="N26" i="145"/>
  <c r="K17" i="79" s="1"/>
  <c r="L26" i="145"/>
  <c r="I17" i="79" s="1"/>
  <c r="N33" i="145"/>
  <c r="K23" i="79" s="1"/>
  <c r="L33" i="145"/>
  <c r="I23" i="79" s="1"/>
  <c r="Q37" i="145"/>
  <c r="N27" i="79" s="1"/>
  <c r="P37" i="145"/>
  <c r="M27" i="79" s="1"/>
  <c r="O65" i="145"/>
  <c r="L53" i="79" s="1"/>
  <c r="N65" i="145"/>
  <c r="K53" i="79" s="1"/>
  <c r="M34" i="145"/>
  <c r="J24" i="79" s="1"/>
  <c r="L34" i="145"/>
  <c r="I24" i="79" s="1"/>
  <c r="L228" i="145"/>
  <c r="N276" i="145"/>
  <c r="P184" i="145"/>
  <c r="L184" i="145"/>
  <c r="P270" i="145"/>
  <c r="M270" i="145"/>
  <c r="Q184" i="145"/>
  <c r="M184" i="145"/>
  <c r="M221" i="145"/>
  <c r="M63" i="145" s="1"/>
  <c r="J51" i="79" s="1"/>
  <c r="N221" i="145"/>
  <c r="N63" i="145" s="1"/>
  <c r="K51" i="79" s="1"/>
  <c r="L221" i="145"/>
  <c r="Q221" i="145"/>
  <c r="Q63" i="145" s="1"/>
  <c r="N51" i="79" s="1"/>
  <c r="Q163" i="145"/>
  <c r="O163" i="145"/>
  <c r="N163" i="145"/>
  <c r="L163" i="145"/>
  <c r="P292" i="145"/>
  <c r="Q292" i="145"/>
  <c r="Q444" i="145"/>
  <c r="Q49" i="145" s="1"/>
  <c r="N39" i="79" s="1"/>
  <c r="M444" i="145"/>
  <c r="M49" i="145" s="1"/>
  <c r="J39" i="79" s="1"/>
  <c r="O209" i="145"/>
  <c r="O70" i="145" s="1"/>
  <c r="L74" i="79" s="1"/>
  <c r="L36" i="79" s="1"/>
  <c r="M97" i="72" s="1"/>
  <c r="O184" i="145"/>
  <c r="L326" i="145"/>
  <c r="M326" i="145"/>
  <c r="M69" i="145" s="1"/>
  <c r="J57" i="79" s="1"/>
  <c r="K96" i="72" s="1"/>
  <c r="N365" i="145"/>
  <c r="O365" i="145"/>
  <c r="L365" i="145"/>
  <c r="Q365" i="145"/>
  <c r="N463" i="145"/>
  <c r="L463" i="145"/>
  <c r="Q463" i="145"/>
  <c r="O342" i="145"/>
  <c r="O43" i="145" s="1"/>
  <c r="L32" i="79" s="1"/>
  <c r="P342" i="145"/>
  <c r="Q342" i="145"/>
  <c r="Q43" i="145" s="1"/>
  <c r="N32" i="79" s="1"/>
  <c r="M163" i="145"/>
  <c r="P163" i="145"/>
  <c r="O221" i="145"/>
  <c r="O63" i="145" s="1"/>
  <c r="L51" i="79" s="1"/>
  <c r="N292" i="145"/>
  <c r="Q209" i="145"/>
  <c r="Q70" i="145" s="1"/>
  <c r="N74" i="79" s="1"/>
  <c r="N36" i="79" s="1"/>
  <c r="O97" i="72" s="1"/>
  <c r="M209" i="145"/>
  <c r="M70" i="145" s="1"/>
  <c r="J74" i="79" s="1"/>
  <c r="J36" i="79" s="1"/>
  <c r="K97" i="72" s="1"/>
  <c r="L270" i="145"/>
  <c r="N270" i="145"/>
  <c r="N184" i="145"/>
  <c r="O326" i="145"/>
  <c r="O69" i="145" s="1"/>
  <c r="L57" i="79" s="1"/>
  <c r="M96" i="72" s="1"/>
  <c r="P326" i="145"/>
  <c r="P69" i="145" s="1"/>
  <c r="M57" i="79" s="1"/>
  <c r="N96" i="72" s="1"/>
  <c r="Q326" i="145"/>
  <c r="Q69" i="145" s="1"/>
  <c r="N57" i="79" s="1"/>
  <c r="O96" i="72" s="1"/>
  <c r="P365" i="145"/>
  <c r="P463" i="145"/>
  <c r="N342" i="145"/>
  <c r="L209" i="145"/>
  <c r="N326" i="145"/>
  <c r="N69" i="145" s="1"/>
  <c r="K57" i="79" s="1"/>
  <c r="L96" i="72" s="1"/>
  <c r="O463" i="145"/>
  <c r="L276" i="145"/>
  <c r="M276" i="145"/>
  <c r="O292" i="145"/>
  <c r="L292" i="145"/>
  <c r="M292" i="145"/>
  <c r="P444" i="145"/>
  <c r="L444" i="145"/>
  <c r="N444" i="145"/>
  <c r="N49" i="145" s="1"/>
  <c r="K39" i="79" s="1"/>
  <c r="O444" i="145"/>
  <c r="O49" i="145" s="1"/>
  <c r="L39" i="79" s="1"/>
  <c r="N209" i="145"/>
  <c r="N70" i="145" s="1"/>
  <c r="K74" i="79" s="1"/>
  <c r="K36" i="79" s="1"/>
  <c r="L97" i="72" s="1"/>
  <c r="P209" i="145"/>
  <c r="P70" i="145" s="1"/>
  <c r="M74" i="79" s="1"/>
  <c r="M36" i="79" s="1"/>
  <c r="N97" i="72" s="1"/>
  <c r="Q270" i="145"/>
  <c r="M365" i="145"/>
  <c r="M463" i="145"/>
  <c r="P276" i="145"/>
  <c r="Q276" i="145"/>
  <c r="L342" i="145"/>
  <c r="M342" i="145"/>
  <c r="L472" i="145" l="1"/>
  <c r="O472" i="145"/>
  <c r="P472" i="145"/>
  <c r="P476" i="145" s="1"/>
  <c r="Q472" i="145"/>
  <c r="M472" i="145"/>
  <c r="M476" i="145" s="1"/>
  <c r="N472" i="145"/>
  <c r="C8" i="81"/>
  <c r="E8" i="81" s="1"/>
  <c r="M89" i="74"/>
  <c r="M66" i="74"/>
  <c r="N476" i="145"/>
  <c r="C82" i="81"/>
  <c r="E82" i="81" s="1"/>
  <c r="G64" i="74" s="1"/>
  <c r="O476" i="145"/>
  <c r="M77" i="74"/>
  <c r="L64" i="145"/>
  <c r="I52" i="79" s="1"/>
  <c r="O52" i="79" s="1"/>
  <c r="M86" i="74"/>
  <c r="G71" i="74"/>
  <c r="M83" i="74"/>
  <c r="G95" i="74"/>
  <c r="M68" i="74"/>
  <c r="M88" i="74"/>
  <c r="M71" i="74"/>
  <c r="M70" i="74"/>
  <c r="M64" i="74"/>
  <c r="E67" i="74"/>
  <c r="G11" i="81"/>
  <c r="J11" i="81" s="1"/>
  <c r="E68" i="74"/>
  <c r="G12" i="81"/>
  <c r="J12" i="81" s="1"/>
  <c r="E75" i="74"/>
  <c r="G19" i="81"/>
  <c r="J19" i="81" s="1"/>
  <c r="E66" i="74"/>
  <c r="G10" i="81"/>
  <c r="J10" i="81" s="1"/>
  <c r="E69" i="74"/>
  <c r="G13" i="81"/>
  <c r="J13" i="81" s="1"/>
  <c r="M95" i="74"/>
  <c r="M87" i="74"/>
  <c r="H71" i="74"/>
  <c r="H67" i="74"/>
  <c r="M92" i="74"/>
  <c r="E71" i="74"/>
  <c r="G15" i="81"/>
  <c r="J15" i="81" s="1"/>
  <c r="M67" i="74"/>
  <c r="M80" i="74"/>
  <c r="E73" i="74"/>
  <c r="G17" i="81"/>
  <c r="J17" i="81" s="1"/>
  <c r="E76" i="74"/>
  <c r="G20" i="81"/>
  <c r="J20" i="81" s="1"/>
  <c r="H72" i="74"/>
  <c r="G16" i="81"/>
  <c r="J16" i="81" s="1"/>
  <c r="M93" i="74"/>
  <c r="E70" i="74"/>
  <c r="G14" i="81"/>
  <c r="J14" i="81" s="1"/>
  <c r="M79" i="74"/>
  <c r="E65" i="74"/>
  <c r="G9" i="81"/>
  <c r="J9" i="81" s="1"/>
  <c r="G22" i="81"/>
  <c r="J22" i="81" s="1"/>
  <c r="E78" i="74"/>
  <c r="M69" i="74"/>
  <c r="G23" i="81"/>
  <c r="J23" i="81" s="1"/>
  <c r="E79" i="74"/>
  <c r="E74" i="74"/>
  <c r="G18" i="81"/>
  <c r="J18" i="81" s="1"/>
  <c r="G66" i="74"/>
  <c r="M76" i="74"/>
  <c r="E77" i="74"/>
  <c r="G21" i="81"/>
  <c r="J21" i="81" s="1"/>
  <c r="M91" i="74"/>
  <c r="E463" i="145"/>
  <c r="C328" i="81" s="1"/>
  <c r="E328" i="81" s="1"/>
  <c r="E249" i="145"/>
  <c r="C114" i="81" s="1"/>
  <c r="E114" i="81" s="1"/>
  <c r="I97" i="74" s="1"/>
  <c r="E444" i="145"/>
  <c r="C309" i="81" s="1"/>
  <c r="E309" i="81" s="1"/>
  <c r="E422" i="145"/>
  <c r="C287" i="81" s="1"/>
  <c r="E287" i="81" s="1"/>
  <c r="L43" i="145"/>
  <c r="I32" i="79" s="1"/>
  <c r="E342" i="145"/>
  <c r="C208" i="81" s="1"/>
  <c r="E208" i="81" s="1"/>
  <c r="E276" i="145"/>
  <c r="C142" i="81" s="1"/>
  <c r="E142" i="81" s="1"/>
  <c r="K115" i="74" s="1"/>
  <c r="L68" i="145"/>
  <c r="I56" i="79" s="1"/>
  <c r="E228" i="145"/>
  <c r="C93" i="81" s="1"/>
  <c r="E93" i="81" s="1"/>
  <c r="H116" i="74" s="1"/>
  <c r="E375" i="145"/>
  <c r="C241" i="81" s="1"/>
  <c r="E292" i="145"/>
  <c r="C158" i="81" s="1"/>
  <c r="E158" i="81" s="1"/>
  <c r="L94" i="74" s="1"/>
  <c r="E163" i="145"/>
  <c r="C28" i="81" s="1"/>
  <c r="E184" i="145"/>
  <c r="C49" i="81" s="1"/>
  <c r="L70" i="145"/>
  <c r="I74" i="79" s="1"/>
  <c r="I36" i="79" s="1"/>
  <c r="O36" i="79" s="1"/>
  <c r="E209" i="145"/>
  <c r="C74" i="81" s="1"/>
  <c r="E74" i="81" s="1"/>
  <c r="G118" i="74" s="1"/>
  <c r="E270" i="145"/>
  <c r="C136" i="81" s="1"/>
  <c r="E136" i="81" s="1"/>
  <c r="J95" i="74" s="1"/>
  <c r="E365" i="145"/>
  <c r="C231" i="81" s="1"/>
  <c r="E231" i="81" s="1"/>
  <c r="L69" i="145"/>
  <c r="I57" i="79" s="1"/>
  <c r="J96" i="72" s="1"/>
  <c r="P96" i="72" s="1"/>
  <c r="D130" i="70" s="1"/>
  <c r="F130" i="70" s="1"/>
  <c r="E326" i="145"/>
  <c r="C192" i="81" s="1"/>
  <c r="E192" i="81" s="1"/>
  <c r="M117" i="74" s="1"/>
  <c r="O117" i="74" s="1"/>
  <c r="L63" i="145"/>
  <c r="I51" i="79" s="1"/>
  <c r="O51" i="79" s="1"/>
  <c r="E221" i="145"/>
  <c r="C86" i="81" s="1"/>
  <c r="E86" i="81" s="1"/>
  <c r="G96" i="74" s="1"/>
  <c r="E242" i="145"/>
  <c r="C107" i="81" s="1"/>
  <c r="E107" i="81" s="1"/>
  <c r="H115" i="74" s="1"/>
  <c r="E254" i="145"/>
  <c r="L49" i="145"/>
  <c r="I39" i="79" s="1"/>
  <c r="P49" i="145"/>
  <c r="M39" i="79" s="1"/>
  <c r="M61" i="145"/>
  <c r="J65" i="79" s="1"/>
  <c r="J46" i="79" s="1"/>
  <c r="K98" i="72" s="1"/>
  <c r="N67" i="145"/>
  <c r="K55" i="79" s="1"/>
  <c r="L61" i="145"/>
  <c r="I65" i="79" s="1"/>
  <c r="I46" i="79" s="1"/>
  <c r="M62" i="145"/>
  <c r="J50" i="79" s="1"/>
  <c r="O61" i="145"/>
  <c r="L65" i="79" s="1"/>
  <c r="L46" i="79" s="1"/>
  <c r="M98" i="72" s="1"/>
  <c r="Q61" i="145"/>
  <c r="N65" i="79" s="1"/>
  <c r="N46" i="79" s="1"/>
  <c r="O98" i="72" s="1"/>
  <c r="P61" i="145"/>
  <c r="M65" i="79" s="1"/>
  <c r="M46" i="79" s="1"/>
  <c r="N98" i="72" s="1"/>
  <c r="N61" i="145"/>
  <c r="K65" i="79" s="1"/>
  <c r="K46" i="79" s="1"/>
  <c r="L98" i="72" s="1"/>
  <c r="O67" i="145"/>
  <c r="L55" i="79" s="1"/>
  <c r="O62" i="145"/>
  <c r="L50" i="79" s="1"/>
  <c r="M43" i="145"/>
  <c r="J32" i="79" s="1"/>
  <c r="N43" i="145"/>
  <c r="K32" i="79" s="1"/>
  <c r="P43" i="145"/>
  <c r="M32" i="79" s="1"/>
  <c r="L67" i="145"/>
  <c r="I55" i="79" s="1"/>
  <c r="E229" i="145"/>
  <c r="P62" i="145"/>
  <c r="M50" i="79" s="1"/>
  <c r="N62" i="145"/>
  <c r="K50" i="79" s="1"/>
  <c r="Q62" i="145"/>
  <c r="N50" i="79" s="1"/>
  <c r="Q67" i="145"/>
  <c r="N55" i="79" s="1"/>
  <c r="M67" i="145"/>
  <c r="J55" i="79" s="1"/>
  <c r="P67" i="145"/>
  <c r="M55" i="79" s="1"/>
  <c r="L62" i="145"/>
  <c r="I50" i="79" s="1"/>
  <c r="Q476" i="145"/>
  <c r="E331" i="145"/>
  <c r="L476" i="145"/>
  <c r="R464" i="127"/>
  <c r="M215" i="74" l="1"/>
  <c r="E472" i="145"/>
  <c r="E445" i="145"/>
  <c r="E464" i="145"/>
  <c r="R460" i="127"/>
  <c r="R455" i="127"/>
  <c r="R456" i="127"/>
  <c r="R457" i="127"/>
  <c r="R453" i="127"/>
  <c r="R448" i="127"/>
  <c r="R447" i="127"/>
  <c r="R452" i="127"/>
  <c r="R462" i="127"/>
  <c r="R454" i="127"/>
  <c r="R450" i="127"/>
  <c r="R458" i="127"/>
  <c r="R461" i="127"/>
  <c r="R459" i="127"/>
  <c r="R451" i="127"/>
  <c r="R449" i="127"/>
  <c r="E222" i="145"/>
  <c r="E271" i="145"/>
  <c r="E366" i="145"/>
  <c r="E277" i="145"/>
  <c r="E423" i="145"/>
  <c r="E250" i="145"/>
  <c r="E185" i="145"/>
  <c r="E243" i="145"/>
  <c r="E64" i="74"/>
  <c r="E327" i="145"/>
  <c r="E343" i="145"/>
  <c r="E210" i="145"/>
  <c r="E293" i="145"/>
  <c r="E376" i="145"/>
  <c r="J97" i="72"/>
  <c r="O57" i="79"/>
  <c r="E69" i="145" s="1"/>
  <c r="E164" i="145"/>
  <c r="E473" i="145" s="1"/>
  <c r="C336" i="81"/>
  <c r="O72" i="145"/>
  <c r="O73" i="145" s="1"/>
  <c r="O65" i="79"/>
  <c r="N72" i="145"/>
  <c r="N73" i="145" s="1"/>
  <c r="Q72" i="145"/>
  <c r="Q73" i="145" s="1"/>
  <c r="D117" i="74"/>
  <c r="D215" i="74" s="1"/>
  <c r="M72" i="145"/>
  <c r="M73" i="145" s="1"/>
  <c r="P72" i="145"/>
  <c r="P73" i="145" s="1"/>
  <c r="J98" i="72"/>
  <c r="O46" i="79"/>
  <c r="L72" i="145"/>
  <c r="L73" i="145" s="1"/>
  <c r="O50" i="79"/>
  <c r="E370" i="145"/>
  <c r="R423" i="127"/>
  <c r="R224" i="127"/>
  <c r="E475" i="145" l="1"/>
  <c r="R417" i="127"/>
  <c r="R420" i="127"/>
  <c r="R416" i="127"/>
  <c r="R421" i="127"/>
  <c r="R418" i="127"/>
  <c r="R419" i="127"/>
  <c r="R372" i="127"/>
  <c r="R378" i="127"/>
  <c r="R366" i="127"/>
  <c r="R343" i="127"/>
  <c r="R277" i="127"/>
  <c r="R468" i="127"/>
  <c r="R445" i="127"/>
  <c r="R466" i="127"/>
  <c r="R222" i="127"/>
  <c r="R414" i="127"/>
  <c r="R413" i="127"/>
  <c r="R410" i="127"/>
  <c r="R409" i="127"/>
  <c r="R391" i="127"/>
  <c r="R407" i="127"/>
  <c r="R406" i="127"/>
  <c r="R398" i="127"/>
  <c r="R394" i="127"/>
  <c r="R382" i="127"/>
  <c r="R381" i="127"/>
  <c r="R380" i="127"/>
  <c r="R383" i="127"/>
  <c r="R402" i="127"/>
  <c r="R219" i="127" l="1"/>
  <c r="R220" i="127"/>
  <c r="R218" i="127"/>
  <c r="R217" i="127"/>
  <c r="R275" i="127"/>
  <c r="R273" i="127"/>
  <c r="R274" i="127"/>
  <c r="R339" i="127"/>
  <c r="R338" i="127"/>
  <c r="R341" i="127"/>
  <c r="R340" i="127"/>
  <c r="R425" i="127"/>
  <c r="R434" i="127"/>
  <c r="R429" i="127"/>
  <c r="R436" i="127"/>
  <c r="R437" i="127"/>
  <c r="R439" i="127"/>
  <c r="R442" i="127"/>
  <c r="R433" i="127"/>
  <c r="R427" i="127"/>
  <c r="R432" i="127"/>
  <c r="R441" i="127"/>
  <c r="R431" i="127"/>
  <c r="R435" i="127"/>
  <c r="R443" i="127"/>
  <c r="R440" i="127"/>
  <c r="R426" i="127"/>
  <c r="R428" i="127"/>
  <c r="R430" i="127"/>
  <c r="R438" i="127"/>
  <c r="R346" i="127"/>
  <c r="R353" i="127"/>
  <c r="R347" i="127"/>
  <c r="R356" i="127"/>
  <c r="R362" i="127"/>
  <c r="R358" i="127"/>
  <c r="R361" i="127"/>
  <c r="R45" i="127" s="1"/>
  <c r="R354" i="127"/>
  <c r="R355" i="127"/>
  <c r="R350" i="127"/>
  <c r="R351" i="127"/>
  <c r="R348" i="127"/>
  <c r="R363" i="127"/>
  <c r="R364" i="127"/>
  <c r="R66" i="127" s="1"/>
  <c r="R349" i="127"/>
  <c r="R359" i="127"/>
  <c r="R357" i="127"/>
  <c r="R352" i="127"/>
  <c r="R360" i="127"/>
  <c r="R345" i="127"/>
  <c r="E476" i="145"/>
  <c r="R463" i="127"/>
  <c r="R444" i="127" l="1"/>
  <c r="R365" i="127"/>
  <c r="R342" i="127"/>
  <c r="R276" i="127"/>
  <c r="R221" i="127"/>
  <c r="E131" i="127"/>
  <c r="E132" i="127"/>
  <c r="E133" i="127"/>
  <c r="E118" i="127"/>
  <c r="E119" i="127"/>
  <c r="E120" i="127"/>
  <c r="E117" i="127"/>
  <c r="M110" i="104" l="1"/>
  <c r="E110" i="104" l="1"/>
  <c r="F114" i="104" l="1"/>
  <c r="D110" i="104" l="1"/>
  <c r="H150" i="104" l="1"/>
  <c r="G151" i="104"/>
  <c r="G150" i="104"/>
  <c r="H147" i="104" l="1"/>
  <c r="H146" i="104"/>
  <c r="H143" i="104"/>
  <c r="G146" i="104"/>
  <c r="G143" i="104"/>
  <c r="H140" i="104" l="1"/>
  <c r="H139" i="104"/>
  <c r="G139" i="104"/>
  <c r="O90" i="104" l="1"/>
  <c r="F139" i="104"/>
  <c r="F141" i="104" s="1"/>
  <c r="F113" i="104"/>
  <c r="F110" i="104"/>
  <c r="G113" i="104"/>
  <c r="G110" i="104"/>
  <c r="H113" i="104"/>
  <c r="H110" i="104"/>
  <c r="I114" i="104"/>
  <c r="I113" i="104"/>
  <c r="I110" i="104"/>
  <c r="J114" i="104"/>
  <c r="J113" i="104"/>
  <c r="J110" i="104"/>
  <c r="K114" i="104"/>
  <c r="K113" i="104"/>
  <c r="K110" i="104"/>
  <c r="L114" i="104"/>
  <c r="L113" i="104"/>
  <c r="L110" i="104"/>
  <c r="N110" i="104"/>
  <c r="C143" i="104"/>
  <c r="D143" i="104"/>
  <c r="E143" i="104"/>
  <c r="F143" i="104"/>
  <c r="O87" i="104"/>
  <c r="I41" i="102"/>
  <c r="E140" i="104"/>
  <c r="O140" i="104" s="1"/>
  <c r="M30" i="102" s="1"/>
  <c r="E139" i="104"/>
  <c r="D139" i="104"/>
  <c r="D141" i="104" s="1"/>
  <c r="A46" i="27"/>
  <c r="A5" i="64"/>
  <c r="A3" i="120"/>
  <c r="A13" i="119" s="1"/>
  <c r="R144" i="120"/>
  <c r="I24" i="120"/>
  <c r="I26" i="120" s="1"/>
  <c r="J24" i="120"/>
  <c r="J26" i="120" s="1"/>
  <c r="K24" i="120"/>
  <c r="K26" i="120" s="1"/>
  <c r="L24" i="120"/>
  <c r="L26" i="120" s="1"/>
  <c r="M24" i="120"/>
  <c r="M26" i="120" s="1"/>
  <c r="N24" i="120"/>
  <c r="N26" i="120" s="1"/>
  <c r="O24" i="120"/>
  <c r="O26" i="120" s="1"/>
  <c r="P24" i="120"/>
  <c r="P26" i="120" s="1"/>
  <c r="Q24" i="120"/>
  <c r="Q26" i="120" s="1"/>
  <c r="R24" i="120"/>
  <c r="R26" i="120" s="1"/>
  <c r="S24" i="120"/>
  <c r="S26" i="120" s="1"/>
  <c r="G33" i="120"/>
  <c r="H33" i="120"/>
  <c r="I33" i="120"/>
  <c r="J33" i="120"/>
  <c r="K33" i="120"/>
  <c r="L33" i="120"/>
  <c r="M33" i="120"/>
  <c r="N33" i="120"/>
  <c r="O33" i="120"/>
  <c r="P33" i="120"/>
  <c r="Q33" i="120"/>
  <c r="R33" i="120"/>
  <c r="A41" i="120"/>
  <c r="A42" i="120"/>
  <c r="A87" i="120" s="1"/>
  <c r="A139" i="120" s="1"/>
  <c r="A43" i="120"/>
  <c r="A88" i="120" s="1"/>
  <c r="A140" i="120" s="1"/>
  <c r="A53" i="120"/>
  <c r="A54" i="120" s="1"/>
  <c r="A55" i="120" s="1"/>
  <c r="A56" i="120" s="1"/>
  <c r="A57" i="120" s="1"/>
  <c r="A59" i="120" s="1"/>
  <c r="A61" i="120" s="1"/>
  <c r="A62" i="120" s="1"/>
  <c r="A63" i="120" s="1"/>
  <c r="A65" i="120" s="1"/>
  <c r="A66" i="120" s="1"/>
  <c r="A67" i="120" s="1"/>
  <c r="A68" i="120" s="1"/>
  <c r="A69" i="120" s="1"/>
  <c r="A70" i="120" s="1"/>
  <c r="A71" i="120" s="1"/>
  <c r="A72" i="120" s="1"/>
  <c r="A73" i="120" s="1"/>
  <c r="A74" i="120" s="1"/>
  <c r="A75" i="120" s="1"/>
  <c r="A76" i="120" s="1"/>
  <c r="A78" i="120" s="1"/>
  <c r="A79" i="120" s="1"/>
  <c r="G59" i="120"/>
  <c r="H59" i="120"/>
  <c r="I59" i="120"/>
  <c r="J59" i="120"/>
  <c r="K59" i="120"/>
  <c r="L59" i="120"/>
  <c r="M59" i="120"/>
  <c r="N59" i="120"/>
  <c r="O59" i="120"/>
  <c r="P59" i="120"/>
  <c r="Q59" i="120"/>
  <c r="R59" i="120"/>
  <c r="I67" i="120"/>
  <c r="I69" i="120" s="1"/>
  <c r="I105" i="120" s="1"/>
  <c r="J67" i="120"/>
  <c r="J69" i="120" s="1"/>
  <c r="J104" i="120" s="1"/>
  <c r="K67" i="120"/>
  <c r="K69" i="120" s="1"/>
  <c r="L67" i="120"/>
  <c r="L69" i="120" s="1"/>
  <c r="L151" i="120" s="1"/>
  <c r="M67" i="120"/>
  <c r="M69" i="120" s="1"/>
  <c r="M151" i="120" s="1"/>
  <c r="N67" i="120"/>
  <c r="N69" i="120" s="1"/>
  <c r="O67" i="120"/>
  <c r="O69" i="120" s="1"/>
  <c r="P67" i="120"/>
  <c r="P69" i="120" s="1"/>
  <c r="P151" i="120" s="1"/>
  <c r="Q67" i="120"/>
  <c r="Q69" i="120" s="1"/>
  <c r="Q72" i="120" s="1"/>
  <c r="Q74" i="120" s="1"/>
  <c r="Q150" i="120" s="1"/>
  <c r="R67" i="120"/>
  <c r="R69" i="120" s="1"/>
  <c r="G68" i="120"/>
  <c r="M71" i="120"/>
  <c r="N71" i="120"/>
  <c r="O71" i="120"/>
  <c r="P71" i="120"/>
  <c r="R71" i="120"/>
  <c r="M73" i="120"/>
  <c r="N73" i="120"/>
  <c r="O73" i="120"/>
  <c r="P73" i="120"/>
  <c r="A86" i="120"/>
  <c r="A138" i="120" s="1"/>
  <c r="A97" i="120"/>
  <c r="A98" i="120" s="1"/>
  <c r="A99" i="120" s="1"/>
  <c r="A101" i="120" s="1"/>
  <c r="A102" i="120" s="1"/>
  <c r="A103" i="120" s="1"/>
  <c r="A104" i="120" s="1"/>
  <c r="A105" i="120" s="1"/>
  <c r="A106" i="120" s="1"/>
  <c r="A107" i="120" s="1"/>
  <c r="A109" i="120" s="1"/>
  <c r="A110" i="120" s="1"/>
  <c r="A111" i="120" s="1"/>
  <c r="A112" i="120" s="1"/>
  <c r="A113" i="120" s="1"/>
  <c r="A115" i="120" s="1"/>
  <c r="A116" i="120" s="1"/>
  <c r="A117" i="120" s="1"/>
  <c r="A118" i="120" s="1"/>
  <c r="A119" i="120" s="1"/>
  <c r="A120" i="120" s="1"/>
  <c r="A121" i="120" s="1"/>
  <c r="A122" i="120" s="1"/>
  <c r="A124" i="120" s="1"/>
  <c r="A125" i="120" s="1"/>
  <c r="A126" i="120" s="1"/>
  <c r="A127" i="120" s="1"/>
  <c r="A128" i="120" s="1"/>
  <c r="A129" i="120" s="1"/>
  <c r="A130" i="120" s="1"/>
  <c r="A131" i="120" s="1"/>
  <c r="A132" i="120" s="1"/>
  <c r="A133" i="120" s="1"/>
  <c r="I102" i="120"/>
  <c r="J102" i="120"/>
  <c r="K102" i="120"/>
  <c r="I103" i="120"/>
  <c r="J103" i="120"/>
  <c r="K103" i="120"/>
  <c r="G120" i="120"/>
  <c r="G121" i="120" s="1"/>
  <c r="H121" i="120"/>
  <c r="I121" i="120"/>
  <c r="J121" i="120"/>
  <c r="K121" i="120"/>
  <c r="L120" i="120"/>
  <c r="L121" i="120" s="1"/>
  <c r="M120" i="120"/>
  <c r="M121" i="120" s="1"/>
  <c r="N120" i="120"/>
  <c r="N121" i="120" s="1"/>
  <c r="O120" i="120"/>
  <c r="O121" i="120" s="1"/>
  <c r="P120" i="120"/>
  <c r="P121" i="120" s="1"/>
  <c r="Q121" i="120"/>
  <c r="R121" i="120"/>
  <c r="G123" i="120"/>
  <c r="H123" i="120"/>
  <c r="G133" i="120"/>
  <c r="H133" i="120"/>
  <c r="I133" i="120"/>
  <c r="J133" i="120"/>
  <c r="K133" i="120"/>
  <c r="L133" i="120"/>
  <c r="M133" i="120"/>
  <c r="N133" i="120"/>
  <c r="O133" i="120"/>
  <c r="P133" i="120"/>
  <c r="Q133" i="120"/>
  <c r="R133" i="120"/>
  <c r="G156" i="120"/>
  <c r="H156" i="120"/>
  <c r="Q156" i="120"/>
  <c r="R156" i="120"/>
  <c r="G157" i="120"/>
  <c r="H157" i="120"/>
  <c r="Q157" i="120"/>
  <c r="R157" i="120"/>
  <c r="G158" i="120"/>
  <c r="H158" i="120"/>
  <c r="G159" i="120"/>
  <c r="H159" i="120"/>
  <c r="I161" i="120"/>
  <c r="J161" i="120"/>
  <c r="K161" i="120"/>
  <c r="L161" i="120"/>
  <c r="M161" i="120"/>
  <c r="N161" i="120"/>
  <c r="O161" i="120"/>
  <c r="P161" i="120"/>
  <c r="G167" i="120"/>
  <c r="H167" i="120"/>
  <c r="I167" i="120"/>
  <c r="J167" i="120"/>
  <c r="K167" i="120"/>
  <c r="L167" i="120"/>
  <c r="M167" i="120"/>
  <c r="N167" i="120"/>
  <c r="O167" i="120"/>
  <c r="P167" i="120"/>
  <c r="Q167" i="120"/>
  <c r="R167" i="120"/>
  <c r="C16" i="119"/>
  <c r="C18" i="119"/>
  <c r="A1" i="117"/>
  <c r="A1" i="116"/>
  <c r="L10" i="116"/>
  <c r="J16" i="116"/>
  <c r="A17" i="116"/>
  <c r="A18" i="116" s="1"/>
  <c r="A19" i="116" s="1"/>
  <c r="A20" i="116" s="1"/>
  <c r="A21" i="116" s="1"/>
  <c r="A22" i="116" s="1"/>
  <c r="A23" i="116" s="1"/>
  <c r="A25" i="116" s="1"/>
  <c r="J17" i="116"/>
  <c r="J19" i="116"/>
  <c r="J20" i="116"/>
  <c r="J21" i="116"/>
  <c r="J22" i="116"/>
  <c r="J23" i="116"/>
  <c r="F25" i="116"/>
  <c r="A1" i="115"/>
  <c r="J10" i="115"/>
  <c r="A17" i="115"/>
  <c r="A18" i="115" s="1"/>
  <c r="A19" i="115" s="1"/>
  <c r="A20" i="115" s="1"/>
  <c r="A21" i="115" s="1"/>
  <c r="A22" i="115" s="1"/>
  <c r="A23" i="115" s="1"/>
  <c r="A24" i="115" s="1"/>
  <c r="A25" i="115" s="1"/>
  <c r="A26" i="115" s="1"/>
  <c r="A27" i="115" s="1"/>
  <c r="A28" i="115" s="1"/>
  <c r="A30" i="115" s="1"/>
  <c r="A32" i="115" s="1"/>
  <c r="A34" i="115" s="1"/>
  <c r="F30" i="115"/>
  <c r="F32" i="115" s="1"/>
  <c r="A1" i="118"/>
  <c r="A2" i="118"/>
  <c r="M10" i="118"/>
  <c r="G24" i="118"/>
  <c r="A1" i="112"/>
  <c r="A2" i="112"/>
  <c r="A2" i="115" s="1"/>
  <c r="A2" i="116" s="1"/>
  <c r="A2" i="117" s="1"/>
  <c r="M10" i="112"/>
  <c r="G24" i="112"/>
  <c r="A1" i="138"/>
  <c r="A2" i="138"/>
  <c r="G25" i="138"/>
  <c r="I19" i="138" s="1"/>
  <c r="L19" i="138" s="1"/>
  <c r="A11" i="111"/>
  <c r="C14" i="111"/>
  <c r="C16" i="111"/>
  <c r="A1" i="110"/>
  <c r="A4" i="110"/>
  <c r="A5" i="110"/>
  <c r="D13" i="110"/>
  <c r="E13" i="110"/>
  <c r="F13" i="110"/>
  <c r="G13" i="110"/>
  <c r="H13" i="110"/>
  <c r="I13" i="110"/>
  <c r="J13" i="110"/>
  <c r="K13" i="110"/>
  <c r="L13" i="110"/>
  <c r="A17" i="110"/>
  <c r="D17" i="110"/>
  <c r="E17" i="110"/>
  <c r="F17" i="110"/>
  <c r="A18" i="110"/>
  <c r="A19" i="110" s="1"/>
  <c r="A20" i="110" s="1"/>
  <c r="A21" i="110" s="1"/>
  <c r="A23" i="110" s="1"/>
  <c r="A25" i="110" s="1"/>
  <c r="A26" i="110" s="1"/>
  <c r="A27" i="110" s="1"/>
  <c r="A28" i="110" s="1"/>
  <c r="A29" i="110" s="1"/>
  <c r="A30" i="110" s="1"/>
  <c r="A32" i="110" s="1"/>
  <c r="A34" i="110" s="1"/>
  <c r="A35" i="110" s="1"/>
  <c r="A36" i="110" s="1"/>
  <c r="A37" i="110" s="1"/>
  <c r="A38" i="110" s="1"/>
  <c r="D18" i="110"/>
  <c r="E18" i="110"/>
  <c r="F18" i="110"/>
  <c r="D19" i="110"/>
  <c r="E19" i="110"/>
  <c r="F19" i="110"/>
  <c r="G20" i="110"/>
  <c r="H23" i="110"/>
  <c r="I23" i="110"/>
  <c r="J23" i="110"/>
  <c r="K23" i="110"/>
  <c r="L23" i="110"/>
  <c r="D26" i="110"/>
  <c r="D35" i="110" s="1"/>
  <c r="E26" i="110"/>
  <c r="E35" i="110" s="1"/>
  <c r="F26" i="110"/>
  <c r="G26" i="110"/>
  <c r="H26" i="110"/>
  <c r="H35" i="110" s="1"/>
  <c r="I26" i="110"/>
  <c r="I35" i="110" s="1"/>
  <c r="J26" i="110"/>
  <c r="K26" i="110"/>
  <c r="K35" i="110" s="1"/>
  <c r="L26" i="110"/>
  <c r="L35" i="110" s="1"/>
  <c r="D27" i="110"/>
  <c r="E27" i="110"/>
  <c r="F27" i="110"/>
  <c r="G27" i="110"/>
  <c r="G36" i="110" s="1"/>
  <c r="H27" i="110"/>
  <c r="H36" i="110" s="1"/>
  <c r="I27" i="110"/>
  <c r="I36" i="110" s="1"/>
  <c r="J27" i="110"/>
  <c r="J36" i="110"/>
  <c r="K27" i="110"/>
  <c r="K36" i="110" s="1"/>
  <c r="L27" i="110"/>
  <c r="L36" i="110" s="1"/>
  <c r="D28" i="110"/>
  <c r="E28" i="110"/>
  <c r="F28" i="110"/>
  <c r="H28" i="110"/>
  <c r="I28" i="110"/>
  <c r="J28" i="110"/>
  <c r="J37" i="110" s="1"/>
  <c r="K28" i="110"/>
  <c r="K37" i="110" s="1"/>
  <c r="L28" i="110"/>
  <c r="D29" i="110"/>
  <c r="D38" i="110" s="1"/>
  <c r="E29" i="110"/>
  <c r="E38" i="110" s="1"/>
  <c r="F29" i="110"/>
  <c r="F38" i="110" s="1"/>
  <c r="G29" i="110"/>
  <c r="H29" i="110"/>
  <c r="H38" i="110" s="1"/>
  <c r="I29" i="110"/>
  <c r="I38" i="110" s="1"/>
  <c r="J29" i="110"/>
  <c r="J38" i="110" s="1"/>
  <c r="K29" i="110"/>
  <c r="K38" i="110" s="1"/>
  <c r="L29" i="110"/>
  <c r="L38" i="110" s="1"/>
  <c r="D30" i="110"/>
  <c r="E30" i="110"/>
  <c r="F30" i="110"/>
  <c r="G30" i="110"/>
  <c r="H30" i="110"/>
  <c r="I30" i="110"/>
  <c r="J30" i="110"/>
  <c r="K30" i="110"/>
  <c r="L30" i="110"/>
  <c r="D36" i="110"/>
  <c r="I37" i="110"/>
  <c r="G38" i="110"/>
  <c r="A1" i="109"/>
  <c r="A4" i="109"/>
  <c r="A5" i="109"/>
  <c r="D13" i="109"/>
  <c r="E13" i="109"/>
  <c r="F13" i="109"/>
  <c r="G13" i="109"/>
  <c r="H13" i="109"/>
  <c r="I13" i="109"/>
  <c r="J13" i="109"/>
  <c r="K13" i="109"/>
  <c r="L13" i="109"/>
  <c r="A16" i="109"/>
  <c r="A17" i="109" s="1"/>
  <c r="A18" i="109" s="1"/>
  <c r="A19" i="109" s="1"/>
  <c r="A20" i="109" s="1"/>
  <c r="A21" i="109" s="1"/>
  <c r="A22" i="109" s="1"/>
  <c r="A24" i="109" s="1"/>
  <c r="A25" i="109" s="1"/>
  <c r="A26" i="109" s="1"/>
  <c r="A27" i="109" s="1"/>
  <c r="A28" i="109" s="1"/>
  <c r="A29" i="109" s="1"/>
  <c r="A31" i="109" s="1"/>
  <c r="A33" i="109" s="1"/>
  <c r="A34" i="109" s="1"/>
  <c r="A35" i="109" s="1"/>
  <c r="A36" i="109" s="1"/>
  <c r="A37" i="109" s="1"/>
  <c r="A38" i="109" s="1"/>
  <c r="A39" i="109" s="1"/>
  <c r="A41" i="109" s="1"/>
  <c r="A42" i="109" s="1"/>
  <c r="A43" i="109" s="1"/>
  <c r="A44" i="109" s="1"/>
  <c r="A45" i="109" s="1"/>
  <c r="A47" i="109" s="1"/>
  <c r="A49" i="109" s="1"/>
  <c r="A50" i="109" s="1"/>
  <c r="A51" i="109" s="1"/>
  <c r="A52" i="109" s="1"/>
  <c r="A53" i="109" s="1"/>
  <c r="A54" i="109" s="1"/>
  <c r="A56" i="109" s="1"/>
  <c r="A57" i="109" s="1"/>
  <c r="A58" i="109" s="1"/>
  <c r="A59" i="109" s="1"/>
  <c r="G16" i="109"/>
  <c r="G50" i="109" s="1"/>
  <c r="G17" i="109"/>
  <c r="G51" i="109" s="1"/>
  <c r="G18" i="109"/>
  <c r="G21" i="109"/>
  <c r="D22" i="109"/>
  <c r="E22" i="109"/>
  <c r="F22" i="109"/>
  <c r="H22" i="109"/>
  <c r="K22" i="109"/>
  <c r="L22" i="109"/>
  <c r="D25" i="109"/>
  <c r="D57" i="109" s="1"/>
  <c r="E25" i="109"/>
  <c r="F25" i="109"/>
  <c r="F57" i="109"/>
  <c r="D26" i="109"/>
  <c r="D58" i="109" s="1"/>
  <c r="D27" i="109"/>
  <c r="G28" i="109"/>
  <c r="G29" i="109"/>
  <c r="F29" i="109"/>
  <c r="H29" i="109"/>
  <c r="I29" i="109"/>
  <c r="J29" i="109"/>
  <c r="K29" i="109"/>
  <c r="L29" i="109"/>
  <c r="G36" i="109"/>
  <c r="G28" i="110" s="1"/>
  <c r="D39" i="109"/>
  <c r="E39" i="109"/>
  <c r="F39" i="109"/>
  <c r="H39" i="109"/>
  <c r="I39" i="109"/>
  <c r="J39" i="109"/>
  <c r="K39" i="109"/>
  <c r="L39" i="109"/>
  <c r="G58" i="109"/>
  <c r="D45" i="109"/>
  <c r="D47" i="109" s="1"/>
  <c r="E45" i="109"/>
  <c r="F45" i="109"/>
  <c r="H45" i="109"/>
  <c r="I45" i="109"/>
  <c r="J45" i="109"/>
  <c r="K45" i="109"/>
  <c r="L45" i="109"/>
  <c r="F47" i="109"/>
  <c r="D50" i="109"/>
  <c r="E50" i="109"/>
  <c r="F50" i="109"/>
  <c r="H50" i="109"/>
  <c r="K50" i="109"/>
  <c r="L50" i="109"/>
  <c r="D51" i="109"/>
  <c r="E51" i="109"/>
  <c r="F51" i="109"/>
  <c r="H51" i="109"/>
  <c r="K51" i="109"/>
  <c r="L51" i="109"/>
  <c r="D52" i="109"/>
  <c r="E52" i="109"/>
  <c r="F52" i="109"/>
  <c r="H52" i="109"/>
  <c r="K52" i="109"/>
  <c r="L52" i="109"/>
  <c r="D53" i="109"/>
  <c r="E53" i="109"/>
  <c r="F53" i="109"/>
  <c r="G53" i="109"/>
  <c r="H53" i="109"/>
  <c r="K53" i="109"/>
  <c r="L53" i="109"/>
  <c r="D54" i="109"/>
  <c r="E54" i="109"/>
  <c r="F54" i="109"/>
  <c r="G54" i="109"/>
  <c r="H54" i="109"/>
  <c r="I54" i="109"/>
  <c r="J54" i="109"/>
  <c r="K54" i="109"/>
  <c r="L54" i="109"/>
  <c r="G57" i="109"/>
  <c r="H57" i="109"/>
  <c r="I57" i="109"/>
  <c r="J57" i="109"/>
  <c r="K57" i="109"/>
  <c r="L57" i="109"/>
  <c r="E58" i="109"/>
  <c r="F58" i="109"/>
  <c r="H58" i="109"/>
  <c r="I58" i="109"/>
  <c r="J58" i="109"/>
  <c r="K58" i="109"/>
  <c r="L58" i="109"/>
  <c r="D59" i="109"/>
  <c r="E59" i="109"/>
  <c r="F59" i="109"/>
  <c r="G59" i="109"/>
  <c r="H59" i="109"/>
  <c r="I59" i="109"/>
  <c r="J59" i="109"/>
  <c r="K59" i="109"/>
  <c r="L59" i="109"/>
  <c r="A2" i="108"/>
  <c r="A2" i="110" s="1"/>
  <c r="A17" i="108"/>
  <c r="A18" i="108" s="1"/>
  <c r="A19" i="108" s="1"/>
  <c r="A20" i="108" s="1"/>
  <c r="A22" i="108" s="1"/>
  <c r="A23" i="108" s="1"/>
  <c r="A24" i="108" s="1"/>
  <c r="A25" i="108" s="1"/>
  <c r="A26" i="108" s="1"/>
  <c r="A27" i="108" s="1"/>
  <c r="A28" i="108" s="1"/>
  <c r="A30" i="108" s="1"/>
  <c r="A32" i="108" s="1"/>
  <c r="A33" i="108" s="1"/>
  <c r="A34" i="108" s="1"/>
  <c r="A35" i="108" s="1"/>
  <c r="A36" i="108" s="1"/>
  <c r="A38" i="108" s="1"/>
  <c r="A39" i="108" s="1"/>
  <c r="A41" i="108" s="1"/>
  <c r="G20" i="108"/>
  <c r="D20" i="108"/>
  <c r="D30" i="108" s="1"/>
  <c r="D38" i="108" s="1"/>
  <c r="D41" i="108" s="1"/>
  <c r="E20" i="108"/>
  <c r="F20" i="108"/>
  <c r="H20" i="108"/>
  <c r="H30" i="108" s="1"/>
  <c r="K20" i="108"/>
  <c r="L20" i="108"/>
  <c r="G25" i="108"/>
  <c r="G28" i="108" s="1"/>
  <c r="G26" i="108"/>
  <c r="D28" i="108"/>
  <c r="E28" i="108"/>
  <c r="F28" i="108"/>
  <c r="H28" i="108"/>
  <c r="E34" i="108"/>
  <c r="E36" i="108" s="1"/>
  <c r="D36" i="108"/>
  <c r="F36" i="108"/>
  <c r="G36" i="108"/>
  <c r="H36" i="108"/>
  <c r="I36" i="108"/>
  <c r="J36" i="108"/>
  <c r="K36" i="108"/>
  <c r="L36" i="108"/>
  <c r="A10" i="107"/>
  <c r="C13" i="107"/>
  <c r="C15" i="107"/>
  <c r="A1" i="106"/>
  <c r="A2" i="106"/>
  <c r="F20" i="106"/>
  <c r="F22" i="106" s="1"/>
  <c r="F24" i="106" s="1"/>
  <c r="H22" i="106"/>
  <c r="H24" i="106" s="1"/>
  <c r="H26" i="106" s="1"/>
  <c r="A11" i="105"/>
  <c r="C16" i="105"/>
  <c r="C18" i="105"/>
  <c r="I13" i="104"/>
  <c r="L13" i="104"/>
  <c r="L15" i="104" s="1"/>
  <c r="O14" i="104"/>
  <c r="E23" i="102"/>
  <c r="C15" i="104"/>
  <c r="D15" i="104"/>
  <c r="E15" i="104"/>
  <c r="F15" i="104"/>
  <c r="G15" i="104"/>
  <c r="H15" i="104"/>
  <c r="J15" i="104"/>
  <c r="K15" i="104"/>
  <c r="M15" i="104"/>
  <c r="N15" i="104"/>
  <c r="C18" i="104"/>
  <c r="C20" i="104" s="1"/>
  <c r="D18" i="104"/>
  <c r="D20" i="104" s="1"/>
  <c r="E18" i="104"/>
  <c r="E20" i="104" s="1"/>
  <c r="F18" i="104"/>
  <c r="F20" i="104" s="1"/>
  <c r="G18" i="104"/>
  <c r="G20" i="104" s="1"/>
  <c r="H18" i="104"/>
  <c r="H20" i="104" s="1"/>
  <c r="I18" i="104"/>
  <c r="I20" i="104" s="1"/>
  <c r="J18" i="104"/>
  <c r="J20" i="104" s="1"/>
  <c r="K18" i="104"/>
  <c r="K20" i="104" s="1"/>
  <c r="L18" i="104"/>
  <c r="L20" i="104" s="1"/>
  <c r="M18" i="104"/>
  <c r="M20" i="104" s="1"/>
  <c r="N18" i="104"/>
  <c r="N20" i="104" s="1"/>
  <c r="O19" i="104"/>
  <c r="O22" i="104"/>
  <c r="E35" i="102" s="1"/>
  <c r="O25" i="104"/>
  <c r="E40" i="102" s="1"/>
  <c r="O26" i="104"/>
  <c r="O29" i="104"/>
  <c r="E46" i="102"/>
  <c r="O30" i="104"/>
  <c r="O33" i="104"/>
  <c r="E40" i="104"/>
  <c r="E42" i="104" s="1"/>
  <c r="N40" i="104"/>
  <c r="N42" i="104" s="1"/>
  <c r="O41" i="104"/>
  <c r="C42" i="104"/>
  <c r="D42" i="104"/>
  <c r="F42" i="104"/>
  <c r="G42" i="104"/>
  <c r="H42" i="104"/>
  <c r="I42" i="104"/>
  <c r="J42" i="104"/>
  <c r="K42" i="104"/>
  <c r="L42" i="104"/>
  <c r="M42" i="104"/>
  <c r="C45" i="104"/>
  <c r="C47" i="104" s="1"/>
  <c r="D45" i="104"/>
  <c r="D47" i="104" s="1"/>
  <c r="E45" i="104"/>
  <c r="E47" i="104" s="1"/>
  <c r="F45" i="104"/>
  <c r="F47" i="104" s="1"/>
  <c r="G45" i="104"/>
  <c r="G47" i="104" s="1"/>
  <c r="H45" i="104"/>
  <c r="H47" i="104" s="1"/>
  <c r="I45" i="104"/>
  <c r="I47" i="104" s="1"/>
  <c r="J45" i="104"/>
  <c r="J47" i="104" s="1"/>
  <c r="K45" i="104"/>
  <c r="K47" i="104" s="1"/>
  <c r="L45" i="104"/>
  <c r="L47" i="104" s="1"/>
  <c r="M45" i="104"/>
  <c r="M47" i="104" s="1"/>
  <c r="N45" i="104"/>
  <c r="N47" i="104" s="1"/>
  <c r="O46" i="104"/>
  <c r="O49" i="104"/>
  <c r="O52" i="104"/>
  <c r="O53" i="104"/>
  <c r="O56" i="104"/>
  <c r="O57" i="104"/>
  <c r="G47" i="102" s="1"/>
  <c r="O60" i="104"/>
  <c r="D71" i="104"/>
  <c r="E71" i="104" s="1"/>
  <c r="F71" i="104" s="1"/>
  <c r="G71" i="104" s="1"/>
  <c r="H71" i="104" s="1"/>
  <c r="I71" i="104" s="1"/>
  <c r="J71" i="104" s="1"/>
  <c r="K71" i="104" s="1"/>
  <c r="L71" i="104" s="1"/>
  <c r="M71" i="104" s="1"/>
  <c r="N71" i="104" s="1"/>
  <c r="O71" i="104" s="1"/>
  <c r="O74" i="104"/>
  <c r="O75" i="104"/>
  <c r="C76" i="104"/>
  <c r="D76" i="104"/>
  <c r="E76" i="104"/>
  <c r="F76" i="104"/>
  <c r="G76" i="104"/>
  <c r="H76" i="104"/>
  <c r="I76" i="104"/>
  <c r="J76" i="104"/>
  <c r="K76" i="104"/>
  <c r="L76" i="104"/>
  <c r="M76" i="104"/>
  <c r="N76" i="104"/>
  <c r="C79" i="104"/>
  <c r="C81" i="104" s="1"/>
  <c r="D79" i="104"/>
  <c r="D81" i="104" s="1"/>
  <c r="E79" i="104"/>
  <c r="F79" i="104"/>
  <c r="F81" i="104" s="1"/>
  <c r="G79" i="104"/>
  <c r="G81" i="104" s="1"/>
  <c r="H79" i="104"/>
  <c r="H81" i="104" s="1"/>
  <c r="I79" i="104"/>
  <c r="I81" i="104" s="1"/>
  <c r="J79" i="104"/>
  <c r="K79" i="104"/>
  <c r="K81" i="104" s="1"/>
  <c r="L79" i="104"/>
  <c r="L81" i="104" s="1"/>
  <c r="M79" i="104"/>
  <c r="M81" i="104" s="1"/>
  <c r="N79" i="104"/>
  <c r="N81" i="104" s="1"/>
  <c r="E80" i="104"/>
  <c r="J80" i="104"/>
  <c r="O83" i="104"/>
  <c r="I35" i="102" s="1"/>
  <c r="O86" i="104"/>
  <c r="I46" i="102"/>
  <c r="O91" i="104"/>
  <c r="I47" i="102" s="1"/>
  <c r="I52" i="102"/>
  <c r="D98" i="104"/>
  <c r="E98" i="104" s="1"/>
  <c r="F98" i="104" s="1"/>
  <c r="G98" i="104" s="1"/>
  <c r="H98" i="104" s="1"/>
  <c r="I98" i="104" s="1"/>
  <c r="J98" i="104" s="1"/>
  <c r="K98" i="104" s="1"/>
  <c r="L98" i="104" s="1"/>
  <c r="M98" i="104" s="1"/>
  <c r="N98" i="104" s="1"/>
  <c r="O98" i="104" s="1"/>
  <c r="I101" i="104"/>
  <c r="O101" i="104" s="1"/>
  <c r="K22" i="102" s="1"/>
  <c r="O102" i="104"/>
  <c r="K23" i="102" s="1"/>
  <c r="C103" i="104"/>
  <c r="D103" i="104"/>
  <c r="E103" i="104"/>
  <c r="F103" i="104"/>
  <c r="G103" i="104"/>
  <c r="H103" i="104"/>
  <c r="J103" i="104"/>
  <c r="K103" i="104"/>
  <c r="L103" i="104"/>
  <c r="M103" i="104"/>
  <c r="N103" i="104"/>
  <c r="C106" i="104"/>
  <c r="D106" i="104"/>
  <c r="D108" i="104" s="1"/>
  <c r="E106" i="104"/>
  <c r="F106" i="104"/>
  <c r="F108" i="104" s="1"/>
  <c r="G106" i="104"/>
  <c r="G108" i="104" s="1"/>
  <c r="H106" i="104"/>
  <c r="H108" i="104" s="1"/>
  <c r="I106" i="104"/>
  <c r="I108" i="104" s="1"/>
  <c r="J106" i="104"/>
  <c r="J108" i="104" s="1"/>
  <c r="K106" i="104"/>
  <c r="K108" i="104" s="1"/>
  <c r="L106" i="104"/>
  <c r="L108" i="104" s="1"/>
  <c r="M106" i="104"/>
  <c r="M108" i="104" s="1"/>
  <c r="N106" i="104"/>
  <c r="N108" i="104" s="1"/>
  <c r="E107" i="104"/>
  <c r="O107" i="104" s="1"/>
  <c r="O117" i="104"/>
  <c r="K46" i="102"/>
  <c r="O118" i="104"/>
  <c r="K52" i="102"/>
  <c r="D131" i="104"/>
  <c r="E131" i="104" s="1"/>
  <c r="F131" i="104" s="1"/>
  <c r="G131" i="104" s="1"/>
  <c r="H131" i="104" s="1"/>
  <c r="I131" i="104" s="1"/>
  <c r="J131" i="104" s="1"/>
  <c r="K131" i="104" s="1"/>
  <c r="L131" i="104" s="1"/>
  <c r="M131" i="104" s="1"/>
  <c r="N131" i="104" s="1"/>
  <c r="O131" i="104" s="1"/>
  <c r="O135" i="104"/>
  <c r="M23" i="102" s="1"/>
  <c r="C136" i="104"/>
  <c r="D136" i="104"/>
  <c r="E136" i="104"/>
  <c r="F136" i="104"/>
  <c r="G136" i="104"/>
  <c r="H136" i="104"/>
  <c r="I136" i="104"/>
  <c r="J136" i="104"/>
  <c r="K136" i="104"/>
  <c r="L136" i="104"/>
  <c r="M136" i="104"/>
  <c r="C139" i="104"/>
  <c r="C141" i="104" s="1"/>
  <c r="J141" i="104"/>
  <c r="K141" i="104"/>
  <c r="L141" i="104"/>
  <c r="N141" i="104"/>
  <c r="G141" i="104"/>
  <c r="H141" i="104"/>
  <c r="I141" i="104"/>
  <c r="M141" i="104"/>
  <c r="O146" i="104"/>
  <c r="M40" i="102" s="1"/>
  <c r="O147" i="104"/>
  <c r="M41" i="102" s="1"/>
  <c r="O150" i="104"/>
  <c r="M46" i="102" s="1"/>
  <c r="O151" i="104"/>
  <c r="M47" i="102" s="1"/>
  <c r="M52" i="102"/>
  <c r="F169" i="104"/>
  <c r="H169" i="104"/>
  <c r="C169" i="104"/>
  <c r="D169" i="104"/>
  <c r="E169" i="104"/>
  <c r="G169" i="104"/>
  <c r="C174" i="104"/>
  <c r="D174" i="104"/>
  <c r="E174" i="104"/>
  <c r="F174" i="104"/>
  <c r="G174" i="104"/>
  <c r="H174" i="104"/>
  <c r="O30" i="102"/>
  <c r="O176" i="104"/>
  <c r="O35" i="102" s="1"/>
  <c r="O179" i="104"/>
  <c r="O40" i="102" s="1"/>
  <c r="O41" i="102"/>
  <c r="O184" i="104"/>
  <c r="E30" i="101" s="1"/>
  <c r="O187" i="104"/>
  <c r="O52" i="102" s="1"/>
  <c r="E192" i="104"/>
  <c r="F192" i="104" s="1"/>
  <c r="G192" i="104" s="1"/>
  <c r="H192" i="104" s="1"/>
  <c r="I192" i="104" s="1"/>
  <c r="J192" i="104" s="1"/>
  <c r="K192" i="104" s="1"/>
  <c r="L192" i="104" s="1"/>
  <c r="M192" i="104" s="1"/>
  <c r="N192" i="104" s="1"/>
  <c r="O204" i="104"/>
  <c r="Q35" i="102" s="1"/>
  <c r="O207" i="104"/>
  <c r="O208" i="104"/>
  <c r="Q41" i="102"/>
  <c r="O212" i="104"/>
  <c r="O215" i="104"/>
  <c r="A5" i="102"/>
  <c r="A2" i="104" s="1"/>
  <c r="A124" i="104" s="1"/>
  <c r="A7" i="102"/>
  <c r="A8" i="102"/>
  <c r="A21" i="102"/>
  <c r="A22" i="102" s="1"/>
  <c r="A23" i="102" s="1"/>
  <c r="A24" i="102" s="1"/>
  <c r="A26" i="102" s="1"/>
  <c r="A28" i="102"/>
  <c r="A29" i="102" s="1"/>
  <c r="A30" i="102" s="1"/>
  <c r="A31" i="102" s="1"/>
  <c r="A33" i="102" s="1"/>
  <c r="A35" i="102" s="1"/>
  <c r="A37" i="102" s="1"/>
  <c r="A39" i="102" s="1"/>
  <c r="A40" i="102" s="1"/>
  <c r="A41" i="102" s="1"/>
  <c r="A42" i="102" s="1"/>
  <c r="A43" i="102" s="1"/>
  <c r="A45" i="102" s="1"/>
  <c r="A46" i="102" s="1"/>
  <c r="A47" i="102" s="1"/>
  <c r="A48" i="102" s="1"/>
  <c r="A49" i="102" s="1"/>
  <c r="A51" i="102" s="1"/>
  <c r="A52" i="102" s="1"/>
  <c r="A53" i="102" s="1"/>
  <c r="A56" i="102" s="1"/>
  <c r="G23" i="102"/>
  <c r="H23" i="102" s="1"/>
  <c r="I23" i="102"/>
  <c r="I29" i="102"/>
  <c r="E30" i="102"/>
  <c r="G30" i="102"/>
  <c r="F30" i="102" s="1"/>
  <c r="K30" i="102"/>
  <c r="G35" i="102"/>
  <c r="G40" i="102"/>
  <c r="I40" i="102"/>
  <c r="I43" i="102" s="1"/>
  <c r="Q40" i="102"/>
  <c r="E41" i="102"/>
  <c r="G41" i="102"/>
  <c r="G43" i="102" s="1"/>
  <c r="G46" i="102"/>
  <c r="F46" i="102" s="1"/>
  <c r="E47" i="102"/>
  <c r="E52" i="102"/>
  <c r="G52" i="102"/>
  <c r="Q52" i="102"/>
  <c r="E53" i="102"/>
  <c r="G53" i="102"/>
  <c r="I53" i="102"/>
  <c r="K53" i="102"/>
  <c r="M53" i="102"/>
  <c r="O53" i="102"/>
  <c r="Q53" i="102"/>
  <c r="A5" i="101"/>
  <c r="A19" i="101"/>
  <c r="A21" i="101" s="1"/>
  <c r="A22" i="101" s="1"/>
  <c r="A23" i="101" s="1"/>
  <c r="A24" i="101" s="1"/>
  <c r="A25" i="101" s="1"/>
  <c r="A27" i="101" s="1"/>
  <c r="A28" i="101" s="1"/>
  <c r="A29" i="101" s="1"/>
  <c r="A30" i="101" s="1"/>
  <c r="A31" i="101" s="1"/>
  <c r="A33" i="101" s="1"/>
  <c r="A36" i="101" s="1"/>
  <c r="G22" i="101"/>
  <c r="G23" i="101"/>
  <c r="I25" i="101"/>
  <c r="G24" i="101"/>
  <c r="E25" i="101"/>
  <c r="A11" i="96"/>
  <c r="C16" i="96"/>
  <c r="C18" i="96"/>
  <c r="A1" i="95"/>
  <c r="A2" i="95"/>
  <c r="A4" i="95"/>
  <c r="A5" i="95"/>
  <c r="A17" i="95"/>
  <c r="C17" i="95"/>
  <c r="E17" i="95"/>
  <c r="A4" i="94"/>
  <c r="A5" i="94"/>
  <c r="A7" i="94"/>
  <c r="A8" i="94"/>
  <c r="A20" i="94"/>
  <c r="A22" i="94" s="1"/>
  <c r="C26" i="94"/>
  <c r="A24" i="94"/>
  <c r="A26" i="94" s="1"/>
  <c r="A29" i="94" s="1"/>
  <c r="E26" i="94"/>
  <c r="A4" i="93"/>
  <c r="A5" i="93"/>
  <c r="A7" i="93"/>
  <c r="A8" i="93"/>
  <c r="A18" i="93"/>
  <c r="A19" i="93"/>
  <c r="A20" i="93" s="1"/>
  <c r="A21" i="93" s="1"/>
  <c r="A23" i="93" s="1"/>
  <c r="A25" i="93" s="1"/>
  <c r="A26" i="93" s="1"/>
  <c r="A28" i="93" s="1"/>
  <c r="A30" i="93" s="1"/>
  <c r="A33" i="93" s="1"/>
  <c r="H21" i="93"/>
  <c r="H28" i="93" s="1"/>
  <c r="H30" i="93" s="1"/>
  <c r="A4" i="140"/>
  <c r="A5" i="140"/>
  <c r="A7" i="140"/>
  <c r="A8" i="140"/>
  <c r="A21" i="140"/>
  <c r="A23" i="140" s="1"/>
  <c r="A26" i="140" s="1"/>
  <c r="C23" i="140"/>
  <c r="E23" i="140"/>
  <c r="A1" i="92"/>
  <c r="A2" i="92"/>
  <c r="A4" i="92"/>
  <c r="A5" i="92"/>
  <c r="A18" i="92"/>
  <c r="A20" i="92" s="1"/>
  <c r="A22" i="92" s="1"/>
  <c r="A24" i="92" s="1"/>
  <c r="A26" i="92" s="1"/>
  <c r="K18" i="92"/>
  <c r="K20" i="92"/>
  <c r="O20" i="92" s="1"/>
  <c r="S20" i="92"/>
  <c r="K22" i="92"/>
  <c r="O22" i="92" s="1"/>
  <c r="S22" i="92" s="1"/>
  <c r="K24" i="92"/>
  <c r="O24" i="92" s="1"/>
  <c r="S24" i="92" s="1"/>
  <c r="E26" i="92"/>
  <c r="G26" i="92"/>
  <c r="I26" i="92"/>
  <c r="Q26" i="92"/>
  <c r="A29" i="92"/>
  <c r="A31" i="92" s="1"/>
  <c r="A33" i="92" s="1"/>
  <c r="A35" i="92" s="1"/>
  <c r="A37" i="92" s="1"/>
  <c r="A39" i="92" s="1"/>
  <c r="K31" i="92"/>
  <c r="K33" i="92"/>
  <c r="O33" i="92" s="1"/>
  <c r="S33" i="92" s="1"/>
  <c r="K35" i="92"/>
  <c r="O35" i="92" s="1"/>
  <c r="S35" i="92" s="1"/>
  <c r="K37" i="92"/>
  <c r="O37" i="92" s="1"/>
  <c r="S37" i="92" s="1"/>
  <c r="E39" i="92"/>
  <c r="G39" i="92"/>
  <c r="I39" i="92"/>
  <c r="Q39" i="92"/>
  <c r="A4" i="139"/>
  <c r="A5" i="139"/>
  <c r="A7" i="139"/>
  <c r="A8" i="139"/>
  <c r="A22" i="139"/>
  <c r="A24" i="139" s="1"/>
  <c r="A27" i="139" s="1"/>
  <c r="C24" i="139"/>
  <c r="E24" i="139"/>
  <c r="A1" i="91"/>
  <c r="A2" i="91"/>
  <c r="A4" i="91"/>
  <c r="A5" i="91"/>
  <c r="A18" i="91"/>
  <c r="A19" i="91" s="1"/>
  <c r="A20" i="91" s="1"/>
  <c r="A21" i="91" s="1"/>
  <c r="A22" i="91" s="1"/>
  <c r="A23" i="91" s="1"/>
  <c r="A24" i="91" s="1"/>
  <c r="A25" i="91" s="1"/>
  <c r="A27" i="91" s="1"/>
  <c r="A30" i="91" s="1"/>
  <c r="A32" i="91" s="1"/>
  <c r="A33" i="91" s="1"/>
  <c r="A34" i="91" s="1"/>
  <c r="A35" i="91" s="1"/>
  <c r="A36" i="91" s="1"/>
  <c r="A37" i="91" s="1"/>
  <c r="A38" i="91" s="1"/>
  <c r="A39" i="91" s="1"/>
  <c r="A41" i="91" s="1"/>
  <c r="N18" i="91"/>
  <c r="N19" i="91"/>
  <c r="N20" i="91"/>
  <c r="N21" i="91"/>
  <c r="N22" i="91"/>
  <c r="N23" i="91"/>
  <c r="N24" i="91"/>
  <c r="E25" i="91"/>
  <c r="E27" i="91" s="1"/>
  <c r="G25" i="91"/>
  <c r="I25" i="91"/>
  <c r="I27" i="91" s="1"/>
  <c r="K25" i="91"/>
  <c r="K27" i="91" s="1"/>
  <c r="L25" i="91"/>
  <c r="L27" i="91" s="1"/>
  <c r="G27" i="91"/>
  <c r="N32" i="91"/>
  <c r="N33" i="91"/>
  <c r="N34" i="91"/>
  <c r="N35" i="91"/>
  <c r="N36" i="91"/>
  <c r="N37" i="91"/>
  <c r="N38" i="91"/>
  <c r="E39" i="91"/>
  <c r="G39" i="91"/>
  <c r="G41" i="91" s="1"/>
  <c r="I39" i="91"/>
  <c r="I41" i="91"/>
  <c r="K39" i="91"/>
  <c r="K41" i="91" s="1"/>
  <c r="L39" i="91"/>
  <c r="E41" i="91"/>
  <c r="L41" i="91"/>
  <c r="A4" i="90"/>
  <c r="A5" i="90"/>
  <c r="A7" i="90"/>
  <c r="A8" i="90"/>
  <c r="A19" i="90"/>
  <c r="A20" i="90" s="1"/>
  <c r="A21" i="90" s="1"/>
  <c r="A22" i="90" s="1"/>
  <c r="A24" i="90" s="1"/>
  <c r="A25" i="90" s="1"/>
  <c r="A26" i="90" s="1"/>
  <c r="A27" i="90" s="1"/>
  <c r="A28" i="90" s="1"/>
  <c r="A30" i="90" s="1"/>
  <c r="G28" i="90"/>
  <c r="K28" i="90" s="1"/>
  <c r="M28" i="90"/>
  <c r="Q28" i="90" s="1"/>
  <c r="K30" i="90"/>
  <c r="Q30" i="90"/>
  <c r="A1" i="141"/>
  <c r="A2" i="141"/>
  <c r="A4" i="141"/>
  <c r="A5" i="141"/>
  <c r="A18" i="141"/>
  <c r="A20" i="141"/>
  <c r="A23" i="141" s="1"/>
  <c r="A1" i="89"/>
  <c r="A2" i="89"/>
  <c r="A4" i="89"/>
  <c r="A5" i="89"/>
  <c r="K15" i="89"/>
  <c r="K20" i="89" s="1"/>
  <c r="Q15" i="89"/>
  <c r="Q20" i="89" s="1"/>
  <c r="A17" i="89"/>
  <c r="A20" i="89"/>
  <c r="G20" i="89"/>
  <c r="M20" i="89"/>
  <c r="A4" i="88"/>
  <c r="A5" i="88"/>
  <c r="A7" i="88"/>
  <c r="A8" i="88"/>
  <c r="A20" i="88"/>
  <c r="G20" i="88"/>
  <c r="K20" i="88"/>
  <c r="M20" i="88"/>
  <c r="Q20" i="88"/>
  <c r="A4" i="87"/>
  <c r="A5" i="87"/>
  <c r="A7" i="87"/>
  <c r="A8" i="87"/>
  <c r="K18" i="87"/>
  <c r="Q18" i="87"/>
  <c r="A19" i="87"/>
  <c r="A20" i="87" s="1"/>
  <c r="A21" i="87" s="1"/>
  <c r="A22" i="87" s="1"/>
  <c r="A23" i="87" s="1"/>
  <c r="A24" i="87" s="1"/>
  <c r="A25" i="87" s="1"/>
  <c r="A26" i="87" s="1"/>
  <c r="A27" i="87" s="1"/>
  <c r="A28" i="87" s="1"/>
  <c r="A29" i="87" s="1"/>
  <c r="K19" i="87"/>
  <c r="Q19" i="87"/>
  <c r="K20" i="87"/>
  <c r="Q20" i="87"/>
  <c r="K21" i="87"/>
  <c r="Q21" i="87"/>
  <c r="K22" i="87"/>
  <c r="Q22" i="87"/>
  <c r="K23" i="87"/>
  <c r="Q23" i="87"/>
  <c r="K24" i="87"/>
  <c r="Q24" i="87"/>
  <c r="K25" i="87"/>
  <c r="Q25" i="87"/>
  <c r="K26" i="87"/>
  <c r="Q26" i="87"/>
  <c r="K29" i="87"/>
  <c r="Q29" i="87"/>
  <c r="K30" i="87"/>
  <c r="Q30" i="87"/>
  <c r="K31" i="87"/>
  <c r="Q31" i="87"/>
  <c r="K32" i="87"/>
  <c r="Q32" i="87"/>
  <c r="K33" i="87"/>
  <c r="Q33" i="87"/>
  <c r="K34" i="87"/>
  <c r="Q34" i="87"/>
  <c r="K35" i="87"/>
  <c r="Q35" i="87"/>
  <c r="K36" i="87"/>
  <c r="Q36" i="87"/>
  <c r="K37" i="87"/>
  <c r="Q37" i="87"/>
  <c r="K38" i="87"/>
  <c r="Q38" i="87"/>
  <c r="K39" i="87"/>
  <c r="Q39" i="87"/>
  <c r="K40" i="87"/>
  <c r="Q40" i="87"/>
  <c r="K41" i="87"/>
  <c r="Q41" i="87"/>
  <c r="K42" i="87"/>
  <c r="Q42" i="87"/>
  <c r="K43" i="87"/>
  <c r="Q43" i="87"/>
  <c r="K44" i="87"/>
  <c r="Q44" i="87"/>
  <c r="K45" i="87"/>
  <c r="Q45" i="87"/>
  <c r="K46" i="87"/>
  <c r="Q46" i="87"/>
  <c r="K47" i="87"/>
  <c r="Q47" i="87"/>
  <c r="G49" i="87"/>
  <c r="M49" i="87"/>
  <c r="A4" i="86"/>
  <c r="A5" i="86"/>
  <c r="K19" i="86"/>
  <c r="Q19" i="86"/>
  <c r="A20" i="86"/>
  <c r="A21" i="86" s="1"/>
  <c r="A22" i="86" s="1"/>
  <c r="A23" i="86" s="1"/>
  <c r="A24" i="86" s="1"/>
  <c r="A25" i="86" s="1"/>
  <c r="A26" i="86" s="1"/>
  <c r="A27" i="86" s="1"/>
  <c r="A28" i="86" s="1"/>
  <c r="A29" i="86" s="1"/>
  <c r="K20" i="86"/>
  <c r="Q20" i="86"/>
  <c r="K21" i="86"/>
  <c r="Q21" i="86"/>
  <c r="K22" i="86"/>
  <c r="Q22" i="86"/>
  <c r="K23" i="86"/>
  <c r="Q23" i="86"/>
  <c r="K24" i="86"/>
  <c r="Q24" i="86"/>
  <c r="K25" i="86"/>
  <c r="Q25" i="86"/>
  <c r="K26" i="86"/>
  <c r="Q26" i="86"/>
  <c r="K27" i="86"/>
  <c r="Q27" i="86"/>
  <c r="K28" i="86"/>
  <c r="Q28" i="86"/>
  <c r="K29" i="86"/>
  <c r="Q29" i="86"/>
  <c r="K37" i="86"/>
  <c r="Q37" i="86"/>
  <c r="K38" i="86"/>
  <c r="Q38" i="86"/>
  <c r="K39" i="86"/>
  <c r="Q39" i="86"/>
  <c r="K40" i="86"/>
  <c r="Q40" i="86"/>
  <c r="K41" i="86"/>
  <c r="Q41" i="86"/>
  <c r="G44" i="86"/>
  <c r="M44" i="86"/>
  <c r="A11" i="85"/>
  <c r="C16" i="85"/>
  <c r="C18" i="85"/>
  <c r="A1" i="123"/>
  <c r="A62" i="123" s="1"/>
  <c r="A2" i="123"/>
  <c r="A63" i="123" s="1"/>
  <c r="A16" i="123"/>
  <c r="A17" i="123" s="1"/>
  <c r="A19" i="123" s="1"/>
  <c r="A21" i="123" s="1"/>
  <c r="A23" i="123" s="1"/>
  <c r="A24" i="123" s="1"/>
  <c r="A25" i="123" s="1"/>
  <c r="A27" i="123" s="1"/>
  <c r="A29" i="123" s="1"/>
  <c r="A31" i="123" s="1"/>
  <c r="A33" i="123" s="1"/>
  <c r="A34" i="123" s="1"/>
  <c r="A36" i="123" s="1"/>
  <c r="A37" i="123" s="1"/>
  <c r="A38" i="123" s="1"/>
  <c r="A40" i="123" s="1"/>
  <c r="A41" i="123" s="1"/>
  <c r="A42" i="123" s="1"/>
  <c r="A44" i="123" s="1"/>
  <c r="A45" i="123" s="1"/>
  <c r="A46" i="123" s="1"/>
  <c r="A48" i="123" s="1"/>
  <c r="A50" i="123" s="1"/>
  <c r="A51" i="123" s="1"/>
  <c r="A52" i="123" s="1"/>
  <c r="A54" i="123" s="1"/>
  <c r="A56" i="123" s="1"/>
  <c r="K24" i="123"/>
  <c r="K33" i="123"/>
  <c r="E33" i="123"/>
  <c r="G33" i="123" s="1"/>
  <c r="K34" i="123"/>
  <c r="M40" i="123"/>
  <c r="K40" i="123" s="1"/>
  <c r="M41" i="123"/>
  <c r="E41" i="123"/>
  <c r="G41" i="123" s="1"/>
  <c r="I42" i="123"/>
  <c r="I48" i="123" s="1"/>
  <c r="K44" i="123"/>
  <c r="M44" i="123"/>
  <c r="M45" i="123"/>
  <c r="I46" i="123"/>
  <c r="M51" i="123"/>
  <c r="K51" i="123" s="1"/>
  <c r="E51" i="123"/>
  <c r="H68" i="120" s="1"/>
  <c r="A64" i="123"/>
  <c r="A65" i="123"/>
  <c r="M67" i="123"/>
  <c r="A77" i="123"/>
  <c r="I77" i="123"/>
  <c r="I82" i="123" s="1"/>
  <c r="A78" i="123"/>
  <c r="A79" i="123" s="1"/>
  <c r="A80" i="123" s="1"/>
  <c r="A82" i="123" s="1"/>
  <c r="A84" i="123" s="1"/>
  <c r="A85" i="123" s="1"/>
  <c r="A86" i="123" s="1"/>
  <c r="A87" i="123" s="1"/>
  <c r="A88" i="123" s="1"/>
  <c r="A89" i="123" s="1"/>
  <c r="A90" i="123" s="1"/>
  <c r="A91" i="123" s="1"/>
  <c r="A92" i="123" s="1"/>
  <c r="A93" i="123" s="1"/>
  <c r="A94" i="123" s="1"/>
  <c r="A95" i="123" s="1"/>
  <c r="A96" i="123" s="1"/>
  <c r="A97" i="123" s="1"/>
  <c r="A98" i="123" s="1"/>
  <c r="A99" i="123" s="1"/>
  <c r="A100" i="123" s="1"/>
  <c r="A101" i="123" s="1"/>
  <c r="A102" i="123" s="1"/>
  <c r="A103" i="123" s="1"/>
  <c r="A104" i="123" s="1"/>
  <c r="A106" i="123" s="1"/>
  <c r="A108" i="123" s="1"/>
  <c r="A110" i="123" s="1"/>
  <c r="A112" i="123" s="1"/>
  <c r="M78" i="123"/>
  <c r="K78" i="123" s="1"/>
  <c r="M79" i="123"/>
  <c r="K79" i="123" s="1"/>
  <c r="M80" i="123"/>
  <c r="K80" i="123" s="1"/>
  <c r="M85" i="123"/>
  <c r="I86" i="123"/>
  <c r="M86" i="123" s="1"/>
  <c r="E86" i="123"/>
  <c r="I87" i="123"/>
  <c r="M87" i="123" s="1"/>
  <c r="K87" i="123" s="1"/>
  <c r="I88" i="123"/>
  <c r="M88" i="123" s="1"/>
  <c r="K88" i="123" s="1"/>
  <c r="I89" i="123"/>
  <c r="M89" i="123" s="1"/>
  <c r="K89" i="123" s="1"/>
  <c r="E89" i="123"/>
  <c r="I90" i="123"/>
  <c r="M90" i="123" s="1"/>
  <c r="K90" i="123" s="1"/>
  <c r="I91" i="123"/>
  <c r="M91" i="123" s="1"/>
  <c r="K91" i="123" s="1"/>
  <c r="I92" i="123"/>
  <c r="M92" i="123" s="1"/>
  <c r="K92" i="123" s="1"/>
  <c r="I93" i="123"/>
  <c r="M93" i="123" s="1"/>
  <c r="I94" i="123"/>
  <c r="I95" i="123"/>
  <c r="M95" i="123" s="1"/>
  <c r="K95" i="123" s="1"/>
  <c r="I96" i="123"/>
  <c r="M96" i="123" s="1"/>
  <c r="K96" i="123" s="1"/>
  <c r="I97" i="123"/>
  <c r="M97" i="123" s="1"/>
  <c r="K97" i="123" s="1"/>
  <c r="E97" i="123"/>
  <c r="I98" i="123"/>
  <c r="I99" i="123"/>
  <c r="M99" i="123" s="1"/>
  <c r="K99" i="123" s="1"/>
  <c r="I100" i="123"/>
  <c r="M100" i="123" s="1"/>
  <c r="K100" i="123" s="1"/>
  <c r="E100" i="123"/>
  <c r="I101" i="123"/>
  <c r="M101" i="123" s="1"/>
  <c r="K101" i="123" s="1"/>
  <c r="E101" i="123"/>
  <c r="G101" i="123" s="1"/>
  <c r="I102" i="123"/>
  <c r="M102" i="123" s="1"/>
  <c r="K102" i="123" s="1"/>
  <c r="I103" i="123"/>
  <c r="M103" i="123" s="1"/>
  <c r="K103" i="123" s="1"/>
  <c r="I104" i="123"/>
  <c r="M104" i="123" s="1"/>
  <c r="K104" i="123" s="1"/>
  <c r="M110" i="123"/>
  <c r="K110" i="123" s="1"/>
  <c r="E110" i="123"/>
  <c r="G110" i="123" s="1"/>
  <c r="A11" i="137"/>
  <c r="C16" i="137"/>
  <c r="C18" i="137"/>
  <c r="A2" i="78"/>
  <c r="R16" i="78"/>
  <c r="R21" i="78"/>
  <c r="R26" i="78"/>
  <c r="R32" i="78"/>
  <c r="R38" i="78"/>
  <c r="R43" i="78"/>
  <c r="A59" i="78"/>
  <c r="A61" i="78"/>
  <c r="A65" i="78"/>
  <c r="R48" i="78"/>
  <c r="R73" i="78"/>
  <c r="R80" i="78"/>
  <c r="R87" i="78"/>
  <c r="R92" i="78"/>
  <c r="A2" i="77"/>
  <c r="A4" i="77"/>
  <c r="A2" i="76"/>
  <c r="A4" i="76"/>
  <c r="A106" i="76" s="1"/>
  <c r="S60" i="76"/>
  <c r="S110" i="76" s="1"/>
  <c r="S16" i="76"/>
  <c r="S25" i="76"/>
  <c r="S32" i="76"/>
  <c r="S42" i="76"/>
  <c r="S48" i="76"/>
  <c r="A54" i="76"/>
  <c r="S68" i="76"/>
  <c r="S75" i="76"/>
  <c r="S83" i="76"/>
  <c r="S98" i="76"/>
  <c r="A104" i="76"/>
  <c r="A2" i="75"/>
  <c r="A4" i="75"/>
  <c r="A62" i="75" s="1"/>
  <c r="S66" i="75"/>
  <c r="A60" i="75"/>
  <c r="A2" i="74"/>
  <c r="A47" i="74" s="1"/>
  <c r="A14" i="74"/>
  <c r="A15" i="74" s="1"/>
  <c r="A16" i="74" s="1"/>
  <c r="A17" i="74" s="1"/>
  <c r="A18" i="74" s="1"/>
  <c r="A20" i="74" s="1"/>
  <c r="A21" i="74" s="1"/>
  <c r="A22" i="74" s="1"/>
  <c r="A23" i="74" s="1"/>
  <c r="A24" i="74" s="1"/>
  <c r="A25" i="74" s="1"/>
  <c r="A27" i="74" s="1"/>
  <c r="A29" i="74" s="1"/>
  <c r="A31" i="74" s="1"/>
  <c r="A32" i="74" s="1"/>
  <c r="A33" i="74" s="1"/>
  <c r="A34" i="74" s="1"/>
  <c r="A35" i="74" s="1"/>
  <c r="A36" i="74" s="1"/>
  <c r="A37" i="74" s="1"/>
  <c r="A38" i="74" s="1"/>
  <c r="A40" i="74" s="1"/>
  <c r="A42" i="74" s="1"/>
  <c r="F18" i="74"/>
  <c r="G18" i="74"/>
  <c r="H18" i="74"/>
  <c r="I18" i="74"/>
  <c r="J18" i="74"/>
  <c r="K18" i="74"/>
  <c r="L18" i="74"/>
  <c r="M18" i="74"/>
  <c r="N18" i="74"/>
  <c r="K13" i="69" s="1"/>
  <c r="E27" i="74"/>
  <c r="G27" i="74"/>
  <c r="H27" i="74"/>
  <c r="I27" i="74"/>
  <c r="J27" i="74"/>
  <c r="K27" i="74"/>
  <c r="L27" i="74"/>
  <c r="M27" i="74"/>
  <c r="N27" i="74"/>
  <c r="E40" i="74"/>
  <c r="F40" i="74"/>
  <c r="H40" i="74"/>
  <c r="I40" i="74"/>
  <c r="J40" i="74"/>
  <c r="K40" i="74"/>
  <c r="L40" i="74"/>
  <c r="M40" i="74"/>
  <c r="N40" i="74"/>
  <c r="A50" i="74"/>
  <c r="A59" i="74"/>
  <c r="A60" i="74" s="1"/>
  <c r="A61" i="74" s="1"/>
  <c r="A62" i="74" s="1"/>
  <c r="A63" i="74" s="1"/>
  <c r="A64" i="74" s="1"/>
  <c r="A65" i="74" s="1"/>
  <c r="A66" i="74" s="1"/>
  <c r="A67" i="74" s="1"/>
  <c r="A68" i="74" s="1"/>
  <c r="A69" i="74" s="1"/>
  <c r="A70" i="74" s="1"/>
  <c r="A71" i="74" s="1"/>
  <c r="A72" i="74" s="1"/>
  <c r="A73" i="74" s="1"/>
  <c r="A74" i="74" s="1"/>
  <c r="A75" i="74" s="1"/>
  <c r="A76" i="74" s="1"/>
  <c r="A77" i="74" s="1"/>
  <c r="A78" i="74" s="1"/>
  <c r="A79" i="74" s="1"/>
  <c r="A80" i="74" s="1"/>
  <c r="A81" i="74" s="1"/>
  <c r="A82" i="74" s="1"/>
  <c r="A83" i="74" s="1"/>
  <c r="A84" i="74" s="1"/>
  <c r="A85" i="74" s="1"/>
  <c r="A86" i="74" s="1"/>
  <c r="A87" i="74" s="1"/>
  <c r="A88" i="74" s="1"/>
  <c r="A89" i="74" s="1"/>
  <c r="A90" i="74" s="1"/>
  <c r="A91" i="74" s="1"/>
  <c r="A92" i="74" s="1"/>
  <c r="A93" i="74" s="1"/>
  <c r="A94" i="74" s="1"/>
  <c r="A95" i="74" s="1"/>
  <c r="A96" i="74" s="1"/>
  <c r="A97" i="74" s="1"/>
  <c r="A98" i="74" s="1"/>
  <c r="A104" i="74"/>
  <c r="N133" i="74"/>
  <c r="A113" i="74"/>
  <c r="A114" i="74" s="1"/>
  <c r="A115" i="74" s="1"/>
  <c r="A116" i="74" s="1"/>
  <c r="O134" i="74"/>
  <c r="O135" i="74"/>
  <c r="O136" i="74"/>
  <c r="O137" i="74"/>
  <c r="O138" i="74"/>
  <c r="D140" i="74"/>
  <c r="A148" i="74"/>
  <c r="B156" i="74"/>
  <c r="F156" i="74" s="1"/>
  <c r="C156" i="74"/>
  <c r="A157" i="74"/>
  <c r="A158" i="74" s="1"/>
  <c r="A159" i="74" s="1"/>
  <c r="A160" i="74" s="1"/>
  <c r="A161" i="74" s="1"/>
  <c r="A162" i="74" s="1"/>
  <c r="A163" i="74" s="1"/>
  <c r="A164" i="74" s="1"/>
  <c r="A165" i="74" s="1"/>
  <c r="A166" i="74" s="1"/>
  <c r="A167" i="74" s="1"/>
  <c r="A168" i="74" s="1"/>
  <c r="A169" i="74" s="1"/>
  <c r="A170" i="74" s="1"/>
  <c r="A171" i="74" s="1"/>
  <c r="A172" i="74" s="1"/>
  <c r="A173" i="74" s="1"/>
  <c r="A174" i="74" s="1"/>
  <c r="A175" i="74" s="1"/>
  <c r="A176" i="74" s="1"/>
  <c r="A177" i="74" s="1"/>
  <c r="A178" i="74" s="1"/>
  <c r="A179" i="74" s="1"/>
  <c r="A180" i="74" s="1"/>
  <c r="A181" i="74" s="1"/>
  <c r="A182" i="74" s="1"/>
  <c r="A183" i="74" s="1"/>
  <c r="A184" i="74" s="1"/>
  <c r="A185" i="74" s="1"/>
  <c r="A186" i="74" s="1"/>
  <c r="A187" i="74" s="1"/>
  <c r="A188" i="74" s="1"/>
  <c r="A189" i="74" s="1"/>
  <c r="A190" i="74" s="1"/>
  <c r="A191" i="74" s="1"/>
  <c r="A192" i="74" s="1"/>
  <c r="A193" i="74" s="1"/>
  <c r="A194" i="74" s="1"/>
  <c r="A195" i="74" s="1"/>
  <c r="A196" i="74" s="1"/>
  <c r="B157" i="74"/>
  <c r="F157" i="74" s="1"/>
  <c r="C157" i="74"/>
  <c r="B158" i="74"/>
  <c r="F158" i="74" s="1"/>
  <c r="C158" i="74"/>
  <c r="B159" i="74"/>
  <c r="F159" i="74" s="1"/>
  <c r="C159" i="74"/>
  <c r="B160" i="74"/>
  <c r="F160" i="74" s="1"/>
  <c r="C160" i="74"/>
  <c r="B161" i="74"/>
  <c r="F161" i="74" s="1"/>
  <c r="C161" i="74"/>
  <c r="B162" i="74"/>
  <c r="F162" i="74" s="1"/>
  <c r="C162" i="74"/>
  <c r="B163" i="74"/>
  <c r="F163" i="74" s="1"/>
  <c r="C163" i="74"/>
  <c r="B164" i="74"/>
  <c r="F164" i="74" s="1"/>
  <c r="C164" i="74"/>
  <c r="B165" i="74"/>
  <c r="F165" i="74" s="1"/>
  <c r="C165" i="74"/>
  <c r="B166" i="74"/>
  <c r="F166" i="74" s="1"/>
  <c r="C166" i="74"/>
  <c r="B167" i="74"/>
  <c r="F167" i="74" s="1"/>
  <c r="C167" i="74"/>
  <c r="B168" i="74"/>
  <c r="F168" i="74" s="1"/>
  <c r="C168" i="74"/>
  <c r="B169" i="74"/>
  <c r="F169" i="74" s="1"/>
  <c r="C169" i="74"/>
  <c r="B170" i="74"/>
  <c r="F170" i="74" s="1"/>
  <c r="C170" i="74"/>
  <c r="B171" i="74"/>
  <c r="F171" i="74" s="1"/>
  <c r="C171" i="74"/>
  <c r="B172" i="74"/>
  <c r="F172" i="74" s="1"/>
  <c r="C172" i="74"/>
  <c r="B173" i="74"/>
  <c r="F173" i="74" s="1"/>
  <c r="C173" i="74"/>
  <c r="B174" i="74"/>
  <c r="F174" i="74" s="1"/>
  <c r="C174" i="74"/>
  <c r="B175" i="74"/>
  <c r="F175" i="74" s="1"/>
  <c r="C175" i="74"/>
  <c r="B176" i="74"/>
  <c r="F176" i="74" s="1"/>
  <c r="C176" i="74"/>
  <c r="B177" i="74"/>
  <c r="F177" i="74" s="1"/>
  <c r="C177" i="74"/>
  <c r="B178" i="74"/>
  <c r="F178" i="74" s="1"/>
  <c r="C178" i="74"/>
  <c r="B179" i="74"/>
  <c r="F179" i="74" s="1"/>
  <c r="C179" i="74"/>
  <c r="B180" i="74"/>
  <c r="F180" i="74" s="1"/>
  <c r="C180" i="74"/>
  <c r="B181" i="74"/>
  <c r="C181" i="74"/>
  <c r="B182" i="74"/>
  <c r="F182" i="74" s="1"/>
  <c r="C182" i="74"/>
  <c r="B183" i="74"/>
  <c r="F183" i="74" s="1"/>
  <c r="C183" i="74"/>
  <c r="B184" i="74"/>
  <c r="F184" i="74" s="1"/>
  <c r="C184" i="74"/>
  <c r="B185" i="74"/>
  <c r="C185" i="74"/>
  <c r="B186" i="74"/>
  <c r="F186" i="74" s="1"/>
  <c r="C186" i="74"/>
  <c r="B187" i="74"/>
  <c r="F187" i="74" s="1"/>
  <c r="C187" i="74"/>
  <c r="B188" i="74"/>
  <c r="C188" i="74"/>
  <c r="B189" i="74"/>
  <c r="F189" i="74" s="1"/>
  <c r="C189" i="74"/>
  <c r="B190" i="74"/>
  <c r="F190" i="74" s="1"/>
  <c r="C190" i="74"/>
  <c r="B191" i="74"/>
  <c r="F191" i="74" s="1"/>
  <c r="C191" i="74"/>
  <c r="B192" i="74"/>
  <c r="F192" i="74" s="1"/>
  <c r="C192" i="74"/>
  <c r="B193" i="74"/>
  <c r="F193" i="74" s="1"/>
  <c r="C193" i="74"/>
  <c r="B194" i="74"/>
  <c r="F194" i="74" s="1"/>
  <c r="C194" i="74"/>
  <c r="B195" i="74"/>
  <c r="F195" i="74" s="1"/>
  <c r="C195" i="74"/>
  <c r="B196" i="74"/>
  <c r="F196" i="74" s="1"/>
  <c r="C196" i="74"/>
  <c r="A202" i="74"/>
  <c r="B210" i="74"/>
  <c r="F210" i="74" s="1"/>
  <c r="C210" i="74"/>
  <c r="A211" i="74"/>
  <c r="A212" i="74" s="1"/>
  <c r="A213" i="74" s="1"/>
  <c r="A214" i="74" s="1"/>
  <c r="B211" i="74"/>
  <c r="F211" i="74" s="1"/>
  <c r="C211" i="74"/>
  <c r="B212" i="74"/>
  <c r="F212" i="74" s="1"/>
  <c r="C212" i="74"/>
  <c r="B213" i="74"/>
  <c r="F213" i="74" s="1"/>
  <c r="C213" i="74"/>
  <c r="B214" i="74"/>
  <c r="F214" i="74" s="1"/>
  <c r="C214" i="74"/>
  <c r="B216" i="74"/>
  <c r="F216" i="74" s="1"/>
  <c r="C216" i="74"/>
  <c r="D222" i="74"/>
  <c r="L222" i="74"/>
  <c r="D223" i="74"/>
  <c r="L223" i="74"/>
  <c r="D224" i="74"/>
  <c r="L224" i="74"/>
  <c r="D225" i="74"/>
  <c r="L225" i="74"/>
  <c r="D226" i="74"/>
  <c r="L226" i="74"/>
  <c r="N226" i="74"/>
  <c r="D227" i="74"/>
  <c r="L227" i="74"/>
  <c r="D228" i="74"/>
  <c r="L228" i="74"/>
  <c r="D229" i="74"/>
  <c r="L229" i="74"/>
  <c r="N229" i="74"/>
  <c r="D230" i="74"/>
  <c r="L230" i="74"/>
  <c r="D231" i="74"/>
  <c r="L231" i="74"/>
  <c r="D232" i="74"/>
  <c r="D233" i="74"/>
  <c r="S124" i="76" s="1"/>
  <c r="D234" i="74"/>
  <c r="S130" i="76" s="1"/>
  <c r="D235" i="74"/>
  <c r="S138" i="76" s="1"/>
  <c r="D236" i="74"/>
  <c r="S146" i="76" s="1"/>
  <c r="J238" i="74"/>
  <c r="K238" i="74"/>
  <c r="A249" i="74"/>
  <c r="A259" i="74"/>
  <c r="A261" i="74" s="1"/>
  <c r="A264" i="74" s="1"/>
  <c r="A265" i="74" s="1"/>
  <c r="A266" i="74" s="1"/>
  <c r="A268" i="74" s="1"/>
  <c r="F261" i="74"/>
  <c r="G261" i="74"/>
  <c r="H261" i="74"/>
  <c r="I261" i="74"/>
  <c r="J261" i="74"/>
  <c r="K261" i="74"/>
  <c r="L261" i="74"/>
  <c r="M261" i="74"/>
  <c r="N261" i="74"/>
  <c r="G264" i="74"/>
  <c r="F16" i="136" s="1"/>
  <c r="G265" i="74"/>
  <c r="K26" i="69" s="1"/>
  <c r="A9" i="67"/>
  <c r="C13" i="67"/>
  <c r="C15" i="67"/>
  <c r="T10" i="127"/>
  <c r="T13" i="127"/>
  <c r="E79" i="127"/>
  <c r="S79" i="127" s="1"/>
  <c r="E92" i="127"/>
  <c r="S92" i="127" s="1"/>
  <c r="E83" i="127"/>
  <c r="S83" i="127" s="1"/>
  <c r="E84" i="127"/>
  <c r="S84" i="127" s="1"/>
  <c r="E85" i="127"/>
  <c r="S85" i="127" s="1"/>
  <c r="E86" i="127"/>
  <c r="S86" i="127" s="1"/>
  <c r="E87" i="127"/>
  <c r="S87" i="127" s="1"/>
  <c r="E88" i="127"/>
  <c r="S88" i="127" s="1"/>
  <c r="E89" i="127"/>
  <c r="S89" i="127" s="1"/>
  <c r="E90" i="127"/>
  <c r="S90" i="127" s="1"/>
  <c r="E91" i="127"/>
  <c r="S91" i="127" s="1"/>
  <c r="E93" i="127"/>
  <c r="S93" i="127" s="1"/>
  <c r="E94" i="127"/>
  <c r="S94" i="127" s="1"/>
  <c r="E95" i="127"/>
  <c r="S95" i="127" s="1"/>
  <c r="E98" i="127"/>
  <c r="E99" i="127"/>
  <c r="S99" i="127" s="1"/>
  <c r="E102" i="127"/>
  <c r="E103" i="127"/>
  <c r="S103" i="127" s="1"/>
  <c r="E105" i="127"/>
  <c r="S105" i="127" s="1"/>
  <c r="E106" i="127"/>
  <c r="S106" i="127" s="1"/>
  <c r="E107" i="127"/>
  <c r="S107" i="127" s="1"/>
  <c r="E108" i="127"/>
  <c r="S108" i="127" s="1"/>
  <c r="E109" i="127"/>
  <c r="S109" i="127" s="1"/>
  <c r="E110" i="127"/>
  <c r="S110" i="127" s="1"/>
  <c r="E112" i="127"/>
  <c r="E113" i="127"/>
  <c r="R333" i="127"/>
  <c r="E114" i="127"/>
  <c r="R335" i="127"/>
  <c r="E115" i="127"/>
  <c r="R334" i="127"/>
  <c r="E116" i="127"/>
  <c r="E121" i="127"/>
  <c r="E122" i="127"/>
  <c r="E123" i="127"/>
  <c r="E124" i="127"/>
  <c r="E125" i="127"/>
  <c r="S125" i="127" s="1"/>
  <c r="E126" i="127"/>
  <c r="E127" i="127"/>
  <c r="E128" i="127"/>
  <c r="E129" i="127"/>
  <c r="E130" i="127"/>
  <c r="E134" i="127"/>
  <c r="S134" i="127" s="1"/>
  <c r="F135" i="127"/>
  <c r="G135" i="127"/>
  <c r="G475" i="127" s="1"/>
  <c r="H135" i="127"/>
  <c r="H475" i="127" s="1"/>
  <c r="I135" i="127"/>
  <c r="I475" i="127" s="1"/>
  <c r="J135" i="127"/>
  <c r="J475" i="127" s="1"/>
  <c r="K135" i="127"/>
  <c r="K475" i="127" s="1"/>
  <c r="L135" i="127"/>
  <c r="L475" i="127" s="1"/>
  <c r="M135" i="127"/>
  <c r="M475" i="127" s="1"/>
  <c r="N135" i="127"/>
  <c r="N475" i="127" s="1"/>
  <c r="O135" i="127"/>
  <c r="O475" i="127" s="1"/>
  <c r="P135" i="127"/>
  <c r="P475" i="127" s="1"/>
  <c r="Q135" i="127"/>
  <c r="Q475" i="127" s="1"/>
  <c r="R164" i="127"/>
  <c r="R185" i="127"/>
  <c r="R210" i="127"/>
  <c r="R215" i="127"/>
  <c r="R214" i="127" s="1"/>
  <c r="R229" i="127"/>
  <c r="R293" i="127"/>
  <c r="R331" i="127"/>
  <c r="R329" i="127" s="1"/>
  <c r="R370" i="127"/>
  <c r="R376" i="127"/>
  <c r="R374" i="127" s="1"/>
  <c r="R408" i="127"/>
  <c r="O42" i="80"/>
  <c r="O9" i="79"/>
  <c r="E9" i="145" s="1"/>
  <c r="O10" i="79"/>
  <c r="E17" i="145" s="1"/>
  <c r="O11" i="79"/>
  <c r="E20" i="145" s="1"/>
  <c r="O12" i="79"/>
  <c r="E21" i="145" s="1"/>
  <c r="O13" i="79"/>
  <c r="E22" i="145" s="1"/>
  <c r="O14" i="79"/>
  <c r="E23" i="145" s="1"/>
  <c r="O15" i="79"/>
  <c r="E24" i="145" s="1"/>
  <c r="O16" i="79"/>
  <c r="E25" i="145" s="1"/>
  <c r="O17" i="79"/>
  <c r="E26" i="145" s="1"/>
  <c r="O18" i="79"/>
  <c r="E27" i="145" s="1"/>
  <c r="O19" i="79"/>
  <c r="E28" i="145" s="1"/>
  <c r="O21" i="79"/>
  <c r="E31" i="145" s="1"/>
  <c r="O22" i="79"/>
  <c r="E32" i="145" s="1"/>
  <c r="O23" i="79"/>
  <c r="E33" i="145" s="1"/>
  <c r="O24" i="79"/>
  <c r="E34" i="145" s="1"/>
  <c r="O25" i="79"/>
  <c r="E35" i="145" s="1"/>
  <c r="O26" i="79"/>
  <c r="E36" i="145" s="1"/>
  <c r="O27" i="79"/>
  <c r="E37" i="145" s="1"/>
  <c r="O28" i="79"/>
  <c r="E38" i="145" s="1"/>
  <c r="O30" i="79"/>
  <c r="E41" i="145" s="1"/>
  <c r="O31" i="79"/>
  <c r="E42" i="145" s="1"/>
  <c r="O32" i="79"/>
  <c r="E43" i="145" s="1"/>
  <c r="O33" i="79"/>
  <c r="E44" i="145" s="1"/>
  <c r="O34" i="79"/>
  <c r="E45" i="145" s="1"/>
  <c r="O38" i="79"/>
  <c r="E48" i="145" s="1"/>
  <c r="O39" i="79"/>
  <c r="E49" i="145" s="1"/>
  <c r="O40" i="79"/>
  <c r="E50" i="145" s="1"/>
  <c r="O41" i="79"/>
  <c r="E51" i="145" s="1"/>
  <c r="O42" i="79"/>
  <c r="O43" i="79"/>
  <c r="E55" i="145" s="1"/>
  <c r="O44" i="79"/>
  <c r="E56" i="145" s="1"/>
  <c r="O48" i="79"/>
  <c r="E60" i="145" s="1"/>
  <c r="E62" i="145"/>
  <c r="E63" i="145"/>
  <c r="E64" i="145"/>
  <c r="O53" i="79"/>
  <c r="E65" i="145" s="1"/>
  <c r="O54" i="79"/>
  <c r="E66" i="145" s="1"/>
  <c r="O55" i="79"/>
  <c r="E67" i="145" s="1"/>
  <c r="O56" i="79"/>
  <c r="E68" i="145" s="1"/>
  <c r="C60" i="79"/>
  <c r="D60" i="79"/>
  <c r="E60" i="79"/>
  <c r="F60" i="79"/>
  <c r="G60" i="79"/>
  <c r="H60" i="79"/>
  <c r="C71" i="79"/>
  <c r="D70" i="79" s="1"/>
  <c r="C80" i="79"/>
  <c r="D79" i="79" s="1"/>
  <c r="D77" i="79"/>
  <c r="D78" i="79"/>
  <c r="A2" i="73"/>
  <c r="P63" i="73"/>
  <c r="A14" i="73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A45" i="73" s="1"/>
  <c r="A46" i="73" s="1"/>
  <c r="A47" i="73" s="1"/>
  <c r="A48" i="73" s="1"/>
  <c r="A49" i="73" s="1"/>
  <c r="A50" i="73" s="1"/>
  <c r="A51" i="73" s="1"/>
  <c r="A52" i="73" s="1"/>
  <c r="A53" i="73" s="1"/>
  <c r="A54" i="73" s="1"/>
  <c r="P14" i="73"/>
  <c r="D15" i="136" s="1"/>
  <c r="H15" i="136" s="1"/>
  <c r="P15" i="73"/>
  <c r="P16" i="73"/>
  <c r="I26" i="69" s="1"/>
  <c r="P17" i="73"/>
  <c r="D18" i="136" s="1"/>
  <c r="D19" i="136"/>
  <c r="D20" i="136"/>
  <c r="D23" i="71"/>
  <c r="P22" i="73"/>
  <c r="D24" i="71" s="1"/>
  <c r="F24" i="71" s="1"/>
  <c r="P23" i="73"/>
  <c r="D25" i="71" s="1"/>
  <c r="F25" i="71" s="1"/>
  <c r="P24" i="73"/>
  <c r="D25" i="136" s="1"/>
  <c r="H25" i="136" s="1"/>
  <c r="P25" i="73"/>
  <c r="P26" i="73"/>
  <c r="D27" i="136" s="1"/>
  <c r="H27" i="136" s="1"/>
  <c r="P28" i="73"/>
  <c r="D29" i="136" s="1"/>
  <c r="P29" i="73"/>
  <c r="P30" i="73"/>
  <c r="P31" i="73"/>
  <c r="D32" i="136" s="1"/>
  <c r="P32" i="73"/>
  <c r="D43" i="71" s="1"/>
  <c r="F43" i="71" s="1"/>
  <c r="P33" i="73"/>
  <c r="D34" i="136" s="1"/>
  <c r="H34" i="136" s="1"/>
  <c r="P34" i="73"/>
  <c r="D35" i="136" s="1"/>
  <c r="H35" i="136" s="1"/>
  <c r="P35" i="73"/>
  <c r="D36" i="136" s="1"/>
  <c r="H36" i="136" s="1"/>
  <c r="P36" i="73"/>
  <c r="D37" i="136" s="1"/>
  <c r="H37" i="136" s="1"/>
  <c r="P38" i="73"/>
  <c r="D48" i="71" s="1"/>
  <c r="F48" i="71" s="1"/>
  <c r="P39" i="73"/>
  <c r="P40" i="73"/>
  <c r="D50" i="71" s="1"/>
  <c r="F50" i="71" s="1"/>
  <c r="A56" i="73"/>
  <c r="A57" i="73"/>
  <c r="A58" i="73"/>
  <c r="A59" i="73"/>
  <c r="P61" i="73"/>
  <c r="D64" i="73"/>
  <c r="E64" i="73"/>
  <c r="F64" i="73"/>
  <c r="G64" i="73"/>
  <c r="H64" i="73"/>
  <c r="I64" i="73"/>
  <c r="J64" i="73"/>
  <c r="K64" i="73"/>
  <c r="L64" i="73"/>
  <c r="M64" i="73"/>
  <c r="N64" i="73"/>
  <c r="O64" i="73"/>
  <c r="D65" i="73"/>
  <c r="E65" i="73"/>
  <c r="F65" i="73"/>
  <c r="G65" i="73"/>
  <c r="H65" i="73"/>
  <c r="I65" i="73"/>
  <c r="J65" i="73"/>
  <c r="K65" i="73"/>
  <c r="L65" i="73"/>
  <c r="M65" i="73"/>
  <c r="N65" i="73"/>
  <c r="O65" i="73"/>
  <c r="A69" i="73"/>
  <c r="A70" i="73" s="1"/>
  <c r="A71" i="73" s="1"/>
  <c r="A72" i="73" s="1"/>
  <c r="A73" i="73" s="1"/>
  <c r="A74" i="73" s="1"/>
  <c r="A75" i="73" s="1"/>
  <c r="A76" i="73" s="1"/>
  <c r="A77" i="73" s="1"/>
  <c r="A78" i="73" s="1"/>
  <c r="A79" i="73" s="1"/>
  <c r="A80" i="73" s="1"/>
  <c r="A81" i="73" s="1"/>
  <c r="D80" i="73"/>
  <c r="E80" i="73"/>
  <c r="F80" i="73"/>
  <c r="G80" i="73"/>
  <c r="H80" i="73"/>
  <c r="I80" i="73"/>
  <c r="J80" i="73"/>
  <c r="K80" i="73"/>
  <c r="L80" i="73"/>
  <c r="M80" i="73"/>
  <c r="N80" i="73"/>
  <c r="O80" i="73"/>
  <c r="P91" i="73"/>
  <c r="P93" i="73"/>
  <c r="D95" i="136" s="1"/>
  <c r="A2" i="72"/>
  <c r="P63" i="72"/>
  <c r="A14" i="72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A45" i="72" s="1"/>
  <c r="A46" i="72" s="1"/>
  <c r="A47" i="72" s="1"/>
  <c r="A48" i="72" s="1"/>
  <c r="A49" i="72" s="1"/>
  <c r="A50" i="72" s="1"/>
  <c r="A51" i="72" s="1"/>
  <c r="A52" i="72" s="1"/>
  <c r="A53" i="72" s="1"/>
  <c r="A54" i="72" s="1"/>
  <c r="P14" i="72"/>
  <c r="D259" i="74" s="1"/>
  <c r="P15" i="72"/>
  <c r="P16" i="72"/>
  <c r="D265" i="74" s="1"/>
  <c r="P17" i="72"/>
  <c r="F266" i="74" s="1"/>
  <c r="O266" i="74" s="1"/>
  <c r="P18" i="72"/>
  <c r="D16" i="70" s="1"/>
  <c r="F16" i="70" s="1"/>
  <c r="I16" i="109" s="1"/>
  <c r="I50" i="109" s="1"/>
  <c r="P19" i="72"/>
  <c r="D17" i="70" s="1"/>
  <c r="F17" i="70" s="1"/>
  <c r="I17" i="109" s="1"/>
  <c r="I51" i="109" s="1"/>
  <c r="P20" i="72"/>
  <c r="E16" i="74" s="1"/>
  <c r="O16" i="74" s="1"/>
  <c r="P21" i="72"/>
  <c r="E17" i="74" s="1"/>
  <c r="S31" i="75" s="1"/>
  <c r="P22" i="72"/>
  <c r="D21" i="74" s="1"/>
  <c r="S36" i="75" s="1"/>
  <c r="P23" i="72"/>
  <c r="P25" i="72"/>
  <c r="D24" i="74" s="1"/>
  <c r="S51" i="75" s="1"/>
  <c r="D27" i="72"/>
  <c r="E27" i="72"/>
  <c r="F27" i="72"/>
  <c r="G27" i="72"/>
  <c r="H27" i="72"/>
  <c r="I27" i="72"/>
  <c r="J27" i="72"/>
  <c r="K27" i="72"/>
  <c r="L27" i="72"/>
  <c r="M27" i="72"/>
  <c r="N27" i="72"/>
  <c r="O27" i="72"/>
  <c r="P28" i="72"/>
  <c r="D59" i="74" s="1"/>
  <c r="D157" i="74" s="1"/>
  <c r="P29" i="72"/>
  <c r="D60" i="74" s="1"/>
  <c r="D158" i="74" s="1"/>
  <c r="P30" i="72"/>
  <c r="P31" i="72"/>
  <c r="D62" i="74" s="1"/>
  <c r="D160" i="74" s="1"/>
  <c r="P33" i="72"/>
  <c r="D33" i="74" s="1"/>
  <c r="S79" i="75" s="1"/>
  <c r="P34" i="72"/>
  <c r="D34" i="74" s="1"/>
  <c r="S84" i="75" s="1"/>
  <c r="P35" i="72"/>
  <c r="D35" i="74" s="1"/>
  <c r="S89" i="75" s="1"/>
  <c r="P36" i="72"/>
  <c r="D36" i="74" s="1"/>
  <c r="D37" i="72"/>
  <c r="E37" i="72"/>
  <c r="F37" i="72"/>
  <c r="G37" i="72"/>
  <c r="H37" i="72"/>
  <c r="I37" i="72"/>
  <c r="J37" i="72"/>
  <c r="K37" i="72"/>
  <c r="L37" i="72"/>
  <c r="M37" i="72"/>
  <c r="N37" i="72"/>
  <c r="O37" i="72"/>
  <c r="P40" i="72"/>
  <c r="D50" i="70" s="1"/>
  <c r="F50" i="70" s="1"/>
  <c r="D41" i="72"/>
  <c r="E41" i="72"/>
  <c r="F41" i="72"/>
  <c r="G41" i="72"/>
  <c r="H41" i="72"/>
  <c r="I41" i="72"/>
  <c r="J41" i="72"/>
  <c r="K41" i="72"/>
  <c r="L41" i="72"/>
  <c r="M41" i="72"/>
  <c r="N41" i="72"/>
  <c r="O41" i="72"/>
  <c r="D42" i="72"/>
  <c r="E42" i="72"/>
  <c r="F42" i="72"/>
  <c r="G42" i="72"/>
  <c r="H42" i="72"/>
  <c r="I42" i="72"/>
  <c r="J42" i="72"/>
  <c r="K42" i="72"/>
  <c r="L42" i="72"/>
  <c r="M42" i="72"/>
  <c r="N42" i="72"/>
  <c r="O42" i="72"/>
  <c r="D43" i="72"/>
  <c r="E43" i="72"/>
  <c r="F43" i="72"/>
  <c r="G43" i="72"/>
  <c r="H43" i="72"/>
  <c r="I43" i="72"/>
  <c r="J43" i="72"/>
  <c r="K43" i="72"/>
  <c r="L43" i="72"/>
  <c r="M43" i="72"/>
  <c r="N43" i="72"/>
  <c r="O43" i="72"/>
  <c r="D44" i="72"/>
  <c r="E44" i="72"/>
  <c r="F44" i="72"/>
  <c r="G44" i="72"/>
  <c r="H44" i="72"/>
  <c r="I44" i="72"/>
  <c r="J44" i="72"/>
  <c r="K44" i="72"/>
  <c r="L44" i="72"/>
  <c r="M44" i="72"/>
  <c r="N44" i="72"/>
  <c r="O44" i="72"/>
  <c r="D45" i="72"/>
  <c r="E45" i="72"/>
  <c r="F45" i="72"/>
  <c r="G45" i="72"/>
  <c r="H45" i="72"/>
  <c r="I45" i="72"/>
  <c r="J45" i="72"/>
  <c r="K45" i="72"/>
  <c r="L45" i="72"/>
  <c r="M45" i="72"/>
  <c r="N45" i="72"/>
  <c r="O45" i="72"/>
  <c r="D46" i="72"/>
  <c r="E46" i="72"/>
  <c r="F46" i="72"/>
  <c r="G46" i="72"/>
  <c r="H46" i="72"/>
  <c r="I46" i="72"/>
  <c r="J46" i="72"/>
  <c r="K46" i="72"/>
  <c r="L46" i="72"/>
  <c r="M46" i="72"/>
  <c r="N46" i="72"/>
  <c r="O46" i="72"/>
  <c r="D47" i="72"/>
  <c r="E47" i="72"/>
  <c r="F47" i="72"/>
  <c r="G47" i="72"/>
  <c r="H47" i="72"/>
  <c r="I47" i="72"/>
  <c r="J47" i="72"/>
  <c r="K47" i="72"/>
  <c r="L47" i="72"/>
  <c r="M47" i="72"/>
  <c r="N47" i="72"/>
  <c r="O47" i="72"/>
  <c r="D48" i="72"/>
  <c r="E48" i="72"/>
  <c r="F48" i="72"/>
  <c r="G48" i="72"/>
  <c r="H48" i="72"/>
  <c r="I48" i="72"/>
  <c r="J48" i="72"/>
  <c r="K48" i="72"/>
  <c r="L48" i="72"/>
  <c r="M48" i="72"/>
  <c r="N48" i="72"/>
  <c r="O48" i="72"/>
  <c r="D49" i="72"/>
  <c r="E49" i="72"/>
  <c r="F49" i="72"/>
  <c r="G49" i="72"/>
  <c r="H49" i="72"/>
  <c r="I49" i="72"/>
  <c r="J49" i="72"/>
  <c r="K49" i="72"/>
  <c r="L49" i="72"/>
  <c r="M49" i="72"/>
  <c r="N49" i="72"/>
  <c r="O49" i="72"/>
  <c r="D50" i="72"/>
  <c r="E50" i="72"/>
  <c r="F50" i="72"/>
  <c r="G50" i="72"/>
  <c r="H50" i="72"/>
  <c r="I50" i="72"/>
  <c r="J50" i="72"/>
  <c r="K50" i="72"/>
  <c r="L50" i="72"/>
  <c r="M50" i="72"/>
  <c r="N50" i="72"/>
  <c r="O50" i="72"/>
  <c r="D51" i="72"/>
  <c r="E51" i="72"/>
  <c r="F51" i="72"/>
  <c r="G51" i="72"/>
  <c r="H51" i="72"/>
  <c r="I51" i="72"/>
  <c r="J51" i="72"/>
  <c r="K51" i="72"/>
  <c r="L51" i="72"/>
  <c r="M51" i="72"/>
  <c r="N51" i="72"/>
  <c r="O51" i="72"/>
  <c r="D52" i="72"/>
  <c r="E52" i="72"/>
  <c r="F52" i="72"/>
  <c r="G52" i="72"/>
  <c r="H52" i="72"/>
  <c r="I52" i="72"/>
  <c r="J52" i="72"/>
  <c r="K52" i="72"/>
  <c r="L52" i="72"/>
  <c r="M52" i="72"/>
  <c r="N52" i="72"/>
  <c r="O52" i="72"/>
  <c r="D53" i="72"/>
  <c r="E53" i="72"/>
  <c r="F53" i="72"/>
  <c r="G53" i="72"/>
  <c r="H53" i="72"/>
  <c r="I53" i="72"/>
  <c r="J53" i="72"/>
  <c r="K53" i="72"/>
  <c r="L53" i="72"/>
  <c r="M53" i="72"/>
  <c r="N53" i="72"/>
  <c r="O53" i="72"/>
  <c r="D54" i="72"/>
  <c r="E54" i="72"/>
  <c r="F54" i="72"/>
  <c r="G54" i="72"/>
  <c r="H54" i="72"/>
  <c r="I54" i="72"/>
  <c r="J54" i="72"/>
  <c r="K54" i="72"/>
  <c r="L54" i="72"/>
  <c r="M54" i="72"/>
  <c r="N54" i="72"/>
  <c r="O54" i="72"/>
  <c r="A56" i="72"/>
  <c r="A57" i="72"/>
  <c r="A58" i="72"/>
  <c r="A59" i="72"/>
  <c r="P61" i="72"/>
  <c r="D64" i="72"/>
  <c r="E64" i="72"/>
  <c r="F64" i="72"/>
  <c r="G64" i="72"/>
  <c r="H64" i="72"/>
  <c r="I64" i="72"/>
  <c r="J64" i="72"/>
  <c r="K64" i="72"/>
  <c r="L64" i="72"/>
  <c r="M64" i="72"/>
  <c r="N64" i="72"/>
  <c r="O64" i="72"/>
  <c r="D65" i="72"/>
  <c r="E65" i="72"/>
  <c r="F65" i="72"/>
  <c r="G65" i="72"/>
  <c r="H65" i="72"/>
  <c r="I65" i="72"/>
  <c r="J65" i="72"/>
  <c r="K65" i="72"/>
  <c r="L65" i="72"/>
  <c r="M65" i="72"/>
  <c r="N65" i="72"/>
  <c r="O65" i="72"/>
  <c r="D68" i="72"/>
  <c r="E68" i="72"/>
  <c r="F68" i="72"/>
  <c r="G68" i="72"/>
  <c r="H68" i="72"/>
  <c r="I68" i="72"/>
  <c r="J68" i="72"/>
  <c r="K68" i="72"/>
  <c r="L68" i="72"/>
  <c r="M68" i="72"/>
  <c r="N68" i="72"/>
  <c r="O68" i="72"/>
  <c r="A69" i="72"/>
  <c r="A70" i="72" s="1"/>
  <c r="A71" i="72" s="1"/>
  <c r="A72" i="72" s="1"/>
  <c r="A73" i="72" s="1"/>
  <c r="A74" i="72" s="1"/>
  <c r="A75" i="72" s="1"/>
  <c r="A76" i="72" s="1"/>
  <c r="A77" i="72" s="1"/>
  <c r="A78" i="72" s="1"/>
  <c r="D69" i="72"/>
  <c r="E69" i="72"/>
  <c r="F69" i="72"/>
  <c r="G69" i="72"/>
  <c r="H69" i="72"/>
  <c r="I69" i="72"/>
  <c r="J69" i="72"/>
  <c r="K69" i="72"/>
  <c r="L69" i="72"/>
  <c r="M69" i="72"/>
  <c r="N69" i="72"/>
  <c r="O69" i="72"/>
  <c r="D70" i="72"/>
  <c r="E70" i="72"/>
  <c r="F70" i="72"/>
  <c r="G70" i="72"/>
  <c r="H70" i="72"/>
  <c r="I70" i="72"/>
  <c r="J70" i="72"/>
  <c r="K70" i="72"/>
  <c r="L70" i="72"/>
  <c r="M70" i="72"/>
  <c r="N70" i="72"/>
  <c r="O70" i="72"/>
  <c r="D71" i="72"/>
  <c r="E71" i="72"/>
  <c r="F71" i="72"/>
  <c r="G71" i="72"/>
  <c r="H71" i="72"/>
  <c r="I71" i="72"/>
  <c r="J71" i="72"/>
  <c r="K71" i="72"/>
  <c r="L71" i="72"/>
  <c r="M71" i="72"/>
  <c r="N71" i="72"/>
  <c r="O71" i="72"/>
  <c r="D72" i="72"/>
  <c r="E72" i="72"/>
  <c r="F72" i="72"/>
  <c r="G72" i="72"/>
  <c r="H72" i="72"/>
  <c r="I72" i="72"/>
  <c r="J72" i="72"/>
  <c r="K72" i="72"/>
  <c r="L72" i="72"/>
  <c r="M72" i="72"/>
  <c r="N72" i="72"/>
  <c r="O72" i="72"/>
  <c r="D73" i="72"/>
  <c r="E73" i="72"/>
  <c r="F73" i="72"/>
  <c r="G73" i="72"/>
  <c r="H73" i="72"/>
  <c r="I73" i="72"/>
  <c r="J73" i="72"/>
  <c r="K73" i="72"/>
  <c r="L73" i="72"/>
  <c r="M73" i="72"/>
  <c r="N73" i="72"/>
  <c r="O73" i="72"/>
  <c r="D74" i="72"/>
  <c r="E74" i="72"/>
  <c r="F74" i="72"/>
  <c r="G74" i="72"/>
  <c r="H74" i="72"/>
  <c r="I74" i="72"/>
  <c r="J74" i="72"/>
  <c r="K74" i="72"/>
  <c r="L74" i="72"/>
  <c r="M74" i="72"/>
  <c r="N74" i="72"/>
  <c r="O74" i="72"/>
  <c r="D75" i="72"/>
  <c r="E75" i="72"/>
  <c r="F75" i="72"/>
  <c r="G75" i="72"/>
  <c r="H75" i="72"/>
  <c r="I75" i="72"/>
  <c r="J75" i="72"/>
  <c r="K75" i="72"/>
  <c r="L75" i="72"/>
  <c r="M75" i="72"/>
  <c r="N75" i="72"/>
  <c r="O75" i="72"/>
  <c r="D76" i="72"/>
  <c r="E76" i="72"/>
  <c r="F76" i="72"/>
  <c r="G76" i="72"/>
  <c r="H76" i="72"/>
  <c r="I76" i="72"/>
  <c r="J76" i="72"/>
  <c r="K76" i="72"/>
  <c r="L76" i="72"/>
  <c r="M76" i="72"/>
  <c r="N76" i="72"/>
  <c r="O76" i="72"/>
  <c r="D77" i="72"/>
  <c r="E77" i="72"/>
  <c r="F77" i="72"/>
  <c r="G77" i="72"/>
  <c r="H77" i="72"/>
  <c r="I77" i="72"/>
  <c r="J77" i="72"/>
  <c r="K77" i="72"/>
  <c r="L77" i="72"/>
  <c r="M77" i="72"/>
  <c r="N77" i="72"/>
  <c r="O77" i="72"/>
  <c r="D78" i="72"/>
  <c r="E78" i="72"/>
  <c r="F78" i="72"/>
  <c r="G78" i="72"/>
  <c r="H78" i="72"/>
  <c r="I78" i="72"/>
  <c r="J78" i="72"/>
  <c r="K78" i="72"/>
  <c r="L78" i="72"/>
  <c r="M78" i="72"/>
  <c r="N78" i="72"/>
  <c r="O78" i="72"/>
  <c r="D79" i="72"/>
  <c r="E79" i="72"/>
  <c r="F79" i="72"/>
  <c r="G79" i="72"/>
  <c r="H79" i="72"/>
  <c r="I79" i="72"/>
  <c r="J79" i="72"/>
  <c r="K79" i="72"/>
  <c r="L79" i="72"/>
  <c r="M79" i="72"/>
  <c r="N79" i="72"/>
  <c r="O79" i="72"/>
  <c r="D80" i="72"/>
  <c r="E80" i="72"/>
  <c r="F80" i="72"/>
  <c r="G80" i="72"/>
  <c r="H80" i="72"/>
  <c r="I80" i="72"/>
  <c r="J80" i="72"/>
  <c r="K80" i="72"/>
  <c r="L80" i="72"/>
  <c r="M80" i="72"/>
  <c r="N80" i="72"/>
  <c r="O80" i="72"/>
  <c r="D81" i="72"/>
  <c r="E81" i="72"/>
  <c r="F81" i="72"/>
  <c r="G81" i="72"/>
  <c r="H81" i="72"/>
  <c r="I81" i="72"/>
  <c r="J81" i="72"/>
  <c r="K81" i="72"/>
  <c r="L81" i="72"/>
  <c r="M81" i="72"/>
  <c r="N81" i="72"/>
  <c r="O81" i="72"/>
  <c r="D82" i="72"/>
  <c r="E82" i="72"/>
  <c r="F82" i="72"/>
  <c r="G82" i="72"/>
  <c r="H82" i="72"/>
  <c r="I82" i="72"/>
  <c r="J82" i="72"/>
  <c r="K82" i="72"/>
  <c r="L82" i="72"/>
  <c r="M82" i="72"/>
  <c r="N82" i="72"/>
  <c r="O82" i="72"/>
  <c r="D86" i="72"/>
  <c r="E86" i="72"/>
  <c r="F86" i="72"/>
  <c r="G86" i="72"/>
  <c r="H86" i="72"/>
  <c r="I86" i="72"/>
  <c r="D83" i="72"/>
  <c r="E83" i="72"/>
  <c r="F83" i="72"/>
  <c r="G83" i="72"/>
  <c r="H83" i="72"/>
  <c r="I83" i="72"/>
  <c r="J83" i="72"/>
  <c r="K83" i="72"/>
  <c r="L83" i="72"/>
  <c r="M83" i="72"/>
  <c r="N83" i="72"/>
  <c r="O83" i="72"/>
  <c r="D84" i="72"/>
  <c r="E84" i="72"/>
  <c r="F84" i="72"/>
  <c r="G84" i="72"/>
  <c r="H84" i="72"/>
  <c r="I84" i="72"/>
  <c r="D85" i="72"/>
  <c r="E85" i="72"/>
  <c r="F85" i="72"/>
  <c r="G85" i="72"/>
  <c r="H85" i="72"/>
  <c r="I85" i="72"/>
  <c r="D87" i="72"/>
  <c r="E87" i="72"/>
  <c r="F87" i="72"/>
  <c r="G87" i="72"/>
  <c r="H87" i="72"/>
  <c r="I87" i="72"/>
  <c r="J87" i="72"/>
  <c r="K87" i="72"/>
  <c r="L87" i="72"/>
  <c r="M87" i="72"/>
  <c r="N87" i="72"/>
  <c r="O87" i="72"/>
  <c r="D88" i="72"/>
  <c r="E88" i="72"/>
  <c r="F88" i="72"/>
  <c r="G88" i="72"/>
  <c r="H88" i="72"/>
  <c r="I88" i="72"/>
  <c r="J88" i="72"/>
  <c r="K88" i="72"/>
  <c r="L88" i="72"/>
  <c r="M88" i="72"/>
  <c r="N88" i="72"/>
  <c r="O88" i="72"/>
  <c r="D89" i="72"/>
  <c r="E89" i="72"/>
  <c r="F89" i="72"/>
  <c r="G89" i="72"/>
  <c r="H89" i="72"/>
  <c r="I89" i="72"/>
  <c r="J89" i="72"/>
  <c r="K89" i="72"/>
  <c r="L89" i="72"/>
  <c r="M89" i="72"/>
  <c r="N89" i="72"/>
  <c r="O89" i="72"/>
  <c r="D90" i="72"/>
  <c r="E90" i="72"/>
  <c r="F90" i="72"/>
  <c r="G90" i="72"/>
  <c r="H90" i="72"/>
  <c r="I90" i="72"/>
  <c r="J90" i="72"/>
  <c r="K90" i="72"/>
  <c r="L90" i="72"/>
  <c r="M90" i="72"/>
  <c r="N90" i="72"/>
  <c r="O90" i="72"/>
  <c r="P91" i="72"/>
  <c r="D122" i="70" s="1"/>
  <c r="F122" i="70" s="1"/>
  <c r="D92" i="72"/>
  <c r="E92" i="72"/>
  <c r="F92" i="72"/>
  <c r="G92" i="72"/>
  <c r="H92" i="72"/>
  <c r="I92" i="72"/>
  <c r="J92" i="72"/>
  <c r="K92" i="72"/>
  <c r="L92" i="72"/>
  <c r="M92" i="72"/>
  <c r="N92" i="72"/>
  <c r="O92" i="72"/>
  <c r="P93" i="72"/>
  <c r="D114" i="74" s="1"/>
  <c r="D212" i="74" s="1"/>
  <c r="D94" i="72"/>
  <c r="E94" i="72"/>
  <c r="F94" i="72"/>
  <c r="G94" i="72"/>
  <c r="H94" i="72"/>
  <c r="I94" i="72"/>
  <c r="J94" i="72"/>
  <c r="K94" i="72"/>
  <c r="L94" i="72"/>
  <c r="M94" i="72"/>
  <c r="N94" i="72"/>
  <c r="O94" i="72"/>
  <c r="D95" i="72"/>
  <c r="E95" i="72"/>
  <c r="F95" i="72"/>
  <c r="G95" i="72"/>
  <c r="H95" i="72"/>
  <c r="I95" i="72"/>
  <c r="J95" i="72"/>
  <c r="K95" i="72"/>
  <c r="L95" i="72"/>
  <c r="M95" i="72"/>
  <c r="N95" i="72"/>
  <c r="O95" i="72"/>
  <c r="A2" i="71"/>
  <c r="G84" i="71"/>
  <c r="A15" i="71"/>
  <c r="A16" i="71" s="1"/>
  <c r="A17" i="71"/>
  <c r="A18" i="71" s="1"/>
  <c r="A19" i="71" s="1"/>
  <c r="A20" i="71" s="1"/>
  <c r="A22" i="71" s="1"/>
  <c r="A23" i="71" s="1"/>
  <c r="A24" i="71" s="1"/>
  <c r="A25" i="71" s="1"/>
  <c r="A26" i="71" s="1"/>
  <c r="A27" i="71" s="1"/>
  <c r="A28" i="71" s="1"/>
  <c r="A30" i="71" s="1"/>
  <c r="A32" i="71" s="1"/>
  <c r="A33" i="71" s="1"/>
  <c r="A34" i="71" s="1"/>
  <c r="A35" i="71" s="1"/>
  <c r="A36" i="71" s="1"/>
  <c r="A37" i="71" s="1"/>
  <c r="A38" i="71" s="1"/>
  <c r="A39" i="71" s="1"/>
  <c r="A41" i="71" s="1"/>
  <c r="A42" i="71" s="1"/>
  <c r="A43" i="71" s="1"/>
  <c r="A44" i="71" s="1"/>
  <c r="A45" i="71" s="1"/>
  <c r="A46" i="71" s="1"/>
  <c r="A47" i="71" s="1"/>
  <c r="A48" i="71" s="1"/>
  <c r="A49" i="71" s="1"/>
  <c r="A50" i="71" s="1"/>
  <c r="A51" i="71" s="1"/>
  <c r="A53" i="71" s="1"/>
  <c r="A54" i="71" s="1"/>
  <c r="A55" i="71" s="1"/>
  <c r="A56" i="71" s="1"/>
  <c r="A57" i="71" s="1"/>
  <c r="A58" i="71" s="1"/>
  <c r="A59" i="71" s="1"/>
  <c r="A60" i="71" s="1"/>
  <c r="A61" i="71" s="1"/>
  <c r="A62" i="71" s="1"/>
  <c r="A63" i="71" s="1"/>
  <c r="A65" i="71" s="1"/>
  <c r="A66" i="71" s="1"/>
  <c r="A67" i="71" s="1"/>
  <c r="A68" i="71" s="1"/>
  <c r="A69" i="71" s="1"/>
  <c r="A70" i="71" s="1"/>
  <c r="A71" i="71" s="1"/>
  <c r="A72" i="71" s="1"/>
  <c r="A73" i="71" s="1"/>
  <c r="A74" i="71" s="1"/>
  <c r="D18" i="71"/>
  <c r="F18" i="71" s="1"/>
  <c r="F19" i="71"/>
  <c r="D36" i="71"/>
  <c r="F36" i="71" s="1"/>
  <c r="A78" i="71"/>
  <c r="A79" i="71"/>
  <c r="G82" i="71"/>
  <c r="A91" i="71"/>
  <c r="A92" i="71" s="1"/>
  <c r="A93" i="71" s="1"/>
  <c r="A94" i="71" s="1"/>
  <c r="A95" i="71" s="1"/>
  <c r="A96" i="71" s="1"/>
  <c r="A97" i="71" s="1"/>
  <c r="A99" i="71" s="1"/>
  <c r="A100" i="71" s="1"/>
  <c r="A101" i="71" s="1"/>
  <c r="A102" i="71" s="1"/>
  <c r="A103" i="71" s="1"/>
  <c r="A104" i="71" s="1"/>
  <c r="A105" i="71" s="1"/>
  <c r="A106" i="71" s="1"/>
  <c r="A108" i="71" s="1"/>
  <c r="A109" i="71" s="1"/>
  <c r="A110" i="71" s="1"/>
  <c r="A111" i="71" s="1"/>
  <c r="A112" i="71" s="1"/>
  <c r="A113" i="71" s="1"/>
  <c r="A115" i="71" s="1"/>
  <c r="A116" i="71" s="1"/>
  <c r="A117" i="71" s="1"/>
  <c r="A118" i="71" s="1"/>
  <c r="A119" i="71" s="1"/>
  <c r="A120" i="71" s="1"/>
  <c r="A121" i="71" s="1"/>
  <c r="A122" i="71" s="1"/>
  <c r="A123" i="71" s="1"/>
  <c r="A124" i="71" s="1"/>
  <c r="A125" i="71" s="1"/>
  <c r="A126" i="71" s="1"/>
  <c r="A127" i="71" s="1"/>
  <c r="A129" i="71" s="1"/>
  <c r="A132" i="71" s="1"/>
  <c r="A134" i="71" s="1"/>
  <c r="A136" i="71" s="1"/>
  <c r="A137" i="71" s="1"/>
  <c r="A138" i="71" s="1"/>
  <c r="A139" i="71" s="1"/>
  <c r="A141" i="71" s="1"/>
  <c r="A143" i="71" s="1"/>
  <c r="F112" i="71"/>
  <c r="D124" i="71"/>
  <c r="F124" i="71" s="1"/>
  <c r="A2" i="70"/>
  <c r="G84" i="70"/>
  <c r="A15" i="70"/>
  <c r="A16" i="70" s="1"/>
  <c r="A17" i="70" s="1"/>
  <c r="A18" i="70" s="1"/>
  <c r="A19" i="70" s="1"/>
  <c r="A20" i="70" s="1"/>
  <c r="A22" i="70" s="1"/>
  <c r="A23" i="70" s="1"/>
  <c r="A24" i="70" s="1"/>
  <c r="A25" i="70" s="1"/>
  <c r="A26" i="70" s="1"/>
  <c r="A27" i="70" s="1"/>
  <c r="A30" i="70" s="1"/>
  <c r="A32" i="70" s="1"/>
  <c r="A33" i="70" s="1"/>
  <c r="A34" i="70" s="1"/>
  <c r="A35" i="70" s="1"/>
  <c r="A36" i="70" s="1"/>
  <c r="A37" i="70" s="1"/>
  <c r="A38" i="70" s="1"/>
  <c r="A39" i="70" s="1"/>
  <c r="A41" i="70" s="1"/>
  <c r="A42" i="70" s="1"/>
  <c r="A43" i="70" s="1"/>
  <c r="A44" i="70" s="1"/>
  <c r="A45" i="70" s="1"/>
  <c r="A46" i="70" s="1"/>
  <c r="A47" i="70" s="1"/>
  <c r="A48" i="70" s="1"/>
  <c r="A49" i="70" s="1"/>
  <c r="A50" i="70" s="1"/>
  <c r="A51" i="70" s="1"/>
  <c r="A53" i="70" s="1"/>
  <c r="A54" i="70" s="1"/>
  <c r="A55" i="70" s="1"/>
  <c r="A56" i="70" s="1"/>
  <c r="A57" i="70" s="1"/>
  <c r="A58" i="70" s="1"/>
  <c r="A59" i="70" s="1"/>
  <c r="A60" i="70" s="1"/>
  <c r="A61" i="70" s="1"/>
  <c r="A62" i="70" s="1"/>
  <c r="A63" i="70" s="1"/>
  <c r="A65" i="70" s="1"/>
  <c r="A66" i="70" s="1"/>
  <c r="A67" i="70" s="1"/>
  <c r="A68" i="70" s="1"/>
  <c r="A69" i="70" s="1"/>
  <c r="A70" i="70" s="1"/>
  <c r="A71" i="70" s="1"/>
  <c r="A72" i="70" s="1"/>
  <c r="A73" i="70" s="1"/>
  <c r="A74" i="70" s="1"/>
  <c r="F19" i="70"/>
  <c r="A78" i="70"/>
  <c r="A79" i="70"/>
  <c r="A80" i="70"/>
  <c r="G82" i="70"/>
  <c r="A91" i="70"/>
  <c r="A92" i="70" s="1"/>
  <c r="A93" i="70" s="1"/>
  <c r="A94" i="70" s="1"/>
  <c r="A95" i="70" s="1"/>
  <c r="A96" i="70" s="1"/>
  <c r="A97" i="70" s="1"/>
  <c r="A99" i="70" s="1"/>
  <c r="A100" i="70" s="1"/>
  <c r="A101" i="70" s="1"/>
  <c r="A102" i="70" s="1"/>
  <c r="A103" i="70" s="1"/>
  <c r="A104" i="70" s="1"/>
  <c r="A105" i="70"/>
  <c r="A106" i="70" s="1"/>
  <c r="A108" i="70" s="1"/>
  <c r="A109" i="70" s="1"/>
  <c r="A110" i="70" s="1"/>
  <c r="A111" i="70" s="1"/>
  <c r="A112" i="70" s="1"/>
  <c r="A113" i="70" s="1"/>
  <c r="A115" i="70" s="1"/>
  <c r="A116" i="70" s="1"/>
  <c r="A117" i="70" s="1"/>
  <c r="A118" i="70" s="1"/>
  <c r="A119" i="70" s="1"/>
  <c r="A120" i="70" s="1"/>
  <c r="A121" i="70" s="1"/>
  <c r="A122" i="70" s="1"/>
  <c r="A123" i="70" s="1"/>
  <c r="A124" i="70" s="1"/>
  <c r="A125" i="70" s="1"/>
  <c r="A126" i="70" s="1"/>
  <c r="A127" i="70" s="1"/>
  <c r="A129" i="70" s="1"/>
  <c r="A132" i="70" s="1"/>
  <c r="A134" i="70" s="1"/>
  <c r="A136" i="70" s="1"/>
  <c r="A137" i="70" s="1"/>
  <c r="A138" i="70" s="1"/>
  <c r="A139" i="70" s="1"/>
  <c r="A141" i="70" s="1"/>
  <c r="A143" i="70" s="1"/>
  <c r="F112" i="70"/>
  <c r="A2" i="136"/>
  <c r="A15" i="136"/>
  <c r="A16" i="136" s="1"/>
  <c r="A17" i="136" s="1"/>
  <c r="A18" i="136" s="1"/>
  <c r="A19" i="136" s="1"/>
  <c r="A20" i="136" s="1"/>
  <c r="A21" i="136" s="1"/>
  <c r="A22" i="136" s="1"/>
  <c r="A23" i="136" s="1"/>
  <c r="A24" i="136" s="1"/>
  <c r="A25" i="136" s="1"/>
  <c r="A26" i="136" s="1"/>
  <c r="A27" i="136" s="1"/>
  <c r="A28" i="136" s="1"/>
  <c r="A29" i="136" s="1"/>
  <c r="A30" i="136" s="1"/>
  <c r="A31" i="136" s="1"/>
  <c r="A32" i="136" s="1"/>
  <c r="A33" i="136" s="1"/>
  <c r="A34" i="136" s="1"/>
  <c r="A35" i="136" s="1"/>
  <c r="A36" i="136" s="1"/>
  <c r="A37" i="136" s="1"/>
  <c r="A38" i="136" s="1"/>
  <c r="A39" i="136" s="1"/>
  <c r="A40" i="136" s="1"/>
  <c r="A41" i="136" s="1"/>
  <c r="A42" i="136" s="1"/>
  <c r="A43" i="136" s="1"/>
  <c r="A44" i="136" s="1"/>
  <c r="A45" i="136" s="1"/>
  <c r="A46" i="136" s="1"/>
  <c r="A47" i="136" s="1"/>
  <c r="A48" i="136" s="1"/>
  <c r="A49" i="136" s="1"/>
  <c r="A50" i="136" s="1"/>
  <c r="A51" i="136" s="1"/>
  <c r="A52" i="136" s="1"/>
  <c r="A53" i="136" s="1"/>
  <c r="A54" i="136" s="1"/>
  <c r="A55" i="136" s="1"/>
  <c r="F18" i="136"/>
  <c r="F19" i="136"/>
  <c r="F20" i="136"/>
  <c r="D21" i="136"/>
  <c r="F21" i="136"/>
  <c r="F22" i="136"/>
  <c r="D30" i="136"/>
  <c r="A57" i="136"/>
  <c r="A58" i="136"/>
  <c r="A59" i="136"/>
  <c r="A60" i="136"/>
  <c r="D65" i="136"/>
  <c r="F65" i="136"/>
  <c r="H65" i="136"/>
  <c r="D66" i="136"/>
  <c r="D67" i="136"/>
  <c r="F67" i="136"/>
  <c r="H67" i="136"/>
  <c r="A71" i="136"/>
  <c r="A72" i="136" s="1"/>
  <c r="A73" i="136" s="1"/>
  <c r="A74" i="136" s="1"/>
  <c r="A75" i="136" s="1"/>
  <c r="A76" i="136" s="1"/>
  <c r="A77" i="136" s="1"/>
  <c r="A78" i="136" s="1"/>
  <c r="A79" i="136" s="1"/>
  <c r="A80" i="136" s="1"/>
  <c r="A81" i="136" s="1"/>
  <c r="A82" i="136" s="1"/>
  <c r="A83" i="136" s="1"/>
  <c r="A84" i="136" s="1"/>
  <c r="A88" i="136" s="1"/>
  <c r="A85" i="136" s="1"/>
  <c r="A86" i="136" s="1"/>
  <c r="A87" i="136" s="1"/>
  <c r="A89" i="136" s="1"/>
  <c r="A90" i="136" s="1"/>
  <c r="A91" i="136" s="1"/>
  <c r="A92" i="136" s="1"/>
  <c r="A93" i="136" s="1"/>
  <c r="A94" i="136" s="1"/>
  <c r="A95" i="136" s="1"/>
  <c r="A96" i="136" s="1"/>
  <c r="A97" i="136" s="1"/>
  <c r="A1" i="69"/>
  <c r="A2" i="69"/>
  <c r="A4" i="69"/>
  <c r="A15" i="69"/>
  <c r="A16" i="69" s="1"/>
  <c r="A17" i="69" s="1"/>
  <c r="A18" i="69" s="1"/>
  <c r="A19" i="69" s="1"/>
  <c r="A20" i="69" s="1"/>
  <c r="A21" i="69" s="1"/>
  <c r="A22" i="69" s="1"/>
  <c r="A23" i="69" s="1"/>
  <c r="A24" i="69" s="1"/>
  <c r="A25" i="69" s="1"/>
  <c r="A26" i="69" s="1"/>
  <c r="A27" i="69" s="1"/>
  <c r="A28" i="69" s="1"/>
  <c r="A29" i="69" s="1"/>
  <c r="A31" i="69" s="1"/>
  <c r="A33" i="69" s="1"/>
  <c r="I27" i="69"/>
  <c r="M27" i="69" s="1"/>
  <c r="A2" i="68"/>
  <c r="A17" i="68"/>
  <c r="A18" i="68" s="1"/>
  <c r="A19" i="68" s="1"/>
  <c r="A20" i="68" s="1"/>
  <c r="A21" i="68" s="1"/>
  <c r="A23" i="68" s="1"/>
  <c r="A25" i="68" s="1"/>
  <c r="A26" i="68" s="1"/>
  <c r="A27" i="68" s="1"/>
  <c r="A29" i="68" s="1"/>
  <c r="A31" i="68" s="1"/>
  <c r="A33" i="68" s="1"/>
  <c r="A9" i="66"/>
  <c r="C13" i="66"/>
  <c r="C15" i="66"/>
  <c r="A2" i="142"/>
  <c r="H19" i="23"/>
  <c r="J19" i="23" s="1"/>
  <c r="B32" i="60"/>
  <c r="K16" i="23" s="1"/>
  <c r="C32" i="60"/>
  <c r="K17" i="23" s="1"/>
  <c r="F32" i="60"/>
  <c r="K20" i="23" s="1"/>
  <c r="E32" i="61"/>
  <c r="K26" i="23" s="1"/>
  <c r="F32" i="61"/>
  <c r="K27" i="23" s="1"/>
  <c r="G32" i="61"/>
  <c r="K28" i="23" s="1"/>
  <c r="H32" i="61"/>
  <c r="K29" i="23" s="1"/>
  <c r="I32" i="61"/>
  <c r="K30" i="23" s="1"/>
  <c r="J32" i="61"/>
  <c r="K31" i="23" s="1"/>
  <c r="K32" i="61"/>
  <c r="K32" i="23" s="1"/>
  <c r="L32" i="61"/>
  <c r="K33" i="23" s="1"/>
  <c r="N32" i="61"/>
  <c r="O32" i="61"/>
  <c r="K36" i="23" s="1"/>
  <c r="A1" i="24"/>
  <c r="A2" i="24"/>
  <c r="A4" i="24"/>
  <c r="B32" i="24"/>
  <c r="K13" i="23" s="1"/>
  <c r="D32" i="24"/>
  <c r="K41" i="23" s="1"/>
  <c r="F32" i="24"/>
  <c r="K42" i="23" s="1"/>
  <c r="J21" i="59"/>
  <c r="M21" i="59"/>
  <c r="K24" i="59"/>
  <c r="N24" i="59"/>
  <c r="J31" i="59"/>
  <c r="M31" i="59"/>
  <c r="I35" i="59"/>
  <c r="K35" i="59" s="1"/>
  <c r="L35" i="59"/>
  <c r="N35" i="59" s="1"/>
  <c r="A1" i="23"/>
  <c r="A2" i="23"/>
  <c r="H13" i="23"/>
  <c r="J13" i="23" s="1"/>
  <c r="A15" i="23"/>
  <c r="A16" i="23" s="1"/>
  <c r="A17" i="23" s="1"/>
  <c r="A18" i="23" s="1"/>
  <c r="A19" i="23" s="1"/>
  <c r="A20" i="23" s="1"/>
  <c r="A21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40" i="23" s="1"/>
  <c r="A41" i="23" s="1"/>
  <c r="A42" i="23" s="1"/>
  <c r="A43" i="23" s="1"/>
  <c r="A45" i="23" s="1"/>
  <c r="H16" i="23"/>
  <c r="H17" i="23"/>
  <c r="J17" i="23" s="1"/>
  <c r="H18" i="23"/>
  <c r="J18" i="23" s="1"/>
  <c r="H20" i="23"/>
  <c r="J20" i="23" s="1"/>
  <c r="H26" i="23"/>
  <c r="J26" i="23" s="1"/>
  <c r="H27" i="23"/>
  <c r="J27" i="23" s="1"/>
  <c r="H28" i="23"/>
  <c r="J28" i="23" s="1"/>
  <c r="H29" i="23"/>
  <c r="J29" i="23" s="1"/>
  <c r="H30" i="23"/>
  <c r="J30" i="23" s="1"/>
  <c r="H31" i="23"/>
  <c r="J31" i="23" s="1"/>
  <c r="H32" i="23"/>
  <c r="J32" i="23" s="1"/>
  <c r="H33" i="23"/>
  <c r="J33" i="23" s="1"/>
  <c r="H35" i="23"/>
  <c r="J35" i="23" s="1"/>
  <c r="K35" i="23"/>
  <c r="H36" i="23"/>
  <c r="J36" i="23" s="1"/>
  <c r="H41" i="23"/>
  <c r="J41" i="23" s="1"/>
  <c r="H42" i="23"/>
  <c r="J42" i="23" s="1"/>
  <c r="A1" i="53"/>
  <c r="A2" i="53"/>
  <c r="A15" i="53"/>
  <c r="A16" i="53" s="1"/>
  <c r="A17" i="53" s="1"/>
  <c r="A18" i="53" s="1"/>
  <c r="A19" i="53" s="1"/>
  <c r="A20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8" i="53" s="1"/>
  <c r="A39" i="53" s="1"/>
  <c r="A40" i="53" s="1"/>
  <c r="A41" i="53" s="1"/>
  <c r="A43" i="53" s="1"/>
  <c r="J15" i="53"/>
  <c r="J16" i="53"/>
  <c r="J18" i="53"/>
  <c r="J19" i="53"/>
  <c r="J25" i="53"/>
  <c r="J26" i="53"/>
  <c r="J27" i="53"/>
  <c r="J28" i="53"/>
  <c r="J29" i="53"/>
  <c r="J30" i="53"/>
  <c r="J31" i="53"/>
  <c r="J32" i="53"/>
  <c r="J34" i="53"/>
  <c r="J35" i="53"/>
  <c r="J39" i="53"/>
  <c r="J40" i="53"/>
  <c r="H41" i="53"/>
  <c r="J41" i="53" s="1"/>
  <c r="A1" i="51"/>
  <c r="A2" i="51"/>
  <c r="A16" i="51"/>
  <c r="A18" i="51" s="1"/>
  <c r="A20" i="51" s="1"/>
  <c r="A22" i="51" s="1"/>
  <c r="A24" i="51" s="1"/>
  <c r="A26" i="51" s="1"/>
  <c r="A28" i="51" s="1"/>
  <c r="A30" i="51" s="1"/>
  <c r="A1" i="21"/>
  <c r="A2" i="21"/>
  <c r="A16" i="21"/>
  <c r="A18" i="21" s="1"/>
  <c r="A20" i="21" s="1"/>
  <c r="A22" i="21" s="1"/>
  <c r="A24" i="21" s="1"/>
  <c r="A26" i="21" s="1"/>
  <c r="A28" i="21" s="1"/>
  <c r="A30" i="21" s="1"/>
  <c r="A1" i="49"/>
  <c r="A2" i="49"/>
  <c r="C11" i="49"/>
  <c r="D11" i="49"/>
  <c r="E11" i="49"/>
  <c r="F11" i="49"/>
  <c r="G11" i="49"/>
  <c r="H11" i="49"/>
  <c r="I11" i="49"/>
  <c r="J11" i="49"/>
  <c r="E12" i="49"/>
  <c r="G12" i="49"/>
  <c r="A13" i="49"/>
  <c r="E13" i="49"/>
  <c r="G13" i="49"/>
  <c r="H13" i="49"/>
  <c r="H15" i="49" s="1"/>
  <c r="H17" i="49" s="1"/>
  <c r="H19" i="49" s="1"/>
  <c r="H21" i="49" s="1"/>
  <c r="H23" i="49" s="1"/>
  <c r="H25" i="49" s="1"/>
  <c r="H27" i="49" s="1"/>
  <c r="H29" i="49" s="1"/>
  <c r="H31" i="49" s="1"/>
  <c r="H33" i="49" s="1"/>
  <c r="H35" i="49" s="1"/>
  <c r="A14" i="49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8" i="49" s="1"/>
  <c r="A39" i="49" s="1"/>
  <c r="A40" i="49" s="1"/>
  <c r="A41" i="49" s="1"/>
  <c r="A42" i="49" s="1"/>
  <c r="A43" i="49" s="1"/>
  <c r="A44" i="49" s="1"/>
  <c r="A45" i="49" s="1"/>
  <c r="A46" i="49" s="1"/>
  <c r="A47" i="49" s="1"/>
  <c r="A48" i="49" s="1"/>
  <c r="A49" i="49" s="1"/>
  <c r="A50" i="49" s="1"/>
  <c r="A51" i="49" s="1"/>
  <c r="A52" i="49" s="1"/>
  <c r="A53" i="49" s="1"/>
  <c r="A54" i="49" s="1"/>
  <c r="A55" i="49" s="1"/>
  <c r="A56" i="49" s="1"/>
  <c r="A57" i="49" s="1"/>
  <c r="A59" i="49" s="1"/>
  <c r="A60" i="49" s="1"/>
  <c r="A61" i="49" s="1"/>
  <c r="A62" i="49" s="1"/>
  <c r="A63" i="49" s="1"/>
  <c r="A64" i="49" s="1"/>
  <c r="A65" i="49" s="1"/>
  <c r="A66" i="49" s="1"/>
  <c r="A67" i="49" s="1"/>
  <c r="A68" i="49" s="1"/>
  <c r="A69" i="49" s="1"/>
  <c r="A70" i="49" s="1"/>
  <c r="A71" i="49" s="1"/>
  <c r="A73" i="49" s="1"/>
  <c r="A74" i="49" s="1"/>
  <c r="D14" i="49"/>
  <c r="D16" i="49" s="1"/>
  <c r="F36" i="49"/>
  <c r="E15" i="49"/>
  <c r="G15" i="49"/>
  <c r="E17" i="49"/>
  <c r="G17" i="49"/>
  <c r="E19" i="49"/>
  <c r="G19" i="49"/>
  <c r="E21" i="49"/>
  <c r="G21" i="49"/>
  <c r="E23" i="49"/>
  <c r="G23" i="49"/>
  <c r="E25" i="49"/>
  <c r="G25" i="49"/>
  <c r="E27" i="49"/>
  <c r="G27" i="49"/>
  <c r="E29" i="49"/>
  <c r="G29" i="49"/>
  <c r="E31" i="49"/>
  <c r="G31" i="49"/>
  <c r="E33" i="49"/>
  <c r="G33" i="49"/>
  <c r="E35" i="49"/>
  <c r="G35" i="49"/>
  <c r="E38" i="49"/>
  <c r="G38" i="49"/>
  <c r="D39" i="49"/>
  <c r="F39" i="49"/>
  <c r="F41" i="49" s="1"/>
  <c r="F43" i="49" s="1"/>
  <c r="F45" i="49" s="1"/>
  <c r="F47" i="49" s="1"/>
  <c r="F49" i="49" s="1"/>
  <c r="F51" i="49" s="1"/>
  <c r="F57" i="49" s="1"/>
  <c r="E40" i="49"/>
  <c r="G40" i="49"/>
  <c r="E42" i="49"/>
  <c r="G42" i="49"/>
  <c r="J43" i="49"/>
  <c r="E44" i="49"/>
  <c r="G44" i="49"/>
  <c r="J45" i="49"/>
  <c r="E46" i="49"/>
  <c r="G46" i="49"/>
  <c r="J47" i="49"/>
  <c r="E48" i="49"/>
  <c r="G48" i="49"/>
  <c r="J49" i="49"/>
  <c r="E50" i="49"/>
  <c r="G50" i="49"/>
  <c r="J51" i="49"/>
  <c r="E52" i="49"/>
  <c r="G52" i="49"/>
  <c r="E53" i="49"/>
  <c r="G53" i="49"/>
  <c r="E54" i="49"/>
  <c r="G54" i="49"/>
  <c r="E55" i="49"/>
  <c r="G55" i="49"/>
  <c r="E56" i="49"/>
  <c r="G56" i="49"/>
  <c r="E59" i="49"/>
  <c r="G59" i="49"/>
  <c r="E60" i="49"/>
  <c r="G60" i="49"/>
  <c r="E61" i="49"/>
  <c r="G61" i="49"/>
  <c r="E62" i="49"/>
  <c r="G62" i="49"/>
  <c r="E63" i="49"/>
  <c r="G63" i="49"/>
  <c r="E64" i="49"/>
  <c r="G64" i="49"/>
  <c r="E65" i="49"/>
  <c r="G65" i="49"/>
  <c r="E66" i="49"/>
  <c r="G66" i="49"/>
  <c r="E67" i="49"/>
  <c r="G67" i="49"/>
  <c r="E68" i="49"/>
  <c r="G68" i="49"/>
  <c r="E69" i="49"/>
  <c r="G69" i="49"/>
  <c r="E70" i="49"/>
  <c r="G70" i="49"/>
  <c r="D71" i="49"/>
  <c r="F71" i="49"/>
  <c r="B1" i="19"/>
  <c r="B2" i="19"/>
  <c r="A11" i="19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4" i="19" s="1"/>
  <c r="C24" i="19"/>
  <c r="D17" i="54" s="1"/>
  <c r="G17" i="54" s="1"/>
  <c r="A1" i="54"/>
  <c r="A2" i="54"/>
  <c r="G15" i="54"/>
  <c r="A1" i="34"/>
  <c r="A2" i="34"/>
  <c r="F15" i="34"/>
  <c r="A1" i="50"/>
  <c r="A2" i="50"/>
  <c r="L17" i="50"/>
  <c r="A1" i="22"/>
  <c r="A2" i="22"/>
  <c r="L17" i="22"/>
  <c r="A1" i="37"/>
  <c r="A2" i="37"/>
  <c r="I17" i="37"/>
  <c r="O17" i="37"/>
  <c r="D65" i="57" s="1"/>
  <c r="A18" i="37"/>
  <c r="A19" i="37" s="1"/>
  <c r="A21" i="37" s="1"/>
  <c r="A22" i="37" s="1"/>
  <c r="A23" i="37" s="1"/>
  <c r="I18" i="37"/>
  <c r="O18" i="37"/>
  <c r="D68" i="57" s="1"/>
  <c r="G19" i="37"/>
  <c r="K19" i="37"/>
  <c r="I21" i="37"/>
  <c r="O21" i="37"/>
  <c r="D80" i="41" s="1"/>
  <c r="G80" i="41" s="1"/>
  <c r="K80" i="41" s="1"/>
  <c r="I22" i="37"/>
  <c r="O22" i="37"/>
  <c r="I23" i="37"/>
  <c r="O23" i="37"/>
  <c r="D84" i="57" s="1"/>
  <c r="O25" i="37"/>
  <c r="I26" i="37"/>
  <c r="O26" i="37"/>
  <c r="D96" i="41" s="1"/>
  <c r="G96" i="41" s="1"/>
  <c r="D202" i="41" s="1"/>
  <c r="G202" i="41" s="1"/>
  <c r="O27" i="37"/>
  <c r="I28" i="37"/>
  <c r="O28" i="37"/>
  <c r="O30" i="37"/>
  <c r="D120" i="41" s="1"/>
  <c r="G120" i="41" s="1"/>
  <c r="K120" i="41" s="1"/>
  <c r="I31" i="37"/>
  <c r="O31" i="37"/>
  <c r="D119" i="57" s="1"/>
  <c r="I32" i="37"/>
  <c r="O32" i="37"/>
  <c r="D121" i="57" s="1"/>
  <c r="I33" i="37"/>
  <c r="O33" i="37"/>
  <c r="D126" i="57" s="1"/>
  <c r="I38" i="37"/>
  <c r="O38" i="37"/>
  <c r="A1" i="135"/>
  <c r="A2" i="135"/>
  <c r="A1" i="13"/>
  <c r="A2" i="13"/>
  <c r="A1" i="43"/>
  <c r="A2" i="43"/>
  <c r="A14" i="43"/>
  <c r="A15" i="43" s="1"/>
  <c r="A16" i="43" s="1"/>
  <c r="A17" i="43" s="1"/>
  <c r="A18" i="43" s="1"/>
  <c r="A19" i="43" s="1"/>
  <c r="A22" i="43" s="1"/>
  <c r="A23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H23" i="43"/>
  <c r="A44" i="43"/>
  <c r="A45" i="43"/>
  <c r="A47" i="43"/>
  <c r="S49" i="43"/>
  <c r="F53" i="43"/>
  <c r="G53" i="43"/>
  <c r="H53" i="43"/>
  <c r="I53" i="43"/>
  <c r="J53" i="43"/>
  <c r="K53" i="43"/>
  <c r="L53" i="43"/>
  <c r="M53" i="43"/>
  <c r="N53" i="43"/>
  <c r="O53" i="43"/>
  <c r="P53" i="43"/>
  <c r="Q53" i="43"/>
  <c r="R53" i="43"/>
  <c r="A57" i="43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7" i="43" s="1"/>
  <c r="A88" i="43" s="1"/>
  <c r="A90" i="43" s="1"/>
  <c r="A1" i="42"/>
  <c r="A2" i="42"/>
  <c r="A13" i="42"/>
  <c r="A14" i="42" s="1"/>
  <c r="A15" i="42" s="1"/>
  <c r="A16" i="42" s="1"/>
  <c r="A17" i="42" s="1"/>
  <c r="A18" i="42" s="1"/>
  <c r="A21" i="42" s="1"/>
  <c r="A22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F18" i="42"/>
  <c r="G18" i="42"/>
  <c r="H18" i="42"/>
  <c r="I18" i="42"/>
  <c r="J18" i="42"/>
  <c r="K18" i="42"/>
  <c r="F22" i="42"/>
  <c r="G22" i="42"/>
  <c r="H22" i="42"/>
  <c r="I22" i="42"/>
  <c r="J22" i="42"/>
  <c r="K22" i="42"/>
  <c r="I82" i="57"/>
  <c r="I94" i="57"/>
  <c r="A43" i="42"/>
  <c r="A44" i="42"/>
  <c r="A46" i="42"/>
  <c r="Q48" i="42"/>
  <c r="F51" i="42"/>
  <c r="G51" i="42"/>
  <c r="H51" i="42"/>
  <c r="I51" i="42"/>
  <c r="J51" i="42"/>
  <c r="K51" i="42"/>
  <c r="L51" i="42"/>
  <c r="M51" i="42"/>
  <c r="N51" i="42"/>
  <c r="O51" i="42"/>
  <c r="P51" i="42"/>
  <c r="Q51" i="42"/>
  <c r="F52" i="42"/>
  <c r="G52" i="42"/>
  <c r="H52" i="42"/>
  <c r="I52" i="42"/>
  <c r="J52" i="42"/>
  <c r="K52" i="42"/>
  <c r="L52" i="42"/>
  <c r="M52" i="42"/>
  <c r="N52" i="42"/>
  <c r="O52" i="42"/>
  <c r="P52" i="42"/>
  <c r="Q52" i="42"/>
  <c r="A56" i="42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6" i="42" s="1"/>
  <c r="A88" i="42" s="1"/>
  <c r="A89" i="42" s="1"/>
  <c r="A91" i="42" s="1"/>
  <c r="I118" i="57"/>
  <c r="I121" i="57"/>
  <c r="F84" i="42"/>
  <c r="J84" i="42"/>
  <c r="H84" i="42"/>
  <c r="I84" i="42"/>
  <c r="A1" i="48"/>
  <c r="A2" i="48"/>
  <c r="L55" i="48"/>
  <c r="F10" i="48"/>
  <c r="L13" i="48"/>
  <c r="A18" i="48"/>
  <c r="A19" i="48" s="1"/>
  <c r="A20" i="48" s="1"/>
  <c r="A21" i="48" s="1"/>
  <c r="A22" i="48" s="1"/>
  <c r="A23" i="48" s="1"/>
  <c r="A25" i="48" s="1"/>
  <c r="A26" i="48" s="1"/>
  <c r="A27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J23" i="48"/>
  <c r="J27" i="48"/>
  <c r="A48" i="48"/>
  <c r="A49" i="48"/>
  <c r="A51" i="48"/>
  <c r="F57" i="48"/>
  <c r="L60" i="48"/>
  <c r="A65" i="48"/>
  <c r="A66" i="48" s="1"/>
  <c r="A67" i="48" s="1"/>
  <c r="A68" i="48" s="1"/>
  <c r="A69" i="48" s="1"/>
  <c r="A70" i="48" s="1"/>
  <c r="A71" i="48" s="1"/>
  <c r="A72" i="48" s="1"/>
  <c r="A73" i="48" s="1"/>
  <c r="A74" i="48" s="1"/>
  <c r="A75" i="48" s="1"/>
  <c r="A76" i="48" s="1"/>
  <c r="A78" i="48" s="1"/>
  <c r="A79" i="48" s="1"/>
  <c r="A80" i="48" s="1"/>
  <c r="A81" i="48" s="1"/>
  <c r="A82" i="48" s="1"/>
  <c r="A83" i="48" s="1"/>
  <c r="A84" i="48" s="1"/>
  <c r="A85" i="48" s="1"/>
  <c r="A86" i="48" s="1"/>
  <c r="A87" i="48" s="1"/>
  <c r="A88" i="48" s="1"/>
  <c r="A89" i="48" s="1"/>
  <c r="A90" i="48" s="1"/>
  <c r="A91" i="48" s="1"/>
  <c r="A92" i="48" s="1"/>
  <c r="A93" i="48" s="1"/>
  <c r="J76" i="48"/>
  <c r="J93" i="48"/>
  <c r="A1" i="12"/>
  <c r="A2" i="12"/>
  <c r="K53" i="12"/>
  <c r="A16" i="12"/>
  <c r="A17" i="12" s="1"/>
  <c r="A18" i="12" s="1"/>
  <c r="A19" i="12" s="1"/>
  <c r="A20" i="12" s="1"/>
  <c r="A21" i="12" s="1"/>
  <c r="A23" i="12" s="1"/>
  <c r="A24" i="12" s="1"/>
  <c r="A25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J21" i="12"/>
  <c r="J25" i="12"/>
  <c r="A46" i="12"/>
  <c r="A47" i="12"/>
  <c r="A49" i="12"/>
  <c r="A61" i="12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J72" i="12"/>
  <c r="J89" i="12"/>
  <c r="A1" i="134"/>
  <c r="A2" i="134"/>
  <c r="A1" i="11"/>
  <c r="A2" i="11"/>
  <c r="A1" i="133"/>
  <c r="A2" i="133"/>
  <c r="A1" i="10"/>
  <c r="A2" i="10"/>
  <c r="A1" i="132"/>
  <c r="A2" i="132"/>
  <c r="A1" i="9"/>
  <c r="A2" i="9"/>
  <c r="A1" i="131"/>
  <c r="A2" i="131"/>
  <c r="A1" i="8"/>
  <c r="A2" i="8"/>
  <c r="A1" i="130"/>
  <c r="A2" i="130"/>
  <c r="A16" i="130"/>
  <c r="A17" i="130" s="1"/>
  <c r="A18" i="130" s="1"/>
  <c r="A19" i="130" s="1"/>
  <c r="A20" i="130" s="1"/>
  <c r="A21" i="130" s="1"/>
  <c r="A22" i="130" s="1"/>
  <c r="A24" i="130" s="1"/>
  <c r="A25" i="130" s="1"/>
  <c r="A26" i="130" s="1"/>
  <c r="A28" i="130" s="1"/>
  <c r="A29" i="130" s="1"/>
  <c r="A30" i="130" s="1"/>
  <c r="A31" i="130" s="1"/>
  <c r="A32" i="130" s="1"/>
  <c r="A33" i="130" s="1"/>
  <c r="A34" i="130" s="1"/>
  <c r="A35" i="130" s="1"/>
  <c r="A36" i="130" s="1"/>
  <c r="A37" i="130" s="1"/>
  <c r="A38" i="130" s="1"/>
  <c r="A39" i="130" s="1"/>
  <c r="A40" i="130" s="1"/>
  <c r="A41" i="130" s="1"/>
  <c r="A42" i="130" s="1"/>
  <c r="A43" i="130" s="1"/>
  <c r="A44" i="130" s="1"/>
  <c r="A45" i="130" s="1"/>
  <c r="G22" i="130"/>
  <c r="G26" i="130"/>
  <c r="A46" i="130"/>
  <c r="A47" i="130"/>
  <c r="A49" i="130"/>
  <c r="A53" i="130"/>
  <c r="A62" i="130"/>
  <c r="A63" i="130" s="1"/>
  <c r="A64" i="130" s="1"/>
  <c r="A65" i="130" s="1"/>
  <c r="A66" i="130" s="1"/>
  <c r="A67" i="130" s="1"/>
  <c r="A68" i="130" s="1"/>
  <c r="A69" i="130" s="1"/>
  <c r="A70" i="130" s="1"/>
  <c r="A71" i="130" s="1"/>
  <c r="A72" i="130" s="1"/>
  <c r="A73" i="130" s="1"/>
  <c r="A75" i="130" s="1"/>
  <c r="A76" i="130" s="1"/>
  <c r="A77" i="130" s="1"/>
  <c r="A78" i="130" s="1"/>
  <c r="A79" i="130" s="1"/>
  <c r="A80" i="130" s="1"/>
  <c r="A81" i="130" s="1"/>
  <c r="A82" i="130" s="1"/>
  <c r="A83" i="130" s="1"/>
  <c r="A84" i="130" s="1"/>
  <c r="A85" i="130" s="1"/>
  <c r="A86" i="130" s="1"/>
  <c r="A87" i="130" s="1"/>
  <c r="A88" i="130" s="1"/>
  <c r="A89" i="130" s="1"/>
  <c r="A90" i="130" s="1"/>
  <c r="G73" i="130"/>
  <c r="G90" i="130"/>
  <c r="A1" i="7"/>
  <c r="A2" i="7"/>
  <c r="A16" i="7"/>
  <c r="A17" i="7" s="1"/>
  <c r="A18" i="7" s="1"/>
  <c r="A19" i="7" s="1"/>
  <c r="A20" i="7" s="1"/>
  <c r="A21" i="7" s="1"/>
  <c r="A22" i="7" s="1"/>
  <c r="A24" i="7" s="1"/>
  <c r="A25" i="7" s="1"/>
  <c r="A26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H17" i="7"/>
  <c r="H18" i="7"/>
  <c r="H19" i="7"/>
  <c r="H20" i="7"/>
  <c r="E22" i="7"/>
  <c r="F22" i="7"/>
  <c r="G22" i="7"/>
  <c r="H25" i="7"/>
  <c r="D26" i="7"/>
  <c r="E26" i="7"/>
  <c r="F26" i="7"/>
  <c r="G26" i="7"/>
  <c r="H29" i="7"/>
  <c r="H30" i="7"/>
  <c r="H33" i="7"/>
  <c r="H34" i="7"/>
  <c r="H36" i="7"/>
  <c r="H38" i="7"/>
  <c r="H39" i="7"/>
  <c r="H41" i="7"/>
  <c r="H43" i="7"/>
  <c r="H44" i="7"/>
  <c r="A46" i="7"/>
  <c r="A47" i="7"/>
  <c r="A49" i="7"/>
  <c r="A53" i="7"/>
  <c r="A62" i="7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H65" i="7"/>
  <c r="H68" i="7"/>
  <c r="H72" i="7"/>
  <c r="G73" i="7"/>
  <c r="H77" i="7"/>
  <c r="H78" i="7"/>
  <c r="H79" i="7"/>
  <c r="H80" i="7"/>
  <c r="H81" i="7"/>
  <c r="H82" i="7"/>
  <c r="H83" i="7"/>
  <c r="H84" i="7"/>
  <c r="H85" i="7"/>
  <c r="H87" i="7"/>
  <c r="H89" i="7"/>
  <c r="G90" i="7"/>
  <c r="A1" i="128"/>
  <c r="A2" i="128"/>
  <c r="A1" i="129"/>
  <c r="A2" i="129"/>
  <c r="A1" i="58"/>
  <c r="A2" i="58"/>
  <c r="A16" i="58"/>
  <c r="A17" i="58" s="1"/>
  <c r="A18" i="58" s="1"/>
  <c r="A19" i="58" s="1"/>
  <c r="A21" i="58" s="1"/>
  <c r="A22" i="58" s="1"/>
  <c r="A23" i="58" s="1"/>
  <c r="A24" i="58" s="1"/>
  <c r="A25" i="58" s="1"/>
  <c r="A26" i="58" s="1"/>
  <c r="A27" i="58" s="1"/>
  <c r="A28" i="58" s="1"/>
  <c r="A29" i="58" s="1"/>
  <c r="A30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1" i="58" s="1"/>
  <c r="A42" i="58" s="1"/>
  <c r="A43" i="58" s="1"/>
  <c r="A44" i="58" s="1"/>
  <c r="A45" i="58" s="1"/>
  <c r="A46" i="58" s="1"/>
  <c r="A47" i="58" s="1"/>
  <c r="A48" i="58" s="1"/>
  <c r="A49" i="58" s="1"/>
  <c r="A50" i="58" s="1"/>
  <c r="A51" i="58" s="1"/>
  <c r="A52" i="58" s="1"/>
  <c r="A53" i="58" s="1"/>
  <c r="A54" i="58" s="1"/>
  <c r="A55" i="58" s="1"/>
  <c r="A56" i="58" s="1"/>
  <c r="A57" i="58" s="1"/>
  <c r="A58" i="58" s="1"/>
  <c r="A59" i="58" s="1"/>
  <c r="A60" i="58" s="1"/>
  <c r="A61" i="58" s="1"/>
  <c r="A62" i="58" s="1"/>
  <c r="A63" i="58" s="1"/>
  <c r="A64" i="58" s="1"/>
  <c r="A65" i="58" s="1"/>
  <c r="A66" i="58" s="1"/>
  <c r="A67" i="58" s="1"/>
  <c r="A68" i="58" s="1"/>
  <c r="A69" i="58" s="1"/>
  <c r="A70" i="58" s="1"/>
  <c r="A71" i="58" s="1"/>
  <c r="A72" i="58" s="1"/>
  <c r="A73" i="58" s="1"/>
  <c r="A74" i="58" s="1"/>
  <c r="A75" i="58" s="1"/>
  <c r="A76" i="58" s="1"/>
  <c r="A77" i="58" s="1"/>
  <c r="A78" i="58" s="1"/>
  <c r="D19" i="58"/>
  <c r="G19" i="58"/>
  <c r="H19" i="58"/>
  <c r="K65" i="57" s="1"/>
  <c r="I19" i="58"/>
  <c r="K171" i="57" s="1"/>
  <c r="J19" i="58"/>
  <c r="K277" i="57" s="1"/>
  <c r="K19" i="58"/>
  <c r="K383" i="57" s="1"/>
  <c r="L19" i="58"/>
  <c r="K489" i="57" s="1"/>
  <c r="M19" i="58"/>
  <c r="K595" i="57" s="1"/>
  <c r="N19" i="58"/>
  <c r="K701" i="57" s="1"/>
  <c r="O19" i="58"/>
  <c r="K807" i="57" s="1"/>
  <c r="P19" i="58"/>
  <c r="K913" i="57" s="1"/>
  <c r="Q19" i="58"/>
  <c r="K1019" i="57" s="1"/>
  <c r="A80" i="58"/>
  <c r="A81" i="58"/>
  <c r="A96" i="58"/>
  <c r="A97" i="58" s="1"/>
  <c r="A98" i="58" s="1"/>
  <c r="A99" i="58" s="1"/>
  <c r="A100" i="58" s="1"/>
  <c r="A101" i="58" s="1"/>
  <c r="A109" i="58"/>
  <c r="A110" i="58"/>
  <c r="A124" i="58"/>
  <c r="A125" i="58" s="1"/>
  <c r="A126" i="58" s="1"/>
  <c r="A127" i="58" s="1"/>
  <c r="A129" i="58" s="1"/>
  <c r="A130" i="58" s="1"/>
  <c r="A131" i="58" s="1"/>
  <c r="A132" i="58" s="1"/>
  <c r="A133" i="58" s="1"/>
  <c r="A134" i="58" s="1"/>
  <c r="A135" i="58" s="1"/>
  <c r="A136" i="58" s="1"/>
  <c r="A137" i="58" s="1"/>
  <c r="A138" i="58" s="1"/>
  <c r="A139" i="58" s="1"/>
  <c r="A140" i="58" s="1"/>
  <c r="A141" i="58" s="1"/>
  <c r="A142" i="58" s="1"/>
  <c r="A143" i="58" s="1"/>
  <c r="A144" i="58" s="1"/>
  <c r="A145" i="58" s="1"/>
  <c r="A146" i="58" s="1"/>
  <c r="A147" i="58" s="1"/>
  <c r="A148" i="58" s="1"/>
  <c r="A149" i="58" s="1"/>
  <c r="A150" i="58" s="1"/>
  <c r="A151" i="58" s="1"/>
  <c r="A152" i="58" s="1"/>
  <c r="A153" i="58" s="1"/>
  <c r="A154" i="58" s="1"/>
  <c r="A155" i="58" s="1"/>
  <c r="A156" i="58" s="1"/>
  <c r="A157" i="58" s="1"/>
  <c r="A158" i="58" s="1"/>
  <c r="A159" i="58" s="1"/>
  <c r="A160" i="58" s="1"/>
  <c r="A161" i="58" s="1"/>
  <c r="A162" i="58" s="1"/>
  <c r="A163" i="58" s="1"/>
  <c r="A164" i="58" s="1"/>
  <c r="A165" i="58" s="1"/>
  <c r="A166" i="58" s="1"/>
  <c r="A167" i="58" s="1"/>
  <c r="A168" i="58" s="1"/>
  <c r="A169" i="58" s="1"/>
  <c r="A170" i="58" s="1"/>
  <c r="A171" i="58" s="1"/>
  <c r="A172" i="58" s="1"/>
  <c r="A173" i="58" s="1"/>
  <c r="A174" i="58" s="1"/>
  <c r="A175" i="58" s="1"/>
  <c r="A176" i="58" s="1"/>
  <c r="A177" i="58" s="1"/>
  <c r="A178" i="58" s="1"/>
  <c r="A179" i="58" s="1"/>
  <c r="A180" i="58" s="1"/>
  <c r="A181" i="58" s="1"/>
  <c r="A182" i="58" s="1"/>
  <c r="A183" i="58" s="1"/>
  <c r="A184" i="58" s="1"/>
  <c r="A185" i="58" s="1"/>
  <c r="A186" i="58" s="1"/>
  <c r="D127" i="58"/>
  <c r="G127" i="58"/>
  <c r="K1125" i="57" s="1"/>
  <c r="H127" i="58"/>
  <c r="K1231" i="57" s="1"/>
  <c r="I127" i="58"/>
  <c r="K1337" i="57" s="1"/>
  <c r="J127" i="58"/>
  <c r="K1443" i="57" s="1"/>
  <c r="K127" i="58"/>
  <c r="K1549" i="57" s="1"/>
  <c r="L127" i="58"/>
  <c r="K1655" i="57" s="1"/>
  <c r="M127" i="58"/>
  <c r="K1761" i="57" s="1"/>
  <c r="N127" i="58"/>
  <c r="K1867" i="57" s="1"/>
  <c r="O127" i="58"/>
  <c r="K1973" i="57" s="1"/>
  <c r="P127" i="58"/>
  <c r="K2079" i="57" s="1"/>
  <c r="Q127" i="58"/>
  <c r="K2185" i="57" s="1"/>
  <c r="R127" i="58"/>
  <c r="K2291" i="57" s="1"/>
  <c r="A188" i="58"/>
  <c r="A189" i="58"/>
  <c r="A203" i="58"/>
  <c r="A204" i="58" s="1"/>
  <c r="A205" i="58" s="1"/>
  <c r="A206" i="58" s="1"/>
  <c r="A207" i="58" s="1"/>
  <c r="A208" i="58" s="1"/>
  <c r="A209" i="58" s="1"/>
  <c r="A210" i="58" s="1"/>
  <c r="A211" i="58" s="1"/>
  <c r="A212" i="58" s="1"/>
  <c r="A213" i="58" s="1"/>
  <c r="A214" i="58" s="1"/>
  <c r="A215" i="58" s="1"/>
  <c r="A216" i="58" s="1"/>
  <c r="A1" i="57"/>
  <c r="A2" i="57"/>
  <c r="D15" i="57"/>
  <c r="E15" i="57"/>
  <c r="F15" i="57"/>
  <c r="G15" i="57"/>
  <c r="I15" i="57"/>
  <c r="J15" i="57"/>
  <c r="K15" i="57"/>
  <c r="L15" i="57"/>
  <c r="M15" i="57"/>
  <c r="A18" i="57"/>
  <c r="A19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1" i="57" s="1"/>
  <c r="A43" i="57" s="1"/>
  <c r="A46" i="57"/>
  <c r="A47" i="57"/>
  <c r="A51" i="57"/>
  <c r="N51" i="57"/>
  <c r="A52" i="57"/>
  <c r="A53" i="57"/>
  <c r="N59" i="57"/>
  <c r="D60" i="57"/>
  <c r="E60" i="57"/>
  <c r="F60" i="57"/>
  <c r="G60" i="57"/>
  <c r="I60" i="57"/>
  <c r="J60" i="57"/>
  <c r="K60" i="57"/>
  <c r="L60" i="57"/>
  <c r="M60" i="57"/>
  <c r="N60" i="57"/>
  <c r="A63" i="57"/>
  <c r="A64" i="57" s="1"/>
  <c r="A65" i="57" s="1"/>
  <c r="A66" i="57" s="1"/>
  <c r="A67" i="57" s="1"/>
  <c r="A68" i="57" s="1"/>
  <c r="A69" i="57" s="1"/>
  <c r="A71" i="57" s="1"/>
  <c r="A72" i="57" s="1"/>
  <c r="A73" i="57" s="1"/>
  <c r="A75" i="57" s="1"/>
  <c r="A76" i="57" s="1"/>
  <c r="A77" i="57" s="1"/>
  <c r="A78" i="57" s="1"/>
  <c r="A79" i="57" s="1"/>
  <c r="A80" i="57" s="1"/>
  <c r="A81" i="57" s="1"/>
  <c r="A82" i="57" s="1"/>
  <c r="A83" i="57" s="1"/>
  <c r="A84" i="57" s="1"/>
  <c r="A85" i="57" s="1"/>
  <c r="A86" i="57" s="1"/>
  <c r="A87" i="57" s="1"/>
  <c r="A93" i="57" s="1"/>
  <c r="A94" i="57" s="1"/>
  <c r="A95" i="57" s="1"/>
  <c r="A96" i="57" s="1"/>
  <c r="A97" i="57" s="1"/>
  <c r="D64" i="57"/>
  <c r="I64" i="57"/>
  <c r="I65" i="57"/>
  <c r="D66" i="57"/>
  <c r="I66" i="57"/>
  <c r="D67" i="57"/>
  <c r="I67" i="57"/>
  <c r="I68" i="57"/>
  <c r="D72" i="57"/>
  <c r="D73" i="57" s="1"/>
  <c r="I72" i="57"/>
  <c r="I73" i="57" s="1"/>
  <c r="K73" i="57"/>
  <c r="M73" i="57"/>
  <c r="D76" i="57"/>
  <c r="I76" i="57"/>
  <c r="D77" i="57"/>
  <c r="I77" i="57"/>
  <c r="I78" i="57"/>
  <c r="I79" i="57"/>
  <c r="D80" i="57"/>
  <c r="I80" i="57"/>
  <c r="D81" i="57"/>
  <c r="I81" i="57"/>
  <c r="D83" i="57"/>
  <c r="I83" i="57"/>
  <c r="I84" i="57"/>
  <c r="I85" i="57"/>
  <c r="D86" i="57"/>
  <c r="I86" i="57"/>
  <c r="I93" i="57"/>
  <c r="D95" i="57"/>
  <c r="I95" i="57"/>
  <c r="D96" i="57"/>
  <c r="I96" i="57"/>
  <c r="A99" i="57"/>
  <c r="A100" i="57"/>
  <c r="A104" i="57"/>
  <c r="N104" i="57"/>
  <c r="A105" i="57"/>
  <c r="A106" i="57"/>
  <c r="G112" i="57"/>
  <c r="N112" i="57" s="1"/>
  <c r="D113" i="57"/>
  <c r="E113" i="57"/>
  <c r="F113" i="57"/>
  <c r="G113" i="57"/>
  <c r="I113" i="57"/>
  <c r="J113" i="57"/>
  <c r="K113" i="57"/>
  <c r="L113" i="57"/>
  <c r="M113" i="57"/>
  <c r="N113" i="57"/>
  <c r="I116" i="57"/>
  <c r="A117" i="57"/>
  <c r="A118" i="57" s="1"/>
  <c r="A119" i="57" s="1"/>
  <c r="A120" i="57" s="1"/>
  <c r="A121" i="57" s="1"/>
  <c r="A122" i="57" s="1"/>
  <c r="A123" i="57" s="1"/>
  <c r="A124" i="57" s="1"/>
  <c r="A125" i="57" s="1"/>
  <c r="A126" i="57" s="1"/>
  <c r="A127" i="57" s="1"/>
  <c r="A128" i="57" s="1"/>
  <c r="A130" i="57" s="1"/>
  <c r="A131" i="57" s="1"/>
  <c r="A132" i="57" s="1"/>
  <c r="A133" i="57" s="1"/>
  <c r="A134" i="57" s="1"/>
  <c r="A135" i="57" s="1"/>
  <c r="A136" i="57" s="1"/>
  <c r="A137" i="57" s="1"/>
  <c r="A138" i="57" s="1"/>
  <c r="A139" i="57" s="1"/>
  <c r="A140" i="57" s="1"/>
  <c r="A141" i="57" s="1"/>
  <c r="A142" i="57" s="1"/>
  <c r="A143" i="57" s="1"/>
  <c r="A144" i="57" s="1"/>
  <c r="A145" i="57" s="1"/>
  <c r="D117" i="57"/>
  <c r="I117" i="57"/>
  <c r="I119" i="57"/>
  <c r="D120" i="57"/>
  <c r="I120" i="57"/>
  <c r="D122" i="57"/>
  <c r="I122" i="57"/>
  <c r="D123" i="57"/>
  <c r="I123" i="57"/>
  <c r="D124" i="57"/>
  <c r="I124" i="57"/>
  <c r="D125" i="57"/>
  <c r="I125" i="57"/>
  <c r="I126" i="57"/>
  <c r="D127" i="57"/>
  <c r="I127" i="57"/>
  <c r="I131" i="57"/>
  <c r="D132" i="57"/>
  <c r="I132" i="57"/>
  <c r="D133" i="57"/>
  <c r="I133" i="57"/>
  <c r="D134" i="57"/>
  <c r="I134" i="57"/>
  <c r="D135" i="57"/>
  <c r="I135" i="57"/>
  <c r="D136" i="57"/>
  <c r="I136" i="57"/>
  <c r="D137" i="57"/>
  <c r="D138" i="57"/>
  <c r="I138" i="57"/>
  <c r="D139" i="57"/>
  <c r="I139" i="57"/>
  <c r="D140" i="57"/>
  <c r="I140" i="57"/>
  <c r="I141" i="57"/>
  <c r="D142" i="57"/>
  <c r="I142" i="57"/>
  <c r="D143" i="57"/>
  <c r="I144" i="57"/>
  <c r="A152" i="57"/>
  <c r="A153" i="57"/>
  <c r="A157" i="57"/>
  <c r="N157" i="57"/>
  <c r="A158" i="57"/>
  <c r="A159" i="57"/>
  <c r="G218" i="57"/>
  <c r="N218" i="57" s="1"/>
  <c r="I165" i="57"/>
  <c r="N165" i="57"/>
  <c r="D166" i="57"/>
  <c r="E166" i="57"/>
  <c r="F166" i="57"/>
  <c r="G166" i="57"/>
  <c r="I166" i="57"/>
  <c r="J166" i="57"/>
  <c r="K166" i="57"/>
  <c r="L166" i="57"/>
  <c r="M166" i="57"/>
  <c r="N166" i="57"/>
  <c r="A169" i="57"/>
  <c r="A170" i="57" s="1"/>
  <c r="A171" i="57" s="1"/>
  <c r="A172" i="57" s="1"/>
  <c r="A173" i="57" s="1"/>
  <c r="A174" i="57" s="1"/>
  <c r="A175" i="57" s="1"/>
  <c r="A177" i="57" s="1"/>
  <c r="A178" i="57" s="1"/>
  <c r="A179" i="57" s="1"/>
  <c r="A181" i="57" s="1"/>
  <c r="A182" i="57" s="1"/>
  <c r="A183" i="57" s="1"/>
  <c r="A184" i="57" s="1"/>
  <c r="A185" i="57" s="1"/>
  <c r="A186" i="57" s="1"/>
  <c r="A187" i="57" s="1"/>
  <c r="A188" i="57" s="1"/>
  <c r="A189" i="57" s="1"/>
  <c r="A190" i="57" s="1"/>
  <c r="A191" i="57" s="1"/>
  <c r="A192" i="57" s="1"/>
  <c r="A193" i="57" s="1"/>
  <c r="A199" i="57" s="1"/>
  <c r="A200" i="57" s="1"/>
  <c r="A201" i="57" s="1"/>
  <c r="A202" i="57" s="1"/>
  <c r="A203" i="57" s="1"/>
  <c r="J170" i="57"/>
  <c r="J276" i="57" s="1"/>
  <c r="J171" i="57"/>
  <c r="J277" i="57" s="1"/>
  <c r="J172" i="57"/>
  <c r="J278" i="57" s="1"/>
  <c r="J173" i="57"/>
  <c r="J279" i="57" s="1"/>
  <c r="J174" i="57"/>
  <c r="J280" i="57" s="1"/>
  <c r="M175" i="57"/>
  <c r="J178" i="57"/>
  <c r="J284" i="57" s="1"/>
  <c r="K179" i="57"/>
  <c r="M179" i="57"/>
  <c r="J182" i="57"/>
  <c r="J288" i="57" s="1"/>
  <c r="J183" i="57"/>
  <c r="J289" i="57" s="1"/>
  <c r="J184" i="57"/>
  <c r="J290" i="57" s="1"/>
  <c r="J396" i="57" s="1"/>
  <c r="J502" i="57" s="1"/>
  <c r="J608" i="57" s="1"/>
  <c r="J714" i="57" s="1"/>
  <c r="J820" i="57" s="1"/>
  <c r="J926" i="57" s="1"/>
  <c r="J1032" i="57" s="1"/>
  <c r="J185" i="57"/>
  <c r="J291" i="57" s="1"/>
  <c r="J397" i="57" s="1"/>
  <c r="J503" i="57" s="1"/>
  <c r="J609" i="57" s="1"/>
  <c r="J715" i="57" s="1"/>
  <c r="J821" i="57" s="1"/>
  <c r="J927" i="57" s="1"/>
  <c r="J1033" i="57" s="1"/>
  <c r="J186" i="57"/>
  <c r="J292" i="57" s="1"/>
  <c r="J398" i="57" s="1"/>
  <c r="J504" i="57" s="1"/>
  <c r="J610" i="57" s="1"/>
  <c r="J716" i="57" s="1"/>
  <c r="J822" i="57" s="1"/>
  <c r="J928" i="57" s="1"/>
  <c r="J1034" i="57" s="1"/>
  <c r="J187" i="57"/>
  <c r="J293" i="57" s="1"/>
  <c r="J399" i="57" s="1"/>
  <c r="J505" i="57" s="1"/>
  <c r="J611" i="57" s="1"/>
  <c r="J717" i="57" s="1"/>
  <c r="J823" i="57" s="1"/>
  <c r="J929" i="57" s="1"/>
  <c r="J1035" i="57" s="1"/>
  <c r="J188" i="57"/>
  <c r="J294" i="57" s="1"/>
  <c r="J400" i="57" s="1"/>
  <c r="J506" i="57" s="1"/>
  <c r="J612" i="57" s="1"/>
  <c r="J718" i="57" s="1"/>
  <c r="J824" i="57" s="1"/>
  <c r="J930" i="57" s="1"/>
  <c r="J1036" i="57" s="1"/>
  <c r="J189" i="57"/>
  <c r="J295" i="57" s="1"/>
  <c r="J401" i="57" s="1"/>
  <c r="J507" i="57" s="1"/>
  <c r="J613" i="57" s="1"/>
  <c r="J719" i="57" s="1"/>
  <c r="J825" i="57" s="1"/>
  <c r="J931" i="57" s="1"/>
  <c r="J1037" i="57" s="1"/>
  <c r="J190" i="57"/>
  <c r="J296" i="57" s="1"/>
  <c r="J402" i="57" s="1"/>
  <c r="J508" i="57" s="1"/>
  <c r="J614" i="57" s="1"/>
  <c r="J720" i="57" s="1"/>
  <c r="J826" i="57" s="1"/>
  <c r="J932" i="57" s="1"/>
  <c r="J1038" i="57" s="1"/>
  <c r="J191" i="57"/>
  <c r="J297" i="57" s="1"/>
  <c r="J192" i="57"/>
  <c r="J298" i="57" s="1"/>
  <c r="J404" i="57" s="1"/>
  <c r="J510" i="57" s="1"/>
  <c r="J616" i="57" s="1"/>
  <c r="J722" i="57" s="1"/>
  <c r="J828" i="57" s="1"/>
  <c r="J934" i="57" s="1"/>
  <c r="J1040" i="57" s="1"/>
  <c r="J199" i="57"/>
  <c r="J305" i="57" s="1"/>
  <c r="J411" i="57" s="1"/>
  <c r="J517" i="57" s="1"/>
  <c r="J623" i="57" s="1"/>
  <c r="J729" i="57" s="1"/>
  <c r="J835" i="57" s="1"/>
  <c r="J941" i="57" s="1"/>
  <c r="J1047" i="57" s="1"/>
  <c r="J200" i="57"/>
  <c r="J306" i="57" s="1"/>
  <c r="J412" i="57" s="1"/>
  <c r="J518" i="57" s="1"/>
  <c r="J624" i="57" s="1"/>
  <c r="J730" i="57" s="1"/>
  <c r="J836" i="57" s="1"/>
  <c r="J942" i="57" s="1"/>
  <c r="J1048" i="57" s="1"/>
  <c r="J201" i="57"/>
  <c r="J307" i="57" s="1"/>
  <c r="J413" i="57" s="1"/>
  <c r="J519" i="57" s="1"/>
  <c r="J625" i="57" s="1"/>
  <c r="J731" i="57" s="1"/>
  <c r="J837" i="57" s="1"/>
  <c r="J943" i="57" s="1"/>
  <c r="J1049" i="57" s="1"/>
  <c r="J202" i="57"/>
  <c r="J308" i="57" s="1"/>
  <c r="J414" i="57" s="1"/>
  <c r="J520" i="57" s="1"/>
  <c r="J626" i="57" s="1"/>
  <c r="J732" i="57" s="1"/>
  <c r="J838" i="57" s="1"/>
  <c r="J944" i="57" s="1"/>
  <c r="J1050" i="57" s="1"/>
  <c r="J203" i="57"/>
  <c r="J309" i="57" s="1"/>
  <c r="J415" i="57" s="1"/>
  <c r="J521" i="57" s="1"/>
  <c r="J627" i="57" s="1"/>
  <c r="J733" i="57" s="1"/>
  <c r="J839" i="57" s="1"/>
  <c r="J945" i="57" s="1"/>
  <c r="J1051" i="57" s="1"/>
  <c r="A205" i="57"/>
  <c r="A206" i="57"/>
  <c r="A210" i="57"/>
  <c r="N210" i="57"/>
  <c r="A211" i="57"/>
  <c r="A212" i="57"/>
  <c r="D218" i="57"/>
  <c r="I218" i="57" s="1"/>
  <c r="D219" i="57"/>
  <c r="E219" i="57"/>
  <c r="F219" i="57"/>
  <c r="G219" i="57"/>
  <c r="I219" i="57"/>
  <c r="J219" i="57"/>
  <c r="K219" i="57"/>
  <c r="L219" i="57"/>
  <c r="M219" i="57"/>
  <c r="N219" i="57"/>
  <c r="J222" i="57"/>
  <c r="J328" i="57" s="1"/>
  <c r="J434" i="57" s="1"/>
  <c r="J540" i="57" s="1"/>
  <c r="J646" i="57" s="1"/>
  <c r="J752" i="57" s="1"/>
  <c r="J858" i="57" s="1"/>
  <c r="J964" i="57" s="1"/>
  <c r="J1070" i="57" s="1"/>
  <c r="A223" i="57"/>
  <c r="A224" i="57" s="1"/>
  <c r="A225" i="57" s="1"/>
  <c r="A226" i="57" s="1"/>
  <c r="A227" i="57" s="1"/>
  <c r="A228" i="57" s="1"/>
  <c r="A229" i="57" s="1"/>
  <c r="A230" i="57" s="1"/>
  <c r="A231" i="57" s="1"/>
  <c r="A232" i="57" s="1"/>
  <c r="A233" i="57" s="1"/>
  <c r="A234" i="57" s="1"/>
  <c r="A236" i="57" s="1"/>
  <c r="A237" i="57" s="1"/>
  <c r="A238" i="57" s="1"/>
  <c r="A239" i="57" s="1"/>
  <c r="A240" i="57" s="1"/>
  <c r="A241" i="57" s="1"/>
  <c r="A242" i="57" s="1"/>
  <c r="A243" i="57" s="1"/>
  <c r="A244" i="57" s="1"/>
  <c r="A245" i="57" s="1"/>
  <c r="A246" i="57" s="1"/>
  <c r="A247" i="57" s="1"/>
  <c r="A248" i="57" s="1"/>
  <c r="A249" i="57" s="1"/>
  <c r="A250" i="57" s="1"/>
  <c r="A251" i="57" s="1"/>
  <c r="A253" i="57" s="1"/>
  <c r="A254" i="57" s="1"/>
  <c r="A256" i="57" s="1"/>
  <c r="J223" i="57"/>
  <c r="J329" i="57" s="1"/>
  <c r="J435" i="57" s="1"/>
  <c r="J541" i="57" s="1"/>
  <c r="J647" i="57" s="1"/>
  <c r="J753" i="57" s="1"/>
  <c r="J859" i="57" s="1"/>
  <c r="J965" i="57" s="1"/>
  <c r="J1071" i="57" s="1"/>
  <c r="J224" i="57"/>
  <c r="J330" i="57" s="1"/>
  <c r="J436" i="57" s="1"/>
  <c r="J542" i="57" s="1"/>
  <c r="J648" i="57" s="1"/>
  <c r="J754" i="57" s="1"/>
  <c r="J860" i="57" s="1"/>
  <c r="J966" i="57" s="1"/>
  <c r="J1072" i="57" s="1"/>
  <c r="J225" i="57"/>
  <c r="J331" i="57" s="1"/>
  <c r="J437" i="57" s="1"/>
  <c r="J543" i="57" s="1"/>
  <c r="J649" i="57" s="1"/>
  <c r="J755" i="57" s="1"/>
  <c r="J861" i="57" s="1"/>
  <c r="J967" i="57" s="1"/>
  <c r="J1073" i="57" s="1"/>
  <c r="J226" i="57"/>
  <c r="J332" i="57" s="1"/>
  <c r="J438" i="57" s="1"/>
  <c r="J544" i="57" s="1"/>
  <c r="J650" i="57" s="1"/>
  <c r="J756" i="57" s="1"/>
  <c r="J862" i="57" s="1"/>
  <c r="J968" i="57" s="1"/>
  <c r="J1074" i="57" s="1"/>
  <c r="J227" i="57"/>
  <c r="J333" i="57" s="1"/>
  <c r="J439" i="57" s="1"/>
  <c r="J545" i="57" s="1"/>
  <c r="J651" i="57" s="1"/>
  <c r="J757" i="57" s="1"/>
  <c r="J863" i="57" s="1"/>
  <c r="J969" i="57" s="1"/>
  <c r="J1075" i="57" s="1"/>
  <c r="J228" i="57"/>
  <c r="J334" i="57" s="1"/>
  <c r="J440" i="57" s="1"/>
  <c r="J546" i="57" s="1"/>
  <c r="J652" i="57" s="1"/>
  <c r="J758" i="57" s="1"/>
  <c r="J864" i="57" s="1"/>
  <c r="J970" i="57" s="1"/>
  <c r="J1076" i="57" s="1"/>
  <c r="J229" i="57"/>
  <c r="J335" i="57" s="1"/>
  <c r="J441" i="57" s="1"/>
  <c r="J547" i="57" s="1"/>
  <c r="J653" i="57" s="1"/>
  <c r="J759" i="57" s="1"/>
  <c r="J865" i="57" s="1"/>
  <c r="J971" i="57" s="1"/>
  <c r="J1077" i="57" s="1"/>
  <c r="J230" i="57"/>
  <c r="J336" i="57" s="1"/>
  <c r="J442" i="57" s="1"/>
  <c r="J548" i="57" s="1"/>
  <c r="J654" i="57" s="1"/>
  <c r="J760" i="57" s="1"/>
  <c r="J866" i="57" s="1"/>
  <c r="J972" i="57" s="1"/>
  <c r="J1078" i="57" s="1"/>
  <c r="J231" i="57"/>
  <c r="J337" i="57" s="1"/>
  <c r="J443" i="57" s="1"/>
  <c r="J549" i="57" s="1"/>
  <c r="J655" i="57" s="1"/>
  <c r="J761" i="57" s="1"/>
  <c r="J867" i="57" s="1"/>
  <c r="J973" i="57" s="1"/>
  <c r="J1079" i="57" s="1"/>
  <c r="J232" i="57"/>
  <c r="J338" i="57" s="1"/>
  <c r="J444" i="57" s="1"/>
  <c r="J550" i="57" s="1"/>
  <c r="J656" i="57" s="1"/>
  <c r="J762" i="57" s="1"/>
  <c r="J868" i="57" s="1"/>
  <c r="J974" i="57" s="1"/>
  <c r="J1080" i="57" s="1"/>
  <c r="J233" i="57"/>
  <c r="J339" i="57" s="1"/>
  <c r="J445" i="57" s="1"/>
  <c r="J551" i="57" s="1"/>
  <c r="J657" i="57" s="1"/>
  <c r="J763" i="57" s="1"/>
  <c r="J869" i="57" s="1"/>
  <c r="J975" i="57" s="1"/>
  <c r="J1081" i="57" s="1"/>
  <c r="J237" i="57"/>
  <c r="J343" i="57" s="1"/>
  <c r="J449" i="57" s="1"/>
  <c r="J555" i="57" s="1"/>
  <c r="J661" i="57" s="1"/>
  <c r="J767" i="57" s="1"/>
  <c r="J873" i="57" s="1"/>
  <c r="J979" i="57" s="1"/>
  <c r="J1085" i="57" s="1"/>
  <c r="J238" i="57"/>
  <c r="J344" i="57" s="1"/>
  <c r="J450" i="57" s="1"/>
  <c r="J556" i="57" s="1"/>
  <c r="J662" i="57" s="1"/>
  <c r="J768" i="57" s="1"/>
  <c r="J874" i="57" s="1"/>
  <c r="J980" i="57" s="1"/>
  <c r="J1086" i="57" s="1"/>
  <c r="J239" i="57"/>
  <c r="J345" i="57" s="1"/>
  <c r="J451" i="57" s="1"/>
  <c r="J557" i="57" s="1"/>
  <c r="J663" i="57" s="1"/>
  <c r="J769" i="57" s="1"/>
  <c r="J875" i="57" s="1"/>
  <c r="J981" i="57" s="1"/>
  <c r="J1087" i="57" s="1"/>
  <c r="J240" i="57"/>
  <c r="J346" i="57" s="1"/>
  <c r="J452" i="57" s="1"/>
  <c r="J558" i="57" s="1"/>
  <c r="J664" i="57" s="1"/>
  <c r="J770" i="57" s="1"/>
  <c r="J876" i="57" s="1"/>
  <c r="J982" i="57" s="1"/>
  <c r="J1088" i="57" s="1"/>
  <c r="J241" i="57"/>
  <c r="J347" i="57" s="1"/>
  <c r="J453" i="57" s="1"/>
  <c r="J559" i="57" s="1"/>
  <c r="J665" i="57" s="1"/>
  <c r="J771" i="57" s="1"/>
  <c r="J877" i="57" s="1"/>
  <c r="J983" i="57" s="1"/>
  <c r="J1089" i="57" s="1"/>
  <c r="J242" i="57"/>
  <c r="J348" i="57" s="1"/>
  <c r="J454" i="57" s="1"/>
  <c r="J560" i="57" s="1"/>
  <c r="J666" i="57" s="1"/>
  <c r="J772" i="57" s="1"/>
  <c r="J878" i="57" s="1"/>
  <c r="J984" i="57" s="1"/>
  <c r="J1090" i="57" s="1"/>
  <c r="J243" i="57"/>
  <c r="J349" i="57" s="1"/>
  <c r="J455" i="57" s="1"/>
  <c r="J561" i="57" s="1"/>
  <c r="J667" i="57" s="1"/>
  <c r="J773" i="57" s="1"/>
  <c r="J879" i="57" s="1"/>
  <c r="J985" i="57" s="1"/>
  <c r="J1091" i="57" s="1"/>
  <c r="J244" i="57"/>
  <c r="J350" i="57" s="1"/>
  <c r="J456" i="57" s="1"/>
  <c r="J562" i="57" s="1"/>
  <c r="J668" i="57" s="1"/>
  <c r="J774" i="57" s="1"/>
  <c r="J880" i="57" s="1"/>
  <c r="J986" i="57" s="1"/>
  <c r="J1092" i="57" s="1"/>
  <c r="J245" i="57"/>
  <c r="J351" i="57" s="1"/>
  <c r="J457" i="57" s="1"/>
  <c r="J563" i="57" s="1"/>
  <c r="J669" i="57" s="1"/>
  <c r="J775" i="57" s="1"/>
  <c r="J881" i="57" s="1"/>
  <c r="J987" i="57" s="1"/>
  <c r="J1093" i="57" s="1"/>
  <c r="J246" i="57"/>
  <c r="J352" i="57" s="1"/>
  <c r="J458" i="57" s="1"/>
  <c r="J564" i="57" s="1"/>
  <c r="J670" i="57" s="1"/>
  <c r="J776" i="57" s="1"/>
  <c r="J882" i="57" s="1"/>
  <c r="J988" i="57" s="1"/>
  <c r="J1094" i="57" s="1"/>
  <c r="J247" i="57"/>
  <c r="J353" i="57" s="1"/>
  <c r="J459" i="57" s="1"/>
  <c r="J565" i="57" s="1"/>
  <c r="J671" i="57" s="1"/>
  <c r="J777" i="57" s="1"/>
  <c r="J883" i="57" s="1"/>
  <c r="J989" i="57" s="1"/>
  <c r="J1095" i="57" s="1"/>
  <c r="J248" i="57"/>
  <c r="J354" i="57" s="1"/>
  <c r="J460" i="57" s="1"/>
  <c r="J566" i="57" s="1"/>
  <c r="J672" i="57" s="1"/>
  <c r="J778" i="57" s="1"/>
  <c r="J884" i="57" s="1"/>
  <c r="J990" i="57" s="1"/>
  <c r="J1096" i="57" s="1"/>
  <c r="J249" i="57"/>
  <c r="J355" i="57" s="1"/>
  <c r="J461" i="57" s="1"/>
  <c r="J567" i="57" s="1"/>
  <c r="J673" i="57" s="1"/>
  <c r="J779" i="57" s="1"/>
  <c r="J885" i="57" s="1"/>
  <c r="J991" i="57" s="1"/>
  <c r="J1097" i="57" s="1"/>
  <c r="J250" i="57"/>
  <c r="J356" i="57" s="1"/>
  <c r="J462" i="57" s="1"/>
  <c r="J568" i="57" s="1"/>
  <c r="J674" i="57" s="1"/>
  <c r="J780" i="57" s="1"/>
  <c r="J886" i="57" s="1"/>
  <c r="J992" i="57" s="1"/>
  <c r="J1098" i="57" s="1"/>
  <c r="A258" i="57"/>
  <c r="A259" i="57"/>
  <c r="A263" i="57"/>
  <c r="N263" i="57"/>
  <c r="A264" i="57"/>
  <c r="A265" i="57"/>
  <c r="N271" i="57"/>
  <c r="D272" i="57"/>
  <c r="E272" i="57"/>
  <c r="F272" i="57"/>
  <c r="G272" i="57"/>
  <c r="I272" i="57"/>
  <c r="J272" i="57"/>
  <c r="K272" i="57"/>
  <c r="L272" i="57"/>
  <c r="M272" i="57"/>
  <c r="N272" i="57"/>
  <c r="A275" i="57"/>
  <c r="A276" i="57" s="1"/>
  <c r="A277" i="57" s="1"/>
  <c r="A278" i="57" s="1"/>
  <c r="A279" i="57" s="1"/>
  <c r="A280" i="57" s="1"/>
  <c r="A281" i="57" s="1"/>
  <c r="A283" i="57" s="1"/>
  <c r="A284" i="57" s="1"/>
  <c r="A285" i="57" s="1"/>
  <c r="A287" i="57" s="1"/>
  <c r="A288" i="57" s="1"/>
  <c r="A289" i="57" s="1"/>
  <c r="A290" i="57" s="1"/>
  <c r="A291" i="57" s="1"/>
  <c r="A292" i="57" s="1"/>
  <c r="A293" i="57" s="1"/>
  <c r="A294" i="57" s="1"/>
  <c r="A295" i="57" s="1"/>
  <c r="A296" i="57" s="1"/>
  <c r="A297" i="57" s="1"/>
  <c r="A298" i="57" s="1"/>
  <c r="A299" i="57" s="1"/>
  <c r="A305" i="57" s="1"/>
  <c r="A306" i="57" s="1"/>
  <c r="A307" i="57" s="1"/>
  <c r="A308" i="57" s="1"/>
  <c r="A309" i="57" s="1"/>
  <c r="M281" i="57"/>
  <c r="K285" i="57"/>
  <c r="M285" i="57"/>
  <c r="A311" i="57"/>
  <c r="A312" i="57"/>
  <c r="A316" i="57"/>
  <c r="N316" i="57"/>
  <c r="A317" i="57"/>
  <c r="A318" i="57"/>
  <c r="G324" i="57"/>
  <c r="N324" i="57" s="1"/>
  <c r="D325" i="57"/>
  <c r="E325" i="57"/>
  <c r="F325" i="57"/>
  <c r="G325" i="57"/>
  <c r="I325" i="57"/>
  <c r="J325" i="57"/>
  <c r="K325" i="57"/>
  <c r="L325" i="57"/>
  <c r="M325" i="57"/>
  <c r="N325" i="57"/>
  <c r="A329" i="57"/>
  <c r="A330" i="57" s="1"/>
  <c r="A331" i="57" s="1"/>
  <c r="A332" i="57" s="1"/>
  <c r="A333" i="57" s="1"/>
  <c r="A334" i="57" s="1"/>
  <c r="A335" i="57" s="1"/>
  <c r="A336" i="57" s="1"/>
  <c r="A337" i="57" s="1"/>
  <c r="A338" i="57" s="1"/>
  <c r="A339" i="57" s="1"/>
  <c r="A340" i="57" s="1"/>
  <c r="A342" i="57" s="1"/>
  <c r="A343" i="57" s="1"/>
  <c r="A344" i="57" s="1"/>
  <c r="A345" i="57" s="1"/>
  <c r="A346" i="57" s="1"/>
  <c r="A347" i="57" s="1"/>
  <c r="A348" i="57" s="1"/>
  <c r="A349" i="57" s="1"/>
  <c r="A350" i="57" s="1"/>
  <c r="A351" i="57" s="1"/>
  <c r="A352" i="57" s="1"/>
  <c r="A353" i="57" s="1"/>
  <c r="A354" i="57" s="1"/>
  <c r="A355" i="57" s="1"/>
  <c r="A356" i="57" s="1"/>
  <c r="A357" i="57" s="1"/>
  <c r="A359" i="57" s="1"/>
  <c r="A360" i="57" s="1"/>
  <c r="A364" i="57"/>
  <c r="A365" i="57"/>
  <c r="A369" i="57"/>
  <c r="N369" i="57"/>
  <c r="A370" i="57"/>
  <c r="A371" i="57"/>
  <c r="N377" i="57"/>
  <c r="D378" i="57"/>
  <c r="E378" i="57"/>
  <c r="F378" i="57"/>
  <c r="G378" i="57"/>
  <c r="I378" i="57"/>
  <c r="J378" i="57"/>
  <c r="K378" i="57"/>
  <c r="L378" i="57"/>
  <c r="M378" i="57"/>
  <c r="N378" i="57"/>
  <c r="A381" i="57"/>
  <c r="A382" i="57" s="1"/>
  <c r="A383" i="57" s="1"/>
  <c r="A384" i="57" s="1"/>
  <c r="A385" i="57" s="1"/>
  <c r="A386" i="57" s="1"/>
  <c r="A387" i="57" s="1"/>
  <c r="A389" i="57" s="1"/>
  <c r="A390" i="57" s="1"/>
  <c r="A391" i="57" s="1"/>
  <c r="A393" i="57" s="1"/>
  <c r="A394" i="57" s="1"/>
  <c r="A395" i="57" s="1"/>
  <c r="A396" i="57" s="1"/>
  <c r="A397" i="57" s="1"/>
  <c r="A398" i="57" s="1"/>
  <c r="A399" i="57" s="1"/>
  <c r="A400" i="57" s="1"/>
  <c r="A401" i="57" s="1"/>
  <c r="A402" i="57" s="1"/>
  <c r="A403" i="57" s="1"/>
  <c r="A404" i="57" s="1"/>
  <c r="A405" i="57" s="1"/>
  <c r="A411" i="57" s="1"/>
  <c r="A412" i="57" s="1"/>
  <c r="A413" i="57" s="1"/>
  <c r="A414" i="57" s="1"/>
  <c r="A415" i="57" s="1"/>
  <c r="M387" i="57"/>
  <c r="K391" i="57"/>
  <c r="M391" i="57"/>
  <c r="A417" i="57"/>
  <c r="A418" i="57"/>
  <c r="A422" i="57"/>
  <c r="N422" i="57"/>
  <c r="A423" i="57"/>
  <c r="A424" i="57"/>
  <c r="G430" i="57"/>
  <c r="N430" i="57" s="1"/>
  <c r="D431" i="57"/>
  <c r="E431" i="57"/>
  <c r="F431" i="57"/>
  <c r="G431" i="57"/>
  <c r="I431" i="57"/>
  <c r="J431" i="57"/>
  <c r="K431" i="57"/>
  <c r="L431" i="57"/>
  <c r="M431" i="57"/>
  <c r="N431" i="57"/>
  <c r="A435" i="57"/>
  <c r="A436" i="57" s="1"/>
  <c r="A437" i="57" s="1"/>
  <c r="A438" i="57" s="1"/>
  <c r="A439" i="57" s="1"/>
  <c r="A440" i="57" s="1"/>
  <c r="A441" i="57" s="1"/>
  <c r="A442" i="57" s="1"/>
  <c r="A443" i="57" s="1"/>
  <c r="A444" i="57" s="1"/>
  <c r="A445" i="57" s="1"/>
  <c r="A446" i="57" s="1"/>
  <c r="A448" i="57" s="1"/>
  <c r="A449" i="57" s="1"/>
  <c r="A450" i="57" s="1"/>
  <c r="A451" i="57" s="1"/>
  <c r="A452" i="57" s="1"/>
  <c r="A453" i="57" s="1"/>
  <c r="A454" i="57" s="1"/>
  <c r="A455" i="57" s="1"/>
  <c r="A456" i="57" s="1"/>
  <c r="A457" i="57" s="1"/>
  <c r="A458" i="57" s="1"/>
  <c r="A459" i="57" s="1"/>
  <c r="A460" i="57" s="1"/>
  <c r="A461" i="57" s="1"/>
  <c r="A462" i="57" s="1"/>
  <c r="A463" i="57" s="1"/>
  <c r="A465" i="57" s="1"/>
  <c r="A466" i="57" s="1"/>
  <c r="A470" i="57"/>
  <c r="A471" i="57"/>
  <c r="A475" i="57"/>
  <c r="N475" i="57"/>
  <c r="A476" i="57"/>
  <c r="A477" i="57"/>
  <c r="D484" i="57"/>
  <c r="E484" i="57"/>
  <c r="F484" i="57"/>
  <c r="G484" i="57"/>
  <c r="I484" i="57"/>
  <c r="J484" i="57"/>
  <c r="K484" i="57"/>
  <c r="L484" i="57"/>
  <c r="M484" i="57"/>
  <c r="N484" i="57"/>
  <c r="A487" i="57"/>
  <c r="A488" i="57" s="1"/>
  <c r="A489" i="57" s="1"/>
  <c r="A490" i="57" s="1"/>
  <c r="A491" i="57" s="1"/>
  <c r="A492" i="57" s="1"/>
  <c r="A493" i="57" s="1"/>
  <c r="A495" i="57" s="1"/>
  <c r="A496" i="57" s="1"/>
  <c r="A497" i="57" s="1"/>
  <c r="A499" i="57" s="1"/>
  <c r="A500" i="57" s="1"/>
  <c r="A501" i="57" s="1"/>
  <c r="A502" i="57" s="1"/>
  <c r="A503" i="57" s="1"/>
  <c r="A504" i="57" s="1"/>
  <c r="A505" i="57" s="1"/>
  <c r="A506" i="57" s="1"/>
  <c r="A507" i="57" s="1"/>
  <c r="A508" i="57" s="1"/>
  <c r="A509" i="57" s="1"/>
  <c r="A510" i="57" s="1"/>
  <c r="A511" i="57" s="1"/>
  <c r="A517" i="57" s="1"/>
  <c r="A518" i="57" s="1"/>
  <c r="A519" i="57" s="1"/>
  <c r="A520" i="57" s="1"/>
  <c r="A521" i="57" s="1"/>
  <c r="M493" i="57"/>
  <c r="K497" i="57"/>
  <c r="M497" i="57"/>
  <c r="A523" i="57"/>
  <c r="A524" i="57"/>
  <c r="A528" i="57"/>
  <c r="N528" i="57"/>
  <c r="A529" i="57"/>
  <c r="A530" i="57"/>
  <c r="D537" i="57"/>
  <c r="E537" i="57"/>
  <c r="F537" i="57"/>
  <c r="G537" i="57"/>
  <c r="I537" i="57"/>
  <c r="J537" i="57"/>
  <c r="K537" i="57"/>
  <c r="L537" i="57"/>
  <c r="M537" i="57"/>
  <c r="N537" i="57"/>
  <c r="A541" i="57"/>
  <c r="A542" i="57" s="1"/>
  <c r="A543" i="57" s="1"/>
  <c r="A544" i="57" s="1"/>
  <c r="A545" i="57" s="1"/>
  <c r="A546" i="57" s="1"/>
  <c r="A547" i="57" s="1"/>
  <c r="A548" i="57" s="1"/>
  <c r="A549" i="57" s="1"/>
  <c r="A550" i="57" s="1"/>
  <c r="A551" i="57" s="1"/>
  <c r="A552" i="57" s="1"/>
  <c r="A554" i="57" s="1"/>
  <c r="A555" i="57" s="1"/>
  <c r="A556" i="57" s="1"/>
  <c r="A557" i="57" s="1"/>
  <c r="A558" i="57" s="1"/>
  <c r="A559" i="57" s="1"/>
  <c r="A560" i="57" s="1"/>
  <c r="A561" i="57" s="1"/>
  <c r="A562" i="57" s="1"/>
  <c r="A563" i="57" s="1"/>
  <c r="A564" i="57" s="1"/>
  <c r="A565" i="57" s="1"/>
  <c r="A566" i="57" s="1"/>
  <c r="A567" i="57" s="1"/>
  <c r="A568" i="57" s="1"/>
  <c r="A569" i="57" s="1"/>
  <c r="A571" i="57" s="1"/>
  <c r="A572" i="57" s="1"/>
  <c r="A576" i="57"/>
  <c r="A577" i="57"/>
  <c r="A581" i="57"/>
  <c r="N581" i="57"/>
  <c r="A582" i="57"/>
  <c r="A583" i="57"/>
  <c r="D590" i="57"/>
  <c r="E590" i="57"/>
  <c r="F590" i="57"/>
  <c r="G590" i="57"/>
  <c r="I590" i="57"/>
  <c r="J590" i="57"/>
  <c r="K590" i="57"/>
  <c r="L590" i="57"/>
  <c r="M590" i="57"/>
  <c r="N590" i="57"/>
  <c r="A593" i="57"/>
  <c r="A594" i="57" s="1"/>
  <c r="A595" i="57" s="1"/>
  <c r="A596" i="57" s="1"/>
  <c r="A597" i="57" s="1"/>
  <c r="A598" i="57" s="1"/>
  <c r="A599" i="57" s="1"/>
  <c r="A601" i="57" s="1"/>
  <c r="A602" i="57" s="1"/>
  <c r="A603" i="57" s="1"/>
  <c r="A605" i="57" s="1"/>
  <c r="A606" i="57" s="1"/>
  <c r="A607" i="57" s="1"/>
  <c r="A608" i="57" s="1"/>
  <c r="A609" i="57" s="1"/>
  <c r="A610" i="57" s="1"/>
  <c r="A611" i="57" s="1"/>
  <c r="A612" i="57" s="1"/>
  <c r="A613" i="57" s="1"/>
  <c r="A614" i="57" s="1"/>
  <c r="A615" i="57" s="1"/>
  <c r="A616" i="57" s="1"/>
  <c r="A617" i="57" s="1"/>
  <c r="A623" i="57" s="1"/>
  <c r="A624" i="57" s="1"/>
  <c r="A625" i="57" s="1"/>
  <c r="A626" i="57" s="1"/>
  <c r="A627" i="57" s="1"/>
  <c r="M599" i="57"/>
  <c r="K603" i="57"/>
  <c r="M603" i="57"/>
  <c r="J606" i="57"/>
  <c r="J607" i="57"/>
  <c r="J615" i="57"/>
  <c r="A629" i="57"/>
  <c r="A630" i="57"/>
  <c r="A634" i="57"/>
  <c r="N634" i="57"/>
  <c r="A635" i="57"/>
  <c r="A636" i="57"/>
  <c r="D643" i="57"/>
  <c r="E643" i="57"/>
  <c r="F643" i="57"/>
  <c r="G643" i="57"/>
  <c r="I643" i="57"/>
  <c r="J643" i="57"/>
  <c r="K643" i="57"/>
  <c r="L643" i="57"/>
  <c r="M643" i="57"/>
  <c r="N643" i="57"/>
  <c r="A647" i="57"/>
  <c r="A648" i="57" s="1"/>
  <c r="A649" i="57" s="1"/>
  <c r="A650" i="57" s="1"/>
  <c r="A651" i="57" s="1"/>
  <c r="A652" i="57" s="1"/>
  <c r="A653" i="57" s="1"/>
  <c r="A654" i="57" s="1"/>
  <c r="A655" i="57" s="1"/>
  <c r="A656" i="57" s="1"/>
  <c r="A657" i="57" s="1"/>
  <c r="A658" i="57" s="1"/>
  <c r="A660" i="57" s="1"/>
  <c r="A661" i="57" s="1"/>
  <c r="A662" i="57" s="1"/>
  <c r="A663" i="57" s="1"/>
  <c r="A664" i="57" s="1"/>
  <c r="A665" i="57" s="1"/>
  <c r="A666" i="57" s="1"/>
  <c r="A667" i="57" s="1"/>
  <c r="A668" i="57" s="1"/>
  <c r="A669" i="57" s="1"/>
  <c r="A670" i="57" s="1"/>
  <c r="A671" i="57" s="1"/>
  <c r="A672" i="57" s="1"/>
  <c r="A673" i="57" s="1"/>
  <c r="A674" i="57" s="1"/>
  <c r="A675" i="57" s="1"/>
  <c r="A677" i="57" s="1"/>
  <c r="A678" i="57" s="1"/>
  <c r="A682" i="57"/>
  <c r="A683" i="57"/>
  <c r="A687" i="57"/>
  <c r="N687" i="57"/>
  <c r="A688" i="57"/>
  <c r="A689" i="57"/>
  <c r="D696" i="57"/>
  <c r="E696" i="57"/>
  <c r="F696" i="57"/>
  <c r="G696" i="57"/>
  <c r="I696" i="57"/>
  <c r="J696" i="57"/>
  <c r="K696" i="57"/>
  <c r="L696" i="57"/>
  <c r="M696" i="57"/>
  <c r="N696" i="57"/>
  <c r="A699" i="57"/>
  <c r="A700" i="57" s="1"/>
  <c r="A701" i="57" s="1"/>
  <c r="A702" i="57" s="1"/>
  <c r="A703" i="57" s="1"/>
  <c r="A704" i="57" s="1"/>
  <c r="A705" i="57" s="1"/>
  <c r="A707" i="57" s="1"/>
  <c r="A708" i="57" s="1"/>
  <c r="A709" i="57" s="1"/>
  <c r="A711" i="57" s="1"/>
  <c r="A712" i="57" s="1"/>
  <c r="A713" i="57" s="1"/>
  <c r="A714" i="57" s="1"/>
  <c r="A715" i="57" s="1"/>
  <c r="A716" i="57" s="1"/>
  <c r="A717" i="57" s="1"/>
  <c r="A718" i="57" s="1"/>
  <c r="A719" i="57" s="1"/>
  <c r="A720" i="57" s="1"/>
  <c r="A721" i="57" s="1"/>
  <c r="A722" i="57" s="1"/>
  <c r="A723" i="57" s="1"/>
  <c r="A729" i="57" s="1"/>
  <c r="A730" i="57" s="1"/>
  <c r="A731" i="57" s="1"/>
  <c r="A732" i="57" s="1"/>
  <c r="A733" i="57" s="1"/>
  <c r="M705" i="57"/>
  <c r="K709" i="57"/>
  <c r="M709" i="57"/>
  <c r="A735" i="57"/>
  <c r="A736" i="57"/>
  <c r="A740" i="57"/>
  <c r="N740" i="57"/>
  <c r="A741" i="57"/>
  <c r="A742" i="57"/>
  <c r="D749" i="57"/>
  <c r="E749" i="57"/>
  <c r="F749" i="57"/>
  <c r="G749" i="57"/>
  <c r="I749" i="57"/>
  <c r="J749" i="57"/>
  <c r="K749" i="57"/>
  <c r="L749" i="57"/>
  <c r="M749" i="57"/>
  <c r="N749" i="57"/>
  <c r="A753" i="57"/>
  <c r="A754" i="57" s="1"/>
  <c r="A755" i="57" s="1"/>
  <c r="A756" i="57" s="1"/>
  <c r="A757" i="57" s="1"/>
  <c r="A758" i="57" s="1"/>
  <c r="A759" i="57" s="1"/>
  <c r="A760" i="57" s="1"/>
  <c r="A761" i="57" s="1"/>
  <c r="A762" i="57" s="1"/>
  <c r="A763" i="57" s="1"/>
  <c r="A764" i="57" s="1"/>
  <c r="A766" i="57" s="1"/>
  <c r="A767" i="57" s="1"/>
  <c r="A768" i="57" s="1"/>
  <c r="A769" i="57" s="1"/>
  <c r="A770" i="57" s="1"/>
  <c r="A771" i="57" s="1"/>
  <c r="A772" i="57" s="1"/>
  <c r="A773" i="57" s="1"/>
  <c r="A774" i="57" s="1"/>
  <c r="A775" i="57" s="1"/>
  <c r="A776" i="57" s="1"/>
  <c r="A777" i="57" s="1"/>
  <c r="A778" i="57" s="1"/>
  <c r="A779" i="57" s="1"/>
  <c r="A780" i="57" s="1"/>
  <c r="A781" i="57" s="1"/>
  <c r="A783" i="57" s="1"/>
  <c r="A784" i="57" s="1"/>
  <c r="A788" i="57"/>
  <c r="A789" i="57"/>
  <c r="A793" i="57"/>
  <c r="N793" i="57"/>
  <c r="A794" i="57"/>
  <c r="A795" i="57"/>
  <c r="D802" i="57"/>
  <c r="E802" i="57"/>
  <c r="F802" i="57"/>
  <c r="G802" i="57"/>
  <c r="I802" i="57"/>
  <c r="J802" i="57"/>
  <c r="K802" i="57"/>
  <c r="L802" i="57"/>
  <c r="M802" i="57"/>
  <c r="N802" i="57"/>
  <c r="A805" i="57"/>
  <c r="A806" i="57" s="1"/>
  <c r="A807" i="57" s="1"/>
  <c r="A808" i="57" s="1"/>
  <c r="A809" i="57" s="1"/>
  <c r="A810" i="57" s="1"/>
  <c r="A811" i="57" s="1"/>
  <c r="A813" i="57" s="1"/>
  <c r="A814" i="57" s="1"/>
  <c r="A815" i="57" s="1"/>
  <c r="A817" i="57" s="1"/>
  <c r="A818" i="57" s="1"/>
  <c r="A819" i="57" s="1"/>
  <c r="A820" i="57" s="1"/>
  <c r="A821" i="57" s="1"/>
  <c r="A822" i="57" s="1"/>
  <c r="A823" i="57" s="1"/>
  <c r="A824" i="57" s="1"/>
  <c r="A825" i="57" s="1"/>
  <c r="A826" i="57" s="1"/>
  <c r="A827" i="57" s="1"/>
  <c r="A828" i="57" s="1"/>
  <c r="A829" i="57" s="1"/>
  <c r="A835" i="57" s="1"/>
  <c r="A836" i="57" s="1"/>
  <c r="A837" i="57" s="1"/>
  <c r="A838" i="57" s="1"/>
  <c r="A839" i="57" s="1"/>
  <c r="M811" i="57"/>
  <c r="K815" i="57"/>
  <c r="M815" i="57"/>
  <c r="A841" i="57"/>
  <c r="A842" i="57"/>
  <c r="A846" i="57"/>
  <c r="N846" i="57"/>
  <c r="A847" i="57"/>
  <c r="A848" i="57"/>
  <c r="D855" i="57"/>
  <c r="E855" i="57"/>
  <c r="F855" i="57"/>
  <c r="G855" i="57"/>
  <c r="I855" i="57"/>
  <c r="J855" i="57"/>
  <c r="K855" i="57"/>
  <c r="L855" i="57"/>
  <c r="M855" i="57"/>
  <c r="N855" i="57"/>
  <c r="A859" i="57"/>
  <c r="A860" i="57" s="1"/>
  <c r="A861" i="57" s="1"/>
  <c r="A862" i="57" s="1"/>
  <c r="A863" i="57" s="1"/>
  <c r="A864" i="57" s="1"/>
  <c r="A865" i="57" s="1"/>
  <c r="A866" i="57" s="1"/>
  <c r="A867" i="57" s="1"/>
  <c r="A868" i="57" s="1"/>
  <c r="A869" i="57" s="1"/>
  <c r="A870" i="57" s="1"/>
  <c r="A872" i="57" s="1"/>
  <c r="A873" i="57" s="1"/>
  <c r="A874" i="57" s="1"/>
  <c r="A875" i="57" s="1"/>
  <c r="A876" i="57" s="1"/>
  <c r="A877" i="57" s="1"/>
  <c r="A878" i="57" s="1"/>
  <c r="A879" i="57" s="1"/>
  <c r="A880" i="57" s="1"/>
  <c r="A881" i="57" s="1"/>
  <c r="A882" i="57" s="1"/>
  <c r="A883" i="57" s="1"/>
  <c r="A884" i="57" s="1"/>
  <c r="A885" i="57" s="1"/>
  <c r="A886" i="57" s="1"/>
  <c r="A887" i="57" s="1"/>
  <c r="A889" i="57" s="1"/>
  <c r="A890" i="57" s="1"/>
  <c r="A894" i="57"/>
  <c r="A895" i="57"/>
  <c r="A899" i="57"/>
  <c r="N899" i="57"/>
  <c r="A900" i="57"/>
  <c r="A901" i="57"/>
  <c r="N907" i="57"/>
  <c r="D908" i="57"/>
  <c r="E908" i="57"/>
  <c r="F908" i="57"/>
  <c r="G908" i="57"/>
  <c r="I908" i="57"/>
  <c r="J908" i="57"/>
  <c r="K908" i="57"/>
  <c r="L908" i="57"/>
  <c r="M908" i="57"/>
  <c r="N908" i="57"/>
  <c r="A911" i="57"/>
  <c r="A912" i="57" s="1"/>
  <c r="A913" i="57" s="1"/>
  <c r="A914" i="57" s="1"/>
  <c r="A915" i="57" s="1"/>
  <c r="A916" i="57" s="1"/>
  <c r="A917" i="57" s="1"/>
  <c r="A919" i="57" s="1"/>
  <c r="A920" i="57" s="1"/>
  <c r="A921" i="57" s="1"/>
  <c r="A923" i="57" s="1"/>
  <c r="A924" i="57" s="1"/>
  <c r="A925" i="57" s="1"/>
  <c r="A926" i="57" s="1"/>
  <c r="A927" i="57" s="1"/>
  <c r="A928" i="57" s="1"/>
  <c r="A929" i="57" s="1"/>
  <c r="A930" i="57" s="1"/>
  <c r="A931" i="57" s="1"/>
  <c r="A932" i="57" s="1"/>
  <c r="A933" i="57" s="1"/>
  <c r="A934" i="57" s="1"/>
  <c r="A935" i="57" s="1"/>
  <c r="A941" i="57" s="1"/>
  <c r="A942" i="57" s="1"/>
  <c r="A943" i="57" s="1"/>
  <c r="A944" i="57" s="1"/>
  <c r="A945" i="57" s="1"/>
  <c r="M917" i="57"/>
  <c r="K921" i="57"/>
  <c r="M921" i="57"/>
  <c r="A947" i="57"/>
  <c r="A948" i="57"/>
  <c r="A952" i="57"/>
  <c r="N952" i="57"/>
  <c r="A953" i="57"/>
  <c r="A954" i="57"/>
  <c r="G960" i="57"/>
  <c r="N960" i="57" s="1"/>
  <c r="D961" i="57"/>
  <c r="E961" i="57"/>
  <c r="F961" i="57"/>
  <c r="G961" i="57"/>
  <c r="I961" i="57"/>
  <c r="J961" i="57"/>
  <c r="K961" i="57"/>
  <c r="L961" i="57"/>
  <c r="M961" i="57"/>
  <c r="N961" i="57"/>
  <c r="A965" i="57"/>
  <c r="A966" i="57" s="1"/>
  <c r="A967" i="57" s="1"/>
  <c r="A968" i="57" s="1"/>
  <c r="A969" i="57" s="1"/>
  <c r="A970" i="57" s="1"/>
  <c r="A971" i="57" s="1"/>
  <c r="A972" i="57" s="1"/>
  <c r="A973" i="57" s="1"/>
  <c r="A974" i="57" s="1"/>
  <c r="A975" i="57" s="1"/>
  <c r="A976" i="57" s="1"/>
  <c r="A978" i="57" s="1"/>
  <c r="A979" i="57" s="1"/>
  <c r="A980" i="57" s="1"/>
  <c r="A981" i="57" s="1"/>
  <c r="A982" i="57" s="1"/>
  <c r="A983" i="57" s="1"/>
  <c r="A984" i="57" s="1"/>
  <c r="A985" i="57" s="1"/>
  <c r="A986" i="57" s="1"/>
  <c r="A987" i="57" s="1"/>
  <c r="A988" i="57" s="1"/>
  <c r="A989" i="57" s="1"/>
  <c r="A990" i="57" s="1"/>
  <c r="A991" i="57" s="1"/>
  <c r="A992" i="57" s="1"/>
  <c r="A993" i="57" s="1"/>
  <c r="A995" i="57" s="1"/>
  <c r="A996" i="57" s="1"/>
  <c r="A1000" i="57"/>
  <c r="A1001" i="57"/>
  <c r="A1005" i="57"/>
  <c r="N1005" i="57"/>
  <c r="A1006" i="57"/>
  <c r="A1007" i="57"/>
  <c r="D1014" i="57"/>
  <c r="E1014" i="57"/>
  <c r="F1014" i="57"/>
  <c r="G1014" i="57"/>
  <c r="I1014" i="57"/>
  <c r="J1014" i="57"/>
  <c r="K1014" i="57"/>
  <c r="L1014" i="57"/>
  <c r="M1014" i="57"/>
  <c r="N1014" i="57"/>
  <c r="A1017" i="57"/>
  <c r="A1018" i="57" s="1"/>
  <c r="A1019" i="57" s="1"/>
  <c r="A1020" i="57" s="1"/>
  <c r="A1021" i="57" s="1"/>
  <c r="A1022" i="57" s="1"/>
  <c r="A1023" i="57" s="1"/>
  <c r="A1025" i="57" s="1"/>
  <c r="A1026" i="57" s="1"/>
  <c r="A1027" i="57" s="1"/>
  <c r="A1029" i="57" s="1"/>
  <c r="A1030" i="57" s="1"/>
  <c r="A1031" i="57" s="1"/>
  <c r="A1032" i="57" s="1"/>
  <c r="A1033" i="57" s="1"/>
  <c r="A1034" i="57" s="1"/>
  <c r="A1035" i="57" s="1"/>
  <c r="A1036" i="57" s="1"/>
  <c r="A1037" i="57" s="1"/>
  <c r="A1038" i="57" s="1"/>
  <c r="A1039" i="57" s="1"/>
  <c r="A1040" i="57" s="1"/>
  <c r="A1041" i="57" s="1"/>
  <c r="A1047" i="57" s="1"/>
  <c r="A1048" i="57" s="1"/>
  <c r="A1049" i="57" s="1"/>
  <c r="A1050" i="57" s="1"/>
  <c r="A1051" i="57" s="1"/>
  <c r="M1023" i="57"/>
  <c r="K1027" i="57"/>
  <c r="M1027" i="57"/>
  <c r="A1053" i="57"/>
  <c r="A1054" i="57"/>
  <c r="A1058" i="57"/>
  <c r="N1058" i="57"/>
  <c r="A1059" i="57"/>
  <c r="A1060" i="57"/>
  <c r="D1067" i="57"/>
  <c r="E1067" i="57"/>
  <c r="F1067" i="57"/>
  <c r="G1067" i="57"/>
  <c r="I1067" i="57"/>
  <c r="J1067" i="57"/>
  <c r="K1067" i="57"/>
  <c r="L1067" i="57"/>
  <c r="M1067" i="57"/>
  <c r="N1067" i="57"/>
  <c r="A1071" i="57"/>
  <c r="A1072" i="57" s="1"/>
  <c r="A1073" i="57" s="1"/>
  <c r="A1074" i="57" s="1"/>
  <c r="A1075" i="57" s="1"/>
  <c r="A1076" i="57" s="1"/>
  <c r="A1077" i="57" s="1"/>
  <c r="A1078" i="57" s="1"/>
  <c r="A1079" i="57" s="1"/>
  <c r="A1080" i="57" s="1"/>
  <c r="A1081" i="57" s="1"/>
  <c r="A1082" i="57" s="1"/>
  <c r="A1084" i="57" s="1"/>
  <c r="A1085" i="57" s="1"/>
  <c r="A1086" i="57" s="1"/>
  <c r="A1087" i="57" s="1"/>
  <c r="A1088" i="57" s="1"/>
  <c r="A1089" i="57" s="1"/>
  <c r="A1090" i="57" s="1"/>
  <c r="A1091" i="57" s="1"/>
  <c r="A1092" i="57" s="1"/>
  <c r="A1093" i="57" s="1"/>
  <c r="A1094" i="57" s="1"/>
  <c r="A1095" i="57" s="1"/>
  <c r="A1096" i="57" s="1"/>
  <c r="A1097" i="57" s="1"/>
  <c r="A1098" i="57" s="1"/>
  <c r="A1099" i="57" s="1"/>
  <c r="A1101" i="57" s="1"/>
  <c r="A1102" i="57" s="1"/>
  <c r="A1106" i="57"/>
  <c r="A1107" i="57"/>
  <c r="A1111" i="57"/>
  <c r="N1111" i="57"/>
  <c r="A1112" i="57"/>
  <c r="A1113" i="57"/>
  <c r="N1119" i="57"/>
  <c r="D1120" i="57"/>
  <c r="E1120" i="57"/>
  <c r="F1120" i="57"/>
  <c r="G1120" i="57"/>
  <c r="I1120" i="57"/>
  <c r="J1120" i="57"/>
  <c r="K1120" i="57"/>
  <c r="L1120" i="57"/>
  <c r="M1120" i="57"/>
  <c r="N1120" i="57"/>
  <c r="A1123" i="57"/>
  <c r="A1124" i="57" s="1"/>
  <c r="A1125" i="57" s="1"/>
  <c r="A1126" i="57" s="1"/>
  <c r="A1127" i="57" s="1"/>
  <c r="A1128" i="57" s="1"/>
  <c r="A1129" i="57" s="1"/>
  <c r="A1131" i="57" s="1"/>
  <c r="A1132" i="57" s="1"/>
  <c r="A1133" i="57" s="1"/>
  <c r="A1135" i="57" s="1"/>
  <c r="A1136" i="57" s="1"/>
  <c r="A1137" i="57" s="1"/>
  <c r="A1138" i="57" s="1"/>
  <c r="A1139" i="57" s="1"/>
  <c r="A1140" i="57" s="1"/>
  <c r="A1141" i="57" s="1"/>
  <c r="A1142" i="57" s="1"/>
  <c r="A1143" i="57" s="1"/>
  <c r="A1144" i="57" s="1"/>
  <c r="A1145" i="57" s="1"/>
  <c r="A1146" i="57" s="1"/>
  <c r="A1147" i="57" s="1"/>
  <c r="A1153" i="57" s="1"/>
  <c r="A1154" i="57" s="1"/>
  <c r="A1155" i="57" s="1"/>
  <c r="A1156" i="57" s="1"/>
  <c r="A1157" i="57" s="1"/>
  <c r="M1129" i="57"/>
  <c r="K1133" i="57"/>
  <c r="M1133" i="57"/>
  <c r="A1159" i="57"/>
  <c r="A1160" i="57"/>
  <c r="A1164" i="57"/>
  <c r="N1164" i="57"/>
  <c r="A1165" i="57"/>
  <c r="A1166" i="57"/>
  <c r="G1172" i="57"/>
  <c r="N1172" i="57" s="1"/>
  <c r="D1173" i="57"/>
  <c r="E1173" i="57"/>
  <c r="F1173" i="57"/>
  <c r="G1173" i="57"/>
  <c r="I1173" i="57"/>
  <c r="J1173" i="57"/>
  <c r="K1173" i="57"/>
  <c r="L1173" i="57"/>
  <c r="M1173" i="57"/>
  <c r="N1173" i="57"/>
  <c r="A1177" i="57"/>
  <c r="A1178" i="57" s="1"/>
  <c r="A1179" i="57" s="1"/>
  <c r="A1180" i="57" s="1"/>
  <c r="A1181" i="57" s="1"/>
  <c r="A1182" i="57" s="1"/>
  <c r="A1183" i="57" s="1"/>
  <c r="A1184" i="57" s="1"/>
  <c r="A1185" i="57" s="1"/>
  <c r="A1186" i="57" s="1"/>
  <c r="A1187" i="57" s="1"/>
  <c r="A1188" i="57" s="1"/>
  <c r="A1190" i="57" s="1"/>
  <c r="A1191" i="57" s="1"/>
  <c r="A1192" i="57" s="1"/>
  <c r="A1193" i="57" s="1"/>
  <c r="A1194" i="57" s="1"/>
  <c r="A1195" i="57" s="1"/>
  <c r="A1196" i="57" s="1"/>
  <c r="A1197" i="57" s="1"/>
  <c r="A1198" i="57" s="1"/>
  <c r="A1199" i="57" s="1"/>
  <c r="A1200" i="57" s="1"/>
  <c r="A1201" i="57" s="1"/>
  <c r="A1202" i="57" s="1"/>
  <c r="A1203" i="57" s="1"/>
  <c r="A1204" i="57" s="1"/>
  <c r="A1205" i="57" s="1"/>
  <c r="A1207" i="57" s="1"/>
  <c r="A1208" i="57" s="1"/>
  <c r="A1212" i="57"/>
  <c r="A1213" i="57"/>
  <c r="A1217" i="57"/>
  <c r="N1217" i="57"/>
  <c r="A1218" i="57"/>
  <c r="A1219" i="57"/>
  <c r="I1225" i="57"/>
  <c r="D1226" i="57"/>
  <c r="E1226" i="57"/>
  <c r="F1226" i="57"/>
  <c r="G1226" i="57"/>
  <c r="I1226" i="57"/>
  <c r="J1226" i="57"/>
  <c r="K1226" i="57"/>
  <c r="L1226" i="57"/>
  <c r="M1226" i="57"/>
  <c r="N1226" i="57"/>
  <c r="A1229" i="57"/>
  <c r="A1230" i="57" s="1"/>
  <c r="A1231" i="57" s="1"/>
  <c r="A1232" i="57" s="1"/>
  <c r="A1233" i="57" s="1"/>
  <c r="A1234" i="57" s="1"/>
  <c r="A1235" i="57" s="1"/>
  <c r="A1237" i="57" s="1"/>
  <c r="A1238" i="57" s="1"/>
  <c r="A1239" i="57" s="1"/>
  <c r="A1241" i="57" s="1"/>
  <c r="A1242" i="57" s="1"/>
  <c r="A1243" i="57" s="1"/>
  <c r="A1244" i="57" s="1"/>
  <c r="A1245" i="57" s="1"/>
  <c r="A1246" i="57" s="1"/>
  <c r="A1247" i="57" s="1"/>
  <c r="A1248" i="57" s="1"/>
  <c r="A1249" i="57" s="1"/>
  <c r="A1250" i="57" s="1"/>
  <c r="A1251" i="57" s="1"/>
  <c r="A1252" i="57" s="1"/>
  <c r="A1253" i="57" s="1"/>
  <c r="A1259" i="57" s="1"/>
  <c r="A1260" i="57" s="1"/>
  <c r="A1261" i="57" s="1"/>
  <c r="A1262" i="57" s="1"/>
  <c r="A1263" i="57" s="1"/>
  <c r="M1235" i="57"/>
  <c r="K1239" i="57"/>
  <c r="M1239" i="57"/>
  <c r="J1242" i="57"/>
  <c r="J1348" i="57" s="1"/>
  <c r="J1454" i="57" s="1"/>
  <c r="J1560" i="57" s="1"/>
  <c r="J1243" i="57"/>
  <c r="J1349" i="57" s="1"/>
  <c r="J1455" i="57" s="1"/>
  <c r="J1561" i="57" s="1"/>
  <c r="J1244" i="57"/>
  <c r="J1350" i="57" s="1"/>
  <c r="J1456" i="57" s="1"/>
  <c r="J1562" i="57" s="1"/>
  <c r="J1668" i="57" s="1"/>
  <c r="J1774" i="57" s="1"/>
  <c r="J1880" i="57" s="1"/>
  <c r="J1986" i="57" s="1"/>
  <c r="J2092" i="57" s="1"/>
  <c r="J2198" i="57" s="1"/>
  <c r="J2304" i="57" s="1"/>
  <c r="J1245" i="57"/>
  <c r="J1351" i="57" s="1"/>
  <c r="J1457" i="57" s="1"/>
  <c r="J1563" i="57" s="1"/>
  <c r="J1669" i="57" s="1"/>
  <c r="J1775" i="57" s="1"/>
  <c r="J1881" i="57" s="1"/>
  <c r="J1987" i="57" s="1"/>
  <c r="J2093" i="57" s="1"/>
  <c r="J2199" i="57" s="1"/>
  <c r="J2305" i="57" s="1"/>
  <c r="J1246" i="57"/>
  <c r="J1352" i="57" s="1"/>
  <c r="J1458" i="57" s="1"/>
  <c r="J1564" i="57" s="1"/>
  <c r="J1670" i="57" s="1"/>
  <c r="J1776" i="57" s="1"/>
  <c r="J1882" i="57" s="1"/>
  <c r="J1988" i="57" s="1"/>
  <c r="J2094" i="57" s="1"/>
  <c r="J2200" i="57" s="1"/>
  <c r="J2306" i="57" s="1"/>
  <c r="J1247" i="57"/>
  <c r="J1353" i="57" s="1"/>
  <c r="J1459" i="57" s="1"/>
  <c r="J1565" i="57" s="1"/>
  <c r="J1671" i="57" s="1"/>
  <c r="J1777" i="57" s="1"/>
  <c r="J1883" i="57" s="1"/>
  <c r="J1989" i="57" s="1"/>
  <c r="J2095" i="57" s="1"/>
  <c r="J2201" i="57" s="1"/>
  <c r="J2307" i="57" s="1"/>
  <c r="J1248" i="57"/>
  <c r="J1354" i="57" s="1"/>
  <c r="J1460" i="57" s="1"/>
  <c r="J1566" i="57" s="1"/>
  <c r="J1672" i="57" s="1"/>
  <c r="J1778" i="57" s="1"/>
  <c r="J1884" i="57" s="1"/>
  <c r="J1990" i="57" s="1"/>
  <c r="J2096" i="57" s="1"/>
  <c r="J2202" i="57" s="1"/>
  <c r="J2308" i="57" s="1"/>
  <c r="J1249" i="57"/>
  <c r="J1355" i="57" s="1"/>
  <c r="J1461" i="57" s="1"/>
  <c r="J1567" i="57" s="1"/>
  <c r="J1673" i="57" s="1"/>
  <c r="J1779" i="57" s="1"/>
  <c r="J1885" i="57" s="1"/>
  <c r="J1991" i="57" s="1"/>
  <c r="J2097" i="57" s="1"/>
  <c r="J2203" i="57" s="1"/>
  <c r="J2309" i="57" s="1"/>
  <c r="J1250" i="57"/>
  <c r="J1356" i="57" s="1"/>
  <c r="J1462" i="57" s="1"/>
  <c r="J1568" i="57" s="1"/>
  <c r="J1674" i="57" s="1"/>
  <c r="J1780" i="57" s="1"/>
  <c r="J1886" i="57" s="1"/>
  <c r="J1992" i="57" s="1"/>
  <c r="J2098" i="57" s="1"/>
  <c r="J2204" i="57" s="1"/>
  <c r="J2310" i="57" s="1"/>
  <c r="J1251" i="57"/>
  <c r="J1357" i="57" s="1"/>
  <c r="J1463" i="57" s="1"/>
  <c r="J1569" i="57" s="1"/>
  <c r="J1252" i="57"/>
  <c r="J1358" i="57" s="1"/>
  <c r="J1464" i="57" s="1"/>
  <c r="J1570" i="57" s="1"/>
  <c r="J1676" i="57" s="1"/>
  <c r="J1782" i="57" s="1"/>
  <c r="J1888" i="57" s="1"/>
  <c r="J1994" i="57" s="1"/>
  <c r="J2100" i="57" s="1"/>
  <c r="J2206" i="57" s="1"/>
  <c r="J2312" i="57" s="1"/>
  <c r="J1259" i="57"/>
  <c r="J1365" i="57" s="1"/>
  <c r="J1471" i="57" s="1"/>
  <c r="J1577" i="57" s="1"/>
  <c r="J1683" i="57" s="1"/>
  <c r="J1789" i="57" s="1"/>
  <c r="J1895" i="57" s="1"/>
  <c r="J2001" i="57" s="1"/>
  <c r="J2107" i="57" s="1"/>
  <c r="J2213" i="57" s="1"/>
  <c r="J2319" i="57" s="1"/>
  <c r="J1260" i="57"/>
  <c r="J1366" i="57" s="1"/>
  <c r="J1472" i="57" s="1"/>
  <c r="J1578" i="57" s="1"/>
  <c r="J1684" i="57" s="1"/>
  <c r="J1790" i="57" s="1"/>
  <c r="J1896" i="57" s="1"/>
  <c r="J2002" i="57" s="1"/>
  <c r="J2108" i="57" s="1"/>
  <c r="J2214" i="57" s="1"/>
  <c r="J2320" i="57" s="1"/>
  <c r="J1261" i="57"/>
  <c r="J1367" i="57" s="1"/>
  <c r="J1473" i="57" s="1"/>
  <c r="J1579" i="57" s="1"/>
  <c r="J1685" i="57" s="1"/>
  <c r="J1791" i="57" s="1"/>
  <c r="J1897" i="57" s="1"/>
  <c r="J2003" i="57" s="1"/>
  <c r="J2109" i="57" s="1"/>
  <c r="J2215" i="57" s="1"/>
  <c r="J2321" i="57" s="1"/>
  <c r="J1262" i="57"/>
  <c r="J1368" i="57" s="1"/>
  <c r="J1474" i="57" s="1"/>
  <c r="J1580" i="57" s="1"/>
  <c r="J1686" i="57" s="1"/>
  <c r="J1792" i="57" s="1"/>
  <c r="J1898" i="57" s="1"/>
  <c r="J2004" i="57" s="1"/>
  <c r="J2110" i="57" s="1"/>
  <c r="J2216" i="57" s="1"/>
  <c r="J2322" i="57" s="1"/>
  <c r="J1263" i="57"/>
  <c r="J1369" i="57" s="1"/>
  <c r="J1475" i="57" s="1"/>
  <c r="J1581" i="57" s="1"/>
  <c r="J1687" i="57" s="1"/>
  <c r="J1793" i="57" s="1"/>
  <c r="J1899" i="57" s="1"/>
  <c r="J2005" i="57" s="1"/>
  <c r="J2111" i="57" s="1"/>
  <c r="J2217" i="57" s="1"/>
  <c r="J2323" i="57" s="1"/>
  <c r="A1265" i="57"/>
  <c r="A1266" i="57"/>
  <c r="A1270" i="57"/>
  <c r="N1270" i="57"/>
  <c r="A1271" i="57"/>
  <c r="A1272" i="57"/>
  <c r="D1278" i="57"/>
  <c r="I1278" i="57" s="1"/>
  <c r="D1279" i="57"/>
  <c r="E1279" i="57"/>
  <c r="F1279" i="57"/>
  <c r="G1279" i="57"/>
  <c r="I1279" i="57"/>
  <c r="J1279" i="57"/>
  <c r="K1279" i="57"/>
  <c r="L1279" i="57"/>
  <c r="M1279" i="57"/>
  <c r="N1279" i="57"/>
  <c r="J1282" i="57"/>
  <c r="J1388" i="57" s="1"/>
  <c r="J1494" i="57" s="1"/>
  <c r="J1600" i="57" s="1"/>
  <c r="J1706" i="57" s="1"/>
  <c r="J1812" i="57" s="1"/>
  <c r="J1918" i="57" s="1"/>
  <c r="J2024" i="57" s="1"/>
  <c r="J2130" i="57" s="1"/>
  <c r="J2236" i="57" s="1"/>
  <c r="J2342" i="57" s="1"/>
  <c r="A1283" i="57"/>
  <c r="A1284" i="57" s="1"/>
  <c r="A1285" i="57" s="1"/>
  <c r="A1286" i="57" s="1"/>
  <c r="A1287" i="57" s="1"/>
  <c r="A1288" i="57" s="1"/>
  <c r="A1289" i="57" s="1"/>
  <c r="A1290" i="57" s="1"/>
  <c r="A1291" i="57" s="1"/>
  <c r="A1292" i="57" s="1"/>
  <c r="A1293" i="57" s="1"/>
  <c r="A1294" i="57" s="1"/>
  <c r="A1296" i="57" s="1"/>
  <c r="A1297" i="57" s="1"/>
  <c r="A1298" i="57" s="1"/>
  <c r="A1299" i="57" s="1"/>
  <c r="A1300" i="57" s="1"/>
  <c r="A1301" i="57" s="1"/>
  <c r="A1302" i="57" s="1"/>
  <c r="A1303" i="57" s="1"/>
  <c r="A1304" i="57" s="1"/>
  <c r="A1305" i="57" s="1"/>
  <c r="A1306" i="57" s="1"/>
  <c r="A1307" i="57" s="1"/>
  <c r="A1308" i="57" s="1"/>
  <c r="A1309" i="57" s="1"/>
  <c r="A1310" i="57" s="1"/>
  <c r="A1311" i="57" s="1"/>
  <c r="A1313" i="57" s="1"/>
  <c r="A1314" i="57" s="1"/>
  <c r="J1283" i="57"/>
  <c r="J1389" i="57" s="1"/>
  <c r="J1495" i="57" s="1"/>
  <c r="J1601" i="57" s="1"/>
  <c r="J1707" i="57" s="1"/>
  <c r="J1813" i="57" s="1"/>
  <c r="J1919" i="57" s="1"/>
  <c r="J2025" i="57" s="1"/>
  <c r="J2131" i="57" s="1"/>
  <c r="J2237" i="57" s="1"/>
  <c r="J2343" i="57" s="1"/>
  <c r="J1284" i="57"/>
  <c r="J1390" i="57" s="1"/>
  <c r="J1496" i="57" s="1"/>
  <c r="J1602" i="57" s="1"/>
  <c r="J1708" i="57" s="1"/>
  <c r="J1814" i="57" s="1"/>
  <c r="J1920" i="57" s="1"/>
  <c r="J2026" i="57" s="1"/>
  <c r="J2132" i="57" s="1"/>
  <c r="J2238" i="57" s="1"/>
  <c r="J2344" i="57" s="1"/>
  <c r="J1285" i="57"/>
  <c r="J1391" i="57" s="1"/>
  <c r="J1497" i="57" s="1"/>
  <c r="J1603" i="57" s="1"/>
  <c r="J1709" i="57" s="1"/>
  <c r="J1815" i="57" s="1"/>
  <c r="J1921" i="57" s="1"/>
  <c r="J2027" i="57" s="1"/>
  <c r="J2133" i="57" s="1"/>
  <c r="J2239" i="57" s="1"/>
  <c r="J2345" i="57" s="1"/>
  <c r="J1286" i="57"/>
  <c r="J1392" i="57" s="1"/>
  <c r="J1498" i="57" s="1"/>
  <c r="J1604" i="57" s="1"/>
  <c r="J1710" i="57" s="1"/>
  <c r="J1816" i="57" s="1"/>
  <c r="J1922" i="57" s="1"/>
  <c r="J2028" i="57" s="1"/>
  <c r="J2134" i="57" s="1"/>
  <c r="J2240" i="57" s="1"/>
  <c r="J2346" i="57" s="1"/>
  <c r="J1287" i="57"/>
  <c r="J1393" i="57" s="1"/>
  <c r="J1499" i="57" s="1"/>
  <c r="J1605" i="57" s="1"/>
  <c r="J1711" i="57" s="1"/>
  <c r="J1817" i="57" s="1"/>
  <c r="J1923" i="57" s="1"/>
  <c r="J2029" i="57" s="1"/>
  <c r="J2135" i="57" s="1"/>
  <c r="J2241" i="57" s="1"/>
  <c r="J2347" i="57" s="1"/>
  <c r="J1288" i="57"/>
  <c r="J1394" i="57" s="1"/>
  <c r="J1500" i="57" s="1"/>
  <c r="J1606" i="57" s="1"/>
  <c r="J1712" i="57" s="1"/>
  <c r="J1818" i="57" s="1"/>
  <c r="J1924" i="57" s="1"/>
  <c r="J2030" i="57" s="1"/>
  <c r="J2136" i="57" s="1"/>
  <c r="J2242" i="57" s="1"/>
  <c r="J2348" i="57" s="1"/>
  <c r="J1289" i="57"/>
  <c r="J1395" i="57" s="1"/>
  <c r="J1501" i="57" s="1"/>
  <c r="J1607" i="57" s="1"/>
  <c r="J1713" i="57" s="1"/>
  <c r="J1819" i="57" s="1"/>
  <c r="J1925" i="57" s="1"/>
  <c r="J2031" i="57" s="1"/>
  <c r="J2137" i="57" s="1"/>
  <c r="J2243" i="57" s="1"/>
  <c r="J2349" i="57" s="1"/>
  <c r="J1290" i="57"/>
  <c r="J1396" i="57" s="1"/>
  <c r="J1502" i="57" s="1"/>
  <c r="J1608" i="57" s="1"/>
  <c r="J1714" i="57" s="1"/>
  <c r="J1820" i="57" s="1"/>
  <c r="J1926" i="57" s="1"/>
  <c r="J2032" i="57" s="1"/>
  <c r="J2138" i="57" s="1"/>
  <c r="J2244" i="57" s="1"/>
  <c r="J2350" i="57" s="1"/>
  <c r="J1291" i="57"/>
  <c r="J1397" i="57" s="1"/>
  <c r="J1503" i="57" s="1"/>
  <c r="J1609" i="57" s="1"/>
  <c r="J1715" i="57" s="1"/>
  <c r="J1821" i="57" s="1"/>
  <c r="J1927" i="57" s="1"/>
  <c r="J2033" i="57" s="1"/>
  <c r="J2139" i="57" s="1"/>
  <c r="J2245" i="57" s="1"/>
  <c r="J2351" i="57" s="1"/>
  <c r="J1292" i="57"/>
  <c r="J1398" i="57" s="1"/>
  <c r="J1504" i="57" s="1"/>
  <c r="J1610" i="57" s="1"/>
  <c r="J1716" i="57" s="1"/>
  <c r="J1822" i="57" s="1"/>
  <c r="J1928" i="57" s="1"/>
  <c r="J2034" i="57" s="1"/>
  <c r="J2140" i="57" s="1"/>
  <c r="J2246" i="57" s="1"/>
  <c r="J2352" i="57" s="1"/>
  <c r="J1293" i="57"/>
  <c r="J1399" i="57" s="1"/>
  <c r="J1505" i="57" s="1"/>
  <c r="J1611" i="57" s="1"/>
  <c r="J1717" i="57" s="1"/>
  <c r="J1823" i="57" s="1"/>
  <c r="J1929" i="57" s="1"/>
  <c r="J2035" i="57" s="1"/>
  <c r="J2141" i="57" s="1"/>
  <c r="J2247" i="57" s="1"/>
  <c r="J2353" i="57" s="1"/>
  <c r="J1297" i="57"/>
  <c r="J1403" i="57" s="1"/>
  <c r="J1509" i="57" s="1"/>
  <c r="J1615" i="57" s="1"/>
  <c r="J1721" i="57" s="1"/>
  <c r="J1827" i="57" s="1"/>
  <c r="J1933" i="57" s="1"/>
  <c r="J2039" i="57" s="1"/>
  <c r="J2145" i="57" s="1"/>
  <c r="J2251" i="57" s="1"/>
  <c r="J2357" i="57" s="1"/>
  <c r="J1298" i="57"/>
  <c r="J1404" i="57" s="1"/>
  <c r="J1510" i="57" s="1"/>
  <c r="J1616" i="57" s="1"/>
  <c r="J1722" i="57" s="1"/>
  <c r="J1828" i="57" s="1"/>
  <c r="J1934" i="57" s="1"/>
  <c r="J2040" i="57" s="1"/>
  <c r="J2146" i="57" s="1"/>
  <c r="J2252" i="57" s="1"/>
  <c r="J2358" i="57" s="1"/>
  <c r="J1299" i="57"/>
  <c r="J1405" i="57" s="1"/>
  <c r="J1511" i="57" s="1"/>
  <c r="J1617" i="57" s="1"/>
  <c r="J1723" i="57" s="1"/>
  <c r="J1829" i="57" s="1"/>
  <c r="J1935" i="57" s="1"/>
  <c r="J2041" i="57" s="1"/>
  <c r="J2147" i="57" s="1"/>
  <c r="J2253" i="57" s="1"/>
  <c r="J2359" i="57" s="1"/>
  <c r="J1300" i="57"/>
  <c r="J1406" i="57" s="1"/>
  <c r="J1512" i="57" s="1"/>
  <c r="J1618" i="57" s="1"/>
  <c r="J1724" i="57" s="1"/>
  <c r="J1830" i="57" s="1"/>
  <c r="J1936" i="57" s="1"/>
  <c r="J2042" i="57" s="1"/>
  <c r="J2148" i="57" s="1"/>
  <c r="J2254" i="57" s="1"/>
  <c r="J2360" i="57" s="1"/>
  <c r="J1301" i="57"/>
  <c r="J1407" i="57" s="1"/>
  <c r="J1513" i="57" s="1"/>
  <c r="J1619" i="57" s="1"/>
  <c r="J1725" i="57" s="1"/>
  <c r="J1831" i="57" s="1"/>
  <c r="J1937" i="57" s="1"/>
  <c r="J2043" i="57" s="1"/>
  <c r="J2149" i="57" s="1"/>
  <c r="J2255" i="57" s="1"/>
  <c r="J2361" i="57" s="1"/>
  <c r="J1302" i="57"/>
  <c r="J1408" i="57" s="1"/>
  <c r="J1514" i="57" s="1"/>
  <c r="J1620" i="57" s="1"/>
  <c r="J1726" i="57" s="1"/>
  <c r="J1832" i="57" s="1"/>
  <c r="J1938" i="57" s="1"/>
  <c r="J2044" i="57" s="1"/>
  <c r="J2150" i="57" s="1"/>
  <c r="J2256" i="57" s="1"/>
  <c r="J2362" i="57" s="1"/>
  <c r="J1303" i="57"/>
  <c r="J1409" i="57" s="1"/>
  <c r="J1515" i="57" s="1"/>
  <c r="J1621" i="57" s="1"/>
  <c r="J1727" i="57" s="1"/>
  <c r="J1833" i="57" s="1"/>
  <c r="J1939" i="57" s="1"/>
  <c r="J2045" i="57" s="1"/>
  <c r="J2151" i="57" s="1"/>
  <c r="J2257" i="57" s="1"/>
  <c r="J2363" i="57" s="1"/>
  <c r="J1304" i="57"/>
  <c r="J1410" i="57" s="1"/>
  <c r="J1516" i="57" s="1"/>
  <c r="J1622" i="57" s="1"/>
  <c r="J1728" i="57" s="1"/>
  <c r="J1834" i="57" s="1"/>
  <c r="J1940" i="57" s="1"/>
  <c r="J2046" i="57" s="1"/>
  <c r="J2152" i="57" s="1"/>
  <c r="J2258" i="57" s="1"/>
  <c r="J2364" i="57" s="1"/>
  <c r="J1305" i="57"/>
  <c r="J1411" i="57" s="1"/>
  <c r="J1517" i="57" s="1"/>
  <c r="J1623" i="57" s="1"/>
  <c r="J1729" i="57" s="1"/>
  <c r="J1835" i="57" s="1"/>
  <c r="J1941" i="57" s="1"/>
  <c r="J2047" i="57" s="1"/>
  <c r="J2153" i="57" s="1"/>
  <c r="J2259" i="57" s="1"/>
  <c r="J2365" i="57" s="1"/>
  <c r="J1306" i="57"/>
  <c r="J1412" i="57" s="1"/>
  <c r="J1518" i="57" s="1"/>
  <c r="J1624" i="57" s="1"/>
  <c r="J1730" i="57" s="1"/>
  <c r="J1836" i="57" s="1"/>
  <c r="J1942" i="57" s="1"/>
  <c r="J2048" i="57" s="1"/>
  <c r="J2154" i="57" s="1"/>
  <c r="J2260" i="57" s="1"/>
  <c r="J2366" i="57" s="1"/>
  <c r="J1307" i="57"/>
  <c r="J1413" i="57" s="1"/>
  <c r="J1519" i="57" s="1"/>
  <c r="J1625" i="57" s="1"/>
  <c r="J1731" i="57" s="1"/>
  <c r="J1837" i="57" s="1"/>
  <c r="J1943" i="57" s="1"/>
  <c r="J2049" i="57" s="1"/>
  <c r="J2155" i="57" s="1"/>
  <c r="J2261" i="57" s="1"/>
  <c r="J2367" i="57" s="1"/>
  <c r="J1308" i="57"/>
  <c r="J1414" i="57" s="1"/>
  <c r="J1520" i="57" s="1"/>
  <c r="J1626" i="57" s="1"/>
  <c r="J1732" i="57" s="1"/>
  <c r="J1838" i="57" s="1"/>
  <c r="J1944" i="57" s="1"/>
  <c r="J2050" i="57" s="1"/>
  <c r="J2156" i="57" s="1"/>
  <c r="J2262" i="57" s="1"/>
  <c r="J2368" i="57" s="1"/>
  <c r="J1309" i="57"/>
  <c r="J1415" i="57" s="1"/>
  <c r="J1521" i="57" s="1"/>
  <c r="J1627" i="57" s="1"/>
  <c r="J1733" i="57" s="1"/>
  <c r="J1839" i="57" s="1"/>
  <c r="J1945" i="57" s="1"/>
  <c r="J2051" i="57" s="1"/>
  <c r="J2157" i="57" s="1"/>
  <c r="J2263" i="57" s="1"/>
  <c r="J2369" i="57" s="1"/>
  <c r="J1310" i="57"/>
  <c r="J1416" i="57" s="1"/>
  <c r="J1522" i="57" s="1"/>
  <c r="J1628" i="57" s="1"/>
  <c r="J1734" i="57" s="1"/>
  <c r="J1840" i="57" s="1"/>
  <c r="J1946" i="57" s="1"/>
  <c r="J2052" i="57" s="1"/>
  <c r="J2158" i="57" s="1"/>
  <c r="J2264" i="57" s="1"/>
  <c r="J2370" i="57" s="1"/>
  <c r="A1318" i="57"/>
  <c r="A1319" i="57"/>
  <c r="A1323" i="57"/>
  <c r="N1323" i="57"/>
  <c r="A1324" i="57"/>
  <c r="A1325" i="57"/>
  <c r="N1331" i="57"/>
  <c r="D1332" i="57"/>
  <c r="E1332" i="57"/>
  <c r="F1332" i="57"/>
  <c r="G1332" i="57"/>
  <c r="I1332" i="57"/>
  <c r="J1332" i="57"/>
  <c r="K1332" i="57"/>
  <c r="L1332" i="57"/>
  <c r="M1332" i="57"/>
  <c r="N1332" i="57"/>
  <c r="A1335" i="57"/>
  <c r="A1336" i="57" s="1"/>
  <c r="A1337" i="57" s="1"/>
  <c r="A1338" i="57" s="1"/>
  <c r="A1339" i="57" s="1"/>
  <c r="A1340" i="57" s="1"/>
  <c r="A1341" i="57" s="1"/>
  <c r="A1343" i="57" s="1"/>
  <c r="A1344" i="57" s="1"/>
  <c r="A1345" i="57" s="1"/>
  <c r="A1347" i="57" s="1"/>
  <c r="A1348" i="57" s="1"/>
  <c r="A1349" i="57" s="1"/>
  <c r="A1350" i="57" s="1"/>
  <c r="A1351" i="57" s="1"/>
  <c r="A1352" i="57" s="1"/>
  <c r="A1353" i="57" s="1"/>
  <c r="A1354" i="57" s="1"/>
  <c r="A1355" i="57" s="1"/>
  <c r="A1356" i="57" s="1"/>
  <c r="A1357" i="57" s="1"/>
  <c r="A1358" i="57" s="1"/>
  <c r="A1359" i="57" s="1"/>
  <c r="A1365" i="57" s="1"/>
  <c r="A1366" i="57" s="1"/>
  <c r="A1367" i="57" s="1"/>
  <c r="A1368" i="57" s="1"/>
  <c r="A1369" i="57" s="1"/>
  <c r="M1341" i="57"/>
  <c r="K1345" i="57"/>
  <c r="M1345" i="57"/>
  <c r="A1371" i="57"/>
  <c r="A1372" i="57"/>
  <c r="A1376" i="57"/>
  <c r="N1376" i="57"/>
  <c r="A1377" i="57"/>
  <c r="A1378" i="57"/>
  <c r="G1384" i="57"/>
  <c r="N1384" i="57" s="1"/>
  <c r="D1385" i="57"/>
  <c r="E1385" i="57"/>
  <c r="F1385" i="57"/>
  <c r="G1385" i="57"/>
  <c r="I1385" i="57"/>
  <c r="J1385" i="57"/>
  <c r="K1385" i="57"/>
  <c r="L1385" i="57"/>
  <c r="M1385" i="57"/>
  <c r="N1385" i="57"/>
  <c r="A1389" i="57"/>
  <c r="A1390" i="57" s="1"/>
  <c r="A1391" i="57" s="1"/>
  <c r="A1392" i="57" s="1"/>
  <c r="A1393" i="57" s="1"/>
  <c r="A1394" i="57" s="1"/>
  <c r="A1395" i="57" s="1"/>
  <c r="A1396" i="57" s="1"/>
  <c r="A1397" i="57" s="1"/>
  <c r="A1398" i="57" s="1"/>
  <c r="A1399" i="57" s="1"/>
  <c r="A1400" i="57" s="1"/>
  <c r="A1402" i="57" s="1"/>
  <c r="A1403" i="57" s="1"/>
  <c r="A1404" i="57" s="1"/>
  <c r="A1405" i="57" s="1"/>
  <c r="A1406" i="57" s="1"/>
  <c r="A1407" i="57" s="1"/>
  <c r="A1408" i="57" s="1"/>
  <c r="A1409" i="57" s="1"/>
  <c r="A1410" i="57" s="1"/>
  <c r="A1411" i="57" s="1"/>
  <c r="A1412" i="57" s="1"/>
  <c r="A1413" i="57" s="1"/>
  <c r="A1414" i="57" s="1"/>
  <c r="A1415" i="57" s="1"/>
  <c r="A1416" i="57" s="1"/>
  <c r="A1417" i="57" s="1"/>
  <c r="A1419" i="57" s="1"/>
  <c r="A1420" i="57" s="1"/>
  <c r="A1424" i="57"/>
  <c r="A1425" i="57"/>
  <c r="A1429" i="57"/>
  <c r="N1429" i="57"/>
  <c r="A1430" i="57"/>
  <c r="A1431" i="57"/>
  <c r="I1437" i="57"/>
  <c r="D1490" i="57"/>
  <c r="I1490" i="57" s="1"/>
  <c r="D1438" i="57"/>
  <c r="E1438" i="57"/>
  <c r="F1438" i="57"/>
  <c r="G1438" i="57"/>
  <c r="I1438" i="57"/>
  <c r="J1438" i="57"/>
  <c r="K1438" i="57"/>
  <c r="L1438" i="57"/>
  <c r="M1438" i="57"/>
  <c r="N1438" i="57"/>
  <c r="A1441" i="57"/>
  <c r="A1442" i="57" s="1"/>
  <c r="A1443" i="57" s="1"/>
  <c r="A1444" i="57" s="1"/>
  <c r="A1445" i="57" s="1"/>
  <c r="A1446" i="57" s="1"/>
  <c r="A1447" i="57" s="1"/>
  <c r="A1449" i="57" s="1"/>
  <c r="A1450" i="57" s="1"/>
  <c r="A1451" i="57" s="1"/>
  <c r="A1453" i="57" s="1"/>
  <c r="A1454" i="57" s="1"/>
  <c r="A1455" i="57" s="1"/>
  <c r="A1456" i="57" s="1"/>
  <c r="A1457" i="57" s="1"/>
  <c r="A1458" i="57" s="1"/>
  <c r="A1459" i="57" s="1"/>
  <c r="A1460" i="57" s="1"/>
  <c r="A1461" i="57" s="1"/>
  <c r="A1462" i="57" s="1"/>
  <c r="A1463" i="57" s="1"/>
  <c r="A1464" i="57" s="1"/>
  <c r="A1465" i="57" s="1"/>
  <c r="A1471" i="57" s="1"/>
  <c r="A1472" i="57" s="1"/>
  <c r="A1473" i="57" s="1"/>
  <c r="A1474" i="57" s="1"/>
  <c r="A1475" i="57" s="1"/>
  <c r="M1447" i="57"/>
  <c r="K1451" i="57"/>
  <c r="M1451" i="57"/>
  <c r="A1477" i="57"/>
  <c r="A1478" i="57"/>
  <c r="A1482" i="57"/>
  <c r="N1482" i="57"/>
  <c r="A1483" i="57"/>
  <c r="A1484" i="57"/>
  <c r="D1491" i="57"/>
  <c r="E1491" i="57"/>
  <c r="F1491" i="57"/>
  <c r="G1491" i="57"/>
  <c r="I1491" i="57"/>
  <c r="J1491" i="57"/>
  <c r="K1491" i="57"/>
  <c r="L1491" i="57"/>
  <c r="M1491" i="57"/>
  <c r="N1491" i="57"/>
  <c r="A1495" i="57"/>
  <c r="A1496" i="57" s="1"/>
  <c r="A1497" i="57" s="1"/>
  <c r="A1498" i="57" s="1"/>
  <c r="A1499" i="57" s="1"/>
  <c r="A1500" i="57" s="1"/>
  <c r="A1501" i="57" s="1"/>
  <c r="A1502" i="57" s="1"/>
  <c r="A1503" i="57" s="1"/>
  <c r="A1504" i="57" s="1"/>
  <c r="A1505" i="57" s="1"/>
  <c r="A1506" i="57" s="1"/>
  <c r="A1508" i="57" s="1"/>
  <c r="A1509" i="57" s="1"/>
  <c r="A1510" i="57" s="1"/>
  <c r="A1511" i="57" s="1"/>
  <c r="A1512" i="57" s="1"/>
  <c r="A1513" i="57" s="1"/>
  <c r="A1514" i="57" s="1"/>
  <c r="A1515" i="57" s="1"/>
  <c r="A1516" i="57" s="1"/>
  <c r="A1517" i="57" s="1"/>
  <c r="A1518" i="57" s="1"/>
  <c r="A1519" i="57" s="1"/>
  <c r="A1520" i="57" s="1"/>
  <c r="A1521" i="57" s="1"/>
  <c r="A1522" i="57" s="1"/>
  <c r="A1523" i="57" s="1"/>
  <c r="A1525" i="57" s="1"/>
  <c r="A1526" i="57" s="1"/>
  <c r="A1530" i="57"/>
  <c r="A1531" i="57"/>
  <c r="A1535" i="57"/>
  <c r="N1535" i="57"/>
  <c r="A1536" i="57"/>
  <c r="A1537" i="57"/>
  <c r="G1596" i="57"/>
  <c r="N1596" i="57" s="1"/>
  <c r="N1543" i="57"/>
  <c r="D1544" i="57"/>
  <c r="E1544" i="57"/>
  <c r="F1544" i="57"/>
  <c r="G1544" i="57"/>
  <c r="I1544" i="57"/>
  <c r="J1544" i="57"/>
  <c r="K1544" i="57"/>
  <c r="L1544" i="57"/>
  <c r="M1544" i="57"/>
  <c r="N1544" i="57"/>
  <c r="A1547" i="57"/>
  <c r="A1548" i="57" s="1"/>
  <c r="A1549" i="57" s="1"/>
  <c r="A1550" i="57" s="1"/>
  <c r="A1551" i="57" s="1"/>
  <c r="A1552" i="57" s="1"/>
  <c r="A1553" i="57" s="1"/>
  <c r="A1555" i="57" s="1"/>
  <c r="A1556" i="57" s="1"/>
  <c r="A1557" i="57" s="1"/>
  <c r="A1559" i="57" s="1"/>
  <c r="A1560" i="57" s="1"/>
  <c r="A1561" i="57" s="1"/>
  <c r="A1562" i="57" s="1"/>
  <c r="A1563" i="57" s="1"/>
  <c r="A1564" i="57" s="1"/>
  <c r="A1565" i="57" s="1"/>
  <c r="A1566" i="57" s="1"/>
  <c r="A1567" i="57" s="1"/>
  <c r="A1568" i="57" s="1"/>
  <c r="A1569" i="57" s="1"/>
  <c r="A1570" i="57" s="1"/>
  <c r="A1571" i="57" s="1"/>
  <c r="A1577" i="57" s="1"/>
  <c r="A1578" i="57" s="1"/>
  <c r="A1579" i="57" s="1"/>
  <c r="A1580" i="57" s="1"/>
  <c r="A1581" i="57" s="1"/>
  <c r="M1553" i="57"/>
  <c r="K1557" i="57"/>
  <c r="M1557" i="57"/>
  <c r="A1583" i="57"/>
  <c r="A1584" i="57"/>
  <c r="A1588" i="57"/>
  <c r="N1588" i="57"/>
  <c r="A1589" i="57"/>
  <c r="A1590" i="57"/>
  <c r="D1597" i="57"/>
  <c r="E1597" i="57"/>
  <c r="F1597" i="57"/>
  <c r="G1597" i="57"/>
  <c r="I1597" i="57"/>
  <c r="J1597" i="57"/>
  <c r="K1597" i="57"/>
  <c r="L1597" i="57"/>
  <c r="M1597" i="57"/>
  <c r="N1597" i="57"/>
  <c r="A1601" i="57"/>
  <c r="A1602" i="57" s="1"/>
  <c r="A1603" i="57" s="1"/>
  <c r="A1604" i="57" s="1"/>
  <c r="A1605" i="57" s="1"/>
  <c r="A1606" i="57" s="1"/>
  <c r="A1607" i="57" s="1"/>
  <c r="A1608" i="57" s="1"/>
  <c r="A1609" i="57" s="1"/>
  <c r="A1610" i="57" s="1"/>
  <c r="A1611" i="57" s="1"/>
  <c r="A1612" i="57" s="1"/>
  <c r="A1614" i="57" s="1"/>
  <c r="A1615" i="57" s="1"/>
  <c r="A1616" i="57" s="1"/>
  <c r="A1617" i="57" s="1"/>
  <c r="A1618" i="57" s="1"/>
  <c r="A1619" i="57" s="1"/>
  <c r="A1620" i="57" s="1"/>
  <c r="A1621" i="57" s="1"/>
  <c r="A1622" i="57" s="1"/>
  <c r="A1623" i="57" s="1"/>
  <c r="A1624" i="57" s="1"/>
  <c r="A1625" i="57" s="1"/>
  <c r="A1626" i="57" s="1"/>
  <c r="A1627" i="57" s="1"/>
  <c r="A1628" i="57" s="1"/>
  <c r="A1629" i="57" s="1"/>
  <c r="A1631" i="57" s="1"/>
  <c r="A1632" i="57" s="1"/>
  <c r="A1636" i="57"/>
  <c r="A1637" i="57"/>
  <c r="A1641" i="57"/>
  <c r="N1641" i="57"/>
  <c r="A1642" i="57"/>
  <c r="A1643" i="57"/>
  <c r="D1650" i="57"/>
  <c r="E1650" i="57"/>
  <c r="F1650" i="57"/>
  <c r="G1650" i="57"/>
  <c r="I1650" i="57"/>
  <c r="J1650" i="57"/>
  <c r="K1650" i="57"/>
  <c r="L1650" i="57"/>
  <c r="M1650" i="57"/>
  <c r="N1650" i="57"/>
  <c r="A1653" i="57"/>
  <c r="A1654" i="57" s="1"/>
  <c r="A1655" i="57" s="1"/>
  <c r="A1656" i="57" s="1"/>
  <c r="A1657" i="57" s="1"/>
  <c r="A1658" i="57" s="1"/>
  <c r="A1659" i="57" s="1"/>
  <c r="A1661" i="57" s="1"/>
  <c r="A1662" i="57" s="1"/>
  <c r="A1663" i="57" s="1"/>
  <c r="A1665" i="57" s="1"/>
  <c r="A1666" i="57" s="1"/>
  <c r="A1667" i="57" s="1"/>
  <c r="A1668" i="57" s="1"/>
  <c r="A1669" i="57" s="1"/>
  <c r="A1670" i="57" s="1"/>
  <c r="A1671" i="57" s="1"/>
  <c r="A1672" i="57" s="1"/>
  <c r="A1673" i="57" s="1"/>
  <c r="A1674" i="57" s="1"/>
  <c r="A1675" i="57" s="1"/>
  <c r="A1676" i="57" s="1"/>
  <c r="A1677" i="57" s="1"/>
  <c r="A1683" i="57" s="1"/>
  <c r="A1684" i="57" s="1"/>
  <c r="A1685" i="57" s="1"/>
  <c r="A1686" i="57" s="1"/>
  <c r="A1687" i="57" s="1"/>
  <c r="M1659" i="57"/>
  <c r="K1663" i="57"/>
  <c r="M1663" i="57"/>
  <c r="A1689" i="57"/>
  <c r="A1690" i="57"/>
  <c r="A1694" i="57"/>
  <c r="N1694" i="57"/>
  <c r="A1695" i="57"/>
  <c r="A1696" i="57"/>
  <c r="D1703" i="57"/>
  <c r="E1703" i="57"/>
  <c r="F1703" i="57"/>
  <c r="G1703" i="57"/>
  <c r="I1703" i="57"/>
  <c r="J1703" i="57"/>
  <c r="K1703" i="57"/>
  <c r="L1703" i="57"/>
  <c r="M1703" i="57"/>
  <c r="N1703" i="57"/>
  <c r="A1707" i="57"/>
  <c r="A1708" i="57" s="1"/>
  <c r="A1709" i="57" s="1"/>
  <c r="A1710" i="57" s="1"/>
  <c r="A1711" i="57" s="1"/>
  <c r="A1712" i="57" s="1"/>
  <c r="A1713" i="57" s="1"/>
  <c r="A1714" i="57" s="1"/>
  <c r="A1715" i="57" s="1"/>
  <c r="A1716" i="57" s="1"/>
  <c r="A1717" i="57" s="1"/>
  <c r="A1718" i="57" s="1"/>
  <c r="A1720" i="57" s="1"/>
  <c r="A1721" i="57" s="1"/>
  <c r="A1722" i="57" s="1"/>
  <c r="A1723" i="57" s="1"/>
  <c r="A1724" i="57" s="1"/>
  <c r="A1725" i="57" s="1"/>
  <c r="A1726" i="57" s="1"/>
  <c r="A1727" i="57" s="1"/>
  <c r="A1728" i="57" s="1"/>
  <c r="A1729" i="57" s="1"/>
  <c r="A1730" i="57" s="1"/>
  <c r="A1731" i="57" s="1"/>
  <c r="A1732" i="57" s="1"/>
  <c r="A1733" i="57" s="1"/>
  <c r="A1734" i="57" s="1"/>
  <c r="A1735" i="57" s="1"/>
  <c r="A1737" i="57" s="1"/>
  <c r="A1738" i="57" s="1"/>
  <c r="A1742" i="57"/>
  <c r="A1743" i="57"/>
  <c r="A1747" i="57"/>
  <c r="N1747" i="57"/>
  <c r="A1748" i="57"/>
  <c r="A1749" i="57"/>
  <c r="D1756" i="57"/>
  <c r="E1756" i="57"/>
  <c r="F1756" i="57"/>
  <c r="G1756" i="57"/>
  <c r="I1756" i="57"/>
  <c r="J1756" i="57"/>
  <c r="K1756" i="57"/>
  <c r="L1756" i="57"/>
  <c r="M1756" i="57"/>
  <c r="N1756" i="57"/>
  <c r="A1759" i="57"/>
  <c r="A1760" i="57" s="1"/>
  <c r="A1761" i="57" s="1"/>
  <c r="A1762" i="57" s="1"/>
  <c r="A1763" i="57" s="1"/>
  <c r="A1764" i="57" s="1"/>
  <c r="A1765" i="57" s="1"/>
  <c r="A1767" i="57" s="1"/>
  <c r="A1768" i="57" s="1"/>
  <c r="A1769" i="57" s="1"/>
  <c r="A1771" i="57" s="1"/>
  <c r="A1772" i="57" s="1"/>
  <c r="A1773" i="57" s="1"/>
  <c r="A1774" i="57" s="1"/>
  <c r="A1775" i="57" s="1"/>
  <c r="A1776" i="57" s="1"/>
  <c r="A1777" i="57" s="1"/>
  <c r="A1778" i="57" s="1"/>
  <c r="A1779" i="57" s="1"/>
  <c r="A1780" i="57" s="1"/>
  <c r="A1781" i="57" s="1"/>
  <c r="A1782" i="57" s="1"/>
  <c r="A1783" i="57" s="1"/>
  <c r="A1789" i="57" s="1"/>
  <c r="A1790" i="57" s="1"/>
  <c r="A1791" i="57" s="1"/>
  <c r="A1792" i="57" s="1"/>
  <c r="A1793" i="57" s="1"/>
  <c r="M1765" i="57"/>
  <c r="K1769" i="57"/>
  <c r="M1769" i="57"/>
  <c r="A1795" i="57"/>
  <c r="A1796" i="57"/>
  <c r="A1800" i="57"/>
  <c r="N1800" i="57"/>
  <c r="A1801" i="57"/>
  <c r="A1802" i="57"/>
  <c r="D1809" i="57"/>
  <c r="E1809" i="57"/>
  <c r="F1809" i="57"/>
  <c r="G1809" i="57"/>
  <c r="I1809" i="57"/>
  <c r="J1809" i="57"/>
  <c r="K1809" i="57"/>
  <c r="L1809" i="57"/>
  <c r="M1809" i="57"/>
  <c r="N1809" i="57"/>
  <c r="A1813" i="57"/>
  <c r="A1814" i="57" s="1"/>
  <c r="A1815" i="57" s="1"/>
  <c r="A1816" i="57" s="1"/>
  <c r="A1817" i="57" s="1"/>
  <c r="A1818" i="57" s="1"/>
  <c r="A1819" i="57" s="1"/>
  <c r="A1820" i="57" s="1"/>
  <c r="A1821" i="57" s="1"/>
  <c r="A1822" i="57" s="1"/>
  <c r="A1823" i="57" s="1"/>
  <c r="A1824" i="57" s="1"/>
  <c r="A1826" i="57" s="1"/>
  <c r="A1827" i="57" s="1"/>
  <c r="A1828" i="57" s="1"/>
  <c r="A1829" i="57" s="1"/>
  <c r="A1830" i="57" s="1"/>
  <c r="A1831" i="57" s="1"/>
  <c r="A1832" i="57" s="1"/>
  <c r="A1833" i="57" s="1"/>
  <c r="A1834" i="57" s="1"/>
  <c r="A1835" i="57" s="1"/>
  <c r="A1836" i="57" s="1"/>
  <c r="A1837" i="57" s="1"/>
  <c r="A1838" i="57" s="1"/>
  <c r="A1839" i="57" s="1"/>
  <c r="A1840" i="57" s="1"/>
  <c r="A1841" i="57" s="1"/>
  <c r="A1843" i="57" s="1"/>
  <c r="A1844" i="57" s="1"/>
  <c r="A1848" i="57"/>
  <c r="A1849" i="57"/>
  <c r="A1853" i="57"/>
  <c r="N1853" i="57"/>
  <c r="A1854" i="57"/>
  <c r="A1855" i="57"/>
  <c r="D1862" i="57"/>
  <c r="E1862" i="57"/>
  <c r="F1862" i="57"/>
  <c r="G1862" i="57"/>
  <c r="I1862" i="57"/>
  <c r="J1862" i="57"/>
  <c r="K1862" i="57"/>
  <c r="L1862" i="57"/>
  <c r="M1862" i="57"/>
  <c r="N1862" i="57"/>
  <c r="A1865" i="57"/>
  <c r="A1866" i="57" s="1"/>
  <c r="A1867" i="57" s="1"/>
  <c r="A1868" i="57" s="1"/>
  <c r="A1869" i="57" s="1"/>
  <c r="A1870" i="57" s="1"/>
  <c r="A1871" i="57" s="1"/>
  <c r="A1873" i="57" s="1"/>
  <c r="A1874" i="57" s="1"/>
  <c r="A1875" i="57" s="1"/>
  <c r="A1877" i="57" s="1"/>
  <c r="A1878" i="57" s="1"/>
  <c r="A1879" i="57" s="1"/>
  <c r="A1880" i="57" s="1"/>
  <c r="A1881" i="57" s="1"/>
  <c r="A1882" i="57" s="1"/>
  <c r="A1883" i="57" s="1"/>
  <c r="A1884" i="57" s="1"/>
  <c r="A1885" i="57" s="1"/>
  <c r="A1886" i="57" s="1"/>
  <c r="A1887" i="57" s="1"/>
  <c r="A1888" i="57" s="1"/>
  <c r="A1889" i="57" s="1"/>
  <c r="A1895" i="57" s="1"/>
  <c r="A1896" i="57" s="1"/>
  <c r="A1897" i="57" s="1"/>
  <c r="A1898" i="57" s="1"/>
  <c r="A1899" i="57" s="1"/>
  <c r="M1871" i="57"/>
  <c r="K1875" i="57"/>
  <c r="M1875" i="57"/>
  <c r="A1901" i="57"/>
  <c r="A1902" i="57"/>
  <c r="A1906" i="57"/>
  <c r="N1906" i="57"/>
  <c r="A1907" i="57"/>
  <c r="A1908" i="57"/>
  <c r="D1915" i="57"/>
  <c r="E1915" i="57"/>
  <c r="F1915" i="57"/>
  <c r="G1915" i="57"/>
  <c r="I1915" i="57"/>
  <c r="J1915" i="57"/>
  <c r="K1915" i="57"/>
  <c r="L1915" i="57"/>
  <c r="M1915" i="57"/>
  <c r="N1915" i="57"/>
  <c r="A1919" i="57"/>
  <c r="A1920" i="57" s="1"/>
  <c r="A1921" i="57" s="1"/>
  <c r="A1922" i="57" s="1"/>
  <c r="A1923" i="57" s="1"/>
  <c r="A1924" i="57" s="1"/>
  <c r="A1925" i="57" s="1"/>
  <c r="A1926" i="57" s="1"/>
  <c r="A1927" i="57" s="1"/>
  <c r="A1928" i="57" s="1"/>
  <c r="A1929" i="57" s="1"/>
  <c r="A1930" i="57" s="1"/>
  <c r="A1932" i="57" s="1"/>
  <c r="A1933" i="57" s="1"/>
  <c r="A1934" i="57" s="1"/>
  <c r="A1935" i="57" s="1"/>
  <c r="A1936" i="57" s="1"/>
  <c r="A1937" i="57" s="1"/>
  <c r="A1938" i="57" s="1"/>
  <c r="A1939" i="57" s="1"/>
  <c r="A1940" i="57" s="1"/>
  <c r="A1941" i="57" s="1"/>
  <c r="A1942" i="57" s="1"/>
  <c r="A1943" i="57" s="1"/>
  <c r="A1944" i="57" s="1"/>
  <c r="A1945" i="57" s="1"/>
  <c r="A1946" i="57" s="1"/>
  <c r="A1947" i="57" s="1"/>
  <c r="A1949" i="57" s="1"/>
  <c r="A1950" i="57" s="1"/>
  <c r="A1954" i="57"/>
  <c r="A1955" i="57"/>
  <c r="A1959" i="57"/>
  <c r="N1959" i="57"/>
  <c r="A1960" i="57"/>
  <c r="A1961" i="57"/>
  <c r="D1968" i="57"/>
  <c r="E1968" i="57"/>
  <c r="F1968" i="57"/>
  <c r="G1968" i="57"/>
  <c r="I1968" i="57"/>
  <c r="J1968" i="57"/>
  <c r="K1968" i="57"/>
  <c r="L1968" i="57"/>
  <c r="M1968" i="57"/>
  <c r="N1968" i="57"/>
  <c r="A1971" i="57"/>
  <c r="A1972" i="57" s="1"/>
  <c r="A1973" i="57" s="1"/>
  <c r="A1974" i="57" s="1"/>
  <c r="A1975" i="57" s="1"/>
  <c r="A1976" i="57" s="1"/>
  <c r="A1977" i="57" s="1"/>
  <c r="A1979" i="57" s="1"/>
  <c r="A1980" i="57" s="1"/>
  <c r="A1981" i="57" s="1"/>
  <c r="A1983" i="57" s="1"/>
  <c r="A1984" i="57" s="1"/>
  <c r="A1985" i="57" s="1"/>
  <c r="A1986" i="57" s="1"/>
  <c r="A1987" i="57" s="1"/>
  <c r="A1988" i="57" s="1"/>
  <c r="A1989" i="57" s="1"/>
  <c r="A1990" i="57" s="1"/>
  <c r="A1991" i="57" s="1"/>
  <c r="A1992" i="57" s="1"/>
  <c r="A1993" i="57" s="1"/>
  <c r="A1994" i="57" s="1"/>
  <c r="A1995" i="57" s="1"/>
  <c r="A2001" i="57" s="1"/>
  <c r="A2002" i="57" s="1"/>
  <c r="A2003" i="57" s="1"/>
  <c r="A2004" i="57" s="1"/>
  <c r="A2005" i="57" s="1"/>
  <c r="M1977" i="57"/>
  <c r="K1981" i="57"/>
  <c r="M1981" i="57"/>
  <c r="A2007" i="57"/>
  <c r="A2008" i="57"/>
  <c r="A2012" i="57"/>
  <c r="N2012" i="57"/>
  <c r="A2013" i="57"/>
  <c r="A2014" i="57"/>
  <c r="D2021" i="57"/>
  <c r="E2021" i="57"/>
  <c r="F2021" i="57"/>
  <c r="G2021" i="57"/>
  <c r="I2021" i="57"/>
  <c r="J2021" i="57"/>
  <c r="K2021" i="57"/>
  <c r="L2021" i="57"/>
  <c r="M2021" i="57"/>
  <c r="N2021" i="57"/>
  <c r="A2025" i="57"/>
  <c r="A2026" i="57" s="1"/>
  <c r="A2027" i="57" s="1"/>
  <c r="A2028" i="57" s="1"/>
  <c r="A2029" i="57" s="1"/>
  <c r="A2030" i="57" s="1"/>
  <c r="A2031" i="57" s="1"/>
  <c r="A2032" i="57" s="1"/>
  <c r="A2033" i="57" s="1"/>
  <c r="A2034" i="57" s="1"/>
  <c r="A2035" i="57" s="1"/>
  <c r="A2036" i="57" s="1"/>
  <c r="A2038" i="57" s="1"/>
  <c r="A2039" i="57" s="1"/>
  <c r="A2040" i="57" s="1"/>
  <c r="A2041" i="57" s="1"/>
  <c r="A2042" i="57" s="1"/>
  <c r="A2043" i="57" s="1"/>
  <c r="A2044" i="57" s="1"/>
  <c r="A2045" i="57" s="1"/>
  <c r="A2046" i="57" s="1"/>
  <c r="A2047" i="57" s="1"/>
  <c r="A2048" i="57" s="1"/>
  <c r="A2049" i="57" s="1"/>
  <c r="A2050" i="57" s="1"/>
  <c r="A2051" i="57" s="1"/>
  <c r="A2052" i="57" s="1"/>
  <c r="A2053" i="57" s="1"/>
  <c r="A2055" i="57" s="1"/>
  <c r="A2056" i="57" s="1"/>
  <c r="A2060" i="57"/>
  <c r="A2061" i="57"/>
  <c r="A2065" i="57"/>
  <c r="N2065" i="57"/>
  <c r="A2066" i="57"/>
  <c r="A2067" i="57"/>
  <c r="D2074" i="57"/>
  <c r="E2074" i="57"/>
  <c r="F2074" i="57"/>
  <c r="G2074" i="57"/>
  <c r="I2074" i="57"/>
  <c r="J2074" i="57"/>
  <c r="K2074" i="57"/>
  <c r="L2074" i="57"/>
  <c r="M2074" i="57"/>
  <c r="N2074" i="57"/>
  <c r="A2077" i="57"/>
  <c r="A2078" i="57" s="1"/>
  <c r="A2079" i="57" s="1"/>
  <c r="A2080" i="57" s="1"/>
  <c r="A2081" i="57" s="1"/>
  <c r="A2082" i="57" s="1"/>
  <c r="A2083" i="57" s="1"/>
  <c r="A2085" i="57" s="1"/>
  <c r="A2086" i="57" s="1"/>
  <c r="A2087" i="57" s="1"/>
  <c r="A2089" i="57" s="1"/>
  <c r="A2090" i="57" s="1"/>
  <c r="A2091" i="57" s="1"/>
  <c r="A2092" i="57" s="1"/>
  <c r="A2093" i="57" s="1"/>
  <c r="A2094" i="57" s="1"/>
  <c r="A2095" i="57" s="1"/>
  <c r="A2096" i="57" s="1"/>
  <c r="A2097" i="57" s="1"/>
  <c r="A2098" i="57" s="1"/>
  <c r="A2099" i="57" s="1"/>
  <c r="A2100" i="57" s="1"/>
  <c r="A2101" i="57" s="1"/>
  <c r="A2107" i="57" s="1"/>
  <c r="A2108" i="57" s="1"/>
  <c r="A2109" i="57" s="1"/>
  <c r="A2110" i="57" s="1"/>
  <c r="A2111" i="57" s="1"/>
  <c r="M2083" i="57"/>
  <c r="K2087" i="57"/>
  <c r="M2087" i="57"/>
  <c r="A2113" i="57"/>
  <c r="A2114" i="57"/>
  <c r="A2118" i="57"/>
  <c r="N2118" i="57"/>
  <c r="A2119" i="57"/>
  <c r="A2120" i="57"/>
  <c r="D2127" i="57"/>
  <c r="E2127" i="57"/>
  <c r="F2127" i="57"/>
  <c r="G2127" i="57"/>
  <c r="I2127" i="57"/>
  <c r="J2127" i="57"/>
  <c r="K2127" i="57"/>
  <c r="L2127" i="57"/>
  <c r="M2127" i="57"/>
  <c r="N2127" i="57"/>
  <c r="A2131" i="57"/>
  <c r="A2132" i="57" s="1"/>
  <c r="A2133" i="57" s="1"/>
  <c r="A2134" i="57" s="1"/>
  <c r="A2135" i="57" s="1"/>
  <c r="A2136" i="57" s="1"/>
  <c r="A2137" i="57" s="1"/>
  <c r="A2138" i="57" s="1"/>
  <c r="A2139" i="57" s="1"/>
  <c r="A2140" i="57" s="1"/>
  <c r="A2141" i="57" s="1"/>
  <c r="A2142" i="57" s="1"/>
  <c r="A2144" i="57" s="1"/>
  <c r="A2145" i="57" s="1"/>
  <c r="A2146" i="57" s="1"/>
  <c r="A2147" i="57" s="1"/>
  <c r="A2148" i="57" s="1"/>
  <c r="A2149" i="57" s="1"/>
  <c r="A2150" i="57" s="1"/>
  <c r="A2151" i="57" s="1"/>
  <c r="A2152" i="57" s="1"/>
  <c r="A2153" i="57" s="1"/>
  <c r="A2154" i="57" s="1"/>
  <c r="A2155" i="57" s="1"/>
  <c r="A2156" i="57" s="1"/>
  <c r="A2157" i="57" s="1"/>
  <c r="A2158" i="57" s="1"/>
  <c r="A2159" i="57" s="1"/>
  <c r="A2161" i="57" s="1"/>
  <c r="A2162" i="57" s="1"/>
  <c r="A2166" i="57"/>
  <c r="A2167" i="57"/>
  <c r="A2171" i="57"/>
  <c r="N2171" i="57"/>
  <c r="A2172" i="57"/>
  <c r="A2173" i="57"/>
  <c r="D2180" i="57"/>
  <c r="E2180" i="57"/>
  <c r="F2180" i="57"/>
  <c r="G2180" i="57"/>
  <c r="I2180" i="57"/>
  <c r="J2180" i="57"/>
  <c r="K2180" i="57"/>
  <c r="L2180" i="57"/>
  <c r="M2180" i="57"/>
  <c r="N2180" i="57"/>
  <c r="A2183" i="57"/>
  <c r="A2184" i="57" s="1"/>
  <c r="A2185" i="57" s="1"/>
  <c r="A2186" i="57" s="1"/>
  <c r="A2187" i="57" s="1"/>
  <c r="A2188" i="57" s="1"/>
  <c r="A2189" i="57" s="1"/>
  <c r="A2191" i="57" s="1"/>
  <c r="A2192" i="57" s="1"/>
  <c r="A2193" i="57" s="1"/>
  <c r="A2195" i="57" s="1"/>
  <c r="A2196" i="57" s="1"/>
  <c r="A2197" i="57" s="1"/>
  <c r="A2198" i="57" s="1"/>
  <c r="A2199" i="57" s="1"/>
  <c r="A2200" i="57" s="1"/>
  <c r="A2201" i="57" s="1"/>
  <c r="A2202" i="57" s="1"/>
  <c r="A2203" i="57" s="1"/>
  <c r="A2204" i="57" s="1"/>
  <c r="A2205" i="57" s="1"/>
  <c r="A2206" i="57" s="1"/>
  <c r="A2207" i="57" s="1"/>
  <c r="A2213" i="57" s="1"/>
  <c r="A2214" i="57" s="1"/>
  <c r="A2215" i="57" s="1"/>
  <c r="A2216" i="57" s="1"/>
  <c r="A2217" i="57" s="1"/>
  <c r="M2189" i="57"/>
  <c r="K2193" i="57"/>
  <c r="M2193" i="57"/>
  <c r="A2219" i="57"/>
  <c r="A2220" i="57"/>
  <c r="A2224" i="57"/>
  <c r="N2224" i="57"/>
  <c r="A2225" i="57"/>
  <c r="A2226" i="57"/>
  <c r="D2233" i="57"/>
  <c r="E2233" i="57"/>
  <c r="F2233" i="57"/>
  <c r="G2233" i="57"/>
  <c r="I2233" i="57"/>
  <c r="J2233" i="57"/>
  <c r="K2233" i="57"/>
  <c r="L2233" i="57"/>
  <c r="M2233" i="57"/>
  <c r="N2233" i="57"/>
  <c r="A2237" i="57"/>
  <c r="A2238" i="57" s="1"/>
  <c r="A2239" i="57" s="1"/>
  <c r="A2240" i="57" s="1"/>
  <c r="A2241" i="57" s="1"/>
  <c r="A2242" i="57" s="1"/>
  <c r="A2243" i="57" s="1"/>
  <c r="A2244" i="57" s="1"/>
  <c r="A2245" i="57" s="1"/>
  <c r="A2246" i="57" s="1"/>
  <c r="A2247" i="57" s="1"/>
  <c r="A2248" i="57" s="1"/>
  <c r="A2250" i="57" s="1"/>
  <c r="A2251" i="57" s="1"/>
  <c r="A2252" i="57" s="1"/>
  <c r="A2253" i="57" s="1"/>
  <c r="A2254" i="57" s="1"/>
  <c r="A2255" i="57" s="1"/>
  <c r="A2256" i="57" s="1"/>
  <c r="A2257" i="57" s="1"/>
  <c r="A2258" i="57" s="1"/>
  <c r="A2259" i="57" s="1"/>
  <c r="A2260" i="57" s="1"/>
  <c r="A2261" i="57" s="1"/>
  <c r="A2262" i="57" s="1"/>
  <c r="A2263" i="57" s="1"/>
  <c r="A2264" i="57" s="1"/>
  <c r="A2265" i="57" s="1"/>
  <c r="A2267" i="57" s="1"/>
  <c r="A2268" i="57" s="1"/>
  <c r="A2272" i="57"/>
  <c r="A2273" i="57"/>
  <c r="A2277" i="57"/>
  <c r="N2277" i="57"/>
  <c r="A2278" i="57"/>
  <c r="A2279" i="57"/>
  <c r="D2286" i="57"/>
  <c r="E2286" i="57"/>
  <c r="F2286" i="57"/>
  <c r="G2286" i="57"/>
  <c r="I2286" i="57"/>
  <c r="J2286" i="57"/>
  <c r="K2286" i="57"/>
  <c r="L2286" i="57"/>
  <c r="M2286" i="57"/>
  <c r="N2286" i="57"/>
  <c r="A2289" i="57"/>
  <c r="A2290" i="57" s="1"/>
  <c r="A2291" i="57" s="1"/>
  <c r="A2292" i="57" s="1"/>
  <c r="A2293" i="57" s="1"/>
  <c r="A2294" i="57" s="1"/>
  <c r="A2295" i="57" s="1"/>
  <c r="A2297" i="57" s="1"/>
  <c r="A2298" i="57" s="1"/>
  <c r="A2299" i="57" s="1"/>
  <c r="A2301" i="57" s="1"/>
  <c r="A2302" i="57" s="1"/>
  <c r="A2303" i="57" s="1"/>
  <c r="A2304" i="57" s="1"/>
  <c r="A2305" i="57" s="1"/>
  <c r="A2306" i="57" s="1"/>
  <c r="A2307" i="57" s="1"/>
  <c r="A2308" i="57" s="1"/>
  <c r="A2309" i="57" s="1"/>
  <c r="A2310" i="57" s="1"/>
  <c r="A2311" i="57" s="1"/>
  <c r="A2312" i="57" s="1"/>
  <c r="A2313" i="57" s="1"/>
  <c r="A2319" i="57" s="1"/>
  <c r="A2320" i="57" s="1"/>
  <c r="A2321" i="57" s="1"/>
  <c r="A2322" i="57" s="1"/>
  <c r="A2323" i="57" s="1"/>
  <c r="M2295" i="57"/>
  <c r="K2299" i="57"/>
  <c r="M2299" i="57"/>
  <c r="A2325" i="57"/>
  <c r="A2326" i="57"/>
  <c r="A2330" i="57"/>
  <c r="N2330" i="57"/>
  <c r="A2331" i="57"/>
  <c r="A2332" i="57"/>
  <c r="D2339" i="57"/>
  <c r="E2339" i="57"/>
  <c r="F2339" i="57"/>
  <c r="G2339" i="57"/>
  <c r="I2339" i="57"/>
  <c r="J2339" i="57"/>
  <c r="K2339" i="57"/>
  <c r="L2339" i="57"/>
  <c r="M2339" i="57"/>
  <c r="N2339" i="57"/>
  <c r="A2343" i="57"/>
  <c r="A2344" i="57" s="1"/>
  <c r="A2345" i="57" s="1"/>
  <c r="A2346" i="57" s="1"/>
  <c r="A2347" i="57" s="1"/>
  <c r="A2348" i="57" s="1"/>
  <c r="A2349" i="57" s="1"/>
  <c r="A2350" i="57" s="1"/>
  <c r="A2351" i="57" s="1"/>
  <c r="A2352" i="57" s="1"/>
  <c r="A2353" i="57" s="1"/>
  <c r="A2354" i="57" s="1"/>
  <c r="A2356" i="57" s="1"/>
  <c r="A2357" i="57" s="1"/>
  <c r="A2358" i="57" s="1"/>
  <c r="A2359" i="57" s="1"/>
  <c r="A2360" i="57" s="1"/>
  <c r="A2361" i="57" s="1"/>
  <c r="A2362" i="57" s="1"/>
  <c r="A2363" i="57" s="1"/>
  <c r="A2364" i="57" s="1"/>
  <c r="A2365" i="57" s="1"/>
  <c r="A2366" i="57" s="1"/>
  <c r="A2367" i="57" s="1"/>
  <c r="A2368" i="57" s="1"/>
  <c r="A2369" i="57" s="1"/>
  <c r="A2370" i="57" s="1"/>
  <c r="A2371" i="57" s="1"/>
  <c r="A1" i="55"/>
  <c r="A2" i="55"/>
  <c r="K279" i="41"/>
  <c r="K809" i="41"/>
  <c r="G93" i="55"/>
  <c r="G95" i="55" s="1"/>
  <c r="H93" i="55"/>
  <c r="K70" i="41" s="1"/>
  <c r="I93" i="55"/>
  <c r="K176" i="41" s="1"/>
  <c r="J93" i="55"/>
  <c r="J95" i="55" s="1"/>
  <c r="K93" i="55"/>
  <c r="K388" i="41" s="1"/>
  <c r="K1127" i="41"/>
  <c r="K1339" i="41"/>
  <c r="K1445" i="41"/>
  <c r="K1551" i="41"/>
  <c r="K1657" i="41"/>
  <c r="K1763" i="41"/>
  <c r="K1975" i="41"/>
  <c r="K2081" i="41"/>
  <c r="K2187" i="41"/>
  <c r="A1" i="41"/>
  <c r="A2" i="41"/>
  <c r="D15" i="41"/>
  <c r="E15" i="41"/>
  <c r="F15" i="41"/>
  <c r="G15" i="41"/>
  <c r="I15" i="41"/>
  <c r="J15" i="41"/>
  <c r="K15" i="41"/>
  <c r="L15" i="41"/>
  <c r="M15" i="41"/>
  <c r="A18" i="4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8" i="41"/>
  <c r="A49" i="41"/>
  <c r="D114" i="41"/>
  <c r="I114" i="41" s="1"/>
  <c r="N61" i="41"/>
  <c r="D62" i="41"/>
  <c r="E62" i="41"/>
  <c r="F62" i="41"/>
  <c r="G62" i="41"/>
  <c r="I62" i="41"/>
  <c r="J62" i="41"/>
  <c r="K62" i="41"/>
  <c r="L62" i="41"/>
  <c r="M62" i="41"/>
  <c r="N62" i="41"/>
  <c r="A65" i="41"/>
  <c r="A66" i="41" s="1"/>
  <c r="A67" i="41" s="1"/>
  <c r="A68" i="41" s="1"/>
  <c r="A69" i="41" s="1"/>
  <c r="A70" i="41" s="1"/>
  <c r="A71" i="41" s="1"/>
  <c r="A73" i="41" s="1"/>
  <c r="A74" i="41" s="1"/>
  <c r="A75" i="41" s="1"/>
  <c r="A77" i="41" s="1"/>
  <c r="A78" i="41" s="1"/>
  <c r="A79" i="41" s="1"/>
  <c r="A80" i="41" s="1"/>
  <c r="A81" i="41" s="1"/>
  <c r="A82" i="41" s="1"/>
  <c r="A83" i="41" s="1"/>
  <c r="A84" i="41" s="1"/>
  <c r="A85" i="41" s="1"/>
  <c r="A86" i="41" s="1"/>
  <c r="A87" i="41" s="1"/>
  <c r="A88" i="41" s="1"/>
  <c r="A89" i="41" s="1"/>
  <c r="A95" i="41" s="1"/>
  <c r="A96" i="41" s="1"/>
  <c r="A97" i="41" s="1"/>
  <c r="A98" i="41" s="1"/>
  <c r="A99" i="41" s="1"/>
  <c r="D66" i="41"/>
  <c r="G66" i="41" s="1"/>
  <c r="D172" i="41" s="1"/>
  <c r="G172" i="41" s="1"/>
  <c r="D278" i="41" s="1"/>
  <c r="G278" i="41" s="1"/>
  <c r="D384" i="41" s="1"/>
  <c r="G384" i="41" s="1"/>
  <c r="D490" i="41" s="1"/>
  <c r="G490" i="41" s="1"/>
  <c r="D596" i="41" s="1"/>
  <c r="G596" i="41" s="1"/>
  <c r="I66" i="41"/>
  <c r="L66" i="41"/>
  <c r="I67" i="41"/>
  <c r="K67" i="41"/>
  <c r="L67" i="41"/>
  <c r="D68" i="41"/>
  <c r="G68" i="41" s="1"/>
  <c r="D174" i="41" s="1"/>
  <c r="G174" i="41" s="1"/>
  <c r="D280" i="41" s="1"/>
  <c r="G280" i="41" s="1"/>
  <c r="D386" i="41" s="1"/>
  <c r="G386" i="41" s="1"/>
  <c r="D492" i="41" s="1"/>
  <c r="G492" i="41" s="1"/>
  <c r="D598" i="41" s="1"/>
  <c r="G598" i="41" s="1"/>
  <c r="D704" i="41" s="1"/>
  <c r="G704" i="41" s="1"/>
  <c r="D810" i="41" s="1"/>
  <c r="G810" i="41" s="1"/>
  <c r="D916" i="41" s="1"/>
  <c r="G916" i="41" s="1"/>
  <c r="D1022" i="41" s="1"/>
  <c r="G1022" i="41" s="1"/>
  <c r="D1128" i="41" s="1"/>
  <c r="G1128" i="41" s="1"/>
  <c r="D1234" i="41" s="1"/>
  <c r="G1234" i="41" s="1"/>
  <c r="D1340" i="41" s="1"/>
  <c r="G1340" i="41" s="1"/>
  <c r="D1446" i="41" s="1"/>
  <c r="G1446" i="41" s="1"/>
  <c r="D1552" i="41" s="1"/>
  <c r="G1552" i="41" s="1"/>
  <c r="D1658" i="41" s="1"/>
  <c r="G1658" i="41" s="1"/>
  <c r="D1764" i="41" s="1"/>
  <c r="G1764" i="41" s="1"/>
  <c r="D1870" i="41" s="1"/>
  <c r="G1870" i="41" s="1"/>
  <c r="D1976" i="41" s="1"/>
  <c r="G1976" i="41" s="1"/>
  <c r="D2082" i="41" s="1"/>
  <c r="G2082" i="41" s="1"/>
  <c r="D2188" i="41" s="1"/>
  <c r="G2188" i="41" s="1"/>
  <c r="D2294" i="41" s="1"/>
  <c r="G2294" i="41" s="1"/>
  <c r="I68" i="41"/>
  <c r="L68" i="41"/>
  <c r="D69" i="41"/>
  <c r="G69" i="41" s="1"/>
  <c r="D175" i="41" s="1"/>
  <c r="G175" i="41" s="1"/>
  <c r="D281" i="41" s="1"/>
  <c r="G281" i="41" s="1"/>
  <c r="D387" i="41" s="1"/>
  <c r="G387" i="41" s="1"/>
  <c r="D493" i="41" s="1"/>
  <c r="G493" i="41" s="1"/>
  <c r="D599" i="41" s="1"/>
  <c r="G599" i="41" s="1"/>
  <c r="D705" i="41" s="1"/>
  <c r="G705" i="41" s="1"/>
  <c r="D811" i="41" s="1"/>
  <c r="G811" i="41" s="1"/>
  <c r="D917" i="41" s="1"/>
  <c r="G917" i="41" s="1"/>
  <c r="D1023" i="41" s="1"/>
  <c r="G1023" i="41" s="1"/>
  <c r="D1129" i="41" s="1"/>
  <c r="G1129" i="41" s="1"/>
  <c r="D1235" i="41" s="1"/>
  <c r="G1235" i="41" s="1"/>
  <c r="D1341" i="41" s="1"/>
  <c r="G1341" i="41" s="1"/>
  <c r="D1447" i="41" s="1"/>
  <c r="G1447" i="41" s="1"/>
  <c r="D1553" i="41" s="1"/>
  <c r="G1553" i="41" s="1"/>
  <c r="D1659" i="41" s="1"/>
  <c r="G1659" i="41" s="1"/>
  <c r="D1765" i="41" s="1"/>
  <c r="G1765" i="41" s="1"/>
  <c r="D1871" i="41" s="1"/>
  <c r="G1871" i="41" s="1"/>
  <c r="D1977" i="41" s="1"/>
  <c r="G1977" i="41" s="1"/>
  <c r="D2083" i="41" s="1"/>
  <c r="G2083" i="41" s="1"/>
  <c r="D2189" i="41" s="1"/>
  <c r="G2189" i="41" s="1"/>
  <c r="D2295" i="41" s="1"/>
  <c r="G2295" i="41" s="1"/>
  <c r="I69" i="41"/>
  <c r="L69" i="41"/>
  <c r="I70" i="41"/>
  <c r="L70" i="41"/>
  <c r="E71" i="41"/>
  <c r="F71" i="41"/>
  <c r="M71" i="41"/>
  <c r="D74" i="41"/>
  <c r="I74" i="41"/>
  <c r="L74" i="41"/>
  <c r="L75" i="41" s="1"/>
  <c r="E75" i="41"/>
  <c r="F75" i="41"/>
  <c r="K75" i="41"/>
  <c r="M75" i="41"/>
  <c r="D78" i="41"/>
  <c r="G78" i="41" s="1"/>
  <c r="D184" i="41" s="1"/>
  <c r="G184" i="41" s="1"/>
  <c r="D290" i="41" s="1"/>
  <c r="G290" i="41" s="1"/>
  <c r="D396" i="41" s="1"/>
  <c r="G396" i="41" s="1"/>
  <c r="D502" i="41" s="1"/>
  <c r="G502" i="41" s="1"/>
  <c r="D608" i="41" s="1"/>
  <c r="G608" i="41" s="1"/>
  <c r="D714" i="41" s="1"/>
  <c r="G714" i="41" s="1"/>
  <c r="D820" i="41" s="1"/>
  <c r="G820" i="41" s="1"/>
  <c r="D926" i="41" s="1"/>
  <c r="G926" i="41" s="1"/>
  <c r="D1032" i="41" s="1"/>
  <c r="G1032" i="41" s="1"/>
  <c r="D1138" i="41" s="1"/>
  <c r="G1138" i="41" s="1"/>
  <c r="D1244" i="41" s="1"/>
  <c r="G1244" i="41" s="1"/>
  <c r="D1350" i="41" s="1"/>
  <c r="G1350" i="41" s="1"/>
  <c r="D1456" i="41" s="1"/>
  <c r="G1456" i="41" s="1"/>
  <c r="D1562" i="41" s="1"/>
  <c r="G1562" i="41" s="1"/>
  <c r="D1668" i="41" s="1"/>
  <c r="G1668" i="41" s="1"/>
  <c r="D1774" i="41" s="1"/>
  <c r="G1774" i="41" s="1"/>
  <c r="D1880" i="41" s="1"/>
  <c r="G1880" i="41" s="1"/>
  <c r="D1986" i="41" s="1"/>
  <c r="G1986" i="41" s="1"/>
  <c r="D2092" i="41" s="1"/>
  <c r="G2092" i="41" s="1"/>
  <c r="D2198" i="41" s="1"/>
  <c r="G2198" i="41" s="1"/>
  <c r="D2304" i="41" s="1"/>
  <c r="G2304" i="41" s="1"/>
  <c r="I78" i="41"/>
  <c r="L78" i="41"/>
  <c r="D79" i="41"/>
  <c r="G79" i="41" s="1"/>
  <c r="D185" i="41" s="1"/>
  <c r="G185" i="41" s="1"/>
  <c r="D291" i="41" s="1"/>
  <c r="G291" i="41" s="1"/>
  <c r="D397" i="41" s="1"/>
  <c r="G397" i="41" s="1"/>
  <c r="D503" i="41" s="1"/>
  <c r="G503" i="41" s="1"/>
  <c r="D609" i="41" s="1"/>
  <c r="G609" i="41" s="1"/>
  <c r="D715" i="41" s="1"/>
  <c r="G715" i="41" s="1"/>
  <c r="D821" i="41" s="1"/>
  <c r="G821" i="41" s="1"/>
  <c r="D927" i="41" s="1"/>
  <c r="G927" i="41" s="1"/>
  <c r="D1033" i="41" s="1"/>
  <c r="G1033" i="41" s="1"/>
  <c r="D1139" i="41" s="1"/>
  <c r="G1139" i="41" s="1"/>
  <c r="D1245" i="41" s="1"/>
  <c r="G1245" i="41" s="1"/>
  <c r="D1351" i="41" s="1"/>
  <c r="G1351" i="41" s="1"/>
  <c r="D1457" i="41" s="1"/>
  <c r="G1457" i="41" s="1"/>
  <c r="D1563" i="41" s="1"/>
  <c r="G1563" i="41" s="1"/>
  <c r="D1669" i="41" s="1"/>
  <c r="G1669" i="41" s="1"/>
  <c r="D1775" i="41" s="1"/>
  <c r="G1775" i="41" s="1"/>
  <c r="D1881" i="41" s="1"/>
  <c r="G1881" i="41" s="1"/>
  <c r="D1987" i="41" s="1"/>
  <c r="G1987" i="41" s="1"/>
  <c r="D2093" i="41" s="1"/>
  <c r="G2093" i="41" s="1"/>
  <c r="D2199" i="41" s="1"/>
  <c r="G2199" i="41" s="1"/>
  <c r="D2305" i="41" s="1"/>
  <c r="G2305" i="41" s="1"/>
  <c r="I79" i="41"/>
  <c r="L79" i="41"/>
  <c r="I80" i="41"/>
  <c r="L80" i="41"/>
  <c r="I81" i="41"/>
  <c r="L81" i="41"/>
  <c r="D82" i="41"/>
  <c r="G82" i="41" s="1"/>
  <c r="I82" i="41"/>
  <c r="L82" i="41"/>
  <c r="D83" i="41"/>
  <c r="G83" i="41" s="1"/>
  <c r="K83" i="41" s="1"/>
  <c r="I83" i="41"/>
  <c r="L83" i="41"/>
  <c r="I84" i="41"/>
  <c r="L84" i="41"/>
  <c r="D85" i="41"/>
  <c r="G85" i="41" s="1"/>
  <c r="I85" i="41"/>
  <c r="L85" i="41"/>
  <c r="I86" i="41"/>
  <c r="L86" i="41"/>
  <c r="I87" i="41"/>
  <c r="L87" i="41"/>
  <c r="D88" i="41"/>
  <c r="G88" i="41" s="1"/>
  <c r="K88" i="41" s="1"/>
  <c r="I88" i="41"/>
  <c r="L88" i="41"/>
  <c r="L94" i="41"/>
  <c r="I95" i="41"/>
  <c r="L95" i="41"/>
  <c r="I96" i="41"/>
  <c r="L96" i="41"/>
  <c r="D97" i="41"/>
  <c r="G97" i="41" s="1"/>
  <c r="D203" i="41" s="1"/>
  <c r="G203" i="41" s="1"/>
  <c r="I97" i="41"/>
  <c r="L97" i="41"/>
  <c r="D98" i="41"/>
  <c r="G98" i="41" s="1"/>
  <c r="D204" i="41" s="1"/>
  <c r="G204" i="41" s="1"/>
  <c r="D310" i="41" s="1"/>
  <c r="G310" i="41" s="1"/>
  <c r="D416" i="41" s="1"/>
  <c r="G416" i="41" s="1"/>
  <c r="D522" i="41" s="1"/>
  <c r="G522" i="41" s="1"/>
  <c r="D628" i="41" s="1"/>
  <c r="G628" i="41" s="1"/>
  <c r="D734" i="41" s="1"/>
  <c r="G734" i="41" s="1"/>
  <c r="D840" i="41" s="1"/>
  <c r="G840" i="41" s="1"/>
  <c r="D946" i="41" s="1"/>
  <c r="G946" i="41" s="1"/>
  <c r="D1052" i="41" s="1"/>
  <c r="G1052" i="41" s="1"/>
  <c r="D1158" i="41" s="1"/>
  <c r="G1158" i="41" s="1"/>
  <c r="D1264" i="41" s="1"/>
  <c r="G1264" i="41" s="1"/>
  <c r="D1370" i="41" s="1"/>
  <c r="G1370" i="41" s="1"/>
  <c r="D1476" i="41" s="1"/>
  <c r="G1476" i="41" s="1"/>
  <c r="D1582" i="41" s="1"/>
  <c r="G1582" i="41" s="1"/>
  <c r="D1688" i="41" s="1"/>
  <c r="G1688" i="41" s="1"/>
  <c r="D1794" i="41" s="1"/>
  <c r="G1794" i="41" s="1"/>
  <c r="D1900" i="41" s="1"/>
  <c r="G1900" i="41" s="1"/>
  <c r="D2006" i="41" s="1"/>
  <c r="G2006" i="41" s="1"/>
  <c r="D2112" i="41" s="1"/>
  <c r="G2112" i="41" s="1"/>
  <c r="D2218" i="41" s="1"/>
  <c r="G2218" i="41" s="1"/>
  <c r="D2324" i="41" s="1"/>
  <c r="G2324" i="41" s="1"/>
  <c r="I98" i="41"/>
  <c r="L98" i="41"/>
  <c r="L99" i="41"/>
  <c r="A101" i="41"/>
  <c r="A102" i="41"/>
  <c r="A108" i="41"/>
  <c r="G114" i="41"/>
  <c r="N114" i="41" s="1"/>
  <c r="D115" i="41"/>
  <c r="E115" i="41"/>
  <c r="F115" i="41"/>
  <c r="G115" i="41"/>
  <c r="I115" i="41"/>
  <c r="J115" i="41"/>
  <c r="K115" i="41"/>
  <c r="L115" i="41"/>
  <c r="M115" i="41"/>
  <c r="N115" i="41"/>
  <c r="I118" i="41"/>
  <c r="L118" i="41"/>
  <c r="A119" i="41"/>
  <c r="A120" i="41" s="1"/>
  <c r="A121" i="41" s="1"/>
  <c r="A122" i="41" s="1"/>
  <c r="A123" i="41" s="1"/>
  <c r="A124" i="41" s="1"/>
  <c r="A125" i="41" s="1"/>
  <c r="A126" i="41" s="1"/>
  <c r="A127" i="41" s="1"/>
  <c r="A128" i="41" s="1"/>
  <c r="A129" i="41" s="1"/>
  <c r="A130" i="41" s="1"/>
  <c r="A132" i="41" s="1"/>
  <c r="A133" i="41" s="1"/>
  <c r="A134" i="41" s="1"/>
  <c r="A135" i="41" s="1"/>
  <c r="A136" i="41" s="1"/>
  <c r="A137" i="41" s="1"/>
  <c r="A138" i="41" s="1"/>
  <c r="A139" i="41" s="1"/>
  <c r="A140" i="41" s="1"/>
  <c r="A141" i="41" s="1"/>
  <c r="A142" i="41" s="1"/>
  <c r="A143" i="41" s="1"/>
  <c r="A144" i="41" s="1"/>
  <c r="A145" i="41" s="1"/>
  <c r="A146" i="41" s="1"/>
  <c r="A147" i="41" s="1"/>
  <c r="D119" i="41"/>
  <c r="G119" i="41" s="1"/>
  <c r="I119" i="41"/>
  <c r="L119" i="41"/>
  <c r="I120" i="41"/>
  <c r="L120" i="41"/>
  <c r="I121" i="41"/>
  <c r="L121" i="41"/>
  <c r="D122" i="41"/>
  <c r="G122" i="41" s="1"/>
  <c r="I122" i="41"/>
  <c r="L122" i="41"/>
  <c r="I123" i="41"/>
  <c r="L123" i="41"/>
  <c r="D124" i="41"/>
  <c r="G124" i="41" s="1"/>
  <c r="K124" i="41" s="1"/>
  <c r="I124" i="41"/>
  <c r="L124" i="41"/>
  <c r="D125" i="41"/>
  <c r="G125" i="41" s="1"/>
  <c r="D231" i="41" s="1"/>
  <c r="G231" i="41" s="1"/>
  <c r="D337" i="41" s="1"/>
  <c r="G337" i="41" s="1"/>
  <c r="D443" i="41" s="1"/>
  <c r="G443" i="41" s="1"/>
  <c r="D549" i="41" s="1"/>
  <c r="G549" i="41" s="1"/>
  <c r="D655" i="41" s="1"/>
  <c r="G655" i="41" s="1"/>
  <c r="I125" i="41"/>
  <c r="L125" i="41"/>
  <c r="D126" i="41"/>
  <c r="G126" i="41" s="1"/>
  <c r="I126" i="41"/>
  <c r="L126" i="41"/>
  <c r="D127" i="41"/>
  <c r="G127" i="41" s="1"/>
  <c r="K127" i="41" s="1"/>
  <c r="I127" i="41"/>
  <c r="L127" i="41"/>
  <c r="I128" i="41"/>
  <c r="L128" i="41"/>
  <c r="D129" i="41"/>
  <c r="G129" i="41" s="1"/>
  <c r="I129" i="41"/>
  <c r="L129" i="41"/>
  <c r="E130" i="41"/>
  <c r="F130" i="41"/>
  <c r="M130" i="41"/>
  <c r="I133" i="41"/>
  <c r="L133" i="41"/>
  <c r="D134" i="41"/>
  <c r="G134" i="41" s="1"/>
  <c r="D240" i="41" s="1"/>
  <c r="G240" i="41" s="1"/>
  <c r="D346" i="41" s="1"/>
  <c r="G346" i="41" s="1"/>
  <c r="D452" i="41" s="1"/>
  <c r="G452" i="41" s="1"/>
  <c r="D558" i="41" s="1"/>
  <c r="G558" i="41" s="1"/>
  <c r="I134" i="41"/>
  <c r="L134" i="41"/>
  <c r="D135" i="41"/>
  <c r="G135" i="41" s="1"/>
  <c r="D241" i="41" s="1"/>
  <c r="G241" i="41" s="1"/>
  <c r="I135" i="41"/>
  <c r="L135" i="41"/>
  <c r="D136" i="41"/>
  <c r="G136" i="41" s="1"/>
  <c r="K136" i="41" s="1"/>
  <c r="I136" i="41"/>
  <c r="L136" i="41"/>
  <c r="D137" i="41"/>
  <c r="I137" i="41"/>
  <c r="L137" i="41"/>
  <c r="D138" i="41"/>
  <c r="G138" i="41" s="1"/>
  <c r="D244" i="41" s="1"/>
  <c r="G244" i="41" s="1"/>
  <c r="D350" i="41" s="1"/>
  <c r="G350" i="41" s="1"/>
  <c r="D456" i="41" s="1"/>
  <c r="G456" i="41" s="1"/>
  <c r="D562" i="41" s="1"/>
  <c r="G562" i="41" s="1"/>
  <c r="D668" i="41" s="1"/>
  <c r="G668" i="41" s="1"/>
  <c r="D774" i="41" s="1"/>
  <c r="G774" i="41" s="1"/>
  <c r="D880" i="41" s="1"/>
  <c r="G880" i="41" s="1"/>
  <c r="I138" i="41"/>
  <c r="L138" i="41"/>
  <c r="D139" i="41"/>
  <c r="G139" i="41" s="1"/>
  <c r="D245" i="41" s="1"/>
  <c r="G245" i="41" s="1"/>
  <c r="D351" i="41" s="1"/>
  <c r="G351" i="41" s="1"/>
  <c r="D457" i="41" s="1"/>
  <c r="G457" i="41" s="1"/>
  <c r="D563" i="41" s="1"/>
  <c r="G563" i="41" s="1"/>
  <c r="L139" i="41"/>
  <c r="D140" i="41"/>
  <c r="G140" i="41" s="1"/>
  <c r="K140" i="41" s="1"/>
  <c r="I140" i="41"/>
  <c r="L140" i="41"/>
  <c r="D141" i="41"/>
  <c r="G141" i="41" s="1"/>
  <c r="D247" i="41" s="1"/>
  <c r="G247" i="41" s="1"/>
  <c r="D353" i="41" s="1"/>
  <c r="G353" i="41" s="1"/>
  <c r="D459" i="41" s="1"/>
  <c r="G459" i="41" s="1"/>
  <c r="D565" i="41" s="1"/>
  <c r="G565" i="41" s="1"/>
  <c r="I141" i="41"/>
  <c r="L141" i="41"/>
  <c r="D142" i="41"/>
  <c r="G142" i="41" s="1"/>
  <c r="I142" i="41"/>
  <c r="L142" i="41"/>
  <c r="I143" i="41"/>
  <c r="L143" i="41"/>
  <c r="D144" i="41"/>
  <c r="G144" i="41" s="1"/>
  <c r="K144" i="41" s="1"/>
  <c r="I144" i="41"/>
  <c r="L144" i="41"/>
  <c r="D145" i="41"/>
  <c r="G145" i="41" s="1"/>
  <c r="L145" i="41"/>
  <c r="I146" i="41"/>
  <c r="L146" i="41"/>
  <c r="E147" i="41"/>
  <c r="F147" i="41"/>
  <c r="M147" i="41"/>
  <c r="A154" i="41"/>
  <c r="D168" i="41"/>
  <c r="E168" i="41"/>
  <c r="F168" i="41"/>
  <c r="G168" i="41"/>
  <c r="I168" i="41"/>
  <c r="J168" i="41"/>
  <c r="K168" i="41"/>
  <c r="L168" i="41"/>
  <c r="M168" i="41"/>
  <c r="N168" i="41"/>
  <c r="A171" i="41"/>
  <c r="A172" i="41" s="1"/>
  <c r="A173" i="41" s="1"/>
  <c r="A174" i="41" s="1"/>
  <c r="A175" i="41" s="1"/>
  <c r="A176" i="41" s="1"/>
  <c r="A177" i="41" s="1"/>
  <c r="A179" i="41" s="1"/>
  <c r="A180" i="41" s="1"/>
  <c r="A181" i="41" s="1"/>
  <c r="A183" i="41" s="1"/>
  <c r="A184" i="41" s="1"/>
  <c r="A185" i="41" s="1"/>
  <c r="A186" i="41" s="1"/>
  <c r="A187" i="41" s="1"/>
  <c r="A188" i="41" s="1"/>
  <c r="A189" i="41" s="1"/>
  <c r="A190" i="41" s="1"/>
  <c r="A191" i="41" s="1"/>
  <c r="A192" i="41" s="1"/>
  <c r="A193" i="41" s="1"/>
  <c r="A194" i="41" s="1"/>
  <c r="A195" i="41" s="1"/>
  <c r="A201" i="41" s="1"/>
  <c r="A202" i="41" s="1"/>
  <c r="A203" i="41" s="1"/>
  <c r="A204" i="41" s="1"/>
  <c r="A205" i="41" s="1"/>
  <c r="J172" i="41"/>
  <c r="J278" i="41" s="1"/>
  <c r="L172" i="41"/>
  <c r="J173" i="41"/>
  <c r="J279" i="41" s="1"/>
  <c r="K173" i="41"/>
  <c r="L173" i="41"/>
  <c r="J174" i="41"/>
  <c r="J280" i="41" s="1"/>
  <c r="L174" i="41"/>
  <c r="J175" i="41"/>
  <c r="J281" i="41" s="1"/>
  <c r="L175" i="41"/>
  <c r="J176" i="41"/>
  <c r="J282" i="41" s="1"/>
  <c r="L176" i="41"/>
  <c r="E177" i="41"/>
  <c r="F177" i="41"/>
  <c r="M177" i="41"/>
  <c r="J180" i="41"/>
  <c r="J286" i="41" s="1"/>
  <c r="L180" i="41"/>
  <c r="L181" i="41" s="1"/>
  <c r="E181" i="41"/>
  <c r="F181" i="41"/>
  <c r="K181" i="41"/>
  <c r="M181" i="41"/>
  <c r="J184" i="41"/>
  <c r="J290" i="41" s="1"/>
  <c r="L184" i="41"/>
  <c r="J185" i="41"/>
  <c r="J291" i="41" s="1"/>
  <c r="L185" i="41"/>
  <c r="J186" i="41"/>
  <c r="J292" i="41" s="1"/>
  <c r="J398" i="41" s="1"/>
  <c r="J504" i="41" s="1"/>
  <c r="J610" i="41" s="1"/>
  <c r="J716" i="41" s="1"/>
  <c r="J822" i="41" s="1"/>
  <c r="J928" i="41" s="1"/>
  <c r="J1034" i="41" s="1"/>
  <c r="L186" i="41"/>
  <c r="J187" i="41"/>
  <c r="J293" i="41" s="1"/>
  <c r="J399" i="41" s="1"/>
  <c r="J505" i="41" s="1"/>
  <c r="J611" i="41" s="1"/>
  <c r="J717" i="41" s="1"/>
  <c r="J823" i="41" s="1"/>
  <c r="J929" i="41" s="1"/>
  <c r="J1035" i="41" s="1"/>
  <c r="L187" i="41"/>
  <c r="J188" i="41"/>
  <c r="J294" i="41" s="1"/>
  <c r="J400" i="41" s="1"/>
  <c r="J506" i="41" s="1"/>
  <c r="J612" i="41" s="1"/>
  <c r="J718" i="41" s="1"/>
  <c r="J824" i="41" s="1"/>
  <c r="J930" i="41" s="1"/>
  <c r="J1036" i="41" s="1"/>
  <c r="L188" i="41"/>
  <c r="J189" i="41"/>
  <c r="J295" i="41" s="1"/>
  <c r="J401" i="41" s="1"/>
  <c r="J507" i="41" s="1"/>
  <c r="J613" i="41" s="1"/>
  <c r="J719" i="41" s="1"/>
  <c r="J825" i="41" s="1"/>
  <c r="J931" i="41" s="1"/>
  <c r="J1037" i="41" s="1"/>
  <c r="L189" i="41"/>
  <c r="J190" i="41"/>
  <c r="J296" i="41" s="1"/>
  <c r="L190" i="41"/>
  <c r="J191" i="41"/>
  <c r="J297" i="41" s="1"/>
  <c r="J403" i="41" s="1"/>
  <c r="J509" i="41" s="1"/>
  <c r="J615" i="41" s="1"/>
  <c r="J721" i="41" s="1"/>
  <c r="J827" i="41" s="1"/>
  <c r="J933" i="41" s="1"/>
  <c r="J1039" i="41" s="1"/>
  <c r="L191" i="41"/>
  <c r="J192" i="41"/>
  <c r="J298" i="41" s="1"/>
  <c r="J404" i="41" s="1"/>
  <c r="J510" i="41" s="1"/>
  <c r="J616" i="41" s="1"/>
  <c r="J722" i="41" s="1"/>
  <c r="J828" i="41" s="1"/>
  <c r="J934" i="41" s="1"/>
  <c r="J1040" i="41" s="1"/>
  <c r="L192" i="41"/>
  <c r="J193" i="41"/>
  <c r="J299" i="41" s="1"/>
  <c r="L193" i="41"/>
  <c r="J194" i="41"/>
  <c r="J300" i="41" s="1"/>
  <c r="J406" i="41" s="1"/>
  <c r="J512" i="41" s="1"/>
  <c r="J618" i="41" s="1"/>
  <c r="J724" i="41" s="1"/>
  <c r="J830" i="41" s="1"/>
  <c r="J936" i="41" s="1"/>
  <c r="J1042" i="41" s="1"/>
  <c r="L194" i="41"/>
  <c r="L200" i="41"/>
  <c r="J201" i="41"/>
  <c r="J307" i="41" s="1"/>
  <c r="L201" i="41"/>
  <c r="J202" i="41"/>
  <c r="J308" i="41" s="1"/>
  <c r="J414" i="41" s="1"/>
  <c r="J520" i="41" s="1"/>
  <c r="J626" i="41" s="1"/>
  <c r="J732" i="41" s="1"/>
  <c r="J838" i="41" s="1"/>
  <c r="J944" i="41" s="1"/>
  <c r="J1050" i="41" s="1"/>
  <c r="L202" i="41"/>
  <c r="J203" i="41"/>
  <c r="J309" i="41" s="1"/>
  <c r="L203" i="41"/>
  <c r="J204" i="41"/>
  <c r="J310" i="41" s="1"/>
  <c r="J416" i="41" s="1"/>
  <c r="J522" i="41" s="1"/>
  <c r="J628" i="41" s="1"/>
  <c r="J734" i="41" s="1"/>
  <c r="J840" i="41" s="1"/>
  <c r="J946" i="41" s="1"/>
  <c r="J1052" i="41" s="1"/>
  <c r="L204" i="41"/>
  <c r="J205" i="41"/>
  <c r="J311" i="41" s="1"/>
  <c r="J417" i="41" s="1"/>
  <c r="J523" i="41" s="1"/>
  <c r="J629" i="41" s="1"/>
  <c r="J735" i="41" s="1"/>
  <c r="J841" i="41" s="1"/>
  <c r="J947" i="41" s="1"/>
  <c r="J1053" i="41" s="1"/>
  <c r="L205" i="41"/>
  <c r="A207" i="41"/>
  <c r="A208" i="41"/>
  <c r="A214" i="41"/>
  <c r="D221" i="41"/>
  <c r="E221" i="41"/>
  <c r="F221" i="41"/>
  <c r="G221" i="41"/>
  <c r="I221" i="41"/>
  <c r="J221" i="41"/>
  <c r="K221" i="41"/>
  <c r="L221" i="41"/>
  <c r="M221" i="41"/>
  <c r="N221" i="41"/>
  <c r="J224" i="41"/>
  <c r="J330" i="41" s="1"/>
  <c r="J436" i="41" s="1"/>
  <c r="J542" i="41" s="1"/>
  <c r="J648" i="41" s="1"/>
  <c r="J754" i="41" s="1"/>
  <c r="J860" i="41" s="1"/>
  <c r="J966" i="41" s="1"/>
  <c r="J1072" i="41" s="1"/>
  <c r="L224" i="41"/>
  <c r="A225" i="41"/>
  <c r="A226" i="41" s="1"/>
  <c r="A227" i="41" s="1"/>
  <c r="A228" i="41" s="1"/>
  <c r="A229" i="41" s="1"/>
  <c r="A230" i="41" s="1"/>
  <c r="A231" i="41" s="1"/>
  <c r="A232" i="41" s="1"/>
  <c r="A233" i="41" s="1"/>
  <c r="A234" i="41" s="1"/>
  <c r="A235" i="41" s="1"/>
  <c r="A236" i="41" s="1"/>
  <c r="A238" i="41" s="1"/>
  <c r="A239" i="41" s="1"/>
  <c r="A240" i="41" s="1"/>
  <c r="A241" i="41" s="1"/>
  <c r="A242" i="41" s="1"/>
  <c r="A243" i="41" s="1"/>
  <c r="A244" i="41" s="1"/>
  <c r="A245" i="41" s="1"/>
  <c r="A246" i="41" s="1"/>
  <c r="A247" i="41" s="1"/>
  <c r="A248" i="41" s="1"/>
  <c r="A249" i="41" s="1"/>
  <c r="A250" i="41" s="1"/>
  <c r="A251" i="41" s="1"/>
  <c r="A252" i="41" s="1"/>
  <c r="A253" i="41" s="1"/>
  <c r="A255" i="41" s="1"/>
  <c r="A256" i="41" s="1"/>
  <c r="J225" i="41"/>
  <c r="J331" i="41" s="1"/>
  <c r="J437" i="41" s="1"/>
  <c r="J543" i="41" s="1"/>
  <c r="J649" i="41" s="1"/>
  <c r="J755" i="41" s="1"/>
  <c r="J861" i="41" s="1"/>
  <c r="J967" i="41" s="1"/>
  <c r="J1073" i="41" s="1"/>
  <c r="L225" i="41"/>
  <c r="J226" i="41"/>
  <c r="J332" i="41" s="1"/>
  <c r="J438" i="41" s="1"/>
  <c r="J544" i="41" s="1"/>
  <c r="J650" i="41" s="1"/>
  <c r="J756" i="41" s="1"/>
  <c r="J862" i="41" s="1"/>
  <c r="J968" i="41" s="1"/>
  <c r="J1074" i="41" s="1"/>
  <c r="L226" i="41"/>
  <c r="J227" i="41"/>
  <c r="J333" i="41" s="1"/>
  <c r="J439" i="41" s="1"/>
  <c r="J545" i="41" s="1"/>
  <c r="J651" i="41" s="1"/>
  <c r="J757" i="41" s="1"/>
  <c r="J863" i="41" s="1"/>
  <c r="J969" i="41" s="1"/>
  <c r="J1075" i="41" s="1"/>
  <c r="L227" i="41"/>
  <c r="J228" i="41"/>
  <c r="J334" i="41" s="1"/>
  <c r="J440" i="41" s="1"/>
  <c r="J546" i="41" s="1"/>
  <c r="J652" i="41" s="1"/>
  <c r="J758" i="41" s="1"/>
  <c r="J864" i="41" s="1"/>
  <c r="J970" i="41" s="1"/>
  <c r="J1076" i="41" s="1"/>
  <c r="L228" i="41"/>
  <c r="J229" i="41"/>
  <c r="J335" i="41" s="1"/>
  <c r="J441" i="41" s="1"/>
  <c r="J547" i="41" s="1"/>
  <c r="J653" i="41" s="1"/>
  <c r="J759" i="41" s="1"/>
  <c r="J865" i="41" s="1"/>
  <c r="J971" i="41" s="1"/>
  <c r="J1077" i="41" s="1"/>
  <c r="L229" i="41"/>
  <c r="J230" i="41"/>
  <c r="J336" i="41" s="1"/>
  <c r="J442" i="41" s="1"/>
  <c r="L230" i="41"/>
  <c r="J231" i="41"/>
  <c r="J337" i="41" s="1"/>
  <c r="J443" i="41" s="1"/>
  <c r="J549" i="41" s="1"/>
  <c r="J655" i="41" s="1"/>
  <c r="J761" i="41" s="1"/>
  <c r="J867" i="41" s="1"/>
  <c r="J973" i="41" s="1"/>
  <c r="J1079" i="41" s="1"/>
  <c r="L231" i="41"/>
  <c r="J232" i="41"/>
  <c r="J338" i="41" s="1"/>
  <c r="J444" i="41" s="1"/>
  <c r="J550" i="41" s="1"/>
  <c r="J656" i="41" s="1"/>
  <c r="J762" i="41" s="1"/>
  <c r="J868" i="41" s="1"/>
  <c r="J974" i="41" s="1"/>
  <c r="J1080" i="41" s="1"/>
  <c r="L232" i="41"/>
  <c r="J233" i="41"/>
  <c r="J339" i="41" s="1"/>
  <c r="J445" i="41" s="1"/>
  <c r="J551" i="41" s="1"/>
  <c r="J657" i="41" s="1"/>
  <c r="J763" i="41" s="1"/>
  <c r="J869" i="41" s="1"/>
  <c r="J975" i="41" s="1"/>
  <c r="J1081" i="41" s="1"/>
  <c r="L233" i="41"/>
  <c r="J234" i="41"/>
  <c r="J340" i="41" s="1"/>
  <c r="J446" i="41" s="1"/>
  <c r="J552" i="41" s="1"/>
  <c r="J658" i="41" s="1"/>
  <c r="J764" i="41" s="1"/>
  <c r="J870" i="41" s="1"/>
  <c r="J976" i="41" s="1"/>
  <c r="J1082" i="41" s="1"/>
  <c r="L234" i="41"/>
  <c r="J235" i="41"/>
  <c r="J341" i="41" s="1"/>
  <c r="J447" i="41" s="1"/>
  <c r="J553" i="41" s="1"/>
  <c r="J659" i="41" s="1"/>
  <c r="J765" i="41" s="1"/>
  <c r="J871" i="41" s="1"/>
  <c r="J977" i="41" s="1"/>
  <c r="J1083" i="41" s="1"/>
  <c r="L235" i="41"/>
  <c r="E236" i="41"/>
  <c r="F236" i="41"/>
  <c r="M236" i="41"/>
  <c r="J239" i="41"/>
  <c r="J345" i="41" s="1"/>
  <c r="J451" i="41" s="1"/>
  <c r="J557" i="41" s="1"/>
  <c r="J663" i="41" s="1"/>
  <c r="J769" i="41" s="1"/>
  <c r="J875" i="41" s="1"/>
  <c r="J981" i="41" s="1"/>
  <c r="J1087" i="41" s="1"/>
  <c r="L239" i="41"/>
  <c r="J240" i="41"/>
  <c r="L240" i="41"/>
  <c r="J241" i="41"/>
  <c r="J347" i="41" s="1"/>
  <c r="L241" i="41"/>
  <c r="J242" i="41"/>
  <c r="J348" i="41" s="1"/>
  <c r="J454" i="41" s="1"/>
  <c r="J560" i="41" s="1"/>
  <c r="J666" i="41" s="1"/>
  <c r="J772" i="41" s="1"/>
  <c r="J878" i="41" s="1"/>
  <c r="J984" i="41" s="1"/>
  <c r="J1090" i="41" s="1"/>
  <c r="L242" i="41"/>
  <c r="J243" i="41"/>
  <c r="J349" i="41" s="1"/>
  <c r="L243" i="41"/>
  <c r="J244" i="41"/>
  <c r="J350" i="41" s="1"/>
  <c r="J456" i="41" s="1"/>
  <c r="J562" i="41" s="1"/>
  <c r="J668" i="41" s="1"/>
  <c r="J774" i="41" s="1"/>
  <c r="J880" i="41" s="1"/>
  <c r="J986" i="41" s="1"/>
  <c r="J1092" i="41" s="1"/>
  <c r="L244" i="41"/>
  <c r="J245" i="41"/>
  <c r="J351" i="41" s="1"/>
  <c r="J457" i="41" s="1"/>
  <c r="J563" i="41" s="1"/>
  <c r="J669" i="41" s="1"/>
  <c r="J775" i="41" s="1"/>
  <c r="J881" i="41" s="1"/>
  <c r="J987" i="41" s="1"/>
  <c r="J1093" i="41" s="1"/>
  <c r="L245" i="41"/>
  <c r="J246" i="41"/>
  <c r="J352" i="41" s="1"/>
  <c r="J458" i="41" s="1"/>
  <c r="J564" i="41" s="1"/>
  <c r="J670" i="41" s="1"/>
  <c r="J776" i="41" s="1"/>
  <c r="J882" i="41" s="1"/>
  <c r="J988" i="41" s="1"/>
  <c r="J1094" i="41" s="1"/>
  <c r="L246" i="41"/>
  <c r="J247" i="41"/>
  <c r="J353" i="41" s="1"/>
  <c r="J459" i="41" s="1"/>
  <c r="J565" i="41" s="1"/>
  <c r="J671" i="41" s="1"/>
  <c r="J777" i="41" s="1"/>
  <c r="J883" i="41" s="1"/>
  <c r="J989" i="41" s="1"/>
  <c r="J1095" i="41" s="1"/>
  <c r="L247" i="41"/>
  <c r="J248" i="41"/>
  <c r="J354" i="41" s="1"/>
  <c r="J460" i="41" s="1"/>
  <c r="J566" i="41" s="1"/>
  <c r="J672" i="41" s="1"/>
  <c r="J778" i="41" s="1"/>
  <c r="J884" i="41" s="1"/>
  <c r="J990" i="41" s="1"/>
  <c r="J1096" i="41" s="1"/>
  <c r="L248" i="41"/>
  <c r="J249" i="41"/>
  <c r="J355" i="41" s="1"/>
  <c r="L249" i="41"/>
  <c r="J250" i="41"/>
  <c r="J356" i="41" s="1"/>
  <c r="J462" i="41" s="1"/>
  <c r="J568" i="41" s="1"/>
  <c r="J674" i="41" s="1"/>
  <c r="J780" i="41" s="1"/>
  <c r="J886" i="41" s="1"/>
  <c r="J992" i="41" s="1"/>
  <c r="J1098" i="41" s="1"/>
  <c r="L250" i="41"/>
  <c r="J251" i="41"/>
  <c r="J357" i="41" s="1"/>
  <c r="J463" i="41" s="1"/>
  <c r="J569" i="41" s="1"/>
  <c r="J675" i="41" s="1"/>
  <c r="J781" i="41" s="1"/>
  <c r="J887" i="41" s="1"/>
  <c r="J993" i="41" s="1"/>
  <c r="J1099" i="41" s="1"/>
  <c r="L251" i="41"/>
  <c r="J252" i="41"/>
  <c r="J358" i="41" s="1"/>
  <c r="J464" i="41" s="1"/>
  <c r="J570" i="41" s="1"/>
  <c r="J676" i="41" s="1"/>
  <c r="J782" i="41" s="1"/>
  <c r="J888" i="41" s="1"/>
  <c r="J994" i="41" s="1"/>
  <c r="J1100" i="41" s="1"/>
  <c r="L252" i="41"/>
  <c r="E253" i="41"/>
  <c r="F253" i="41"/>
  <c r="M253" i="41"/>
  <c r="A260" i="41"/>
  <c r="A261" i="41"/>
  <c r="N273" i="41"/>
  <c r="D274" i="41"/>
  <c r="E274" i="41"/>
  <c r="F274" i="41"/>
  <c r="G274" i="41"/>
  <c r="I274" i="41"/>
  <c r="J274" i="41"/>
  <c r="K274" i="41"/>
  <c r="L274" i="41"/>
  <c r="M274" i="41"/>
  <c r="N274" i="41"/>
  <c r="A277" i="41"/>
  <c r="A278" i="41" s="1"/>
  <c r="A279" i="41" s="1"/>
  <c r="A280" i="41" s="1"/>
  <c r="A281" i="41" s="1"/>
  <c r="A282" i="41" s="1"/>
  <c r="A283" i="41" s="1"/>
  <c r="A285" i="41" s="1"/>
  <c r="A286" i="41" s="1"/>
  <c r="A287" i="41" s="1"/>
  <c r="A289" i="41" s="1"/>
  <c r="A290" i="41" s="1"/>
  <c r="A291" i="41" s="1"/>
  <c r="A292" i="41" s="1"/>
  <c r="A293" i="41" s="1"/>
  <c r="A294" i="41" s="1"/>
  <c r="A295" i="41" s="1"/>
  <c r="A296" i="41" s="1"/>
  <c r="A297" i="41" s="1"/>
  <c r="A298" i="41" s="1"/>
  <c r="A299" i="41" s="1"/>
  <c r="A300" i="41" s="1"/>
  <c r="A301" i="41" s="1"/>
  <c r="A307" i="41" s="1"/>
  <c r="A308" i="41" s="1"/>
  <c r="A309" i="41" s="1"/>
  <c r="A310" i="41" s="1"/>
  <c r="A311" i="41" s="1"/>
  <c r="L278" i="41"/>
  <c r="L279" i="41"/>
  <c r="L280" i="41"/>
  <c r="L281" i="41"/>
  <c r="L282" i="41"/>
  <c r="E283" i="41"/>
  <c r="F283" i="41"/>
  <c r="M283" i="41"/>
  <c r="L286" i="41"/>
  <c r="L287" i="41" s="1"/>
  <c r="E287" i="41"/>
  <c r="F287" i="41"/>
  <c r="K287" i="41"/>
  <c r="M287" i="41"/>
  <c r="L290" i="41"/>
  <c r="L291" i="41"/>
  <c r="L292" i="41"/>
  <c r="L293" i="41"/>
  <c r="L294" i="41"/>
  <c r="L295" i="41"/>
  <c r="L296" i="41"/>
  <c r="L297" i="41"/>
  <c r="L298" i="41"/>
  <c r="L299" i="41"/>
  <c r="L300" i="41"/>
  <c r="L306" i="41"/>
  <c r="L307" i="41"/>
  <c r="L308" i="41"/>
  <c r="L309" i="41"/>
  <c r="L310" i="41"/>
  <c r="L311" i="41"/>
  <c r="A313" i="41"/>
  <c r="A314" i="41"/>
  <c r="A320" i="41"/>
  <c r="G326" i="41"/>
  <c r="N326" i="41" s="1"/>
  <c r="D327" i="41"/>
  <c r="E327" i="41"/>
  <c r="F327" i="41"/>
  <c r="G327" i="41"/>
  <c r="I327" i="41"/>
  <c r="J327" i="41"/>
  <c r="K327" i="41"/>
  <c r="L327" i="41"/>
  <c r="M327" i="41"/>
  <c r="N327" i="41"/>
  <c r="L330" i="41"/>
  <c r="A331" i="41"/>
  <c r="A332" i="41" s="1"/>
  <c r="A333" i="41" s="1"/>
  <c r="A334" i="41" s="1"/>
  <c r="A335" i="41" s="1"/>
  <c r="A336" i="41" s="1"/>
  <c r="A337" i="41" s="1"/>
  <c r="A338" i="41" s="1"/>
  <c r="A339" i="41" s="1"/>
  <c r="A340" i="41" s="1"/>
  <c r="A341" i="41" s="1"/>
  <c r="A342" i="41" s="1"/>
  <c r="A344" i="41" s="1"/>
  <c r="A345" i="41" s="1"/>
  <c r="A346" i="41" s="1"/>
  <c r="A347" i="41" s="1"/>
  <c r="A348" i="41" s="1"/>
  <c r="A349" i="41" s="1"/>
  <c r="A350" i="41" s="1"/>
  <c r="A351" i="41" s="1"/>
  <c r="A352" i="41" s="1"/>
  <c r="A353" i="41" s="1"/>
  <c r="A354" i="41" s="1"/>
  <c r="A355" i="41" s="1"/>
  <c r="A356" i="41" s="1"/>
  <c r="A357" i="41" s="1"/>
  <c r="A358" i="41" s="1"/>
  <c r="A359" i="41" s="1"/>
  <c r="A361" i="41" s="1"/>
  <c r="A362" i="41" s="1"/>
  <c r="L331" i="41"/>
  <c r="L332" i="41"/>
  <c r="L333" i="41"/>
  <c r="L334" i="41"/>
  <c r="L335" i="41"/>
  <c r="L336" i="41"/>
  <c r="L337" i="41"/>
  <c r="L338" i="41"/>
  <c r="L339" i="41"/>
  <c r="L340" i="41"/>
  <c r="L341" i="41"/>
  <c r="E342" i="41"/>
  <c r="F342" i="41"/>
  <c r="M342" i="41"/>
  <c r="L345" i="41"/>
  <c r="L346" i="41"/>
  <c r="L347" i="41"/>
  <c r="L348" i="41"/>
  <c r="L349" i="41"/>
  <c r="L350" i="41"/>
  <c r="L351" i="41"/>
  <c r="L352" i="41"/>
  <c r="L353" i="41"/>
  <c r="L354" i="41"/>
  <c r="L355" i="41"/>
  <c r="L356" i="41"/>
  <c r="L357" i="41"/>
  <c r="L358" i="41"/>
  <c r="E359" i="41"/>
  <c r="F359" i="41"/>
  <c r="M359" i="41"/>
  <c r="A366" i="41"/>
  <c r="A367" i="41"/>
  <c r="I379" i="41"/>
  <c r="D380" i="41"/>
  <c r="E380" i="41"/>
  <c r="F380" i="41"/>
  <c r="G380" i="41"/>
  <c r="I380" i="41"/>
  <c r="J380" i="41"/>
  <c r="K380" i="41"/>
  <c r="L380" i="41"/>
  <c r="M380" i="41"/>
  <c r="N380" i="41"/>
  <c r="A383" i="41"/>
  <c r="A384" i="41" s="1"/>
  <c r="A385" i="41" s="1"/>
  <c r="A386" i="41" s="1"/>
  <c r="A387" i="41" s="1"/>
  <c r="A388" i="41" s="1"/>
  <c r="A389" i="41" s="1"/>
  <c r="A391" i="41" s="1"/>
  <c r="A392" i="41" s="1"/>
  <c r="A393" i="41" s="1"/>
  <c r="A395" i="41" s="1"/>
  <c r="A396" i="41" s="1"/>
  <c r="A397" i="41" s="1"/>
  <c r="A398" i="41" s="1"/>
  <c r="A399" i="41" s="1"/>
  <c r="A400" i="41" s="1"/>
  <c r="A401" i="41" s="1"/>
  <c r="A402" i="41" s="1"/>
  <c r="A403" i="41" s="1"/>
  <c r="A404" i="41" s="1"/>
  <c r="A405" i="41" s="1"/>
  <c r="A406" i="41" s="1"/>
  <c r="A407" i="41" s="1"/>
  <c r="A413" i="41" s="1"/>
  <c r="A414" i="41" s="1"/>
  <c r="A415" i="41" s="1"/>
  <c r="A416" i="41" s="1"/>
  <c r="A417" i="41" s="1"/>
  <c r="L384" i="41"/>
  <c r="L385" i="41"/>
  <c r="L386" i="41"/>
  <c r="L387" i="41"/>
  <c r="L388" i="41"/>
  <c r="E389" i="41"/>
  <c r="F389" i="41"/>
  <c r="M389" i="41"/>
  <c r="L392" i="41"/>
  <c r="L393" i="41" s="1"/>
  <c r="E393" i="41"/>
  <c r="F393" i="41"/>
  <c r="K393" i="41"/>
  <c r="M393" i="41"/>
  <c r="L396" i="41"/>
  <c r="L397" i="41"/>
  <c r="L398" i="41"/>
  <c r="L399" i="41"/>
  <c r="L400" i="41"/>
  <c r="L401" i="41"/>
  <c r="L402" i="41"/>
  <c r="L403" i="41"/>
  <c r="L404" i="41"/>
  <c r="L405" i="41"/>
  <c r="L406" i="41"/>
  <c r="L412" i="41"/>
  <c r="L413" i="41"/>
  <c r="L414" i="41"/>
  <c r="L415" i="41"/>
  <c r="L416" i="41"/>
  <c r="L417" i="41"/>
  <c r="A419" i="41"/>
  <c r="A420" i="41"/>
  <c r="A426" i="41"/>
  <c r="D432" i="41"/>
  <c r="I432" i="41" s="1"/>
  <c r="D433" i="41"/>
  <c r="E433" i="41"/>
  <c r="F433" i="41"/>
  <c r="G433" i="41"/>
  <c r="I433" i="41"/>
  <c r="J433" i="41"/>
  <c r="K433" i="41"/>
  <c r="L433" i="41"/>
  <c r="M433" i="41"/>
  <c r="N433" i="41"/>
  <c r="L436" i="41"/>
  <c r="A437" i="41"/>
  <c r="A438" i="41" s="1"/>
  <c r="A439" i="41" s="1"/>
  <c r="A440" i="41" s="1"/>
  <c r="A441" i="41" s="1"/>
  <c r="A442" i="41" s="1"/>
  <c r="A443" i="41" s="1"/>
  <c r="A444" i="41" s="1"/>
  <c r="A445" i="41" s="1"/>
  <c r="A446" i="41" s="1"/>
  <c r="A447" i="41" s="1"/>
  <c r="A448" i="41" s="1"/>
  <c r="A450" i="41" s="1"/>
  <c r="A451" i="41" s="1"/>
  <c r="A452" i="41" s="1"/>
  <c r="A453" i="41" s="1"/>
  <c r="A454" i="41" s="1"/>
  <c r="A455" i="41" s="1"/>
  <c r="A456" i="41" s="1"/>
  <c r="A457" i="41" s="1"/>
  <c r="A458" i="41" s="1"/>
  <c r="A459" i="41" s="1"/>
  <c r="A460" i="41" s="1"/>
  <c r="A461" i="41" s="1"/>
  <c r="A462" i="41" s="1"/>
  <c r="A463" i="41" s="1"/>
  <c r="A464" i="41" s="1"/>
  <c r="A465" i="41" s="1"/>
  <c r="A467" i="41" s="1"/>
  <c r="A468" i="41" s="1"/>
  <c r="L437" i="41"/>
  <c r="L438" i="41"/>
  <c r="L439" i="41"/>
  <c r="L440" i="41"/>
  <c r="L441" i="41"/>
  <c r="L442" i="41"/>
  <c r="L443" i="41"/>
  <c r="L444" i="41"/>
  <c r="L445" i="41"/>
  <c r="L446" i="41"/>
  <c r="L447" i="41"/>
  <c r="E448" i="41"/>
  <c r="F448" i="41"/>
  <c r="M448" i="41"/>
  <c r="L451" i="41"/>
  <c r="L452" i="41"/>
  <c r="L453" i="41"/>
  <c r="L454" i="41"/>
  <c r="L455" i="41"/>
  <c r="L456" i="41"/>
  <c r="L457" i="41"/>
  <c r="L458" i="41"/>
  <c r="L459" i="41"/>
  <c r="L460" i="41"/>
  <c r="L461" i="41"/>
  <c r="L462" i="41"/>
  <c r="L463" i="41"/>
  <c r="L464" i="41"/>
  <c r="E465" i="41"/>
  <c r="F465" i="41"/>
  <c r="M465" i="41"/>
  <c r="A472" i="41"/>
  <c r="A473" i="41"/>
  <c r="I485" i="41"/>
  <c r="G538" i="41"/>
  <c r="N538" i="41" s="1"/>
  <c r="N485" i="41"/>
  <c r="D486" i="41"/>
  <c r="E486" i="41"/>
  <c r="F486" i="41"/>
  <c r="G486" i="41"/>
  <c r="I486" i="41"/>
  <c r="J486" i="41"/>
  <c r="K486" i="41"/>
  <c r="L486" i="41"/>
  <c r="M486" i="41"/>
  <c r="N486" i="41"/>
  <c r="A489" i="41"/>
  <c r="A490" i="41" s="1"/>
  <c r="A491" i="41" s="1"/>
  <c r="A492" i="41" s="1"/>
  <c r="A493" i="41" s="1"/>
  <c r="A494" i="41" s="1"/>
  <c r="A495" i="41" s="1"/>
  <c r="A497" i="41" s="1"/>
  <c r="A498" i="41" s="1"/>
  <c r="A499" i="41" s="1"/>
  <c r="A501" i="41" s="1"/>
  <c r="A502" i="41" s="1"/>
  <c r="A503" i="41" s="1"/>
  <c r="A504" i="41" s="1"/>
  <c r="A505" i="41" s="1"/>
  <c r="A506" i="41" s="1"/>
  <c r="A507" i="41" s="1"/>
  <c r="A508" i="41" s="1"/>
  <c r="A509" i="41" s="1"/>
  <c r="A510" i="41" s="1"/>
  <c r="A511" i="41" s="1"/>
  <c r="A512" i="41" s="1"/>
  <c r="A513" i="41" s="1"/>
  <c r="A519" i="41" s="1"/>
  <c r="A520" i="41" s="1"/>
  <c r="A521" i="41" s="1"/>
  <c r="A522" i="41" s="1"/>
  <c r="A523" i="41" s="1"/>
  <c r="L490" i="41"/>
  <c r="K491" i="41"/>
  <c r="L491" i="41"/>
  <c r="L492" i="41"/>
  <c r="L493" i="41"/>
  <c r="L494" i="41"/>
  <c r="E495" i="41"/>
  <c r="F495" i="41"/>
  <c r="M495" i="41"/>
  <c r="L498" i="41"/>
  <c r="L499" i="41" s="1"/>
  <c r="E499" i="41"/>
  <c r="F499" i="41"/>
  <c r="K499" i="41"/>
  <c r="M499" i="41"/>
  <c r="L502" i="41"/>
  <c r="L503" i="41"/>
  <c r="L504" i="41"/>
  <c r="L505" i="41"/>
  <c r="L506" i="41"/>
  <c r="L507" i="41"/>
  <c r="L508" i="41"/>
  <c r="L509" i="41"/>
  <c r="L510" i="41"/>
  <c r="L511" i="41"/>
  <c r="L512" i="41"/>
  <c r="L518" i="41"/>
  <c r="L519" i="41"/>
  <c r="L520" i="41"/>
  <c r="L521" i="41"/>
  <c r="L522" i="41"/>
  <c r="L523" i="41"/>
  <c r="A525" i="41"/>
  <c r="A526" i="41"/>
  <c r="A532" i="41"/>
  <c r="D538" i="41"/>
  <c r="I538" i="41" s="1"/>
  <c r="D539" i="41"/>
  <c r="E539" i="41"/>
  <c r="F539" i="41"/>
  <c r="G539" i="41"/>
  <c r="I539" i="41"/>
  <c r="J539" i="41"/>
  <c r="K539" i="41"/>
  <c r="L539" i="41"/>
  <c r="M539" i="41"/>
  <c r="N539" i="41"/>
  <c r="L542" i="41"/>
  <c r="A543" i="41"/>
  <c r="A544" i="41" s="1"/>
  <c r="A545" i="41" s="1"/>
  <c r="A546" i="41" s="1"/>
  <c r="A547" i="41" s="1"/>
  <c r="A548" i="41" s="1"/>
  <c r="A549" i="41" s="1"/>
  <c r="A550" i="41" s="1"/>
  <c r="A551" i="41" s="1"/>
  <c r="A552" i="41" s="1"/>
  <c r="A553" i="41" s="1"/>
  <c r="A554" i="41" s="1"/>
  <c r="A556" i="41" s="1"/>
  <c r="A557" i="41" s="1"/>
  <c r="A558" i="41" s="1"/>
  <c r="A559" i="41" s="1"/>
  <c r="A560" i="41" s="1"/>
  <c r="A561" i="41" s="1"/>
  <c r="A562" i="41" s="1"/>
  <c r="A563" i="41" s="1"/>
  <c r="A564" i="41" s="1"/>
  <c r="A565" i="41" s="1"/>
  <c r="A566" i="41" s="1"/>
  <c r="A567" i="41" s="1"/>
  <c r="A568" i="41" s="1"/>
  <c r="A569" i="41" s="1"/>
  <c r="A570" i="41" s="1"/>
  <c r="A571" i="41" s="1"/>
  <c r="A573" i="41" s="1"/>
  <c r="A574" i="41" s="1"/>
  <c r="L543" i="41"/>
  <c r="L544" i="41"/>
  <c r="L545" i="41"/>
  <c r="L546" i="41"/>
  <c r="L547" i="41"/>
  <c r="L548" i="41"/>
  <c r="L549" i="41"/>
  <c r="L550" i="41"/>
  <c r="L551" i="41"/>
  <c r="L552" i="41"/>
  <c r="L553" i="41"/>
  <c r="E554" i="41"/>
  <c r="F554" i="41"/>
  <c r="M554" i="41"/>
  <c r="L557" i="41"/>
  <c r="L558" i="41"/>
  <c r="L559" i="41"/>
  <c r="L560" i="41"/>
  <c r="L561" i="41"/>
  <c r="L562" i="41"/>
  <c r="L563" i="41"/>
  <c r="L564" i="41"/>
  <c r="L565" i="41"/>
  <c r="L566" i="41"/>
  <c r="L567" i="41"/>
  <c r="L568" i="41"/>
  <c r="L569" i="41"/>
  <c r="L570" i="41"/>
  <c r="E571" i="41"/>
  <c r="F571" i="41"/>
  <c r="M571" i="41"/>
  <c r="A578" i="41"/>
  <c r="A579" i="41"/>
  <c r="I591" i="41"/>
  <c r="N591" i="41"/>
  <c r="D592" i="41"/>
  <c r="E592" i="41"/>
  <c r="F592" i="41"/>
  <c r="G592" i="41"/>
  <c r="I592" i="41"/>
  <c r="J592" i="41"/>
  <c r="K592" i="41"/>
  <c r="L592" i="41"/>
  <c r="M592" i="41"/>
  <c r="N592" i="41"/>
  <c r="A595" i="41"/>
  <c r="A596" i="41" s="1"/>
  <c r="A597" i="41" s="1"/>
  <c r="A598" i="41" s="1"/>
  <c r="A599" i="41" s="1"/>
  <c r="A600" i="41" s="1"/>
  <c r="A601" i="41" s="1"/>
  <c r="A603" i="41" s="1"/>
  <c r="A604" i="41" s="1"/>
  <c r="A605" i="41" s="1"/>
  <c r="A607" i="41" s="1"/>
  <c r="A608" i="41" s="1"/>
  <c r="A609" i="41" s="1"/>
  <c r="A610" i="41" s="1"/>
  <c r="A611" i="41" s="1"/>
  <c r="A612" i="41" s="1"/>
  <c r="A613" i="41" s="1"/>
  <c r="A614" i="41" s="1"/>
  <c r="A615" i="41" s="1"/>
  <c r="A616" i="41" s="1"/>
  <c r="A617" i="41" s="1"/>
  <c r="A618" i="41" s="1"/>
  <c r="A619" i="41" s="1"/>
  <c r="A625" i="41" s="1"/>
  <c r="A626" i="41" s="1"/>
  <c r="A627" i="41" s="1"/>
  <c r="A628" i="41" s="1"/>
  <c r="A629" i="41" s="1"/>
  <c r="L596" i="41"/>
  <c r="K597" i="41"/>
  <c r="L597" i="41"/>
  <c r="L598" i="41"/>
  <c r="L599" i="41"/>
  <c r="L600" i="41"/>
  <c r="E601" i="41"/>
  <c r="F601" i="41"/>
  <c r="M601" i="41"/>
  <c r="L604" i="41"/>
  <c r="L605" i="41" s="1"/>
  <c r="E605" i="41"/>
  <c r="F605" i="41"/>
  <c r="K605" i="41"/>
  <c r="M605" i="41"/>
  <c r="J608" i="41"/>
  <c r="L608" i="41"/>
  <c r="J609" i="41"/>
  <c r="L609" i="41"/>
  <c r="L610" i="41"/>
  <c r="L611" i="41"/>
  <c r="L612" i="41"/>
  <c r="L613" i="41"/>
  <c r="L614" i="41"/>
  <c r="L615" i="41"/>
  <c r="L616" i="41"/>
  <c r="J617" i="41"/>
  <c r="L617" i="41"/>
  <c r="L618" i="41"/>
  <c r="L624" i="41"/>
  <c r="L625" i="41"/>
  <c r="L626" i="41"/>
  <c r="L627" i="41"/>
  <c r="L628" i="41"/>
  <c r="L629" i="41"/>
  <c r="A631" i="41"/>
  <c r="A632" i="41"/>
  <c r="A638" i="41"/>
  <c r="G644" i="41"/>
  <c r="N644" i="41" s="1"/>
  <c r="D645" i="41"/>
  <c r="E645" i="41"/>
  <c r="F645" i="41"/>
  <c r="G645" i="41"/>
  <c r="I645" i="41"/>
  <c r="J645" i="41"/>
  <c r="K645" i="41"/>
  <c r="L645" i="41"/>
  <c r="M645" i="41"/>
  <c r="N645" i="41"/>
  <c r="L648" i="41"/>
  <c r="A649" i="41"/>
  <c r="A650" i="41" s="1"/>
  <c r="A651" i="41" s="1"/>
  <c r="A652" i="41" s="1"/>
  <c r="A653" i="41" s="1"/>
  <c r="A654" i="41" s="1"/>
  <c r="A655" i="41" s="1"/>
  <c r="A656" i="41" s="1"/>
  <c r="A657" i="41" s="1"/>
  <c r="A658" i="41" s="1"/>
  <c r="A659" i="41" s="1"/>
  <c r="A660" i="41" s="1"/>
  <c r="A662" i="41" s="1"/>
  <c r="A663" i="41" s="1"/>
  <c r="A664" i="41" s="1"/>
  <c r="A665" i="41" s="1"/>
  <c r="A666" i="41" s="1"/>
  <c r="A667" i="41" s="1"/>
  <c r="A668" i="41" s="1"/>
  <c r="A669" i="41" s="1"/>
  <c r="A670" i="41" s="1"/>
  <c r="A671" i="41" s="1"/>
  <c r="A672" i="41" s="1"/>
  <c r="A673" i="41" s="1"/>
  <c r="A674" i="41" s="1"/>
  <c r="A675" i="41" s="1"/>
  <c r="A676" i="41" s="1"/>
  <c r="A677" i="41" s="1"/>
  <c r="A679" i="41" s="1"/>
  <c r="A680" i="41" s="1"/>
  <c r="L649" i="41"/>
  <c r="L650" i="41"/>
  <c r="L651" i="41"/>
  <c r="L652" i="41"/>
  <c r="L653" i="41"/>
  <c r="L654" i="41"/>
  <c r="L655" i="41"/>
  <c r="L656" i="41"/>
  <c r="L657" i="41"/>
  <c r="L658" i="41"/>
  <c r="L659" i="41"/>
  <c r="E660" i="41"/>
  <c r="F660" i="41"/>
  <c r="M660" i="41"/>
  <c r="L663" i="41"/>
  <c r="L664" i="41"/>
  <c r="L665" i="41"/>
  <c r="L666" i="41"/>
  <c r="L667" i="41"/>
  <c r="L668" i="41"/>
  <c r="L669" i="41"/>
  <c r="L670" i="41"/>
  <c r="L671" i="41"/>
  <c r="L672" i="41"/>
  <c r="L673" i="41"/>
  <c r="L674" i="41"/>
  <c r="L675" i="41"/>
  <c r="L676" i="41"/>
  <c r="E677" i="41"/>
  <c r="F677" i="41"/>
  <c r="M677" i="41"/>
  <c r="A684" i="41"/>
  <c r="A685" i="41"/>
  <c r="D698" i="41"/>
  <c r="E698" i="41"/>
  <c r="F698" i="41"/>
  <c r="G698" i="41"/>
  <c r="I698" i="41"/>
  <c r="J698" i="41"/>
  <c r="K698" i="41"/>
  <c r="L698" i="41"/>
  <c r="M698" i="41"/>
  <c r="N698" i="41"/>
  <c r="A701" i="41"/>
  <c r="A702" i="41" s="1"/>
  <c r="A703" i="41" s="1"/>
  <c r="A704" i="41" s="1"/>
  <c r="A705" i="41" s="1"/>
  <c r="A706" i="41" s="1"/>
  <c r="A707" i="41" s="1"/>
  <c r="A709" i="41" s="1"/>
  <c r="A710" i="41" s="1"/>
  <c r="A711" i="41" s="1"/>
  <c r="A713" i="41" s="1"/>
  <c r="A714" i="41" s="1"/>
  <c r="A715" i="41" s="1"/>
  <c r="A716" i="41" s="1"/>
  <c r="A717" i="41" s="1"/>
  <c r="A718" i="41" s="1"/>
  <c r="A719" i="41" s="1"/>
  <c r="A720" i="41" s="1"/>
  <c r="A721" i="41" s="1"/>
  <c r="A722" i="41" s="1"/>
  <c r="A723" i="41" s="1"/>
  <c r="A724" i="41" s="1"/>
  <c r="A725" i="41" s="1"/>
  <c r="A731" i="41" s="1"/>
  <c r="A732" i="41" s="1"/>
  <c r="A733" i="41" s="1"/>
  <c r="A734" i="41" s="1"/>
  <c r="A735" i="41" s="1"/>
  <c r="L702" i="41"/>
  <c r="K703" i="41"/>
  <c r="L703" i="41"/>
  <c r="L704" i="41"/>
  <c r="L705" i="41"/>
  <c r="L706" i="41"/>
  <c r="E707" i="41"/>
  <c r="F707" i="41"/>
  <c r="M707" i="41"/>
  <c r="L710" i="41"/>
  <c r="L711" i="41" s="1"/>
  <c r="E711" i="41"/>
  <c r="F711" i="41"/>
  <c r="K711" i="41"/>
  <c r="M711" i="41"/>
  <c r="L714" i="41"/>
  <c r="L715" i="41"/>
  <c r="L716" i="41"/>
  <c r="L717" i="41"/>
  <c r="L718" i="41"/>
  <c r="L719" i="41"/>
  <c r="L720" i="41"/>
  <c r="L721" i="41"/>
  <c r="L722" i="41"/>
  <c r="L723" i="41"/>
  <c r="L724" i="41"/>
  <c r="L730" i="41"/>
  <c r="L731" i="41"/>
  <c r="L732" i="41"/>
  <c r="L733" i="41"/>
  <c r="L734" i="41"/>
  <c r="L735" i="41"/>
  <c r="A737" i="41"/>
  <c r="A738" i="41"/>
  <c r="A744" i="41"/>
  <c r="D751" i="41"/>
  <c r="E751" i="41"/>
  <c r="F751" i="41"/>
  <c r="G751" i="41"/>
  <c r="I751" i="41"/>
  <c r="J751" i="41"/>
  <c r="K751" i="41"/>
  <c r="L751" i="41"/>
  <c r="M751" i="41"/>
  <c r="N751" i="41"/>
  <c r="L754" i="41"/>
  <c r="A755" i="41"/>
  <c r="A756" i="41" s="1"/>
  <c r="A757" i="41" s="1"/>
  <c r="A758" i="41" s="1"/>
  <c r="A759" i="41" s="1"/>
  <c r="A760" i="41" s="1"/>
  <c r="A761" i="41" s="1"/>
  <c r="A762" i="41" s="1"/>
  <c r="A763" i="41" s="1"/>
  <c r="A764" i="41" s="1"/>
  <c r="A765" i="41" s="1"/>
  <c r="A766" i="41" s="1"/>
  <c r="A768" i="41" s="1"/>
  <c r="A769" i="41" s="1"/>
  <c r="A770" i="41" s="1"/>
  <c r="A771" i="41" s="1"/>
  <c r="A772" i="41" s="1"/>
  <c r="A773" i="41" s="1"/>
  <c r="A774" i="41" s="1"/>
  <c r="A775" i="41" s="1"/>
  <c r="A776" i="41" s="1"/>
  <c r="A777" i="41" s="1"/>
  <c r="A778" i="41" s="1"/>
  <c r="A779" i="41" s="1"/>
  <c r="A780" i="41" s="1"/>
  <c r="A781" i="41" s="1"/>
  <c r="A782" i="41" s="1"/>
  <c r="A783" i="41" s="1"/>
  <c r="A785" i="41" s="1"/>
  <c r="A786" i="41" s="1"/>
  <c r="L755" i="41"/>
  <c r="L756" i="41"/>
  <c r="L757" i="41"/>
  <c r="L758" i="41"/>
  <c r="L759" i="41"/>
  <c r="L760" i="41"/>
  <c r="L761" i="41"/>
  <c r="L762" i="41"/>
  <c r="L763" i="41"/>
  <c r="L764" i="41"/>
  <c r="L765" i="41"/>
  <c r="E766" i="41"/>
  <c r="M766" i="41"/>
  <c r="L769" i="41"/>
  <c r="L770" i="41"/>
  <c r="L771" i="41"/>
  <c r="L772" i="41"/>
  <c r="L773" i="41"/>
  <c r="L774" i="41"/>
  <c r="L775" i="41"/>
  <c r="L776" i="41"/>
  <c r="L777" i="41"/>
  <c r="L778" i="41"/>
  <c r="L779" i="41"/>
  <c r="L780" i="41"/>
  <c r="L781" i="41"/>
  <c r="L782" i="41"/>
  <c r="E783" i="41"/>
  <c r="F783" i="41"/>
  <c r="M783" i="41"/>
  <c r="A790" i="41"/>
  <c r="A791" i="41"/>
  <c r="N803" i="41"/>
  <c r="D804" i="41"/>
  <c r="E804" i="41"/>
  <c r="F804" i="41"/>
  <c r="G804" i="41"/>
  <c r="I804" i="41"/>
  <c r="J804" i="41"/>
  <c r="K804" i="41"/>
  <c r="L804" i="41"/>
  <c r="M804" i="41"/>
  <c r="N804" i="41"/>
  <c r="A807" i="41"/>
  <c r="A808" i="41" s="1"/>
  <c r="A809" i="41" s="1"/>
  <c r="A810" i="41" s="1"/>
  <c r="A811" i="41" s="1"/>
  <c r="A812" i="41" s="1"/>
  <c r="A813" i="41" s="1"/>
  <c r="A815" i="41" s="1"/>
  <c r="A816" i="41" s="1"/>
  <c r="A817" i="41" s="1"/>
  <c r="A819" i="41" s="1"/>
  <c r="A820" i="41" s="1"/>
  <c r="A821" i="41" s="1"/>
  <c r="A822" i="41" s="1"/>
  <c r="A823" i="41" s="1"/>
  <c r="A824" i="41" s="1"/>
  <c r="A825" i="41" s="1"/>
  <c r="A826" i="41" s="1"/>
  <c r="A827" i="41" s="1"/>
  <c r="A828" i="41" s="1"/>
  <c r="A829" i="41" s="1"/>
  <c r="A830" i="41" s="1"/>
  <c r="A831" i="41" s="1"/>
  <c r="A837" i="41" s="1"/>
  <c r="A838" i="41" s="1"/>
  <c r="A839" i="41" s="1"/>
  <c r="A840" i="41" s="1"/>
  <c r="A841" i="41" s="1"/>
  <c r="L808" i="41"/>
  <c r="L809" i="41"/>
  <c r="L810" i="41"/>
  <c r="L811" i="41"/>
  <c r="L812" i="41"/>
  <c r="E813" i="41"/>
  <c r="F813" i="41"/>
  <c r="M813" i="41"/>
  <c r="L816" i="41"/>
  <c r="L817" i="41" s="1"/>
  <c r="E817" i="41"/>
  <c r="F817" i="41"/>
  <c r="K817" i="41"/>
  <c r="M817" i="41"/>
  <c r="L820" i="41"/>
  <c r="L821" i="41"/>
  <c r="L822" i="41"/>
  <c r="L823" i="41"/>
  <c r="L824" i="41"/>
  <c r="L825" i="41"/>
  <c r="L826" i="41"/>
  <c r="L827" i="41"/>
  <c r="L828" i="41"/>
  <c r="L829" i="41"/>
  <c r="L830" i="41"/>
  <c r="L836" i="41"/>
  <c r="L837" i="41"/>
  <c r="L838" i="41"/>
  <c r="L839" i="41"/>
  <c r="L840" i="41"/>
  <c r="L841" i="41"/>
  <c r="A843" i="41"/>
  <c r="A844" i="41"/>
  <c r="A850" i="41"/>
  <c r="G856" i="41"/>
  <c r="N856" i="41" s="1"/>
  <c r="D857" i="41"/>
  <c r="E857" i="41"/>
  <c r="F857" i="41"/>
  <c r="G857" i="41"/>
  <c r="I857" i="41"/>
  <c r="J857" i="41"/>
  <c r="K857" i="41"/>
  <c r="L857" i="41"/>
  <c r="M857" i="41"/>
  <c r="N857" i="41"/>
  <c r="L860" i="41"/>
  <c r="A861" i="41"/>
  <c r="A862" i="41" s="1"/>
  <c r="A863" i="41" s="1"/>
  <c r="A864" i="41" s="1"/>
  <c r="A865" i="41" s="1"/>
  <c r="A866" i="41" s="1"/>
  <c r="A867" i="41" s="1"/>
  <c r="A868" i="41" s="1"/>
  <c r="A869" i="41" s="1"/>
  <c r="A870" i="41" s="1"/>
  <c r="A871" i="41" s="1"/>
  <c r="A872" i="41" s="1"/>
  <c r="A874" i="41" s="1"/>
  <c r="A875" i="41" s="1"/>
  <c r="A876" i="41" s="1"/>
  <c r="A877" i="41" s="1"/>
  <c r="A878" i="41" s="1"/>
  <c r="A879" i="41" s="1"/>
  <c r="A880" i="41" s="1"/>
  <c r="A881" i="41" s="1"/>
  <c r="A882" i="41" s="1"/>
  <c r="A883" i="41" s="1"/>
  <c r="A884" i="41" s="1"/>
  <c r="A885" i="41" s="1"/>
  <c r="A886" i="41" s="1"/>
  <c r="A887" i="41" s="1"/>
  <c r="A888" i="41" s="1"/>
  <c r="A889" i="41" s="1"/>
  <c r="A891" i="41" s="1"/>
  <c r="A892" i="41" s="1"/>
  <c r="L861" i="41"/>
  <c r="L862" i="41"/>
  <c r="L863" i="41"/>
  <c r="L864" i="41"/>
  <c r="L865" i="41"/>
  <c r="L866" i="41"/>
  <c r="L867" i="41"/>
  <c r="L868" i="41"/>
  <c r="L869" i="41"/>
  <c r="L870" i="41"/>
  <c r="L871" i="41"/>
  <c r="M872" i="41"/>
  <c r="L875" i="41"/>
  <c r="L876" i="41"/>
  <c r="L877" i="41"/>
  <c r="L878" i="41"/>
  <c r="L879" i="41"/>
  <c r="L880" i="41"/>
  <c r="L881" i="41"/>
  <c r="L882" i="41"/>
  <c r="L883" i="41"/>
  <c r="L884" i="41"/>
  <c r="L885" i="41"/>
  <c r="L886" i="41"/>
  <c r="L887" i="41"/>
  <c r="L888" i="41"/>
  <c r="E889" i="41"/>
  <c r="F889" i="41"/>
  <c r="M889" i="41"/>
  <c r="A896" i="41"/>
  <c r="A897" i="41"/>
  <c r="I909" i="41"/>
  <c r="D910" i="41"/>
  <c r="E910" i="41"/>
  <c r="F910" i="41"/>
  <c r="G910" i="41"/>
  <c r="I910" i="41"/>
  <c r="J910" i="41"/>
  <c r="K910" i="41"/>
  <c r="L910" i="41"/>
  <c r="M910" i="41"/>
  <c r="N910" i="41"/>
  <c r="A913" i="41"/>
  <c r="A914" i="41" s="1"/>
  <c r="A915" i="41" s="1"/>
  <c r="A916" i="41" s="1"/>
  <c r="A917" i="41" s="1"/>
  <c r="A918" i="41" s="1"/>
  <c r="A919" i="41" s="1"/>
  <c r="A921" i="41" s="1"/>
  <c r="A922" i="41" s="1"/>
  <c r="A923" i="41" s="1"/>
  <c r="A925" i="41" s="1"/>
  <c r="A926" i="41" s="1"/>
  <c r="A927" i="41" s="1"/>
  <c r="A928" i="41" s="1"/>
  <c r="A929" i="41" s="1"/>
  <c r="A930" i="41" s="1"/>
  <c r="A931" i="41" s="1"/>
  <c r="A932" i="41" s="1"/>
  <c r="A933" i="41" s="1"/>
  <c r="A934" i="41" s="1"/>
  <c r="A935" i="41" s="1"/>
  <c r="A936" i="41" s="1"/>
  <c r="A937" i="41" s="1"/>
  <c r="A943" i="41" s="1"/>
  <c r="A944" i="41" s="1"/>
  <c r="A945" i="41" s="1"/>
  <c r="A946" i="41" s="1"/>
  <c r="A947" i="41" s="1"/>
  <c r="L914" i="41"/>
  <c r="K915" i="41"/>
  <c r="L915" i="41"/>
  <c r="L916" i="41"/>
  <c r="L917" i="41"/>
  <c r="L918" i="41"/>
  <c r="E919" i="41"/>
  <c r="F919" i="41"/>
  <c r="M919" i="41"/>
  <c r="L922" i="41"/>
  <c r="L923" i="41" s="1"/>
  <c r="E923" i="41"/>
  <c r="F923" i="41"/>
  <c r="K923" i="41"/>
  <c r="M923" i="41"/>
  <c r="L926" i="41"/>
  <c r="L927" i="41"/>
  <c r="L928" i="41"/>
  <c r="L929" i="41"/>
  <c r="L930" i="41"/>
  <c r="L931" i="41"/>
  <c r="L932" i="41"/>
  <c r="L933" i="41"/>
  <c r="L934" i="41"/>
  <c r="L935" i="41"/>
  <c r="L936" i="41"/>
  <c r="L942" i="41"/>
  <c r="L943" i="41"/>
  <c r="L944" i="41"/>
  <c r="L945" i="41"/>
  <c r="L946" i="41"/>
  <c r="L947" i="41"/>
  <c r="A949" i="41"/>
  <c r="A950" i="41"/>
  <c r="A956" i="41"/>
  <c r="D962" i="41"/>
  <c r="I962" i="41" s="1"/>
  <c r="D963" i="41"/>
  <c r="E963" i="41"/>
  <c r="F963" i="41"/>
  <c r="G963" i="41"/>
  <c r="I963" i="41"/>
  <c r="J963" i="41"/>
  <c r="K963" i="41"/>
  <c r="L963" i="41"/>
  <c r="M963" i="41"/>
  <c r="N963" i="41"/>
  <c r="L966" i="41"/>
  <c r="A967" i="41"/>
  <c r="A968" i="41" s="1"/>
  <c r="A969" i="41" s="1"/>
  <c r="A970" i="41" s="1"/>
  <c r="A971" i="41" s="1"/>
  <c r="A972" i="41" s="1"/>
  <c r="A973" i="41" s="1"/>
  <c r="A974" i="41" s="1"/>
  <c r="A975" i="41" s="1"/>
  <c r="A976" i="41" s="1"/>
  <c r="A977" i="41" s="1"/>
  <c r="A978" i="41" s="1"/>
  <c r="A980" i="41" s="1"/>
  <c r="A981" i="41" s="1"/>
  <c r="A982" i="41" s="1"/>
  <c r="A983" i="41" s="1"/>
  <c r="A984" i="41" s="1"/>
  <c r="A985" i="41" s="1"/>
  <c r="A986" i="41" s="1"/>
  <c r="A987" i="41" s="1"/>
  <c r="A988" i="41" s="1"/>
  <c r="A989" i="41" s="1"/>
  <c r="A990" i="41" s="1"/>
  <c r="A991" i="41" s="1"/>
  <c r="A992" i="41" s="1"/>
  <c r="A993" i="41" s="1"/>
  <c r="A994" i="41" s="1"/>
  <c r="A995" i="41" s="1"/>
  <c r="A997" i="41" s="1"/>
  <c r="A998" i="41" s="1"/>
  <c r="L967" i="41"/>
  <c r="L968" i="41"/>
  <c r="L969" i="41"/>
  <c r="L970" i="41"/>
  <c r="L971" i="41"/>
  <c r="L972" i="41"/>
  <c r="L973" i="41"/>
  <c r="L974" i="41"/>
  <c r="L975" i="41"/>
  <c r="L976" i="41"/>
  <c r="L977" i="41"/>
  <c r="M978" i="41"/>
  <c r="L981" i="41"/>
  <c r="L982" i="41"/>
  <c r="L983" i="41"/>
  <c r="L984" i="41"/>
  <c r="L985" i="41"/>
  <c r="L986" i="41"/>
  <c r="L987" i="41"/>
  <c r="L988" i="41"/>
  <c r="L989" i="41"/>
  <c r="L990" i="41"/>
  <c r="L991" i="41"/>
  <c r="L992" i="41"/>
  <c r="L993" i="41"/>
  <c r="L994" i="41"/>
  <c r="E995" i="41"/>
  <c r="F995" i="41"/>
  <c r="M995" i="41"/>
  <c r="A1002" i="41"/>
  <c r="A1003" i="41"/>
  <c r="D1016" i="41"/>
  <c r="E1016" i="41"/>
  <c r="F1016" i="41"/>
  <c r="G1016" i="41"/>
  <c r="I1016" i="41"/>
  <c r="J1016" i="41"/>
  <c r="K1016" i="41"/>
  <c r="L1016" i="41"/>
  <c r="M1016" i="41"/>
  <c r="N1016" i="41"/>
  <c r="A1019" i="41"/>
  <c r="A1020" i="41" s="1"/>
  <c r="A1021" i="41" s="1"/>
  <c r="A1022" i="41" s="1"/>
  <c r="A1023" i="41" s="1"/>
  <c r="A1024" i="41" s="1"/>
  <c r="A1025" i="41" s="1"/>
  <c r="A1027" i="41" s="1"/>
  <c r="A1028" i="41" s="1"/>
  <c r="A1029" i="41" s="1"/>
  <c r="A1031" i="41" s="1"/>
  <c r="A1032" i="41" s="1"/>
  <c r="A1033" i="41" s="1"/>
  <c r="A1034" i="41" s="1"/>
  <c r="A1035" i="41" s="1"/>
  <c r="A1036" i="41" s="1"/>
  <c r="A1037" i="41" s="1"/>
  <c r="A1038" i="41" s="1"/>
  <c r="A1039" i="41" s="1"/>
  <c r="A1040" i="41" s="1"/>
  <c r="A1041" i="41" s="1"/>
  <c r="A1042" i="41" s="1"/>
  <c r="A1043" i="41" s="1"/>
  <c r="A1049" i="41" s="1"/>
  <c r="A1050" i="41" s="1"/>
  <c r="A1051" i="41" s="1"/>
  <c r="A1052" i="41" s="1"/>
  <c r="A1053" i="41" s="1"/>
  <c r="L1020" i="41"/>
  <c r="K1021" i="41"/>
  <c r="L1021" i="41"/>
  <c r="L1022" i="41"/>
  <c r="L1023" i="41"/>
  <c r="L1024" i="41"/>
  <c r="E1025" i="41"/>
  <c r="F1025" i="41"/>
  <c r="M1025" i="41"/>
  <c r="L1028" i="41"/>
  <c r="L1029" i="41" s="1"/>
  <c r="E1029" i="41"/>
  <c r="F1029" i="41"/>
  <c r="K1029" i="41"/>
  <c r="M1029" i="41"/>
  <c r="L1032" i="41"/>
  <c r="L1033" i="41"/>
  <c r="L1034" i="41"/>
  <c r="L1035" i="41"/>
  <c r="L1036" i="41"/>
  <c r="L1037" i="41"/>
  <c r="L1038" i="41"/>
  <c r="L1039" i="41"/>
  <c r="L1040" i="41"/>
  <c r="L1041" i="41"/>
  <c r="L1042" i="41"/>
  <c r="L1048" i="41"/>
  <c r="L1049" i="41"/>
  <c r="L1050" i="41"/>
  <c r="L1051" i="41"/>
  <c r="L1052" i="41"/>
  <c r="L1053" i="41"/>
  <c r="A1055" i="41"/>
  <c r="A1056" i="41"/>
  <c r="A1062" i="41"/>
  <c r="D1069" i="41"/>
  <c r="E1069" i="41"/>
  <c r="F1069" i="41"/>
  <c r="G1069" i="41"/>
  <c r="I1069" i="41"/>
  <c r="J1069" i="41"/>
  <c r="K1069" i="41"/>
  <c r="L1069" i="41"/>
  <c r="M1069" i="41"/>
  <c r="N1069" i="41"/>
  <c r="L1072" i="41"/>
  <c r="A1073" i="41"/>
  <c r="A1074" i="41" s="1"/>
  <c r="A1075" i="41" s="1"/>
  <c r="A1076" i="41" s="1"/>
  <c r="A1077" i="41" s="1"/>
  <c r="A1078" i="41" s="1"/>
  <c r="A1079" i="41" s="1"/>
  <c r="A1080" i="41" s="1"/>
  <c r="A1081" i="41" s="1"/>
  <c r="A1082" i="41" s="1"/>
  <c r="A1083" i="41" s="1"/>
  <c r="A1084" i="41" s="1"/>
  <c r="A1086" i="41" s="1"/>
  <c r="A1087" i="41" s="1"/>
  <c r="A1088" i="41" s="1"/>
  <c r="A1089" i="41" s="1"/>
  <c r="A1090" i="41" s="1"/>
  <c r="A1091" i="41" s="1"/>
  <c r="A1092" i="41" s="1"/>
  <c r="A1093" i="41" s="1"/>
  <c r="A1094" i="41" s="1"/>
  <c r="A1095" i="41" s="1"/>
  <c r="A1096" i="41" s="1"/>
  <c r="A1097" i="41" s="1"/>
  <c r="A1098" i="41" s="1"/>
  <c r="A1099" i="41" s="1"/>
  <c r="A1100" i="41" s="1"/>
  <c r="A1101" i="41" s="1"/>
  <c r="A1103" i="41" s="1"/>
  <c r="A1104" i="41" s="1"/>
  <c r="L1073" i="41"/>
  <c r="L1074" i="41"/>
  <c r="L1075" i="41"/>
  <c r="L1076" i="41"/>
  <c r="L1077" i="41"/>
  <c r="L1078" i="41"/>
  <c r="L1079" i="41"/>
  <c r="L1080" i="41"/>
  <c r="L1081" i="41"/>
  <c r="L1082" i="41"/>
  <c r="L1083" i="41"/>
  <c r="M1084" i="41"/>
  <c r="L1087" i="41"/>
  <c r="L1088" i="41"/>
  <c r="L1089" i="41"/>
  <c r="L1090" i="41"/>
  <c r="L1091" i="41"/>
  <c r="L1092" i="41"/>
  <c r="L1093" i="41"/>
  <c r="L1094" i="41"/>
  <c r="L1095" i="41"/>
  <c r="L1096" i="41"/>
  <c r="L1097" i="41"/>
  <c r="L1098" i="41"/>
  <c r="L1099" i="41"/>
  <c r="L1100" i="41"/>
  <c r="E1101" i="41"/>
  <c r="F1101" i="41"/>
  <c r="M1101" i="41"/>
  <c r="A1108" i="41"/>
  <c r="A1109" i="41"/>
  <c r="I1121" i="41"/>
  <c r="D1122" i="41"/>
  <c r="E1122" i="41"/>
  <c r="F1122" i="41"/>
  <c r="G1122" i="41"/>
  <c r="I1122" i="41"/>
  <c r="J1122" i="41"/>
  <c r="K1122" i="41"/>
  <c r="L1122" i="41"/>
  <c r="M1122" i="41"/>
  <c r="N1122" i="41"/>
  <c r="A1125" i="41"/>
  <c r="A1126" i="41" s="1"/>
  <c r="A1127" i="41" s="1"/>
  <c r="A1128" i="41" s="1"/>
  <c r="A1129" i="41" s="1"/>
  <c r="A1130" i="41" s="1"/>
  <c r="A1131" i="41" s="1"/>
  <c r="A1133" i="41" s="1"/>
  <c r="A1134" i="41" s="1"/>
  <c r="A1135" i="41" s="1"/>
  <c r="A1137" i="41" s="1"/>
  <c r="A1138" i="41" s="1"/>
  <c r="A1139" i="41" s="1"/>
  <c r="A1140" i="41" s="1"/>
  <c r="A1141" i="41" s="1"/>
  <c r="A1142" i="41" s="1"/>
  <c r="A1143" i="41" s="1"/>
  <c r="A1144" i="41" s="1"/>
  <c r="A1145" i="41" s="1"/>
  <c r="A1146" i="41" s="1"/>
  <c r="A1147" i="41" s="1"/>
  <c r="A1148" i="41" s="1"/>
  <c r="A1149" i="41" s="1"/>
  <c r="A1155" i="41" s="1"/>
  <c r="A1156" i="41" s="1"/>
  <c r="A1157" i="41" s="1"/>
  <c r="A1158" i="41" s="1"/>
  <c r="A1159" i="41" s="1"/>
  <c r="L1126" i="41"/>
  <c r="L1127" i="41"/>
  <c r="L1128" i="41"/>
  <c r="L1129" i="41"/>
  <c r="L1130" i="41"/>
  <c r="E1131" i="41"/>
  <c r="F1131" i="41"/>
  <c r="M1131" i="41"/>
  <c r="L1134" i="41"/>
  <c r="L1135" i="41" s="1"/>
  <c r="E1135" i="41"/>
  <c r="F1135" i="41"/>
  <c r="K1135" i="41"/>
  <c r="M1135" i="41"/>
  <c r="L1138" i="41"/>
  <c r="L1139" i="41"/>
  <c r="L1140" i="41"/>
  <c r="L1141" i="41"/>
  <c r="L1142" i="41"/>
  <c r="L1143" i="41"/>
  <c r="L1144" i="41"/>
  <c r="L1145" i="41"/>
  <c r="L1146" i="41"/>
  <c r="L1147" i="41"/>
  <c r="L1148" i="41"/>
  <c r="L1154" i="41"/>
  <c r="L1155" i="41"/>
  <c r="L1156" i="41"/>
  <c r="L1157" i="41"/>
  <c r="L1158" i="41"/>
  <c r="L1159" i="41"/>
  <c r="A1161" i="41"/>
  <c r="A1162" i="41"/>
  <c r="A1168" i="41"/>
  <c r="D1174" i="41"/>
  <c r="I1174" i="41" s="1"/>
  <c r="D1175" i="41"/>
  <c r="E1175" i="41"/>
  <c r="F1175" i="41"/>
  <c r="G1175" i="41"/>
  <c r="I1175" i="41"/>
  <c r="J1175" i="41"/>
  <c r="K1175" i="41"/>
  <c r="L1175" i="41"/>
  <c r="M1175" i="41"/>
  <c r="N1175" i="41"/>
  <c r="L1178" i="41"/>
  <c r="A1179" i="41"/>
  <c r="A1180" i="41" s="1"/>
  <c r="A1181" i="41" s="1"/>
  <c r="A1182" i="41" s="1"/>
  <c r="A1183" i="41" s="1"/>
  <c r="A1184" i="41" s="1"/>
  <c r="A1185" i="41" s="1"/>
  <c r="A1186" i="41" s="1"/>
  <c r="A1187" i="41" s="1"/>
  <c r="A1188" i="41" s="1"/>
  <c r="A1189" i="41" s="1"/>
  <c r="A1190" i="41" s="1"/>
  <c r="A1192" i="41" s="1"/>
  <c r="A1193" i="41" s="1"/>
  <c r="A1194" i="41" s="1"/>
  <c r="A1195" i="41" s="1"/>
  <c r="A1196" i="41" s="1"/>
  <c r="A1197" i="41" s="1"/>
  <c r="A1198" i="41" s="1"/>
  <c r="A1199" i="41" s="1"/>
  <c r="A1200" i="41" s="1"/>
  <c r="A1201" i="41" s="1"/>
  <c r="A1202" i="41" s="1"/>
  <c r="A1203" i="41" s="1"/>
  <c r="A1204" i="41" s="1"/>
  <c r="A1205" i="41" s="1"/>
  <c r="A1206" i="41" s="1"/>
  <c r="A1207" i="41" s="1"/>
  <c r="A1209" i="41" s="1"/>
  <c r="A1210" i="41" s="1"/>
  <c r="L1179" i="41"/>
  <c r="L1180" i="41"/>
  <c r="L1181" i="41"/>
  <c r="L1182" i="41"/>
  <c r="L1183" i="41"/>
  <c r="L1184" i="41"/>
  <c r="L1185" i="41"/>
  <c r="L1186" i="41"/>
  <c r="L1187" i="41"/>
  <c r="L1188" i="41"/>
  <c r="L1189" i="41"/>
  <c r="E1190" i="41"/>
  <c r="F1190" i="41"/>
  <c r="M1190" i="41"/>
  <c r="L1193" i="41"/>
  <c r="L1194" i="41"/>
  <c r="L1195" i="41"/>
  <c r="L1196" i="41"/>
  <c r="L1197" i="41"/>
  <c r="L1198" i="41"/>
  <c r="L1199" i="41"/>
  <c r="L1200" i="41"/>
  <c r="L1201" i="41"/>
  <c r="L1202" i="41"/>
  <c r="L1203" i="41"/>
  <c r="L1204" i="41"/>
  <c r="L1205" i="41"/>
  <c r="L1206" i="41"/>
  <c r="E1207" i="41"/>
  <c r="F1207" i="41"/>
  <c r="M1207" i="41"/>
  <c r="A1214" i="41"/>
  <c r="A1215" i="41"/>
  <c r="D1228" i="41"/>
  <c r="E1228" i="41"/>
  <c r="F1228" i="41"/>
  <c r="G1228" i="41"/>
  <c r="I1228" i="41"/>
  <c r="J1228" i="41"/>
  <c r="K1228" i="41"/>
  <c r="L1228" i="41"/>
  <c r="M1228" i="41"/>
  <c r="N1228" i="41"/>
  <c r="A1231" i="41"/>
  <c r="A1232" i="41" s="1"/>
  <c r="A1233" i="41" s="1"/>
  <c r="A1234" i="41" s="1"/>
  <c r="A1235" i="41" s="1"/>
  <c r="A1236" i="41" s="1"/>
  <c r="A1237" i="41" s="1"/>
  <c r="A1239" i="41" s="1"/>
  <c r="A1240" i="41" s="1"/>
  <c r="A1241" i="41" s="1"/>
  <c r="A1243" i="41" s="1"/>
  <c r="A1244" i="41" s="1"/>
  <c r="A1245" i="41" s="1"/>
  <c r="A1246" i="41" s="1"/>
  <c r="A1247" i="41" s="1"/>
  <c r="A1248" i="41" s="1"/>
  <c r="A1249" i="41" s="1"/>
  <c r="A1250" i="41" s="1"/>
  <c r="A1251" i="41" s="1"/>
  <c r="A1252" i="41" s="1"/>
  <c r="A1253" i="41" s="1"/>
  <c r="A1254" i="41" s="1"/>
  <c r="A1255" i="41" s="1"/>
  <c r="A1261" i="41" s="1"/>
  <c r="A1262" i="41" s="1"/>
  <c r="A1263" i="41" s="1"/>
  <c r="A1264" i="41" s="1"/>
  <c r="A1265" i="41" s="1"/>
  <c r="L1232" i="41"/>
  <c r="K1233" i="41"/>
  <c r="L1233" i="41"/>
  <c r="L1234" i="41"/>
  <c r="L1235" i="41"/>
  <c r="L1236" i="41"/>
  <c r="E1237" i="41"/>
  <c r="F1237" i="41"/>
  <c r="M1237" i="41"/>
  <c r="L1240" i="41"/>
  <c r="L1241" i="41" s="1"/>
  <c r="E1241" i="41"/>
  <c r="F1241" i="41"/>
  <c r="K1241" i="41"/>
  <c r="M1241" i="41"/>
  <c r="J1244" i="41"/>
  <c r="J1350" i="41" s="1"/>
  <c r="J1456" i="41" s="1"/>
  <c r="J1562" i="41" s="1"/>
  <c r="L1244" i="41"/>
  <c r="J1245" i="41"/>
  <c r="J1351" i="41" s="1"/>
  <c r="J1457" i="41" s="1"/>
  <c r="J1563" i="41" s="1"/>
  <c r="L1245" i="41"/>
  <c r="J1246" i="41"/>
  <c r="J1352" i="41" s="1"/>
  <c r="J1458" i="41" s="1"/>
  <c r="J1564" i="41" s="1"/>
  <c r="J1670" i="41" s="1"/>
  <c r="J1776" i="41" s="1"/>
  <c r="J1882" i="41" s="1"/>
  <c r="J1988" i="41" s="1"/>
  <c r="J2094" i="41" s="1"/>
  <c r="J2200" i="41" s="1"/>
  <c r="J2306" i="41" s="1"/>
  <c r="L1246" i="41"/>
  <c r="J1247" i="41"/>
  <c r="J1353" i="41" s="1"/>
  <c r="J1459" i="41" s="1"/>
  <c r="J1565" i="41" s="1"/>
  <c r="J1671" i="41" s="1"/>
  <c r="J1777" i="41" s="1"/>
  <c r="J1883" i="41" s="1"/>
  <c r="J1989" i="41" s="1"/>
  <c r="J2095" i="41" s="1"/>
  <c r="J2201" i="41" s="1"/>
  <c r="J2307" i="41" s="1"/>
  <c r="L1247" i="41"/>
  <c r="J1248" i="41"/>
  <c r="J1354" i="41" s="1"/>
  <c r="J1460" i="41" s="1"/>
  <c r="J1566" i="41" s="1"/>
  <c r="J1672" i="41" s="1"/>
  <c r="J1778" i="41" s="1"/>
  <c r="J1884" i="41" s="1"/>
  <c r="J1990" i="41" s="1"/>
  <c r="J2096" i="41" s="1"/>
  <c r="J2202" i="41" s="1"/>
  <c r="J2308" i="41" s="1"/>
  <c r="L1248" i="41"/>
  <c r="J1249" i="41"/>
  <c r="J1355" i="41" s="1"/>
  <c r="J1461" i="41" s="1"/>
  <c r="J1567" i="41" s="1"/>
  <c r="J1673" i="41" s="1"/>
  <c r="J1779" i="41" s="1"/>
  <c r="J1885" i="41" s="1"/>
  <c r="J1991" i="41" s="1"/>
  <c r="J2097" i="41" s="1"/>
  <c r="J2203" i="41" s="1"/>
  <c r="J2309" i="41" s="1"/>
  <c r="L1249" i="41"/>
  <c r="J1250" i="41"/>
  <c r="J1356" i="41" s="1"/>
  <c r="J1462" i="41" s="1"/>
  <c r="J1568" i="41" s="1"/>
  <c r="J1674" i="41" s="1"/>
  <c r="J1780" i="41" s="1"/>
  <c r="J1886" i="41" s="1"/>
  <c r="J1992" i="41" s="1"/>
  <c r="J2098" i="41" s="1"/>
  <c r="J2204" i="41" s="1"/>
  <c r="J2310" i="41" s="1"/>
  <c r="L1250" i="41"/>
  <c r="J1251" i="41"/>
  <c r="J1357" i="41" s="1"/>
  <c r="J1463" i="41" s="1"/>
  <c r="J1569" i="41" s="1"/>
  <c r="J1675" i="41" s="1"/>
  <c r="J1781" i="41" s="1"/>
  <c r="J1887" i="41" s="1"/>
  <c r="J1993" i="41" s="1"/>
  <c r="J2099" i="41" s="1"/>
  <c r="J2205" i="41" s="1"/>
  <c r="J2311" i="41" s="1"/>
  <c r="L1251" i="41"/>
  <c r="J1252" i="41"/>
  <c r="J1358" i="41" s="1"/>
  <c r="J1464" i="41" s="1"/>
  <c r="J1570" i="41" s="1"/>
  <c r="J1676" i="41" s="1"/>
  <c r="J1782" i="41" s="1"/>
  <c r="J1888" i="41" s="1"/>
  <c r="J1994" i="41" s="1"/>
  <c r="J2100" i="41" s="1"/>
  <c r="J2206" i="41" s="1"/>
  <c r="J2312" i="41" s="1"/>
  <c r="L1252" i="41"/>
  <c r="J1253" i="41"/>
  <c r="J1359" i="41" s="1"/>
  <c r="J1465" i="41" s="1"/>
  <c r="J1571" i="41" s="1"/>
  <c r="L1253" i="41"/>
  <c r="J1254" i="41"/>
  <c r="J1360" i="41" s="1"/>
  <c r="J1466" i="41" s="1"/>
  <c r="J1572" i="41" s="1"/>
  <c r="J1678" i="41" s="1"/>
  <c r="J1784" i="41" s="1"/>
  <c r="J1890" i="41" s="1"/>
  <c r="J1996" i="41" s="1"/>
  <c r="J2102" i="41" s="1"/>
  <c r="J2208" i="41" s="1"/>
  <c r="J2314" i="41" s="1"/>
  <c r="L1254" i="41"/>
  <c r="L1260" i="41"/>
  <c r="J1261" i="41"/>
  <c r="J1367" i="41" s="1"/>
  <c r="J1473" i="41" s="1"/>
  <c r="J1579" i="41" s="1"/>
  <c r="J1685" i="41" s="1"/>
  <c r="J1791" i="41" s="1"/>
  <c r="J1897" i="41" s="1"/>
  <c r="J2003" i="41" s="1"/>
  <c r="J2109" i="41" s="1"/>
  <c r="J2215" i="41" s="1"/>
  <c r="J2321" i="41" s="1"/>
  <c r="L1261" i="41"/>
  <c r="J1262" i="41"/>
  <c r="J1368" i="41" s="1"/>
  <c r="J1474" i="41" s="1"/>
  <c r="J1580" i="41" s="1"/>
  <c r="J1686" i="41" s="1"/>
  <c r="J1792" i="41" s="1"/>
  <c r="J1898" i="41" s="1"/>
  <c r="J2004" i="41" s="1"/>
  <c r="J2110" i="41" s="1"/>
  <c r="J2216" i="41" s="1"/>
  <c r="J2322" i="41" s="1"/>
  <c r="L1262" i="41"/>
  <c r="J1263" i="41"/>
  <c r="J1369" i="41" s="1"/>
  <c r="J1475" i="41" s="1"/>
  <c r="J1581" i="41" s="1"/>
  <c r="J1687" i="41" s="1"/>
  <c r="J1793" i="41" s="1"/>
  <c r="J1899" i="41" s="1"/>
  <c r="J2005" i="41" s="1"/>
  <c r="J2111" i="41" s="1"/>
  <c r="J2217" i="41" s="1"/>
  <c r="J2323" i="41" s="1"/>
  <c r="L1263" i="41"/>
  <c r="J1264" i="41"/>
  <c r="J1370" i="41" s="1"/>
  <c r="J1476" i="41" s="1"/>
  <c r="J1582" i="41" s="1"/>
  <c r="J1688" i="41" s="1"/>
  <c r="J1794" i="41" s="1"/>
  <c r="J1900" i="41" s="1"/>
  <c r="J2006" i="41" s="1"/>
  <c r="J2112" i="41" s="1"/>
  <c r="J2218" i="41" s="1"/>
  <c r="J2324" i="41" s="1"/>
  <c r="L1264" i="41"/>
  <c r="J1265" i="41"/>
  <c r="J1371" i="41" s="1"/>
  <c r="J1477" i="41" s="1"/>
  <c r="J1583" i="41" s="1"/>
  <c r="J1689" i="41" s="1"/>
  <c r="J1795" i="41" s="1"/>
  <c r="J1901" i="41" s="1"/>
  <c r="J2007" i="41" s="1"/>
  <c r="J2113" i="41" s="1"/>
  <c r="J2219" i="41" s="1"/>
  <c r="J2325" i="41" s="1"/>
  <c r="L1265" i="41"/>
  <c r="A1267" i="41"/>
  <c r="A1268" i="41"/>
  <c r="A1274" i="41"/>
  <c r="D1281" i="41"/>
  <c r="E1281" i="41"/>
  <c r="F1281" i="41"/>
  <c r="G1281" i="41"/>
  <c r="I1281" i="41"/>
  <c r="J1281" i="41"/>
  <c r="K1281" i="41"/>
  <c r="L1281" i="41"/>
  <c r="M1281" i="41"/>
  <c r="N1281" i="41"/>
  <c r="J1284" i="41"/>
  <c r="J1390" i="41" s="1"/>
  <c r="J1496" i="41" s="1"/>
  <c r="J1602" i="41" s="1"/>
  <c r="J1708" i="41" s="1"/>
  <c r="J1814" i="41" s="1"/>
  <c r="J1920" i="41" s="1"/>
  <c r="J2026" i="41" s="1"/>
  <c r="J2132" i="41" s="1"/>
  <c r="J2238" i="41" s="1"/>
  <c r="J2344" i="41" s="1"/>
  <c r="L1284" i="41"/>
  <c r="A1285" i="41"/>
  <c r="A1286" i="41" s="1"/>
  <c r="A1287" i="41" s="1"/>
  <c r="A1288" i="41" s="1"/>
  <c r="A1289" i="41" s="1"/>
  <c r="A1290" i="41" s="1"/>
  <c r="A1291" i="41" s="1"/>
  <c r="A1292" i="41" s="1"/>
  <c r="A1293" i="41" s="1"/>
  <c r="A1294" i="41" s="1"/>
  <c r="A1295" i="41" s="1"/>
  <c r="A1296" i="41" s="1"/>
  <c r="A1298" i="41" s="1"/>
  <c r="A1299" i="41" s="1"/>
  <c r="A1300" i="41" s="1"/>
  <c r="A1301" i="41" s="1"/>
  <c r="A1302" i="41" s="1"/>
  <c r="A1303" i="41" s="1"/>
  <c r="A1304" i="41" s="1"/>
  <c r="A1305" i="41" s="1"/>
  <c r="A1306" i="41" s="1"/>
  <c r="A1307" i="41" s="1"/>
  <c r="A1308" i="41" s="1"/>
  <c r="A1309" i="41" s="1"/>
  <c r="A1310" i="41" s="1"/>
  <c r="A1311" i="41" s="1"/>
  <c r="A1312" i="41" s="1"/>
  <c r="A1313" i="41" s="1"/>
  <c r="A1315" i="41" s="1"/>
  <c r="A1316" i="41" s="1"/>
  <c r="J1285" i="41"/>
  <c r="J1391" i="41" s="1"/>
  <c r="J1497" i="41" s="1"/>
  <c r="J1603" i="41" s="1"/>
  <c r="J1709" i="41" s="1"/>
  <c r="J1815" i="41" s="1"/>
  <c r="J1921" i="41" s="1"/>
  <c r="J2027" i="41" s="1"/>
  <c r="J2133" i="41" s="1"/>
  <c r="J2239" i="41" s="1"/>
  <c r="J2345" i="41" s="1"/>
  <c r="L1285" i="41"/>
  <c r="J1286" i="41"/>
  <c r="J1392" i="41" s="1"/>
  <c r="J1498" i="41" s="1"/>
  <c r="J1604" i="41" s="1"/>
  <c r="J1710" i="41" s="1"/>
  <c r="J1816" i="41" s="1"/>
  <c r="J1922" i="41" s="1"/>
  <c r="J2028" i="41" s="1"/>
  <c r="J2134" i="41" s="1"/>
  <c r="J2240" i="41" s="1"/>
  <c r="J2346" i="41" s="1"/>
  <c r="L1286" i="41"/>
  <c r="J1287" i="41"/>
  <c r="J1393" i="41" s="1"/>
  <c r="J1499" i="41" s="1"/>
  <c r="J1605" i="41" s="1"/>
  <c r="J1711" i="41" s="1"/>
  <c r="J1817" i="41" s="1"/>
  <c r="J1923" i="41" s="1"/>
  <c r="J2029" i="41" s="1"/>
  <c r="J2135" i="41" s="1"/>
  <c r="J2241" i="41" s="1"/>
  <c r="J2347" i="41" s="1"/>
  <c r="L1287" i="41"/>
  <c r="J1288" i="41"/>
  <c r="J1394" i="41" s="1"/>
  <c r="J1500" i="41" s="1"/>
  <c r="J1606" i="41" s="1"/>
  <c r="J1712" i="41" s="1"/>
  <c r="J1818" i="41" s="1"/>
  <c r="J1924" i="41" s="1"/>
  <c r="J2030" i="41" s="1"/>
  <c r="J2136" i="41" s="1"/>
  <c r="J2242" i="41" s="1"/>
  <c r="J2348" i="41" s="1"/>
  <c r="L1288" i="41"/>
  <c r="J1289" i="41"/>
  <c r="J1395" i="41" s="1"/>
  <c r="J1501" i="41" s="1"/>
  <c r="J1607" i="41" s="1"/>
  <c r="J1713" i="41" s="1"/>
  <c r="J1819" i="41" s="1"/>
  <c r="J1925" i="41" s="1"/>
  <c r="J2031" i="41" s="1"/>
  <c r="J2137" i="41" s="1"/>
  <c r="J2243" i="41" s="1"/>
  <c r="J2349" i="41" s="1"/>
  <c r="L1289" i="41"/>
  <c r="J1290" i="41"/>
  <c r="J1396" i="41" s="1"/>
  <c r="J1502" i="41" s="1"/>
  <c r="J1608" i="41" s="1"/>
  <c r="J1714" i="41" s="1"/>
  <c r="J1820" i="41" s="1"/>
  <c r="J1926" i="41" s="1"/>
  <c r="J2032" i="41" s="1"/>
  <c r="J2138" i="41" s="1"/>
  <c r="J2244" i="41" s="1"/>
  <c r="J2350" i="41" s="1"/>
  <c r="L1290" i="41"/>
  <c r="J1291" i="41"/>
  <c r="J1397" i="41" s="1"/>
  <c r="J1503" i="41" s="1"/>
  <c r="J1609" i="41" s="1"/>
  <c r="J1715" i="41" s="1"/>
  <c r="J1821" i="41" s="1"/>
  <c r="J1927" i="41" s="1"/>
  <c r="J2033" i="41" s="1"/>
  <c r="J2139" i="41" s="1"/>
  <c r="J2245" i="41" s="1"/>
  <c r="J2351" i="41" s="1"/>
  <c r="L1291" i="41"/>
  <c r="J1292" i="41"/>
  <c r="J1398" i="41" s="1"/>
  <c r="J1504" i="41" s="1"/>
  <c r="J1610" i="41" s="1"/>
  <c r="J1716" i="41" s="1"/>
  <c r="J1822" i="41" s="1"/>
  <c r="J1928" i="41" s="1"/>
  <c r="J2034" i="41" s="1"/>
  <c r="J2140" i="41" s="1"/>
  <c r="J2246" i="41" s="1"/>
  <c r="J2352" i="41" s="1"/>
  <c r="L1292" i="41"/>
  <c r="J1293" i="41"/>
  <c r="J1399" i="41" s="1"/>
  <c r="J1505" i="41" s="1"/>
  <c r="J1611" i="41" s="1"/>
  <c r="J1717" i="41" s="1"/>
  <c r="J1823" i="41" s="1"/>
  <c r="J1929" i="41" s="1"/>
  <c r="J2035" i="41" s="1"/>
  <c r="J2141" i="41" s="1"/>
  <c r="J2247" i="41" s="1"/>
  <c r="J2353" i="41" s="1"/>
  <c r="L1293" i="41"/>
  <c r="J1294" i="41"/>
  <c r="J1400" i="41" s="1"/>
  <c r="J1506" i="41" s="1"/>
  <c r="J1612" i="41" s="1"/>
  <c r="J1718" i="41" s="1"/>
  <c r="J1824" i="41" s="1"/>
  <c r="J1930" i="41" s="1"/>
  <c r="J2036" i="41" s="1"/>
  <c r="J2142" i="41" s="1"/>
  <c r="J2248" i="41" s="1"/>
  <c r="J2354" i="41" s="1"/>
  <c r="L1294" i="41"/>
  <c r="J1295" i="41"/>
  <c r="J1401" i="41" s="1"/>
  <c r="J1507" i="41" s="1"/>
  <c r="J1613" i="41" s="1"/>
  <c r="J1719" i="41" s="1"/>
  <c r="J1825" i="41" s="1"/>
  <c r="J1931" i="41" s="1"/>
  <c r="J2037" i="41" s="1"/>
  <c r="J2143" i="41" s="1"/>
  <c r="J2249" i="41" s="1"/>
  <c r="J2355" i="41" s="1"/>
  <c r="L1295" i="41"/>
  <c r="E1296" i="41"/>
  <c r="F1296" i="41"/>
  <c r="M1296" i="41"/>
  <c r="J1299" i="41"/>
  <c r="J1405" i="41" s="1"/>
  <c r="J1511" i="41" s="1"/>
  <c r="J1617" i="41" s="1"/>
  <c r="J1723" i="41" s="1"/>
  <c r="J1829" i="41" s="1"/>
  <c r="J1935" i="41" s="1"/>
  <c r="J2041" i="41" s="1"/>
  <c r="J2147" i="41" s="1"/>
  <c r="J2253" i="41" s="1"/>
  <c r="J2359" i="41" s="1"/>
  <c r="L1299" i="41"/>
  <c r="J1300" i="41"/>
  <c r="J1406" i="41" s="1"/>
  <c r="J1512" i="41" s="1"/>
  <c r="J1618" i="41" s="1"/>
  <c r="J1724" i="41" s="1"/>
  <c r="J1830" i="41" s="1"/>
  <c r="J1936" i="41" s="1"/>
  <c r="J2042" i="41" s="1"/>
  <c r="J2148" i="41" s="1"/>
  <c r="J2254" i="41" s="1"/>
  <c r="J2360" i="41" s="1"/>
  <c r="L1300" i="41"/>
  <c r="J1301" i="41"/>
  <c r="J1407" i="41" s="1"/>
  <c r="J1513" i="41" s="1"/>
  <c r="J1619" i="41" s="1"/>
  <c r="J1725" i="41" s="1"/>
  <c r="J1831" i="41" s="1"/>
  <c r="J1937" i="41" s="1"/>
  <c r="J2043" i="41" s="1"/>
  <c r="J2149" i="41" s="1"/>
  <c r="J2255" i="41" s="1"/>
  <c r="J2361" i="41" s="1"/>
  <c r="L1301" i="41"/>
  <c r="J1302" i="41"/>
  <c r="J1408" i="41" s="1"/>
  <c r="J1514" i="41" s="1"/>
  <c r="J1620" i="41" s="1"/>
  <c r="J1726" i="41" s="1"/>
  <c r="J1832" i="41" s="1"/>
  <c r="J1938" i="41" s="1"/>
  <c r="J2044" i="41" s="1"/>
  <c r="J2150" i="41" s="1"/>
  <c r="J2256" i="41" s="1"/>
  <c r="J2362" i="41" s="1"/>
  <c r="L1302" i="41"/>
  <c r="J1303" i="41"/>
  <c r="J1409" i="41" s="1"/>
  <c r="J1515" i="41" s="1"/>
  <c r="J1621" i="41" s="1"/>
  <c r="J1727" i="41" s="1"/>
  <c r="J1833" i="41" s="1"/>
  <c r="J1939" i="41" s="1"/>
  <c r="J2045" i="41" s="1"/>
  <c r="J2151" i="41" s="1"/>
  <c r="J2257" i="41" s="1"/>
  <c r="J2363" i="41" s="1"/>
  <c r="L1303" i="41"/>
  <c r="J1304" i="41"/>
  <c r="J1410" i="41" s="1"/>
  <c r="J1516" i="41" s="1"/>
  <c r="J1622" i="41" s="1"/>
  <c r="J1728" i="41" s="1"/>
  <c r="J1834" i="41" s="1"/>
  <c r="J1940" i="41" s="1"/>
  <c r="J2046" i="41" s="1"/>
  <c r="J2152" i="41" s="1"/>
  <c r="J2258" i="41" s="1"/>
  <c r="J2364" i="41" s="1"/>
  <c r="L1304" i="41"/>
  <c r="J1305" i="41"/>
  <c r="J1411" i="41" s="1"/>
  <c r="J1517" i="41" s="1"/>
  <c r="J1623" i="41" s="1"/>
  <c r="J1729" i="41" s="1"/>
  <c r="J1835" i="41" s="1"/>
  <c r="J1941" i="41" s="1"/>
  <c r="J2047" i="41" s="1"/>
  <c r="J2153" i="41" s="1"/>
  <c r="J2259" i="41" s="1"/>
  <c r="J2365" i="41" s="1"/>
  <c r="L1305" i="41"/>
  <c r="J1306" i="41"/>
  <c r="J1412" i="41" s="1"/>
  <c r="J1518" i="41" s="1"/>
  <c r="J1624" i="41" s="1"/>
  <c r="J1730" i="41" s="1"/>
  <c r="J1836" i="41" s="1"/>
  <c r="J1942" i="41" s="1"/>
  <c r="J2048" i="41" s="1"/>
  <c r="J2154" i="41" s="1"/>
  <c r="J2260" i="41" s="1"/>
  <c r="J2366" i="41" s="1"/>
  <c r="L1306" i="41"/>
  <c r="J1307" i="41"/>
  <c r="J1413" i="41" s="1"/>
  <c r="J1519" i="41" s="1"/>
  <c r="J1625" i="41" s="1"/>
  <c r="J1731" i="41" s="1"/>
  <c r="J1837" i="41" s="1"/>
  <c r="J1943" i="41" s="1"/>
  <c r="J2049" i="41" s="1"/>
  <c r="J2155" i="41" s="1"/>
  <c r="J2261" i="41" s="1"/>
  <c r="J2367" i="41" s="1"/>
  <c r="L1307" i="41"/>
  <c r="J1308" i="41"/>
  <c r="J1414" i="41" s="1"/>
  <c r="J1520" i="41" s="1"/>
  <c r="J1626" i="41" s="1"/>
  <c r="J1732" i="41" s="1"/>
  <c r="J1838" i="41" s="1"/>
  <c r="J1944" i="41" s="1"/>
  <c r="J2050" i="41" s="1"/>
  <c r="J2156" i="41" s="1"/>
  <c r="J2262" i="41" s="1"/>
  <c r="J2368" i="41" s="1"/>
  <c r="L1308" i="41"/>
  <c r="J1309" i="41"/>
  <c r="J1415" i="41" s="1"/>
  <c r="J1521" i="41" s="1"/>
  <c r="J1627" i="41" s="1"/>
  <c r="J1733" i="41" s="1"/>
  <c r="J1839" i="41" s="1"/>
  <c r="J1945" i="41" s="1"/>
  <c r="J2051" i="41" s="1"/>
  <c r="J2157" i="41" s="1"/>
  <c r="J2263" i="41" s="1"/>
  <c r="J2369" i="41" s="1"/>
  <c r="L1309" i="41"/>
  <c r="J1310" i="41"/>
  <c r="J1416" i="41" s="1"/>
  <c r="J1522" i="41" s="1"/>
  <c r="J1628" i="41" s="1"/>
  <c r="J1734" i="41" s="1"/>
  <c r="J1840" i="41" s="1"/>
  <c r="J1946" i="41" s="1"/>
  <c r="J2052" i="41" s="1"/>
  <c r="J2158" i="41" s="1"/>
  <c r="J2264" i="41" s="1"/>
  <c r="J2370" i="41" s="1"/>
  <c r="L1310" i="41"/>
  <c r="J1311" i="41"/>
  <c r="J1417" i="41" s="1"/>
  <c r="J1523" i="41" s="1"/>
  <c r="J1629" i="41" s="1"/>
  <c r="J1735" i="41" s="1"/>
  <c r="J1841" i="41" s="1"/>
  <c r="J1947" i="41" s="1"/>
  <c r="J2053" i="41" s="1"/>
  <c r="J2159" i="41" s="1"/>
  <c r="J2265" i="41" s="1"/>
  <c r="J2371" i="41" s="1"/>
  <c r="L1311" i="41"/>
  <c r="J1312" i="41"/>
  <c r="J1418" i="41" s="1"/>
  <c r="J1524" i="41" s="1"/>
  <c r="J1630" i="41" s="1"/>
  <c r="J1736" i="41" s="1"/>
  <c r="J1842" i="41" s="1"/>
  <c r="J1948" i="41" s="1"/>
  <c r="J2054" i="41" s="1"/>
  <c r="J2160" i="41" s="1"/>
  <c r="J2266" i="41" s="1"/>
  <c r="J2372" i="41" s="1"/>
  <c r="L1312" i="41"/>
  <c r="E1313" i="41"/>
  <c r="F1313" i="41"/>
  <c r="M1313" i="41"/>
  <c r="A1320" i="41"/>
  <c r="A1321" i="41"/>
  <c r="I1333" i="41"/>
  <c r="D1334" i="41"/>
  <c r="E1334" i="41"/>
  <c r="F1334" i="41"/>
  <c r="G1334" i="41"/>
  <c r="I1334" i="41"/>
  <c r="J1334" i="41"/>
  <c r="K1334" i="41"/>
  <c r="L1334" i="41"/>
  <c r="M1334" i="41"/>
  <c r="N1334" i="41"/>
  <c r="A1337" i="41"/>
  <c r="A1338" i="41" s="1"/>
  <c r="A1339" i="41" s="1"/>
  <c r="A1340" i="41" s="1"/>
  <c r="A1341" i="41" s="1"/>
  <c r="A1342" i="41" s="1"/>
  <c r="A1343" i="41" s="1"/>
  <c r="A1345" i="41" s="1"/>
  <c r="A1346" i="41" s="1"/>
  <c r="A1347" i="41" s="1"/>
  <c r="A1349" i="41" s="1"/>
  <c r="A1350" i="41" s="1"/>
  <c r="A1351" i="41" s="1"/>
  <c r="A1352" i="41" s="1"/>
  <c r="A1353" i="41" s="1"/>
  <c r="A1354" i="41" s="1"/>
  <c r="A1355" i="41" s="1"/>
  <c r="A1356" i="41" s="1"/>
  <c r="A1357" i="41" s="1"/>
  <c r="A1358" i="41" s="1"/>
  <c r="A1359" i="41" s="1"/>
  <c r="A1360" i="41" s="1"/>
  <c r="A1361" i="41" s="1"/>
  <c r="A1367" i="41" s="1"/>
  <c r="A1368" i="41" s="1"/>
  <c r="A1369" i="41" s="1"/>
  <c r="A1370" i="41" s="1"/>
  <c r="A1371" i="41" s="1"/>
  <c r="L1338" i="41"/>
  <c r="L1339" i="41"/>
  <c r="L1340" i="41"/>
  <c r="L1341" i="41"/>
  <c r="L1342" i="41"/>
  <c r="E1343" i="41"/>
  <c r="F1343" i="41"/>
  <c r="M1343" i="41"/>
  <c r="L1346" i="41"/>
  <c r="L1347" i="41" s="1"/>
  <c r="E1347" i="41"/>
  <c r="F1347" i="41"/>
  <c r="K1347" i="41"/>
  <c r="M1347" i="41"/>
  <c r="L1350" i="41"/>
  <c r="L1351" i="41"/>
  <c r="L1352" i="41"/>
  <c r="L1353" i="41"/>
  <c r="L1354" i="41"/>
  <c r="L1355" i="41"/>
  <c r="L1356" i="41"/>
  <c r="L1357" i="41"/>
  <c r="L1358" i="41"/>
  <c r="L1359" i="41"/>
  <c r="L1360" i="41"/>
  <c r="L1366" i="41"/>
  <c r="L1367" i="41"/>
  <c r="L1368" i="41"/>
  <c r="L1369" i="41"/>
  <c r="L1370" i="41"/>
  <c r="L1371" i="41"/>
  <c r="A1373" i="41"/>
  <c r="A1374" i="41"/>
  <c r="A1380" i="41"/>
  <c r="D1387" i="41"/>
  <c r="E1387" i="41"/>
  <c r="F1387" i="41"/>
  <c r="G1387" i="41"/>
  <c r="I1387" i="41"/>
  <c r="J1387" i="41"/>
  <c r="K1387" i="41"/>
  <c r="L1387" i="41"/>
  <c r="M1387" i="41"/>
  <c r="N1387" i="41"/>
  <c r="L1390" i="41"/>
  <c r="A1391" i="41"/>
  <c r="A1392" i="41" s="1"/>
  <c r="A1393" i="41" s="1"/>
  <c r="A1394" i="41" s="1"/>
  <c r="A1395" i="41" s="1"/>
  <c r="A1396" i="41" s="1"/>
  <c r="A1397" i="41" s="1"/>
  <c r="A1398" i="41" s="1"/>
  <c r="A1399" i="41" s="1"/>
  <c r="A1400" i="41" s="1"/>
  <c r="A1401" i="41" s="1"/>
  <c r="A1402" i="41" s="1"/>
  <c r="A1404" i="41" s="1"/>
  <c r="A1405" i="41" s="1"/>
  <c r="A1406" i="41" s="1"/>
  <c r="A1407" i="41" s="1"/>
  <c r="A1408" i="41" s="1"/>
  <c r="A1409" i="41" s="1"/>
  <c r="A1410" i="41" s="1"/>
  <c r="A1411" i="41" s="1"/>
  <c r="A1412" i="41" s="1"/>
  <c r="A1413" i="41" s="1"/>
  <c r="A1414" i="41" s="1"/>
  <c r="A1415" i="41" s="1"/>
  <c r="A1416" i="41" s="1"/>
  <c r="A1417" i="41" s="1"/>
  <c r="A1418" i="41" s="1"/>
  <c r="A1419" i="41" s="1"/>
  <c r="A1421" i="41" s="1"/>
  <c r="A1422" i="41" s="1"/>
  <c r="L1391" i="41"/>
  <c r="L1392" i="41"/>
  <c r="L1393" i="41"/>
  <c r="L1394" i="41"/>
  <c r="L1395" i="41"/>
  <c r="L1396" i="41"/>
  <c r="L1397" i="41"/>
  <c r="L1398" i="41"/>
  <c r="L1399" i="41"/>
  <c r="L1400" i="41"/>
  <c r="L1401" i="41"/>
  <c r="E1402" i="41"/>
  <c r="F1402" i="41"/>
  <c r="M1402" i="41"/>
  <c r="L1405" i="41"/>
  <c r="L1406" i="41"/>
  <c r="L1407" i="41"/>
  <c r="L1408" i="41"/>
  <c r="L1409" i="41"/>
  <c r="L1410" i="41"/>
  <c r="L1411" i="41"/>
  <c r="L1412" i="41"/>
  <c r="L1413" i="41"/>
  <c r="L1414" i="41"/>
  <c r="L1415" i="41"/>
  <c r="L1416" i="41"/>
  <c r="L1417" i="41"/>
  <c r="L1418" i="41"/>
  <c r="E1419" i="41"/>
  <c r="F1419" i="41"/>
  <c r="M1419" i="41"/>
  <c r="A1426" i="41"/>
  <c r="A1427" i="41"/>
  <c r="D1492" i="41"/>
  <c r="I1492" i="41" s="1"/>
  <c r="G1492" i="41"/>
  <c r="N1492" i="41" s="1"/>
  <c r="I1439" i="41"/>
  <c r="D1440" i="41"/>
  <c r="E1440" i="41"/>
  <c r="F1440" i="41"/>
  <c r="G1440" i="41"/>
  <c r="I1440" i="41"/>
  <c r="J1440" i="41"/>
  <c r="K1440" i="41"/>
  <c r="L1440" i="41"/>
  <c r="M1440" i="41"/>
  <c r="N1440" i="41"/>
  <c r="A1443" i="41"/>
  <c r="A1444" i="41" s="1"/>
  <c r="A1445" i="41" s="1"/>
  <c r="A1446" i="41" s="1"/>
  <c r="A1447" i="41" s="1"/>
  <c r="A1448" i="41" s="1"/>
  <c r="A1449" i="41" s="1"/>
  <c r="A1451" i="41" s="1"/>
  <c r="A1452" i="41" s="1"/>
  <c r="A1453" i="41" s="1"/>
  <c r="A1455" i="41" s="1"/>
  <c r="A1456" i="41" s="1"/>
  <c r="A1457" i="41" s="1"/>
  <c r="A1458" i="41" s="1"/>
  <c r="A1459" i="41" s="1"/>
  <c r="A1460" i="41" s="1"/>
  <c r="A1461" i="41" s="1"/>
  <c r="A1462" i="41" s="1"/>
  <c r="A1463" i="41" s="1"/>
  <c r="A1464" i="41" s="1"/>
  <c r="A1465" i="41" s="1"/>
  <c r="A1466" i="41" s="1"/>
  <c r="A1467" i="41" s="1"/>
  <c r="A1473" i="41" s="1"/>
  <c r="A1474" i="41" s="1"/>
  <c r="A1475" i="41" s="1"/>
  <c r="A1476" i="41" s="1"/>
  <c r="A1477" i="41" s="1"/>
  <c r="L1444" i="41"/>
  <c r="L1445" i="41"/>
  <c r="L1446" i="41"/>
  <c r="L1447" i="41"/>
  <c r="L1448" i="41"/>
  <c r="E1449" i="41"/>
  <c r="F1449" i="41"/>
  <c r="M1449" i="41"/>
  <c r="L1452" i="41"/>
  <c r="L1453" i="41" s="1"/>
  <c r="E1453" i="41"/>
  <c r="F1453" i="41"/>
  <c r="K1453" i="41"/>
  <c r="M1453" i="41"/>
  <c r="L1456" i="41"/>
  <c r="L1457" i="41"/>
  <c r="L1458" i="41"/>
  <c r="L1459" i="41"/>
  <c r="L1460" i="41"/>
  <c r="L1461" i="41"/>
  <c r="L1462" i="41"/>
  <c r="L1463" i="41"/>
  <c r="L1464" i="41"/>
  <c r="L1465" i="41"/>
  <c r="L1466" i="41"/>
  <c r="L1472" i="41"/>
  <c r="L1473" i="41"/>
  <c r="L1474" i="41"/>
  <c r="L1475" i="41"/>
  <c r="L1476" i="41"/>
  <c r="L1477" i="41"/>
  <c r="A1479" i="41"/>
  <c r="A1480" i="41"/>
  <c r="A1486" i="41"/>
  <c r="D1493" i="41"/>
  <c r="E1493" i="41"/>
  <c r="F1493" i="41"/>
  <c r="G1493" i="41"/>
  <c r="I1493" i="41"/>
  <c r="J1493" i="41"/>
  <c r="K1493" i="41"/>
  <c r="L1493" i="41"/>
  <c r="M1493" i="41"/>
  <c r="N1493" i="41"/>
  <c r="L1496" i="41"/>
  <c r="A1497" i="41"/>
  <c r="A1498" i="41" s="1"/>
  <c r="A1499" i="41" s="1"/>
  <c r="A1500" i="41" s="1"/>
  <c r="A1501" i="41" s="1"/>
  <c r="A1502" i="41" s="1"/>
  <c r="A1503" i="41" s="1"/>
  <c r="A1504" i="41" s="1"/>
  <c r="A1505" i="41" s="1"/>
  <c r="A1506" i="41" s="1"/>
  <c r="A1507" i="41" s="1"/>
  <c r="A1508" i="41" s="1"/>
  <c r="A1510" i="41" s="1"/>
  <c r="A1511" i="41" s="1"/>
  <c r="A1512" i="41" s="1"/>
  <c r="A1513" i="41" s="1"/>
  <c r="A1514" i="41" s="1"/>
  <c r="A1515" i="41" s="1"/>
  <c r="A1516" i="41" s="1"/>
  <c r="A1517" i="41" s="1"/>
  <c r="A1518" i="41" s="1"/>
  <c r="A1519" i="41" s="1"/>
  <c r="A1520" i="41" s="1"/>
  <c r="A1521" i="41" s="1"/>
  <c r="A1522" i="41" s="1"/>
  <c r="A1523" i="41" s="1"/>
  <c r="A1524" i="41" s="1"/>
  <c r="A1525" i="41" s="1"/>
  <c r="A1527" i="41" s="1"/>
  <c r="A1528" i="41" s="1"/>
  <c r="L1497" i="41"/>
  <c r="L1498" i="41"/>
  <c r="L1499" i="41"/>
  <c r="L1500" i="41"/>
  <c r="L1501" i="41"/>
  <c r="L1502" i="41"/>
  <c r="L1503" i="41"/>
  <c r="L1504" i="41"/>
  <c r="L1505" i="41"/>
  <c r="L1506" i="41"/>
  <c r="L1507" i="41"/>
  <c r="E1508" i="41"/>
  <c r="F1508" i="41"/>
  <c r="M1508" i="41"/>
  <c r="L1511" i="41"/>
  <c r="L1512" i="41"/>
  <c r="L1513" i="41"/>
  <c r="L1514" i="41"/>
  <c r="L1515" i="41"/>
  <c r="L1516" i="41"/>
  <c r="L1517" i="41"/>
  <c r="L1518" i="41"/>
  <c r="L1519" i="41"/>
  <c r="L1520" i="41"/>
  <c r="L1521" i="41"/>
  <c r="L1522" i="41"/>
  <c r="L1523" i="41"/>
  <c r="L1524" i="41"/>
  <c r="E1525" i="41"/>
  <c r="F1525" i="41"/>
  <c r="M1525" i="41"/>
  <c r="A1532" i="41"/>
  <c r="A1533" i="41"/>
  <c r="D1598" i="41"/>
  <c r="I1598" i="41" s="1"/>
  <c r="I1545" i="41"/>
  <c r="G1598" i="41"/>
  <c r="N1598" i="41" s="1"/>
  <c r="D1546" i="41"/>
  <c r="E1546" i="41"/>
  <c r="F1546" i="41"/>
  <c r="G1546" i="41"/>
  <c r="I1546" i="41"/>
  <c r="J1546" i="41"/>
  <c r="K1546" i="41"/>
  <c r="L1546" i="41"/>
  <c r="M1546" i="41"/>
  <c r="N1546" i="41"/>
  <c r="A1549" i="41"/>
  <c r="A1550" i="41" s="1"/>
  <c r="A1551" i="41" s="1"/>
  <c r="A1552" i="41" s="1"/>
  <c r="A1553" i="41" s="1"/>
  <c r="A1554" i="41" s="1"/>
  <c r="A1555" i="41" s="1"/>
  <c r="A1557" i="41" s="1"/>
  <c r="A1558" i="41" s="1"/>
  <c r="A1559" i="41" s="1"/>
  <c r="A1561" i="41" s="1"/>
  <c r="A1562" i="41" s="1"/>
  <c r="A1563" i="41" s="1"/>
  <c r="A1564" i="41" s="1"/>
  <c r="A1565" i="41" s="1"/>
  <c r="A1566" i="41" s="1"/>
  <c r="A1567" i="41" s="1"/>
  <c r="A1568" i="41" s="1"/>
  <c r="A1569" i="41" s="1"/>
  <c r="A1570" i="41" s="1"/>
  <c r="A1571" i="41" s="1"/>
  <c r="A1572" i="41" s="1"/>
  <c r="A1573" i="41" s="1"/>
  <c r="A1579" i="41" s="1"/>
  <c r="A1580" i="41" s="1"/>
  <c r="A1581" i="41" s="1"/>
  <c r="A1582" i="41" s="1"/>
  <c r="A1583" i="41" s="1"/>
  <c r="L1550" i="41"/>
  <c r="L1551" i="41"/>
  <c r="L1552" i="41"/>
  <c r="L1553" i="41"/>
  <c r="L1554" i="41"/>
  <c r="E1555" i="41"/>
  <c r="F1555" i="41"/>
  <c r="M1555" i="41"/>
  <c r="L1558" i="41"/>
  <c r="L1559" i="41" s="1"/>
  <c r="E1559" i="41"/>
  <c r="F1559" i="41"/>
  <c r="K1559" i="41"/>
  <c r="M1559" i="41"/>
  <c r="L1562" i="41"/>
  <c r="L1563" i="41"/>
  <c r="L1564" i="41"/>
  <c r="L1565" i="41"/>
  <c r="L1566" i="41"/>
  <c r="L1567" i="41"/>
  <c r="L1568" i="41"/>
  <c r="L1569" i="41"/>
  <c r="L1570" i="41"/>
  <c r="L1571" i="41"/>
  <c r="L1572" i="41"/>
  <c r="L1578" i="41"/>
  <c r="L1579" i="41"/>
  <c r="L1580" i="41"/>
  <c r="L1581" i="41"/>
  <c r="L1582" i="41"/>
  <c r="L1583" i="41"/>
  <c r="A1585" i="41"/>
  <c r="A1586" i="41"/>
  <c r="A1592" i="41"/>
  <c r="D1599" i="41"/>
  <c r="E1599" i="41"/>
  <c r="F1599" i="41"/>
  <c r="G1599" i="41"/>
  <c r="I1599" i="41"/>
  <c r="J1599" i="41"/>
  <c r="K1599" i="41"/>
  <c r="L1599" i="41"/>
  <c r="M1599" i="41"/>
  <c r="N1599" i="41"/>
  <c r="L1602" i="41"/>
  <c r="A1603" i="41"/>
  <c r="A1604" i="41" s="1"/>
  <c r="A1605" i="41" s="1"/>
  <c r="A1606" i="41" s="1"/>
  <c r="A1607" i="41" s="1"/>
  <c r="A1608" i="41" s="1"/>
  <c r="A1609" i="41" s="1"/>
  <c r="A1610" i="41" s="1"/>
  <c r="A1611" i="41" s="1"/>
  <c r="A1612" i="41" s="1"/>
  <c r="A1613" i="41" s="1"/>
  <c r="A1614" i="41" s="1"/>
  <c r="A1616" i="41" s="1"/>
  <c r="A1617" i="41" s="1"/>
  <c r="A1618" i="41" s="1"/>
  <c r="A1619" i="41" s="1"/>
  <c r="A1620" i="41" s="1"/>
  <c r="A1621" i="41" s="1"/>
  <c r="A1622" i="41" s="1"/>
  <c r="A1623" i="41" s="1"/>
  <c r="A1624" i="41" s="1"/>
  <c r="A1625" i="41" s="1"/>
  <c r="A1626" i="41" s="1"/>
  <c r="A1627" i="41" s="1"/>
  <c r="A1628" i="41" s="1"/>
  <c r="A1629" i="41" s="1"/>
  <c r="A1630" i="41" s="1"/>
  <c r="A1631" i="41" s="1"/>
  <c r="A1633" i="41" s="1"/>
  <c r="A1634" i="41" s="1"/>
  <c r="L1603" i="41"/>
  <c r="L1604" i="41"/>
  <c r="L1605" i="41"/>
  <c r="L1606" i="41"/>
  <c r="L1607" i="41"/>
  <c r="L1608" i="41"/>
  <c r="L1609" i="41"/>
  <c r="L1610" i="41"/>
  <c r="L1611" i="41"/>
  <c r="L1612" i="41"/>
  <c r="L1613" i="41"/>
  <c r="E1614" i="41"/>
  <c r="F1614" i="41"/>
  <c r="M1614" i="41"/>
  <c r="L1617" i="41"/>
  <c r="L1618" i="41"/>
  <c r="L1619" i="41"/>
  <c r="L1620" i="41"/>
  <c r="L1621" i="41"/>
  <c r="L1622" i="41"/>
  <c r="L1623" i="41"/>
  <c r="L1624" i="41"/>
  <c r="L1625" i="41"/>
  <c r="L1626" i="41"/>
  <c r="L1627" i="41"/>
  <c r="L1628" i="41"/>
  <c r="L1629" i="41"/>
  <c r="L1630" i="41"/>
  <c r="E1631" i="41"/>
  <c r="F1631" i="41"/>
  <c r="M1631" i="41"/>
  <c r="A1638" i="41"/>
  <c r="A1639" i="41"/>
  <c r="I1651" i="41"/>
  <c r="D1652" i="41"/>
  <c r="E1652" i="41"/>
  <c r="F1652" i="41"/>
  <c r="G1652" i="41"/>
  <c r="I1652" i="41"/>
  <c r="J1652" i="41"/>
  <c r="K1652" i="41"/>
  <c r="L1652" i="41"/>
  <c r="M1652" i="41"/>
  <c r="N1652" i="41"/>
  <c r="A1655" i="41"/>
  <c r="A1656" i="41" s="1"/>
  <c r="A1657" i="41" s="1"/>
  <c r="A1658" i="41" s="1"/>
  <c r="A1659" i="41" s="1"/>
  <c r="A1660" i="41" s="1"/>
  <c r="A1661" i="41" s="1"/>
  <c r="A1663" i="41" s="1"/>
  <c r="A1664" i="41" s="1"/>
  <c r="A1665" i="41" s="1"/>
  <c r="A1667" i="41" s="1"/>
  <c r="A1668" i="41" s="1"/>
  <c r="A1669" i="41" s="1"/>
  <c r="A1670" i="41" s="1"/>
  <c r="A1671" i="41" s="1"/>
  <c r="A1672" i="41" s="1"/>
  <c r="A1673" i="41" s="1"/>
  <c r="A1674" i="41" s="1"/>
  <c r="A1675" i="41" s="1"/>
  <c r="A1676" i="41" s="1"/>
  <c r="A1677" i="41" s="1"/>
  <c r="A1678" i="41" s="1"/>
  <c r="A1679" i="41" s="1"/>
  <c r="A1685" i="41" s="1"/>
  <c r="A1686" i="41" s="1"/>
  <c r="A1687" i="41" s="1"/>
  <c r="A1688" i="41" s="1"/>
  <c r="A1689" i="41" s="1"/>
  <c r="L1656" i="41"/>
  <c r="L1657" i="41"/>
  <c r="L1658" i="41"/>
  <c r="L1659" i="41"/>
  <c r="L1660" i="41"/>
  <c r="E1661" i="41"/>
  <c r="F1661" i="41"/>
  <c r="M1661" i="41"/>
  <c r="L1664" i="41"/>
  <c r="L1665" i="41" s="1"/>
  <c r="E1665" i="41"/>
  <c r="F1665" i="41"/>
  <c r="K1665" i="41"/>
  <c r="M1665" i="41"/>
  <c r="L1668" i="41"/>
  <c r="L1669" i="41"/>
  <c r="L1670" i="41"/>
  <c r="L1671" i="41"/>
  <c r="L1672" i="41"/>
  <c r="L1673" i="41"/>
  <c r="L1674" i="41"/>
  <c r="L1675" i="41"/>
  <c r="L1676" i="41"/>
  <c r="L1677" i="41"/>
  <c r="L1678" i="41"/>
  <c r="L1684" i="41"/>
  <c r="L1685" i="41"/>
  <c r="L1686" i="41"/>
  <c r="L1687" i="41"/>
  <c r="L1688" i="41"/>
  <c r="L1689" i="41"/>
  <c r="A1691" i="41"/>
  <c r="A1692" i="41"/>
  <c r="A1698" i="41"/>
  <c r="D1705" i="41"/>
  <c r="E1705" i="41"/>
  <c r="F1705" i="41"/>
  <c r="G1705" i="41"/>
  <c r="I1705" i="41"/>
  <c r="J1705" i="41"/>
  <c r="K1705" i="41"/>
  <c r="L1705" i="41"/>
  <c r="M1705" i="41"/>
  <c r="N1705" i="41"/>
  <c r="L1708" i="41"/>
  <c r="A1709" i="41"/>
  <c r="A1710" i="41" s="1"/>
  <c r="A1711" i="41" s="1"/>
  <c r="A1712" i="41" s="1"/>
  <c r="A1713" i="41" s="1"/>
  <c r="A1714" i="41" s="1"/>
  <c r="A1715" i="41" s="1"/>
  <c r="A1716" i="41" s="1"/>
  <c r="A1717" i="41" s="1"/>
  <c r="A1718" i="41" s="1"/>
  <c r="A1719" i="41" s="1"/>
  <c r="A1720" i="41" s="1"/>
  <c r="A1722" i="41" s="1"/>
  <c r="A1723" i="41" s="1"/>
  <c r="A1724" i="41" s="1"/>
  <c r="A1725" i="41" s="1"/>
  <c r="A1726" i="41" s="1"/>
  <c r="A1727" i="41" s="1"/>
  <c r="A1728" i="41" s="1"/>
  <c r="A1729" i="41" s="1"/>
  <c r="A1730" i="41" s="1"/>
  <c r="A1731" i="41" s="1"/>
  <c r="A1732" i="41" s="1"/>
  <c r="A1733" i="41" s="1"/>
  <c r="A1734" i="41" s="1"/>
  <c r="A1735" i="41" s="1"/>
  <c r="A1736" i="41" s="1"/>
  <c r="A1737" i="41" s="1"/>
  <c r="A1739" i="41" s="1"/>
  <c r="A1740" i="41" s="1"/>
  <c r="L1709" i="41"/>
  <c r="L1710" i="41"/>
  <c r="L1711" i="41"/>
  <c r="L1712" i="41"/>
  <c r="L1713" i="41"/>
  <c r="L1714" i="41"/>
  <c r="L1715" i="41"/>
  <c r="L1716" i="41"/>
  <c r="L1717" i="41"/>
  <c r="L1718" i="41"/>
  <c r="L1719" i="41"/>
  <c r="E1720" i="41"/>
  <c r="F1720" i="41"/>
  <c r="M1720" i="41"/>
  <c r="L1723" i="41"/>
  <c r="L1724" i="41"/>
  <c r="L1725" i="41"/>
  <c r="L1726" i="41"/>
  <c r="L1727" i="41"/>
  <c r="L1728" i="41"/>
  <c r="L1729" i="41"/>
  <c r="L1730" i="41"/>
  <c r="L1731" i="41"/>
  <c r="L1732" i="41"/>
  <c r="L1733" i="41"/>
  <c r="L1734" i="41"/>
  <c r="L1735" i="41"/>
  <c r="L1736" i="41"/>
  <c r="E1737" i="41"/>
  <c r="F1737" i="41"/>
  <c r="M1737" i="41"/>
  <c r="A1744" i="41"/>
  <c r="A1745" i="41"/>
  <c r="I1757" i="41"/>
  <c r="N1757" i="41"/>
  <c r="D1758" i="41"/>
  <c r="E1758" i="41"/>
  <c r="F1758" i="41"/>
  <c r="G1758" i="41"/>
  <c r="I1758" i="41"/>
  <c r="J1758" i="41"/>
  <c r="K1758" i="41"/>
  <c r="L1758" i="41"/>
  <c r="M1758" i="41"/>
  <c r="N1758" i="41"/>
  <c r="A1761" i="41"/>
  <c r="A1762" i="41" s="1"/>
  <c r="A1763" i="41" s="1"/>
  <c r="A1764" i="41" s="1"/>
  <c r="A1765" i="41" s="1"/>
  <c r="A1766" i="41" s="1"/>
  <c r="A1767" i="41" s="1"/>
  <c r="A1769" i="41" s="1"/>
  <c r="A1770" i="41" s="1"/>
  <c r="A1771" i="41" s="1"/>
  <c r="A1773" i="41" s="1"/>
  <c r="A1774" i="41" s="1"/>
  <c r="A1775" i="41" s="1"/>
  <c r="A1776" i="41" s="1"/>
  <c r="A1777" i="41" s="1"/>
  <c r="A1778" i="41" s="1"/>
  <c r="A1779" i="41" s="1"/>
  <c r="A1780" i="41" s="1"/>
  <c r="A1781" i="41" s="1"/>
  <c r="A1782" i="41" s="1"/>
  <c r="A1783" i="41" s="1"/>
  <c r="A1784" i="41" s="1"/>
  <c r="A1785" i="41" s="1"/>
  <c r="A1791" i="41" s="1"/>
  <c r="A1792" i="41" s="1"/>
  <c r="A1793" i="41" s="1"/>
  <c r="A1794" i="41" s="1"/>
  <c r="A1795" i="41" s="1"/>
  <c r="L1762" i="41"/>
  <c r="L1763" i="41"/>
  <c r="L1764" i="41"/>
  <c r="L1765" i="41"/>
  <c r="L1766" i="41"/>
  <c r="E1767" i="41"/>
  <c r="F1767" i="41"/>
  <c r="M1767" i="41"/>
  <c r="L1770" i="41"/>
  <c r="L1771" i="41" s="1"/>
  <c r="E1771" i="41"/>
  <c r="F1771" i="41"/>
  <c r="K1771" i="41"/>
  <c r="M1771" i="41"/>
  <c r="L1774" i="41"/>
  <c r="L1775" i="41"/>
  <c r="L1776" i="41"/>
  <c r="L1777" i="41"/>
  <c r="L1778" i="41"/>
  <c r="L1779" i="41"/>
  <c r="L1780" i="41"/>
  <c r="L1781" i="41"/>
  <c r="L1782" i="41"/>
  <c r="L1783" i="41"/>
  <c r="L1784" i="41"/>
  <c r="L1790" i="41"/>
  <c r="L1791" i="41"/>
  <c r="L1792" i="41"/>
  <c r="L1793" i="41"/>
  <c r="L1794" i="41"/>
  <c r="L1795" i="41"/>
  <c r="A1797" i="41"/>
  <c r="A1798" i="41"/>
  <c r="A1804" i="41"/>
  <c r="D1811" i="41"/>
  <c r="E1811" i="41"/>
  <c r="F1811" i="41"/>
  <c r="G1811" i="41"/>
  <c r="I1811" i="41"/>
  <c r="J1811" i="41"/>
  <c r="K1811" i="41"/>
  <c r="L1811" i="41"/>
  <c r="M1811" i="41"/>
  <c r="N1811" i="41"/>
  <c r="L1814" i="41"/>
  <c r="A1815" i="41"/>
  <c r="A1816" i="41" s="1"/>
  <c r="A1817" i="41" s="1"/>
  <c r="A1818" i="41" s="1"/>
  <c r="A1819" i="41" s="1"/>
  <c r="A1820" i="41" s="1"/>
  <c r="A1821" i="41" s="1"/>
  <c r="A1822" i="41" s="1"/>
  <c r="A1823" i="41" s="1"/>
  <c r="A1824" i="41" s="1"/>
  <c r="A1825" i="41" s="1"/>
  <c r="A1826" i="41" s="1"/>
  <c r="A1828" i="41" s="1"/>
  <c r="A1829" i="41" s="1"/>
  <c r="A1830" i="41" s="1"/>
  <c r="A1831" i="41" s="1"/>
  <c r="A1832" i="41" s="1"/>
  <c r="A1833" i="41" s="1"/>
  <c r="A1834" i="41" s="1"/>
  <c r="A1835" i="41" s="1"/>
  <c r="A1836" i="41" s="1"/>
  <c r="A1837" i="41" s="1"/>
  <c r="A1838" i="41" s="1"/>
  <c r="A1839" i="41" s="1"/>
  <c r="A1840" i="41" s="1"/>
  <c r="A1841" i="41" s="1"/>
  <c r="A1842" i="41" s="1"/>
  <c r="A1843" i="41" s="1"/>
  <c r="A1845" i="41" s="1"/>
  <c r="A1846" i="41" s="1"/>
  <c r="L1815" i="41"/>
  <c r="L1816" i="41"/>
  <c r="L1817" i="41"/>
  <c r="L1818" i="41"/>
  <c r="L1819" i="41"/>
  <c r="L1820" i="41"/>
  <c r="L1821" i="41"/>
  <c r="L1822" i="41"/>
  <c r="L1823" i="41"/>
  <c r="L1824" i="41"/>
  <c r="L1825" i="41"/>
  <c r="E1826" i="41"/>
  <c r="F1826" i="41"/>
  <c r="M1826" i="41"/>
  <c r="L1829" i="41"/>
  <c r="L1830" i="41"/>
  <c r="L1831" i="41"/>
  <c r="L1832" i="41"/>
  <c r="L1833" i="41"/>
  <c r="L1834" i="41"/>
  <c r="L1835" i="41"/>
  <c r="L1836" i="41"/>
  <c r="L1837" i="41"/>
  <c r="L1838" i="41"/>
  <c r="L1839" i="41"/>
  <c r="L1840" i="41"/>
  <c r="L1841" i="41"/>
  <c r="L1842" i="41"/>
  <c r="E1843" i="41"/>
  <c r="F1843" i="41"/>
  <c r="M1843" i="41"/>
  <c r="A1850" i="41"/>
  <c r="A1851" i="41"/>
  <c r="I1863" i="41"/>
  <c r="N1863" i="41"/>
  <c r="D1864" i="41"/>
  <c r="E1864" i="41"/>
  <c r="F1864" i="41"/>
  <c r="G1864" i="41"/>
  <c r="I1864" i="41"/>
  <c r="J1864" i="41"/>
  <c r="K1864" i="41"/>
  <c r="L1864" i="41"/>
  <c r="M1864" i="41"/>
  <c r="N1864" i="41"/>
  <c r="A1867" i="41"/>
  <c r="A1868" i="41" s="1"/>
  <c r="A1869" i="41" s="1"/>
  <c r="A1870" i="41" s="1"/>
  <c r="A1871" i="41" s="1"/>
  <c r="A1872" i="41" s="1"/>
  <c r="A1873" i="41" s="1"/>
  <c r="A1875" i="41" s="1"/>
  <c r="A1876" i="41" s="1"/>
  <c r="A1877" i="41" s="1"/>
  <c r="A1879" i="41" s="1"/>
  <c r="A1880" i="41" s="1"/>
  <c r="A1881" i="41" s="1"/>
  <c r="A1882" i="41" s="1"/>
  <c r="A1883" i="41" s="1"/>
  <c r="A1884" i="41" s="1"/>
  <c r="A1885" i="41" s="1"/>
  <c r="A1886" i="41" s="1"/>
  <c r="A1887" i="41" s="1"/>
  <c r="A1888" i="41" s="1"/>
  <c r="A1889" i="41" s="1"/>
  <c r="A1890" i="41" s="1"/>
  <c r="A1891" i="41" s="1"/>
  <c r="A1897" i="41" s="1"/>
  <c r="A1898" i="41" s="1"/>
  <c r="A1899" i="41" s="1"/>
  <c r="A1900" i="41" s="1"/>
  <c r="A1901" i="41" s="1"/>
  <c r="L1868" i="41"/>
  <c r="K1869" i="41"/>
  <c r="L1869" i="41"/>
  <c r="L1870" i="41"/>
  <c r="L1871" i="41"/>
  <c r="L1872" i="41"/>
  <c r="E1873" i="41"/>
  <c r="F1873" i="41"/>
  <c r="M1873" i="41"/>
  <c r="L1876" i="41"/>
  <c r="L1877" i="41" s="1"/>
  <c r="E1877" i="41"/>
  <c r="F1877" i="41"/>
  <c r="K1877" i="41"/>
  <c r="M1877" i="41"/>
  <c r="L1880" i="41"/>
  <c r="L1881" i="41"/>
  <c r="L1882" i="41"/>
  <c r="L1883" i="41"/>
  <c r="L1884" i="41"/>
  <c r="L1885" i="41"/>
  <c r="L1886" i="41"/>
  <c r="L1887" i="41"/>
  <c r="L1888" i="41"/>
  <c r="L1889" i="41"/>
  <c r="L1890" i="41"/>
  <c r="L1896" i="41"/>
  <c r="L1897" i="41"/>
  <c r="L1898" i="41"/>
  <c r="L1899" i="41"/>
  <c r="L1900" i="41"/>
  <c r="L1901" i="41"/>
  <c r="A1903" i="41"/>
  <c r="A1904" i="41"/>
  <c r="A1910" i="41"/>
  <c r="D1917" i="41"/>
  <c r="E1917" i="41"/>
  <c r="F1917" i="41"/>
  <c r="G1917" i="41"/>
  <c r="I1917" i="41"/>
  <c r="J1917" i="41"/>
  <c r="K1917" i="41"/>
  <c r="L1917" i="41"/>
  <c r="M1917" i="41"/>
  <c r="N1917" i="41"/>
  <c r="L1920" i="41"/>
  <c r="A1921" i="41"/>
  <c r="A1922" i="41" s="1"/>
  <c r="A1923" i="41" s="1"/>
  <c r="A1924" i="41" s="1"/>
  <c r="A1925" i="41" s="1"/>
  <c r="A1926" i="41" s="1"/>
  <c r="A1927" i="41" s="1"/>
  <c r="A1928" i="41" s="1"/>
  <c r="A1929" i="41" s="1"/>
  <c r="A1930" i="41" s="1"/>
  <c r="A1931" i="41" s="1"/>
  <c r="A1932" i="41" s="1"/>
  <c r="A1934" i="41" s="1"/>
  <c r="A1935" i="41" s="1"/>
  <c r="A1936" i="41" s="1"/>
  <c r="A1937" i="41" s="1"/>
  <c r="A1938" i="41" s="1"/>
  <c r="A1939" i="41" s="1"/>
  <c r="A1940" i="41" s="1"/>
  <c r="A1941" i="41" s="1"/>
  <c r="A1942" i="41" s="1"/>
  <c r="A1943" i="41" s="1"/>
  <c r="A1944" i="41" s="1"/>
  <c r="A1945" i="41" s="1"/>
  <c r="A1946" i="41" s="1"/>
  <c r="A1947" i="41" s="1"/>
  <c r="A1948" i="41" s="1"/>
  <c r="A1949" i="41" s="1"/>
  <c r="A1951" i="41" s="1"/>
  <c r="A1952" i="41" s="1"/>
  <c r="L1921" i="41"/>
  <c r="L1922" i="41"/>
  <c r="L1923" i="41"/>
  <c r="L1924" i="41"/>
  <c r="L1925" i="41"/>
  <c r="L1926" i="41"/>
  <c r="L1927" i="41"/>
  <c r="L1928" i="41"/>
  <c r="L1929" i="41"/>
  <c r="L1930" i="41"/>
  <c r="L1931" i="41"/>
  <c r="E1932" i="41"/>
  <c r="F1932" i="41"/>
  <c r="M1932" i="41"/>
  <c r="L1935" i="41"/>
  <c r="L1936" i="41"/>
  <c r="L1937" i="41"/>
  <c r="L1938" i="41"/>
  <c r="L1939" i="41"/>
  <c r="L1940" i="41"/>
  <c r="L1941" i="41"/>
  <c r="L1942" i="41"/>
  <c r="L1943" i="41"/>
  <c r="L1944" i="41"/>
  <c r="L1945" i="41"/>
  <c r="L1946" i="41"/>
  <c r="L1947" i="41"/>
  <c r="L1948" i="41"/>
  <c r="E1949" i="41"/>
  <c r="F1949" i="41"/>
  <c r="M1949" i="41"/>
  <c r="A1956" i="41"/>
  <c r="A1957" i="41"/>
  <c r="I1969" i="41"/>
  <c r="G2022" i="41"/>
  <c r="N2022" i="41" s="1"/>
  <c r="D1970" i="41"/>
  <c r="E1970" i="41"/>
  <c r="F1970" i="41"/>
  <c r="G1970" i="41"/>
  <c r="I1970" i="41"/>
  <c r="J1970" i="41"/>
  <c r="K1970" i="41"/>
  <c r="L1970" i="41"/>
  <c r="M1970" i="41"/>
  <c r="N1970" i="41"/>
  <c r="A1973" i="41"/>
  <c r="A1974" i="41" s="1"/>
  <c r="A1975" i="41" s="1"/>
  <c r="A1976" i="41" s="1"/>
  <c r="A1977" i="41" s="1"/>
  <c r="A1978" i="41" s="1"/>
  <c r="A1979" i="41" s="1"/>
  <c r="A1981" i="41" s="1"/>
  <c r="A1982" i="41" s="1"/>
  <c r="A1983" i="41" s="1"/>
  <c r="A1985" i="41" s="1"/>
  <c r="A1986" i="41" s="1"/>
  <c r="A1987" i="41" s="1"/>
  <c r="A1988" i="41" s="1"/>
  <c r="A1989" i="41" s="1"/>
  <c r="A1990" i="41" s="1"/>
  <c r="A1991" i="41" s="1"/>
  <c r="A1992" i="41" s="1"/>
  <c r="A1993" i="41" s="1"/>
  <c r="A1994" i="41" s="1"/>
  <c r="A1995" i="41" s="1"/>
  <c r="A1996" i="41" s="1"/>
  <c r="A1997" i="41" s="1"/>
  <c r="A2003" i="41" s="1"/>
  <c r="A2004" i="41" s="1"/>
  <c r="A2005" i="41" s="1"/>
  <c r="A2006" i="41" s="1"/>
  <c r="A2007" i="41" s="1"/>
  <c r="L1974" i="41"/>
  <c r="L1975" i="41"/>
  <c r="L1976" i="41"/>
  <c r="L1977" i="41"/>
  <c r="L1978" i="41"/>
  <c r="E1979" i="41"/>
  <c r="F1979" i="41"/>
  <c r="M1979" i="41"/>
  <c r="L1982" i="41"/>
  <c r="L1983" i="41" s="1"/>
  <c r="E1983" i="41"/>
  <c r="F1983" i="41"/>
  <c r="K1983" i="41"/>
  <c r="M1983" i="41"/>
  <c r="L1986" i="41"/>
  <c r="L1987" i="41"/>
  <c r="L1988" i="41"/>
  <c r="L1989" i="41"/>
  <c r="L1990" i="41"/>
  <c r="L1991" i="41"/>
  <c r="L1992" i="41"/>
  <c r="L1993" i="41"/>
  <c r="L1994" i="41"/>
  <c r="L1995" i="41"/>
  <c r="L1996" i="41"/>
  <c r="L2002" i="41"/>
  <c r="L2003" i="41"/>
  <c r="L2004" i="41"/>
  <c r="L2005" i="41"/>
  <c r="L2006" i="41"/>
  <c r="L2007" i="41"/>
  <c r="A2009" i="41"/>
  <c r="A2010" i="41"/>
  <c r="A2016" i="41"/>
  <c r="D2022" i="41"/>
  <c r="I2022" i="41" s="1"/>
  <c r="D2023" i="41"/>
  <c r="E2023" i="41"/>
  <c r="F2023" i="41"/>
  <c r="G2023" i="41"/>
  <c r="I2023" i="41"/>
  <c r="J2023" i="41"/>
  <c r="K2023" i="41"/>
  <c r="L2023" i="41"/>
  <c r="M2023" i="41"/>
  <c r="N2023" i="41"/>
  <c r="L2026" i="41"/>
  <c r="A2027" i="41"/>
  <c r="A2028" i="41" s="1"/>
  <c r="A2029" i="41" s="1"/>
  <c r="A2030" i="41" s="1"/>
  <c r="A2031" i="41" s="1"/>
  <c r="A2032" i="41" s="1"/>
  <c r="A2033" i="41" s="1"/>
  <c r="A2034" i="41" s="1"/>
  <c r="A2035" i="41" s="1"/>
  <c r="A2036" i="41" s="1"/>
  <c r="A2037" i="41" s="1"/>
  <c r="A2038" i="41" s="1"/>
  <c r="A2040" i="41" s="1"/>
  <c r="A2041" i="41" s="1"/>
  <c r="A2042" i="41" s="1"/>
  <c r="A2043" i="41" s="1"/>
  <c r="A2044" i="41" s="1"/>
  <c r="A2045" i="41" s="1"/>
  <c r="A2046" i="41" s="1"/>
  <c r="A2047" i="41" s="1"/>
  <c r="A2048" i="41" s="1"/>
  <c r="A2049" i="41" s="1"/>
  <c r="A2050" i="41" s="1"/>
  <c r="A2051" i="41" s="1"/>
  <c r="A2052" i="41" s="1"/>
  <c r="A2053" i="41" s="1"/>
  <c r="A2054" i="41" s="1"/>
  <c r="A2055" i="41" s="1"/>
  <c r="A2057" i="41" s="1"/>
  <c r="A2058" i="41" s="1"/>
  <c r="L2027" i="41"/>
  <c r="L2028" i="41"/>
  <c r="L2029" i="41"/>
  <c r="L2030" i="41"/>
  <c r="L2031" i="41"/>
  <c r="L2032" i="41"/>
  <c r="L2033" i="41"/>
  <c r="L2034" i="41"/>
  <c r="L2035" i="41"/>
  <c r="L2036" i="41"/>
  <c r="L2037" i="41"/>
  <c r="E2038" i="41"/>
  <c r="F2038" i="41"/>
  <c r="M2038" i="41"/>
  <c r="L2041" i="41"/>
  <c r="L2042" i="41"/>
  <c r="L2043" i="41"/>
  <c r="L2044" i="41"/>
  <c r="L2045" i="41"/>
  <c r="L2046" i="41"/>
  <c r="L2047" i="41"/>
  <c r="L2048" i="41"/>
  <c r="L2049" i="41"/>
  <c r="L2050" i="41"/>
  <c r="L2051" i="41"/>
  <c r="L2052" i="41"/>
  <c r="L2053" i="41"/>
  <c r="L2054" i="41"/>
  <c r="E2055" i="41"/>
  <c r="F2055" i="41"/>
  <c r="M2055" i="41"/>
  <c r="A2062" i="41"/>
  <c r="A2063" i="41"/>
  <c r="N2075" i="41"/>
  <c r="D2076" i="41"/>
  <c r="E2076" i="41"/>
  <c r="F2076" i="41"/>
  <c r="G2076" i="41"/>
  <c r="I2076" i="41"/>
  <c r="J2076" i="41"/>
  <c r="K2076" i="41"/>
  <c r="L2076" i="41"/>
  <c r="M2076" i="41"/>
  <c r="N2076" i="41"/>
  <c r="A2079" i="41"/>
  <c r="A2080" i="41" s="1"/>
  <c r="A2081" i="41" s="1"/>
  <c r="A2082" i="41" s="1"/>
  <c r="A2083" i="41" s="1"/>
  <c r="A2084" i="41" s="1"/>
  <c r="A2085" i="41" s="1"/>
  <c r="A2087" i="41" s="1"/>
  <c r="A2088" i="41" s="1"/>
  <c r="A2089" i="41" s="1"/>
  <c r="A2091" i="41" s="1"/>
  <c r="A2092" i="41" s="1"/>
  <c r="A2093" i="41" s="1"/>
  <c r="A2094" i="41" s="1"/>
  <c r="A2095" i="41" s="1"/>
  <c r="A2096" i="41" s="1"/>
  <c r="A2097" i="41" s="1"/>
  <c r="A2098" i="41" s="1"/>
  <c r="A2099" i="41" s="1"/>
  <c r="A2100" i="41" s="1"/>
  <c r="A2101" i="41" s="1"/>
  <c r="A2102" i="41" s="1"/>
  <c r="A2103" i="41" s="1"/>
  <c r="A2109" i="41" s="1"/>
  <c r="A2110" i="41" s="1"/>
  <c r="A2111" i="41" s="1"/>
  <c r="A2112" i="41" s="1"/>
  <c r="A2113" i="41" s="1"/>
  <c r="L2080" i="41"/>
  <c r="L2081" i="41"/>
  <c r="L2082" i="41"/>
  <c r="L2083" i="41"/>
  <c r="L2084" i="41"/>
  <c r="E2085" i="41"/>
  <c r="F2085" i="41"/>
  <c r="M2085" i="41"/>
  <c r="L2088" i="41"/>
  <c r="L2089" i="41" s="1"/>
  <c r="E2089" i="41"/>
  <c r="F2089" i="41"/>
  <c r="K2089" i="41"/>
  <c r="M2089" i="41"/>
  <c r="L2092" i="41"/>
  <c r="L2093" i="41"/>
  <c r="L2094" i="41"/>
  <c r="L2095" i="41"/>
  <c r="L2096" i="41"/>
  <c r="L2097" i="41"/>
  <c r="L2098" i="41"/>
  <c r="L2099" i="41"/>
  <c r="L2100" i="41"/>
  <c r="L2101" i="41"/>
  <c r="L2102" i="41"/>
  <c r="L2108" i="41"/>
  <c r="L2109" i="41"/>
  <c r="L2110" i="41"/>
  <c r="L2111" i="41"/>
  <c r="L2112" i="41"/>
  <c r="L2113" i="41"/>
  <c r="A2115" i="41"/>
  <c r="A2116" i="41"/>
  <c r="A2122" i="41"/>
  <c r="D2129" i="41"/>
  <c r="E2129" i="41"/>
  <c r="F2129" i="41"/>
  <c r="G2129" i="41"/>
  <c r="I2129" i="41"/>
  <c r="J2129" i="41"/>
  <c r="K2129" i="41"/>
  <c r="L2129" i="41"/>
  <c r="M2129" i="41"/>
  <c r="N2129" i="41"/>
  <c r="L2132" i="41"/>
  <c r="A2133" i="41"/>
  <c r="A2134" i="41" s="1"/>
  <c r="A2135" i="41" s="1"/>
  <c r="A2136" i="41" s="1"/>
  <c r="A2137" i="41" s="1"/>
  <c r="A2138" i="41" s="1"/>
  <c r="A2139" i="41" s="1"/>
  <c r="A2140" i="41" s="1"/>
  <c r="A2141" i="41" s="1"/>
  <c r="A2142" i="41" s="1"/>
  <c r="A2143" i="41" s="1"/>
  <c r="A2144" i="41" s="1"/>
  <c r="A2146" i="41" s="1"/>
  <c r="A2147" i="41" s="1"/>
  <c r="A2148" i="41" s="1"/>
  <c r="A2149" i="41" s="1"/>
  <c r="A2150" i="41" s="1"/>
  <c r="A2151" i="41" s="1"/>
  <c r="A2152" i="41" s="1"/>
  <c r="A2153" i="41" s="1"/>
  <c r="A2154" i="41" s="1"/>
  <c r="A2155" i="41" s="1"/>
  <c r="A2156" i="41" s="1"/>
  <c r="A2157" i="41" s="1"/>
  <c r="A2158" i="41" s="1"/>
  <c r="A2159" i="41" s="1"/>
  <c r="A2160" i="41" s="1"/>
  <c r="A2161" i="41" s="1"/>
  <c r="A2163" i="41" s="1"/>
  <c r="A2164" i="41" s="1"/>
  <c r="L2133" i="41"/>
  <c r="L2134" i="41"/>
  <c r="L2135" i="41"/>
  <c r="L2136" i="41"/>
  <c r="L2137" i="41"/>
  <c r="L2138" i="41"/>
  <c r="L2139" i="41"/>
  <c r="L2140" i="41"/>
  <c r="L2141" i="41"/>
  <c r="L2142" i="41"/>
  <c r="L2143" i="41"/>
  <c r="E2144" i="41"/>
  <c r="F2144" i="41"/>
  <c r="M2144" i="41"/>
  <c r="L2147" i="41"/>
  <c r="L2148" i="41"/>
  <c r="L2149" i="41"/>
  <c r="L2150" i="41"/>
  <c r="L2151" i="41"/>
  <c r="L2152" i="41"/>
  <c r="L2153" i="41"/>
  <c r="L2154" i="41"/>
  <c r="L2155" i="41"/>
  <c r="L2156" i="41"/>
  <c r="L2157" i="41"/>
  <c r="L2158" i="41"/>
  <c r="L2159" i="41"/>
  <c r="L2160" i="41"/>
  <c r="E2161" i="41"/>
  <c r="F2161" i="41"/>
  <c r="M2161" i="41"/>
  <c r="A2168" i="41"/>
  <c r="A2169" i="41"/>
  <c r="I2181" i="41"/>
  <c r="D2182" i="41"/>
  <c r="E2182" i="41"/>
  <c r="F2182" i="41"/>
  <c r="G2182" i="41"/>
  <c r="I2182" i="41"/>
  <c r="J2182" i="41"/>
  <c r="K2182" i="41"/>
  <c r="L2182" i="41"/>
  <c r="M2182" i="41"/>
  <c r="N2182" i="41"/>
  <c r="A2185" i="41"/>
  <c r="A2186" i="41" s="1"/>
  <c r="A2187" i="41" s="1"/>
  <c r="A2188" i="41" s="1"/>
  <c r="A2189" i="41" s="1"/>
  <c r="A2190" i="41" s="1"/>
  <c r="A2191" i="41" s="1"/>
  <c r="A2193" i="41" s="1"/>
  <c r="A2194" i="41" s="1"/>
  <c r="A2195" i="41" s="1"/>
  <c r="A2197" i="41" s="1"/>
  <c r="A2198" i="41" s="1"/>
  <c r="A2199" i="41" s="1"/>
  <c r="A2200" i="41" s="1"/>
  <c r="A2201" i="41" s="1"/>
  <c r="A2202" i="41" s="1"/>
  <c r="A2203" i="41" s="1"/>
  <c r="A2204" i="41" s="1"/>
  <c r="A2205" i="41" s="1"/>
  <c r="A2206" i="41" s="1"/>
  <c r="A2207" i="41" s="1"/>
  <c r="A2208" i="41" s="1"/>
  <c r="A2209" i="41" s="1"/>
  <c r="A2215" i="41" s="1"/>
  <c r="A2216" i="41" s="1"/>
  <c r="A2217" i="41" s="1"/>
  <c r="A2218" i="41" s="1"/>
  <c r="A2219" i="41" s="1"/>
  <c r="L2186" i="41"/>
  <c r="L2187" i="41"/>
  <c r="L2188" i="41"/>
  <c r="L2189" i="41"/>
  <c r="L2190" i="41"/>
  <c r="E2191" i="41"/>
  <c r="F2191" i="41"/>
  <c r="M2191" i="41"/>
  <c r="L2194" i="41"/>
  <c r="L2195" i="41" s="1"/>
  <c r="E2195" i="41"/>
  <c r="F2195" i="41"/>
  <c r="K2195" i="41"/>
  <c r="M2195" i="41"/>
  <c r="L2198" i="41"/>
  <c r="L2199" i="41"/>
  <c r="L2200" i="41"/>
  <c r="L2201" i="41"/>
  <c r="L2202" i="41"/>
  <c r="L2203" i="41"/>
  <c r="L2204" i="41"/>
  <c r="L2205" i="41"/>
  <c r="L2206" i="41"/>
  <c r="L2207" i="41"/>
  <c r="L2208" i="41"/>
  <c r="L2214" i="41"/>
  <c r="L2215" i="41"/>
  <c r="L2216" i="41"/>
  <c r="L2217" i="41"/>
  <c r="L2218" i="41"/>
  <c r="L2219" i="41"/>
  <c r="A2221" i="41"/>
  <c r="A2222" i="41"/>
  <c r="A2228" i="41"/>
  <c r="D2235" i="41"/>
  <c r="E2235" i="41"/>
  <c r="F2235" i="41"/>
  <c r="G2235" i="41"/>
  <c r="I2235" i="41"/>
  <c r="J2235" i="41"/>
  <c r="K2235" i="41"/>
  <c r="L2235" i="41"/>
  <c r="M2235" i="41"/>
  <c r="N2235" i="41"/>
  <c r="L2238" i="41"/>
  <c r="A2239" i="41"/>
  <c r="A2240" i="41" s="1"/>
  <c r="A2241" i="41" s="1"/>
  <c r="A2242" i="41" s="1"/>
  <c r="A2243" i="41" s="1"/>
  <c r="A2244" i="41" s="1"/>
  <c r="A2245" i="41" s="1"/>
  <c r="A2246" i="41" s="1"/>
  <c r="A2247" i="41" s="1"/>
  <c r="A2248" i="41" s="1"/>
  <c r="A2249" i="41" s="1"/>
  <c r="A2250" i="41" s="1"/>
  <c r="A2252" i="41" s="1"/>
  <c r="A2253" i="41" s="1"/>
  <c r="A2254" i="41" s="1"/>
  <c r="A2255" i="41" s="1"/>
  <c r="A2256" i="41" s="1"/>
  <c r="A2257" i="41" s="1"/>
  <c r="A2258" i="41" s="1"/>
  <c r="A2259" i="41" s="1"/>
  <c r="A2260" i="41" s="1"/>
  <c r="A2261" i="41" s="1"/>
  <c r="A2262" i="41" s="1"/>
  <c r="A2263" i="41" s="1"/>
  <c r="A2264" i="41" s="1"/>
  <c r="A2265" i="41" s="1"/>
  <c r="A2266" i="41" s="1"/>
  <c r="A2267" i="41" s="1"/>
  <c r="A2269" i="41" s="1"/>
  <c r="A2270" i="41" s="1"/>
  <c r="L2239" i="41"/>
  <c r="L2240" i="41"/>
  <c r="L2241" i="41"/>
  <c r="L2242" i="41"/>
  <c r="L2243" i="41"/>
  <c r="L2244" i="41"/>
  <c r="L2245" i="41"/>
  <c r="L2246" i="41"/>
  <c r="L2247" i="41"/>
  <c r="L2248" i="41"/>
  <c r="L2249" i="41"/>
  <c r="E2250" i="41"/>
  <c r="F2250" i="41"/>
  <c r="M2250" i="41"/>
  <c r="L2253" i="41"/>
  <c r="L2254" i="41"/>
  <c r="L2255" i="41"/>
  <c r="L2256" i="41"/>
  <c r="L2257" i="41"/>
  <c r="L2258" i="41"/>
  <c r="L2259" i="41"/>
  <c r="L2260" i="41"/>
  <c r="L2261" i="41"/>
  <c r="L2262" i="41"/>
  <c r="L2263" i="41"/>
  <c r="L2264" i="41"/>
  <c r="L2265" i="41"/>
  <c r="L2266" i="41"/>
  <c r="E2267" i="41"/>
  <c r="F2267" i="41"/>
  <c r="M2267" i="41"/>
  <c r="A2274" i="41"/>
  <c r="A2275" i="41"/>
  <c r="N2287" i="41"/>
  <c r="I2287" i="41"/>
  <c r="D2288" i="41"/>
  <c r="E2288" i="41"/>
  <c r="F2288" i="41"/>
  <c r="G2288" i="41"/>
  <c r="I2288" i="41"/>
  <c r="J2288" i="41"/>
  <c r="K2288" i="41"/>
  <c r="L2288" i="41"/>
  <c r="M2288" i="41"/>
  <c r="N2288" i="41"/>
  <c r="A2291" i="41"/>
  <c r="A2292" i="41" s="1"/>
  <c r="A2293" i="41" s="1"/>
  <c r="A2294" i="41" s="1"/>
  <c r="A2295" i="41" s="1"/>
  <c r="A2296" i="41" s="1"/>
  <c r="A2297" i="41" s="1"/>
  <c r="A2299" i="41" s="1"/>
  <c r="A2300" i="41" s="1"/>
  <c r="A2301" i="41" s="1"/>
  <c r="A2303" i="41" s="1"/>
  <c r="A2304" i="41" s="1"/>
  <c r="A2305" i="41" s="1"/>
  <c r="A2306" i="41" s="1"/>
  <c r="A2307" i="41" s="1"/>
  <c r="A2308" i="41" s="1"/>
  <c r="A2309" i="41" s="1"/>
  <c r="A2310" i="41" s="1"/>
  <c r="A2311" i="41" s="1"/>
  <c r="A2312" i="41" s="1"/>
  <c r="A2313" i="41" s="1"/>
  <c r="A2314" i="41" s="1"/>
  <c r="A2315" i="41" s="1"/>
  <c r="A2321" i="41" s="1"/>
  <c r="A2322" i="41" s="1"/>
  <c r="A2323" i="41" s="1"/>
  <c r="A2324" i="41" s="1"/>
  <c r="A2325" i="41" s="1"/>
  <c r="L2292" i="41"/>
  <c r="K2293" i="41"/>
  <c r="L2293" i="41"/>
  <c r="L2294" i="41"/>
  <c r="L2295" i="41"/>
  <c r="L2296" i="41"/>
  <c r="E2297" i="41"/>
  <c r="F2297" i="41"/>
  <c r="M2297" i="41"/>
  <c r="L2300" i="41"/>
  <c r="L2301" i="41" s="1"/>
  <c r="E2301" i="41"/>
  <c r="F2301" i="41"/>
  <c r="K2301" i="41"/>
  <c r="M2301" i="41"/>
  <c r="L2304" i="41"/>
  <c r="L2305" i="41"/>
  <c r="L2306" i="41"/>
  <c r="L2307" i="41"/>
  <c r="L2308" i="41"/>
  <c r="L2309" i="41"/>
  <c r="L2310" i="41"/>
  <c r="L2311" i="41"/>
  <c r="L2312" i="41"/>
  <c r="L2313" i="41"/>
  <c r="L2314" i="41"/>
  <c r="L2320" i="41"/>
  <c r="L2321" i="41"/>
  <c r="L2322" i="41"/>
  <c r="L2323" i="41"/>
  <c r="L2324" i="41"/>
  <c r="L2325" i="41"/>
  <c r="A2327" i="41"/>
  <c r="A2328" i="41"/>
  <c r="A2334" i="41"/>
  <c r="D2340" i="41"/>
  <c r="I2340" i="41" s="1"/>
  <c r="D2341" i="41"/>
  <c r="E2341" i="41"/>
  <c r="F2341" i="41"/>
  <c r="G2341" i="41"/>
  <c r="I2341" i="41"/>
  <c r="J2341" i="41"/>
  <c r="K2341" i="41"/>
  <c r="L2341" i="41"/>
  <c r="M2341" i="41"/>
  <c r="N2341" i="41"/>
  <c r="L2344" i="41"/>
  <c r="A2345" i="41"/>
  <c r="A2346" i="41" s="1"/>
  <c r="A2347" i="41" s="1"/>
  <c r="A2348" i="41" s="1"/>
  <c r="A2349" i="41" s="1"/>
  <c r="A2350" i="41" s="1"/>
  <c r="A2351" i="41" s="1"/>
  <c r="A2352" i="41" s="1"/>
  <c r="A2353" i="41" s="1"/>
  <c r="A2354" i="41" s="1"/>
  <c r="A2355" i="41" s="1"/>
  <c r="A2356" i="41" s="1"/>
  <c r="A2358" i="41" s="1"/>
  <c r="A2359" i="41" s="1"/>
  <c r="A2360" i="41" s="1"/>
  <c r="A2361" i="41" s="1"/>
  <c r="A2362" i="41" s="1"/>
  <c r="A2363" i="41" s="1"/>
  <c r="A2364" i="41" s="1"/>
  <c r="A2365" i="41" s="1"/>
  <c r="A2366" i="41" s="1"/>
  <c r="A2367" i="41" s="1"/>
  <c r="A2368" i="41" s="1"/>
  <c r="A2369" i="41" s="1"/>
  <c r="A2370" i="41" s="1"/>
  <c r="A2371" i="41" s="1"/>
  <c r="A2372" i="41" s="1"/>
  <c r="A2373" i="41" s="1"/>
  <c r="L2345" i="41"/>
  <c r="L2346" i="41"/>
  <c r="L2347" i="41"/>
  <c r="L2348" i="41"/>
  <c r="L2349" i="41"/>
  <c r="L2350" i="41"/>
  <c r="L2351" i="41"/>
  <c r="L2352" i="41"/>
  <c r="L2353" i="41"/>
  <c r="L2354" i="41"/>
  <c r="L2355" i="41"/>
  <c r="E2356" i="41"/>
  <c r="F2356" i="41"/>
  <c r="M2356" i="41"/>
  <c r="L2359" i="41"/>
  <c r="L2360" i="41"/>
  <c r="L2361" i="41"/>
  <c r="L2362" i="41"/>
  <c r="L2363" i="41"/>
  <c r="L2364" i="41"/>
  <c r="L2365" i="41"/>
  <c r="L2366" i="41"/>
  <c r="L2367" i="41"/>
  <c r="L2368" i="41"/>
  <c r="L2369" i="41"/>
  <c r="L2370" i="41"/>
  <c r="L2371" i="41"/>
  <c r="L2372" i="41"/>
  <c r="E2373" i="41"/>
  <c r="F2373" i="41"/>
  <c r="M2373" i="41"/>
  <c r="A1" i="44"/>
  <c r="A2" i="44"/>
  <c r="A14" i="44"/>
  <c r="A15" i="44" s="1"/>
  <c r="A16" i="44" s="1"/>
  <c r="A17" i="44" s="1"/>
  <c r="A18" i="44" s="1"/>
  <c r="A19" i="44" s="1"/>
  <c r="A22" i="44" s="1"/>
  <c r="A23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4" i="44"/>
  <c r="A45" i="44"/>
  <c r="A47" i="44"/>
  <c r="F53" i="44"/>
  <c r="G53" i="44"/>
  <c r="H53" i="44"/>
  <c r="I53" i="44"/>
  <c r="J53" i="44"/>
  <c r="K53" i="44"/>
  <c r="L53" i="44"/>
  <c r="M53" i="44"/>
  <c r="N53" i="44"/>
  <c r="O53" i="44"/>
  <c r="P53" i="44"/>
  <c r="Q53" i="44"/>
  <c r="R53" i="44"/>
  <c r="A57" i="44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7" i="44" s="1"/>
  <c r="A1" i="27"/>
  <c r="A2" i="27"/>
  <c r="A14" i="27"/>
  <c r="A15" i="27" s="1"/>
  <c r="A16" i="27" s="1"/>
  <c r="A17" i="27" s="1"/>
  <c r="A18" i="27" s="1"/>
  <c r="A19" i="27" s="1"/>
  <c r="A22" i="27" s="1"/>
  <c r="A23" i="27" s="1"/>
  <c r="F19" i="27"/>
  <c r="G19" i="27"/>
  <c r="H19" i="27"/>
  <c r="I19" i="27"/>
  <c r="J19" i="27"/>
  <c r="F23" i="27"/>
  <c r="G23" i="27"/>
  <c r="H23" i="27"/>
  <c r="I23" i="27"/>
  <c r="J23" i="27"/>
  <c r="K23" i="27"/>
  <c r="F67" i="27"/>
  <c r="H67" i="27"/>
  <c r="A43" i="27"/>
  <c r="A44" i="27"/>
  <c r="F52" i="27"/>
  <c r="G52" i="27"/>
  <c r="H52" i="27"/>
  <c r="I52" i="27"/>
  <c r="J52" i="27"/>
  <c r="K52" i="27"/>
  <c r="L52" i="27"/>
  <c r="M52" i="27"/>
  <c r="N52" i="27"/>
  <c r="O52" i="27"/>
  <c r="P52" i="27"/>
  <c r="Q52" i="27"/>
  <c r="A57" i="27"/>
  <c r="A58" i="27" s="1"/>
  <c r="A59" i="27" s="1"/>
  <c r="A60" i="27" s="1"/>
  <c r="A61" i="27" s="1"/>
  <c r="A62" i="27" s="1"/>
  <c r="I67" i="27"/>
  <c r="F84" i="27"/>
  <c r="G84" i="27"/>
  <c r="H84" i="27"/>
  <c r="I84" i="27"/>
  <c r="J84" i="27"/>
  <c r="A1" i="47"/>
  <c r="A2" i="47"/>
  <c r="A15" i="47"/>
  <c r="A16" i="47" s="1"/>
  <c r="A17" i="47" s="1"/>
  <c r="A18" i="47" s="1"/>
  <c r="A19" i="47" s="1"/>
  <c r="A20" i="47" s="1"/>
  <c r="A22" i="47" s="1"/>
  <c r="A23" i="47" s="1"/>
  <c r="A24" i="47" s="1"/>
  <c r="A26" i="47" s="1"/>
  <c r="A27" i="47" s="1"/>
  <c r="A28" i="47" s="1"/>
  <c r="A29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A43" i="47" s="1"/>
  <c r="A44" i="47" s="1"/>
  <c r="A45" i="47" s="1"/>
  <c r="A46" i="47" s="1"/>
  <c r="A47" i="47" s="1"/>
  <c r="A48" i="47" s="1"/>
  <c r="A49" i="47" s="1"/>
  <c r="A50" i="47" s="1"/>
  <c r="A51" i="47" s="1"/>
  <c r="A52" i="47" s="1"/>
  <c r="A53" i="47" s="1"/>
  <c r="A54" i="47" s="1"/>
  <c r="A55" i="47" s="1"/>
  <c r="A56" i="47" s="1"/>
  <c r="A58" i="47" s="1"/>
  <c r="A59" i="47" s="1"/>
  <c r="A60" i="47" s="1"/>
  <c r="A61" i="47" s="1"/>
  <c r="A62" i="47" s="1"/>
  <c r="A63" i="47" s="1"/>
  <c r="A64" i="47" s="1"/>
  <c r="A65" i="47" s="1"/>
  <c r="A66" i="47" s="1"/>
  <c r="A67" i="47" s="1"/>
  <c r="A68" i="47" s="1"/>
  <c r="A69" i="47" s="1"/>
  <c r="A70" i="47" s="1"/>
  <c r="A71" i="47" s="1"/>
  <c r="A72" i="47" s="1"/>
  <c r="A73" i="47" s="1"/>
  <c r="G20" i="47"/>
  <c r="G24" i="47"/>
  <c r="G56" i="47"/>
  <c r="G73" i="47"/>
  <c r="A1" i="3"/>
  <c r="A2" i="3"/>
  <c r="A15" i="3"/>
  <c r="A16" i="3" s="1"/>
  <c r="A17" i="3" s="1"/>
  <c r="A18" i="3" s="1"/>
  <c r="A19" i="3" s="1"/>
  <c r="A20" i="3" s="1"/>
  <c r="A22" i="3" s="1"/>
  <c r="A23" i="3" s="1"/>
  <c r="A24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G20" i="3"/>
  <c r="G24" i="3"/>
  <c r="G56" i="3"/>
  <c r="G73" i="3"/>
  <c r="A1" i="46"/>
  <c r="A2" i="46"/>
  <c r="A18" i="46"/>
  <c r="A20" i="46" s="1"/>
  <c r="A22" i="46" s="1"/>
  <c r="A24" i="46" s="1"/>
  <c r="A26" i="46" s="1"/>
  <c r="A28" i="46" s="1"/>
  <c r="A30" i="46" s="1"/>
  <c r="A32" i="46" s="1"/>
  <c r="G20" i="46"/>
  <c r="I20" i="46" s="1"/>
  <c r="G22" i="46"/>
  <c r="I22" i="46" s="1"/>
  <c r="G28" i="46"/>
  <c r="I28" i="46" s="1"/>
  <c r="H32" i="46"/>
  <c r="A1" i="2"/>
  <c r="A2" i="2"/>
  <c r="A17" i="2"/>
  <c r="A19" i="2" s="1"/>
  <c r="A21" i="2" s="1"/>
  <c r="A23" i="2" s="1"/>
  <c r="A25" i="2" s="1"/>
  <c r="A27" i="2" s="1"/>
  <c r="A29" i="2" s="1"/>
  <c r="A31" i="2" s="1"/>
  <c r="G19" i="2"/>
  <c r="I19" i="2" s="1"/>
  <c r="G21" i="2"/>
  <c r="I21" i="2" s="1"/>
  <c r="G27" i="2"/>
  <c r="I27" i="2" s="1"/>
  <c r="G29" i="2"/>
  <c r="I29" i="2" s="1"/>
  <c r="H31" i="2"/>
  <c r="A1" i="45"/>
  <c r="A2" i="45"/>
  <c r="A17" i="45"/>
  <c r="A19" i="45" s="1"/>
  <c r="A21" i="45" s="1"/>
  <c r="A23" i="45" s="1"/>
  <c r="A25" i="45" s="1"/>
  <c r="A27" i="45" s="1"/>
  <c r="A29" i="45" s="1"/>
  <c r="A31" i="45" s="1"/>
  <c r="A33" i="45" s="1"/>
  <c r="A17" i="1"/>
  <c r="A19" i="1" s="1"/>
  <c r="A21" i="1" s="1"/>
  <c r="A23" i="1" s="1"/>
  <c r="A25" i="1" s="1"/>
  <c r="A27" i="1" s="1"/>
  <c r="A29" i="1" s="1"/>
  <c r="A31" i="1" s="1"/>
  <c r="A33" i="1" s="1"/>
  <c r="A9" i="39"/>
  <c r="C11" i="39"/>
  <c r="C13" i="39"/>
  <c r="A1" i="64"/>
  <c r="A2" i="64"/>
  <c r="A19" i="64"/>
  <c r="A21" i="64"/>
  <c r="A23" i="64" s="1"/>
  <c r="A25" i="64" s="1"/>
  <c r="A27" i="64" s="1"/>
  <c r="A29" i="64" s="1"/>
  <c r="A31" i="64" s="1"/>
  <c r="A33" i="64" s="1"/>
  <c r="A35" i="64" s="1"/>
  <c r="A37" i="64" s="1"/>
  <c r="A12" i="65"/>
  <c r="D95" i="41"/>
  <c r="G95" i="41" s="1"/>
  <c r="D201" i="41" s="1"/>
  <c r="G201" i="41" s="1"/>
  <c r="D93" i="57"/>
  <c r="D94" i="57"/>
  <c r="N909" i="41"/>
  <c r="G962" i="41"/>
  <c r="N962" i="41" s="1"/>
  <c r="D26" i="136"/>
  <c r="H26" i="136" s="1"/>
  <c r="I697" i="41"/>
  <c r="D750" i="41"/>
  <c r="I750" i="41" s="1"/>
  <c r="D85" i="57"/>
  <c r="D87" i="41"/>
  <c r="G87" i="41" s="1"/>
  <c r="I2075" i="41"/>
  <c r="D2128" i="41"/>
  <c r="I2128" i="41" s="1"/>
  <c r="N2181" i="41"/>
  <c r="G2234" i="41"/>
  <c r="N2234" i="41" s="1"/>
  <c r="N1651" i="41"/>
  <c r="G1704" i="41"/>
  <c r="N1704" i="41" s="1"/>
  <c r="G748" i="57"/>
  <c r="N748" i="57" s="1"/>
  <c r="N695" i="57"/>
  <c r="I2179" i="57"/>
  <c r="D2232" i="57"/>
  <c r="I2232" i="57" s="1"/>
  <c r="I1967" i="57"/>
  <c r="D2020" i="57"/>
  <c r="I2020" i="57" s="1"/>
  <c r="I1755" i="57"/>
  <c r="D1808" i="57"/>
  <c r="I1808" i="57" s="1"/>
  <c r="I483" i="57"/>
  <c r="D536" i="57"/>
  <c r="I536" i="57" s="1"/>
  <c r="N379" i="41"/>
  <c r="G432" i="41"/>
  <c r="N432" i="41" s="1"/>
  <c r="I2285" i="57"/>
  <c r="D2338" i="57"/>
  <c r="I2338" i="57" s="1"/>
  <c r="I2073" i="57"/>
  <c r="D2126" i="57"/>
  <c r="I2126" i="57" s="1"/>
  <c r="I1861" i="57"/>
  <c r="D1914" i="57"/>
  <c r="I1914" i="57" s="1"/>
  <c r="I1649" i="57"/>
  <c r="D1702" i="57"/>
  <c r="I1702" i="57" s="1"/>
  <c r="N801" i="57"/>
  <c r="G854" i="57"/>
  <c r="N854" i="57" s="1"/>
  <c r="I30" i="37"/>
  <c r="I143" i="57"/>
  <c r="I145" i="41"/>
  <c r="I67" i="42"/>
  <c r="D144" i="57"/>
  <c r="G1810" i="41"/>
  <c r="N1810" i="41" s="1"/>
  <c r="N1121" i="41"/>
  <c r="G1174" i="41"/>
  <c r="N1174" i="41" s="1"/>
  <c r="K385" i="41"/>
  <c r="N589" i="57"/>
  <c r="G642" i="57"/>
  <c r="N642" i="57" s="1"/>
  <c r="I137" i="57"/>
  <c r="K84" i="42"/>
  <c r="G84" i="42"/>
  <c r="D1596" i="57"/>
  <c r="I1596" i="57" s="1"/>
  <c r="I1543" i="57"/>
  <c r="G1278" i="57"/>
  <c r="N1278" i="57" s="1"/>
  <c r="N1225" i="57"/>
  <c r="I801" i="57"/>
  <c r="D854" i="57"/>
  <c r="I854" i="57" s="1"/>
  <c r="D1704" i="41"/>
  <c r="I1704" i="41" s="1"/>
  <c r="G2340" i="41"/>
  <c r="N2340" i="41" s="1"/>
  <c r="G1916" i="41"/>
  <c r="N1916" i="41" s="1"/>
  <c r="I1227" i="41"/>
  <c r="D1280" i="41"/>
  <c r="I1280" i="41" s="1"/>
  <c r="D220" i="41"/>
  <c r="I220" i="41" s="1"/>
  <c r="I167" i="41"/>
  <c r="I139" i="41"/>
  <c r="N2285" i="57"/>
  <c r="G2338" i="57"/>
  <c r="N2338" i="57" s="1"/>
  <c r="N2179" i="57"/>
  <c r="G2232" i="57"/>
  <c r="N2232" i="57" s="1"/>
  <c r="N2073" i="57"/>
  <c r="G2126" i="57"/>
  <c r="N2126" i="57" s="1"/>
  <c r="N1967" i="57"/>
  <c r="G2020" i="57"/>
  <c r="N2020" i="57" s="1"/>
  <c r="N1861" i="57"/>
  <c r="G1914" i="57"/>
  <c r="N1914" i="57" s="1"/>
  <c r="N1755" i="57"/>
  <c r="G1808" i="57"/>
  <c r="N1808" i="57" s="1"/>
  <c r="N1649" i="57"/>
  <c r="G1702" i="57"/>
  <c r="N1702" i="57" s="1"/>
  <c r="I589" i="57"/>
  <c r="D642" i="57"/>
  <c r="I642" i="57" s="1"/>
  <c r="N483" i="57"/>
  <c r="G536" i="57"/>
  <c r="N536" i="57" s="1"/>
  <c r="D324" i="57"/>
  <c r="I324" i="57" s="1"/>
  <c r="I271" i="57"/>
  <c r="I97" i="57"/>
  <c r="I99" i="41"/>
  <c r="I377" i="57"/>
  <c r="D430" i="57"/>
  <c r="I430" i="57" s="1"/>
  <c r="F67" i="42"/>
  <c r="I13" i="49"/>
  <c r="C13" i="49" s="1"/>
  <c r="P38" i="72"/>
  <c r="D37" i="74" s="1"/>
  <c r="S94" i="75" s="1"/>
  <c r="D124" i="70"/>
  <c r="F124" i="70" s="1"/>
  <c r="O8" i="135"/>
  <c r="K67" i="42"/>
  <c r="G67" i="42"/>
  <c r="I25" i="37"/>
  <c r="I22" i="102"/>
  <c r="I24" i="102" s="1"/>
  <c r="E102" i="123"/>
  <c r="G102" i="123" s="1"/>
  <c r="R53" i="78"/>
  <c r="E98" i="123"/>
  <c r="G98" i="123" s="1"/>
  <c r="E94" i="123"/>
  <c r="G94" i="123" s="1"/>
  <c r="E90" i="123"/>
  <c r="K85" i="123"/>
  <c r="M98" i="123"/>
  <c r="K98" i="123" s="1"/>
  <c r="M94" i="123"/>
  <c r="K94" i="123" s="1"/>
  <c r="M46" i="123"/>
  <c r="K46" i="123" s="1"/>
  <c r="K45" i="123"/>
  <c r="M42" i="123"/>
  <c r="K41" i="123"/>
  <c r="O31" i="92"/>
  <c r="K39" i="92"/>
  <c r="K26" i="92"/>
  <c r="O18" i="92"/>
  <c r="F31" i="109"/>
  <c r="D29" i="109"/>
  <c r="D31" i="109" s="1"/>
  <c r="G35" i="110"/>
  <c r="E23" i="110"/>
  <c r="C20" i="141"/>
  <c r="N25" i="91"/>
  <c r="N27" i="91" s="1"/>
  <c r="J35" i="110"/>
  <c r="E36" i="110"/>
  <c r="K31" i="109"/>
  <c r="G23" i="110"/>
  <c r="G37" i="110"/>
  <c r="D23" i="110"/>
  <c r="F30" i="108"/>
  <c r="F38" i="108" s="1"/>
  <c r="F41" i="108" s="1"/>
  <c r="E57" i="109"/>
  <c r="E29" i="109"/>
  <c r="I23" i="138"/>
  <c r="L23" i="138" s="1"/>
  <c r="J200" i="41"/>
  <c r="J306" i="41" s="1"/>
  <c r="J412" i="41" s="1"/>
  <c r="E31" i="109"/>
  <c r="K29" i="102"/>
  <c r="S31" i="92"/>
  <c r="S39" i="92"/>
  <c r="O39" i="92"/>
  <c r="G29" i="102"/>
  <c r="M48" i="123"/>
  <c r="K42" i="123"/>
  <c r="E78" i="123"/>
  <c r="G78" i="123" s="1"/>
  <c r="G22" i="102"/>
  <c r="I30" i="102"/>
  <c r="I33" i="102" s="1"/>
  <c r="S18" i="92"/>
  <c r="S26" i="92" s="1"/>
  <c r="O26" i="92"/>
  <c r="I26" i="102"/>
  <c r="I19" i="50"/>
  <c r="L19" i="50" s="1"/>
  <c r="D146" i="41"/>
  <c r="G146" i="41" s="1"/>
  <c r="K33" i="102"/>
  <c r="E77" i="123"/>
  <c r="G77" i="123" s="1"/>
  <c r="P40" i="102"/>
  <c r="H40" i="102"/>
  <c r="A102" i="58" l="1"/>
  <c r="A103" i="58" s="1"/>
  <c r="A104" i="58" s="1"/>
  <c r="A106" i="58" s="1"/>
  <c r="D123" i="41"/>
  <c r="G123" i="41" s="1"/>
  <c r="K123" i="41" s="1"/>
  <c r="N123" i="41" s="1"/>
  <c r="D94" i="41"/>
  <c r="G94" i="41" s="1"/>
  <c r="D200" i="41" s="1"/>
  <c r="G200" i="41" s="1"/>
  <c r="D306" i="41" s="1"/>
  <c r="G306" i="41" s="1"/>
  <c r="D412" i="41" s="1"/>
  <c r="G412" i="41" s="1"/>
  <c r="D518" i="41" s="1"/>
  <c r="G518" i="41" s="1"/>
  <c r="D624" i="41" s="1"/>
  <c r="G624" i="41" s="1"/>
  <c r="D730" i="41" s="1"/>
  <c r="G730" i="41" s="1"/>
  <c r="D836" i="41" s="1"/>
  <c r="G836" i="41" s="1"/>
  <c r="D92" i="57"/>
  <c r="G86" i="123"/>
  <c r="G112" i="123" s="1"/>
  <c r="I112" i="123"/>
  <c r="K93" i="123"/>
  <c r="M106" i="123"/>
  <c r="G97" i="123"/>
  <c r="I106" i="123"/>
  <c r="I108" i="123" s="1"/>
  <c r="I19" i="123" s="1"/>
  <c r="E32" i="110"/>
  <c r="D37" i="110"/>
  <c r="J32" i="110"/>
  <c r="G32" i="110"/>
  <c r="F35" i="110"/>
  <c r="N188" i="74"/>
  <c r="F82" i="136" s="1"/>
  <c r="F188" i="74"/>
  <c r="K25" i="69"/>
  <c r="I18" i="118"/>
  <c r="M18" i="118" s="1"/>
  <c r="M19" i="138" s="1"/>
  <c r="D39" i="136"/>
  <c r="H39" i="136" s="1"/>
  <c r="K48" i="123"/>
  <c r="J32" i="115"/>
  <c r="F34" i="115" s="1"/>
  <c r="I20" i="118"/>
  <c r="M20" i="118" s="1"/>
  <c r="M21" i="138" s="1"/>
  <c r="I20" i="112"/>
  <c r="M20" i="112" s="1"/>
  <c r="I16" i="112"/>
  <c r="I22" i="112"/>
  <c r="M22" i="112" s="1"/>
  <c r="A30" i="86"/>
  <c r="A31" i="86" s="1"/>
  <c r="A32" i="86" s="1"/>
  <c r="A33" i="86" s="1"/>
  <c r="A34" i="86" s="1"/>
  <c r="A35" i="86" s="1"/>
  <c r="A36" i="86" s="1"/>
  <c r="A37" i="86" s="1"/>
  <c r="A38" i="86" s="1"/>
  <c r="A39" i="86" s="1"/>
  <c r="A40" i="86" s="1"/>
  <c r="A41" i="86" s="1"/>
  <c r="Q44" i="86"/>
  <c r="K44" i="86"/>
  <c r="A90" i="44"/>
  <c r="A88" i="44"/>
  <c r="G25" i="101"/>
  <c r="H46" i="102"/>
  <c r="G33" i="102"/>
  <c r="N41" i="102"/>
  <c r="E49" i="102"/>
  <c r="H35" i="102"/>
  <c r="H41" i="102"/>
  <c r="J30" i="102"/>
  <c r="J29" i="102"/>
  <c r="M43" i="102"/>
  <c r="J22" i="102"/>
  <c r="J46" i="102"/>
  <c r="K49" i="87"/>
  <c r="A30" i="87"/>
  <c r="A31" i="87" s="1"/>
  <c r="A32" i="87" s="1"/>
  <c r="A33" i="87" s="1"/>
  <c r="A34" i="87" s="1"/>
  <c r="A35" i="87" s="1"/>
  <c r="A36" i="87" s="1"/>
  <c r="A37" i="87" s="1"/>
  <c r="A38" i="87" s="1"/>
  <c r="A39" i="87" s="1"/>
  <c r="A40" i="87" s="1"/>
  <c r="A41" i="87" s="1"/>
  <c r="A42" i="87" s="1"/>
  <c r="A43" i="87" s="1"/>
  <c r="A44" i="87" s="1"/>
  <c r="A45" i="87" s="1"/>
  <c r="A49" i="87" s="1"/>
  <c r="A52" i="87" s="1"/>
  <c r="H22" i="102"/>
  <c r="K31" i="102"/>
  <c r="F53" i="102"/>
  <c r="L23" i="102"/>
  <c r="I31" i="102"/>
  <c r="I37" i="102" s="1"/>
  <c r="N40" i="102"/>
  <c r="I49" i="102"/>
  <c r="A95" i="48"/>
  <c r="A96" i="48" s="1"/>
  <c r="A98" i="48" s="1"/>
  <c r="A91" i="12"/>
  <c r="A92" i="12" s="1"/>
  <c r="A94" i="12" s="1"/>
  <c r="A92" i="130"/>
  <c r="A93" i="130" s="1"/>
  <c r="A95" i="130" s="1"/>
  <c r="A92" i="7"/>
  <c r="A93" i="7" s="1"/>
  <c r="A95" i="7" s="1"/>
  <c r="A2373" i="57"/>
  <c r="A2374" i="57" s="1"/>
  <c r="A2376" i="57" s="1"/>
  <c r="A147" i="57"/>
  <c r="A148" i="57" s="1"/>
  <c r="A150" i="57" s="1"/>
  <c r="G137" i="41"/>
  <c r="D243" i="41" s="1"/>
  <c r="G243" i="41" s="1"/>
  <c r="A2375" i="41"/>
  <c r="A2376" i="41" s="1"/>
  <c r="A2378" i="41" s="1"/>
  <c r="A149" i="41"/>
  <c r="A150" i="41" s="1"/>
  <c r="A152" i="41" s="1"/>
  <c r="D141" i="57"/>
  <c r="A75" i="47"/>
  <c r="A76" i="47" s="1"/>
  <c r="A78" i="47" s="1"/>
  <c r="A75" i="3"/>
  <c r="A76" i="3" s="1"/>
  <c r="A78" i="3" s="1"/>
  <c r="L32" i="110"/>
  <c r="K47" i="109"/>
  <c r="K32" i="110"/>
  <c r="J47" i="109"/>
  <c r="I47" i="109"/>
  <c r="I32" i="110"/>
  <c r="H47" i="109"/>
  <c r="G30" i="108"/>
  <c r="G38" i="108" s="1"/>
  <c r="G41" i="108" s="1"/>
  <c r="M18" i="112"/>
  <c r="G51" i="123"/>
  <c r="D215" i="58"/>
  <c r="R215" i="58" s="1"/>
  <c r="D206" i="58"/>
  <c r="J206" i="58" s="1"/>
  <c r="D210" i="58"/>
  <c r="D205" i="58"/>
  <c r="G205" i="58" s="1"/>
  <c r="D203" i="58"/>
  <c r="I203" i="58" s="1"/>
  <c r="D207" i="58"/>
  <c r="J207" i="58" s="1"/>
  <c r="D211" i="58"/>
  <c r="I211" i="58" s="1"/>
  <c r="D214" i="58"/>
  <c r="R214" i="58" s="1"/>
  <c r="D212" i="58"/>
  <c r="D204" i="58"/>
  <c r="K204" i="58" s="1"/>
  <c r="D208" i="58"/>
  <c r="H208" i="58" s="1"/>
  <c r="D209" i="58"/>
  <c r="N209" i="58" s="1"/>
  <c r="D96" i="58"/>
  <c r="D103" i="58"/>
  <c r="Q103" i="58" s="1"/>
  <c r="D97" i="58"/>
  <c r="Q97" i="58" s="1"/>
  <c r="D98" i="58"/>
  <c r="D99" i="58"/>
  <c r="D94" i="58"/>
  <c r="D101" i="58"/>
  <c r="D95" i="58"/>
  <c r="D100" i="58"/>
  <c r="D213" i="58"/>
  <c r="D17" i="136"/>
  <c r="D137" i="71"/>
  <c r="F137" i="71" s="1"/>
  <c r="E1212" i="41"/>
  <c r="E28" i="41" s="1"/>
  <c r="E1106" i="41"/>
  <c r="E27" i="41" s="1"/>
  <c r="E894" i="41"/>
  <c r="E25" i="41" s="1"/>
  <c r="E788" i="41"/>
  <c r="E24" i="41" s="1"/>
  <c r="E576" i="41"/>
  <c r="E22" i="41" s="1"/>
  <c r="E2378" i="41"/>
  <c r="E39" i="41" s="1"/>
  <c r="M2272" i="41"/>
  <c r="L38" i="41" s="1"/>
  <c r="E2060" i="41"/>
  <c r="E36" i="41" s="1"/>
  <c r="M1848" i="41"/>
  <c r="L34" i="41" s="1"/>
  <c r="M1742" i="41"/>
  <c r="L33" i="41" s="1"/>
  <c r="M1530" i="41"/>
  <c r="L31" i="41" s="1"/>
  <c r="J98" i="48"/>
  <c r="G95" i="130"/>
  <c r="G95" i="7"/>
  <c r="E541" i="57"/>
  <c r="E2374" i="57"/>
  <c r="F2268" i="57"/>
  <c r="L2268" i="57" s="1"/>
  <c r="E2162" i="57"/>
  <c r="M1950" i="57"/>
  <c r="M1526" i="57"/>
  <c r="M1102" i="57"/>
  <c r="F572" i="57"/>
  <c r="L572" i="57" s="1"/>
  <c r="F254" i="57"/>
  <c r="L254" i="57" s="1"/>
  <c r="M2374" i="57"/>
  <c r="E2268" i="57"/>
  <c r="M2056" i="57"/>
  <c r="F1950" i="57"/>
  <c r="L1950" i="57" s="1"/>
  <c r="E1844" i="57"/>
  <c r="M1632" i="57"/>
  <c r="F1526" i="57"/>
  <c r="L1526" i="57" s="1"/>
  <c r="E1420" i="57"/>
  <c r="M1208" i="57"/>
  <c r="F1102" i="57"/>
  <c r="L1102" i="57" s="1"/>
  <c r="E996" i="57"/>
  <c r="F678" i="57"/>
  <c r="L678" i="57" s="1"/>
  <c r="M360" i="57"/>
  <c r="M2162" i="57"/>
  <c r="F2056" i="57"/>
  <c r="L2056" i="57" s="1"/>
  <c r="E1950" i="57"/>
  <c r="M1738" i="57"/>
  <c r="F1632" i="57"/>
  <c r="L1632" i="57" s="1"/>
  <c r="E1526" i="57"/>
  <c r="M1314" i="57"/>
  <c r="F1208" i="57"/>
  <c r="E1102" i="57"/>
  <c r="M890" i="57"/>
  <c r="F784" i="57"/>
  <c r="L784" i="57" s="1"/>
  <c r="E678" i="57"/>
  <c r="M466" i="57"/>
  <c r="F360" i="57"/>
  <c r="L360" i="57" s="1"/>
  <c r="E254" i="57"/>
  <c r="E148" i="57"/>
  <c r="F1844" i="57"/>
  <c r="L1844" i="57" s="1"/>
  <c r="E1314" i="57"/>
  <c r="E890" i="57"/>
  <c r="M254" i="57"/>
  <c r="F148" i="57"/>
  <c r="F2374" i="57"/>
  <c r="L2374" i="57" s="1"/>
  <c r="M2268" i="57"/>
  <c r="F2162" i="57"/>
  <c r="L2162" i="57" s="1"/>
  <c r="E2056" i="57"/>
  <c r="M1844" i="57"/>
  <c r="F1738" i="57"/>
  <c r="L1738" i="57" s="1"/>
  <c r="E1632" i="57"/>
  <c r="M1420" i="57"/>
  <c r="F1314" i="57"/>
  <c r="L1314" i="57" s="1"/>
  <c r="E1208" i="57"/>
  <c r="M996" i="57"/>
  <c r="F890" i="57"/>
  <c r="L890" i="57" s="1"/>
  <c r="E784" i="57"/>
  <c r="M572" i="57"/>
  <c r="F466" i="57"/>
  <c r="L466" i="57" s="1"/>
  <c r="E360" i="57"/>
  <c r="M148" i="57"/>
  <c r="E1738" i="57"/>
  <c r="F1420" i="57"/>
  <c r="L1420" i="57" s="1"/>
  <c r="F996" i="57"/>
  <c r="L996" i="57" s="1"/>
  <c r="M678" i="57"/>
  <c r="E466" i="57"/>
  <c r="M784" i="57"/>
  <c r="E572" i="57"/>
  <c r="M2166" i="41"/>
  <c r="L37" i="41" s="1"/>
  <c r="M1954" i="41"/>
  <c r="L35" i="41" s="1"/>
  <c r="M1636" i="41"/>
  <c r="L32" i="41" s="1"/>
  <c r="F1212" i="41"/>
  <c r="F28" i="41" s="1"/>
  <c r="F894" i="41"/>
  <c r="F25" i="41" s="1"/>
  <c r="E1318" i="41"/>
  <c r="E29" i="41" s="1"/>
  <c r="M364" i="41"/>
  <c r="L20" i="41" s="1"/>
  <c r="M2378" i="41"/>
  <c r="L39" i="41" s="1"/>
  <c r="E2272" i="41"/>
  <c r="E38" i="41" s="1"/>
  <c r="M2060" i="41"/>
  <c r="L36" i="41" s="1"/>
  <c r="E1848" i="41"/>
  <c r="E34" i="41" s="1"/>
  <c r="E1742" i="41"/>
  <c r="E33" i="41" s="1"/>
  <c r="E1530" i="41"/>
  <c r="E31" i="41" s="1"/>
  <c r="M1212" i="41"/>
  <c r="L28" i="41" s="1"/>
  <c r="M1106" i="41"/>
  <c r="L27" i="41" s="1"/>
  <c r="M894" i="41"/>
  <c r="L25" i="41" s="1"/>
  <c r="M788" i="41"/>
  <c r="L24" i="41" s="1"/>
  <c r="M576" i="41"/>
  <c r="L22" i="41" s="1"/>
  <c r="E2166" i="41"/>
  <c r="E37" i="41" s="1"/>
  <c r="E1954" i="41"/>
  <c r="E35" i="41" s="1"/>
  <c r="E1636" i="41"/>
  <c r="E32" i="41" s="1"/>
  <c r="M1424" i="41"/>
  <c r="L30" i="41" s="1"/>
  <c r="M1000" i="41"/>
  <c r="L26" i="41" s="1"/>
  <c r="M682" i="41"/>
  <c r="L23" i="41" s="1"/>
  <c r="M470" i="41"/>
  <c r="L21" i="41" s="1"/>
  <c r="M258" i="41"/>
  <c r="L19" i="41" s="1"/>
  <c r="E1424" i="41"/>
  <c r="E30" i="41" s="1"/>
  <c r="M1318" i="41"/>
  <c r="L29" i="41" s="1"/>
  <c r="E1000" i="41"/>
  <c r="E26" i="41" s="1"/>
  <c r="E682" i="41"/>
  <c r="E23" i="41" s="1"/>
  <c r="E470" i="41"/>
  <c r="E21" i="41" s="1"/>
  <c r="E364" i="41"/>
  <c r="E20" i="41" s="1"/>
  <c r="E258" i="41"/>
  <c r="E19" i="41" s="1"/>
  <c r="F2378" i="41"/>
  <c r="F39" i="41" s="1"/>
  <c r="F2272" i="41"/>
  <c r="F38" i="41" s="1"/>
  <c r="F2166" i="41"/>
  <c r="F37" i="41" s="1"/>
  <c r="F2060" i="41"/>
  <c r="F36" i="41" s="1"/>
  <c r="F1954" i="41"/>
  <c r="F35" i="41" s="1"/>
  <c r="F1848" i="41"/>
  <c r="F34" i="41" s="1"/>
  <c r="F1742" i="41"/>
  <c r="F33" i="41" s="1"/>
  <c r="F1636" i="41"/>
  <c r="F32" i="41" s="1"/>
  <c r="F1530" i="41"/>
  <c r="F31" i="41" s="1"/>
  <c r="F1424" i="41"/>
  <c r="F30" i="41" s="1"/>
  <c r="F1318" i="41"/>
  <c r="F29" i="41" s="1"/>
  <c r="F1106" i="41"/>
  <c r="F27" i="41" s="1"/>
  <c r="F1000" i="41"/>
  <c r="F26" i="41" s="1"/>
  <c r="F788" i="41"/>
  <c r="F24" i="41" s="1"/>
  <c r="F682" i="41"/>
  <c r="F23" i="41" s="1"/>
  <c r="F576" i="41"/>
  <c r="F22" i="41" s="1"/>
  <c r="F470" i="41"/>
  <c r="F21" i="41" s="1"/>
  <c r="F364" i="41"/>
  <c r="F20" i="41" s="1"/>
  <c r="F258" i="41"/>
  <c r="F19" i="41" s="1"/>
  <c r="D18" i="49"/>
  <c r="I16" i="49"/>
  <c r="D17" i="34"/>
  <c r="F17" i="34" s="1"/>
  <c r="I19" i="22" s="1"/>
  <c r="L19" i="22" s="1"/>
  <c r="A2270" i="57"/>
  <c r="A2164" i="57"/>
  <c r="A2058" i="57"/>
  <c r="A1952" i="57"/>
  <c r="A1846" i="57"/>
  <c r="A1740" i="57"/>
  <c r="A1634" i="57"/>
  <c r="A1528" i="57"/>
  <c r="A1422" i="57"/>
  <c r="A1316" i="57"/>
  <c r="A1210" i="57"/>
  <c r="A1104" i="57"/>
  <c r="A998" i="57"/>
  <c r="A892" i="57"/>
  <c r="A786" i="57"/>
  <c r="A680" i="57"/>
  <c r="A574" i="57"/>
  <c r="A468" i="57"/>
  <c r="A362" i="57"/>
  <c r="A2272" i="41"/>
  <c r="A2166" i="41"/>
  <c r="A2060" i="41"/>
  <c r="A1954" i="41"/>
  <c r="A1848" i="41"/>
  <c r="A1742" i="41"/>
  <c r="A1636" i="41"/>
  <c r="A1530" i="41"/>
  <c r="A1424" i="41"/>
  <c r="A1318" i="41"/>
  <c r="A1212" i="41"/>
  <c r="A1106" i="41"/>
  <c r="A1000" i="41"/>
  <c r="A894" i="41"/>
  <c r="A788" i="41"/>
  <c r="A682" i="41"/>
  <c r="A576" i="41"/>
  <c r="A470" i="41"/>
  <c r="A364" i="41"/>
  <c r="M152" i="41"/>
  <c r="L18" i="41" s="1"/>
  <c r="F152" i="41"/>
  <c r="F18" i="41" s="1"/>
  <c r="E152" i="41"/>
  <c r="E18" i="41" s="1"/>
  <c r="A258" i="41"/>
  <c r="A25" i="27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D44" i="71"/>
  <c r="F44" i="71" s="1"/>
  <c r="D26" i="71"/>
  <c r="F26" i="71" s="1"/>
  <c r="D22" i="136"/>
  <c r="H21" i="136"/>
  <c r="D86" i="41"/>
  <c r="G86" i="41" s="1"/>
  <c r="D192" i="41" s="1"/>
  <c r="G192" i="41" s="1"/>
  <c r="D298" i="41" s="1"/>
  <c r="G298" i="41" s="1"/>
  <c r="D404" i="41" s="1"/>
  <c r="G404" i="41" s="1"/>
  <c r="D70" i="41"/>
  <c r="G70" i="41" s="1"/>
  <c r="D176" i="41" s="1"/>
  <c r="G176" i="41" s="1"/>
  <c r="D143" i="41"/>
  <c r="G143" i="41" s="1"/>
  <c r="D249" i="41" s="1"/>
  <c r="G249" i="41" s="1"/>
  <c r="D355" i="41" s="1"/>
  <c r="G355" i="41" s="1"/>
  <c r="D461" i="41" s="1"/>
  <c r="G461" i="41" s="1"/>
  <c r="D567" i="41" s="1"/>
  <c r="G567" i="41" s="1"/>
  <c r="D673" i="41" s="1"/>
  <c r="G673" i="41" s="1"/>
  <c r="D779" i="41" s="1"/>
  <c r="G779" i="41" s="1"/>
  <c r="D97" i="57"/>
  <c r="D118" i="41"/>
  <c r="G118" i="41" s="1"/>
  <c r="D79" i="57"/>
  <c r="D84" i="41"/>
  <c r="G84" i="41" s="1"/>
  <c r="K84" i="41" s="1"/>
  <c r="N84" i="41" s="1"/>
  <c r="I190" i="41" s="1"/>
  <c r="N158" i="74"/>
  <c r="F30" i="136" s="1"/>
  <c r="H30" i="136" s="1"/>
  <c r="A101" i="74"/>
  <c r="F2091" i="57"/>
  <c r="L2091" i="57" s="1"/>
  <c r="Q76" i="120"/>
  <c r="Q78" i="120" s="1"/>
  <c r="I104" i="120"/>
  <c r="I151" i="120"/>
  <c r="F1142" i="57"/>
  <c r="L1142" i="57" s="1"/>
  <c r="E1936" i="57"/>
  <c r="E613" i="57"/>
  <c r="I72" i="120"/>
  <c r="I74" i="120" s="1"/>
  <c r="I150" i="120" s="1"/>
  <c r="Q151" i="120"/>
  <c r="F873" i="57"/>
  <c r="L873" i="57" s="1"/>
  <c r="L103" i="120"/>
  <c r="N103" i="120"/>
  <c r="L35" i="120"/>
  <c r="M72" i="120"/>
  <c r="M74" i="120" s="1"/>
  <c r="M150" i="120" s="1"/>
  <c r="I35" i="120"/>
  <c r="K35" i="120"/>
  <c r="M1299" i="57"/>
  <c r="M2255" i="57"/>
  <c r="M1715" i="57"/>
  <c r="E2349" i="57"/>
  <c r="F1471" i="57"/>
  <c r="L1471" i="57" s="1"/>
  <c r="F2260" i="57"/>
  <c r="L2260" i="57" s="1"/>
  <c r="F2187" i="57"/>
  <c r="L2187" i="57" s="1"/>
  <c r="M1414" i="57"/>
  <c r="E1764" i="57"/>
  <c r="E1145" i="57"/>
  <c r="F1817" i="57"/>
  <c r="L1817" i="57" s="1"/>
  <c r="E2348" i="57"/>
  <c r="E1943" i="57"/>
  <c r="E722" i="57"/>
  <c r="E1733" i="57"/>
  <c r="M2345" i="57"/>
  <c r="M188" i="57"/>
  <c r="E623" i="57"/>
  <c r="M449" i="57"/>
  <c r="M668" i="57"/>
  <c r="M837" i="57"/>
  <c r="F1097" i="57"/>
  <c r="L1097" i="57" s="1"/>
  <c r="E1450" i="57"/>
  <c r="E1451" i="57" s="1"/>
  <c r="F1615" i="57"/>
  <c r="L1615" i="57" s="1"/>
  <c r="M1717" i="57"/>
  <c r="F1777" i="57"/>
  <c r="L1777" i="57" s="1"/>
  <c r="M1881" i="57"/>
  <c r="F2039" i="57"/>
  <c r="L2039" i="57" s="1"/>
  <c r="E2157" i="57"/>
  <c r="F2241" i="57"/>
  <c r="L2241" i="57" s="1"/>
  <c r="M2305" i="57"/>
  <c r="F2365" i="57"/>
  <c r="L2365" i="57" s="1"/>
  <c r="F2262" i="57"/>
  <c r="L2262" i="57" s="1"/>
  <c r="F2199" i="57"/>
  <c r="L2199" i="57" s="1"/>
  <c r="F2111" i="57"/>
  <c r="L2111" i="57" s="1"/>
  <c r="E2001" i="57"/>
  <c r="F1768" i="57"/>
  <c r="L1768" i="57" s="1"/>
  <c r="L1769" i="57" s="1"/>
  <c r="M1516" i="57"/>
  <c r="F1193" i="57"/>
  <c r="L1193" i="57" s="1"/>
  <c r="F774" i="57"/>
  <c r="L774" i="57" s="1"/>
  <c r="M412" i="57"/>
  <c r="F1926" i="57"/>
  <c r="L1926" i="57" s="1"/>
  <c r="E983" i="57"/>
  <c r="E328" i="57"/>
  <c r="M943" i="57"/>
  <c r="F1194" i="57"/>
  <c r="L1194" i="57" s="1"/>
  <c r="F1309" i="57"/>
  <c r="L1309" i="57" s="1"/>
  <c r="E1503" i="57"/>
  <c r="F2320" i="57"/>
  <c r="L2320" i="57" s="1"/>
  <c r="E2246" i="57"/>
  <c r="E2146" i="57"/>
  <c r="M2052" i="57"/>
  <c r="M1919" i="57"/>
  <c r="M1615" i="57"/>
  <c r="F1389" i="57"/>
  <c r="L1389" i="57" s="1"/>
  <c r="F1021" i="57"/>
  <c r="L1021" i="57" s="1"/>
  <c r="F563" i="57"/>
  <c r="L563" i="57" s="1"/>
  <c r="F2302" i="57"/>
  <c r="L2302" i="57" s="1"/>
  <c r="M1580" i="57"/>
  <c r="F778" i="57"/>
  <c r="L778" i="57" s="1"/>
  <c r="M2262" i="57"/>
  <c r="F309" i="57"/>
  <c r="L309" i="57" s="1"/>
  <c r="M733" i="57"/>
  <c r="E142" i="57"/>
  <c r="E352" i="57"/>
  <c r="F518" i="57"/>
  <c r="L518" i="57" s="1"/>
  <c r="E650" i="57"/>
  <c r="E759" i="57"/>
  <c r="E1090" i="57"/>
  <c r="E1204" i="57"/>
  <c r="M1390" i="57"/>
  <c r="E1579" i="57"/>
  <c r="E1674" i="57"/>
  <c r="M2141" i="57"/>
  <c r="F2201" i="57"/>
  <c r="L2201" i="57" s="1"/>
  <c r="E2308" i="57"/>
  <c r="M2212" i="57"/>
  <c r="E2136" i="57"/>
  <c r="E2044" i="57"/>
  <c r="M1817" i="57"/>
  <c r="M1568" i="57"/>
  <c r="M1305" i="57"/>
  <c r="M866" i="57"/>
  <c r="F516" i="57"/>
  <c r="L516" i="57" s="1"/>
  <c r="E2239" i="57"/>
  <c r="F1200" i="57"/>
  <c r="L1200" i="57" s="1"/>
  <c r="I152" i="120"/>
  <c r="E708" i="57"/>
  <c r="E709" i="57" s="1"/>
  <c r="M821" i="57"/>
  <c r="F1026" i="57"/>
  <c r="F1027" i="57" s="1"/>
  <c r="E1177" i="57"/>
  <c r="F1287" i="57"/>
  <c r="L1287" i="57" s="1"/>
  <c r="F1405" i="57"/>
  <c r="L1405" i="57" s="1"/>
  <c r="F1519" i="57"/>
  <c r="L1519" i="57" s="1"/>
  <c r="F1836" i="57"/>
  <c r="L1836" i="57" s="1"/>
  <c r="M1921" i="57"/>
  <c r="E2003" i="57"/>
  <c r="E2098" i="57"/>
  <c r="E2360" i="57"/>
  <c r="M2357" i="57"/>
  <c r="F2303" i="57"/>
  <c r="L2303" i="57" s="1"/>
  <c r="E2238" i="57"/>
  <c r="M2154" i="57"/>
  <c r="F2097" i="57"/>
  <c r="L2097" i="57" s="1"/>
  <c r="E2034" i="57"/>
  <c r="F1868" i="57"/>
  <c r="L1868" i="57" s="1"/>
  <c r="E1668" i="57"/>
  <c r="F1473" i="57"/>
  <c r="L1473" i="57" s="1"/>
  <c r="M1252" i="57"/>
  <c r="M941" i="57"/>
  <c r="M657" i="57"/>
  <c r="E332" i="57"/>
  <c r="M2096" i="57"/>
  <c r="E1397" i="57"/>
  <c r="E140" i="57"/>
  <c r="E296" i="57"/>
  <c r="M329" i="57"/>
  <c r="M413" i="57"/>
  <c r="M454" i="57"/>
  <c r="M520" i="57"/>
  <c r="E595" i="57"/>
  <c r="E625" i="57"/>
  <c r="M661" i="57"/>
  <c r="M670" i="57"/>
  <c r="E715" i="57"/>
  <c r="M728" i="57"/>
  <c r="F755" i="57"/>
  <c r="L755" i="57" s="1"/>
  <c r="M771" i="57"/>
  <c r="M822" i="57"/>
  <c r="M838" i="57"/>
  <c r="E875" i="57"/>
  <c r="M972" i="57"/>
  <c r="F1086" i="57"/>
  <c r="L1086" i="57" s="1"/>
  <c r="E1092" i="57"/>
  <c r="E1098" i="57"/>
  <c r="E1181" i="57"/>
  <c r="M1196" i="57"/>
  <c r="E1242" i="57"/>
  <c r="F1262" i="57"/>
  <c r="L1262" i="57" s="1"/>
  <c r="M1289" i="57"/>
  <c r="F1301" i="57"/>
  <c r="L1301" i="57" s="1"/>
  <c r="E1354" i="57"/>
  <c r="F1392" i="57"/>
  <c r="L1392" i="57" s="1"/>
  <c r="M1413" i="57"/>
  <c r="E1458" i="57"/>
  <c r="E1474" i="57"/>
  <c r="F1510" i="57"/>
  <c r="L1510" i="57" s="1"/>
  <c r="E1563" i="57"/>
  <c r="M1603" i="57"/>
  <c r="E1618" i="57"/>
  <c r="E1685" i="57"/>
  <c r="F1721" i="57"/>
  <c r="L1721" i="57" s="1"/>
  <c r="E1780" i="57"/>
  <c r="M1823" i="57"/>
  <c r="E1839" i="57"/>
  <c r="F1883" i="57"/>
  <c r="L1883" i="57" s="1"/>
  <c r="F1923" i="57"/>
  <c r="L1923" i="57" s="1"/>
  <c r="F1942" i="57"/>
  <c r="L1942" i="57" s="1"/>
  <c r="M1987" i="57"/>
  <c r="M2027" i="57"/>
  <c r="E2042" i="57"/>
  <c r="E2109" i="57"/>
  <c r="F2145" i="57"/>
  <c r="L2145" i="57" s="1"/>
  <c r="E2204" i="57"/>
  <c r="M2247" i="57"/>
  <c r="E2263" i="57"/>
  <c r="F2307" i="57"/>
  <c r="L2307" i="57" s="1"/>
  <c r="F2347" i="57"/>
  <c r="L2347" i="57" s="1"/>
  <c r="F2366" i="57"/>
  <c r="L2366" i="57" s="1"/>
  <c r="M2370" i="57"/>
  <c r="E2362" i="57"/>
  <c r="F2353" i="57"/>
  <c r="L2353" i="57" s="1"/>
  <c r="F2345" i="57"/>
  <c r="L2345" i="57" s="1"/>
  <c r="E2319" i="57"/>
  <c r="M2307" i="57"/>
  <c r="F2294" i="57"/>
  <c r="L2294" i="57" s="1"/>
  <c r="E2261" i="57"/>
  <c r="F2253" i="57"/>
  <c r="L2253" i="57" s="1"/>
  <c r="F2243" i="57"/>
  <c r="L2243" i="57" s="1"/>
  <c r="M2237" i="57"/>
  <c r="F2206" i="57"/>
  <c r="L2206" i="57" s="1"/>
  <c r="M2197" i="57"/>
  <c r="F2186" i="57"/>
  <c r="L2186" i="57" s="1"/>
  <c r="F2153" i="57"/>
  <c r="L2153" i="57" s="1"/>
  <c r="F2141" i="57"/>
  <c r="L2141" i="57" s="1"/>
  <c r="M2135" i="57"/>
  <c r="F2108" i="57"/>
  <c r="L2108" i="57" s="1"/>
  <c r="M2095" i="57"/>
  <c r="F2086" i="57"/>
  <c r="F2087" i="57" s="1"/>
  <c r="F2050" i="57"/>
  <c r="L2050" i="57" s="1"/>
  <c r="F2041" i="57"/>
  <c r="L2041" i="57" s="1"/>
  <c r="M2033" i="57"/>
  <c r="E1990" i="57"/>
  <c r="M1937" i="57"/>
  <c r="M1894" i="57"/>
  <c r="M1836" i="57"/>
  <c r="F1793" i="57"/>
  <c r="L1793" i="57" s="1"/>
  <c r="M1734" i="57"/>
  <c r="F1709" i="57"/>
  <c r="L1709" i="57" s="1"/>
  <c r="F1658" i="57"/>
  <c r="L1658" i="57" s="1"/>
  <c r="F1607" i="57"/>
  <c r="L1607" i="57" s="1"/>
  <c r="F1562" i="57"/>
  <c r="L1562" i="57" s="1"/>
  <c r="M1510" i="57"/>
  <c r="M1463" i="57"/>
  <c r="M1408" i="57"/>
  <c r="F1364" i="57"/>
  <c r="L1364" i="57" s="1"/>
  <c r="M1300" i="57"/>
  <c r="E1246" i="57"/>
  <c r="M1183" i="57"/>
  <c r="E1132" i="57"/>
  <c r="E1133" i="57" s="1"/>
  <c r="M983" i="57"/>
  <c r="E933" i="57"/>
  <c r="F770" i="57"/>
  <c r="L770" i="57" s="1"/>
  <c r="M717" i="57"/>
  <c r="E560" i="57"/>
  <c r="F507" i="57"/>
  <c r="L507" i="57" s="1"/>
  <c r="F401" i="57"/>
  <c r="L401" i="57" s="1"/>
  <c r="F298" i="57"/>
  <c r="L298" i="57" s="1"/>
  <c r="M142" i="57"/>
  <c r="F2342" i="57"/>
  <c r="L2342" i="57" s="1"/>
  <c r="F2290" i="57"/>
  <c r="L2290" i="57" s="1"/>
  <c r="F2215" i="57"/>
  <c r="L2215" i="57" s="1"/>
  <c r="E2047" i="57"/>
  <c r="M1884" i="57"/>
  <c r="F1714" i="57"/>
  <c r="L1714" i="57" s="1"/>
  <c r="E1521" i="57"/>
  <c r="F1353" i="57"/>
  <c r="L1353" i="57" s="1"/>
  <c r="E1153" i="57"/>
  <c r="F926" i="57"/>
  <c r="L926" i="57" s="1"/>
  <c r="M549" i="57"/>
  <c r="F356" i="57"/>
  <c r="L356" i="57" s="1"/>
  <c r="F1336" i="57"/>
  <c r="L1336" i="57" s="1"/>
  <c r="F1668" i="57"/>
  <c r="L1668" i="57" s="1"/>
  <c r="E1730" i="57"/>
  <c r="F1792" i="57"/>
  <c r="L1792" i="57" s="1"/>
  <c r="F1821" i="57"/>
  <c r="L1821" i="57" s="1"/>
  <c r="M1885" i="57"/>
  <c r="F1938" i="57"/>
  <c r="L1938" i="57" s="1"/>
  <c r="M2032" i="57"/>
  <c r="F2149" i="57"/>
  <c r="L2149" i="57" s="1"/>
  <c r="F2256" i="57"/>
  <c r="L2256" i="57" s="1"/>
  <c r="E2307" i="57"/>
  <c r="E1183" i="57"/>
  <c r="F1286" i="57"/>
  <c r="L1286" i="57" s="1"/>
  <c r="M1288" i="57"/>
  <c r="F1192" i="57"/>
  <c r="L1192" i="57" s="1"/>
  <c r="M1368" i="57"/>
  <c r="E1404" i="57"/>
  <c r="M1503" i="57"/>
  <c r="F1580" i="57"/>
  <c r="L1580" i="57" s="1"/>
  <c r="F1610" i="57"/>
  <c r="L1610" i="57" s="1"/>
  <c r="M1684" i="57"/>
  <c r="F1707" i="57"/>
  <c r="L1707" i="57" s="1"/>
  <c r="M1839" i="57"/>
  <c r="E1894" i="57"/>
  <c r="E1922" i="57"/>
  <c r="E2048" i="57"/>
  <c r="E2135" i="57"/>
  <c r="F2158" i="57"/>
  <c r="L2158" i="57" s="1"/>
  <c r="M2204" i="57"/>
  <c r="M2243" i="57"/>
  <c r="E2346" i="57"/>
  <c r="M2369" i="57"/>
  <c r="E2351" i="57"/>
  <c r="F2308" i="57"/>
  <c r="L2308" i="57" s="1"/>
  <c r="E2255" i="57"/>
  <c r="M2206" i="57"/>
  <c r="M2153" i="57"/>
  <c r="E2110" i="57"/>
  <c r="E2052" i="57"/>
  <c r="M2028" i="57"/>
  <c r="E1973" i="57"/>
  <c r="E1927" i="57"/>
  <c r="F1884" i="57"/>
  <c r="L1884" i="57" s="1"/>
  <c r="E1831" i="57"/>
  <c r="M1782" i="57"/>
  <c r="M1729" i="57"/>
  <c r="E1686" i="57"/>
  <c r="E1628" i="57"/>
  <c r="M1604" i="57"/>
  <c r="E1561" i="57"/>
  <c r="F1511" i="57"/>
  <c r="L1511" i="57" s="1"/>
  <c r="F1475" i="57"/>
  <c r="L1475" i="57" s="1"/>
  <c r="E1459" i="57"/>
  <c r="E1444" i="57"/>
  <c r="F1399" i="57"/>
  <c r="L1399" i="57" s="1"/>
  <c r="E1369" i="57"/>
  <c r="F1354" i="57"/>
  <c r="L1354" i="57" s="1"/>
  <c r="E1336" i="57"/>
  <c r="F1303" i="57"/>
  <c r="L1303" i="57" s="1"/>
  <c r="E1285" i="57"/>
  <c r="M1243" i="57"/>
  <c r="E1196" i="57"/>
  <c r="F1182" i="57"/>
  <c r="L1182" i="57" s="1"/>
  <c r="F1154" i="57"/>
  <c r="L1154" i="57" s="1"/>
  <c r="M1080" i="57"/>
  <c r="E1051" i="57"/>
  <c r="M1032" i="57"/>
  <c r="E974" i="57"/>
  <c r="F970" i="57"/>
  <c r="L970" i="57" s="1"/>
  <c r="E883" i="57"/>
  <c r="E879" i="57"/>
  <c r="F859" i="57"/>
  <c r="L859" i="57" s="1"/>
  <c r="E836" i="57"/>
  <c r="M828" i="57"/>
  <c r="M818" i="57"/>
  <c r="E762" i="57"/>
  <c r="F712" i="57"/>
  <c r="L712" i="57" s="1"/>
  <c r="M672" i="57"/>
  <c r="E652" i="57"/>
  <c r="F627" i="57"/>
  <c r="L627" i="57" s="1"/>
  <c r="F616" i="57"/>
  <c r="L616" i="57" s="1"/>
  <c r="E606" i="57"/>
  <c r="M545" i="57"/>
  <c r="M516" i="57"/>
  <c r="M462" i="57"/>
  <c r="F450" i="57"/>
  <c r="L450" i="57" s="1"/>
  <c r="E403" i="57"/>
  <c r="F344" i="57"/>
  <c r="L344" i="57" s="1"/>
  <c r="F297" i="57"/>
  <c r="L297" i="57" s="1"/>
  <c r="E276" i="57"/>
  <c r="M226" i="57"/>
  <c r="F189" i="57"/>
  <c r="L189" i="57" s="1"/>
  <c r="M121" i="57"/>
  <c r="M68" i="57"/>
  <c r="E77" i="57"/>
  <c r="E83" i="57"/>
  <c r="M92" i="57"/>
  <c r="M96" i="57"/>
  <c r="M1833" i="57"/>
  <c r="F2238" i="57"/>
  <c r="L2238" i="57" s="1"/>
  <c r="M2321" i="57"/>
  <c r="F2367" i="57"/>
  <c r="L2367" i="57" s="1"/>
  <c r="E2322" i="57"/>
  <c r="E2258" i="57"/>
  <c r="M2200" i="57"/>
  <c r="E2139" i="57"/>
  <c r="E2078" i="57"/>
  <c r="F2001" i="57"/>
  <c r="L2001" i="57" s="1"/>
  <c r="M1941" i="57"/>
  <c r="E1887" i="57"/>
  <c r="F1818" i="57"/>
  <c r="L1818" i="57" s="1"/>
  <c r="E1761" i="57"/>
  <c r="E1707" i="57"/>
  <c r="E1622" i="57"/>
  <c r="M1570" i="57"/>
  <c r="E1514" i="57"/>
  <c r="F1472" i="57"/>
  <c r="L1472" i="57" s="1"/>
  <c r="E1446" i="57"/>
  <c r="F1406" i="57"/>
  <c r="L1406" i="57" s="1"/>
  <c r="F1366" i="57"/>
  <c r="L1366" i="57" s="1"/>
  <c r="E1350" i="57"/>
  <c r="F1306" i="57"/>
  <c r="L1306" i="57" s="1"/>
  <c r="M1263" i="57"/>
  <c r="M1247" i="57"/>
  <c r="M1198" i="57"/>
  <c r="F1178" i="57"/>
  <c r="L1178" i="57" s="1"/>
  <c r="M1136" i="57"/>
  <c r="F1070" i="57"/>
  <c r="L1070" i="57" s="1"/>
  <c r="M1031" i="57"/>
  <c r="F972" i="57"/>
  <c r="L972" i="57" s="1"/>
  <c r="E884" i="57"/>
  <c r="F878" i="57"/>
  <c r="L878" i="57" s="1"/>
  <c r="E838" i="57"/>
  <c r="E808" i="57"/>
  <c r="F760" i="57"/>
  <c r="L760" i="57" s="1"/>
  <c r="F700" i="57"/>
  <c r="L700" i="57" s="1"/>
  <c r="F651" i="57"/>
  <c r="L651" i="57" s="1"/>
  <c r="F625" i="57"/>
  <c r="L625" i="57" s="1"/>
  <c r="F607" i="57"/>
  <c r="L607" i="57" s="1"/>
  <c r="F543" i="57"/>
  <c r="L543" i="57" s="1"/>
  <c r="F456" i="57"/>
  <c r="L456" i="57" s="1"/>
  <c r="F351" i="57"/>
  <c r="L351" i="57" s="1"/>
  <c r="E329" i="57"/>
  <c r="M291" i="57"/>
  <c r="E198" i="57"/>
  <c r="F144" i="57"/>
  <c r="L144" i="57" s="1"/>
  <c r="E66" i="57"/>
  <c r="E79" i="57"/>
  <c r="M85" i="57"/>
  <c r="F96" i="57"/>
  <c r="L96" i="57" s="1"/>
  <c r="E120" i="57"/>
  <c r="F125" i="57"/>
  <c r="L125" i="57" s="1"/>
  <c r="E134" i="57"/>
  <c r="M140" i="57"/>
  <c r="E144" i="57"/>
  <c r="F184" i="57"/>
  <c r="L184" i="57" s="1"/>
  <c r="M190" i="57"/>
  <c r="E199" i="57"/>
  <c r="E224" i="57"/>
  <c r="F229" i="57"/>
  <c r="L229" i="57" s="1"/>
  <c r="M237" i="57"/>
  <c r="E242" i="57"/>
  <c r="F248" i="57"/>
  <c r="L248" i="57" s="1"/>
  <c r="E284" i="57"/>
  <c r="E285" i="57" s="1"/>
  <c r="F291" i="57"/>
  <c r="L291" i="57" s="1"/>
  <c r="M297" i="57"/>
  <c r="F307" i="57"/>
  <c r="L307" i="57" s="1"/>
  <c r="M330" i="57"/>
  <c r="E335" i="57"/>
  <c r="M344" i="57"/>
  <c r="M350" i="57"/>
  <c r="F355" i="57"/>
  <c r="L355" i="57" s="1"/>
  <c r="E385" i="57"/>
  <c r="M394" i="57"/>
  <c r="F398" i="57"/>
  <c r="L398" i="57" s="1"/>
  <c r="M403" i="57"/>
  <c r="F413" i="57"/>
  <c r="L413" i="57" s="1"/>
  <c r="M436" i="57"/>
  <c r="E441" i="57"/>
  <c r="M450" i="57"/>
  <c r="M456" i="57"/>
  <c r="M1714" i="57"/>
  <c r="F2026" i="57"/>
  <c r="L2026" i="57" s="1"/>
  <c r="E2090" i="57"/>
  <c r="M2253" i="57"/>
  <c r="F2311" i="57"/>
  <c r="L2311" i="57" s="1"/>
  <c r="M2350" i="57"/>
  <c r="M2365" i="57"/>
  <c r="E2311" i="57"/>
  <c r="E396" i="57"/>
  <c r="M759" i="57"/>
  <c r="F1033" i="57"/>
  <c r="L1033" i="57" s="1"/>
  <c r="M1512" i="57"/>
  <c r="E1405" i="57"/>
  <c r="E1933" i="57"/>
  <c r="E2342" i="57"/>
  <c r="M2362" i="57"/>
  <c r="E2264" i="57"/>
  <c r="E2185" i="57"/>
  <c r="E2099" i="57"/>
  <c r="F2030" i="57"/>
  <c r="L2030" i="57" s="1"/>
  <c r="F1934" i="57"/>
  <c r="L1934" i="57" s="1"/>
  <c r="E1840" i="57"/>
  <c r="M1776" i="57"/>
  <c r="E1675" i="57"/>
  <c r="F1606" i="57"/>
  <c r="L1606" i="57" s="1"/>
  <c r="F1517" i="57"/>
  <c r="L1517" i="57" s="1"/>
  <c r="M1470" i="57"/>
  <c r="E1411" i="57"/>
  <c r="F1388" i="57"/>
  <c r="L1388" i="57" s="1"/>
  <c r="E1337" i="57"/>
  <c r="E1293" i="57"/>
  <c r="F1249" i="57"/>
  <c r="L1249" i="57" s="1"/>
  <c r="M1193" i="57"/>
  <c r="M1156" i="57"/>
  <c r="M1078" i="57"/>
  <c r="E1020" i="57"/>
  <c r="M932" i="57"/>
  <c r="E880" i="57"/>
  <c r="E837" i="57"/>
  <c r="M825" i="57"/>
  <c r="F761" i="57"/>
  <c r="L761" i="57" s="1"/>
  <c r="M665" i="57"/>
  <c r="F649" i="57"/>
  <c r="L649" i="57" s="1"/>
  <c r="E608" i="57"/>
  <c r="M521" i="57"/>
  <c r="F460" i="57"/>
  <c r="L460" i="57" s="1"/>
  <c r="F414" i="57"/>
  <c r="L414" i="57" s="1"/>
  <c r="E304" i="57"/>
  <c r="M233" i="57"/>
  <c r="F171" i="57"/>
  <c r="L171" i="57" s="1"/>
  <c r="E72" i="57"/>
  <c r="E73" i="57" s="1"/>
  <c r="M81" i="57"/>
  <c r="E95" i="57"/>
  <c r="F121" i="57"/>
  <c r="L121" i="57" s="1"/>
  <c r="F131" i="57"/>
  <c r="L131" i="57" s="1"/>
  <c r="M138" i="57"/>
  <c r="E172" i="57"/>
  <c r="E187" i="57"/>
  <c r="M198" i="57"/>
  <c r="F225" i="57"/>
  <c r="L225" i="57" s="1"/>
  <c r="E232" i="57"/>
  <c r="M241" i="57"/>
  <c r="M250" i="57"/>
  <c r="M289" i="57"/>
  <c r="F295" i="57"/>
  <c r="L295" i="57" s="1"/>
  <c r="M308" i="57"/>
  <c r="F332" i="57"/>
  <c r="L332" i="57" s="1"/>
  <c r="E339" i="57"/>
  <c r="E351" i="57"/>
  <c r="F383" i="57"/>
  <c r="L383" i="57" s="1"/>
  <c r="F394" i="57"/>
  <c r="L394" i="57" s="1"/>
  <c r="M400" i="57"/>
  <c r="M411" i="57"/>
  <c r="F434" i="57"/>
  <c r="L434" i="57" s="1"/>
  <c r="F442" i="57"/>
  <c r="L442" i="57" s="1"/>
  <c r="F452" i="57"/>
  <c r="L452" i="57" s="1"/>
  <c r="E460" i="57"/>
  <c r="E490" i="57"/>
  <c r="M66" i="57"/>
  <c r="F81" i="57"/>
  <c r="L81" i="57" s="1"/>
  <c r="E93" i="57"/>
  <c r="M116" i="57"/>
  <c r="E119" i="57"/>
  <c r="M131" i="57"/>
  <c r="M139" i="57"/>
  <c r="E174" i="57"/>
  <c r="F183" i="57"/>
  <c r="L183" i="57" s="1"/>
  <c r="M185" i="57"/>
  <c r="E202" i="57"/>
  <c r="E229" i="57"/>
  <c r="E240" i="57"/>
  <c r="F279" i="57"/>
  <c r="L279" i="57" s="1"/>
  <c r="E292" i="57"/>
  <c r="F333" i="57"/>
  <c r="L333" i="57" s="1"/>
  <c r="E336" i="57"/>
  <c r="F386" i="57"/>
  <c r="L386" i="57" s="1"/>
  <c r="E398" i="57"/>
  <c r="M441" i="57"/>
  <c r="F444" i="57"/>
  <c r="L444" i="57" s="1"/>
  <c r="E458" i="57"/>
  <c r="M504" i="57"/>
  <c r="E509" i="57"/>
  <c r="M519" i="57"/>
  <c r="F542" i="57"/>
  <c r="L542" i="57" s="1"/>
  <c r="M548" i="57"/>
  <c r="F556" i="57"/>
  <c r="L556" i="57" s="1"/>
  <c r="M561" i="57"/>
  <c r="F566" i="57"/>
  <c r="L566" i="57" s="1"/>
  <c r="F598" i="57"/>
  <c r="L598" i="57" s="1"/>
  <c r="M609" i="57"/>
  <c r="E614" i="57"/>
  <c r="F623" i="57"/>
  <c r="L623" i="57" s="1"/>
  <c r="E647" i="57"/>
  <c r="F652" i="57"/>
  <c r="L652" i="57" s="1"/>
  <c r="E661" i="57"/>
  <c r="F666" i="57"/>
  <c r="L666" i="57" s="1"/>
  <c r="E670" i="57"/>
  <c r="F714" i="57"/>
  <c r="L714" i="57" s="1"/>
  <c r="M720" i="57"/>
  <c r="F729" i="57"/>
  <c r="L729" i="57" s="1"/>
  <c r="E753" i="57"/>
  <c r="F758" i="57"/>
  <c r="L758" i="57" s="1"/>
  <c r="E767" i="57"/>
  <c r="F772" i="57"/>
  <c r="L772" i="57" s="1"/>
  <c r="E777" i="57"/>
  <c r="F809" i="57"/>
  <c r="L809" i="57" s="1"/>
  <c r="M819" i="57"/>
  <c r="E824" i="57"/>
  <c r="E835" i="57"/>
  <c r="E860" i="57"/>
  <c r="F865" i="57"/>
  <c r="L865" i="57" s="1"/>
  <c r="M873" i="57"/>
  <c r="E878" i="57"/>
  <c r="F882" i="57"/>
  <c r="L882" i="57" s="1"/>
  <c r="E912" i="57"/>
  <c r="E928" i="57"/>
  <c r="F933" i="57"/>
  <c r="L933" i="57" s="1"/>
  <c r="F944" i="57"/>
  <c r="L944" i="57" s="1"/>
  <c r="M967" i="57"/>
  <c r="E972" i="57"/>
  <c r="M981" i="57"/>
  <c r="E985" i="57"/>
  <c r="E991" i="57"/>
  <c r="E1030" i="57"/>
  <c r="M1037" i="57"/>
  <c r="M1048" i="57"/>
  <c r="E1070" i="57"/>
  <c r="F1075" i="57"/>
  <c r="L1075" i="57" s="1"/>
  <c r="M1081" i="57"/>
  <c r="F1089" i="57"/>
  <c r="L1089" i="57" s="1"/>
  <c r="F1094" i="57"/>
  <c r="L1094" i="57" s="1"/>
  <c r="E1124" i="57"/>
  <c r="E1139" i="57"/>
  <c r="F66" i="57"/>
  <c r="L66" i="57" s="1"/>
  <c r="F72" i="57"/>
  <c r="L72" i="57" s="1"/>
  <c r="L73" i="57" s="1"/>
  <c r="M83" i="57"/>
  <c r="F95" i="57"/>
  <c r="L95" i="57" s="1"/>
  <c r="M97" i="57"/>
  <c r="F124" i="57"/>
  <c r="L124" i="57" s="1"/>
  <c r="E126" i="57"/>
  <c r="F174" i="57"/>
  <c r="L174" i="57" s="1"/>
  <c r="M199" i="57"/>
  <c r="F202" i="57"/>
  <c r="L202" i="57" s="1"/>
  <c r="M222" i="57"/>
  <c r="M229" i="57"/>
  <c r="F232" i="57"/>
  <c r="L232" i="57" s="1"/>
  <c r="M240" i="57"/>
  <c r="E244" i="57"/>
  <c r="F247" i="57"/>
  <c r="L247" i="57" s="1"/>
  <c r="M288" i="57"/>
  <c r="F79" i="57"/>
  <c r="L79" i="57" s="1"/>
  <c r="E123" i="57"/>
  <c r="E136" i="57"/>
  <c r="M187" i="57"/>
  <c r="E237" i="57"/>
  <c r="M248" i="57"/>
  <c r="M295" i="57"/>
  <c r="M1896" i="57"/>
  <c r="F1946" i="57"/>
  <c r="L1946" i="57" s="1"/>
  <c r="E2024" i="57"/>
  <c r="E2236" i="57"/>
  <c r="M2342" i="57"/>
  <c r="F2358" i="57"/>
  <c r="L2358" i="57" s="1"/>
  <c r="F2242" i="57"/>
  <c r="L2242" i="57" s="1"/>
  <c r="F2155" i="57"/>
  <c r="L2155" i="57" s="1"/>
  <c r="F2096" i="57"/>
  <c r="L2096" i="57" s="1"/>
  <c r="M1994" i="57"/>
  <c r="E1919" i="57"/>
  <c r="E1834" i="57"/>
  <c r="F1731" i="57"/>
  <c r="L1731" i="57" s="1"/>
  <c r="F1672" i="57"/>
  <c r="L1672" i="57" s="1"/>
  <c r="F1577" i="57"/>
  <c r="L1577" i="57" s="1"/>
  <c r="E1504" i="57"/>
  <c r="M1462" i="57"/>
  <c r="E1408" i="57"/>
  <c r="M1364" i="57"/>
  <c r="F1310" i="57"/>
  <c r="L1310" i="57" s="1"/>
  <c r="E1289" i="57"/>
  <c r="F1245" i="57"/>
  <c r="L1245" i="57" s="1"/>
  <c r="E1192" i="57"/>
  <c r="F1145" i="57"/>
  <c r="L1145" i="57" s="1"/>
  <c r="E1048" i="57"/>
  <c r="E975" i="57"/>
  <c r="E914" i="57"/>
  <c r="F877" i="57"/>
  <c r="L877" i="57" s="1"/>
  <c r="F835" i="57"/>
  <c r="L835" i="57" s="1"/>
  <c r="M824" i="57"/>
  <c r="F759" i="57"/>
  <c r="L759" i="57" s="1"/>
  <c r="E654" i="57"/>
  <c r="F626" i="57"/>
  <c r="L626" i="57" s="1"/>
  <c r="E598" i="57"/>
  <c r="F567" i="57"/>
  <c r="L567" i="57" s="1"/>
  <c r="F519" i="57"/>
  <c r="L519" i="57" s="1"/>
  <c r="M457" i="57"/>
  <c r="M349" i="57"/>
  <c r="F296" i="57"/>
  <c r="L296" i="57" s="1"/>
  <c r="M232" i="57"/>
  <c r="E138" i="57"/>
  <c r="F76" i="57"/>
  <c r="F84" i="57"/>
  <c r="L84" i="57" s="1"/>
  <c r="E116" i="57"/>
  <c r="M122" i="57"/>
  <c r="M132" i="57"/>
  <c r="E141" i="57"/>
  <c r="F178" i="57"/>
  <c r="F179" i="57" s="1"/>
  <c r="F188" i="57"/>
  <c r="L188" i="57" s="1"/>
  <c r="F200" i="57"/>
  <c r="L200" i="57" s="1"/>
  <c r="M227" i="57"/>
  <c r="F233" i="57"/>
  <c r="L233" i="57" s="1"/>
  <c r="F245" i="57"/>
  <c r="L245" i="57" s="1"/>
  <c r="F277" i="57"/>
  <c r="L277" i="57" s="1"/>
  <c r="E290" i="57"/>
  <c r="E298" i="57"/>
  <c r="E309" i="57"/>
  <c r="M334" i="57"/>
  <c r="E345" i="57"/>
  <c r="F1565" i="57"/>
  <c r="L1565" i="57" s="1"/>
  <c r="M1685" i="57"/>
  <c r="F1814" i="57"/>
  <c r="L1814" i="57" s="1"/>
  <c r="M2137" i="57"/>
  <c r="E2200" i="57"/>
  <c r="E2343" i="57"/>
  <c r="M2240" i="57"/>
  <c r="F2146" i="57"/>
  <c r="L2146" i="57" s="1"/>
  <c r="E2046" i="57"/>
  <c r="M1988" i="57"/>
  <c r="E1898" i="57"/>
  <c r="M1816" i="57"/>
  <c r="F1722" i="57"/>
  <c r="L1722" i="57" s="1"/>
  <c r="E1654" i="57"/>
  <c r="E1564" i="57"/>
  <c r="F1501" i="57"/>
  <c r="L1501" i="57" s="1"/>
  <c r="F1456" i="57"/>
  <c r="L1456" i="57" s="1"/>
  <c r="M1397" i="57"/>
  <c r="F1358" i="57"/>
  <c r="L1358" i="57" s="1"/>
  <c r="M1308" i="57"/>
  <c r="E1260" i="57"/>
  <c r="F1243" i="57"/>
  <c r="L1243" i="57" s="1"/>
  <c r="F1186" i="57"/>
  <c r="L1186" i="57" s="1"/>
  <c r="F1125" i="57"/>
  <c r="L1125" i="57" s="1"/>
  <c r="E1047" i="57"/>
  <c r="E973" i="57"/>
  <c r="E882" i="57"/>
  <c r="F876" i="57"/>
  <c r="L876" i="57" s="1"/>
  <c r="F834" i="57"/>
  <c r="L834" i="57" s="1"/>
  <c r="M778" i="57"/>
  <c r="F708" i="57"/>
  <c r="L708" i="57" s="1"/>
  <c r="L709" i="57" s="1"/>
  <c r="E653" i="57"/>
  <c r="F624" i="57"/>
  <c r="L624" i="57" s="1"/>
  <c r="F594" i="57"/>
  <c r="L594" i="57" s="1"/>
  <c r="M547" i="57"/>
  <c r="F439" i="57"/>
  <c r="L439" i="57" s="1"/>
  <c r="F345" i="57"/>
  <c r="L345" i="57" s="1"/>
  <c r="E295" i="57"/>
  <c r="M86" i="57"/>
  <c r="M76" i="57"/>
  <c r="F117" i="57"/>
  <c r="L117" i="57" s="1"/>
  <c r="E124" i="57"/>
  <c r="F135" i="57"/>
  <c r="L135" i="57" s="1"/>
  <c r="F142" i="57"/>
  <c r="L142" i="57" s="1"/>
  <c r="F182" i="57"/>
  <c r="L182" i="57" s="1"/>
  <c r="E191" i="57"/>
  <c r="F203" i="57"/>
  <c r="L203" i="57" s="1"/>
  <c r="E228" i="57"/>
  <c r="E238" i="57"/>
  <c r="M246" i="57"/>
  <c r="F280" i="57"/>
  <c r="L280" i="57" s="1"/>
  <c r="M293" i="57"/>
  <c r="M305" i="57"/>
  <c r="F328" i="57"/>
  <c r="L328" i="57" s="1"/>
  <c r="F336" i="57"/>
  <c r="L336" i="57" s="1"/>
  <c r="F346" i="57"/>
  <c r="L346" i="57" s="1"/>
  <c r="E354" i="57"/>
  <c r="E386" i="57"/>
  <c r="M396" i="57"/>
  <c r="F402" i="57"/>
  <c r="L402" i="57" s="1"/>
  <c r="M414" i="57"/>
  <c r="F438" i="57"/>
  <c r="L438" i="57" s="1"/>
  <c r="E445" i="57"/>
  <c r="E457" i="57"/>
  <c r="F1609" i="57"/>
  <c r="L1609" i="57" s="1"/>
  <c r="E2131" i="57"/>
  <c r="F1789" i="57"/>
  <c r="L1789" i="57" s="1"/>
  <c r="M1499" i="57"/>
  <c r="E1299" i="57"/>
  <c r="M1079" i="57"/>
  <c r="E839" i="57"/>
  <c r="F650" i="57"/>
  <c r="L650" i="57" s="1"/>
  <c r="M546" i="57"/>
  <c r="E250" i="57"/>
  <c r="M93" i="57"/>
  <c r="M143" i="57"/>
  <c r="M231" i="57"/>
  <c r="E294" i="57"/>
  <c r="F349" i="57"/>
  <c r="L349" i="57" s="1"/>
  <c r="E390" i="57"/>
  <c r="E391" i="57" s="1"/>
  <c r="E404" i="57"/>
  <c r="M440" i="57"/>
  <c r="M459" i="57"/>
  <c r="E491" i="57"/>
  <c r="E68" i="57"/>
  <c r="F92" i="57"/>
  <c r="E117" i="57"/>
  <c r="M127" i="57"/>
  <c r="F139" i="57"/>
  <c r="L139" i="57" s="1"/>
  <c r="E178" i="57"/>
  <c r="E179" i="57" s="1"/>
  <c r="M184" i="57"/>
  <c r="M191" i="57"/>
  <c r="E203" i="57"/>
  <c r="E231" i="57"/>
  <c r="E278" i="57"/>
  <c r="E293" i="57"/>
  <c r="F334" i="57"/>
  <c r="L334" i="57" s="1"/>
  <c r="F384" i="57"/>
  <c r="L384" i="57" s="1"/>
  <c r="E399" i="57"/>
  <c r="E411" i="57"/>
  <c r="M443" i="57"/>
  <c r="E459" i="57"/>
  <c r="F506" i="57"/>
  <c r="L506" i="57" s="1"/>
  <c r="F517" i="57"/>
  <c r="L517" i="57" s="1"/>
  <c r="M544" i="57"/>
  <c r="F550" i="57"/>
  <c r="L550" i="57" s="1"/>
  <c r="F560" i="57"/>
  <c r="L560" i="57" s="1"/>
  <c r="M568" i="57"/>
  <c r="M606" i="57"/>
  <c r="M613" i="57"/>
  <c r="M625" i="57"/>
  <c r="M650" i="57"/>
  <c r="F656" i="57"/>
  <c r="L656" i="57" s="1"/>
  <c r="M667" i="57"/>
  <c r="M673" i="57"/>
  <c r="F718" i="57"/>
  <c r="L718" i="57" s="1"/>
  <c r="M731" i="57"/>
  <c r="M756" i="57"/>
  <c r="F762" i="57"/>
  <c r="L762" i="57" s="1"/>
  <c r="M773" i="57"/>
  <c r="M780" i="57"/>
  <c r="F819" i="57"/>
  <c r="L819" i="57" s="1"/>
  <c r="F825" i="57"/>
  <c r="L825" i="57" s="1"/>
  <c r="F839" i="57"/>
  <c r="L839" i="57" s="1"/>
  <c r="E864" i="57"/>
  <c r="E874" i="57"/>
  <c r="M880" i="57"/>
  <c r="F886" i="57"/>
  <c r="L886" i="57" s="1"/>
  <c r="F929" i="57"/>
  <c r="L929" i="57" s="1"/>
  <c r="E943" i="57"/>
  <c r="E968" i="57"/>
  <c r="M975" i="57"/>
  <c r="M984" i="57"/>
  <c r="F992" i="57"/>
  <c r="L992" i="57" s="1"/>
  <c r="E1034" i="57"/>
  <c r="E1049" i="57"/>
  <c r="M1073" i="57"/>
  <c r="F1079" i="57"/>
  <c r="L1079" i="57" s="1"/>
  <c r="M1090" i="57"/>
  <c r="E1097" i="57"/>
  <c r="M1138" i="57"/>
  <c r="F67" i="57"/>
  <c r="L67" i="57" s="1"/>
  <c r="M82" i="57"/>
  <c r="E85" i="57"/>
  <c r="M95" i="57"/>
  <c r="F119" i="57"/>
  <c r="L119" i="57" s="1"/>
  <c r="M125" i="57"/>
  <c r="E188" i="57"/>
  <c r="F201" i="57"/>
  <c r="L201" i="57" s="1"/>
  <c r="F222" i="57"/>
  <c r="L222" i="57" s="1"/>
  <c r="F230" i="57"/>
  <c r="L230" i="57" s="1"/>
  <c r="M239" i="57"/>
  <c r="E243" i="57"/>
  <c r="E277" i="57"/>
  <c r="F120" i="57"/>
  <c r="L120" i="57" s="1"/>
  <c r="E139" i="57"/>
  <c r="M224" i="57"/>
  <c r="E248" i="57"/>
  <c r="M298" i="57"/>
  <c r="M306" i="57"/>
  <c r="F339" i="57"/>
  <c r="L339" i="57" s="1"/>
  <c r="E346" i="57"/>
  <c r="E350" i="57"/>
  <c r="E394" i="57"/>
  <c r="M404" i="57"/>
  <c r="E440" i="57"/>
  <c r="E453" i="57"/>
  <c r="F457" i="57"/>
  <c r="L457" i="57" s="1"/>
  <c r="F492" i="57"/>
  <c r="L492" i="57" s="1"/>
  <c r="F503" i="57"/>
  <c r="L503" i="57" s="1"/>
  <c r="E506" i="57"/>
  <c r="E540" i="57"/>
  <c r="M551" i="57"/>
  <c r="E558" i="57"/>
  <c r="F595" i="57"/>
  <c r="L595" i="57" s="1"/>
  <c r="F608" i="57"/>
  <c r="L608" i="57" s="1"/>
  <c r="E611" i="57"/>
  <c r="M651" i="57"/>
  <c r="F654" i="57"/>
  <c r="L654" i="57" s="1"/>
  <c r="E701" i="57"/>
  <c r="M713" i="57"/>
  <c r="F716" i="57"/>
  <c r="L716" i="57" s="1"/>
  <c r="E720" i="57"/>
  <c r="M762" i="57"/>
  <c r="E768" i="57"/>
  <c r="E775" i="57"/>
  <c r="F818" i="57"/>
  <c r="L818" i="57" s="1"/>
  <c r="M862" i="57"/>
  <c r="E866" i="57"/>
  <c r="F880" i="57"/>
  <c r="L880" i="57" s="1"/>
  <c r="M883" i="57"/>
  <c r="F913" i="57"/>
  <c r="L913" i="57" s="1"/>
  <c r="E925" i="57"/>
  <c r="F927" i="57"/>
  <c r="L927" i="57" s="1"/>
  <c r="E931" i="57"/>
  <c r="E942" i="57"/>
  <c r="E966" i="57"/>
  <c r="M980" i="57"/>
  <c r="E984" i="57"/>
  <c r="F987" i="57"/>
  <c r="L987" i="57" s="1"/>
  <c r="M989" i="57"/>
  <c r="F1019" i="57"/>
  <c r="L1019" i="57" s="1"/>
  <c r="M1034" i="57"/>
  <c r="F1037" i="57"/>
  <c r="L1037" i="57" s="1"/>
  <c r="F1040" i="57"/>
  <c r="L1040" i="57" s="1"/>
  <c r="M1047" i="57"/>
  <c r="M1050" i="57"/>
  <c r="F1072" i="57"/>
  <c r="L1072" i="57" s="1"/>
  <c r="E1075" i="57"/>
  <c r="M1089" i="57"/>
  <c r="M1098" i="57"/>
  <c r="F1141" i="57"/>
  <c r="L1141" i="57" s="1"/>
  <c r="F2150" i="57"/>
  <c r="L2150" i="57" s="1"/>
  <c r="M2360" i="57"/>
  <c r="E2043" i="57"/>
  <c r="E1715" i="57"/>
  <c r="E1445" i="57"/>
  <c r="F1258" i="57"/>
  <c r="L1258" i="57" s="1"/>
  <c r="E1046" i="57"/>
  <c r="M826" i="57"/>
  <c r="E609" i="57"/>
  <c r="F510" i="57"/>
  <c r="L510" i="57" s="1"/>
  <c r="M118" i="57"/>
  <c r="M186" i="57"/>
  <c r="F239" i="57"/>
  <c r="L239" i="57" s="1"/>
  <c r="E306" i="57"/>
  <c r="M353" i="57"/>
  <c r="E395" i="57"/>
  <c r="E412" i="57"/>
  <c r="M444" i="57"/>
  <c r="F461" i="57"/>
  <c r="L461" i="57" s="1"/>
  <c r="E492" i="57"/>
  <c r="M64" i="57"/>
  <c r="E76" i="57"/>
  <c r="E94" i="57"/>
  <c r="M117" i="57"/>
  <c r="E131" i="57"/>
  <c r="F140" i="57"/>
  <c r="L140" i="57" s="1"/>
  <c r="E182" i="57"/>
  <c r="F185" i="57"/>
  <c r="L185" i="57" s="1"/>
  <c r="E222" i="57"/>
  <c r="E239" i="57"/>
  <c r="E289" i="57"/>
  <c r="M331" i="57"/>
  <c r="F335" i="57"/>
  <c r="L335" i="57" s="1"/>
  <c r="M395" i="57"/>
  <c r="E400" i="57"/>
  <c r="E434" i="57"/>
  <c r="F445" i="57"/>
  <c r="L445" i="57" s="1"/>
  <c r="E489" i="57"/>
  <c r="M508" i="57"/>
  <c r="E520" i="57"/>
  <c r="E545" i="57"/>
  <c r="E555" i="57"/>
  <c r="E562" i="57"/>
  <c r="F596" i="57"/>
  <c r="L596" i="57" s="1"/>
  <c r="E607" i="57"/>
  <c r="F615" i="57"/>
  <c r="L615" i="57" s="1"/>
  <c r="E626" i="57"/>
  <c r="E651" i="57"/>
  <c r="F662" i="57"/>
  <c r="L662" i="57" s="1"/>
  <c r="E668" i="57"/>
  <c r="E674" i="57"/>
  <c r="E721" i="57"/>
  <c r="E732" i="57"/>
  <c r="E757" i="57"/>
  <c r="F768" i="57"/>
  <c r="L768" i="57" s="1"/>
  <c r="E774" i="57"/>
  <c r="F808" i="57"/>
  <c r="L808" i="57" s="1"/>
  <c r="E820" i="57"/>
  <c r="F828" i="57"/>
  <c r="L828" i="57" s="1"/>
  <c r="M859" i="57"/>
  <c r="M867" i="57"/>
  <c r="F875" i="57"/>
  <c r="L875" i="57" s="1"/>
  <c r="E881" i="57"/>
  <c r="E913" i="57"/>
  <c r="M931" i="57"/>
  <c r="M945" i="57"/>
  <c r="F969" i="57"/>
  <c r="L969" i="57" s="1"/>
  <c r="F979" i="57"/>
  <c r="L979" i="57" s="1"/>
  <c r="F986" i="57"/>
  <c r="L986" i="57" s="1"/>
  <c r="E1018" i="57"/>
  <c r="F1035" i="57"/>
  <c r="L1035" i="57" s="1"/>
  <c r="F1050" i="57"/>
  <c r="L1050" i="57" s="1"/>
  <c r="E1074" i="57"/>
  <c r="F1085" i="57"/>
  <c r="L1085" i="57" s="1"/>
  <c r="E1091" i="57"/>
  <c r="F1098" i="57"/>
  <c r="L1098" i="57" s="1"/>
  <c r="M1140" i="57"/>
  <c r="M67" i="57"/>
  <c r="F83" i="57"/>
  <c r="L83" i="57" s="1"/>
  <c r="F93" i="57"/>
  <c r="L93" i="57" s="1"/>
  <c r="E96" i="57"/>
  <c r="F2044" i="57"/>
  <c r="L2044" i="57" s="1"/>
  <c r="M2111" i="57"/>
  <c r="E2290" i="57"/>
  <c r="F1943" i="57"/>
  <c r="L1943" i="57" s="1"/>
  <c r="E1619" i="57"/>
  <c r="E1395" i="57"/>
  <c r="F1201" i="57"/>
  <c r="L1201" i="57" s="1"/>
  <c r="F971" i="57"/>
  <c r="L971" i="57" s="1"/>
  <c r="E763" i="57"/>
  <c r="E435" i="57"/>
  <c r="E64" i="57"/>
  <c r="M126" i="57"/>
  <c r="F192" i="57"/>
  <c r="L192" i="57" s="1"/>
  <c r="E247" i="57"/>
  <c r="E331" i="57"/>
  <c r="F382" i="57"/>
  <c r="L382" i="57" s="1"/>
  <c r="E397" i="57"/>
  <c r="E415" i="57"/>
  <c r="E451" i="57"/>
  <c r="F488" i="57"/>
  <c r="L488" i="57" s="1"/>
  <c r="F65" i="57"/>
  <c r="L65" i="57" s="1"/>
  <c r="F82" i="57"/>
  <c r="L82" i="57" s="1"/>
  <c r="E97" i="57"/>
  <c r="E118" i="57"/>
  <c r="E132" i="57"/>
  <c r="F143" i="57"/>
  <c r="M182" i="57"/>
  <c r="F186" i="57"/>
  <c r="L186" i="57" s="1"/>
  <c r="E200" i="57"/>
  <c r="E223" i="57"/>
  <c r="E241" i="57"/>
  <c r="F290" i="57"/>
  <c r="L290" i="57" s="1"/>
  <c r="M332" i="57"/>
  <c r="E337" i="57"/>
  <c r="F396" i="57"/>
  <c r="L396" i="57" s="1"/>
  <c r="M442" i="57"/>
  <c r="E449" i="57"/>
  <c r="F502" i="57"/>
  <c r="L502" i="57" s="1"/>
  <c r="M510" i="57"/>
  <c r="M540" i="57"/>
  <c r="F546" i="57"/>
  <c r="L546" i="57" s="1"/>
  <c r="M558" i="57"/>
  <c r="M564" i="57"/>
  <c r="F597" i="57"/>
  <c r="L597" i="57" s="1"/>
  <c r="E610" i="57"/>
  <c r="M616" i="57"/>
  <c r="M646" i="57"/>
  <c r="M654" i="57"/>
  <c r="M664" i="57"/>
  <c r="M669" i="57"/>
  <c r="M716" i="57"/>
  <c r="M722" i="57"/>
  <c r="M752" i="57"/>
  <c r="M760" i="57"/>
  <c r="M770" i="57"/>
  <c r="M776" i="57"/>
  <c r="F810" i="57"/>
  <c r="L810" i="57" s="1"/>
  <c r="F821" i="57"/>
  <c r="L821" i="57" s="1"/>
  <c r="M834" i="57"/>
  <c r="F861" i="57"/>
  <c r="L861" i="57" s="1"/>
  <c r="E868" i="57"/>
  <c r="M877" i="57"/>
  <c r="M884" i="57"/>
  <c r="E924" i="57"/>
  <c r="E932" i="57"/>
  <c r="F940" i="57"/>
  <c r="L940" i="57" s="1"/>
  <c r="E964" i="57"/>
  <c r="M971" i="57"/>
  <c r="E982" i="57"/>
  <c r="F988" i="57"/>
  <c r="L988" i="57" s="1"/>
  <c r="E1019" i="57"/>
  <c r="E1038" i="57"/>
  <c r="M1051" i="57"/>
  <c r="M1077" i="57"/>
  <c r="M1087" i="57"/>
  <c r="F1092" i="57"/>
  <c r="L1092" i="57" s="1"/>
  <c r="E1125" i="57"/>
  <c r="E1141" i="57"/>
  <c r="F64" i="57"/>
  <c r="L64" i="57" s="1"/>
  <c r="F68" i="57"/>
  <c r="M1352" i="57"/>
  <c r="M223" i="57"/>
  <c r="E401" i="57"/>
  <c r="F170" i="57"/>
  <c r="L170" i="57" s="1"/>
  <c r="E230" i="57"/>
  <c r="E338" i="57"/>
  <c r="E450" i="57"/>
  <c r="E549" i="57"/>
  <c r="F611" i="57"/>
  <c r="L611" i="57" s="1"/>
  <c r="E665" i="57"/>
  <c r="F754" i="57"/>
  <c r="L754" i="57" s="1"/>
  <c r="F814" i="57"/>
  <c r="F815" i="57" s="1"/>
  <c r="F869" i="57"/>
  <c r="L869" i="57" s="1"/>
  <c r="F983" i="57"/>
  <c r="L983" i="57" s="1"/>
  <c r="F1046" i="57"/>
  <c r="L1046" i="57" s="1"/>
  <c r="M1096" i="57"/>
  <c r="M84" i="57"/>
  <c r="F118" i="57"/>
  <c r="L118" i="57" s="1"/>
  <c r="F132" i="57"/>
  <c r="L132" i="57" s="1"/>
  <c r="E190" i="57"/>
  <c r="M203" i="57"/>
  <c r="M230" i="57"/>
  <c r="F241" i="57"/>
  <c r="L241" i="57" s="1"/>
  <c r="F246" i="57"/>
  <c r="L246" i="57" s="1"/>
  <c r="E127" i="57"/>
  <c r="M141" i="57"/>
  <c r="M244" i="57"/>
  <c r="E330" i="57"/>
  <c r="M343" i="57"/>
  <c r="F352" i="57"/>
  <c r="L352" i="57" s="1"/>
  <c r="M399" i="57"/>
  <c r="M438" i="57"/>
  <c r="M453" i="57"/>
  <c r="E461" i="57"/>
  <c r="M502" i="57"/>
  <c r="E507" i="57"/>
  <c r="M550" i="57"/>
  <c r="E557" i="57"/>
  <c r="E597" i="57"/>
  <c r="F609" i="57"/>
  <c r="L609" i="57" s="1"/>
  <c r="F655" i="57"/>
  <c r="L655" i="57" s="1"/>
  <c r="F704" i="57"/>
  <c r="L704" i="57" s="1"/>
  <c r="M715" i="57"/>
  <c r="M763" i="57"/>
  <c r="E773" i="57"/>
  <c r="M860" i="57"/>
  <c r="F864" i="57"/>
  <c r="L864" i="57" s="1"/>
  <c r="M879" i="57"/>
  <c r="F884" i="57"/>
  <c r="L884" i="57" s="1"/>
  <c r="F916" i="57"/>
  <c r="L916" i="57" s="1"/>
  <c r="M926" i="57"/>
  <c r="E934" i="57"/>
  <c r="F964" i="57"/>
  <c r="L964" i="57" s="1"/>
  <c r="F980" i="57"/>
  <c r="L980" i="57" s="1"/>
  <c r="F985" i="57"/>
  <c r="L985" i="57" s="1"/>
  <c r="M988" i="57"/>
  <c r="E992" i="57"/>
  <c r="M1035" i="57"/>
  <c r="E1039" i="57"/>
  <c r="F1047" i="57"/>
  <c r="L1047" i="57" s="1"/>
  <c r="F1051" i="57"/>
  <c r="L1051" i="57" s="1"/>
  <c r="F1073" i="57"/>
  <c r="L1073" i="57" s="1"/>
  <c r="M1088" i="57"/>
  <c r="F1127" i="57"/>
  <c r="E1142" i="57"/>
  <c r="E1146" i="57"/>
  <c r="M1154" i="57"/>
  <c r="F1179" i="57"/>
  <c r="L1179" i="57" s="1"/>
  <c r="F1187" i="57"/>
  <c r="L1187" i="57" s="1"/>
  <c r="M1194" i="57"/>
  <c r="F1202" i="57"/>
  <c r="L1202" i="57" s="1"/>
  <c r="E1232" i="57"/>
  <c r="F1242" i="57"/>
  <c r="L1242" i="57" s="1"/>
  <c r="F1248" i="57"/>
  <c r="L1248" i="57" s="1"/>
  <c r="M1258" i="57"/>
  <c r="M1283" i="57"/>
  <c r="E1288" i="57"/>
  <c r="F1293" i="57"/>
  <c r="L1293" i="57" s="1"/>
  <c r="M1301" i="57"/>
  <c r="E1307" i="57"/>
  <c r="F1339" i="57"/>
  <c r="L1339" i="57" s="1"/>
  <c r="E1349" i="57"/>
  <c r="M1355" i="57"/>
  <c r="E1364" i="57"/>
  <c r="M1388" i="57"/>
  <c r="E1393" i="57"/>
  <c r="F1398" i="57"/>
  <c r="L1398" i="57" s="1"/>
  <c r="E1407" i="57"/>
  <c r="M1411" i="57"/>
  <c r="E1416" i="57"/>
  <c r="F1458" i="57"/>
  <c r="L1458" i="57" s="1"/>
  <c r="F1470" i="57"/>
  <c r="L1470" i="57" s="1"/>
  <c r="M1475" i="57"/>
  <c r="E1498" i="57"/>
  <c r="F1503" i="57"/>
  <c r="L1503" i="57" s="1"/>
  <c r="E1512" i="57"/>
  <c r="F1516" i="57"/>
  <c r="L1516" i="57" s="1"/>
  <c r="F1522" i="57"/>
  <c r="L1522" i="57" s="1"/>
  <c r="M1561" i="57"/>
  <c r="E1566" i="57"/>
  <c r="M1577" i="57"/>
  <c r="E1581" i="57"/>
  <c r="F1604" i="57"/>
  <c r="L1604" i="57" s="1"/>
  <c r="M1610" i="57"/>
  <c r="F1618" i="57"/>
  <c r="L1618" i="57" s="1"/>
  <c r="M1625" i="57"/>
  <c r="F1655" i="57"/>
  <c r="L1655" i="57" s="1"/>
  <c r="E1662" i="57"/>
  <c r="E1663" i="57" s="1"/>
  <c r="M1668" i="57"/>
  <c r="E1673" i="57"/>
  <c r="M1683" i="57"/>
  <c r="E1687" i="57"/>
  <c r="F1710" i="57"/>
  <c r="L1710" i="57" s="1"/>
  <c r="M1716" i="57"/>
  <c r="F1724" i="57"/>
  <c r="L1724" i="57" s="1"/>
  <c r="M1731" i="57"/>
  <c r="F1761" i="57"/>
  <c r="L1761" i="57" s="1"/>
  <c r="E1768" i="57"/>
  <c r="E1769" i="57" s="1"/>
  <c r="M1774" i="57"/>
  <c r="E1779" i="57"/>
  <c r="M1789" i="57"/>
  <c r="E1793" i="57"/>
  <c r="F1816" i="57"/>
  <c r="L1816" i="57" s="1"/>
  <c r="M1822" i="57"/>
  <c r="F1830" i="57"/>
  <c r="L1830" i="57" s="1"/>
  <c r="M1837" i="57"/>
  <c r="F1867" i="57"/>
  <c r="L1867" i="57" s="1"/>
  <c r="E1874" i="57"/>
  <c r="E1875" i="57" s="1"/>
  <c r="M1880" i="57"/>
  <c r="E1885" i="57"/>
  <c r="M1895" i="57"/>
  <c r="E1899" i="57"/>
  <c r="F1922" i="57"/>
  <c r="L1922" i="57" s="1"/>
  <c r="M1928" i="57"/>
  <c r="F1936" i="57"/>
  <c r="L1936" i="57" s="1"/>
  <c r="M1943" i="57"/>
  <c r="F1973" i="57"/>
  <c r="L1973" i="57" s="1"/>
  <c r="E1980" i="57"/>
  <c r="E1981" i="57" s="1"/>
  <c r="M1986" i="57"/>
  <c r="E1991" i="57"/>
  <c r="M2001" i="57"/>
  <c r="E2005" i="57"/>
  <c r="F2028" i="57"/>
  <c r="L2028" i="57" s="1"/>
  <c r="M2034" i="57"/>
  <c r="F2042" i="57"/>
  <c r="L2042" i="57" s="1"/>
  <c r="M2049" i="57"/>
  <c r="F2079" i="57"/>
  <c r="L2079" i="57" s="1"/>
  <c r="E2086" i="57"/>
  <c r="E2087" i="57" s="1"/>
  <c r="M2092" i="57"/>
  <c r="E2097" i="57"/>
  <c r="M2107" i="57"/>
  <c r="E2111" i="57"/>
  <c r="F2134" i="57"/>
  <c r="L2134" i="57" s="1"/>
  <c r="M2140" i="57"/>
  <c r="F2148" i="57"/>
  <c r="L2148" i="57" s="1"/>
  <c r="M2155" i="57"/>
  <c r="F2185" i="57"/>
  <c r="L2185" i="57" s="1"/>
  <c r="E2192" i="57"/>
  <c r="E2193" i="57" s="1"/>
  <c r="M2198" i="57"/>
  <c r="E2203" i="57"/>
  <c r="M2213" i="57"/>
  <c r="E2217" i="57"/>
  <c r="F2240" i="57"/>
  <c r="L2240" i="57" s="1"/>
  <c r="M2246" i="57"/>
  <c r="F2254" i="57"/>
  <c r="L2254" i="57" s="1"/>
  <c r="M2261" i="57"/>
  <c r="F2291" i="57"/>
  <c r="L2291" i="57" s="1"/>
  <c r="E2298" i="57"/>
  <c r="E2299" i="57" s="1"/>
  <c r="M2304" i="57"/>
  <c r="E2309" i="57"/>
  <c r="M2319" i="57"/>
  <c r="E2323" i="57"/>
  <c r="F2346" i="57"/>
  <c r="L2346" i="57" s="1"/>
  <c r="M2352" i="57"/>
  <c r="F2360" i="57"/>
  <c r="L2360" i="57" s="1"/>
  <c r="M2367" i="57"/>
  <c r="E92" i="57"/>
  <c r="M134" i="57"/>
  <c r="E171" i="57"/>
  <c r="E186" i="57"/>
  <c r="E225" i="57"/>
  <c r="F244" i="57"/>
  <c r="L244" i="57" s="1"/>
  <c r="F284" i="57"/>
  <c r="E297" i="57"/>
  <c r="F308" i="57"/>
  <c r="L308" i="57" s="1"/>
  <c r="M336" i="57"/>
  <c r="M351" i="57"/>
  <c r="E356" i="57"/>
  <c r="F395" i="57"/>
  <c r="L395" i="57" s="1"/>
  <c r="F404" i="57"/>
  <c r="L404" i="57" s="1"/>
  <c r="E414" i="57"/>
  <c r="F440" i="57"/>
  <c r="L440" i="57" s="1"/>
  <c r="M458" i="57"/>
  <c r="F501" i="57"/>
  <c r="L501" i="57" s="1"/>
  <c r="M507" i="57"/>
  <c r="E519" i="57"/>
  <c r="E542" i="57"/>
  <c r="M556" i="57"/>
  <c r="F559" i="57"/>
  <c r="L559" i="57" s="1"/>
  <c r="F562" i="57"/>
  <c r="L562" i="57" s="1"/>
  <c r="F564" i="57"/>
  <c r="L564" i="57" s="1"/>
  <c r="E568" i="57"/>
  <c r="M611" i="57"/>
  <c r="F614" i="57"/>
  <c r="L614" i="57" s="1"/>
  <c r="M655" i="57"/>
  <c r="F661" i="57"/>
  <c r="L661" i="57" s="1"/>
  <c r="E667" i="57"/>
  <c r="E672" i="57"/>
  <c r="E712" i="57"/>
  <c r="M718" i="57"/>
  <c r="F721" i="57"/>
  <c r="L721" i="57" s="1"/>
  <c r="E729" i="57"/>
  <c r="F752" i="57"/>
  <c r="L752" i="57" s="1"/>
  <c r="E756" i="57"/>
  <c r="M769" i="57"/>
  <c r="M772" i="57"/>
  <c r="F775" i="57"/>
  <c r="L775" i="57" s="1"/>
  <c r="E778" i="57"/>
  <c r="E814" i="57"/>
  <c r="E815" i="57" s="1"/>
  <c r="E823" i="57"/>
  <c r="M864" i="57"/>
  <c r="F867" i="57"/>
  <c r="L867" i="57" s="1"/>
  <c r="M885" i="57"/>
  <c r="F925" i="57"/>
  <c r="L925" i="57" s="1"/>
  <c r="M930" i="57"/>
  <c r="M933" i="57"/>
  <c r="F941" i="57"/>
  <c r="L941" i="57" s="1"/>
  <c r="E944" i="57"/>
  <c r="M965" i="57"/>
  <c r="F968" i="57"/>
  <c r="L968" i="57" s="1"/>
  <c r="M982" i="57"/>
  <c r="M991" i="57"/>
  <c r="M1038" i="57"/>
  <c r="F1076" i="57"/>
  <c r="L1076" i="57" s="1"/>
  <c r="E1079" i="57"/>
  <c r="E1126" i="57"/>
  <c r="F1139" i="57"/>
  <c r="L1139" i="57" s="1"/>
  <c r="F1144" i="57"/>
  <c r="L1144" i="57" s="1"/>
  <c r="E1152" i="57"/>
  <c r="E1176" i="57"/>
  <c r="E1180" i="57"/>
  <c r="E1184" i="57"/>
  <c r="F1191" i="57"/>
  <c r="L1191" i="57" s="1"/>
  <c r="E1198" i="57"/>
  <c r="E1203" i="57"/>
  <c r="F1234" i="57"/>
  <c r="L1234" i="57" s="1"/>
  <c r="M1245" i="57"/>
  <c r="E1250" i="57"/>
  <c r="F1259" i="57"/>
  <c r="L1259" i="57" s="1"/>
  <c r="E1283" i="57"/>
  <c r="F1288" i="57"/>
  <c r="L1288" i="57" s="1"/>
  <c r="E1297" i="57"/>
  <c r="F1302" i="57"/>
  <c r="L1302" i="57" s="1"/>
  <c r="E1306" i="57"/>
  <c r="F1349" i="57"/>
  <c r="L1349" i="57" s="1"/>
  <c r="M1354" i="57"/>
  <c r="M1366" i="57"/>
  <c r="E1388" i="57"/>
  <c r="F2213" i="57"/>
  <c r="L2213" i="57" s="1"/>
  <c r="M1176" i="57"/>
  <c r="E288" i="57"/>
  <c r="E437" i="57"/>
  <c r="F116" i="57"/>
  <c r="L116" i="57" s="1"/>
  <c r="M183" i="57"/>
  <c r="E246" i="57"/>
  <c r="F397" i="57"/>
  <c r="L397" i="57" s="1"/>
  <c r="E505" i="57"/>
  <c r="E559" i="57"/>
  <c r="E622" i="57"/>
  <c r="F671" i="57"/>
  <c r="L671" i="57" s="1"/>
  <c r="E761" i="57"/>
  <c r="M823" i="57"/>
  <c r="F879" i="57"/>
  <c r="L879" i="57" s="1"/>
  <c r="M942" i="57"/>
  <c r="M990" i="57"/>
  <c r="F1071" i="57"/>
  <c r="L1071" i="57" s="1"/>
  <c r="E1136" i="57"/>
  <c r="M65" i="57"/>
  <c r="F94" i="57"/>
  <c r="L94" i="57" s="1"/>
  <c r="M123" i="57"/>
  <c r="E133" i="57"/>
  <c r="M200" i="57"/>
  <c r="F223" i="57"/>
  <c r="L223" i="57" s="1"/>
  <c r="F231" i="57"/>
  <c r="L231" i="57" s="1"/>
  <c r="F242" i="57"/>
  <c r="L242" i="57" s="1"/>
  <c r="F278" i="57"/>
  <c r="L278" i="57" s="1"/>
  <c r="M77" i="57"/>
  <c r="F133" i="57"/>
  <c r="L133" i="57" s="1"/>
  <c r="F190" i="57"/>
  <c r="L190" i="57" s="1"/>
  <c r="F276" i="57"/>
  <c r="L276" i="57" s="1"/>
  <c r="E305" i="57"/>
  <c r="F337" i="57"/>
  <c r="L337" i="57" s="1"/>
  <c r="M346" i="57"/>
  <c r="F385" i="57"/>
  <c r="L385" i="57" s="1"/>
  <c r="M402" i="57"/>
  <c r="F449" i="57"/>
  <c r="L449" i="57" s="1"/>
  <c r="E455" i="57"/>
  <c r="M461" i="57"/>
  <c r="M503" i="57"/>
  <c r="E508" i="57"/>
  <c r="F551" i="57"/>
  <c r="L551" i="57" s="1"/>
  <c r="E561" i="57"/>
  <c r="F606" i="57"/>
  <c r="L606" i="57" s="1"/>
  <c r="F610" i="57"/>
  <c r="L610" i="57" s="1"/>
  <c r="M652" i="57"/>
  <c r="E656" i="57"/>
  <c r="E713" i="57"/>
  <c r="F717" i="57"/>
  <c r="L717" i="57" s="1"/>
  <c r="E752" i="57"/>
  <c r="F767" i="57"/>
  <c r="L767" i="57" s="1"/>
  <c r="E776" i="57"/>
  <c r="M861" i="57"/>
  <c r="E865" i="57"/>
  <c r="M881" i="57"/>
  <c r="F885" i="57"/>
  <c r="L885" i="57" s="1"/>
  <c r="F920" i="57"/>
  <c r="L920" i="57" s="1"/>
  <c r="L921" i="57" s="1"/>
  <c r="F928" i="57"/>
  <c r="L928" i="57" s="1"/>
  <c r="E940" i="57"/>
  <c r="E965" i="57"/>
  <c r="F981" i="57"/>
  <c r="L981" i="57" s="1"/>
  <c r="E986" i="57"/>
  <c r="F989" i="57"/>
  <c r="L989" i="57" s="1"/>
  <c r="E1021" i="57"/>
  <c r="F1036" i="57"/>
  <c r="L1036" i="57" s="1"/>
  <c r="M1039" i="57"/>
  <c r="F1048" i="57"/>
  <c r="L1048" i="57" s="1"/>
  <c r="M1070" i="57"/>
  <c r="F1074" i="57"/>
  <c r="L1074" i="57" s="1"/>
  <c r="F1090" i="57"/>
  <c r="L1090" i="57" s="1"/>
  <c r="F1136" i="57"/>
  <c r="L1136" i="57" s="1"/>
  <c r="M1143" i="57"/>
  <c r="E1155" i="57"/>
  <c r="F1181" i="57"/>
  <c r="L1181" i="57" s="1"/>
  <c r="E1191" i="57"/>
  <c r="E1195" i="57"/>
  <c r="F1204" i="57"/>
  <c r="L1204" i="57" s="1"/>
  <c r="E1233" i="57"/>
  <c r="F1244" i="57"/>
  <c r="L1244" i="57" s="1"/>
  <c r="M1250" i="57"/>
  <c r="E1259" i="57"/>
  <c r="E1284" i="57"/>
  <c r="F1289" i="57"/>
  <c r="L1289" i="57" s="1"/>
  <c r="M1297" i="57"/>
  <c r="E1302" i="57"/>
  <c r="F1308" i="57"/>
  <c r="L1308" i="57" s="1"/>
  <c r="F1340" i="57"/>
  <c r="L1340" i="57" s="1"/>
  <c r="M1351" i="57"/>
  <c r="E1356" i="57"/>
  <c r="F1365" i="57"/>
  <c r="L1365" i="57" s="1"/>
  <c r="E1389" i="57"/>
  <c r="F1394" i="57"/>
  <c r="L1394" i="57" s="1"/>
  <c r="E1403" i="57"/>
  <c r="F1408" i="57"/>
  <c r="L1408" i="57" s="1"/>
  <c r="E1412" i="57"/>
  <c r="F1455" i="57"/>
  <c r="L1455" i="57" s="1"/>
  <c r="M1460" i="57"/>
  <c r="M1472" i="57"/>
  <c r="E1494" i="57"/>
  <c r="F1499" i="57"/>
  <c r="L1499" i="57" s="1"/>
  <c r="M1505" i="57"/>
  <c r="F1513" i="57"/>
  <c r="L1513" i="57" s="1"/>
  <c r="F1518" i="57"/>
  <c r="L1518" i="57" s="1"/>
  <c r="E1548" i="57"/>
  <c r="E1562" i="57"/>
  <c r="F1567" i="57"/>
  <c r="L1567" i="57" s="1"/>
  <c r="E1578" i="57"/>
  <c r="F1600" i="57"/>
  <c r="L1600" i="57" s="1"/>
  <c r="M1606" i="57"/>
  <c r="E1611" i="57"/>
  <c r="F1621" i="57"/>
  <c r="L1621" i="57" s="1"/>
  <c r="E1626" i="57"/>
  <c r="E1656" i="57"/>
  <c r="F1666" i="57"/>
  <c r="L1666" i="57" s="1"/>
  <c r="E1669" i="57"/>
  <c r="F1674" i="57"/>
  <c r="L1674" i="57" s="1"/>
  <c r="E1684" i="57"/>
  <c r="F1706" i="57"/>
  <c r="L1706" i="57" s="1"/>
  <c r="M1712" i="57"/>
  <c r="E1717" i="57"/>
  <c r="F1727" i="57"/>
  <c r="L1727" i="57" s="1"/>
  <c r="E1732" i="57"/>
  <c r="E1762" i="57"/>
  <c r="F1772" i="57"/>
  <c r="L1772" i="57" s="1"/>
  <c r="E1775" i="57"/>
  <c r="F1780" i="57"/>
  <c r="L1780" i="57" s="1"/>
  <c r="E1790" i="57"/>
  <c r="F1812" i="57"/>
  <c r="L1812" i="57" s="1"/>
  <c r="M1818" i="57"/>
  <c r="E1823" i="57"/>
  <c r="F1833" i="57"/>
  <c r="L1833" i="57" s="1"/>
  <c r="E1838" i="57"/>
  <c r="E1868" i="57"/>
  <c r="F1878" i="57"/>
  <c r="L1878" i="57" s="1"/>
  <c r="E1881" i="57"/>
  <c r="F1886" i="57"/>
  <c r="L1886" i="57" s="1"/>
  <c r="E1896" i="57"/>
  <c r="F1918" i="57"/>
  <c r="L1918" i="57" s="1"/>
  <c r="M1924" i="57"/>
  <c r="E1929" i="57"/>
  <c r="F1939" i="57"/>
  <c r="L1939" i="57" s="1"/>
  <c r="E1944" i="57"/>
  <c r="E1974" i="57"/>
  <c r="F1984" i="57"/>
  <c r="L1984" i="57" s="1"/>
  <c r="E1987" i="57"/>
  <c r="F1992" i="57"/>
  <c r="L1992" i="57" s="1"/>
  <c r="E2002" i="57"/>
  <c r="F2024" i="57"/>
  <c r="L2024" i="57" s="1"/>
  <c r="M2030" i="57"/>
  <c r="E2035" i="57"/>
  <c r="F2045" i="57"/>
  <c r="L2045" i="57" s="1"/>
  <c r="E2050" i="57"/>
  <c r="E2080" i="57"/>
  <c r="F2090" i="57"/>
  <c r="L2090" i="57" s="1"/>
  <c r="E2093" i="57"/>
  <c r="F2098" i="57"/>
  <c r="L2098" i="57" s="1"/>
  <c r="E2108" i="57"/>
  <c r="F2130" i="57"/>
  <c r="L2130" i="57" s="1"/>
  <c r="M2136" i="57"/>
  <c r="E2141" i="57"/>
  <c r="F2151" i="57"/>
  <c r="L2151" i="57" s="1"/>
  <c r="E2156" i="57"/>
  <c r="E2186" i="57"/>
  <c r="F2196" i="57"/>
  <c r="L2196" i="57" s="1"/>
  <c r="E2199" i="57"/>
  <c r="F2204" i="57"/>
  <c r="L2204" i="57" s="1"/>
  <c r="E2214" i="57"/>
  <c r="E1866" i="57"/>
  <c r="F881" i="57"/>
  <c r="L881" i="57" s="1"/>
  <c r="F331" i="57"/>
  <c r="L331" i="57" s="1"/>
  <c r="F80" i="57"/>
  <c r="L80" i="57" s="1"/>
  <c r="M338" i="57"/>
  <c r="F455" i="57"/>
  <c r="L455" i="57" s="1"/>
  <c r="F123" i="57"/>
  <c r="L123" i="57" s="1"/>
  <c r="F187" i="57"/>
  <c r="L187" i="57" s="1"/>
  <c r="E291" i="57"/>
  <c r="E410" i="57"/>
  <c r="E516" i="57"/>
  <c r="E565" i="57"/>
  <c r="F648" i="57"/>
  <c r="L648" i="57" s="1"/>
  <c r="E717" i="57"/>
  <c r="E771" i="57"/>
  <c r="F836" i="57"/>
  <c r="L836" i="57" s="1"/>
  <c r="E885" i="57"/>
  <c r="F965" i="57"/>
  <c r="L965" i="57" s="1"/>
  <c r="M1033" i="57"/>
  <c r="E1078" i="57"/>
  <c r="E78" i="57"/>
  <c r="M94" i="57"/>
  <c r="M124" i="57"/>
  <c r="E173" i="57"/>
  <c r="M201" i="57"/>
  <c r="F224" i="57"/>
  <c r="L224" i="57" s="1"/>
  <c r="M238" i="57"/>
  <c r="E245" i="57"/>
  <c r="F288" i="57"/>
  <c r="L288" i="57" s="1"/>
  <c r="M80" i="57"/>
  <c r="M133" i="57"/>
  <c r="F227" i="57"/>
  <c r="L227" i="57" s="1"/>
  <c r="M290" i="57"/>
  <c r="F306" i="57"/>
  <c r="L306" i="57" s="1"/>
  <c r="M339" i="57"/>
  <c r="E348" i="57"/>
  <c r="F390" i="57"/>
  <c r="F391" i="57" s="1"/>
  <c r="M410" i="57"/>
  <c r="F451" i="57"/>
  <c r="L451" i="57" s="1"/>
  <c r="M455" i="57"/>
  <c r="E501" i="57"/>
  <c r="F504" i="57"/>
  <c r="L504" i="57" s="1"/>
  <c r="F555" i="57"/>
  <c r="L555" i="57" s="1"/>
  <c r="E563" i="57"/>
  <c r="M607" i="57"/>
  <c r="E612" i="57"/>
  <c r="F653" i="57"/>
  <c r="L653" i="57" s="1"/>
  <c r="E657" i="57"/>
  <c r="M714" i="57"/>
  <c r="E718" i="57"/>
  <c r="M761" i="57"/>
  <c r="E769" i="57"/>
  <c r="F807" i="57"/>
  <c r="L807" i="57" s="1"/>
  <c r="F862" i="57"/>
  <c r="L862" i="57" s="1"/>
  <c r="E867" i="57"/>
  <c r="M882" i="57"/>
  <c r="E886" i="57"/>
  <c r="M925" i="57"/>
  <c r="E929" i="57"/>
  <c r="E941" i="57"/>
  <c r="E967" i="57"/>
  <c r="F982" i="57"/>
  <c r="L982" i="57" s="1"/>
  <c r="M986" i="57"/>
  <c r="F990" i="57"/>
  <c r="L990" i="57" s="1"/>
  <c r="M1030" i="57"/>
  <c r="M1036" i="57"/>
  <c r="M1040" i="57"/>
  <c r="F1049" i="57"/>
  <c r="L1049" i="57" s="1"/>
  <c r="M1071" i="57"/>
  <c r="E1076" i="57"/>
  <c r="M1091" i="57"/>
  <c r="E1140" i="57"/>
  <c r="E1144" i="57"/>
  <c r="M1152" i="57"/>
  <c r="F1157" i="57"/>
  <c r="L1157" i="57" s="1"/>
  <c r="F1183" i="57"/>
  <c r="L1183" i="57" s="1"/>
  <c r="M1192" i="57"/>
  <c r="F1197" i="57"/>
  <c r="L1197" i="57" s="1"/>
  <c r="F1230" i="57"/>
  <c r="L1230" i="57" s="1"/>
  <c r="E1234" i="57"/>
  <c r="M1246" i="57"/>
  <c r="E1251" i="57"/>
  <c r="F1260" i="57"/>
  <c r="L1260" i="57" s="1"/>
  <c r="F1285" i="57"/>
  <c r="L1285" i="57" s="1"/>
  <c r="M1291" i="57"/>
  <c r="E1298" i="57"/>
  <c r="F1305" i="57"/>
  <c r="L1305" i="57" s="1"/>
  <c r="M1310" i="57"/>
  <c r="F1344" i="57"/>
  <c r="E1352" i="57"/>
  <c r="F1357" i="57"/>
  <c r="L1357" i="57" s="1"/>
  <c r="M1367" i="57"/>
  <c r="F1390" i="57"/>
  <c r="L1390" i="57" s="1"/>
  <c r="M1396" i="57"/>
  <c r="F1404" i="57"/>
  <c r="L1404" i="57" s="1"/>
  <c r="M1409" i="57"/>
  <c r="F1413" i="57"/>
  <c r="L1413" i="57" s="1"/>
  <c r="M1456" i="57"/>
  <c r="E1461" i="57"/>
  <c r="E1473" i="57"/>
  <c r="F1495" i="57"/>
  <c r="L1495" i="57" s="1"/>
  <c r="M1501" i="57"/>
  <c r="F1509" i="57"/>
  <c r="L1509" i="57" s="1"/>
  <c r="M1514" i="57"/>
  <c r="M1520" i="57"/>
  <c r="E1549" i="57"/>
  <c r="F1563" i="57"/>
  <c r="L1563" i="57" s="1"/>
  <c r="M1569" i="57"/>
  <c r="F1579" i="57"/>
  <c r="L1579" i="57" s="1"/>
  <c r="M1602" i="57"/>
  <c r="E1607" i="57"/>
  <c r="M1616" i="57"/>
  <c r="M1622" i="57"/>
  <c r="F1627" i="57"/>
  <c r="L1627" i="57" s="1"/>
  <c r="E1657" i="57"/>
  <c r="M1666" i="57"/>
  <c r="F1670" i="57"/>
  <c r="L1670" i="57" s="1"/>
  <c r="M1675" i="57"/>
  <c r="F1685" i="57"/>
  <c r="L1685" i="57" s="1"/>
  <c r="M1708" i="57"/>
  <c r="E1713" i="57"/>
  <c r="M1722" i="57"/>
  <c r="M1728" i="57"/>
  <c r="F1733" i="57"/>
  <c r="L1733" i="57" s="1"/>
  <c r="E1763" i="57"/>
  <c r="M1772" i="57"/>
  <c r="F1776" i="57"/>
  <c r="L1776" i="57" s="1"/>
  <c r="M1781" i="57"/>
  <c r="F1791" i="57"/>
  <c r="L1791" i="57" s="1"/>
  <c r="M1814" i="57"/>
  <c r="E1819" i="57"/>
  <c r="M1828" i="57"/>
  <c r="M1834" i="57"/>
  <c r="F1839" i="57"/>
  <c r="L1839" i="57" s="1"/>
  <c r="E1869" i="57"/>
  <c r="M1878" i="57"/>
  <c r="F1882" i="57"/>
  <c r="L1882" i="57" s="1"/>
  <c r="M1887" i="57"/>
  <c r="F1897" i="57"/>
  <c r="L1897" i="57" s="1"/>
  <c r="M1920" i="57"/>
  <c r="E1925" i="57"/>
  <c r="M1934" i="57"/>
  <c r="M1940" i="57"/>
  <c r="F1945" i="57"/>
  <c r="L1945" i="57" s="1"/>
  <c r="E1975" i="57"/>
  <c r="M1984" i="57"/>
  <c r="F1988" i="57"/>
  <c r="L1988" i="57" s="1"/>
  <c r="M1993" i="57"/>
  <c r="F2003" i="57"/>
  <c r="L2003" i="57" s="1"/>
  <c r="M2026" i="57"/>
  <c r="E2031" i="57"/>
  <c r="M2040" i="57"/>
  <c r="M2046" i="57"/>
  <c r="F2051" i="57"/>
  <c r="L2051" i="57" s="1"/>
  <c r="E2081" i="57"/>
  <c r="M2090" i="57"/>
  <c r="F2094" i="57"/>
  <c r="L2094" i="57" s="1"/>
  <c r="M2099" i="57"/>
  <c r="F2109" i="57"/>
  <c r="L2109" i="57" s="1"/>
  <c r="M2132" i="57"/>
  <c r="E2137" i="57"/>
  <c r="M2146" i="57"/>
  <c r="M2152" i="57"/>
  <c r="F2157" i="57"/>
  <c r="L2157" i="57" s="1"/>
  <c r="E2187" i="57"/>
  <c r="M2196" i="57"/>
  <c r="F2200" i="57"/>
  <c r="L2200" i="57" s="1"/>
  <c r="M2205" i="57"/>
  <c r="F137" i="57"/>
  <c r="L137" i="57" s="1"/>
  <c r="E201" i="57"/>
  <c r="F602" i="57"/>
  <c r="F603" i="57" s="1"/>
  <c r="M863" i="57"/>
  <c r="E1088" i="57"/>
  <c r="E84" i="57"/>
  <c r="M202" i="57"/>
  <c r="F289" i="57"/>
  <c r="L289" i="57" s="1"/>
  <c r="F243" i="57"/>
  <c r="L243" i="57" s="1"/>
  <c r="M348" i="57"/>
  <c r="F459" i="57"/>
  <c r="L459" i="57" s="1"/>
  <c r="E556" i="57"/>
  <c r="M653" i="57"/>
  <c r="F763" i="57"/>
  <c r="L763" i="57" s="1"/>
  <c r="M878" i="57"/>
  <c r="E930" i="57"/>
  <c r="M987" i="57"/>
  <c r="M1046" i="57"/>
  <c r="M1097" i="57"/>
  <c r="F1177" i="57"/>
  <c r="L1177" i="57" s="1"/>
  <c r="F1231" i="57"/>
  <c r="L1231" i="57" s="1"/>
  <c r="F1263" i="57"/>
  <c r="L1263" i="57" s="1"/>
  <c r="M1306" i="57"/>
  <c r="M1358" i="57"/>
  <c r="M1406" i="57"/>
  <c r="F1462" i="57"/>
  <c r="L1462" i="57" s="1"/>
  <c r="E1502" i="57"/>
  <c r="E1560" i="57"/>
  <c r="E1603" i="57"/>
  <c r="F1654" i="57"/>
  <c r="L1654" i="57" s="1"/>
  <c r="E1676" i="57"/>
  <c r="E1723" i="57"/>
  <c r="E1773" i="57"/>
  <c r="E1815" i="57"/>
  <c r="F1866" i="57"/>
  <c r="L1866" i="57" s="1"/>
  <c r="E1888" i="57"/>
  <c r="E1935" i="57"/>
  <c r="E1985" i="57"/>
  <c r="E2027" i="57"/>
  <c r="F2078" i="57"/>
  <c r="L2078" i="57" s="1"/>
  <c r="E2100" i="57"/>
  <c r="E2147" i="57"/>
  <c r="E2197" i="57"/>
  <c r="M2216" i="57"/>
  <c r="M2242" i="57"/>
  <c r="M2252" i="57"/>
  <c r="E2259" i="57"/>
  <c r="E2292" i="57"/>
  <c r="M2302" i="57"/>
  <c r="M2308" i="57"/>
  <c r="E2320" i="57"/>
  <c r="M2344" i="57"/>
  <c r="F2350" i="57"/>
  <c r="L2350" i="57" s="1"/>
  <c r="F2363" i="57"/>
  <c r="L2363" i="57" s="1"/>
  <c r="F2369" i="57"/>
  <c r="L2369" i="57" s="1"/>
  <c r="E80" i="57"/>
  <c r="F127" i="57"/>
  <c r="L127" i="57" s="1"/>
  <c r="E183" i="57"/>
  <c r="F191" i="57"/>
  <c r="L191" i="57" s="1"/>
  <c r="F237" i="57"/>
  <c r="L237" i="57" s="1"/>
  <c r="F292" i="57"/>
  <c r="L292" i="57" s="1"/>
  <c r="E334" i="57"/>
  <c r="E353" i="57"/>
  <c r="E382" i="57"/>
  <c r="M401" i="57"/>
  <c r="E436" i="57"/>
  <c r="E444" i="57"/>
  <c r="M500" i="57"/>
  <c r="F508" i="57"/>
  <c r="L508" i="57" s="1"/>
  <c r="E517" i="57"/>
  <c r="F541" i="57"/>
  <c r="L541" i="57" s="1"/>
  <c r="F557" i="57"/>
  <c r="L557" i="57" s="1"/>
  <c r="M560" i="57"/>
  <c r="M563" i="57"/>
  <c r="E594" i="57"/>
  <c r="M612" i="57"/>
  <c r="E646" i="57"/>
  <c r="E662" i="57"/>
  <c r="F670" i="57"/>
  <c r="L670" i="57" s="1"/>
  <c r="E703" i="57"/>
  <c r="F719" i="57"/>
  <c r="L719" i="57" s="1"/>
  <c r="E733" i="57"/>
  <c r="M767" i="57"/>
  <c r="F771" i="57"/>
  <c r="L771" i="57" s="1"/>
  <c r="M774" i="57"/>
  <c r="E779" i="57"/>
  <c r="E821" i="57"/>
  <c r="E834" i="57"/>
  <c r="F868" i="57"/>
  <c r="L868" i="57" s="1"/>
  <c r="E915" i="57"/>
  <c r="F930" i="57"/>
  <c r="L930" i="57" s="1"/>
  <c r="F934" i="57"/>
  <c r="L934" i="57" s="1"/>
  <c r="F942" i="57"/>
  <c r="L942" i="57" s="1"/>
  <c r="M964" i="57"/>
  <c r="E969" i="57"/>
  <c r="F984" i="57"/>
  <c r="L984" i="57" s="1"/>
  <c r="F1030" i="57"/>
  <c r="L1030" i="57" s="1"/>
  <c r="M1076" i="57"/>
  <c r="E1081" i="57"/>
  <c r="E1138" i="57"/>
  <c r="F1146" i="57"/>
  <c r="L1146" i="57" s="1"/>
  <c r="F1155" i="57"/>
  <c r="L1155" i="57" s="1"/>
  <c r="M1179" i="57"/>
  <c r="M1185" i="57"/>
  <c r="F1195" i="57"/>
  <c r="L1195" i="57" s="1"/>
  <c r="M1202" i="57"/>
  <c r="F1238" i="57"/>
  <c r="F1239" i="57" s="1"/>
  <c r="F1247" i="57"/>
  <c r="L1247" i="57" s="1"/>
  <c r="E1258" i="57"/>
  <c r="F1284" i="57"/>
  <c r="L1284" i="57" s="1"/>
  <c r="E1291" i="57"/>
  <c r="E1301" i="57"/>
  <c r="F1307" i="57"/>
  <c r="L1307" i="57" s="1"/>
  <c r="E1351" i="57"/>
  <c r="E1367" i="57"/>
  <c r="M1391" i="57"/>
  <c r="E1396" i="57"/>
  <c r="M1405" i="57"/>
  <c r="E1409" i="57"/>
  <c r="E1415" i="57"/>
  <c r="E1454" i="57"/>
  <c r="M1459" i="57"/>
  <c r="E1464" i="57"/>
  <c r="M1474" i="57"/>
  <c r="E1497" i="57"/>
  <c r="F1502" i="57"/>
  <c r="L1502" i="57" s="1"/>
  <c r="E1511" i="57"/>
  <c r="E1517" i="57"/>
  <c r="F1548" i="57"/>
  <c r="L1548" i="57" s="1"/>
  <c r="E1552" i="57"/>
  <c r="M1564" i="57"/>
  <c r="E1569" i="57"/>
  <c r="F1578" i="57"/>
  <c r="L1578" i="57" s="1"/>
  <c r="F1603" i="57"/>
  <c r="L1603" i="57" s="1"/>
  <c r="M1609" i="57"/>
  <c r="E1616" i="57"/>
  <c r="F1623" i="57"/>
  <c r="L1623" i="57" s="1"/>
  <c r="M1628" i="57"/>
  <c r="F1662" i="57"/>
  <c r="F1663" i="57" s="1"/>
  <c r="F1669" i="57"/>
  <c r="L1669" i="57" s="1"/>
  <c r="F1676" i="57"/>
  <c r="L1676" i="57" s="1"/>
  <c r="F1687" i="57"/>
  <c r="L1687" i="57" s="1"/>
  <c r="M1711" i="57"/>
  <c r="E1716" i="57"/>
  <c r="F1723" i="57"/>
  <c r="L1723" i="57" s="1"/>
  <c r="M1730" i="57"/>
  <c r="F1762" i="57"/>
  <c r="L1762" i="57" s="1"/>
  <c r="F1773" i="57"/>
  <c r="L1773" i="57" s="1"/>
  <c r="M1777" i="57"/>
  <c r="M1788" i="57"/>
  <c r="M1813" i="57"/>
  <c r="E1818" i="57"/>
  <c r="F1823" i="57"/>
  <c r="L1823" i="57" s="1"/>
  <c r="M1831" i="57"/>
  <c r="E1837" i="57"/>
  <c r="F1869" i="57"/>
  <c r="L1869" i="57" s="1"/>
  <c r="M1879" i="57"/>
  <c r="E1884" i="57"/>
  <c r="E1895" i="57"/>
  <c r="E1920" i="57"/>
  <c r="F1925" i="57"/>
  <c r="L1925" i="57" s="1"/>
  <c r="M1933" i="57"/>
  <c r="E1938" i="57"/>
  <c r="F1944" i="57"/>
  <c r="L1944" i="57" s="1"/>
  <c r="F1976" i="57"/>
  <c r="L1976" i="57" s="1"/>
  <c r="E1986" i="57"/>
  <c r="F1991" i="57"/>
  <c r="L1991" i="57" s="1"/>
  <c r="F2002" i="57"/>
  <c r="L2002" i="57" s="1"/>
  <c r="F2027" i="57"/>
  <c r="L2027" i="57" s="1"/>
  <c r="F1520" i="57"/>
  <c r="L1520" i="57" s="1"/>
  <c r="E384" i="57"/>
  <c r="M333" i="57"/>
  <c r="E655" i="57"/>
  <c r="M927" i="57"/>
  <c r="F97" i="57"/>
  <c r="L97" i="57" s="1"/>
  <c r="M228" i="57"/>
  <c r="M292" i="57"/>
  <c r="M397" i="57"/>
  <c r="M501" i="57"/>
  <c r="E564" i="57"/>
  <c r="F702" i="57"/>
  <c r="L702" i="57" s="1"/>
  <c r="E770" i="57"/>
  <c r="F883" i="57"/>
  <c r="L883" i="57" s="1"/>
  <c r="E945" i="57"/>
  <c r="F991" i="57"/>
  <c r="L991" i="57" s="1"/>
  <c r="E1050" i="57"/>
  <c r="M1141" i="57"/>
  <c r="F1185" i="57"/>
  <c r="L1185" i="57" s="1"/>
  <c r="E1238" i="57"/>
  <c r="E1239" i="57" s="1"/>
  <c r="M1287" i="57"/>
  <c r="F1338" i="57"/>
  <c r="L1338" i="57" s="1"/>
  <c r="E1368" i="57"/>
  <c r="E1410" i="57"/>
  <c r="M1511" i="57"/>
  <c r="M1565" i="57"/>
  <c r="F1608" i="57"/>
  <c r="L1608" i="57" s="1"/>
  <c r="E1658" i="57"/>
  <c r="M1686" i="57"/>
  <c r="E1729" i="57"/>
  <c r="M1778" i="57"/>
  <c r="F1820" i="57"/>
  <c r="L1820" i="57" s="1"/>
  <c r="E1870" i="57"/>
  <c r="M1898" i="57"/>
  <c r="E1941" i="57"/>
  <c r="M1990" i="57"/>
  <c r="F2032" i="57"/>
  <c r="L2032" i="57" s="1"/>
  <c r="E2082" i="57"/>
  <c r="M2110" i="57"/>
  <c r="E2153" i="57"/>
  <c r="M2202" i="57"/>
  <c r="F2236" i="57"/>
  <c r="L2236" i="57" s="1"/>
  <c r="E2243" i="57"/>
  <c r="E2253" i="57"/>
  <c r="E2262" i="57"/>
  <c r="E2293" i="57"/>
  <c r="E2303" i="57"/>
  <c r="F2310" i="57"/>
  <c r="L2310" i="57" s="1"/>
  <c r="F2321" i="57"/>
  <c r="L2321" i="57" s="1"/>
  <c r="E2345" i="57"/>
  <c r="E2353" i="57"/>
  <c r="M2364" i="57"/>
  <c r="F85" i="57"/>
  <c r="L85" i="57" s="1"/>
  <c r="E137" i="57"/>
  <c r="E184" i="57"/>
  <c r="M192" i="57"/>
  <c r="E249" i="57"/>
  <c r="F294" i="57"/>
  <c r="L294" i="57" s="1"/>
  <c r="F305" i="57"/>
  <c r="L305" i="57" s="1"/>
  <c r="F343" i="57"/>
  <c r="L343" i="57" s="1"/>
  <c r="F354" i="57"/>
  <c r="L354" i="57" s="1"/>
  <c r="E383" i="57"/>
  <c r="F410" i="57"/>
  <c r="L410" i="57" s="1"/>
  <c r="F437" i="57"/>
  <c r="L437" i="57" s="1"/>
  <c r="F453" i="57"/>
  <c r="L453" i="57" s="1"/>
  <c r="M505" i="57"/>
  <c r="F509" i="57"/>
  <c r="L509" i="57" s="1"/>
  <c r="E518" i="57"/>
  <c r="E543" i="57"/>
  <c r="M557" i="57"/>
  <c r="F561" i="57"/>
  <c r="L561" i="57" s="1"/>
  <c r="F565" i="57"/>
  <c r="L565" i="57" s="1"/>
  <c r="E602" i="57"/>
  <c r="E603" i="57" s="1"/>
  <c r="F613" i="57"/>
  <c r="L613" i="57" s="1"/>
  <c r="M656" i="57"/>
  <c r="E663" i="57"/>
  <c r="E671" i="57"/>
  <c r="M712" i="57"/>
  <c r="M719" i="57"/>
  <c r="F728" i="57"/>
  <c r="L728" i="57" s="1"/>
  <c r="F753" i="57"/>
  <c r="L753" i="57" s="1"/>
  <c r="M768" i="57"/>
  <c r="E772" i="57"/>
  <c r="M775" i="57"/>
  <c r="E780" i="57"/>
  <c r="E822" i="57"/>
  <c r="M865" i="57"/>
  <c r="E869" i="57"/>
  <c r="M924" i="57"/>
  <c r="F931" i="57"/>
  <c r="L931" i="57" s="1"/>
  <c r="M934" i="57"/>
  <c r="F943" i="57"/>
  <c r="L943" i="57" s="1"/>
  <c r="F966" i="57"/>
  <c r="L966" i="57" s="1"/>
  <c r="E970" i="57"/>
  <c r="M985" i="57"/>
  <c r="M1049" i="57"/>
  <c r="F1077" i="57"/>
  <c r="L1077" i="57" s="1"/>
  <c r="F1124" i="57"/>
  <c r="L1124" i="57" s="1"/>
  <c r="M1139" i="57"/>
  <c r="M1146" i="57"/>
  <c r="M1157" i="57"/>
  <c r="M1181" i="57"/>
  <c r="E1186" i="57"/>
  <c r="M1197" i="57"/>
  <c r="M1204" i="57"/>
  <c r="M1242" i="57"/>
  <c r="M1249" i="57"/>
  <c r="M1261" i="57"/>
  <c r="M1286" i="57"/>
  <c r="F1292" i="57"/>
  <c r="L1292" i="57" s="1"/>
  <c r="M1303" i="57"/>
  <c r="M1309" i="57"/>
  <c r="F1352" i="57"/>
  <c r="L1352" i="57" s="1"/>
  <c r="F1368" i="57"/>
  <c r="L1368" i="57" s="1"/>
  <c r="E1392" i="57"/>
  <c r="F1397" i="57"/>
  <c r="L1397" i="57" s="1"/>
  <c r="E1406" i="57"/>
  <c r="F1410" i="57"/>
  <c r="L1410" i="57" s="1"/>
  <c r="F1416" i="57"/>
  <c r="L1416" i="57" s="1"/>
  <c r="M1455" i="57"/>
  <c r="E1460" i="57"/>
  <c r="M1471" i="57"/>
  <c r="E1475" i="57"/>
  <c r="F1498" i="57"/>
  <c r="L1498" i="57" s="1"/>
  <c r="M1504" i="57"/>
  <c r="F1512" i="57"/>
  <c r="M1519" i="57"/>
  <c r="F1549" i="57"/>
  <c r="L1549" i="57" s="1"/>
  <c r="E1556" i="57"/>
  <c r="E1557" i="57" s="1"/>
  <c r="E1565" i="57"/>
  <c r="F1570" i="57"/>
  <c r="L1570" i="57" s="1"/>
  <c r="F1581" i="57"/>
  <c r="L1581" i="57" s="1"/>
  <c r="M1605" i="57"/>
  <c r="E1610" i="57"/>
  <c r="F1617" i="57"/>
  <c r="L1617" i="57" s="1"/>
  <c r="M1624" i="57"/>
  <c r="F1656" i="57"/>
  <c r="L1656" i="57" s="1"/>
  <c r="F1667" i="57"/>
  <c r="L1667" i="57" s="1"/>
  <c r="M1671" i="57"/>
  <c r="M1682" i="57"/>
  <c r="M1707" i="57"/>
  <c r="E1712" i="57"/>
  <c r="F1717" i="57"/>
  <c r="L1717" i="57" s="1"/>
  <c r="M1725" i="57"/>
  <c r="E1731" i="57"/>
  <c r="F1763" i="57"/>
  <c r="L1763" i="57" s="1"/>
  <c r="M1773" i="57"/>
  <c r="E1778" i="57"/>
  <c r="E1789" i="57"/>
  <c r="E1814" i="57"/>
  <c r="F1819" i="57"/>
  <c r="L1819" i="57" s="1"/>
  <c r="M1827" i="57"/>
  <c r="E1832" i="57"/>
  <c r="F1838" i="57"/>
  <c r="L1838" i="57" s="1"/>
  <c r="F1870" i="57"/>
  <c r="L1870" i="57" s="1"/>
  <c r="E1880" i="57"/>
  <c r="F1885" i="57"/>
  <c r="L1885" i="57" s="1"/>
  <c r="F1896" i="57"/>
  <c r="L1896" i="57" s="1"/>
  <c r="F1921" i="57"/>
  <c r="L1921" i="57" s="1"/>
  <c r="M1927" i="57"/>
  <c r="E1934" i="57"/>
  <c r="F1941" i="57"/>
  <c r="L1941" i="57" s="1"/>
  <c r="M1946" i="57"/>
  <c r="F1980" i="57"/>
  <c r="L1980" i="57" s="1"/>
  <c r="L1981" i="57" s="1"/>
  <c r="F1987" i="57"/>
  <c r="L1987" i="57" s="1"/>
  <c r="F1994" i="57"/>
  <c r="L1994" i="57" s="1"/>
  <c r="F2005" i="57"/>
  <c r="L2005" i="57" s="1"/>
  <c r="M2029" i="57"/>
  <c r="E704" i="57"/>
  <c r="F489" i="57"/>
  <c r="L489" i="57" s="1"/>
  <c r="E67" i="57"/>
  <c r="F443" i="57"/>
  <c r="L443" i="57" s="1"/>
  <c r="E728" i="57"/>
  <c r="F973" i="57"/>
  <c r="L973" i="57" s="1"/>
  <c r="E125" i="57"/>
  <c r="G125" i="57" s="1"/>
  <c r="F240" i="57"/>
  <c r="L240" i="57" s="1"/>
  <c r="F86" i="57"/>
  <c r="L86" i="57" s="1"/>
  <c r="E308" i="57"/>
  <c r="E438" i="57"/>
  <c r="F505" i="57"/>
  <c r="L505" i="57" s="1"/>
  <c r="M608" i="57"/>
  <c r="F715" i="57"/>
  <c r="L715" i="57" s="1"/>
  <c r="E809" i="57"/>
  <c r="F914" i="57"/>
  <c r="L914" i="57" s="1"/>
  <c r="M979" i="57"/>
  <c r="F1031" i="57"/>
  <c r="L1031" i="57" s="1"/>
  <c r="M1072" i="57"/>
  <c r="M1145" i="57"/>
  <c r="E1193" i="57"/>
  <c r="E1247" i="57"/>
  <c r="E1292" i="57"/>
  <c r="M1348" i="57"/>
  <c r="M1392" i="57"/>
  <c r="M1415" i="57"/>
  <c r="F1474" i="57"/>
  <c r="L1474" i="57" s="1"/>
  <c r="E1515" i="57"/>
  <c r="E1570" i="57"/>
  <c r="E1617" i="57"/>
  <c r="E1667" i="57"/>
  <c r="E1709" i="57"/>
  <c r="F1760" i="57"/>
  <c r="L1760" i="57" s="1"/>
  <c r="E1782" i="57"/>
  <c r="E1829" i="57"/>
  <c r="E1879" i="57"/>
  <c r="E1921" i="57"/>
  <c r="F1972" i="57"/>
  <c r="L1972" i="57" s="1"/>
  <c r="E1994" i="57"/>
  <c r="E2041" i="57"/>
  <c r="E2091" i="57"/>
  <c r="E2133" i="57"/>
  <c r="F2184" i="57"/>
  <c r="L2184" i="57" s="1"/>
  <c r="E2206" i="57"/>
  <c r="M2238" i="57"/>
  <c r="F2244" i="57"/>
  <c r="L2244" i="57" s="1"/>
  <c r="F2257" i="57"/>
  <c r="L2257" i="57" s="1"/>
  <c r="F2263" i="57"/>
  <c r="L2263" i="57" s="1"/>
  <c r="E2294" i="57"/>
  <c r="E2305" i="57"/>
  <c r="M2311" i="57"/>
  <c r="M2322" i="57"/>
  <c r="M2348" i="57"/>
  <c r="M2358" i="57"/>
  <c r="E2365" i="57"/>
  <c r="M119" i="57"/>
  <c r="F141" i="57"/>
  <c r="L141" i="57" s="1"/>
  <c r="E185" i="57"/>
  <c r="M225" i="57"/>
  <c r="M249" i="57"/>
  <c r="M294" i="57"/>
  <c r="F330" i="57"/>
  <c r="L330" i="57" s="1"/>
  <c r="F348" i="57"/>
  <c r="L348" i="57" s="1"/>
  <c r="M354" i="57"/>
  <c r="F399" i="57"/>
  <c r="L399" i="57" s="1"/>
  <c r="F412" i="57"/>
  <c r="L412" i="57" s="1"/>
  <c r="M437" i="57"/>
  <c r="E488" i="57"/>
  <c r="M506" i="57"/>
  <c r="E510" i="57"/>
  <c r="E521" i="57"/>
  <c r="E544" i="57"/>
  <c r="F558" i="57"/>
  <c r="L558" i="57" s="1"/>
  <c r="M562" i="57"/>
  <c r="E566" i="57"/>
  <c r="M610" i="57"/>
  <c r="E615" i="57"/>
  <c r="F657" i="57"/>
  <c r="L657" i="57" s="1"/>
  <c r="E664" i="57"/>
  <c r="E673" i="57"/>
  <c r="F713" i="57"/>
  <c r="L713" i="57" s="1"/>
  <c r="F720" i="57"/>
  <c r="L720" i="57" s="1"/>
  <c r="E730" i="57"/>
  <c r="E754" i="57"/>
  <c r="F769" i="57"/>
  <c r="L769" i="57" s="1"/>
  <c r="F773" i="57"/>
  <c r="L773" i="57" s="1"/>
  <c r="F776" i="57"/>
  <c r="L776" i="57" s="1"/>
  <c r="E806" i="57"/>
  <c r="F866" i="57"/>
  <c r="L866" i="57" s="1"/>
  <c r="E873" i="57"/>
  <c r="M928" i="57"/>
  <c r="F932" i="57"/>
  <c r="L932" i="57" s="1"/>
  <c r="M940" i="57"/>
  <c r="M944" i="57"/>
  <c r="M966" i="57"/>
  <c r="E971" i="57"/>
  <c r="M992" i="57"/>
  <c r="M1074" i="57"/>
  <c r="F1078" i="57"/>
  <c r="L1078" i="57" s="1"/>
  <c r="E1128" i="57"/>
  <c r="F1140" i="57"/>
  <c r="L1140" i="57" s="1"/>
  <c r="M1177" i="57"/>
  <c r="E1182" i="57"/>
  <c r="M1187" i="57"/>
  <c r="M1200" i="57"/>
  <c r="F1232" i="57"/>
  <c r="L1232" i="57" s="1"/>
  <c r="E1243" i="57"/>
  <c r="F1251" i="57"/>
  <c r="L1251" i="57" s="1"/>
  <c r="E1262" i="57"/>
  <c r="E1287" i="57"/>
  <c r="F1298" i="57"/>
  <c r="L1298" i="57" s="1"/>
  <c r="E1304" i="57"/>
  <c r="E1310" i="57"/>
  <c r="E1355" i="57"/>
  <c r="M1369" i="57"/>
  <c r="F1393" i="57"/>
  <c r="L1393" i="57" s="1"/>
  <c r="M1399" i="57"/>
  <c r="F1407" i="57"/>
  <c r="L1407" i="57" s="1"/>
  <c r="F1412" i="57"/>
  <c r="L1412" i="57" s="1"/>
  <c r="E1442" i="57"/>
  <c r="E1456" i="57"/>
  <c r="F1461" i="57"/>
  <c r="L1461" i="57" s="1"/>
  <c r="E1472" i="57"/>
  <c r="F1494" i="57"/>
  <c r="L1494" i="57" s="1"/>
  <c r="M1500" i="57"/>
  <c r="E1505" i="57"/>
  <c r="F1515" i="57"/>
  <c r="L1515" i="57" s="1"/>
  <c r="E1520" i="57"/>
  <c r="E1550" i="57"/>
  <c r="F1560" i="57"/>
  <c r="L1560" i="57" s="1"/>
  <c r="F1566" i="57"/>
  <c r="L1566" i="57" s="1"/>
  <c r="M1576" i="57"/>
  <c r="M1601" i="57"/>
  <c r="E1606" i="57"/>
  <c r="F1611" i="57"/>
  <c r="L1611" i="57" s="1"/>
  <c r="M1619" i="57"/>
  <c r="E1625" i="57"/>
  <c r="F1657" i="57"/>
  <c r="L1657" i="57" s="1"/>
  <c r="M1667" i="57"/>
  <c r="E1672" i="57"/>
  <c r="E1683" i="57"/>
  <c r="E1708" i="57"/>
  <c r="F1713" i="57"/>
  <c r="L1713" i="57" s="1"/>
  <c r="M1721" i="57"/>
  <c r="E1726" i="57"/>
  <c r="F1732" i="57"/>
  <c r="L1732" i="57" s="1"/>
  <c r="F1764" i="57"/>
  <c r="L1764" i="57" s="1"/>
  <c r="E1774" i="57"/>
  <c r="F1779" i="57"/>
  <c r="L1779" i="57" s="1"/>
  <c r="F1790" i="57"/>
  <c r="L1790" i="57" s="1"/>
  <c r="F1815" i="57"/>
  <c r="L1815" i="57" s="1"/>
  <c r="M1821" i="57"/>
  <c r="E1828" i="57"/>
  <c r="F1835" i="57"/>
  <c r="L1835" i="57" s="1"/>
  <c r="M1840" i="57"/>
  <c r="F1874" i="57"/>
  <c r="L1874" i="57" s="1"/>
  <c r="L1875" i="57" s="1"/>
  <c r="F1881" i="57"/>
  <c r="L1881" i="57" s="1"/>
  <c r="F1888" i="57"/>
  <c r="L1888" i="57" s="1"/>
  <c r="F1899" i="57"/>
  <c r="L1899" i="57" s="1"/>
  <c r="M1923" i="57"/>
  <c r="E1928" i="57"/>
  <c r="F1935" i="57"/>
  <c r="L1935" i="57" s="1"/>
  <c r="M1942" i="57"/>
  <c r="F1974" i="57"/>
  <c r="L1974" i="57" s="1"/>
  <c r="F1985" i="57"/>
  <c r="L1985" i="57" s="1"/>
  <c r="M1989" i="57"/>
  <c r="M2000" i="57"/>
  <c r="M2025" i="57"/>
  <c r="E2030" i="57"/>
  <c r="F2035" i="57"/>
  <c r="L2035" i="57" s="1"/>
  <c r="M2043" i="57"/>
  <c r="E2049" i="57"/>
  <c r="F2081" i="57"/>
  <c r="L2081" i="57" s="1"/>
  <c r="M2091" i="57"/>
  <c r="E2096" i="57"/>
  <c r="E2107" i="57"/>
  <c r="E2132" i="57"/>
  <c r="F2137" i="57"/>
  <c r="L2137" i="57" s="1"/>
  <c r="M2145" i="57"/>
  <c r="E2150" i="57"/>
  <c r="F2156" i="57"/>
  <c r="L2156" i="57" s="1"/>
  <c r="F2188" i="57"/>
  <c r="L2188" i="57" s="1"/>
  <c r="E2198" i="57"/>
  <c r="F2203" i="57"/>
  <c r="L2203" i="57" s="1"/>
  <c r="F2214" i="57"/>
  <c r="L2214" i="57" s="1"/>
  <c r="F2239" i="57"/>
  <c r="L2239" i="57" s="1"/>
  <c r="M2245" i="57"/>
  <c r="E2252" i="57"/>
  <c r="F2259" i="57"/>
  <c r="L2259" i="57" s="1"/>
  <c r="M2264" i="57"/>
  <c r="F2298" i="57"/>
  <c r="F2299" i="57" s="1"/>
  <c r="F2305" i="57"/>
  <c r="L2305" i="57" s="1"/>
  <c r="F2312" i="57"/>
  <c r="L2312" i="57" s="1"/>
  <c r="F2323" i="57"/>
  <c r="L2323" i="57" s="1"/>
  <c r="M2347" i="57"/>
  <c r="E2352" i="57"/>
  <c r="F2359" i="57"/>
  <c r="L2359" i="57" s="1"/>
  <c r="M2366" i="57"/>
  <c r="E2363" i="57"/>
  <c r="E2350" i="57"/>
  <c r="F2318" i="57"/>
  <c r="L2318" i="57" s="1"/>
  <c r="E2257" i="57"/>
  <c r="E2244" i="57"/>
  <c r="F2212" i="57"/>
  <c r="L2212" i="57" s="1"/>
  <c r="E2151" i="57"/>
  <c r="E2138" i="57"/>
  <c r="F2106" i="57"/>
  <c r="L2106" i="57" s="1"/>
  <c r="E2045" i="57"/>
  <c r="E2032" i="57"/>
  <c r="F2000" i="57"/>
  <c r="L2000" i="57" s="1"/>
  <c r="E1939" i="57"/>
  <c r="E1926" i="57"/>
  <c r="F1894" i="57"/>
  <c r="L1894" i="57" s="1"/>
  <c r="E1833" i="57"/>
  <c r="E1820" i="57"/>
  <c r="F1788" i="57"/>
  <c r="L1788" i="57" s="1"/>
  <c r="E1727" i="57"/>
  <c r="E1714" i="57"/>
  <c r="F1682" i="57"/>
  <c r="L1682" i="57" s="1"/>
  <c r="E1621" i="57"/>
  <c r="E1608" i="57"/>
  <c r="F1576" i="57"/>
  <c r="L1576" i="57" s="1"/>
  <c r="E1522" i="57"/>
  <c r="E1513" i="57"/>
  <c r="M1498" i="57"/>
  <c r="M1464" i="57"/>
  <c r="E1455" i="57"/>
  <c r="F1415" i="57"/>
  <c r="L1415" i="57" s="1"/>
  <c r="E1399" i="57"/>
  <c r="E1366" i="57"/>
  <c r="E1344" i="57"/>
  <c r="E1345" i="57" s="1"/>
  <c r="E1303" i="57"/>
  <c r="M1293" i="57"/>
  <c r="M1285" i="57"/>
  <c r="M1260" i="57"/>
  <c r="E1245" i="57"/>
  <c r="E1200" i="57"/>
  <c r="M1186" i="57"/>
  <c r="M1178" i="57"/>
  <c r="M1137" i="57"/>
  <c r="F1096" i="57"/>
  <c r="L1096" i="57" s="1"/>
  <c r="F1091" i="57"/>
  <c r="L1091" i="57" s="1"/>
  <c r="F1087" i="57"/>
  <c r="L1087" i="57" s="1"/>
  <c r="M974" i="57"/>
  <c r="F915" i="57"/>
  <c r="L915" i="57" s="1"/>
  <c r="F874" i="57"/>
  <c r="L874" i="57" s="1"/>
  <c r="M839" i="57"/>
  <c r="M835" i="57"/>
  <c r="M820" i="57"/>
  <c r="E760" i="57"/>
  <c r="F756" i="57"/>
  <c r="L756" i="57" s="1"/>
  <c r="M730" i="57"/>
  <c r="E714" i="57"/>
  <c r="M671" i="57"/>
  <c r="M663" i="57"/>
  <c r="E649" i="57"/>
  <c r="E624" i="57"/>
  <c r="M614" i="57"/>
  <c r="M567" i="57"/>
  <c r="F500" i="57"/>
  <c r="L500" i="57" s="1"/>
  <c r="E452" i="57"/>
  <c r="F415" i="57"/>
  <c r="L415" i="57" s="1"/>
  <c r="E344" i="57"/>
  <c r="M309" i="57"/>
  <c r="F199" i="57"/>
  <c r="L199" i="57" s="1"/>
  <c r="F122" i="57"/>
  <c r="L122" i="57" s="1"/>
  <c r="M247" i="57"/>
  <c r="E439" i="57"/>
  <c r="M543" i="57"/>
  <c r="E627" i="57"/>
  <c r="F674" i="57"/>
  <c r="L674" i="57" s="1"/>
  <c r="M729" i="57"/>
  <c r="M777" i="57"/>
  <c r="F858" i="57"/>
  <c r="L858" i="57" s="1"/>
  <c r="M973" i="57"/>
  <c r="F1088" i="57"/>
  <c r="L1088" i="57" s="1"/>
  <c r="F1093" i="57"/>
  <c r="L1093" i="57" s="1"/>
  <c r="F1126" i="57"/>
  <c r="E1154" i="57"/>
  <c r="M1182" i="57"/>
  <c r="F1199" i="57"/>
  <c r="L1199" i="57" s="1"/>
  <c r="E1249" i="57"/>
  <c r="M1262" i="57"/>
  <c r="F1291" i="57"/>
  <c r="L1291" i="57" s="1"/>
  <c r="E1305" i="57"/>
  <c r="M1356" i="57"/>
  <c r="E1394" i="57"/>
  <c r="F1442" i="57"/>
  <c r="L1442" i="57" s="1"/>
  <c r="M1461" i="57"/>
  <c r="M1494" i="57"/>
  <c r="E1516" i="57"/>
  <c r="M1566" i="57"/>
  <c r="F1605" i="57"/>
  <c r="L1605" i="57" s="1"/>
  <c r="F1624" i="57"/>
  <c r="L1624" i="57" s="1"/>
  <c r="M1669" i="57"/>
  <c r="M1709" i="57"/>
  <c r="E1724" i="57"/>
  <c r="E1791" i="57"/>
  <c r="F1827" i="57"/>
  <c r="L1827" i="57" s="1"/>
  <c r="E1886" i="57"/>
  <c r="M1929" i="57"/>
  <c r="E1945" i="57"/>
  <c r="F1989" i="57"/>
  <c r="L1989" i="57" s="1"/>
  <c r="F2029" i="57"/>
  <c r="L2029" i="57" s="1"/>
  <c r="F2048" i="57"/>
  <c r="L2048" i="57" s="1"/>
  <c r="M2093" i="57"/>
  <c r="M2133" i="57"/>
  <c r="E2148" i="57"/>
  <c r="E2215" i="57"/>
  <c r="F2251" i="57"/>
  <c r="L2251" i="57" s="1"/>
  <c r="E2310" i="57"/>
  <c r="M2353" i="57"/>
  <c r="E2369" i="57"/>
  <c r="F2368" i="57"/>
  <c r="L2368" i="57" s="1"/>
  <c r="M2361" i="57"/>
  <c r="M2351" i="57"/>
  <c r="E2344" i="57"/>
  <c r="M2318" i="57"/>
  <c r="E2304" i="57"/>
  <c r="F2293" i="57"/>
  <c r="L2293" i="57" s="1"/>
  <c r="M2260" i="57"/>
  <c r="M2251" i="57"/>
  <c r="E2242" i="57"/>
  <c r="F2217" i="57"/>
  <c r="L2217" i="57" s="1"/>
  <c r="E2202" i="57"/>
  <c r="F2197" i="57"/>
  <c r="L2197" i="57" s="1"/>
  <c r="M2158" i="57"/>
  <c r="M2149" i="57"/>
  <c r="E2140" i="57"/>
  <c r="F2133" i="57"/>
  <c r="L2133" i="57" s="1"/>
  <c r="M2106" i="57"/>
  <c r="F2093" i="57"/>
  <c r="L2093" i="57" s="1"/>
  <c r="F2082" i="57"/>
  <c r="L2082" i="57" s="1"/>
  <c r="M2048" i="57"/>
  <c r="E2040" i="57"/>
  <c r="F2031" i="57"/>
  <c r="L2031" i="57" s="1"/>
  <c r="M1985" i="57"/>
  <c r="F1929" i="57"/>
  <c r="L1929" i="57" s="1"/>
  <c r="M1883" i="57"/>
  <c r="F1829" i="57"/>
  <c r="L1829" i="57" s="1"/>
  <c r="F1782" i="57"/>
  <c r="L1782" i="57" s="1"/>
  <c r="F1729" i="57"/>
  <c r="L1729" i="57" s="1"/>
  <c r="F1684" i="57"/>
  <c r="L1684" i="57" s="1"/>
  <c r="F1626" i="57"/>
  <c r="L1626" i="57" s="1"/>
  <c r="E1602" i="57"/>
  <c r="E1551" i="57"/>
  <c r="E1501" i="57"/>
  <c r="F1457" i="57"/>
  <c r="L1457" i="57" s="1"/>
  <c r="F1403" i="57"/>
  <c r="L1403" i="57" s="1"/>
  <c r="F1356" i="57"/>
  <c r="L1356" i="57" s="1"/>
  <c r="M1290" i="57"/>
  <c r="F1233" i="57"/>
  <c r="L1233" i="57" s="1"/>
  <c r="E1178" i="57"/>
  <c r="E1080" i="57"/>
  <c r="F967" i="57"/>
  <c r="L967" i="57" s="1"/>
  <c r="M929" i="57"/>
  <c r="F820" i="57"/>
  <c r="L820" i="57" s="1"/>
  <c r="E755" i="57"/>
  <c r="F701" i="57"/>
  <c r="L701" i="57" s="1"/>
  <c r="F612" i="57"/>
  <c r="L612" i="57" s="1"/>
  <c r="M555" i="57"/>
  <c r="E500" i="57"/>
  <c r="M356" i="57"/>
  <c r="E280" i="57"/>
  <c r="E121" i="57"/>
  <c r="E2368" i="57"/>
  <c r="E2312" i="57"/>
  <c r="M2258" i="57"/>
  <c r="E2188" i="57"/>
  <c r="M2004" i="57"/>
  <c r="E1835" i="57"/>
  <c r="M1672" i="57"/>
  <c r="M1497" i="57"/>
  <c r="F1299" i="57"/>
  <c r="L1299" i="57" s="1"/>
  <c r="E1077" i="57"/>
  <c r="F863" i="57"/>
  <c r="L863" i="57" s="1"/>
  <c r="M451" i="57"/>
  <c r="M245" i="57"/>
  <c r="F136" i="57"/>
  <c r="M242" i="57"/>
  <c r="M135" i="57"/>
  <c r="M296" i="57"/>
  <c r="M335" i="57"/>
  <c r="E456" i="57"/>
  <c r="F490" i="57"/>
  <c r="L490" i="57" s="1"/>
  <c r="E616" i="57"/>
  <c r="M662" i="57"/>
  <c r="E716" i="57"/>
  <c r="F757" i="57"/>
  <c r="L757" i="57" s="1"/>
  <c r="E876" i="57"/>
  <c r="M136" i="57"/>
  <c r="F347" i="57"/>
  <c r="L347" i="57" s="1"/>
  <c r="F441" i="57"/>
  <c r="L441" i="57" s="1"/>
  <c r="F462" i="57"/>
  <c r="L462" i="57" s="1"/>
  <c r="F496" i="57"/>
  <c r="L496" i="57" s="1"/>
  <c r="L497" i="57" s="1"/>
  <c r="F622" i="57"/>
  <c r="L622" i="57" s="1"/>
  <c r="E648" i="57"/>
  <c r="M666" i="57"/>
  <c r="E700" i="57"/>
  <c r="M721" i="57"/>
  <c r="M732" i="57"/>
  <c r="E758" i="57"/>
  <c r="F780" i="57"/>
  <c r="L780" i="57" s="1"/>
  <c r="M836" i="57"/>
  <c r="E859" i="57"/>
  <c r="E877" i="57"/>
  <c r="F1022" i="57"/>
  <c r="L1022" i="57" s="1"/>
  <c r="E1089" i="57"/>
  <c r="F1095" i="57"/>
  <c r="L1095" i="57" s="1"/>
  <c r="M1142" i="57"/>
  <c r="M1155" i="57"/>
  <c r="E1185" i="57"/>
  <c r="M1201" i="57"/>
  <c r="E1252" i="57"/>
  <c r="F1283" i="57"/>
  <c r="L1283" i="57" s="1"/>
  <c r="F1297" i="57"/>
  <c r="L1297" i="57" s="1"/>
  <c r="M1307" i="57"/>
  <c r="E1358" i="57"/>
  <c r="M1403" i="57"/>
  <c r="F1443" i="57"/>
  <c r="L1443" i="57" s="1"/>
  <c r="F1463" i="57"/>
  <c r="L1463" i="57" s="1"/>
  <c r="F1500" i="57"/>
  <c r="L1500" i="57" s="1"/>
  <c r="M1517" i="57"/>
  <c r="F1568" i="57"/>
  <c r="L1568" i="57" s="1"/>
  <c r="M1611" i="57"/>
  <c r="E1627" i="57"/>
  <c r="F1671" i="57"/>
  <c r="L1671" i="57" s="1"/>
  <c r="F1711" i="57"/>
  <c r="L1711" i="57" s="1"/>
  <c r="F1730" i="57"/>
  <c r="L1730" i="57" s="1"/>
  <c r="M1775" i="57"/>
  <c r="M1815" i="57"/>
  <c r="E1830" i="57"/>
  <c r="E1897" i="57"/>
  <c r="F1933" i="57"/>
  <c r="L1933" i="57" s="1"/>
  <c r="E1992" i="57"/>
  <c r="M2035" i="57"/>
  <c r="E2051" i="57"/>
  <c r="F2095" i="57"/>
  <c r="L2095" i="57" s="1"/>
  <c r="F2135" i="57"/>
  <c r="L2135" i="57" s="1"/>
  <c r="F2154" i="57"/>
  <c r="L2154" i="57" s="1"/>
  <c r="M2199" i="57"/>
  <c r="M2239" i="57"/>
  <c r="E2254" i="57"/>
  <c r="E2321" i="57"/>
  <c r="F2357" i="57"/>
  <c r="L2357" i="57" s="1"/>
  <c r="E2367" i="57"/>
  <c r="E2358" i="57"/>
  <c r="F2349" i="57"/>
  <c r="L2349" i="57" s="1"/>
  <c r="M2343" i="57"/>
  <c r="F2309" i="57"/>
  <c r="L2309" i="57" s="1"/>
  <c r="M2303" i="57"/>
  <c r="F2292" i="57"/>
  <c r="L2292" i="57" s="1"/>
  <c r="E2256" i="57"/>
  <c r="F2247" i="57"/>
  <c r="L2247" i="57" s="1"/>
  <c r="M2241" i="57"/>
  <c r="E2213" i="57"/>
  <c r="M2201" i="57"/>
  <c r="F2192" i="57"/>
  <c r="F2193" i="57" s="1"/>
  <c r="E2155" i="57"/>
  <c r="F2147" i="57"/>
  <c r="L2147" i="57" s="1"/>
  <c r="M2139" i="57"/>
  <c r="M2131" i="57"/>
  <c r="F2100" i="57"/>
  <c r="L2100" i="57" s="1"/>
  <c r="E2092" i="57"/>
  <c r="F2080" i="57"/>
  <c r="L2080" i="57" s="1"/>
  <c r="F2047" i="57"/>
  <c r="L2047" i="57" s="1"/>
  <c r="M2039" i="57"/>
  <c r="E2026" i="57"/>
  <c r="F1975" i="57"/>
  <c r="L1975" i="57" s="1"/>
  <c r="E1924" i="57"/>
  <c r="F1879" i="57"/>
  <c r="L1879" i="57" s="1"/>
  <c r="E1822" i="57"/>
  <c r="F1775" i="57"/>
  <c r="L1775" i="57" s="1"/>
  <c r="E1722" i="57"/>
  <c r="F1673" i="57"/>
  <c r="L1673" i="57" s="1"/>
  <c r="E1620" i="57"/>
  <c r="E1577" i="57"/>
  <c r="F1521" i="57"/>
  <c r="L1521" i="57" s="1"/>
  <c r="M1496" i="57"/>
  <c r="E1443" i="57"/>
  <c r="M1395" i="57"/>
  <c r="M1350" i="57"/>
  <c r="M1282" i="57"/>
  <c r="E1201" i="57"/>
  <c r="F1153" i="57"/>
  <c r="L1153" i="57" s="1"/>
  <c r="M1075" i="57"/>
  <c r="F945" i="57"/>
  <c r="L945" i="57" s="1"/>
  <c r="M886" i="57"/>
  <c r="F777" i="57"/>
  <c r="L777" i="57" s="1"/>
  <c r="E731" i="57"/>
  <c r="E669" i="57"/>
  <c r="E567" i="57"/>
  <c r="F540" i="57"/>
  <c r="L540" i="57" s="1"/>
  <c r="E442" i="57"/>
  <c r="F350" i="57"/>
  <c r="L350" i="57" s="1"/>
  <c r="F228" i="57"/>
  <c r="L228" i="57" s="1"/>
  <c r="E2359" i="57"/>
  <c r="F2306" i="57"/>
  <c r="L2306" i="57" s="1"/>
  <c r="E2247" i="57"/>
  <c r="F2138" i="57"/>
  <c r="L2138" i="57" s="1"/>
  <c r="E1976" i="57"/>
  <c r="M1792" i="57"/>
  <c r="E1623" i="57"/>
  <c r="E1457" i="57"/>
  <c r="F1252" i="57"/>
  <c r="L1252" i="57" s="1"/>
  <c r="F1038" i="57"/>
  <c r="L1038" i="57" s="1"/>
  <c r="E719" i="57"/>
  <c r="E343" i="57"/>
  <c r="E189" i="57"/>
  <c r="F1039" i="57"/>
  <c r="L1039" i="57" s="1"/>
  <c r="H32" i="7"/>
  <c r="O139" i="104"/>
  <c r="M29" i="102" s="1"/>
  <c r="L104" i="120"/>
  <c r="L102" i="120"/>
  <c r="N102" i="120"/>
  <c r="O143" i="104"/>
  <c r="M35" i="102" s="1"/>
  <c r="O113" i="104"/>
  <c r="O114" i="104"/>
  <c r="O76" i="104"/>
  <c r="K29" i="74"/>
  <c r="K42" i="74" s="1"/>
  <c r="G29" i="74"/>
  <c r="G42" i="37"/>
  <c r="H66" i="7"/>
  <c r="H31" i="7"/>
  <c r="H88" i="7"/>
  <c r="M1092" i="57"/>
  <c r="M1304" i="57"/>
  <c r="E1308" i="57"/>
  <c r="F1351" i="57"/>
  <c r="L1351" i="57" s="1"/>
  <c r="F1369" i="57"/>
  <c r="L1369" i="57" s="1"/>
  <c r="M1389" i="57"/>
  <c r="M1515" i="57"/>
  <c r="M1600" i="57"/>
  <c r="M1621" i="57"/>
  <c r="F1675" i="57"/>
  <c r="L1675" i="57" s="1"/>
  <c r="E1721" i="57"/>
  <c r="M1829" i="57"/>
  <c r="E1923" i="57"/>
  <c r="M1939" i="57"/>
  <c r="E1988" i="57"/>
  <c r="F2033" i="57"/>
  <c r="L2033" i="57" s="1"/>
  <c r="M2050" i="57"/>
  <c r="M2097" i="57"/>
  <c r="F2140" i="57"/>
  <c r="L2140" i="57" s="1"/>
  <c r="F2152" i="57"/>
  <c r="L2152" i="57" s="1"/>
  <c r="F2205" i="57"/>
  <c r="L2205" i="57" s="1"/>
  <c r="M2214" i="57"/>
  <c r="M2244" i="57"/>
  <c r="M2256" i="57"/>
  <c r="F2322" i="57"/>
  <c r="L2322" i="57" s="1"/>
  <c r="F2351" i="57"/>
  <c r="L2351" i="57" s="1"/>
  <c r="M2363" i="57"/>
  <c r="E2364" i="57"/>
  <c r="F2348" i="57"/>
  <c r="L2348" i="57" s="1"/>
  <c r="F2319" i="57"/>
  <c r="L2319" i="57" s="1"/>
  <c r="M2306" i="57"/>
  <c r="F2261" i="57"/>
  <c r="L2261" i="57" s="1"/>
  <c r="F2252" i="57"/>
  <c r="L2252" i="57" s="1"/>
  <c r="E2237" i="57"/>
  <c r="E2205" i="57"/>
  <c r="E2184" i="57"/>
  <c r="E2152" i="57"/>
  <c r="F2136" i="57"/>
  <c r="L2136" i="57" s="1"/>
  <c r="F2107" i="57"/>
  <c r="L2107" i="57" s="1"/>
  <c r="M2094" i="57"/>
  <c r="F2049" i="57"/>
  <c r="L2049" i="57" s="1"/>
  <c r="F2040" i="57"/>
  <c r="L2040" i="57" s="1"/>
  <c r="E2025" i="57"/>
  <c r="E1993" i="57"/>
  <c r="E1972" i="57"/>
  <c r="E1940" i="57"/>
  <c r="F1924" i="57"/>
  <c r="L1924" i="57" s="1"/>
  <c r="F1895" i="57"/>
  <c r="L1895" i="57" s="1"/>
  <c r="M1882" i="57"/>
  <c r="F1837" i="57"/>
  <c r="L1837" i="57" s="1"/>
  <c r="F1828" i="57"/>
  <c r="L1828" i="57" s="1"/>
  <c r="E1813" i="57"/>
  <c r="E1781" i="57"/>
  <c r="E1760" i="57"/>
  <c r="E1728" i="57"/>
  <c r="F1712" i="57"/>
  <c r="L1712" i="57" s="1"/>
  <c r="F1683" i="57"/>
  <c r="L1683" i="57" s="1"/>
  <c r="M1670" i="57"/>
  <c r="F1625" i="57"/>
  <c r="L1625" i="57" s="1"/>
  <c r="F1616" i="57"/>
  <c r="L1616" i="57" s="1"/>
  <c r="E1601" i="57"/>
  <c r="F1569" i="57"/>
  <c r="L1569" i="57" s="1"/>
  <c r="M1094" i="57"/>
  <c r="F1128" i="57"/>
  <c r="L1128" i="57" s="1"/>
  <c r="E1143" i="57"/>
  <c r="E1353" i="57"/>
  <c r="F1445" i="57"/>
  <c r="L1445" i="57" s="1"/>
  <c r="F1460" i="57"/>
  <c r="L1460" i="57" s="1"/>
  <c r="E1499" i="57"/>
  <c r="F1550" i="57"/>
  <c r="L1550" i="57" s="1"/>
  <c r="M1560" i="57"/>
  <c r="E1576" i="57"/>
  <c r="F1622" i="57"/>
  <c r="L1622" i="57" s="1"/>
  <c r="M1726" i="57"/>
  <c r="E1776" i="57"/>
  <c r="M1832" i="57"/>
  <c r="E1883" i="57"/>
  <c r="M1918" i="57"/>
  <c r="F1928" i="57"/>
  <c r="L1928" i="57" s="1"/>
  <c r="M1945" i="57"/>
  <c r="E1989" i="57"/>
  <c r="M2002" i="57"/>
  <c r="F2025" i="57"/>
  <c r="L2025" i="57" s="1"/>
  <c r="M2042" i="57"/>
  <c r="F2099" i="57"/>
  <c r="L2099" i="57" s="1"/>
  <c r="E2106" i="57"/>
  <c r="F2131" i="57"/>
  <c r="L2131" i="57" s="1"/>
  <c r="E2145" i="57"/>
  <c r="E2154" i="57"/>
  <c r="F2198" i="57"/>
  <c r="L2198" i="57" s="1"/>
  <c r="M2215" i="57"/>
  <c r="F2237" i="57"/>
  <c r="L2237" i="57" s="1"/>
  <c r="E2251" i="57"/>
  <c r="E2260" i="57"/>
  <c r="E2306" i="57"/>
  <c r="F2344" i="57"/>
  <c r="L2344" i="57" s="1"/>
  <c r="M2359" i="57"/>
  <c r="M2368" i="57"/>
  <c r="E2370" i="57"/>
  <c r="E2361" i="57"/>
  <c r="M2346" i="57"/>
  <c r="M2312" i="57"/>
  <c r="E2291" i="57"/>
  <c r="M2259" i="57"/>
  <c r="E2245" i="57"/>
  <c r="E2216" i="57"/>
  <c r="F2202" i="57"/>
  <c r="L2202" i="57" s="1"/>
  <c r="E2158" i="57"/>
  <c r="E2149" i="57"/>
  <c r="M2134" i="57"/>
  <c r="M2100" i="57"/>
  <c r="E2079" i="57"/>
  <c r="M2047" i="57"/>
  <c r="E2033" i="57"/>
  <c r="E2004" i="57"/>
  <c r="F1990" i="57"/>
  <c r="L1990" i="57" s="1"/>
  <c r="E1946" i="57"/>
  <c r="E1937" i="57"/>
  <c r="M1922" i="57"/>
  <c r="M1888" i="57"/>
  <c r="E1867" i="57"/>
  <c r="M1835" i="57"/>
  <c r="E1821" i="57"/>
  <c r="E1792" i="57"/>
  <c r="F1778" i="57"/>
  <c r="L1778" i="57" s="1"/>
  <c r="E1734" i="57"/>
  <c r="E1725" i="57"/>
  <c r="M1710" i="57"/>
  <c r="M1676" i="57"/>
  <c r="E1655" i="57"/>
  <c r="M1623" i="57"/>
  <c r="E1609" i="57"/>
  <c r="E1580" i="57"/>
  <c r="M1567" i="57"/>
  <c r="M1518" i="57"/>
  <c r="M1509" i="57"/>
  <c r="E1496" i="57"/>
  <c r="F1464" i="57"/>
  <c r="L1464" i="57" s="1"/>
  <c r="F1450" i="57"/>
  <c r="F1451" i="57" s="1"/>
  <c r="E1413" i="57"/>
  <c r="M1404" i="57"/>
  <c r="E1390" i="57"/>
  <c r="K94" i="41"/>
  <c r="N94" i="41" s="1"/>
  <c r="I200" i="41" s="1"/>
  <c r="K139" i="41"/>
  <c r="N139" i="41" s="1"/>
  <c r="R161" i="120"/>
  <c r="J29" i="74"/>
  <c r="J42" i="74" s="1"/>
  <c r="H21" i="23"/>
  <c r="J21" i="23" s="1"/>
  <c r="J16" i="23"/>
  <c r="O19" i="37"/>
  <c r="H86" i="7"/>
  <c r="E73" i="7"/>
  <c r="H76" i="7"/>
  <c r="F138" i="57"/>
  <c r="F238" i="57"/>
  <c r="L238" i="57" s="1"/>
  <c r="E347" i="57"/>
  <c r="M542" i="57"/>
  <c r="M626" i="57"/>
  <c r="E666" i="57"/>
  <c r="E819" i="57"/>
  <c r="F837" i="57"/>
  <c r="L837" i="57" s="1"/>
  <c r="E862" i="57"/>
  <c r="F924" i="57"/>
  <c r="L924" i="57" s="1"/>
  <c r="E1086" i="57"/>
  <c r="F1184" i="57"/>
  <c r="L1184" i="57" s="1"/>
  <c r="E1197" i="57"/>
  <c r="F1250" i="57"/>
  <c r="L1250" i="57" s="1"/>
  <c r="M1251" i="57"/>
  <c r="E1290" i="57"/>
  <c r="F1337" i="57"/>
  <c r="L1337" i="57" s="1"/>
  <c r="F1348" i="57"/>
  <c r="L1348" i="57" s="1"/>
  <c r="F1355" i="57"/>
  <c r="L1355" i="57" s="1"/>
  <c r="E1365" i="57"/>
  <c r="F1391" i="57"/>
  <c r="L1391" i="57" s="1"/>
  <c r="F1396" i="57"/>
  <c r="L1396" i="57" s="1"/>
  <c r="F1409" i="57"/>
  <c r="L1409" i="57" s="1"/>
  <c r="M1454" i="57"/>
  <c r="E1463" i="57"/>
  <c r="M1473" i="57"/>
  <c r="M1495" i="57"/>
  <c r="E1500" i="57"/>
  <c r="F1505" i="57"/>
  <c r="L1505" i="57" s="1"/>
  <c r="M1513" i="57"/>
  <c r="E1519" i="57"/>
  <c r="F1551" i="57"/>
  <c r="L1551" i="57" s="1"/>
  <c r="M1562" i="57"/>
  <c r="E1567" i="57"/>
  <c r="M1578" i="57"/>
  <c r="F1601" i="57"/>
  <c r="L1601" i="57" s="1"/>
  <c r="M1607" i="57"/>
  <c r="E1615" i="57"/>
  <c r="F1620" i="57"/>
  <c r="L1620" i="57" s="1"/>
  <c r="E1624" i="57"/>
  <c r="E1671" i="57"/>
  <c r="F1686" i="57"/>
  <c r="L1686" i="57" s="1"/>
  <c r="M1706" i="57"/>
  <c r="E1710" i="57"/>
  <c r="F1715" i="57"/>
  <c r="L1715" i="57" s="1"/>
  <c r="M1724" i="57"/>
  <c r="M1727" i="57"/>
  <c r="M1733" i="57"/>
  <c r="E1772" i="57"/>
  <c r="M1779" i="57"/>
  <c r="E1788" i="57"/>
  <c r="M1793" i="57"/>
  <c r="E1817" i="57"/>
  <c r="F1822" i="57"/>
  <c r="L1822" i="57" s="1"/>
  <c r="F1831" i="57"/>
  <c r="L1831" i="57" s="1"/>
  <c r="F1834" i="57"/>
  <c r="L1834" i="57" s="1"/>
  <c r="F1840" i="57"/>
  <c r="L1840" i="57" s="1"/>
  <c r="E1882" i="57"/>
  <c r="F1887" i="57"/>
  <c r="L1887" i="57" s="1"/>
  <c r="M1897" i="57"/>
  <c r="E1918" i="57"/>
  <c r="F1920" i="57"/>
  <c r="L1920" i="57" s="1"/>
  <c r="M1926" i="57"/>
  <c r="M1935" i="57"/>
  <c r="M1938" i="57"/>
  <c r="M1944" i="57"/>
  <c r="E1984" i="57"/>
  <c r="M1991" i="57"/>
  <c r="E2000" i="57"/>
  <c r="M2005" i="57"/>
  <c r="E2029" i="57"/>
  <c r="F2034" i="57"/>
  <c r="L2034" i="57" s="1"/>
  <c r="F2043" i="57"/>
  <c r="L2043" i="57" s="1"/>
  <c r="F2046" i="57"/>
  <c r="L2046" i="57" s="1"/>
  <c r="F2052" i="57"/>
  <c r="L2052" i="57" s="1"/>
  <c r="F2092" i="57"/>
  <c r="L2092" i="57" s="1"/>
  <c r="M2098" i="57"/>
  <c r="M2108" i="57"/>
  <c r="E86" i="57"/>
  <c r="E233" i="57"/>
  <c r="F338" i="57"/>
  <c r="L338" i="57" s="1"/>
  <c r="F353" i="57"/>
  <c r="L353" i="57" s="1"/>
  <c r="M415" i="57"/>
  <c r="M439" i="57"/>
  <c r="E504" i="57"/>
  <c r="F521" i="57"/>
  <c r="L521" i="57" s="1"/>
  <c r="E547" i="57"/>
  <c r="F672" i="57"/>
  <c r="L672" i="57" s="1"/>
  <c r="F722" i="57"/>
  <c r="L722" i="57" s="1"/>
  <c r="M754" i="57"/>
  <c r="E825" i="57"/>
  <c r="M874" i="57"/>
  <c r="M969" i="57"/>
  <c r="E1031" i="57"/>
  <c r="F1152" i="57"/>
  <c r="L1152" i="57" s="1"/>
  <c r="M1191" i="57"/>
  <c r="M1199" i="57"/>
  <c r="M1244" i="57"/>
  <c r="E1248" i="57"/>
  <c r="E1286" i="57"/>
  <c r="F1290" i="57"/>
  <c r="L1290" i="57" s="1"/>
  <c r="M1292" i="57"/>
  <c r="M1298" i="57"/>
  <c r="F1304" i="57"/>
  <c r="L1304" i="57" s="1"/>
  <c r="E1309" i="57"/>
  <c r="F1350" i="57"/>
  <c r="L1350" i="57" s="1"/>
  <c r="E1357" i="57"/>
  <c r="F1367" i="57"/>
  <c r="L1367" i="57" s="1"/>
  <c r="M1393" i="57"/>
  <c r="E1398" i="57"/>
  <c r="F1411" i="57"/>
  <c r="L1411" i="57" s="1"/>
  <c r="M1416" i="57"/>
  <c r="M1458" i="57"/>
  <c r="F1496" i="57"/>
  <c r="L1496" i="57" s="1"/>
  <c r="M1502" i="57"/>
  <c r="E1509" i="57"/>
  <c r="F1514" i="57"/>
  <c r="L1514" i="57" s="1"/>
  <c r="M1521" i="57"/>
  <c r="F1552" i="57"/>
  <c r="L1552" i="57" s="1"/>
  <c r="M1563" i="57"/>
  <c r="E1568" i="57"/>
  <c r="M1579" i="57"/>
  <c r="E1600" i="57"/>
  <c r="F1602" i="57"/>
  <c r="L1602" i="57" s="1"/>
  <c r="M1608" i="57"/>
  <c r="M1617" i="57"/>
  <c r="M1620" i="57"/>
  <c r="M1626" i="57"/>
  <c r="E1666" i="57"/>
  <c r="M1673" i="57"/>
  <c r="E1682" i="57"/>
  <c r="M1687" i="57"/>
  <c r="E1711" i="57"/>
  <c r="F1716" i="57"/>
  <c r="L1716" i="57" s="1"/>
  <c r="F1725" i="57"/>
  <c r="L1725" i="57" s="1"/>
  <c r="F1728" i="57"/>
  <c r="L1728" i="57" s="1"/>
  <c r="F1734" i="57"/>
  <c r="L1734" i="57" s="1"/>
  <c r="F1774" i="57"/>
  <c r="L1774" i="57" s="1"/>
  <c r="M1780" i="57"/>
  <c r="M1790" i="57"/>
  <c r="F1813" i="57"/>
  <c r="L1813" i="57" s="1"/>
  <c r="M1819" i="57"/>
  <c r="E1827" i="57"/>
  <c r="E2366" i="57"/>
  <c r="F2362" i="57"/>
  <c r="L2362" i="57" s="1"/>
  <c r="E2357" i="57"/>
  <c r="M2349" i="57"/>
  <c r="F2343" i="57"/>
  <c r="L2343" i="57" s="1"/>
  <c r="M2320" i="57"/>
  <c r="M2310" i="57"/>
  <c r="F2304" i="57"/>
  <c r="L2304" i="57" s="1"/>
  <c r="F2264" i="57"/>
  <c r="L2264" i="57" s="1"/>
  <c r="F2258" i="57"/>
  <c r="L2258" i="57" s="1"/>
  <c r="F2255" i="57"/>
  <c r="L2255" i="57" s="1"/>
  <c r="F2246" i="57"/>
  <c r="L2246" i="57" s="1"/>
  <c r="E2241" i="57"/>
  <c r="M2217" i="57"/>
  <c r="E2212" i="57"/>
  <c r="M2203" i="57"/>
  <c r="E2196" i="57"/>
  <c r="M2157" i="57"/>
  <c r="M2151" i="57"/>
  <c r="M2148" i="57"/>
  <c r="F2139" i="57"/>
  <c r="L2139" i="57" s="1"/>
  <c r="E2134" i="57"/>
  <c r="M2130" i="57"/>
  <c r="F2110" i="57"/>
  <c r="L2110" i="57" s="1"/>
  <c r="E2095" i="57"/>
  <c r="M2045" i="57"/>
  <c r="M2041" i="57"/>
  <c r="M2031" i="57"/>
  <c r="F2004" i="57"/>
  <c r="L2004" i="57" s="1"/>
  <c r="F1993" i="57"/>
  <c r="L1993" i="57" s="1"/>
  <c r="F1986" i="57"/>
  <c r="L1986" i="57" s="1"/>
  <c r="E1942" i="57"/>
  <c r="F1937" i="57"/>
  <c r="L1937" i="57" s="1"/>
  <c r="F1927" i="57"/>
  <c r="F1919" i="57"/>
  <c r="L1919" i="57" s="1"/>
  <c r="M1899" i="57"/>
  <c r="F1880" i="57"/>
  <c r="L1880" i="57" s="1"/>
  <c r="M1838" i="57"/>
  <c r="F1832" i="57"/>
  <c r="L1832" i="57" s="1"/>
  <c r="M1820" i="57"/>
  <c r="M1812" i="57"/>
  <c r="M1791" i="57"/>
  <c r="F1781" i="57"/>
  <c r="L1781" i="57" s="1"/>
  <c r="F1726" i="57"/>
  <c r="L1726" i="57" s="1"/>
  <c r="M1713" i="57"/>
  <c r="E1706" i="57"/>
  <c r="M1674" i="57"/>
  <c r="F1628" i="57"/>
  <c r="L1628" i="57" s="1"/>
  <c r="F1619" i="57"/>
  <c r="L1619" i="57" s="1"/>
  <c r="E1605" i="57"/>
  <c r="F1564" i="57"/>
  <c r="L1564" i="57" s="1"/>
  <c r="M1522" i="57"/>
  <c r="E1510" i="57"/>
  <c r="F1497" i="57"/>
  <c r="L1497" i="57" s="1"/>
  <c r="E1471" i="57"/>
  <c r="F1459" i="57"/>
  <c r="L1459" i="57" s="1"/>
  <c r="F1414" i="57"/>
  <c r="L1414" i="57" s="1"/>
  <c r="M1357" i="57"/>
  <c r="E1348" i="57"/>
  <c r="E1340" i="57"/>
  <c r="F1282" i="57"/>
  <c r="L1282" i="57" s="1"/>
  <c r="F1261" i="57"/>
  <c r="L1261" i="57" s="1"/>
  <c r="E1231" i="57"/>
  <c r="E1202" i="57"/>
  <c r="E1179" i="57"/>
  <c r="E1157" i="57"/>
  <c r="E988" i="57"/>
  <c r="F827" i="57"/>
  <c r="L827" i="57" s="1"/>
  <c r="M565" i="57"/>
  <c r="F2370" i="57"/>
  <c r="L2370" i="57" s="1"/>
  <c r="F2364" i="57"/>
  <c r="L2364" i="57" s="1"/>
  <c r="F2361" i="57"/>
  <c r="L2361" i="57" s="1"/>
  <c r="F2352" i="57"/>
  <c r="L2352" i="57" s="1"/>
  <c r="E2347" i="57"/>
  <c r="M2323" i="57"/>
  <c r="E2318" i="57"/>
  <c r="M2309" i="57"/>
  <c r="E2302" i="57"/>
  <c r="M2263" i="57"/>
  <c r="M2257" i="57"/>
  <c r="M2254" i="57"/>
  <c r="F2245" i="57"/>
  <c r="L2245" i="57" s="1"/>
  <c r="E2240" i="57"/>
  <c r="M2236" i="57"/>
  <c r="F2216" i="57"/>
  <c r="L2216" i="57" s="1"/>
  <c r="E2201" i="57"/>
  <c r="M2156" i="57"/>
  <c r="M2150" i="57"/>
  <c r="M2147" i="57"/>
  <c r="M2138" i="57"/>
  <c r="F2132" i="57"/>
  <c r="L2132" i="57" s="1"/>
  <c r="E2130" i="57"/>
  <c r="M2109" i="57"/>
  <c r="E2094" i="57"/>
  <c r="M2051" i="57"/>
  <c r="M2044" i="57"/>
  <c r="E2039" i="57"/>
  <c r="E2028" i="57"/>
  <c r="M2024" i="57"/>
  <c r="M2003" i="57"/>
  <c r="M1992" i="57"/>
  <c r="F1940" i="57"/>
  <c r="M1936" i="57"/>
  <c r="M1925" i="57"/>
  <c r="F1898" i="57"/>
  <c r="L1898" i="57" s="1"/>
  <c r="M1886" i="57"/>
  <c r="E1878" i="57"/>
  <c r="E1836" i="57"/>
  <c r="M1830" i="57"/>
  <c r="E1816" i="57"/>
  <c r="E1812" i="57"/>
  <c r="E1777" i="57"/>
  <c r="M1732" i="57"/>
  <c r="M1723" i="57"/>
  <c r="F1708" i="57"/>
  <c r="L1708" i="57" s="1"/>
  <c r="E1670" i="57"/>
  <c r="M1627" i="57"/>
  <c r="M1618" i="57"/>
  <c r="E1604" i="57"/>
  <c r="M1581" i="57"/>
  <c r="F1561" i="57"/>
  <c r="L1561" i="57" s="1"/>
  <c r="F1556" i="57"/>
  <c r="F1557" i="57" s="1"/>
  <c r="E1518" i="57"/>
  <c r="F1504" i="57"/>
  <c r="L1504" i="57" s="1"/>
  <c r="E1495" i="57"/>
  <c r="E1470" i="57"/>
  <c r="F1454" i="57"/>
  <c r="L1454" i="57" s="1"/>
  <c r="F1446" i="57"/>
  <c r="L1446" i="57" s="1"/>
  <c r="M1412" i="57"/>
  <c r="M1394" i="57"/>
  <c r="E1339" i="57"/>
  <c r="M1302" i="57"/>
  <c r="F1300" i="57"/>
  <c r="L1300" i="57" s="1"/>
  <c r="E1282" i="57"/>
  <c r="E1263" i="57"/>
  <c r="E1261" i="57"/>
  <c r="F1196" i="57"/>
  <c r="L1196" i="57" s="1"/>
  <c r="F1080" i="57"/>
  <c r="L1080" i="57" s="1"/>
  <c r="E1037" i="57"/>
  <c r="E979" i="57"/>
  <c r="M858" i="57"/>
  <c r="F733" i="57"/>
  <c r="L733" i="57" s="1"/>
  <c r="M649" i="57"/>
  <c r="F549" i="57"/>
  <c r="L549" i="57" s="1"/>
  <c r="M452" i="57"/>
  <c r="N66" i="41"/>
  <c r="I172" i="41" s="1"/>
  <c r="N172" i="41" s="1"/>
  <c r="I278" i="41" s="1"/>
  <c r="N278" i="41" s="1"/>
  <c r="I384" i="41" s="1"/>
  <c r="N384" i="41" s="1"/>
  <c r="I490" i="41" s="1"/>
  <c r="N490" i="41" s="1"/>
  <c r="I596" i="41" s="1"/>
  <c r="N596" i="41" s="1"/>
  <c r="N87" i="41"/>
  <c r="I193" i="41" s="1"/>
  <c r="N193" i="41" s="1"/>
  <c r="I299" i="41" s="1"/>
  <c r="N299" i="41" s="1"/>
  <c r="I405" i="41" s="1"/>
  <c r="N405" i="41" s="1"/>
  <c r="I511" i="41" s="1"/>
  <c r="N511" i="41" s="1"/>
  <c r="I617" i="41" s="1"/>
  <c r="N617" i="41" s="1"/>
  <c r="I723" i="41" s="1"/>
  <c r="N723" i="41" s="1"/>
  <c r="I829" i="41" s="1"/>
  <c r="N829" i="41" s="1"/>
  <c r="I935" i="41" s="1"/>
  <c r="N935" i="41" s="1"/>
  <c r="I1041" i="41" s="1"/>
  <c r="N1041" i="41" s="1"/>
  <c r="I1147" i="41" s="1"/>
  <c r="N1147" i="41" s="1"/>
  <c r="I1253" i="41" s="1"/>
  <c r="N1253" i="41" s="1"/>
  <c r="I1359" i="41" s="1"/>
  <c r="N1359" i="41" s="1"/>
  <c r="I1465" i="41" s="1"/>
  <c r="N1465" i="41" s="1"/>
  <c r="I1571" i="41" s="1"/>
  <c r="N1571" i="41" s="1"/>
  <c r="I1677" i="41" s="1"/>
  <c r="N1677" i="41" s="1"/>
  <c r="I1783" i="41" s="1"/>
  <c r="N1783" i="41" s="1"/>
  <c r="I1889" i="41" s="1"/>
  <c r="N1889" i="41" s="1"/>
  <c r="I1995" i="41" s="1"/>
  <c r="N1995" i="41" s="1"/>
  <c r="I2101" i="41" s="1"/>
  <c r="N2101" i="41" s="1"/>
  <c r="I2207" i="41" s="1"/>
  <c r="N2207" i="41" s="1"/>
  <c r="I2313" i="41" s="1"/>
  <c r="N2313" i="41" s="1"/>
  <c r="L71" i="41"/>
  <c r="M103" i="120"/>
  <c r="M105" i="120"/>
  <c r="O103" i="120"/>
  <c r="J25" i="116"/>
  <c r="L25" i="116" s="1"/>
  <c r="O110" i="104"/>
  <c r="A63" i="104"/>
  <c r="O13" i="104"/>
  <c r="E22" i="102" s="1"/>
  <c r="E26" i="102" s="1"/>
  <c r="E81" i="104"/>
  <c r="O106" i="104"/>
  <c r="O108" i="104" s="1"/>
  <c r="E32" i="60"/>
  <c r="K19" i="23" s="1"/>
  <c r="F86" i="42"/>
  <c r="F91" i="42" s="1"/>
  <c r="F73" i="7"/>
  <c r="M137" i="57"/>
  <c r="E170" i="57"/>
  <c r="E226" i="57"/>
  <c r="F304" i="57"/>
  <c r="L304" i="57" s="1"/>
  <c r="M307" i="57"/>
  <c r="E349" i="57"/>
  <c r="F403" i="57"/>
  <c r="L403" i="57" s="1"/>
  <c r="F411" i="57"/>
  <c r="L411" i="57" s="1"/>
  <c r="M435" i="57"/>
  <c r="F454" i="57"/>
  <c r="L454" i="57" s="1"/>
  <c r="E462" i="57"/>
  <c r="E502" i="57"/>
  <c r="M509" i="57"/>
  <c r="M518" i="57"/>
  <c r="F545" i="57"/>
  <c r="L545" i="57" s="1"/>
  <c r="E548" i="57"/>
  <c r="E551" i="57"/>
  <c r="F568" i="57"/>
  <c r="L568" i="57" s="1"/>
  <c r="E596" i="57"/>
  <c r="M615" i="57"/>
  <c r="M623" i="57"/>
  <c r="M647" i="57"/>
  <c r="F664" i="57"/>
  <c r="L664" i="57" s="1"/>
  <c r="F668" i="57"/>
  <c r="L668" i="57" s="1"/>
  <c r="M674" i="57"/>
  <c r="E702" i="57"/>
  <c r="F731" i="57"/>
  <c r="L731" i="57" s="1"/>
  <c r="M757" i="57"/>
  <c r="M779" i="57"/>
  <c r="E807" i="57"/>
  <c r="F823" i="57"/>
  <c r="L823" i="57" s="1"/>
  <c r="F826" i="57"/>
  <c r="L826" i="57" s="1"/>
  <c r="M827" i="57"/>
  <c r="F860" i="57"/>
  <c r="L860" i="57" s="1"/>
  <c r="M868" i="57"/>
  <c r="M876" i="57"/>
  <c r="F912" i="57"/>
  <c r="L912" i="57" s="1"/>
  <c r="E927" i="57"/>
  <c r="F974" i="57"/>
  <c r="L974" i="57" s="1"/>
  <c r="E981" i="57"/>
  <c r="E990" i="57"/>
  <c r="F1020" i="57"/>
  <c r="L1020" i="57" s="1"/>
  <c r="F1032" i="57"/>
  <c r="L1032" i="57" s="1"/>
  <c r="E1035" i="57"/>
  <c r="E1040" i="57"/>
  <c r="E1072" i="57"/>
  <c r="E1085" i="57"/>
  <c r="E1087" i="57"/>
  <c r="M1093" i="57"/>
  <c r="M1095" i="57"/>
  <c r="F1132" i="57"/>
  <c r="F1137" i="57"/>
  <c r="L1137" i="57" s="1"/>
  <c r="M1144" i="57"/>
  <c r="E1156" i="57"/>
  <c r="F1180" i="57"/>
  <c r="L1180" i="57" s="1"/>
  <c r="M1184" i="57"/>
  <c r="E1194" i="57"/>
  <c r="F1198" i="57"/>
  <c r="L1198" i="57" s="1"/>
  <c r="F1203" i="57"/>
  <c r="L1203" i="57" s="1"/>
  <c r="E1244" i="57"/>
  <c r="F1246" i="57"/>
  <c r="L1246" i="57" s="1"/>
  <c r="M1259" i="57"/>
  <c r="M1284" i="57"/>
  <c r="E1300" i="57"/>
  <c r="E1338" i="57"/>
  <c r="M1349" i="57"/>
  <c r="M1353" i="57"/>
  <c r="M1365" i="57"/>
  <c r="E1391" i="57"/>
  <c r="F1395" i="57"/>
  <c r="L1395" i="57" s="1"/>
  <c r="M1398" i="57"/>
  <c r="M1407" i="57"/>
  <c r="M1410" i="57"/>
  <c r="E1414" i="57"/>
  <c r="F1444" i="57"/>
  <c r="L1444" i="57" s="1"/>
  <c r="M1457" i="57"/>
  <c r="E1462" i="57"/>
  <c r="M120" i="57"/>
  <c r="F134" i="57"/>
  <c r="L134" i="57" s="1"/>
  <c r="E143" i="57"/>
  <c r="F198" i="57"/>
  <c r="L198" i="57" s="1"/>
  <c r="F226" i="57"/>
  <c r="L226" i="57" s="1"/>
  <c r="M243" i="57"/>
  <c r="F250" i="57"/>
  <c r="L250" i="57" s="1"/>
  <c r="M304" i="57"/>
  <c r="M328" i="57"/>
  <c r="M337" i="57"/>
  <c r="M345" i="57"/>
  <c r="M352" i="57"/>
  <c r="M355" i="57"/>
  <c r="F400" i="57"/>
  <c r="L400" i="57" s="1"/>
  <c r="E413" i="57"/>
  <c r="M434" i="57"/>
  <c r="F436" i="57"/>
  <c r="L436" i="57" s="1"/>
  <c r="M445" i="57"/>
  <c r="F458" i="57"/>
  <c r="L458" i="57" s="1"/>
  <c r="E496" i="57"/>
  <c r="E497" i="57" s="1"/>
  <c r="E503" i="57"/>
  <c r="F520" i="57"/>
  <c r="L520" i="57" s="1"/>
  <c r="M541" i="57"/>
  <c r="E546" i="57"/>
  <c r="F548" i="57"/>
  <c r="L548" i="57" s="1"/>
  <c r="M559" i="57"/>
  <c r="M624" i="57"/>
  <c r="F646" i="57"/>
  <c r="L646" i="57" s="1"/>
  <c r="M648" i="57"/>
  <c r="F665" i="57"/>
  <c r="L665" i="57" s="1"/>
  <c r="F669" i="57"/>
  <c r="L669" i="57" s="1"/>
  <c r="F703" i="57"/>
  <c r="L703" i="57" s="1"/>
  <c r="F732" i="57"/>
  <c r="L732" i="57" s="1"/>
  <c r="M753" i="57"/>
  <c r="M758" i="57"/>
  <c r="E810" i="57"/>
  <c r="E818" i="57"/>
  <c r="F824" i="57"/>
  <c r="L824" i="57" s="1"/>
  <c r="E827" i="57"/>
  <c r="E828" i="57"/>
  <c r="E858" i="57"/>
  <c r="E861" i="57"/>
  <c r="M869" i="57"/>
  <c r="E916" i="57"/>
  <c r="M968" i="57"/>
  <c r="F975" i="57"/>
  <c r="L975" i="57" s="1"/>
  <c r="E987" i="57"/>
  <c r="E1022" i="57"/>
  <c r="E1033" i="57"/>
  <c r="E1036" i="57"/>
  <c r="E1073" i="57"/>
  <c r="M1085" i="57"/>
  <c r="E1094" i="57"/>
  <c r="E1096" i="57"/>
  <c r="E1127" i="57"/>
  <c r="F1138" i="57"/>
  <c r="L1138" i="57" s="1"/>
  <c r="F1156" i="57"/>
  <c r="L1156" i="57" s="1"/>
  <c r="F1176" i="57"/>
  <c r="L1176" i="57" s="1"/>
  <c r="M1180" i="57"/>
  <c r="E1187" i="57"/>
  <c r="M1195" i="57"/>
  <c r="E1199" i="57"/>
  <c r="M1203" i="57"/>
  <c r="E1230" i="57"/>
  <c r="M1248" i="57"/>
  <c r="E82" i="57"/>
  <c r="E122" i="57"/>
  <c r="F126" i="57"/>
  <c r="L126" i="57" s="1"/>
  <c r="F172" i="57"/>
  <c r="L172" i="57" s="1"/>
  <c r="M189" i="57"/>
  <c r="E192" i="57"/>
  <c r="E227" i="57"/>
  <c r="F249" i="57"/>
  <c r="L249" i="57" s="1"/>
  <c r="E279" i="57"/>
  <c r="F293" i="57"/>
  <c r="L293" i="57" s="1"/>
  <c r="E307" i="57"/>
  <c r="F329" i="57"/>
  <c r="L329" i="57" s="1"/>
  <c r="E333" i="57"/>
  <c r="M347" i="57"/>
  <c r="E355" i="57"/>
  <c r="M398" i="57"/>
  <c r="E402" i="57"/>
  <c r="F435" i="57"/>
  <c r="L435" i="57" s="1"/>
  <c r="E443" i="57"/>
  <c r="E454" i="57"/>
  <c r="M460" i="57"/>
  <c r="F491" i="57"/>
  <c r="L491" i="57" s="1"/>
  <c r="M517" i="57"/>
  <c r="F544" i="57"/>
  <c r="L544" i="57" s="1"/>
  <c r="F547" i="57"/>
  <c r="L547" i="57" s="1"/>
  <c r="E550" i="57"/>
  <c r="M566" i="57"/>
  <c r="M622" i="57"/>
  <c r="M627" i="57"/>
  <c r="F647" i="57"/>
  <c r="L647" i="57" s="1"/>
  <c r="F663" i="57"/>
  <c r="L663" i="57" s="1"/>
  <c r="F667" i="57"/>
  <c r="L667" i="57" s="1"/>
  <c r="F673" i="57"/>
  <c r="L673" i="57" s="1"/>
  <c r="F730" i="57"/>
  <c r="L730" i="57" s="1"/>
  <c r="M755" i="57"/>
  <c r="F779" i="57"/>
  <c r="L779" i="57" s="1"/>
  <c r="F806" i="57"/>
  <c r="L806" i="57" s="1"/>
  <c r="F822" i="57"/>
  <c r="L822" i="57" s="1"/>
  <c r="E826" i="57"/>
  <c r="F838" i="57"/>
  <c r="L838" i="57" s="1"/>
  <c r="E863" i="57"/>
  <c r="M875" i="57"/>
  <c r="E920" i="57"/>
  <c r="E921" i="57" s="1"/>
  <c r="E926" i="57"/>
  <c r="M970" i="57"/>
  <c r="E980" i="57"/>
  <c r="E989" i="57"/>
  <c r="F1018" i="57"/>
  <c r="E1026" i="57"/>
  <c r="E1027" i="57" s="1"/>
  <c r="E1032" i="57"/>
  <c r="F1034" i="57"/>
  <c r="L1034" i="57" s="1"/>
  <c r="E1071" i="57"/>
  <c r="F1081" i="57"/>
  <c r="L1081" i="57" s="1"/>
  <c r="M1086" i="57"/>
  <c r="E1093" i="57"/>
  <c r="E1095" i="57"/>
  <c r="E1137" i="57"/>
  <c r="F1143" i="57"/>
  <c r="L1143" i="57" s="1"/>
  <c r="M1153" i="57"/>
  <c r="L601" i="41"/>
  <c r="I71" i="41"/>
  <c r="L283" i="41"/>
  <c r="M102" i="120"/>
  <c r="N104" i="120"/>
  <c r="M152" i="120"/>
  <c r="M104" i="120"/>
  <c r="Q161" i="120"/>
  <c r="Q152" i="120"/>
  <c r="R35" i="120"/>
  <c r="R152" i="120"/>
  <c r="L152" i="120"/>
  <c r="O72" i="120"/>
  <c r="O74" i="120" s="1"/>
  <c r="O152" i="120"/>
  <c r="O151" i="120"/>
  <c r="K104" i="120"/>
  <c r="K151" i="120"/>
  <c r="K152" i="120"/>
  <c r="O102" i="120"/>
  <c r="J152" i="120"/>
  <c r="R92" i="120"/>
  <c r="L105" i="120"/>
  <c r="P72" i="120"/>
  <c r="P74" i="120" s="1"/>
  <c r="P150" i="120" s="1"/>
  <c r="J72" i="120"/>
  <c r="J74" i="120" s="1"/>
  <c r="J151" i="120"/>
  <c r="Q35" i="120"/>
  <c r="M35" i="120"/>
  <c r="J35" i="120"/>
  <c r="R47" i="120"/>
  <c r="L72" i="120"/>
  <c r="L74" i="120" s="1"/>
  <c r="P152" i="120"/>
  <c r="F26" i="106"/>
  <c r="F28" i="106" s="1"/>
  <c r="F30" i="106" s="1"/>
  <c r="F33" i="106" s="1"/>
  <c r="O80" i="104"/>
  <c r="J81" i="104"/>
  <c r="O45" i="104"/>
  <c r="O47" i="104" s="1"/>
  <c r="C108" i="104"/>
  <c r="O40" i="104"/>
  <c r="O42" i="104" s="1"/>
  <c r="A157" i="104"/>
  <c r="O79" i="104"/>
  <c r="E141" i="104"/>
  <c r="O18" i="104"/>
  <c r="O20" i="104" s="1"/>
  <c r="E108" i="104"/>
  <c r="I103" i="104"/>
  <c r="A215" i="74"/>
  <c r="A216" i="74" s="1"/>
  <c r="A218" i="74" s="1"/>
  <c r="A222" i="74" s="1"/>
  <c r="A223" i="74" s="1"/>
  <c r="A224" i="74" s="1"/>
  <c r="A225" i="74" s="1"/>
  <c r="A226" i="74" s="1"/>
  <c r="A227" i="74" s="1"/>
  <c r="A228" i="74" s="1"/>
  <c r="A229" i="74" s="1"/>
  <c r="A230" i="74" s="1"/>
  <c r="A231" i="74" s="1"/>
  <c r="A232" i="74" s="1"/>
  <c r="A233" i="74" s="1"/>
  <c r="A234" i="74" s="1"/>
  <c r="A235" i="74" s="1"/>
  <c r="A236" i="74" s="1"/>
  <c r="A238" i="74" s="1"/>
  <c r="A117" i="74"/>
  <c r="A118" i="74" s="1"/>
  <c r="A120" i="74" s="1"/>
  <c r="A124" i="74" s="1"/>
  <c r="A125" i="74" s="1"/>
  <c r="A126" i="74" s="1"/>
  <c r="A127" i="74" s="1"/>
  <c r="A128" i="74" s="1"/>
  <c r="A129" i="74" s="1"/>
  <c r="A130" i="74" s="1"/>
  <c r="A131" i="74" s="1"/>
  <c r="A132" i="74" s="1"/>
  <c r="A133" i="74" s="1"/>
  <c r="A134" i="74" s="1"/>
  <c r="A135" i="74" s="1"/>
  <c r="A136" i="74" s="1"/>
  <c r="A137" i="74" s="1"/>
  <c r="A138" i="74" s="1"/>
  <c r="A140" i="74" s="1"/>
  <c r="D32" i="60"/>
  <c r="K18" i="23" s="1"/>
  <c r="H43" i="23"/>
  <c r="J43" i="23" s="1"/>
  <c r="K43" i="23"/>
  <c r="G86" i="42"/>
  <c r="G91" i="42" s="1"/>
  <c r="I86" i="42"/>
  <c r="I91" i="42" s="1"/>
  <c r="H26" i="7"/>
  <c r="F90" i="7"/>
  <c r="H42" i="7"/>
  <c r="H40" i="7"/>
  <c r="H67" i="7"/>
  <c r="H21" i="7"/>
  <c r="E90" i="7"/>
  <c r="D90" i="7"/>
  <c r="H69" i="7"/>
  <c r="H70" i="7"/>
  <c r="H62" i="7"/>
  <c r="I145" i="57"/>
  <c r="I69" i="57"/>
  <c r="L1131" i="41"/>
  <c r="L813" i="41"/>
  <c r="D233" i="41"/>
  <c r="G233" i="41" s="1"/>
  <c r="K233" i="41" s="1"/>
  <c r="L389" i="41"/>
  <c r="L995" i="41"/>
  <c r="L1873" i="41"/>
  <c r="L1508" i="41"/>
  <c r="L495" i="41"/>
  <c r="L177" i="41"/>
  <c r="I147" i="41"/>
  <c r="N98" i="41"/>
  <c r="I204" i="41" s="1"/>
  <c r="N204" i="41" s="1"/>
  <c r="I310" i="41" s="1"/>
  <c r="N310" i="41" s="1"/>
  <c r="I416" i="41" s="1"/>
  <c r="N416" i="41" s="1"/>
  <c r="I522" i="41" s="1"/>
  <c r="N522" i="41" s="1"/>
  <c r="I628" i="41" s="1"/>
  <c r="N628" i="41" s="1"/>
  <c r="I734" i="41" s="1"/>
  <c r="N734" i="41" s="1"/>
  <c r="I840" i="41" s="1"/>
  <c r="N840" i="41" s="1"/>
  <c r="I946" i="41" s="1"/>
  <c r="N946" i="41" s="1"/>
  <c r="I1052" i="41" s="1"/>
  <c r="N1052" i="41" s="1"/>
  <c r="I1158" i="41" s="1"/>
  <c r="N1158" i="41" s="1"/>
  <c r="I1264" i="41" s="1"/>
  <c r="N1264" i="41" s="1"/>
  <c r="I1370" i="41" s="1"/>
  <c r="N1370" i="41" s="1"/>
  <c r="I1476" i="41" s="1"/>
  <c r="N1476" i="41" s="1"/>
  <c r="I1582" i="41" s="1"/>
  <c r="N1582" i="41" s="1"/>
  <c r="I1688" i="41" s="1"/>
  <c r="N1688" i="41" s="1"/>
  <c r="I1794" i="41" s="1"/>
  <c r="N1794" i="41" s="1"/>
  <c r="I1900" i="41" s="1"/>
  <c r="N1900" i="41" s="1"/>
  <c r="I2006" i="41" s="1"/>
  <c r="N2006" i="41" s="1"/>
  <c r="I2112" i="41" s="1"/>
  <c r="N2112" i="41" s="1"/>
  <c r="I2218" i="41" s="1"/>
  <c r="N2218" i="41" s="1"/>
  <c r="I2324" i="41" s="1"/>
  <c r="N2324" i="41" s="1"/>
  <c r="L253" i="41"/>
  <c r="L1979" i="41"/>
  <c r="L1767" i="41"/>
  <c r="N83" i="41"/>
  <c r="I189" i="41" s="1"/>
  <c r="K565" i="41"/>
  <c r="N80" i="41"/>
  <c r="I186" i="41" s="1"/>
  <c r="N138" i="41"/>
  <c r="I244" i="41" s="1"/>
  <c r="N244" i="41" s="1"/>
  <c r="I350" i="41" s="1"/>
  <c r="N350" i="41" s="1"/>
  <c r="I456" i="41" s="1"/>
  <c r="N456" i="41" s="1"/>
  <c r="I562" i="41" s="1"/>
  <c r="N562" i="41" s="1"/>
  <c r="I668" i="41" s="1"/>
  <c r="N668" i="41" s="1"/>
  <c r="I774" i="41" s="1"/>
  <c r="N774" i="41" s="1"/>
  <c r="I880" i="41" s="1"/>
  <c r="L147" i="41"/>
  <c r="N68" i="41"/>
  <c r="I174" i="41" s="1"/>
  <c r="N174" i="41" s="1"/>
  <c r="I280" i="41" s="1"/>
  <c r="N280" i="41" s="1"/>
  <c r="I386" i="41" s="1"/>
  <c r="N386" i="41" s="1"/>
  <c r="I492" i="41" s="1"/>
  <c r="N492" i="41" s="1"/>
  <c r="I598" i="41" s="1"/>
  <c r="N598" i="41" s="1"/>
  <c r="I704" i="41" s="1"/>
  <c r="N704" i="41" s="1"/>
  <c r="I810" i="41" s="1"/>
  <c r="N810" i="41" s="1"/>
  <c r="I916" i="41" s="1"/>
  <c r="N916" i="41" s="1"/>
  <c r="I1022" i="41" s="1"/>
  <c r="N1022" i="41" s="1"/>
  <c r="I1128" i="41" s="1"/>
  <c r="N1128" i="41" s="1"/>
  <c r="I1234" i="41" s="1"/>
  <c r="N1234" i="41" s="1"/>
  <c r="I1340" i="41" s="1"/>
  <c r="N1340" i="41" s="1"/>
  <c r="I1446" i="41" s="1"/>
  <c r="N1446" i="41" s="1"/>
  <c r="I1552" i="41" s="1"/>
  <c r="N1552" i="41" s="1"/>
  <c r="I1658" i="41" s="1"/>
  <c r="N1658" i="41" s="1"/>
  <c r="I1764" i="41" s="1"/>
  <c r="N1764" i="41" s="1"/>
  <c r="I1870" i="41" s="1"/>
  <c r="N1870" i="41" s="1"/>
  <c r="I1976" i="41" s="1"/>
  <c r="N1976" i="41" s="1"/>
  <c r="I2082" i="41" s="1"/>
  <c r="N2082" i="41" s="1"/>
  <c r="I2188" i="41" s="1"/>
  <c r="N2188" i="41" s="1"/>
  <c r="I2294" i="41" s="1"/>
  <c r="N2294" i="41" s="1"/>
  <c r="N120" i="41"/>
  <c r="I226" i="41" s="1"/>
  <c r="G78" i="47"/>
  <c r="I95" i="55"/>
  <c r="K177" i="41"/>
  <c r="G106" i="58"/>
  <c r="J188" i="55"/>
  <c r="K1448" i="41" s="1"/>
  <c r="K1449" i="41" s="1"/>
  <c r="K282" i="41"/>
  <c r="K283" i="41" s="1"/>
  <c r="K188" i="55"/>
  <c r="H188" i="55"/>
  <c r="H190" i="55" s="1"/>
  <c r="I188" i="55"/>
  <c r="I190" i="55" s="1"/>
  <c r="D202" i="58"/>
  <c r="M202" i="58" s="1"/>
  <c r="K71" i="41"/>
  <c r="O93" i="55"/>
  <c r="K812" i="41" s="1"/>
  <c r="K813" i="41" s="1"/>
  <c r="G188" i="55"/>
  <c r="N93" i="55"/>
  <c r="K706" i="41" s="1"/>
  <c r="K707" i="41" s="1"/>
  <c r="M93" i="55"/>
  <c r="K600" i="41" s="1"/>
  <c r="K95" i="55"/>
  <c r="K389" i="41"/>
  <c r="P188" i="55"/>
  <c r="L188" i="55"/>
  <c r="N70" i="41"/>
  <c r="I176" i="41" s="1"/>
  <c r="N176" i="41" s="1"/>
  <c r="I282" i="41" s="1"/>
  <c r="N67" i="41"/>
  <c r="I173" i="41" s="1"/>
  <c r="N173" i="41" s="1"/>
  <c r="I279" i="41" s="1"/>
  <c r="N279" i="41" s="1"/>
  <c r="I385" i="41" s="1"/>
  <c r="N385" i="41" s="1"/>
  <c r="I491" i="41" s="1"/>
  <c r="N491" i="41" s="1"/>
  <c r="I597" i="41" s="1"/>
  <c r="N597" i="41" s="1"/>
  <c r="I703" i="41" s="1"/>
  <c r="N703" i="41" s="1"/>
  <c r="I809" i="41" s="1"/>
  <c r="N809" i="41" s="1"/>
  <c r="I915" i="41" s="1"/>
  <c r="N915" i="41" s="1"/>
  <c r="I1021" i="41" s="1"/>
  <c r="N1021" i="41" s="1"/>
  <c r="I1127" i="41" s="1"/>
  <c r="N1127" i="41" s="1"/>
  <c r="I1233" i="41" s="1"/>
  <c r="N1233" i="41" s="1"/>
  <c r="I1339" i="41" s="1"/>
  <c r="N1339" i="41" s="1"/>
  <c r="I1445" i="41" s="1"/>
  <c r="N1445" i="41" s="1"/>
  <c r="I1551" i="41" s="1"/>
  <c r="N1551" i="41" s="1"/>
  <c r="I1657" i="41" s="1"/>
  <c r="N1657" i="41" s="1"/>
  <c r="I1763" i="41" s="1"/>
  <c r="N1763" i="41" s="1"/>
  <c r="I1869" i="41" s="1"/>
  <c r="N1869" i="41" s="1"/>
  <c r="I1975" i="41" s="1"/>
  <c r="N1975" i="41" s="1"/>
  <c r="I2081" i="41" s="1"/>
  <c r="N2081" i="41" s="1"/>
  <c r="I2187" i="41" s="1"/>
  <c r="N2187" i="41" s="1"/>
  <c r="I2293" i="41" s="1"/>
  <c r="N2293" i="41" s="1"/>
  <c r="O40" i="37"/>
  <c r="D131" i="57"/>
  <c r="A24" i="37"/>
  <c r="A25" i="37" s="1"/>
  <c r="A26" i="37" s="1"/>
  <c r="A27" i="37" s="1"/>
  <c r="A28" i="37" s="1"/>
  <c r="D128" i="41"/>
  <c r="G128" i="41" s="1"/>
  <c r="D234" i="41" s="1"/>
  <c r="G234" i="41" s="1"/>
  <c r="D340" i="41" s="1"/>
  <c r="G340" i="41" s="1"/>
  <c r="K340" i="41" s="1"/>
  <c r="D67" i="41"/>
  <c r="G67" i="41" s="1"/>
  <c r="D173" i="41" s="1"/>
  <c r="G173" i="41" s="1"/>
  <c r="D279" i="41" s="1"/>
  <c r="G279" i="41" s="1"/>
  <c r="D385" i="41" s="1"/>
  <c r="G385" i="41" s="1"/>
  <c r="D491" i="41" s="1"/>
  <c r="G491" i="41" s="1"/>
  <c r="D597" i="41" s="1"/>
  <c r="N136" i="41"/>
  <c r="I242" i="41" s="1"/>
  <c r="N144" i="41"/>
  <c r="I250" i="41" s="1"/>
  <c r="N140" i="41"/>
  <c r="I246" i="41" s="1"/>
  <c r="N124" i="41"/>
  <c r="I230" i="41" s="1"/>
  <c r="K86" i="42"/>
  <c r="K91" i="42" s="1"/>
  <c r="N88" i="41"/>
  <c r="I194" i="41" s="1"/>
  <c r="N194" i="41" s="1"/>
  <c r="I300" i="41" s="1"/>
  <c r="N300" i="41" s="1"/>
  <c r="I406" i="41" s="1"/>
  <c r="N406" i="41" s="1"/>
  <c r="I512" i="41" s="1"/>
  <c r="N512" i="41" s="1"/>
  <c r="I618" i="41" s="1"/>
  <c r="N618" i="41" s="1"/>
  <c r="I724" i="41" s="1"/>
  <c r="N724" i="41" s="1"/>
  <c r="I830" i="41" s="1"/>
  <c r="N830" i="41" s="1"/>
  <c r="I936" i="41" s="1"/>
  <c r="N936" i="41" s="1"/>
  <c r="I1042" i="41" s="1"/>
  <c r="N1042" i="41" s="1"/>
  <c r="I1148" i="41" s="1"/>
  <c r="N1148" i="41" s="1"/>
  <c r="I1254" i="41" s="1"/>
  <c r="N1254" i="41" s="1"/>
  <c r="I1360" i="41" s="1"/>
  <c r="N1360" i="41" s="1"/>
  <c r="I1466" i="41" s="1"/>
  <c r="N1466" i="41" s="1"/>
  <c r="I1572" i="41" s="1"/>
  <c r="N1572" i="41" s="1"/>
  <c r="I1678" i="41" s="1"/>
  <c r="N1678" i="41" s="1"/>
  <c r="I1784" i="41" s="1"/>
  <c r="N1784" i="41" s="1"/>
  <c r="I1890" i="41" s="1"/>
  <c r="N1890" i="41" s="1"/>
  <c r="I1996" i="41" s="1"/>
  <c r="N1996" i="41" s="1"/>
  <c r="I2102" i="41" s="1"/>
  <c r="N2102" i="41" s="1"/>
  <c r="I2208" i="41" s="1"/>
  <c r="N2208" i="41" s="1"/>
  <c r="I2314" i="41" s="1"/>
  <c r="N2314" i="41" s="1"/>
  <c r="H86" i="27"/>
  <c r="H91" i="27" s="1"/>
  <c r="I86" i="27"/>
  <c r="I91" i="27" s="1"/>
  <c r="K142" i="41"/>
  <c r="N142" i="41" s="1"/>
  <c r="I248" i="41" s="1"/>
  <c r="D248" i="41"/>
  <c r="G248" i="41" s="1"/>
  <c r="D354" i="41" s="1"/>
  <c r="G354" i="41" s="1"/>
  <c r="D460" i="41" s="1"/>
  <c r="G460" i="41" s="1"/>
  <c r="D566" i="41" s="1"/>
  <c r="G566" i="41" s="1"/>
  <c r="D672" i="41" s="1"/>
  <c r="G672" i="41" s="1"/>
  <c r="K135" i="41"/>
  <c r="N135" i="41" s="1"/>
  <c r="K97" i="41"/>
  <c r="N97" i="41" s="1"/>
  <c r="A63" i="27"/>
  <c r="A64" i="27" s="1"/>
  <c r="A65" i="27" s="1"/>
  <c r="A66" i="27" s="1"/>
  <c r="A67" i="27" s="1"/>
  <c r="A70" i="27" s="1"/>
  <c r="A71" i="27" s="1"/>
  <c r="A72" i="27" s="1"/>
  <c r="A73" i="27" s="1"/>
  <c r="A74" i="27" s="1"/>
  <c r="A75" i="27" s="1"/>
  <c r="A76" i="27" s="1"/>
  <c r="A77" i="27" s="1"/>
  <c r="A78" i="27" s="1"/>
  <c r="A79" i="27" s="1"/>
  <c r="A80" i="27" s="1"/>
  <c r="A81" i="27" s="1"/>
  <c r="K96" i="41"/>
  <c r="N96" i="41" s="1"/>
  <c r="K146" i="41"/>
  <c r="N146" i="41" s="1"/>
  <c r="D252" i="41"/>
  <c r="G252" i="41" s="1"/>
  <c r="K19" i="27"/>
  <c r="D22" i="7"/>
  <c r="D78" i="57"/>
  <c r="K145" i="41"/>
  <c r="N145" i="41" s="1"/>
  <c r="I251" i="41" s="1"/>
  <c r="D251" i="41"/>
  <c r="G251" i="41" s="1"/>
  <c r="K251" i="41" s="1"/>
  <c r="D81" i="41"/>
  <c r="G81" i="41" s="1"/>
  <c r="D187" i="41" s="1"/>
  <c r="G187" i="41" s="1"/>
  <c r="D293" i="41" s="1"/>
  <c r="G293" i="41" s="1"/>
  <c r="D399" i="41" s="1"/>
  <c r="G399" i="41" s="1"/>
  <c r="D121" i="41"/>
  <c r="G121" i="41" s="1"/>
  <c r="F86" i="27"/>
  <c r="F91" i="27" s="1"/>
  <c r="D242" i="41"/>
  <c r="G242" i="41" s="1"/>
  <c r="D348" i="41" s="1"/>
  <c r="G348" i="41" s="1"/>
  <c r="D454" i="41" s="1"/>
  <c r="G454" i="41" s="1"/>
  <c r="D560" i="41" s="1"/>
  <c r="G560" i="41" s="1"/>
  <c r="D194" i="41"/>
  <c r="G194" i="41" s="1"/>
  <c r="D300" i="41" s="1"/>
  <c r="G300" i="41" s="1"/>
  <c r="D406" i="41" s="1"/>
  <c r="G406" i="41" s="1"/>
  <c r="D512" i="41" s="1"/>
  <c r="G512" i="41" s="1"/>
  <c r="D618" i="41" s="1"/>
  <c r="G618" i="41" s="1"/>
  <c r="D724" i="41" s="1"/>
  <c r="G724" i="41" s="1"/>
  <c r="D830" i="41" s="1"/>
  <c r="G830" i="41" s="1"/>
  <c r="D936" i="41" s="1"/>
  <c r="G936" i="41" s="1"/>
  <c r="D1042" i="41" s="1"/>
  <c r="G1042" i="41" s="1"/>
  <c r="D1148" i="41" s="1"/>
  <c r="G1148" i="41" s="1"/>
  <c r="D1254" i="41" s="1"/>
  <c r="G1254" i="41" s="1"/>
  <c r="D1360" i="41" s="1"/>
  <c r="G1360" i="41" s="1"/>
  <c r="D1466" i="41" s="1"/>
  <c r="G1466" i="41" s="1"/>
  <c r="D1572" i="41" s="1"/>
  <c r="G1572" i="41" s="1"/>
  <c r="D1678" i="41" s="1"/>
  <c r="G1678" i="41" s="1"/>
  <c r="D1784" i="41" s="1"/>
  <c r="G1784" i="41" s="1"/>
  <c r="D1890" i="41" s="1"/>
  <c r="G1890" i="41" s="1"/>
  <c r="D1996" i="41" s="1"/>
  <c r="G1996" i="41" s="1"/>
  <c r="D2102" i="41" s="1"/>
  <c r="G2102" i="41" s="1"/>
  <c r="D2208" i="41" s="1"/>
  <c r="G2208" i="41" s="1"/>
  <c r="D2314" i="41" s="1"/>
  <c r="G2314" i="41" s="1"/>
  <c r="K82" i="41"/>
  <c r="N82" i="41" s="1"/>
  <c r="I188" i="41" s="1"/>
  <c r="D188" i="41"/>
  <c r="G188" i="41" s="1"/>
  <c r="D294" i="41" s="1"/>
  <c r="G294" i="41" s="1"/>
  <c r="K294" i="41" s="1"/>
  <c r="K95" i="41"/>
  <c r="N95" i="41" s="1"/>
  <c r="I201" i="41" s="1"/>
  <c r="D230" i="41"/>
  <c r="G230" i="41" s="1"/>
  <c r="D336" i="41" s="1"/>
  <c r="G336" i="41" s="1"/>
  <c r="D442" i="41" s="1"/>
  <c r="G442" i="41" s="1"/>
  <c r="D548" i="41" s="1"/>
  <c r="G548" i="41" s="1"/>
  <c r="D654" i="41" s="1"/>
  <c r="G654" i="41" s="1"/>
  <c r="D760" i="41" s="1"/>
  <c r="G760" i="41" s="1"/>
  <c r="D866" i="41" s="1"/>
  <c r="G866" i="41" s="1"/>
  <c r="L2356" i="41"/>
  <c r="L1949" i="41"/>
  <c r="L1843" i="41"/>
  <c r="L1720" i="41"/>
  <c r="L1419" i="41"/>
  <c r="L1402" i="41"/>
  <c r="L1313" i="41"/>
  <c r="L1296" i="41"/>
  <c r="L1190" i="41"/>
  <c r="L1084" i="41"/>
  <c r="L448" i="41"/>
  <c r="L342" i="41"/>
  <c r="L236" i="41"/>
  <c r="K134" i="41"/>
  <c r="N134" i="41" s="1"/>
  <c r="I240" i="41" s="1"/>
  <c r="D250" i="41"/>
  <c r="G250" i="41" s="1"/>
  <c r="D356" i="41" s="1"/>
  <c r="G356" i="41" s="1"/>
  <c r="D462" i="41" s="1"/>
  <c r="G462" i="41" s="1"/>
  <c r="D568" i="41" s="1"/>
  <c r="G568" i="41" s="1"/>
  <c r="L130" i="41"/>
  <c r="K203" i="41"/>
  <c r="D309" i="41"/>
  <c r="G309" i="41" s="1"/>
  <c r="D415" i="41" s="1"/>
  <c r="G415" i="41" s="1"/>
  <c r="D521" i="41" s="1"/>
  <c r="G521" i="41" s="1"/>
  <c r="D627" i="41" s="1"/>
  <c r="G627" i="41" s="1"/>
  <c r="N78" i="41"/>
  <c r="I184" i="41" s="1"/>
  <c r="N184" i="41" s="1"/>
  <c r="I290" i="41" s="1"/>
  <c r="N290" i="41" s="1"/>
  <c r="I396" i="41" s="1"/>
  <c r="N396" i="41" s="1"/>
  <c r="I502" i="41" s="1"/>
  <c r="N502" i="41" s="1"/>
  <c r="I608" i="41" s="1"/>
  <c r="N608" i="41" s="1"/>
  <c r="I714" i="41" s="1"/>
  <c r="N714" i="41" s="1"/>
  <c r="I820" i="41" s="1"/>
  <c r="N820" i="41" s="1"/>
  <c r="I926" i="41" s="1"/>
  <c r="N926" i="41" s="1"/>
  <c r="I1032" i="41" s="1"/>
  <c r="N1032" i="41" s="1"/>
  <c r="I1138" i="41" s="1"/>
  <c r="N1138" i="41" s="1"/>
  <c r="I1244" i="41" s="1"/>
  <c r="N1244" i="41" s="1"/>
  <c r="I1350" i="41" s="1"/>
  <c r="N1350" i="41" s="1"/>
  <c r="I1456" i="41" s="1"/>
  <c r="N1456" i="41" s="1"/>
  <c r="I1562" i="41" s="1"/>
  <c r="N1562" i="41" s="1"/>
  <c r="I1668" i="41" s="1"/>
  <c r="N1668" i="41" s="1"/>
  <c r="I1774" i="41" s="1"/>
  <c r="N1774" i="41" s="1"/>
  <c r="I1880" i="41" s="1"/>
  <c r="N1880" i="41" s="1"/>
  <c r="I1986" i="41" s="1"/>
  <c r="N1986" i="41" s="1"/>
  <c r="I2092" i="41" s="1"/>
  <c r="N2092" i="41" s="1"/>
  <c r="I2198" i="41" s="1"/>
  <c r="N2198" i="41" s="1"/>
  <c r="I2304" i="41" s="1"/>
  <c r="N2304" i="41" s="1"/>
  <c r="D189" i="41"/>
  <c r="G189" i="41" s="1"/>
  <c r="D295" i="41" s="1"/>
  <c r="G295" i="41" s="1"/>
  <c r="D401" i="41" s="1"/>
  <c r="G401" i="41" s="1"/>
  <c r="D507" i="41" s="1"/>
  <c r="G507" i="41" s="1"/>
  <c r="K507" i="41" s="1"/>
  <c r="K241" i="41"/>
  <c r="D347" i="41"/>
  <c r="G347" i="41" s="1"/>
  <c r="D453" i="41" s="1"/>
  <c r="G453" i="41" s="1"/>
  <c r="D559" i="41" s="1"/>
  <c r="G559" i="41" s="1"/>
  <c r="D665" i="41" s="1"/>
  <c r="G665" i="41" s="1"/>
  <c r="D246" i="41"/>
  <c r="G246" i="41" s="1"/>
  <c r="D671" i="41"/>
  <c r="G671" i="41" s="1"/>
  <c r="D777" i="41" s="1"/>
  <c r="G777" i="41" s="1"/>
  <c r="K240" i="41"/>
  <c r="K231" i="41"/>
  <c r="K125" i="41"/>
  <c r="N125" i="41" s="1"/>
  <c r="D226" i="41"/>
  <c r="G226" i="41" s="1"/>
  <c r="D307" i="41"/>
  <c r="G307" i="41" s="1"/>
  <c r="D413" i="41" s="1"/>
  <c r="G413" i="41" s="1"/>
  <c r="K201" i="41"/>
  <c r="D193" i="41"/>
  <c r="G193" i="41" s="1"/>
  <c r="D299" i="41" s="1"/>
  <c r="G299" i="41" s="1"/>
  <c r="D405" i="41" s="1"/>
  <c r="G405" i="41" s="1"/>
  <c r="D511" i="41" s="1"/>
  <c r="G511" i="41" s="1"/>
  <c r="D617" i="41" s="1"/>
  <c r="G617" i="41" s="1"/>
  <c r="D723" i="41" s="1"/>
  <c r="G723" i="41" s="1"/>
  <c r="D829" i="41" s="1"/>
  <c r="G829" i="41" s="1"/>
  <c r="D935" i="41" s="1"/>
  <c r="G935" i="41" s="1"/>
  <c r="D1041" i="41" s="1"/>
  <c r="G1041" i="41" s="1"/>
  <c r="D1147" i="41" s="1"/>
  <c r="G1147" i="41" s="1"/>
  <c r="D1253" i="41" s="1"/>
  <c r="G1253" i="41" s="1"/>
  <c r="D1359" i="41" s="1"/>
  <c r="G1359" i="41" s="1"/>
  <c r="D1465" i="41" s="1"/>
  <c r="G1465" i="41" s="1"/>
  <c r="D1571" i="41" s="1"/>
  <c r="G1571" i="41" s="1"/>
  <c r="D1677" i="41" s="1"/>
  <c r="G1677" i="41" s="1"/>
  <c r="D1783" i="41" s="1"/>
  <c r="G1783" i="41" s="1"/>
  <c r="D1889" i="41" s="1"/>
  <c r="G1889" i="41" s="1"/>
  <c r="D1995" i="41" s="1"/>
  <c r="G1995" i="41" s="1"/>
  <c r="D2101" i="41" s="1"/>
  <c r="G2101" i="41" s="1"/>
  <c r="D2207" i="41" s="1"/>
  <c r="G2207" i="41" s="1"/>
  <c r="D2313" i="41" s="1"/>
  <c r="G2313" i="41" s="1"/>
  <c r="D186" i="41"/>
  <c r="G186" i="41" s="1"/>
  <c r="J455" i="41"/>
  <c r="J561" i="41" s="1"/>
  <c r="J667" i="41" s="1"/>
  <c r="J773" i="41" s="1"/>
  <c r="J879" i="41" s="1"/>
  <c r="J985" i="41" s="1"/>
  <c r="J1091" i="41" s="1"/>
  <c r="J453" i="41"/>
  <c r="J559" i="41" s="1"/>
  <c r="J665" i="41" s="1"/>
  <c r="J771" i="41" s="1"/>
  <c r="J877" i="41" s="1"/>
  <c r="J983" i="41" s="1"/>
  <c r="J1089" i="41" s="1"/>
  <c r="J548" i="41"/>
  <c r="J461" i="41"/>
  <c r="J567" i="41" s="1"/>
  <c r="J673" i="41" s="1"/>
  <c r="J779" i="41" s="1"/>
  <c r="J885" i="41" s="1"/>
  <c r="J991" i="41" s="1"/>
  <c r="J1097" i="41" s="1"/>
  <c r="K549" i="41"/>
  <c r="K443" i="41"/>
  <c r="J346" i="41"/>
  <c r="K337" i="41"/>
  <c r="K457" i="41"/>
  <c r="K245" i="41"/>
  <c r="K351" i="41"/>
  <c r="J415" i="41"/>
  <c r="J521" i="41" s="1"/>
  <c r="J627" i="41" s="1"/>
  <c r="J733" i="41" s="1"/>
  <c r="J839" i="41" s="1"/>
  <c r="J945" i="41" s="1"/>
  <c r="J1051" i="41" s="1"/>
  <c r="J413" i="41"/>
  <c r="J519" i="41" s="1"/>
  <c r="J625" i="41" s="1"/>
  <c r="J731" i="41" s="1"/>
  <c r="J837" i="41" s="1"/>
  <c r="J943" i="41" s="1"/>
  <c r="J1049" i="41" s="1"/>
  <c r="J402" i="41"/>
  <c r="J508" i="41" s="1"/>
  <c r="J614" i="41" s="1"/>
  <c r="J720" i="41" s="1"/>
  <c r="J826" i="41" s="1"/>
  <c r="J932" i="41" s="1"/>
  <c r="J1038" i="41" s="1"/>
  <c r="O43" i="102"/>
  <c r="P41" i="102"/>
  <c r="F173" i="57"/>
  <c r="M144" i="57"/>
  <c r="E135" i="57"/>
  <c r="M78" i="57"/>
  <c r="R169" i="127"/>
  <c r="R179" i="127"/>
  <c r="R176" i="127"/>
  <c r="R172" i="127"/>
  <c r="R177" i="127"/>
  <c r="R174" i="127"/>
  <c r="R166" i="127"/>
  <c r="R170" i="127"/>
  <c r="R168" i="127"/>
  <c r="R173" i="127"/>
  <c r="R182" i="127"/>
  <c r="R183" i="127"/>
  <c r="R180" i="127"/>
  <c r="R171" i="127"/>
  <c r="R175" i="127"/>
  <c r="R178" i="127"/>
  <c r="R181" i="127"/>
  <c r="R167" i="127"/>
  <c r="R227" i="127"/>
  <c r="R226" i="127"/>
  <c r="R228" i="127" s="1"/>
  <c r="R162" i="127"/>
  <c r="R157" i="127"/>
  <c r="R152" i="127"/>
  <c r="R145" i="127"/>
  <c r="R150" i="127"/>
  <c r="R148" i="127"/>
  <c r="R147" i="127"/>
  <c r="R144" i="127"/>
  <c r="R21" i="127" s="1"/>
  <c r="R149" i="127"/>
  <c r="R160" i="127"/>
  <c r="R151" i="127"/>
  <c r="R158" i="127"/>
  <c r="R159" i="127"/>
  <c r="R155" i="127"/>
  <c r="R161" i="127"/>
  <c r="R146" i="127"/>
  <c r="R153" i="127"/>
  <c r="R154" i="127"/>
  <c r="R156" i="127"/>
  <c r="R290" i="127"/>
  <c r="R281" i="127"/>
  <c r="R282" i="127"/>
  <c r="R285" i="127"/>
  <c r="R288" i="127"/>
  <c r="R289" i="127"/>
  <c r="R279" i="127"/>
  <c r="R287" i="127"/>
  <c r="R291" i="127"/>
  <c r="R283" i="127"/>
  <c r="R280" i="127"/>
  <c r="R286" i="127"/>
  <c r="R284" i="127"/>
  <c r="R368" i="127"/>
  <c r="R369" i="127" s="1"/>
  <c r="R195" i="127"/>
  <c r="R201" i="127"/>
  <c r="R194" i="127"/>
  <c r="R203" i="127"/>
  <c r="R199" i="127"/>
  <c r="R190" i="127"/>
  <c r="R187" i="127"/>
  <c r="R202" i="127"/>
  <c r="R200" i="127"/>
  <c r="R193" i="127"/>
  <c r="R206" i="127"/>
  <c r="R197" i="127"/>
  <c r="R188" i="127"/>
  <c r="R198" i="127"/>
  <c r="R208" i="127"/>
  <c r="R207" i="127"/>
  <c r="R189" i="127"/>
  <c r="R192" i="127"/>
  <c r="R205" i="127"/>
  <c r="R196" i="127"/>
  <c r="R191" i="127"/>
  <c r="R204" i="127"/>
  <c r="I101" i="72"/>
  <c r="H101" i="72"/>
  <c r="G101" i="72"/>
  <c r="L53" i="102"/>
  <c r="J52" i="102"/>
  <c r="L52" i="102"/>
  <c r="N52" i="102"/>
  <c r="F101" i="72"/>
  <c r="E101" i="72"/>
  <c r="D101" i="72"/>
  <c r="A199" i="74"/>
  <c r="A98" i="136"/>
  <c r="A101" i="136" s="1"/>
  <c r="A99" i="136" s="1"/>
  <c r="A100" i="136" s="1"/>
  <c r="A103" i="136" s="1"/>
  <c r="A105" i="136" s="1"/>
  <c r="A106" i="136" s="1"/>
  <c r="A108" i="136" s="1"/>
  <c r="D238" i="74"/>
  <c r="A82" i="73"/>
  <c r="A83" i="73" s="1"/>
  <c r="A84" i="73" s="1"/>
  <c r="A85" i="73" s="1"/>
  <c r="A86" i="73" s="1"/>
  <c r="A87" i="73" s="1"/>
  <c r="A88" i="73" s="1"/>
  <c r="A89" i="73" s="1"/>
  <c r="A90" i="73" s="1"/>
  <c r="A91" i="73" s="1"/>
  <c r="A92" i="73" s="1"/>
  <c r="A93" i="73" s="1"/>
  <c r="A101" i="73" s="1"/>
  <c r="D41" i="136"/>
  <c r="H41" i="136" s="1"/>
  <c r="H20" i="136"/>
  <c r="M26" i="69"/>
  <c r="D46" i="71"/>
  <c r="F46" i="71" s="1"/>
  <c r="D33" i="136"/>
  <c r="H33" i="136" s="1"/>
  <c r="P32" i="72"/>
  <c r="D43" i="70" s="1"/>
  <c r="F43" i="70" s="1"/>
  <c r="P39" i="72"/>
  <c r="D38" i="74" s="1"/>
  <c r="S99" i="75" s="1"/>
  <c r="K58" i="79"/>
  <c r="L99" i="72" s="1"/>
  <c r="I58" i="79"/>
  <c r="J99" i="72" s="1"/>
  <c r="N58" i="79"/>
  <c r="O99" i="72" s="1"/>
  <c r="L58" i="79"/>
  <c r="M99" i="72" s="1"/>
  <c r="J58" i="79"/>
  <c r="K99" i="72" s="1"/>
  <c r="M58" i="79"/>
  <c r="N99" i="72" s="1"/>
  <c r="A99" i="72"/>
  <c r="A98" i="72" s="1"/>
  <c r="A101" i="72" s="1"/>
  <c r="I195" i="74"/>
  <c r="G195" i="74"/>
  <c r="E195" i="74"/>
  <c r="H195" i="74"/>
  <c r="H193" i="74"/>
  <c r="G193" i="74"/>
  <c r="I193" i="74"/>
  <c r="E193" i="74"/>
  <c r="H189" i="74"/>
  <c r="I189" i="74"/>
  <c r="E189" i="74"/>
  <c r="G189" i="74"/>
  <c r="H185" i="74"/>
  <c r="G185" i="74"/>
  <c r="E185" i="74"/>
  <c r="I185" i="74"/>
  <c r="H181" i="74"/>
  <c r="E181" i="74"/>
  <c r="I181" i="74"/>
  <c r="G181" i="74"/>
  <c r="I179" i="74"/>
  <c r="G179" i="74"/>
  <c r="E179" i="74"/>
  <c r="H179" i="74"/>
  <c r="I175" i="74"/>
  <c r="G175" i="74"/>
  <c r="E175" i="74"/>
  <c r="H175" i="74"/>
  <c r="I171" i="74"/>
  <c r="G171" i="74"/>
  <c r="E171" i="74"/>
  <c r="H171" i="74"/>
  <c r="I167" i="74"/>
  <c r="G167" i="74"/>
  <c r="E167" i="74"/>
  <c r="H167" i="74"/>
  <c r="E163" i="74"/>
  <c r="I163" i="74"/>
  <c r="G163" i="74"/>
  <c r="H163" i="74"/>
  <c r="H161" i="74"/>
  <c r="G161" i="74"/>
  <c r="I161" i="74"/>
  <c r="E161" i="74"/>
  <c r="H157" i="74"/>
  <c r="I157" i="74"/>
  <c r="E157" i="74"/>
  <c r="G157" i="74"/>
  <c r="P26" i="72"/>
  <c r="D25" i="74" s="1"/>
  <c r="S56" i="75" s="1"/>
  <c r="H212" i="74"/>
  <c r="I212" i="74"/>
  <c r="G212" i="74"/>
  <c r="E212" i="74"/>
  <c r="P24" i="72"/>
  <c r="F23" i="74" s="1"/>
  <c r="S47" i="75" s="1"/>
  <c r="D23" i="70"/>
  <c r="F23" i="70" s="1"/>
  <c r="I19" i="109" s="1"/>
  <c r="I53" i="109" s="1"/>
  <c r="I216" i="74"/>
  <c r="G216" i="74"/>
  <c r="E216" i="74"/>
  <c r="H216" i="74"/>
  <c r="H213" i="74"/>
  <c r="G213" i="74"/>
  <c r="E213" i="74"/>
  <c r="I213" i="74"/>
  <c r="H210" i="74"/>
  <c r="I210" i="74"/>
  <c r="G210" i="74"/>
  <c r="E210" i="74"/>
  <c r="I194" i="74"/>
  <c r="G194" i="74"/>
  <c r="E194" i="74"/>
  <c r="H194" i="74"/>
  <c r="H192" i="74"/>
  <c r="I192" i="74"/>
  <c r="G192" i="74"/>
  <c r="E192" i="74"/>
  <c r="I190" i="74"/>
  <c r="G190" i="74"/>
  <c r="E190" i="74"/>
  <c r="H190" i="74"/>
  <c r="H188" i="74"/>
  <c r="I188" i="74"/>
  <c r="G188" i="74"/>
  <c r="E188" i="74"/>
  <c r="I186" i="74"/>
  <c r="G186" i="74"/>
  <c r="E186" i="74"/>
  <c r="H186" i="74"/>
  <c r="H184" i="74"/>
  <c r="I184" i="74"/>
  <c r="G184" i="74"/>
  <c r="E184" i="74"/>
  <c r="I182" i="74"/>
  <c r="G182" i="74"/>
  <c r="E182" i="74"/>
  <c r="H182" i="74"/>
  <c r="H180" i="74"/>
  <c r="I180" i="74"/>
  <c r="G180" i="74"/>
  <c r="E180" i="74"/>
  <c r="I178" i="74"/>
  <c r="G178" i="74"/>
  <c r="E178" i="74"/>
  <c r="H178" i="74"/>
  <c r="H176" i="74"/>
  <c r="I176" i="74"/>
  <c r="G176" i="74"/>
  <c r="E176" i="74"/>
  <c r="I174" i="74"/>
  <c r="G174" i="74"/>
  <c r="E174" i="74"/>
  <c r="H174" i="74"/>
  <c r="H172" i="74"/>
  <c r="I172" i="74"/>
  <c r="G172" i="74"/>
  <c r="E172" i="74"/>
  <c r="I170" i="74"/>
  <c r="G170" i="74"/>
  <c r="E170" i="74"/>
  <c r="H170" i="74"/>
  <c r="H168" i="74"/>
  <c r="I168" i="74"/>
  <c r="G168" i="74"/>
  <c r="E168" i="74"/>
  <c r="I166" i="74"/>
  <c r="G166" i="74"/>
  <c r="E166" i="74"/>
  <c r="H166" i="74"/>
  <c r="H164" i="74"/>
  <c r="G164" i="74"/>
  <c r="I164" i="74"/>
  <c r="E164" i="74"/>
  <c r="I162" i="74"/>
  <c r="G162" i="74"/>
  <c r="E162" i="74"/>
  <c r="H162" i="74"/>
  <c r="H160" i="74"/>
  <c r="I160" i="74"/>
  <c r="G160" i="74"/>
  <c r="E160" i="74"/>
  <c r="I158" i="74"/>
  <c r="G158" i="74"/>
  <c r="E158" i="74"/>
  <c r="H158" i="74"/>
  <c r="I214" i="74"/>
  <c r="G214" i="74"/>
  <c r="E214" i="74"/>
  <c r="H214" i="74"/>
  <c r="E191" i="74"/>
  <c r="I191" i="74"/>
  <c r="G191" i="74"/>
  <c r="H191" i="74"/>
  <c r="I187" i="74"/>
  <c r="G187" i="74"/>
  <c r="E187" i="74"/>
  <c r="H187" i="74"/>
  <c r="I183" i="74"/>
  <c r="G183" i="74"/>
  <c r="E183" i="74"/>
  <c r="H183" i="74"/>
  <c r="H177" i="74"/>
  <c r="G177" i="74"/>
  <c r="I177" i="74"/>
  <c r="E177" i="74"/>
  <c r="H173" i="74"/>
  <c r="I173" i="74"/>
  <c r="E173" i="74"/>
  <c r="G173" i="74"/>
  <c r="H169" i="74"/>
  <c r="G169" i="74"/>
  <c r="E169" i="74"/>
  <c r="I169" i="74"/>
  <c r="H165" i="74"/>
  <c r="E165" i="74"/>
  <c r="I165" i="74"/>
  <c r="G165" i="74"/>
  <c r="I159" i="74"/>
  <c r="G159" i="74"/>
  <c r="E159" i="74"/>
  <c r="H159" i="74"/>
  <c r="N212" i="74"/>
  <c r="F95" i="136" s="1"/>
  <c r="H95" i="136" s="1"/>
  <c r="I211" i="74"/>
  <c r="G211" i="74"/>
  <c r="E211" i="74"/>
  <c r="H211" i="74"/>
  <c r="H156" i="74"/>
  <c r="I156" i="74"/>
  <c r="G156" i="74"/>
  <c r="E156" i="74"/>
  <c r="D15" i="74"/>
  <c r="S20" i="75" s="1"/>
  <c r="G37" i="74"/>
  <c r="S95" i="75" s="1"/>
  <c r="S96" i="75" s="1"/>
  <c r="L49" i="79"/>
  <c r="M86" i="72" s="1"/>
  <c r="M49" i="79"/>
  <c r="N86" i="72" s="1"/>
  <c r="J49" i="79"/>
  <c r="K86" i="72" s="1"/>
  <c r="N49" i="79"/>
  <c r="O86" i="72" s="1"/>
  <c r="I49" i="79"/>
  <c r="J86" i="72" s="1"/>
  <c r="K49" i="79"/>
  <c r="L86" i="72" s="1"/>
  <c r="D46" i="70"/>
  <c r="F46" i="70" s="1"/>
  <c r="D36" i="70"/>
  <c r="F36" i="70" s="1"/>
  <c r="D17" i="74"/>
  <c r="S30" i="75" s="1"/>
  <c r="S32" i="75" s="1"/>
  <c r="D14" i="74"/>
  <c r="S15" i="75" s="1"/>
  <c r="E14" i="74"/>
  <c r="S16" i="75" s="1"/>
  <c r="D45" i="70"/>
  <c r="F45" i="70" s="1"/>
  <c r="F265" i="74"/>
  <c r="O265" i="74" s="1"/>
  <c r="E26" i="69"/>
  <c r="G26" i="69" s="1"/>
  <c r="D38" i="70"/>
  <c r="F38" i="70" s="1"/>
  <c r="D48" i="70"/>
  <c r="F48" i="70" s="1"/>
  <c r="G34" i="74"/>
  <c r="S85" i="75" s="1"/>
  <c r="S86" i="75" s="1"/>
  <c r="D68" i="79"/>
  <c r="D69" i="79"/>
  <c r="P95" i="72"/>
  <c r="D126" i="70" s="1"/>
  <c r="F126" i="70" s="1"/>
  <c r="P90" i="72"/>
  <c r="D98" i="74" s="1"/>
  <c r="D196" i="74" s="1"/>
  <c r="P87" i="72"/>
  <c r="D118" i="70" s="1"/>
  <c r="F118" i="70" s="1"/>
  <c r="P52" i="72"/>
  <c r="D75" i="74" s="1"/>
  <c r="D173" i="74" s="1"/>
  <c r="P42" i="72"/>
  <c r="D65" i="74" s="1"/>
  <c r="D163" i="74" s="1"/>
  <c r="P37" i="72"/>
  <c r="D47" i="70" s="1"/>
  <c r="F47" i="70" s="1"/>
  <c r="G196" i="74"/>
  <c r="H196" i="74"/>
  <c r="I196" i="74"/>
  <c r="E196" i="74"/>
  <c r="A56" i="76"/>
  <c r="A2" i="109"/>
  <c r="A40" i="120"/>
  <c r="A85" i="120" s="1"/>
  <c r="A137" i="120" s="1"/>
  <c r="O8" i="13"/>
  <c r="O133" i="74"/>
  <c r="M231" i="74" s="1"/>
  <c r="N140" i="74"/>
  <c r="N120" i="74"/>
  <c r="S99" i="76" s="1"/>
  <c r="S100" i="76" s="1"/>
  <c r="O91" i="74"/>
  <c r="O63" i="74"/>
  <c r="O114" i="74"/>
  <c r="O113" i="74"/>
  <c r="O53" i="74"/>
  <c r="O107" i="74"/>
  <c r="O205" i="74"/>
  <c r="N210" i="74"/>
  <c r="F93" i="136" s="1"/>
  <c r="O85" i="74"/>
  <c r="M132" i="74"/>
  <c r="M120" i="74"/>
  <c r="S90" i="76" s="1"/>
  <c r="K130" i="74"/>
  <c r="K120" i="74"/>
  <c r="S76" i="76" s="1"/>
  <c r="S77" i="76" s="1"/>
  <c r="F17" i="136"/>
  <c r="O92" i="74"/>
  <c r="O98" i="74"/>
  <c r="O96" i="74"/>
  <c r="O90" i="74"/>
  <c r="O252" i="74"/>
  <c r="N157" i="74"/>
  <c r="F29" i="136" s="1"/>
  <c r="H29" i="136" s="1"/>
  <c r="O151" i="74"/>
  <c r="O72" i="74"/>
  <c r="A145" i="74"/>
  <c r="O88" i="74"/>
  <c r="A246" i="74"/>
  <c r="H18" i="136"/>
  <c r="P88" i="72"/>
  <c r="D119" i="70" s="1"/>
  <c r="F119" i="70" s="1"/>
  <c r="P83" i="72"/>
  <c r="D93" i="74" s="1"/>
  <c r="D191" i="74" s="1"/>
  <c r="P82" i="72"/>
  <c r="D92" i="74" s="1"/>
  <c r="D190" i="74" s="1"/>
  <c r="P81" i="72"/>
  <c r="D91" i="74" s="1"/>
  <c r="D189" i="74" s="1"/>
  <c r="P79" i="72"/>
  <c r="D103" i="70" s="1"/>
  <c r="P78" i="72"/>
  <c r="D88" i="74" s="1"/>
  <c r="D186" i="74" s="1"/>
  <c r="P74" i="72"/>
  <c r="D84" i="74" s="1"/>
  <c r="D182" i="74" s="1"/>
  <c r="P71" i="72"/>
  <c r="D81" i="74" s="1"/>
  <c r="D179" i="74" s="1"/>
  <c r="P53" i="72"/>
  <c r="D69" i="70" s="1"/>
  <c r="F69" i="70" s="1"/>
  <c r="P51" i="72"/>
  <c r="D67" i="70" s="1"/>
  <c r="F67" i="70" s="1"/>
  <c r="P49" i="72"/>
  <c r="D62" i="70" s="1"/>
  <c r="F62" i="70" s="1"/>
  <c r="E15" i="74"/>
  <c r="S21" i="75" s="1"/>
  <c r="D112" i="74"/>
  <c r="D210" i="74" s="1"/>
  <c r="F21" i="74"/>
  <c r="D44" i="70"/>
  <c r="F44" i="70" s="1"/>
  <c r="G33" i="74"/>
  <c r="D24" i="70"/>
  <c r="F24" i="70" s="1"/>
  <c r="D35" i="70"/>
  <c r="F35" i="70" s="1"/>
  <c r="P45" i="72"/>
  <c r="D68" i="74" s="1"/>
  <c r="D166" i="74" s="1"/>
  <c r="P43" i="72"/>
  <c r="D56" i="70" s="1"/>
  <c r="F56" i="70" s="1"/>
  <c r="P41" i="72"/>
  <c r="D54" i="70" s="1"/>
  <c r="F54" i="70" s="1"/>
  <c r="F24" i="74"/>
  <c r="O24" i="74" s="1"/>
  <c r="S52" i="75" s="1"/>
  <c r="S50" i="75" s="1"/>
  <c r="O17" i="74"/>
  <c r="G36" i="74"/>
  <c r="O36" i="74" s="1"/>
  <c r="P77" i="72"/>
  <c r="D87" i="74" s="1"/>
  <c r="D185" i="74" s="1"/>
  <c r="P73" i="72"/>
  <c r="D83" i="74" s="1"/>
  <c r="D181" i="74" s="1"/>
  <c r="P48" i="72"/>
  <c r="D61" i="70" s="1"/>
  <c r="F61" i="70" s="1"/>
  <c r="P46" i="72"/>
  <c r="D59" i="70" s="1"/>
  <c r="F59" i="70" s="1"/>
  <c r="F23" i="71"/>
  <c r="F22" i="74"/>
  <c r="D17" i="71"/>
  <c r="F17" i="71" s="1"/>
  <c r="D35" i="71"/>
  <c r="F35" i="71" s="1"/>
  <c r="S26" i="75"/>
  <c r="D24" i="136"/>
  <c r="H24" i="136" s="1"/>
  <c r="D45" i="71"/>
  <c r="F45" i="71" s="1"/>
  <c r="D16" i="71"/>
  <c r="G35" i="74"/>
  <c r="D23" i="136"/>
  <c r="H23" i="136" s="1"/>
  <c r="D27" i="71"/>
  <c r="F27" i="71" s="1"/>
  <c r="P47" i="72"/>
  <c r="P68" i="72"/>
  <c r="P72" i="72"/>
  <c r="D82" i="74" s="1"/>
  <c r="D180" i="74" s="1"/>
  <c r="P92" i="72"/>
  <c r="P80" i="73"/>
  <c r="D109" i="71" s="1"/>
  <c r="R271" i="127"/>
  <c r="V10" i="127"/>
  <c r="R336" i="127"/>
  <c r="N51" i="127"/>
  <c r="N17" i="127"/>
  <c r="R327" i="127"/>
  <c r="R473" i="127" s="1"/>
  <c r="R135" i="127"/>
  <c r="S72" i="127"/>
  <c r="V13" i="127"/>
  <c r="N159" i="74"/>
  <c r="F31" i="136" s="1"/>
  <c r="E135" i="127"/>
  <c r="K202" i="41"/>
  <c r="D308" i="41"/>
  <c r="G308" i="41" s="1"/>
  <c r="J518" i="41"/>
  <c r="K563" i="41"/>
  <c r="D669" i="41"/>
  <c r="G669" i="41" s="1"/>
  <c r="K669" i="41" s="1"/>
  <c r="O74" i="74"/>
  <c r="G67" i="27"/>
  <c r="G86" i="27" s="1"/>
  <c r="G91" i="27" s="1"/>
  <c r="L2297" i="41"/>
  <c r="D2234" i="41"/>
  <c r="I2234" i="41" s="1"/>
  <c r="L2161" i="41"/>
  <c r="L2055" i="41"/>
  <c r="N1969" i="41"/>
  <c r="L1932" i="41"/>
  <c r="D1916" i="41"/>
  <c r="I1916" i="41" s="1"/>
  <c r="L1826" i="41"/>
  <c r="D1810" i="41"/>
  <c r="I1810" i="41" s="1"/>
  <c r="L1614" i="41"/>
  <c r="N1545" i="41"/>
  <c r="N1439" i="41"/>
  <c r="G1386" i="41"/>
  <c r="N1386" i="41" s="1"/>
  <c r="N1333" i="41"/>
  <c r="K119" i="41"/>
  <c r="N119" i="41" s="1"/>
  <c r="D225" i="41"/>
  <c r="G225" i="41" s="1"/>
  <c r="L2267" i="41"/>
  <c r="L2085" i="41"/>
  <c r="N697" i="41"/>
  <c r="G750" i="41"/>
  <c r="N750" i="41" s="1"/>
  <c r="G2128" i="41"/>
  <c r="N2128" i="41" s="1"/>
  <c r="G78" i="3"/>
  <c r="L2250" i="41"/>
  <c r="L2191" i="41"/>
  <c r="L2038" i="41"/>
  <c r="L1737" i="41"/>
  <c r="L1661" i="41"/>
  <c r="L1631" i="41"/>
  <c r="N1015" i="41"/>
  <c r="G1068" i="41"/>
  <c r="N1068" i="41" s="1"/>
  <c r="J67" i="27"/>
  <c r="J86" i="27" s="1"/>
  <c r="J91" i="27" s="1"/>
  <c r="L2373" i="41"/>
  <c r="L2144" i="41"/>
  <c r="L1555" i="41"/>
  <c r="L1525" i="41"/>
  <c r="L1449" i="41"/>
  <c r="K129" i="41"/>
  <c r="N129" i="41" s="1"/>
  <c r="D235" i="41"/>
  <c r="G235" i="41" s="1"/>
  <c r="L660" i="41"/>
  <c r="L571" i="41"/>
  <c r="L554" i="41"/>
  <c r="N127" i="41"/>
  <c r="I61" i="41"/>
  <c r="P93" i="55"/>
  <c r="L465" i="41"/>
  <c r="N141" i="41"/>
  <c r="I247" i="41" s="1"/>
  <c r="N247" i="41" s="1"/>
  <c r="I353" i="41" s="1"/>
  <c r="N353" i="41" s="1"/>
  <c r="I459" i="41" s="1"/>
  <c r="N459" i="41" s="1"/>
  <c r="I565" i="41" s="1"/>
  <c r="N79" i="41"/>
  <c r="I185" i="41" s="1"/>
  <c r="N185" i="41" s="1"/>
  <c r="I291" i="41" s="1"/>
  <c r="N291" i="41" s="1"/>
  <c r="I397" i="41" s="1"/>
  <c r="N397" i="41" s="1"/>
  <c r="I503" i="41" s="1"/>
  <c r="N503" i="41" s="1"/>
  <c r="I609" i="41" s="1"/>
  <c r="N609" i="41" s="1"/>
  <c r="I715" i="41" s="1"/>
  <c r="N715" i="41" s="1"/>
  <c r="I821" i="41" s="1"/>
  <c r="N821" i="41" s="1"/>
  <c r="I927" i="41" s="1"/>
  <c r="N927" i="41" s="1"/>
  <c r="I1033" i="41" s="1"/>
  <c r="N1033" i="41" s="1"/>
  <c r="I1139" i="41" s="1"/>
  <c r="N1139" i="41" s="1"/>
  <c r="I1245" i="41" s="1"/>
  <c r="N1245" i="41" s="1"/>
  <c r="I1351" i="41" s="1"/>
  <c r="N1351" i="41" s="1"/>
  <c r="I1457" i="41" s="1"/>
  <c r="N1457" i="41" s="1"/>
  <c r="I1563" i="41" s="1"/>
  <c r="N1563" i="41" s="1"/>
  <c r="I1669" i="41" s="1"/>
  <c r="N1669" i="41" s="1"/>
  <c r="I1775" i="41" s="1"/>
  <c r="N1775" i="41" s="1"/>
  <c r="I1881" i="41" s="1"/>
  <c r="N1881" i="41" s="1"/>
  <c r="I1987" i="41" s="1"/>
  <c r="N1987" i="41" s="1"/>
  <c r="I2093" i="41" s="1"/>
  <c r="N2093" i="41" s="1"/>
  <c r="I2199" i="41" s="1"/>
  <c r="N2199" i="41" s="1"/>
  <c r="I2305" i="41" s="1"/>
  <c r="N2305" i="41" s="1"/>
  <c r="D1384" i="57"/>
  <c r="I1384" i="57" s="1"/>
  <c r="I1331" i="57"/>
  <c r="L93" i="55"/>
  <c r="I1013" i="57"/>
  <c r="D1066" i="57"/>
  <c r="I1066" i="57" s="1"/>
  <c r="L1237" i="41"/>
  <c r="L1207" i="41"/>
  <c r="L978" i="41"/>
  <c r="L783" i="41"/>
  <c r="D644" i="41"/>
  <c r="I644" i="41" s="1"/>
  <c r="H95" i="55"/>
  <c r="Q93" i="55"/>
  <c r="P69" i="72"/>
  <c r="D49" i="71"/>
  <c r="F49" i="71" s="1"/>
  <c r="D40" i="136"/>
  <c r="H40" i="136" s="1"/>
  <c r="H35" i="7"/>
  <c r="K34" i="37"/>
  <c r="K42" i="37" s="1"/>
  <c r="O34" i="37"/>
  <c r="D38" i="71"/>
  <c r="F38" i="71" s="1"/>
  <c r="D37" i="71"/>
  <c r="F37" i="71" s="1"/>
  <c r="D31" i="136"/>
  <c r="H63" i="7"/>
  <c r="H45" i="7"/>
  <c r="I14" i="49"/>
  <c r="I15" i="49" s="1"/>
  <c r="H22" i="136"/>
  <c r="H71" i="7"/>
  <c r="J94" i="12"/>
  <c r="J67" i="42"/>
  <c r="J86" i="42" s="1"/>
  <c r="J91" i="42" s="1"/>
  <c r="D24" i="19"/>
  <c r="P76" i="72"/>
  <c r="P54" i="72"/>
  <c r="D16" i="136"/>
  <c r="H16" i="136" s="1"/>
  <c r="I25" i="69"/>
  <c r="H61" i="7"/>
  <c r="H37" i="7"/>
  <c r="I40" i="37"/>
  <c r="I19" i="37"/>
  <c r="P94" i="72"/>
  <c r="N105" i="120"/>
  <c r="N151" i="120"/>
  <c r="O70" i="74"/>
  <c r="O112" i="74"/>
  <c r="O60" i="74"/>
  <c r="L29" i="74"/>
  <c r="L42" i="74" s="1"/>
  <c r="H29" i="74"/>
  <c r="E103" i="123"/>
  <c r="E96" i="123"/>
  <c r="G96" i="123" s="1"/>
  <c r="E85" i="123"/>
  <c r="G85" i="123" s="1"/>
  <c r="E80" i="123"/>
  <c r="G80" i="123" s="1"/>
  <c r="E24" i="123"/>
  <c r="G24" i="123" s="1"/>
  <c r="K41" i="102"/>
  <c r="I15" i="104"/>
  <c r="H38" i="108"/>
  <c r="H41" i="108" s="1"/>
  <c r="G52" i="109"/>
  <c r="G45" i="109"/>
  <c r="L31" i="109"/>
  <c r="H32" i="110"/>
  <c r="F36" i="110"/>
  <c r="I21" i="138"/>
  <c r="L21" i="138" s="1"/>
  <c r="O35" i="120"/>
  <c r="O116" i="74"/>
  <c r="N29" i="74"/>
  <c r="N42" i="74" s="1"/>
  <c r="E104" i="123"/>
  <c r="G104" i="123" s="1"/>
  <c r="E91" i="123"/>
  <c r="G91" i="123" s="1"/>
  <c r="E34" i="123"/>
  <c r="G34" i="123" s="1"/>
  <c r="E20" i="141"/>
  <c r="P53" i="102"/>
  <c r="H53" i="102"/>
  <c r="L46" i="102"/>
  <c r="K47" i="102"/>
  <c r="K49" i="102" s="1"/>
  <c r="K40" i="102"/>
  <c r="J23" i="102"/>
  <c r="F40" i="102"/>
  <c r="G39" i="109"/>
  <c r="L37" i="110"/>
  <c r="F37" i="110"/>
  <c r="I17" i="138"/>
  <c r="I16" i="118"/>
  <c r="I24" i="118" s="1"/>
  <c r="G161" i="120"/>
  <c r="O105" i="120"/>
  <c r="N72" i="120"/>
  <c r="N74" i="120" s="1"/>
  <c r="G268" i="74"/>
  <c r="O61" i="74"/>
  <c r="M29" i="74"/>
  <c r="M42" i="74" s="1"/>
  <c r="I29" i="74"/>
  <c r="I42" i="74" s="1"/>
  <c r="G100" i="123"/>
  <c r="E95" i="123"/>
  <c r="G95" i="123" s="1"/>
  <c r="E93" i="123"/>
  <c r="G93" i="123" s="1"/>
  <c r="E88" i="123"/>
  <c r="E44" i="123"/>
  <c r="G44" i="123" s="1"/>
  <c r="E30" i="108"/>
  <c r="E38" i="108" s="1"/>
  <c r="E41" i="108" s="1"/>
  <c r="G22" i="109"/>
  <c r="H161" i="120"/>
  <c r="O79" i="74"/>
  <c r="O59" i="74"/>
  <c r="E92" i="123"/>
  <c r="G92" i="123" s="1"/>
  <c r="Q49" i="87"/>
  <c r="K35" i="102"/>
  <c r="K37" i="102" s="1"/>
  <c r="L47" i="109"/>
  <c r="E47" i="109"/>
  <c r="H31" i="109"/>
  <c r="E37" i="110"/>
  <c r="H37" i="110"/>
  <c r="D32" i="110"/>
  <c r="F23" i="110"/>
  <c r="I22" i="118"/>
  <c r="M22" i="118" s="1"/>
  <c r="M23" i="138" s="1"/>
  <c r="O104" i="120"/>
  <c r="P35" i="120"/>
  <c r="J47" i="102"/>
  <c r="J40" i="102"/>
  <c r="G31" i="102"/>
  <c r="G37" i="102" s="1"/>
  <c r="G24" i="102"/>
  <c r="F23" i="102"/>
  <c r="K26" i="102"/>
  <c r="J31" i="102"/>
  <c r="F35" i="102"/>
  <c r="H29" i="102"/>
  <c r="G26" i="102"/>
  <c r="K24" i="102"/>
  <c r="J24" i="102" s="1"/>
  <c r="H24" i="102"/>
  <c r="J53" i="102"/>
  <c r="P52" i="102"/>
  <c r="H52" i="102"/>
  <c r="P35" i="102"/>
  <c r="N35" i="102"/>
  <c r="Q43" i="102"/>
  <c r="F52" i="102"/>
  <c r="M49" i="102"/>
  <c r="D702" i="41"/>
  <c r="D761" i="41"/>
  <c r="G761" i="41" s="1"/>
  <c r="K655" i="41"/>
  <c r="D664" i="41"/>
  <c r="G664" i="41" s="1"/>
  <c r="D69" i="57"/>
  <c r="H28" i="106"/>
  <c r="H30" i="106" s="1"/>
  <c r="H33" i="106" s="1"/>
  <c r="G29" i="64" s="1"/>
  <c r="J18" i="108"/>
  <c r="H30" i="102"/>
  <c r="O84" i="74"/>
  <c r="D1386" i="41"/>
  <c r="I1386" i="41" s="1"/>
  <c r="I1015" i="41"/>
  <c r="D1068" i="41"/>
  <c r="I1068" i="41" s="1"/>
  <c r="D118" i="57"/>
  <c r="L1343" i="41"/>
  <c r="L1101" i="41"/>
  <c r="L1025" i="41"/>
  <c r="L919" i="41"/>
  <c r="L889" i="41"/>
  <c r="L872" i="41"/>
  <c r="I273" i="41"/>
  <c r="D326" i="41"/>
  <c r="I326" i="41" s="1"/>
  <c r="I803" i="41"/>
  <c r="D856" i="41"/>
  <c r="I856" i="41" s="1"/>
  <c r="K880" i="41"/>
  <c r="D986" i="41"/>
  <c r="G986" i="41" s="1"/>
  <c r="D1092" i="41" s="1"/>
  <c r="G1092" i="41" s="1"/>
  <c r="D1198" i="41" s="1"/>
  <c r="G1198" i="41" s="1"/>
  <c r="D1304" i="41" s="1"/>
  <c r="G1304" i="41" s="1"/>
  <c r="D1410" i="41" s="1"/>
  <c r="G1410" i="41" s="1"/>
  <c r="D1516" i="41" s="1"/>
  <c r="G1516" i="41" s="1"/>
  <c r="D1622" i="41" s="1"/>
  <c r="G1622" i="41" s="1"/>
  <c r="D1728" i="41" s="1"/>
  <c r="G1728" i="41" s="1"/>
  <c r="D1834" i="41" s="1"/>
  <c r="G1834" i="41" s="1"/>
  <c r="D1940" i="41" s="1"/>
  <c r="G1940" i="41" s="1"/>
  <c r="D2046" i="41" s="1"/>
  <c r="G2046" i="41" s="1"/>
  <c r="D2152" i="41" s="1"/>
  <c r="G2152" i="41" s="1"/>
  <c r="D2258" i="41" s="1"/>
  <c r="G2258" i="41" s="1"/>
  <c r="D2364" i="41" s="1"/>
  <c r="G2364" i="41" s="1"/>
  <c r="L677" i="41"/>
  <c r="G1280" i="41"/>
  <c r="N1280" i="41" s="1"/>
  <c r="N1227" i="41"/>
  <c r="L766" i="41"/>
  <c r="L707" i="41"/>
  <c r="L359" i="41"/>
  <c r="I75" i="41"/>
  <c r="N74" i="41"/>
  <c r="N69" i="41"/>
  <c r="K126" i="41"/>
  <c r="N126" i="41" s="1"/>
  <c r="D232" i="41"/>
  <c r="G232" i="41" s="1"/>
  <c r="K85" i="41"/>
  <c r="N85" i="41" s="1"/>
  <c r="D191" i="41"/>
  <c r="G191" i="41" s="1"/>
  <c r="D75" i="41"/>
  <c r="G74" i="41"/>
  <c r="G220" i="41"/>
  <c r="N220" i="41" s="1"/>
  <c r="N167" i="41"/>
  <c r="K122" i="41"/>
  <c r="N122" i="41" s="1"/>
  <c r="D228" i="41"/>
  <c r="M188" i="55"/>
  <c r="Q188" i="55"/>
  <c r="N188" i="55"/>
  <c r="R188" i="55"/>
  <c r="O188" i="55"/>
  <c r="I695" i="57"/>
  <c r="D748" i="57"/>
  <c r="I748" i="57" s="1"/>
  <c r="G1490" i="57"/>
  <c r="N1490" i="57" s="1"/>
  <c r="N1437" i="57"/>
  <c r="N1013" i="57"/>
  <c r="G1066" i="57"/>
  <c r="N1066" i="57" s="1"/>
  <c r="D960" i="57"/>
  <c r="I960" i="57" s="1"/>
  <c r="I907" i="57"/>
  <c r="I1119" i="57"/>
  <c r="D1172" i="57"/>
  <c r="I1172" i="57" s="1"/>
  <c r="I59" i="57"/>
  <c r="D112" i="57"/>
  <c r="I112" i="57" s="1"/>
  <c r="J17" i="53"/>
  <c r="H20" i="53"/>
  <c r="D73" i="7"/>
  <c r="H64" i="7"/>
  <c r="H67" i="42"/>
  <c r="H86" i="42" s="1"/>
  <c r="H91" i="42" s="1"/>
  <c r="P27" i="72"/>
  <c r="D22" i="74"/>
  <c r="D25" i="70"/>
  <c r="E81" i="57"/>
  <c r="M79" i="57"/>
  <c r="F78" i="57"/>
  <c r="E65" i="57"/>
  <c r="H19" i="136"/>
  <c r="J18" i="109"/>
  <c r="P80" i="72"/>
  <c r="F77" i="57"/>
  <c r="I39" i="49"/>
  <c r="D41" i="49"/>
  <c r="P75" i="72"/>
  <c r="D137" i="70"/>
  <c r="F137" i="70" s="1"/>
  <c r="I27" i="108" s="1"/>
  <c r="D264" i="74"/>
  <c r="E25" i="69"/>
  <c r="E27" i="69"/>
  <c r="G27" i="69" s="1"/>
  <c r="D266" i="74"/>
  <c r="P89" i="72"/>
  <c r="P44" i="72"/>
  <c r="D16" i="74"/>
  <c r="D18" i="70"/>
  <c r="P70" i="72"/>
  <c r="D37" i="70"/>
  <c r="F37" i="70" s="1"/>
  <c r="D61" i="74"/>
  <c r="D159" i="74" s="1"/>
  <c r="D122" i="71"/>
  <c r="F122" i="71" s="1"/>
  <c r="D93" i="136"/>
  <c r="I27" i="37"/>
  <c r="I34" i="37" s="1"/>
  <c r="P50" i="72"/>
  <c r="F264" i="74"/>
  <c r="E259" i="74"/>
  <c r="O259" i="74" s="1"/>
  <c r="S102" i="127"/>
  <c r="S135" i="127" s="1"/>
  <c r="O89" i="74"/>
  <c r="O62" i="74"/>
  <c r="E99" i="123"/>
  <c r="G99" i="123" s="1"/>
  <c r="K86" i="123"/>
  <c r="M112" i="123"/>
  <c r="N53" i="102"/>
  <c r="I30" i="101"/>
  <c r="G30" i="101" s="1"/>
  <c r="Q47" i="102"/>
  <c r="I28" i="101"/>
  <c r="I29" i="101"/>
  <c r="N136" i="104"/>
  <c r="O134" i="104"/>
  <c r="O136" i="104" s="1"/>
  <c r="M77" i="123"/>
  <c r="E28" i="101"/>
  <c r="E29" i="101"/>
  <c r="O47" i="102"/>
  <c r="F47" i="102"/>
  <c r="H47" i="102"/>
  <c r="G49" i="102"/>
  <c r="N39" i="91"/>
  <c r="N41" i="91" s="1"/>
  <c r="E43" i="102"/>
  <c r="F41" i="102"/>
  <c r="O211" i="104"/>
  <c r="Q46" i="102" s="1"/>
  <c r="O183" i="104"/>
  <c r="O46" i="102" s="1"/>
  <c r="N46" i="102" s="1"/>
  <c r="O103" i="104"/>
  <c r="N35" i="120"/>
  <c r="N152" i="120"/>
  <c r="E29" i="102"/>
  <c r="R151" i="120"/>
  <c r="R72" i="120"/>
  <c r="R74" i="120" s="1"/>
  <c r="F32" i="110"/>
  <c r="K72" i="120"/>
  <c r="K74" i="120" s="1"/>
  <c r="K105" i="120"/>
  <c r="J105" i="120"/>
  <c r="L30" i="102"/>
  <c r="N30" i="102"/>
  <c r="L29" i="102"/>
  <c r="M33" i="102"/>
  <c r="M31" i="102"/>
  <c r="Q95" i="58" l="1"/>
  <c r="J95" i="58"/>
  <c r="I95" i="58"/>
  <c r="P96" i="58"/>
  <c r="K96" i="58"/>
  <c r="J96" i="58"/>
  <c r="H22" i="7"/>
  <c r="K200" i="41"/>
  <c r="A29" i="37"/>
  <c r="A30" i="37" s="1"/>
  <c r="A31" i="37" s="1"/>
  <c r="A32" i="37" s="1"/>
  <c r="A33" i="37" s="1"/>
  <c r="A34" i="37" s="1"/>
  <c r="A36" i="37" s="1"/>
  <c r="D229" i="41"/>
  <c r="G229" i="41" s="1"/>
  <c r="K229" i="41" s="1"/>
  <c r="D82" i="57"/>
  <c r="G82" i="57" s="1"/>
  <c r="K82" i="57" s="1"/>
  <c r="N82" i="57" s="1"/>
  <c r="Q96" i="58"/>
  <c r="M209" i="58"/>
  <c r="K203" i="58"/>
  <c r="P206" i="58"/>
  <c r="G209" i="58"/>
  <c r="K209" i="58"/>
  <c r="J209" i="58"/>
  <c r="Q203" i="58"/>
  <c r="O206" i="58"/>
  <c r="O203" i="58"/>
  <c r="O204" i="58"/>
  <c r="M25" i="69"/>
  <c r="I21" i="68" s="1"/>
  <c r="M21" i="68" s="1"/>
  <c r="R475" i="127"/>
  <c r="R42" i="127"/>
  <c r="R31" i="127"/>
  <c r="R32" i="127"/>
  <c r="F22" i="102"/>
  <c r="E24" i="102"/>
  <c r="F24" i="102" s="1"/>
  <c r="J35" i="102"/>
  <c r="M206" i="58"/>
  <c r="G203" i="58"/>
  <c r="L206" i="58"/>
  <c r="P203" i="58"/>
  <c r="O209" i="58"/>
  <c r="Q209" i="58"/>
  <c r="R209" i="58"/>
  <c r="R206" i="58"/>
  <c r="I209" i="58"/>
  <c r="L203" i="58"/>
  <c r="I206" i="58"/>
  <c r="K206" i="58"/>
  <c r="J203" i="58"/>
  <c r="H206" i="58"/>
  <c r="L209" i="58"/>
  <c r="Q206" i="58"/>
  <c r="M203" i="58"/>
  <c r="H203" i="58"/>
  <c r="N203" i="58"/>
  <c r="G206" i="58"/>
  <c r="R203" i="58"/>
  <c r="N206" i="58"/>
  <c r="H209" i="58"/>
  <c r="P209" i="58"/>
  <c r="O96" i="58"/>
  <c r="M96" i="58"/>
  <c r="N96" i="58"/>
  <c r="O207" i="58"/>
  <c r="O95" i="58"/>
  <c r="N204" i="58"/>
  <c r="G207" i="58"/>
  <c r="N207" i="58"/>
  <c r="M207" i="58"/>
  <c r="K137" i="41"/>
  <c r="N86" i="57"/>
  <c r="I192" i="57" s="1"/>
  <c r="N192" i="57" s="1"/>
  <c r="I298" i="57" s="1"/>
  <c r="N298" i="57" s="1"/>
  <c r="N85" i="57"/>
  <c r="L34" i="42" s="1"/>
  <c r="N64" i="57"/>
  <c r="I170" i="57" s="1"/>
  <c r="N170" i="57" s="1"/>
  <c r="M16" i="112"/>
  <c r="M24" i="112" s="1"/>
  <c r="E23" i="64" s="1"/>
  <c r="K21" i="23"/>
  <c r="E45" i="123"/>
  <c r="E46" i="123" s="1"/>
  <c r="N95" i="58"/>
  <c r="R204" i="58"/>
  <c r="J204" i="58"/>
  <c r="H207" i="58"/>
  <c r="M204" i="58"/>
  <c r="Q204" i="58"/>
  <c r="K207" i="58"/>
  <c r="P95" i="58"/>
  <c r="M95" i="58"/>
  <c r="L207" i="58"/>
  <c r="L204" i="58"/>
  <c r="H204" i="58"/>
  <c r="P207" i="58"/>
  <c r="Q207" i="58"/>
  <c r="I204" i="58"/>
  <c r="I207" i="58"/>
  <c r="G204" i="58"/>
  <c r="R207" i="58"/>
  <c r="P204" i="58"/>
  <c r="O97" i="58"/>
  <c r="H211" i="58"/>
  <c r="N208" i="58"/>
  <c r="I205" i="58"/>
  <c r="O208" i="58"/>
  <c r="I208" i="58"/>
  <c r="Q205" i="58"/>
  <c r="J211" i="58"/>
  <c r="R208" i="58"/>
  <c r="O211" i="58"/>
  <c r="L97" i="58"/>
  <c r="K97" i="58"/>
  <c r="M97" i="58"/>
  <c r="N97" i="58"/>
  <c r="G211" i="58"/>
  <c r="P211" i="58"/>
  <c r="G208" i="58"/>
  <c r="Q211" i="58"/>
  <c r="K205" i="58"/>
  <c r="P205" i="58"/>
  <c r="M208" i="58"/>
  <c r="Q208" i="58"/>
  <c r="O213" i="58"/>
  <c r="M213" i="58"/>
  <c r="P213" i="58"/>
  <c r="N213" i="58"/>
  <c r="Q213" i="58"/>
  <c r="R213" i="58"/>
  <c r="K95" i="58"/>
  <c r="L95" i="58"/>
  <c r="M94" i="58"/>
  <c r="K94" i="58"/>
  <c r="I94" i="58"/>
  <c r="Q94" i="58"/>
  <c r="L94" i="58"/>
  <c r="H94" i="58"/>
  <c r="N94" i="58"/>
  <c r="O94" i="58"/>
  <c r="P94" i="58"/>
  <c r="J94" i="58"/>
  <c r="M211" i="58"/>
  <c r="N211" i="58"/>
  <c r="J205" i="58"/>
  <c r="R205" i="58"/>
  <c r="L208" i="58"/>
  <c r="P208" i="58"/>
  <c r="L205" i="58"/>
  <c r="R211" i="58"/>
  <c r="H205" i="58"/>
  <c r="L148" i="57"/>
  <c r="N148" i="57" s="1"/>
  <c r="I254" i="57" s="1"/>
  <c r="N254" i="57" s="1"/>
  <c r="I360" i="57" s="1"/>
  <c r="N360" i="57" s="1"/>
  <c r="I466" i="57" s="1"/>
  <c r="N466" i="57" s="1"/>
  <c r="I572" i="57" s="1"/>
  <c r="N572" i="57" s="1"/>
  <c r="I678" i="57" s="1"/>
  <c r="N678" i="57" s="1"/>
  <c r="I784" i="57" s="1"/>
  <c r="N784" i="57" s="1"/>
  <c r="I890" i="57" s="1"/>
  <c r="N890" i="57" s="1"/>
  <c r="I996" i="57" s="1"/>
  <c r="N996" i="57" s="1"/>
  <c r="I1102" i="57" s="1"/>
  <c r="N1102" i="57" s="1"/>
  <c r="O100" i="58"/>
  <c r="N100" i="58"/>
  <c r="Q100" i="58"/>
  <c r="P100" i="58"/>
  <c r="P98" i="58"/>
  <c r="Q98" i="58"/>
  <c r="N98" i="58"/>
  <c r="M98" i="58"/>
  <c r="L98" i="58"/>
  <c r="O98" i="58"/>
  <c r="M212" i="58"/>
  <c r="Q212" i="58"/>
  <c r="J212" i="58"/>
  <c r="P212" i="58"/>
  <c r="K212" i="58"/>
  <c r="N212" i="58"/>
  <c r="O212" i="58"/>
  <c r="L212" i="58"/>
  <c r="R212" i="58"/>
  <c r="E93" i="130"/>
  <c r="P97" i="58"/>
  <c r="K211" i="58"/>
  <c r="M205" i="58"/>
  <c r="J208" i="58"/>
  <c r="N205" i="58"/>
  <c r="K208" i="58"/>
  <c r="O205" i="58"/>
  <c r="L211" i="58"/>
  <c r="L1208" i="57"/>
  <c r="F93" i="130"/>
  <c r="O101" i="58"/>
  <c r="Q101" i="58"/>
  <c r="P101" i="58"/>
  <c r="Q99" i="58"/>
  <c r="P99" i="58"/>
  <c r="O99" i="58"/>
  <c r="M99" i="58"/>
  <c r="N99" i="58"/>
  <c r="L96" i="58"/>
  <c r="H17" i="136"/>
  <c r="L1212" i="41"/>
  <c r="K28" i="41" s="1"/>
  <c r="G148" i="57"/>
  <c r="D254" i="57" s="1"/>
  <c r="G254" i="57" s="1"/>
  <c r="D360" i="57" s="1"/>
  <c r="G360" i="57" s="1"/>
  <c r="D466" i="57" s="1"/>
  <c r="G466" i="57" s="1"/>
  <c r="D572" i="57" s="1"/>
  <c r="G572" i="57" s="1"/>
  <c r="D678" i="57" s="1"/>
  <c r="G678" i="57" s="1"/>
  <c r="D784" i="57" s="1"/>
  <c r="G784" i="57" s="1"/>
  <c r="D890" i="57" s="1"/>
  <c r="G890" i="57" s="1"/>
  <c r="D996" i="57" s="1"/>
  <c r="G996" i="57" s="1"/>
  <c r="D1102" i="57" s="1"/>
  <c r="G1102" i="57" s="1"/>
  <c r="L2378" i="41"/>
  <c r="K39" i="41" s="1"/>
  <c r="L2272" i="41"/>
  <c r="K38" i="41" s="1"/>
  <c r="L2060" i="41"/>
  <c r="K36" i="41" s="1"/>
  <c r="L68" i="57"/>
  <c r="L69" i="57" s="1"/>
  <c r="F95" i="7"/>
  <c r="E95" i="7"/>
  <c r="D95" i="7"/>
  <c r="L1742" i="41"/>
  <c r="K33" i="41" s="1"/>
  <c r="D20" i="49"/>
  <c r="I18" i="49"/>
  <c r="L2166" i="41"/>
  <c r="K37" i="41" s="1"/>
  <c r="L1636" i="41"/>
  <c r="K32" i="41" s="1"/>
  <c r="L1954" i="41"/>
  <c r="K35" i="41" s="1"/>
  <c r="L1848" i="41"/>
  <c r="K34" i="41" s="1"/>
  <c r="L1530" i="41"/>
  <c r="K31" i="41" s="1"/>
  <c r="L364" i="41"/>
  <c r="K20" i="41" s="1"/>
  <c r="L1424" i="41"/>
  <c r="K30" i="41" s="1"/>
  <c r="L1318" i="41"/>
  <c r="K29" i="41" s="1"/>
  <c r="L1106" i="41"/>
  <c r="K27" i="41" s="1"/>
  <c r="L894" i="41"/>
  <c r="K25" i="41" s="1"/>
  <c r="L1000" i="41"/>
  <c r="K26" i="41" s="1"/>
  <c r="L576" i="41"/>
  <c r="K22" i="41" s="1"/>
  <c r="L788" i="41"/>
  <c r="K24" i="41" s="1"/>
  <c r="E81" i="130"/>
  <c r="L470" i="41"/>
  <c r="K21" i="41" s="1"/>
  <c r="L682" i="41"/>
  <c r="K23" i="41" s="1"/>
  <c r="E71" i="130"/>
  <c r="E77" i="130"/>
  <c r="E76" i="130"/>
  <c r="F77" i="130"/>
  <c r="L258" i="41"/>
  <c r="K19" i="41" s="1"/>
  <c r="E39" i="130"/>
  <c r="E30" i="130"/>
  <c r="E21" i="130"/>
  <c r="E44" i="130"/>
  <c r="E88" i="130"/>
  <c r="E20" i="130"/>
  <c r="E17" i="130"/>
  <c r="E41" i="130"/>
  <c r="E68" i="130"/>
  <c r="E32" i="130"/>
  <c r="F89" i="130"/>
  <c r="F30" i="130"/>
  <c r="F38" i="130"/>
  <c r="F72" i="130"/>
  <c r="E43" i="130"/>
  <c r="F68" i="130"/>
  <c r="F70" i="130"/>
  <c r="F88" i="130"/>
  <c r="F39" i="130"/>
  <c r="F65" i="130"/>
  <c r="F61" i="130"/>
  <c r="F79" i="130"/>
  <c r="E25" i="130"/>
  <c r="E26" i="130" s="1"/>
  <c r="E64" i="130"/>
  <c r="E19" i="130"/>
  <c r="E79" i="130"/>
  <c r="E61" i="130"/>
  <c r="E38" i="130"/>
  <c r="E45" i="130"/>
  <c r="E29" i="130"/>
  <c r="E70" i="130"/>
  <c r="F25" i="130"/>
  <c r="F26" i="130" s="1"/>
  <c r="E87" i="130"/>
  <c r="E86" i="130"/>
  <c r="E36" i="130"/>
  <c r="E66" i="130"/>
  <c r="E82" i="130"/>
  <c r="E31" i="130"/>
  <c r="E80" i="130"/>
  <c r="E65" i="130"/>
  <c r="L152" i="41"/>
  <c r="K18" i="41" s="1"/>
  <c r="E18" i="130"/>
  <c r="E62" i="130"/>
  <c r="E72" i="130"/>
  <c r="E89" i="130"/>
  <c r="E42" i="130"/>
  <c r="E83" i="130"/>
  <c r="E69" i="130"/>
  <c r="E37" i="130"/>
  <c r="E63" i="130"/>
  <c r="E40" i="130"/>
  <c r="E67" i="130"/>
  <c r="E35" i="130"/>
  <c r="E34" i="130"/>
  <c r="E84" i="130"/>
  <c r="E33" i="130"/>
  <c r="L76" i="57"/>
  <c r="N76" i="57" s="1"/>
  <c r="F31" i="130"/>
  <c r="F17" i="130"/>
  <c r="F64" i="130"/>
  <c r="F81" i="130"/>
  <c r="F29" i="130"/>
  <c r="F43" i="130"/>
  <c r="F34" i="130"/>
  <c r="F83" i="130"/>
  <c r="F71" i="130"/>
  <c r="F41" i="130"/>
  <c r="F76" i="130"/>
  <c r="F33" i="130"/>
  <c r="F78" i="130"/>
  <c r="L138" i="57"/>
  <c r="L136" i="57"/>
  <c r="N136" i="57" s="1"/>
  <c r="E78" i="130"/>
  <c r="L1127" i="57"/>
  <c r="F20" i="130"/>
  <c r="L92" i="57"/>
  <c r="E85" i="130"/>
  <c r="L143" i="57"/>
  <c r="F66" i="130"/>
  <c r="F67" i="130"/>
  <c r="F42" i="130"/>
  <c r="F84" i="130"/>
  <c r="F32" i="130"/>
  <c r="F62" i="130"/>
  <c r="F44" i="130"/>
  <c r="F86" i="130"/>
  <c r="F80" i="130"/>
  <c r="F21" i="130"/>
  <c r="F63" i="130"/>
  <c r="F35" i="130"/>
  <c r="F82" i="130"/>
  <c r="L1126" i="57"/>
  <c r="F19" i="130"/>
  <c r="F40" i="130"/>
  <c r="F87" i="130"/>
  <c r="F85" i="130"/>
  <c r="F18" i="130"/>
  <c r="F36" i="130"/>
  <c r="F69" i="130"/>
  <c r="F37" i="130"/>
  <c r="F45" i="130"/>
  <c r="G67" i="57"/>
  <c r="D173" i="57" s="1"/>
  <c r="G173" i="57" s="1"/>
  <c r="N200" i="41"/>
  <c r="I306" i="41" s="1"/>
  <c r="K298" i="41"/>
  <c r="K192" i="41"/>
  <c r="K86" i="41"/>
  <c r="N86" i="41" s="1"/>
  <c r="K355" i="41"/>
  <c r="D190" i="41"/>
  <c r="G190" i="41" s="1"/>
  <c r="D296" i="41" s="1"/>
  <c r="G296" i="41" s="1"/>
  <c r="D402" i="41" s="1"/>
  <c r="G402" i="41" s="1"/>
  <c r="D508" i="41" s="1"/>
  <c r="G508" i="41" s="1"/>
  <c r="K508" i="41" s="1"/>
  <c r="K143" i="41"/>
  <c r="N143" i="41" s="1"/>
  <c r="I249" i="41" s="1"/>
  <c r="K249" i="41"/>
  <c r="D116" i="57"/>
  <c r="G116" i="57" s="1"/>
  <c r="D224" i="41"/>
  <c r="G224" i="41" s="1"/>
  <c r="K118" i="41"/>
  <c r="N118" i="41" s="1"/>
  <c r="I224" i="41" s="1"/>
  <c r="D99" i="41"/>
  <c r="G99" i="41" s="1"/>
  <c r="K67" i="27"/>
  <c r="N67" i="57"/>
  <c r="L16" i="42" s="1"/>
  <c r="N139" i="57"/>
  <c r="L78" i="42" s="1"/>
  <c r="Q119" i="120"/>
  <c r="Q80" i="120"/>
  <c r="I76" i="120"/>
  <c r="I107" i="120" s="1"/>
  <c r="F1981" i="57"/>
  <c r="M76" i="120"/>
  <c r="M80" i="120" s="1"/>
  <c r="F1769" i="57"/>
  <c r="L178" i="57"/>
  <c r="L179" i="57" s="1"/>
  <c r="G127" i="57"/>
  <c r="G123" i="57"/>
  <c r="G142" i="57"/>
  <c r="F69" i="57"/>
  <c r="L1238" i="57"/>
  <c r="L1239" i="57" s="1"/>
  <c r="F709" i="57"/>
  <c r="G137" i="57"/>
  <c r="D243" i="57" s="1"/>
  <c r="G243" i="57" s="1"/>
  <c r="M76" i="27" s="1"/>
  <c r="N96" i="57"/>
  <c r="F1875" i="57"/>
  <c r="G122" i="57"/>
  <c r="K122" i="57" s="1"/>
  <c r="N122" i="57" s="1"/>
  <c r="G84" i="57"/>
  <c r="D190" i="57" s="1"/>
  <c r="G190" i="57" s="1"/>
  <c r="F921" i="57"/>
  <c r="E1977" i="57"/>
  <c r="L2189" i="57"/>
  <c r="E387" i="57"/>
  <c r="G121" i="57"/>
  <c r="D227" i="57" s="1"/>
  <c r="G227" i="57" s="1"/>
  <c r="M1082" i="57"/>
  <c r="G139" i="57"/>
  <c r="L78" i="27" s="1"/>
  <c r="E1553" i="57"/>
  <c r="G133" i="57"/>
  <c r="L72" i="27" s="1"/>
  <c r="G97" i="57"/>
  <c r="K97" i="57" s="1"/>
  <c r="N97" i="57" s="1"/>
  <c r="I203" i="57" s="1"/>
  <c r="G64" i="57"/>
  <c r="D170" i="57" s="1"/>
  <c r="G170" i="57" s="1"/>
  <c r="G94" i="57"/>
  <c r="D200" i="57" s="1"/>
  <c r="G200" i="57" s="1"/>
  <c r="G85" i="57"/>
  <c r="G138" i="57"/>
  <c r="G119" i="57"/>
  <c r="K119" i="57" s="1"/>
  <c r="N119" i="57" s="1"/>
  <c r="N66" i="57"/>
  <c r="G83" i="57"/>
  <c r="G95" i="57"/>
  <c r="G68" i="57"/>
  <c r="D174" i="57" s="1"/>
  <c r="G174" i="57" s="1"/>
  <c r="L1556" i="57"/>
  <c r="L1557" i="57" s="1"/>
  <c r="L1662" i="57"/>
  <c r="L1663" i="57" s="1"/>
  <c r="G143" i="57"/>
  <c r="L82" i="27" s="1"/>
  <c r="O141" i="104"/>
  <c r="L705" i="57"/>
  <c r="G141" i="57"/>
  <c r="F1659" i="57"/>
  <c r="L1871" i="57"/>
  <c r="L1659" i="57"/>
  <c r="L602" i="57"/>
  <c r="L603" i="57" s="1"/>
  <c r="G126" i="57"/>
  <c r="K126" i="57" s="1"/>
  <c r="N126" i="57" s="1"/>
  <c r="L65" i="42" s="1"/>
  <c r="G136" i="57"/>
  <c r="L75" i="27" s="1"/>
  <c r="G80" i="57"/>
  <c r="G117" i="57"/>
  <c r="G92" i="57"/>
  <c r="D198" i="57" s="1"/>
  <c r="G198" i="57" s="1"/>
  <c r="G132" i="57"/>
  <c r="K132" i="57" s="1"/>
  <c r="N132" i="57" s="1"/>
  <c r="N72" i="57"/>
  <c r="F1871" i="57"/>
  <c r="F1129" i="57"/>
  <c r="E2189" i="57"/>
  <c r="L1026" i="57"/>
  <c r="L1027" i="57" s="1"/>
  <c r="G93" i="57"/>
  <c r="K93" i="57" s="1"/>
  <c r="N93" i="57" s="1"/>
  <c r="G131" i="57"/>
  <c r="D237" i="57" s="1"/>
  <c r="G237" i="57" s="1"/>
  <c r="D343" i="57" s="1"/>
  <c r="G343" i="57" s="1"/>
  <c r="D449" i="57" s="1"/>
  <c r="G449" i="57" s="1"/>
  <c r="F73" i="57"/>
  <c r="M463" i="57"/>
  <c r="E1129" i="57"/>
  <c r="L917" i="57"/>
  <c r="M675" i="57"/>
  <c r="E175" i="57"/>
  <c r="L814" i="57"/>
  <c r="L815" i="57" s="1"/>
  <c r="F1629" i="57"/>
  <c r="L390" i="57"/>
  <c r="L391" i="57" s="1"/>
  <c r="F1311" i="57"/>
  <c r="L2192" i="57"/>
  <c r="L2193" i="57" s="1"/>
  <c r="G72" i="57"/>
  <c r="D178" i="57" s="1"/>
  <c r="D179" i="57" s="1"/>
  <c r="F2189" i="57"/>
  <c r="G86" i="57"/>
  <c r="E675" i="57"/>
  <c r="E2295" i="57"/>
  <c r="E1765" i="57"/>
  <c r="E705" i="57"/>
  <c r="L1235" i="57"/>
  <c r="L1099" i="57"/>
  <c r="L1977" i="57"/>
  <c r="E658" i="57"/>
  <c r="L2083" i="57"/>
  <c r="E569" i="57"/>
  <c r="E2083" i="57"/>
  <c r="E1235" i="57"/>
  <c r="N65" i="57"/>
  <c r="L14" i="42" s="1"/>
  <c r="E976" i="57"/>
  <c r="G96" i="57"/>
  <c r="E493" i="57"/>
  <c r="L599" i="57"/>
  <c r="G144" i="57"/>
  <c r="G120" i="57"/>
  <c r="G66" i="57"/>
  <c r="G140" i="57"/>
  <c r="D246" i="57" s="1"/>
  <c r="G246" i="57" s="1"/>
  <c r="M79" i="27" s="1"/>
  <c r="M781" i="57"/>
  <c r="M234" i="57"/>
  <c r="E1659" i="57"/>
  <c r="E251" i="57"/>
  <c r="G76" i="57"/>
  <c r="M1311" i="57"/>
  <c r="F1947" i="57"/>
  <c r="M69" i="57"/>
  <c r="E1629" i="57"/>
  <c r="M2354" i="57"/>
  <c r="L387" i="57"/>
  <c r="L357" i="57"/>
  <c r="E340" i="57"/>
  <c r="E1447" i="57"/>
  <c r="E887" i="57"/>
  <c r="E764" i="57"/>
  <c r="F1523" i="57"/>
  <c r="E781" i="57"/>
  <c r="E281" i="57"/>
  <c r="L281" i="57"/>
  <c r="M993" i="57"/>
  <c r="M1523" i="57"/>
  <c r="E2053" i="57"/>
  <c r="M1612" i="57"/>
  <c r="F993" i="57"/>
  <c r="L2086" i="57"/>
  <c r="L2087" i="57" s="1"/>
  <c r="F281" i="57"/>
  <c r="F387" i="57"/>
  <c r="M2248" i="57"/>
  <c r="G79" i="57"/>
  <c r="K79" i="57" s="1"/>
  <c r="N79" i="57" s="1"/>
  <c r="F1341" i="57"/>
  <c r="L2295" i="57"/>
  <c r="G124" i="57"/>
  <c r="F1235" i="57"/>
  <c r="F497" i="57"/>
  <c r="F285" i="57"/>
  <c r="L284" i="57"/>
  <c r="L285" i="57" s="1"/>
  <c r="L993" i="57"/>
  <c r="F2354" i="57"/>
  <c r="F2159" i="57"/>
  <c r="F1765" i="57"/>
  <c r="L1512" i="57"/>
  <c r="L1523" i="57" s="1"/>
  <c r="F2295" i="57"/>
  <c r="E1871" i="57"/>
  <c r="F1345" i="57"/>
  <c r="L1344" i="57"/>
  <c r="L1345" i="57" s="1"/>
  <c r="M145" i="57"/>
  <c r="F2083" i="57"/>
  <c r="L1940" i="57"/>
  <c r="L1947" i="57" s="1"/>
  <c r="F705" i="57"/>
  <c r="F569" i="57"/>
  <c r="F887" i="57"/>
  <c r="F357" i="57"/>
  <c r="F599" i="57"/>
  <c r="L2298" i="57"/>
  <c r="L2299" i="57" s="1"/>
  <c r="M251" i="57"/>
  <c r="M256" i="57" s="1"/>
  <c r="E599" i="57"/>
  <c r="L1765" i="57"/>
  <c r="L887" i="57"/>
  <c r="F1099" i="57"/>
  <c r="L1450" i="57"/>
  <c r="L1451" i="57" s="1"/>
  <c r="F1977" i="57"/>
  <c r="L493" i="57"/>
  <c r="E1023" i="57"/>
  <c r="E917" i="57"/>
  <c r="E1417" i="57"/>
  <c r="L569" i="57"/>
  <c r="K84" i="27"/>
  <c r="I245" i="41"/>
  <c r="N245" i="41" s="1"/>
  <c r="I351" i="41" s="1"/>
  <c r="N351" i="41" s="1"/>
  <c r="I457" i="41" s="1"/>
  <c r="N457" i="41" s="1"/>
  <c r="I563" i="41" s="1"/>
  <c r="N563" i="41" s="1"/>
  <c r="I669" i="41" s="1"/>
  <c r="N669" i="41" s="1"/>
  <c r="I775" i="41" s="1"/>
  <c r="L463" i="57"/>
  <c r="F234" i="57"/>
  <c r="F917" i="57"/>
  <c r="L1447" i="57"/>
  <c r="E1947" i="57"/>
  <c r="E2159" i="57"/>
  <c r="M2371" i="57"/>
  <c r="E2265" i="57"/>
  <c r="M1099" i="57"/>
  <c r="H90" i="7"/>
  <c r="E2142" i="57"/>
  <c r="M2036" i="57"/>
  <c r="L2354" i="57"/>
  <c r="E1841" i="57"/>
  <c r="E1718" i="57"/>
  <c r="M1718" i="57"/>
  <c r="E2248" i="57"/>
  <c r="M1841" i="57"/>
  <c r="E1824" i="57"/>
  <c r="E2371" i="57"/>
  <c r="M2265" i="57"/>
  <c r="E1735" i="57"/>
  <c r="O15" i="104"/>
  <c r="K454" i="41"/>
  <c r="F1612" i="57"/>
  <c r="L2159" i="57"/>
  <c r="E1311" i="57"/>
  <c r="F2142" i="57"/>
  <c r="L1612" i="57"/>
  <c r="F1506" i="57"/>
  <c r="F2265" i="57"/>
  <c r="L2142" i="57"/>
  <c r="F1841" i="57"/>
  <c r="M1735" i="57"/>
  <c r="M1930" i="57"/>
  <c r="M2053" i="57"/>
  <c r="M2159" i="57"/>
  <c r="L2248" i="57"/>
  <c r="E1523" i="57"/>
  <c r="E2354" i="57"/>
  <c r="M1824" i="57"/>
  <c r="F1930" i="57"/>
  <c r="L1824" i="57"/>
  <c r="L1735" i="57"/>
  <c r="M1629" i="57"/>
  <c r="E1612" i="57"/>
  <c r="M2142" i="57"/>
  <c r="L2053" i="57"/>
  <c r="E2036" i="57"/>
  <c r="M1947" i="57"/>
  <c r="E1930" i="57"/>
  <c r="L1341" i="57"/>
  <c r="L870" i="57"/>
  <c r="L1553" i="57"/>
  <c r="D145" i="57"/>
  <c r="E811" i="57"/>
  <c r="L1841" i="57"/>
  <c r="L1629" i="57"/>
  <c r="L1417" i="57"/>
  <c r="L1927" i="57"/>
  <c r="L1930" i="57" s="1"/>
  <c r="L2036" i="57"/>
  <c r="F2248" i="57"/>
  <c r="F2371" i="57"/>
  <c r="L658" i="57"/>
  <c r="F1718" i="57"/>
  <c r="F1824" i="57"/>
  <c r="F1294" i="57"/>
  <c r="F463" i="57"/>
  <c r="E1188" i="57"/>
  <c r="E234" i="57"/>
  <c r="M870" i="57"/>
  <c r="E1506" i="57"/>
  <c r="E1400" i="57"/>
  <c r="E1341" i="57"/>
  <c r="F1417" i="57"/>
  <c r="F764" i="57"/>
  <c r="L1400" i="57"/>
  <c r="F658" i="57"/>
  <c r="F493" i="57"/>
  <c r="F1553" i="57"/>
  <c r="F2036" i="57"/>
  <c r="F1735" i="57"/>
  <c r="F1400" i="57"/>
  <c r="F2053" i="57"/>
  <c r="L2371" i="57"/>
  <c r="M1506" i="57"/>
  <c r="E1294" i="57"/>
  <c r="E993" i="57"/>
  <c r="M569" i="57"/>
  <c r="L251" i="57"/>
  <c r="M1400" i="57"/>
  <c r="F251" i="57"/>
  <c r="F781" i="57"/>
  <c r="M887" i="57"/>
  <c r="F870" i="57"/>
  <c r="L446" i="57"/>
  <c r="L781" i="57"/>
  <c r="L340" i="57"/>
  <c r="M764" i="57"/>
  <c r="M1417" i="57"/>
  <c r="E1205" i="57"/>
  <c r="M658" i="57"/>
  <c r="E552" i="57"/>
  <c r="M446" i="57"/>
  <c r="E357" i="57"/>
  <c r="D71" i="41"/>
  <c r="I42" i="37"/>
  <c r="L1205" i="57"/>
  <c r="F811" i="57"/>
  <c r="L811" i="57"/>
  <c r="M1188" i="57"/>
  <c r="L675" i="57"/>
  <c r="M552" i="57"/>
  <c r="E446" i="57"/>
  <c r="M1205" i="57"/>
  <c r="E1082" i="57"/>
  <c r="M976" i="57"/>
  <c r="E870" i="57"/>
  <c r="M357" i="57"/>
  <c r="M340" i="57"/>
  <c r="M1294" i="57"/>
  <c r="E1099" i="57"/>
  <c r="L764" i="57"/>
  <c r="L552" i="57"/>
  <c r="E463" i="57"/>
  <c r="L1132" i="57"/>
  <c r="L1133" i="57" s="1"/>
  <c r="F1133" i="57"/>
  <c r="F175" i="57"/>
  <c r="F675" i="57"/>
  <c r="F976" i="57"/>
  <c r="F1082" i="57"/>
  <c r="F340" i="57"/>
  <c r="F145" i="57"/>
  <c r="F446" i="57"/>
  <c r="L976" i="57"/>
  <c r="F1188" i="57"/>
  <c r="L234" i="57"/>
  <c r="L1082" i="57"/>
  <c r="F1205" i="57"/>
  <c r="F1447" i="57"/>
  <c r="G134" i="57"/>
  <c r="L73" i="27" s="1"/>
  <c r="F552" i="57"/>
  <c r="L1018" i="57"/>
  <c r="L1023" i="57" s="1"/>
  <c r="F1023" i="57"/>
  <c r="D339" i="41"/>
  <c r="G339" i="41" s="1"/>
  <c r="D445" i="41" s="1"/>
  <c r="G445" i="41" s="1"/>
  <c r="K445" i="41" s="1"/>
  <c r="K462" i="41"/>
  <c r="K348" i="41"/>
  <c r="N565" i="41"/>
  <c r="I671" i="41" s="1"/>
  <c r="N671" i="41" s="1"/>
  <c r="I777" i="41" s="1"/>
  <c r="P76" i="120"/>
  <c r="P119" i="120" s="1"/>
  <c r="L150" i="120"/>
  <c r="L76" i="120"/>
  <c r="J150" i="120"/>
  <c r="J76" i="120"/>
  <c r="O150" i="120"/>
  <c r="O76" i="120"/>
  <c r="O81" i="104"/>
  <c r="O42" i="37"/>
  <c r="L1294" i="57"/>
  <c r="L1506" i="57"/>
  <c r="L1311" i="57"/>
  <c r="K413" i="41"/>
  <c r="K354" i="41"/>
  <c r="D357" i="41"/>
  <c r="G357" i="41" s="1"/>
  <c r="D446" i="41"/>
  <c r="G446" i="41" s="1"/>
  <c r="D552" i="41" s="1"/>
  <c r="G552" i="41" s="1"/>
  <c r="D658" i="41" s="1"/>
  <c r="G658" i="41" s="1"/>
  <c r="K356" i="41"/>
  <c r="A82" i="27"/>
  <c r="A83" i="27" s="1"/>
  <c r="A84" i="27" s="1"/>
  <c r="A86" i="27" s="1"/>
  <c r="A88" i="27" s="1"/>
  <c r="G71" i="41"/>
  <c r="A218" i="58"/>
  <c r="I202" i="58"/>
  <c r="J190" i="55"/>
  <c r="Q202" i="58"/>
  <c r="L202" i="58"/>
  <c r="K1342" i="41"/>
  <c r="K1343" i="41" s="1"/>
  <c r="N282" i="41"/>
  <c r="I388" i="41" s="1"/>
  <c r="N388" i="41" s="1"/>
  <c r="I494" i="41" s="1"/>
  <c r="R202" i="58"/>
  <c r="N202" i="58"/>
  <c r="J202" i="58"/>
  <c r="O202" i="58"/>
  <c r="H202" i="58"/>
  <c r="P202" i="58"/>
  <c r="K1236" i="41"/>
  <c r="K1237" i="41" s="1"/>
  <c r="G202" i="58"/>
  <c r="K202" i="58"/>
  <c r="M95" i="55"/>
  <c r="O95" i="55"/>
  <c r="N95" i="55"/>
  <c r="G190" i="55"/>
  <c r="K1130" i="41"/>
  <c r="K1131" i="41" s="1"/>
  <c r="K1554" i="41"/>
  <c r="K1555" i="41" s="1"/>
  <c r="K190" i="55"/>
  <c r="P190" i="55"/>
  <c r="K2084" i="41"/>
  <c r="K2085" i="41" s="1"/>
  <c r="L190" i="55"/>
  <c r="K1660" i="41"/>
  <c r="K1661" i="41" s="1"/>
  <c r="D133" i="41"/>
  <c r="K234" i="41"/>
  <c r="K128" i="41"/>
  <c r="N128" i="41" s="1"/>
  <c r="I202" i="41"/>
  <c r="N202" i="41" s="1"/>
  <c r="I308" i="41" s="1"/>
  <c r="K293" i="41"/>
  <c r="J198" i="57"/>
  <c r="J304" i="57" s="1"/>
  <c r="J410" i="57" s="1"/>
  <c r="J516" i="57" s="1"/>
  <c r="J622" i="57" s="1"/>
  <c r="J728" i="57" s="1"/>
  <c r="J834" i="57" s="1"/>
  <c r="J940" i="57" s="1"/>
  <c r="J1046" i="57" s="1"/>
  <c r="K242" i="41"/>
  <c r="N242" i="41" s="1"/>
  <c r="I348" i="41" s="1"/>
  <c r="K81" i="41"/>
  <c r="N81" i="41" s="1"/>
  <c r="I187" i="41" s="1"/>
  <c r="G78" i="57"/>
  <c r="K78" i="57" s="1"/>
  <c r="K187" i="41"/>
  <c r="I229" i="41"/>
  <c r="K248" i="41"/>
  <c r="N248" i="41" s="1"/>
  <c r="I354" i="41" s="1"/>
  <c r="I241" i="41"/>
  <c r="N241" i="41" s="1"/>
  <c r="I347" i="41" s="1"/>
  <c r="D400" i="41"/>
  <c r="G400" i="41" s="1"/>
  <c r="D506" i="41" s="1"/>
  <c r="G506" i="41" s="1"/>
  <c r="K230" i="41"/>
  <c r="N230" i="41" s="1"/>
  <c r="I336" i="41" s="1"/>
  <c r="K188" i="41"/>
  <c r="N188" i="41" s="1"/>
  <c r="I294" i="41" s="1"/>
  <c r="N294" i="41" s="1"/>
  <c r="I400" i="41" s="1"/>
  <c r="D177" i="41"/>
  <c r="I203" i="41"/>
  <c r="N203" i="41" s="1"/>
  <c r="I309" i="41" s="1"/>
  <c r="K121" i="41"/>
  <c r="N121" i="41" s="1"/>
  <c r="D227" i="41"/>
  <c r="G227" i="41" s="1"/>
  <c r="K336" i="41"/>
  <c r="K442" i="41"/>
  <c r="L1718" i="57"/>
  <c r="L1188" i="57"/>
  <c r="K460" i="41"/>
  <c r="K295" i="41"/>
  <c r="D613" i="41"/>
  <c r="G613" i="41" s="1"/>
  <c r="D719" i="41" s="1"/>
  <c r="G719" i="41" s="1"/>
  <c r="K250" i="41"/>
  <c r="N250" i="41" s="1"/>
  <c r="I356" i="41" s="1"/>
  <c r="N240" i="41"/>
  <c r="I346" i="41" s="1"/>
  <c r="D775" i="41"/>
  <c r="G775" i="41" s="1"/>
  <c r="K775" i="41" s="1"/>
  <c r="K309" i="41"/>
  <c r="D349" i="41"/>
  <c r="G349" i="41" s="1"/>
  <c r="K243" i="41"/>
  <c r="K415" i="41"/>
  <c r="K401" i="41"/>
  <c r="K189" i="41"/>
  <c r="N189" i="41" s="1"/>
  <c r="I295" i="41" s="1"/>
  <c r="K559" i="41"/>
  <c r="K453" i="41"/>
  <c r="K412" i="41"/>
  <c r="K306" i="41"/>
  <c r="K566" i="41"/>
  <c r="D883" i="41"/>
  <c r="G883" i="41" s="1"/>
  <c r="K777" i="41"/>
  <c r="K246" i="41"/>
  <c r="N246" i="41" s="1"/>
  <c r="I352" i="41" s="1"/>
  <c r="N352" i="41" s="1"/>
  <c r="I458" i="41" s="1"/>
  <c r="N458" i="41" s="1"/>
  <c r="I564" i="41" s="1"/>
  <c r="N564" i="41" s="1"/>
  <c r="I670" i="41" s="1"/>
  <c r="N670" i="41" s="1"/>
  <c r="I776" i="41" s="1"/>
  <c r="N776" i="41" s="1"/>
  <c r="I882" i="41" s="1"/>
  <c r="N882" i="41" s="1"/>
  <c r="I988" i="41" s="1"/>
  <c r="N988" i="41" s="1"/>
  <c r="I1094" i="41" s="1"/>
  <c r="N1094" i="41" s="1"/>
  <c r="I1200" i="41" s="1"/>
  <c r="N1200" i="41" s="1"/>
  <c r="I1306" i="41" s="1"/>
  <c r="N1306" i="41" s="1"/>
  <c r="I1412" i="41" s="1"/>
  <c r="N1412" i="41" s="1"/>
  <c r="I1518" i="41" s="1"/>
  <c r="N1518" i="41" s="1"/>
  <c r="I1624" i="41" s="1"/>
  <c r="N1624" i="41" s="1"/>
  <c r="I1730" i="41" s="1"/>
  <c r="N1730" i="41" s="1"/>
  <c r="I1836" i="41" s="1"/>
  <c r="N1836" i="41" s="1"/>
  <c r="I1942" i="41" s="1"/>
  <c r="N1942" i="41" s="1"/>
  <c r="I2048" i="41" s="1"/>
  <c r="N2048" i="41" s="1"/>
  <c r="I2154" i="41" s="1"/>
  <c r="N2154" i="41" s="1"/>
  <c r="I2260" i="41" s="1"/>
  <c r="N2260" i="41" s="1"/>
  <c r="I2366" i="41" s="1"/>
  <c r="N2366" i="41" s="1"/>
  <c r="D352" i="41"/>
  <c r="G352" i="41" s="1"/>
  <c r="D458" i="41" s="1"/>
  <c r="G458" i="41" s="1"/>
  <c r="D564" i="41" s="1"/>
  <c r="G564" i="41" s="1"/>
  <c r="D670" i="41" s="1"/>
  <c r="G670" i="41" s="1"/>
  <c r="D776" i="41" s="1"/>
  <c r="G776" i="41" s="1"/>
  <c r="D882" i="41" s="1"/>
  <c r="G882" i="41" s="1"/>
  <c r="D988" i="41" s="1"/>
  <c r="G988" i="41" s="1"/>
  <c r="D1094" i="41" s="1"/>
  <c r="G1094" i="41" s="1"/>
  <c r="D1200" i="41" s="1"/>
  <c r="G1200" i="41" s="1"/>
  <c r="D1306" i="41" s="1"/>
  <c r="G1306" i="41" s="1"/>
  <c r="D1412" i="41" s="1"/>
  <c r="G1412" i="41" s="1"/>
  <c r="D1518" i="41" s="1"/>
  <c r="G1518" i="41" s="1"/>
  <c r="D1624" i="41" s="1"/>
  <c r="G1624" i="41" s="1"/>
  <c r="D1730" i="41" s="1"/>
  <c r="G1730" i="41" s="1"/>
  <c r="D1836" i="41" s="1"/>
  <c r="G1836" i="41" s="1"/>
  <c r="D1942" i="41" s="1"/>
  <c r="G1942" i="41" s="1"/>
  <c r="D2048" i="41" s="1"/>
  <c r="G2048" i="41" s="1"/>
  <c r="D2154" i="41" s="1"/>
  <c r="G2154" i="41" s="1"/>
  <c r="D2260" i="41" s="1"/>
  <c r="G2260" i="41" s="1"/>
  <c r="D2366" i="41" s="1"/>
  <c r="G2366" i="41" s="1"/>
  <c r="K347" i="41"/>
  <c r="K226" i="41"/>
  <c r="N226" i="41" s="1"/>
  <c r="I332" i="41" s="1"/>
  <c r="D332" i="41"/>
  <c r="G332" i="41" s="1"/>
  <c r="D519" i="41"/>
  <c r="G519" i="41" s="1"/>
  <c r="D625" i="41" s="1"/>
  <c r="G625" i="41" s="1"/>
  <c r="K307" i="41"/>
  <c r="N201" i="41"/>
  <c r="I307" i="41" s="1"/>
  <c r="K186" i="41"/>
  <c r="N186" i="41" s="1"/>
  <c r="I292" i="41" s="1"/>
  <c r="D292" i="41"/>
  <c r="G292" i="41" s="1"/>
  <c r="N251" i="41"/>
  <c r="I357" i="41" s="1"/>
  <c r="N880" i="41"/>
  <c r="I986" i="41" s="1"/>
  <c r="N986" i="41" s="1"/>
  <c r="I1092" i="41" s="1"/>
  <c r="N1092" i="41" s="1"/>
  <c r="I1198" i="41" s="1"/>
  <c r="N1198" i="41" s="1"/>
  <c r="I1304" i="41" s="1"/>
  <c r="N1304" i="41" s="1"/>
  <c r="I1410" i="41" s="1"/>
  <c r="N1410" i="41" s="1"/>
  <c r="I1516" i="41" s="1"/>
  <c r="N1516" i="41" s="1"/>
  <c r="I1622" i="41" s="1"/>
  <c r="N1622" i="41" s="1"/>
  <c r="I1728" i="41" s="1"/>
  <c r="N1728" i="41" s="1"/>
  <c r="I1834" i="41" s="1"/>
  <c r="N1834" i="41" s="1"/>
  <c r="I1940" i="41" s="1"/>
  <c r="N1940" i="41" s="1"/>
  <c r="I2046" i="41" s="1"/>
  <c r="N2046" i="41" s="1"/>
  <c r="I2152" i="41" s="1"/>
  <c r="N2152" i="41" s="1"/>
  <c r="I2258" i="41" s="1"/>
  <c r="N2258" i="41" s="1"/>
  <c r="I2364" i="41" s="1"/>
  <c r="N2364" i="41" s="1"/>
  <c r="J654" i="41"/>
  <c r="K548" i="41"/>
  <c r="K346" i="41"/>
  <c r="J452" i="41"/>
  <c r="K673" i="41"/>
  <c r="K461" i="41"/>
  <c r="K567" i="41"/>
  <c r="K521" i="41"/>
  <c r="L173" i="57"/>
  <c r="L175" i="57" s="1"/>
  <c r="G135" i="57"/>
  <c r="E145" i="57"/>
  <c r="L64" i="27"/>
  <c r="D231" i="57"/>
  <c r="G231" i="57" s="1"/>
  <c r="K125" i="57"/>
  <c r="N125" i="57" s="1"/>
  <c r="L2265" i="57"/>
  <c r="R70" i="127"/>
  <c r="R184" i="127"/>
  <c r="R292" i="127"/>
  <c r="L176" i="74"/>
  <c r="L211" i="74"/>
  <c r="M211" i="74" s="1"/>
  <c r="L177" i="74"/>
  <c r="M177" i="74" s="1"/>
  <c r="L187" i="74"/>
  <c r="M187" i="74" s="1"/>
  <c r="L191" i="74"/>
  <c r="L162" i="74"/>
  <c r="L195" i="74"/>
  <c r="L216" i="74"/>
  <c r="L184" i="74"/>
  <c r="R259" i="127"/>
  <c r="R263" i="127"/>
  <c r="R267" i="127"/>
  <c r="R260" i="127"/>
  <c r="R264" i="127"/>
  <c r="R268" i="127"/>
  <c r="R257" i="127"/>
  <c r="R261" i="127"/>
  <c r="R265" i="127"/>
  <c r="R269" i="127"/>
  <c r="R258" i="127"/>
  <c r="R262" i="127"/>
  <c r="R266" i="127"/>
  <c r="R256" i="127"/>
  <c r="R297" i="127"/>
  <c r="R301" i="127"/>
  <c r="R25" i="127" s="1"/>
  <c r="R305" i="127"/>
  <c r="R34" i="127" s="1"/>
  <c r="R309" i="127"/>
  <c r="R38" i="127" s="1"/>
  <c r="R313" i="127"/>
  <c r="R50" i="127" s="1"/>
  <c r="R317" i="127"/>
  <c r="R57" i="127" s="1"/>
  <c r="R321" i="127"/>
  <c r="R63" i="127" s="1"/>
  <c r="R325" i="127"/>
  <c r="R68" i="127" s="1"/>
  <c r="R298" i="127"/>
  <c r="R22" i="127" s="1"/>
  <c r="R302" i="127"/>
  <c r="R26" i="127" s="1"/>
  <c r="R306" i="127"/>
  <c r="R35" i="127" s="1"/>
  <c r="R310" i="127"/>
  <c r="R43" i="127" s="1"/>
  <c r="R314" i="127"/>
  <c r="R51" i="127" s="1"/>
  <c r="R318" i="127"/>
  <c r="R60" i="127" s="1"/>
  <c r="R322" i="127"/>
  <c r="R64" i="127" s="1"/>
  <c r="R295" i="127"/>
  <c r="R17" i="127" s="1"/>
  <c r="R299" i="127"/>
  <c r="R23" i="127" s="1"/>
  <c r="R303" i="127"/>
  <c r="R27" i="127" s="1"/>
  <c r="R307" i="127"/>
  <c r="R36" i="127" s="1"/>
  <c r="R311" i="127"/>
  <c r="R48" i="127" s="1"/>
  <c r="R315" i="127"/>
  <c r="R55" i="127" s="1"/>
  <c r="R319" i="127"/>
  <c r="R323" i="127"/>
  <c r="R65" i="127" s="1"/>
  <c r="R296" i="127"/>
  <c r="R300" i="127"/>
  <c r="R24" i="127" s="1"/>
  <c r="R304" i="127"/>
  <c r="R33" i="127" s="1"/>
  <c r="R308" i="127"/>
  <c r="R37" i="127" s="1"/>
  <c r="R312" i="127"/>
  <c r="R49" i="127" s="1"/>
  <c r="R316" i="127"/>
  <c r="R56" i="127" s="1"/>
  <c r="R320" i="127"/>
  <c r="R324" i="127"/>
  <c r="R67" i="127" s="1"/>
  <c r="D49" i="70"/>
  <c r="F49" i="70" s="1"/>
  <c r="F51" i="70" s="1"/>
  <c r="I23" i="108" s="1"/>
  <c r="D32" i="74"/>
  <c r="G32" i="74"/>
  <c r="S75" i="75" s="1"/>
  <c r="S93" i="75"/>
  <c r="G38" i="74"/>
  <c r="S100" i="75" s="1"/>
  <c r="S101" i="75" s="1"/>
  <c r="O37" i="74"/>
  <c r="L169" i="74"/>
  <c r="L173" i="74"/>
  <c r="L166" i="74"/>
  <c r="L168" i="74"/>
  <c r="M168" i="74" s="1"/>
  <c r="L172" i="74"/>
  <c r="M172" i="74" s="1"/>
  <c r="L182" i="74"/>
  <c r="M182" i="74" s="1"/>
  <c r="L163" i="74"/>
  <c r="L171" i="74"/>
  <c r="L179" i="74"/>
  <c r="O15" i="74"/>
  <c r="L156" i="74"/>
  <c r="L214" i="74"/>
  <c r="M214" i="74" s="1"/>
  <c r="L188" i="74"/>
  <c r="M188" i="74" s="1"/>
  <c r="L175" i="74"/>
  <c r="O58" i="79"/>
  <c r="E70" i="145" s="1"/>
  <c r="S17" i="75"/>
  <c r="D23" i="74"/>
  <c r="S46" i="75" s="1"/>
  <c r="S48" i="75" s="1"/>
  <c r="D26" i="70"/>
  <c r="F26" i="70" s="1"/>
  <c r="D111" i="70"/>
  <c r="G27" i="90" s="1"/>
  <c r="K27" i="90" s="1"/>
  <c r="O14" i="74"/>
  <c r="L196" i="74"/>
  <c r="M196" i="74" s="1"/>
  <c r="L159" i="74"/>
  <c r="M159" i="74" s="1"/>
  <c r="L192" i="74"/>
  <c r="F25" i="74"/>
  <c r="O25" i="74" s="1"/>
  <c r="S57" i="75" s="1"/>
  <c r="D27" i="70"/>
  <c r="F27" i="70" s="1"/>
  <c r="S14" i="75"/>
  <c r="S53" i="75"/>
  <c r="S29" i="75"/>
  <c r="I35" i="79"/>
  <c r="J35" i="79"/>
  <c r="L35" i="79"/>
  <c r="M35" i="79"/>
  <c r="N35" i="79"/>
  <c r="K35" i="79"/>
  <c r="M45" i="79"/>
  <c r="N85" i="72" s="1"/>
  <c r="J45" i="79"/>
  <c r="K85" i="72" s="1"/>
  <c r="N45" i="79"/>
  <c r="O85" i="72" s="1"/>
  <c r="K45" i="79"/>
  <c r="L85" i="72" s="1"/>
  <c r="L45" i="79"/>
  <c r="M85" i="72" s="1"/>
  <c r="I45" i="79"/>
  <c r="J85" i="72" s="1"/>
  <c r="O49" i="79"/>
  <c r="D63" i="74"/>
  <c r="D161" i="74" s="1"/>
  <c r="D102" i="70"/>
  <c r="F102" i="70" s="1"/>
  <c r="O23" i="74"/>
  <c r="D68" i="70"/>
  <c r="F68" i="70" s="1"/>
  <c r="D71" i="74"/>
  <c r="D169" i="74" s="1"/>
  <c r="D72" i="74"/>
  <c r="D170" i="74" s="1"/>
  <c r="D101" i="70"/>
  <c r="G20" i="90" s="1"/>
  <c r="K20" i="90" s="1"/>
  <c r="O34" i="74"/>
  <c r="E18" i="74"/>
  <c r="E29" i="74" s="1"/>
  <c r="E42" i="74" s="1"/>
  <c r="D58" i="70"/>
  <c r="F58" i="70" s="1"/>
  <c r="D69" i="74"/>
  <c r="D167" i="74" s="1"/>
  <c r="D116" i="70"/>
  <c r="F116" i="70" s="1"/>
  <c r="D96" i="74"/>
  <c r="D194" i="74" s="1"/>
  <c r="D116" i="74"/>
  <c r="D214" i="74" s="1"/>
  <c r="D121" i="70"/>
  <c r="F121" i="70" s="1"/>
  <c r="D93" i="70"/>
  <c r="F93" i="70" s="1"/>
  <c r="D55" i="70"/>
  <c r="F55" i="70" s="1"/>
  <c r="D95" i="74"/>
  <c r="D193" i="74" s="1"/>
  <c r="D110" i="70"/>
  <c r="G26" i="90" s="1"/>
  <c r="K26" i="90" s="1"/>
  <c r="D91" i="70"/>
  <c r="F91" i="70" s="1"/>
  <c r="D92" i="70"/>
  <c r="F92" i="70" s="1"/>
  <c r="D90" i="70"/>
  <c r="F90" i="70" s="1"/>
  <c r="D74" i="74"/>
  <c r="D172" i="74" s="1"/>
  <c r="D66" i="74"/>
  <c r="D164" i="74" s="1"/>
  <c r="O118" i="74"/>
  <c r="L189" i="74"/>
  <c r="M189" i="74" s="1"/>
  <c r="L193" i="74"/>
  <c r="S97" i="76"/>
  <c r="S74" i="76"/>
  <c r="O75" i="74"/>
  <c r="S91" i="76"/>
  <c r="L160" i="74"/>
  <c r="M160" i="74" s="1"/>
  <c r="L164" i="74"/>
  <c r="M140" i="74"/>
  <c r="O132" i="74"/>
  <c r="M230" i="74" s="1"/>
  <c r="O230" i="74" s="1"/>
  <c r="L190" i="74"/>
  <c r="M190" i="74" s="1"/>
  <c r="L165" i="74"/>
  <c r="L183" i="74"/>
  <c r="M183" i="74" s="1"/>
  <c r="L174" i="74"/>
  <c r="H93" i="136"/>
  <c r="L180" i="74"/>
  <c r="L186" i="74"/>
  <c r="M186" i="74" s="1"/>
  <c r="K140" i="74"/>
  <c r="O130" i="74"/>
  <c r="M228" i="74" s="1"/>
  <c r="O228" i="74" s="1"/>
  <c r="L210" i="74"/>
  <c r="M210" i="74" s="1"/>
  <c r="D64" i="74"/>
  <c r="D162" i="74" s="1"/>
  <c r="D76" i="74"/>
  <c r="D174" i="74" s="1"/>
  <c r="D89" i="74"/>
  <c r="D187" i="74" s="1"/>
  <c r="S80" i="75"/>
  <c r="O33" i="74"/>
  <c r="S37" i="75"/>
  <c r="O21" i="74"/>
  <c r="S83" i="75"/>
  <c r="J19" i="109"/>
  <c r="J53" i="109" s="1"/>
  <c r="S19" i="75"/>
  <c r="D82" i="136"/>
  <c r="H82" i="136" s="1"/>
  <c r="O35" i="74"/>
  <c r="S90" i="75"/>
  <c r="J19" i="108"/>
  <c r="J17" i="109"/>
  <c r="J51" i="109" s="1"/>
  <c r="S42" i="75"/>
  <c r="O22" i="74"/>
  <c r="F28" i="71"/>
  <c r="S22" i="75"/>
  <c r="J27" i="108"/>
  <c r="F16" i="71"/>
  <c r="D20" i="71"/>
  <c r="D28" i="71"/>
  <c r="D113" i="74"/>
  <c r="D211" i="74" s="1"/>
  <c r="D123" i="70"/>
  <c r="F123" i="70" s="1"/>
  <c r="G22" i="90"/>
  <c r="K22" i="90" s="1"/>
  <c r="F103" i="70"/>
  <c r="D78" i="74"/>
  <c r="D176" i="74" s="1"/>
  <c r="D71" i="70"/>
  <c r="F71" i="70" s="1"/>
  <c r="D60" i="70"/>
  <c r="F60" i="70" s="1"/>
  <c r="D70" i="74"/>
  <c r="D168" i="74" s="1"/>
  <c r="E16" i="21"/>
  <c r="I16" i="21" s="1"/>
  <c r="F109" i="71"/>
  <c r="M25" i="90"/>
  <c r="Q25" i="90" s="1"/>
  <c r="H28" i="127"/>
  <c r="L28" i="127"/>
  <c r="P28" i="127"/>
  <c r="J28" i="127"/>
  <c r="N28" i="127"/>
  <c r="N238" i="74"/>
  <c r="H63" i="127"/>
  <c r="L63" i="127"/>
  <c r="P63" i="127"/>
  <c r="J63" i="127"/>
  <c r="N63" i="127"/>
  <c r="J56" i="127"/>
  <c r="J51" i="127"/>
  <c r="J45" i="127"/>
  <c r="N45" i="127"/>
  <c r="H51" i="127"/>
  <c r="P51" i="127"/>
  <c r="L51" i="127"/>
  <c r="L56" i="127"/>
  <c r="N56" i="127"/>
  <c r="H56" i="127"/>
  <c r="P56" i="127"/>
  <c r="H17" i="127"/>
  <c r="P17" i="127"/>
  <c r="L17" i="127"/>
  <c r="H45" i="127"/>
  <c r="P45" i="127"/>
  <c r="L45" i="127"/>
  <c r="J17" i="127"/>
  <c r="O231" i="74"/>
  <c r="R143" i="127"/>
  <c r="L37" i="127"/>
  <c r="N26" i="127"/>
  <c r="L49" i="127"/>
  <c r="N25" i="127"/>
  <c r="J60" i="127"/>
  <c r="P9" i="127"/>
  <c r="J9" i="127"/>
  <c r="H9" i="127"/>
  <c r="N9" i="127"/>
  <c r="L9" i="127"/>
  <c r="H31" i="136"/>
  <c r="H21" i="127"/>
  <c r="K43" i="102"/>
  <c r="K601" i="41"/>
  <c r="E31" i="101"/>
  <c r="G29" i="101"/>
  <c r="L35" i="102"/>
  <c r="L40" i="102"/>
  <c r="G31" i="109"/>
  <c r="L161" i="74"/>
  <c r="M161" i="74" s="1"/>
  <c r="M16" i="118"/>
  <c r="G47" i="109"/>
  <c r="L41" i="102"/>
  <c r="J41" i="102"/>
  <c r="D115" i="74"/>
  <c r="D213" i="74" s="1"/>
  <c r="D125" i="70"/>
  <c r="F125" i="70" s="1"/>
  <c r="D21" i="34"/>
  <c r="F21" i="34" s="1"/>
  <c r="I23" i="22" s="1"/>
  <c r="L23" i="22" s="1"/>
  <c r="D21" i="54"/>
  <c r="G21" i="54" s="1"/>
  <c r="I23" i="50" s="1"/>
  <c r="L23" i="50" s="1"/>
  <c r="L95" i="55"/>
  <c r="K494" i="41"/>
  <c r="K918" i="41"/>
  <c r="K919" i="41" s="1"/>
  <c r="P95" i="55"/>
  <c r="I231" i="41"/>
  <c r="N231" i="41" s="1"/>
  <c r="I337" i="41" s="1"/>
  <c r="N337" i="41" s="1"/>
  <c r="I443" i="41" s="1"/>
  <c r="N443" i="41" s="1"/>
  <c r="I549" i="41" s="1"/>
  <c r="N549" i="41" s="1"/>
  <c r="I655" i="41" s="1"/>
  <c r="N655" i="41" s="1"/>
  <c r="I761" i="41" s="1"/>
  <c r="K235" i="41"/>
  <c r="D341" i="41"/>
  <c r="G341" i="41" s="1"/>
  <c r="K560" i="41"/>
  <c r="D666" i="41"/>
  <c r="G666" i="41" s="1"/>
  <c r="D414" i="41"/>
  <c r="G414" i="41" s="1"/>
  <c r="K308" i="41"/>
  <c r="J624" i="41"/>
  <c r="K518" i="41"/>
  <c r="N150" i="120"/>
  <c r="N76" i="120"/>
  <c r="I25" i="138"/>
  <c r="L17" i="138"/>
  <c r="L25" i="138" s="1"/>
  <c r="O29" i="102"/>
  <c r="O174" i="104"/>
  <c r="E19" i="101" s="1"/>
  <c r="E79" i="123"/>
  <c r="D79" i="74"/>
  <c r="D177" i="74" s="1"/>
  <c r="D72" i="70"/>
  <c r="F72" i="70" s="1"/>
  <c r="L167" i="74"/>
  <c r="H42" i="74"/>
  <c r="D86" i="74"/>
  <c r="D184" i="74" s="1"/>
  <c r="D100" i="70"/>
  <c r="K1024" i="41"/>
  <c r="K1025" i="41" s="1"/>
  <c r="Q95" i="55"/>
  <c r="I225" i="41"/>
  <c r="L131" i="74"/>
  <c r="I252" i="41"/>
  <c r="D70" i="70"/>
  <c r="F70" i="70" s="1"/>
  <c r="D77" i="74"/>
  <c r="D175" i="74" s="1"/>
  <c r="I233" i="41"/>
  <c r="N233" i="41" s="1"/>
  <c r="I339" i="41" s="1"/>
  <c r="I235" i="41"/>
  <c r="K225" i="41"/>
  <c r="D331" i="41"/>
  <c r="G331" i="41" s="1"/>
  <c r="H31" i="102"/>
  <c r="L47" i="102"/>
  <c r="O58" i="74"/>
  <c r="L120" i="74"/>
  <c r="S84" i="76" s="1"/>
  <c r="C15" i="49"/>
  <c r="I17" i="49"/>
  <c r="M190" i="55"/>
  <c r="K1766" i="41"/>
  <c r="K1767" i="41" s="1"/>
  <c r="R190" i="55"/>
  <c r="K2296" i="41"/>
  <c r="K2297" i="41" s="1"/>
  <c r="N190" i="55"/>
  <c r="K1872" i="41"/>
  <c r="K1873" i="41" s="1"/>
  <c r="E29" i="64"/>
  <c r="F268" i="74"/>
  <c r="O264" i="74"/>
  <c r="S22" i="77"/>
  <c r="D80" i="74"/>
  <c r="D178" i="74" s="1"/>
  <c r="D73" i="70"/>
  <c r="F73" i="70" s="1"/>
  <c r="F18" i="70"/>
  <c r="D20" i="70"/>
  <c r="E21" i="68"/>
  <c r="G25" i="69"/>
  <c r="D94" i="70"/>
  <c r="D85" i="74"/>
  <c r="D183" i="74" s="1"/>
  <c r="H73" i="7"/>
  <c r="L194" i="74"/>
  <c r="M194" i="74" s="1"/>
  <c r="K112" i="123"/>
  <c r="K106" i="123"/>
  <c r="S21" i="77"/>
  <c r="D268" i="74"/>
  <c r="G228" i="41"/>
  <c r="D510" i="41"/>
  <c r="G510" i="41" s="1"/>
  <c r="K404" i="41"/>
  <c r="D770" i="41"/>
  <c r="G770" i="41" s="1"/>
  <c r="K399" i="41"/>
  <c r="D505" i="41"/>
  <c r="G505" i="41" s="1"/>
  <c r="D778" i="41"/>
  <c r="G778" i="41" s="1"/>
  <c r="K672" i="41"/>
  <c r="D282" i="41"/>
  <c r="G177" i="41"/>
  <c r="D972" i="41"/>
  <c r="G972" i="41" s="1"/>
  <c r="I702" i="41"/>
  <c r="K779" i="41"/>
  <c r="D885" i="41"/>
  <c r="G885" i="41" s="1"/>
  <c r="G597" i="41"/>
  <c r="O190" i="55"/>
  <c r="K1978" i="41"/>
  <c r="K1979" i="41" s="1"/>
  <c r="D338" i="41"/>
  <c r="G338" i="41" s="1"/>
  <c r="K232" i="41"/>
  <c r="L157" i="74"/>
  <c r="H235" i="74"/>
  <c r="H218" i="74"/>
  <c r="S139" i="76" s="1"/>
  <c r="D73" i="74"/>
  <c r="D171" i="74" s="1"/>
  <c r="D66" i="70"/>
  <c r="M128" i="57"/>
  <c r="D358" i="41"/>
  <c r="G358" i="41" s="1"/>
  <c r="K252" i="41"/>
  <c r="K627" i="41"/>
  <c r="D733" i="41"/>
  <c r="G733" i="41" s="1"/>
  <c r="K150" i="120"/>
  <c r="K76" i="120"/>
  <c r="L178" i="74"/>
  <c r="H210" i="58"/>
  <c r="M210" i="58"/>
  <c r="J210" i="58"/>
  <c r="P210" i="58"/>
  <c r="I210" i="58"/>
  <c r="O210" i="58"/>
  <c r="G210" i="58"/>
  <c r="N210" i="58"/>
  <c r="Q210" i="58"/>
  <c r="K210" i="58"/>
  <c r="L210" i="58"/>
  <c r="R210" i="58"/>
  <c r="L78" i="57"/>
  <c r="D180" i="41"/>
  <c r="G75" i="41"/>
  <c r="N75" i="41"/>
  <c r="I180" i="41"/>
  <c r="E31" i="102"/>
  <c r="E33" i="102"/>
  <c r="F29" i="102"/>
  <c r="I218" i="74"/>
  <c r="S147" i="76" s="1"/>
  <c r="I236" i="74"/>
  <c r="L57" i="127"/>
  <c r="P57" i="127"/>
  <c r="H57" i="127"/>
  <c r="N57" i="127"/>
  <c r="J57" i="127"/>
  <c r="S25" i="75"/>
  <c r="D18" i="74"/>
  <c r="L77" i="57"/>
  <c r="F128" i="57"/>
  <c r="G77" i="57"/>
  <c r="I232" i="41"/>
  <c r="R150" i="120"/>
  <c r="R76" i="120"/>
  <c r="O49" i="102"/>
  <c r="N47" i="102"/>
  <c r="M82" i="123"/>
  <c r="M108" i="123" s="1"/>
  <c r="M19" i="123" s="1"/>
  <c r="K19" i="123" s="1"/>
  <c r="K77" i="123"/>
  <c r="K82" i="123" s="1"/>
  <c r="M22" i="102"/>
  <c r="G28" i="101"/>
  <c r="I31" i="101"/>
  <c r="L170" i="74"/>
  <c r="M170" i="74" s="1"/>
  <c r="E87" i="123"/>
  <c r="L158" i="74"/>
  <c r="M158" i="74" s="1"/>
  <c r="E232" i="74"/>
  <c r="E218" i="74"/>
  <c r="S119" i="76" s="1"/>
  <c r="S117" i="76" s="1"/>
  <c r="D67" i="74"/>
  <c r="D165" i="74" s="1"/>
  <c r="D57" i="70"/>
  <c r="D43" i="49"/>
  <c r="I41" i="49"/>
  <c r="D109" i="70"/>
  <c r="D90" i="74"/>
  <c r="D188" i="74" s="1"/>
  <c r="G81" i="57"/>
  <c r="E128" i="57"/>
  <c r="F25" i="70"/>
  <c r="D58" i="74"/>
  <c r="D34" i="70"/>
  <c r="J20" i="53"/>
  <c r="I228" i="41"/>
  <c r="K191" i="41"/>
  <c r="D297" i="41"/>
  <c r="G297" i="41" s="1"/>
  <c r="G118" i="57"/>
  <c r="P46" i="102"/>
  <c r="P47" i="102"/>
  <c r="Q49" i="102"/>
  <c r="L212" i="74"/>
  <c r="M212" i="74" s="1"/>
  <c r="G234" i="74"/>
  <c r="G218" i="74"/>
  <c r="S131" i="76" s="1"/>
  <c r="L213" i="74"/>
  <c r="P64" i="127"/>
  <c r="N64" i="127"/>
  <c r="J64" i="127"/>
  <c r="L64" i="127"/>
  <c r="H64" i="127"/>
  <c r="J55" i="127"/>
  <c r="L55" i="127"/>
  <c r="P55" i="127"/>
  <c r="H55" i="127"/>
  <c r="N55" i="127"/>
  <c r="D120" i="70"/>
  <c r="F120" i="70" s="1"/>
  <c r="D97" i="74"/>
  <c r="D195" i="74" s="1"/>
  <c r="J52" i="109"/>
  <c r="E69" i="57"/>
  <c r="G65" i="57"/>
  <c r="S41" i="75"/>
  <c r="K2190" i="41"/>
  <c r="K2191" i="41" s="1"/>
  <c r="Q190" i="55"/>
  <c r="I191" i="41"/>
  <c r="I175" i="41"/>
  <c r="N71" i="41"/>
  <c r="K568" i="41"/>
  <c r="D674" i="41"/>
  <c r="G674" i="41" s="1"/>
  <c r="D867" i="41"/>
  <c r="G867" i="41" s="1"/>
  <c r="K761" i="41"/>
  <c r="K665" i="41"/>
  <c r="D771" i="41"/>
  <c r="G771" i="41" s="1"/>
  <c r="D942" i="41"/>
  <c r="G942" i="41" s="1"/>
  <c r="G702" i="41"/>
  <c r="L31" i="102"/>
  <c r="M37" i="102"/>
  <c r="E256" i="57" l="1"/>
  <c r="L256" i="57"/>
  <c r="F256" i="57"/>
  <c r="N229" i="41"/>
  <c r="I335" i="41" s="1"/>
  <c r="D335" i="41"/>
  <c r="G335" i="41" s="1"/>
  <c r="K335" i="41" s="1"/>
  <c r="K108" i="123"/>
  <c r="L13" i="42"/>
  <c r="L35" i="42"/>
  <c r="I191" i="57"/>
  <c r="N191" i="57" s="1"/>
  <c r="I297" i="57" s="1"/>
  <c r="N297" i="57" s="1"/>
  <c r="O188" i="74"/>
  <c r="O212" i="74"/>
  <c r="O158" i="74"/>
  <c r="O159" i="74"/>
  <c r="O210" i="74"/>
  <c r="R61" i="127"/>
  <c r="R20" i="127"/>
  <c r="R163" i="127"/>
  <c r="T52" i="127"/>
  <c r="V52" i="127" s="1"/>
  <c r="G45" i="123"/>
  <c r="G46" i="123" s="1"/>
  <c r="M892" i="57"/>
  <c r="L25" i="57" s="1"/>
  <c r="G21" i="68"/>
  <c r="G31" i="101"/>
  <c r="N137" i="41"/>
  <c r="A89" i="27"/>
  <c r="A91" i="27" s="1"/>
  <c r="E362" i="57"/>
  <c r="E20" i="57" s="1"/>
  <c r="M104" i="58"/>
  <c r="M106" i="58" s="1"/>
  <c r="Q104" i="58"/>
  <c r="K1022" i="57" s="1"/>
  <c r="K1023" i="57" s="1"/>
  <c r="I104" i="58"/>
  <c r="I106" i="58" s="1"/>
  <c r="O104" i="58"/>
  <c r="O106" i="58" s="1"/>
  <c r="P104" i="58"/>
  <c r="P106" i="58" s="1"/>
  <c r="N104" i="58"/>
  <c r="K704" i="57" s="1"/>
  <c r="K705" i="57" s="1"/>
  <c r="D1208" i="57"/>
  <c r="F87" i="44"/>
  <c r="F88" i="44" s="1"/>
  <c r="J104" i="58"/>
  <c r="H104" i="58"/>
  <c r="K104" i="58"/>
  <c r="M216" i="58"/>
  <c r="M218" i="58" s="1"/>
  <c r="L104" i="58"/>
  <c r="L106" i="58" s="1"/>
  <c r="I1208" i="57"/>
  <c r="N1208" i="57" s="1"/>
  <c r="F87" i="43"/>
  <c r="F88" i="43" s="1"/>
  <c r="M1104" i="57"/>
  <c r="L27" i="57" s="1"/>
  <c r="E2376" i="57"/>
  <c r="E39" i="57" s="1"/>
  <c r="M2376" i="57"/>
  <c r="L39" i="57" s="1"/>
  <c r="L2270" i="57"/>
  <c r="K38" i="57" s="1"/>
  <c r="E998" i="57"/>
  <c r="E26" i="57" s="1"/>
  <c r="F2376" i="57"/>
  <c r="F39" i="57" s="1"/>
  <c r="L2376" i="57"/>
  <c r="K39" i="57" s="1"/>
  <c r="M2270" i="57"/>
  <c r="L38" i="57" s="1"/>
  <c r="E2270" i="57"/>
  <c r="E38" i="57" s="1"/>
  <c r="M2058" i="57"/>
  <c r="L36" i="57" s="1"/>
  <c r="M1634" i="57"/>
  <c r="L32" i="57" s="1"/>
  <c r="M1422" i="57"/>
  <c r="L30" i="57" s="1"/>
  <c r="E1104" i="57"/>
  <c r="E27" i="57" s="1"/>
  <c r="H95" i="7"/>
  <c r="L37" i="27"/>
  <c r="L79" i="27"/>
  <c r="F786" i="57"/>
  <c r="F24" i="57" s="1"/>
  <c r="L680" i="57"/>
  <c r="K23" i="57" s="1"/>
  <c r="I20" i="49"/>
  <c r="D22" i="49"/>
  <c r="K86" i="27"/>
  <c r="K91" i="27" s="1"/>
  <c r="F2270" i="57"/>
  <c r="F38" i="57" s="1"/>
  <c r="M1952" i="57"/>
  <c r="L35" i="57" s="1"/>
  <c r="L2164" i="57"/>
  <c r="K37" i="57" s="1"/>
  <c r="E2164" i="57"/>
  <c r="E37" i="57" s="1"/>
  <c r="L2058" i="57"/>
  <c r="K36" i="57" s="1"/>
  <c r="F2164" i="57"/>
  <c r="F37" i="57" s="1"/>
  <c r="M2164" i="57"/>
  <c r="L37" i="57" s="1"/>
  <c r="M1210" i="57"/>
  <c r="L28" i="57" s="1"/>
  <c r="L1846" i="57"/>
  <c r="K34" i="57" s="1"/>
  <c r="F2058" i="57"/>
  <c r="F36" i="57" s="1"/>
  <c r="M1740" i="57"/>
  <c r="L33" i="57" s="1"/>
  <c r="E2058" i="57"/>
  <c r="E36" i="57" s="1"/>
  <c r="L1952" i="57"/>
  <c r="K35" i="57" s="1"/>
  <c r="E1952" i="57"/>
  <c r="E35" i="57" s="1"/>
  <c r="F1952" i="57"/>
  <c r="F35" i="57" s="1"/>
  <c r="E1210" i="57"/>
  <c r="E28" i="57" s="1"/>
  <c r="F1740" i="57"/>
  <c r="F33" i="57" s="1"/>
  <c r="E1740" i="57"/>
  <c r="E33" i="57" s="1"/>
  <c r="M1846" i="57"/>
  <c r="L34" i="57" s="1"/>
  <c r="E1846" i="57"/>
  <c r="E34" i="57" s="1"/>
  <c r="F1846" i="57"/>
  <c r="F34" i="57" s="1"/>
  <c r="L1634" i="57"/>
  <c r="K32" i="57" s="1"/>
  <c r="L1740" i="57"/>
  <c r="K33" i="57" s="1"/>
  <c r="E1634" i="57"/>
  <c r="E32" i="57" s="1"/>
  <c r="E468" i="57"/>
  <c r="E21" i="57" s="1"/>
  <c r="F1634" i="57"/>
  <c r="F32" i="57" s="1"/>
  <c r="M1528" i="57"/>
  <c r="L31" i="57" s="1"/>
  <c r="E1528" i="57"/>
  <c r="E31" i="57" s="1"/>
  <c r="F1528" i="57"/>
  <c r="F31" i="57" s="1"/>
  <c r="F680" i="57"/>
  <c r="F23" i="57" s="1"/>
  <c r="L1528" i="57"/>
  <c r="K31" i="57" s="1"/>
  <c r="E1422" i="57"/>
  <c r="E30" i="57" s="1"/>
  <c r="L1316" i="57"/>
  <c r="K29" i="57" s="1"/>
  <c r="F1422" i="57"/>
  <c r="F30" i="57" s="1"/>
  <c r="L1422" i="57"/>
  <c r="K30" i="57" s="1"/>
  <c r="M1316" i="57"/>
  <c r="L29" i="57" s="1"/>
  <c r="F1316" i="57"/>
  <c r="F29" i="57" s="1"/>
  <c r="E1316" i="57"/>
  <c r="E29" i="57" s="1"/>
  <c r="F1210" i="57"/>
  <c r="F28" i="57" s="1"/>
  <c r="F1104" i="57"/>
  <c r="F27" i="57" s="1"/>
  <c r="L1104" i="57"/>
  <c r="K27" i="57" s="1"/>
  <c r="L998" i="57"/>
  <c r="K26" i="57" s="1"/>
  <c r="F998" i="57"/>
  <c r="F26" i="57" s="1"/>
  <c r="M998" i="57"/>
  <c r="L26" i="57" s="1"/>
  <c r="E786" i="57"/>
  <c r="E24" i="57" s="1"/>
  <c r="F892" i="57"/>
  <c r="F25" i="57" s="1"/>
  <c r="L892" i="57"/>
  <c r="K25" i="57" s="1"/>
  <c r="E892" i="57"/>
  <c r="E25" i="57" s="1"/>
  <c r="L786" i="57"/>
  <c r="K24" i="57" s="1"/>
  <c r="M786" i="57"/>
  <c r="L24" i="57" s="1"/>
  <c r="M574" i="57"/>
  <c r="L22" i="57" s="1"/>
  <c r="M680" i="57"/>
  <c r="L23" i="57" s="1"/>
  <c r="E680" i="57"/>
  <c r="E23" i="57" s="1"/>
  <c r="E574" i="57"/>
  <c r="E22" i="57" s="1"/>
  <c r="L574" i="57"/>
  <c r="K22" i="57" s="1"/>
  <c r="F574" i="57"/>
  <c r="F22" i="57" s="1"/>
  <c r="M362" i="57"/>
  <c r="L20" i="57" s="1"/>
  <c r="M468" i="57"/>
  <c r="L21" i="57" s="1"/>
  <c r="F468" i="57"/>
  <c r="F21" i="57" s="1"/>
  <c r="L468" i="57"/>
  <c r="K21" i="57" s="1"/>
  <c r="F362" i="57"/>
  <c r="F20" i="57" s="1"/>
  <c r="L362" i="57"/>
  <c r="K20" i="57" s="1"/>
  <c r="F150" i="57"/>
  <c r="F18" i="57" s="1"/>
  <c r="E150" i="57"/>
  <c r="E18" i="57" s="1"/>
  <c r="M150" i="57"/>
  <c r="L18" i="57" s="1"/>
  <c r="D128" i="57"/>
  <c r="D150" i="57" s="1"/>
  <c r="G17" i="57" s="1"/>
  <c r="D18" i="57" s="1"/>
  <c r="M35" i="42"/>
  <c r="L1129" i="57"/>
  <c r="L1210" i="57" s="1"/>
  <c r="K28" i="57" s="1"/>
  <c r="E22" i="130"/>
  <c r="M8" i="59"/>
  <c r="M10" i="59" s="1"/>
  <c r="M12" i="59" s="1"/>
  <c r="M14" i="59" s="1"/>
  <c r="F90" i="130"/>
  <c r="E73" i="130"/>
  <c r="L31" i="27"/>
  <c r="I242" i="57"/>
  <c r="N242" i="57" s="1"/>
  <c r="I348" i="57" s="1"/>
  <c r="N348" i="57" s="1"/>
  <c r="L75" i="42"/>
  <c r="I173" i="57"/>
  <c r="N173" i="57" s="1"/>
  <c r="F73" i="130"/>
  <c r="E90" i="130"/>
  <c r="L17" i="27"/>
  <c r="F22" i="130"/>
  <c r="L145" i="57"/>
  <c r="I276" i="57"/>
  <c r="N276" i="57" s="1"/>
  <c r="M13" i="42"/>
  <c r="I182" i="57"/>
  <c r="N182" i="57" s="1"/>
  <c r="L25" i="42"/>
  <c r="L35" i="27"/>
  <c r="I172" i="57"/>
  <c r="N172" i="57" s="1"/>
  <c r="L15" i="42"/>
  <c r="I202" i="57"/>
  <c r="N202" i="57" s="1"/>
  <c r="L40" i="42"/>
  <c r="L38" i="27"/>
  <c r="K402" i="41"/>
  <c r="K296" i="41"/>
  <c r="I178" i="57"/>
  <c r="N178" i="57" s="1"/>
  <c r="M21" i="42" s="1"/>
  <c r="M22" i="42" s="1"/>
  <c r="L21" i="42"/>
  <c r="L22" i="42" s="1"/>
  <c r="D614" i="41"/>
  <c r="G614" i="41" s="1"/>
  <c r="K614" i="41" s="1"/>
  <c r="L60" i="27"/>
  <c r="L65" i="27"/>
  <c r="I245" i="57"/>
  <c r="N245" i="57" s="1"/>
  <c r="L36" i="27"/>
  <c r="K190" i="41"/>
  <c r="N190" i="41" s="1"/>
  <c r="I296" i="41" s="1"/>
  <c r="J8" i="59"/>
  <c r="J10" i="59" s="1"/>
  <c r="J12" i="59" s="1"/>
  <c r="J14" i="59" s="1"/>
  <c r="L18" i="27"/>
  <c r="N306" i="41"/>
  <c r="I412" i="41" s="1"/>
  <c r="N412" i="41" s="1"/>
  <c r="I518" i="41" s="1"/>
  <c r="N518" i="41" s="1"/>
  <c r="I624" i="41" s="1"/>
  <c r="L71" i="42"/>
  <c r="L71" i="27"/>
  <c r="L70" i="27"/>
  <c r="I192" i="41"/>
  <c r="N192" i="41" s="1"/>
  <c r="I298" i="41" s="1"/>
  <c r="N298" i="41" s="1"/>
  <c r="I404" i="41" s="1"/>
  <c r="N404" i="41" s="1"/>
  <c r="I510" i="41" s="1"/>
  <c r="L14" i="27"/>
  <c r="L76" i="27"/>
  <c r="D130" i="41"/>
  <c r="N249" i="41"/>
  <c r="I355" i="41" s="1"/>
  <c r="N355" i="41" s="1"/>
  <c r="I461" i="41" s="1"/>
  <c r="N461" i="41" s="1"/>
  <c r="I567" i="41" s="1"/>
  <c r="N567" i="41" s="1"/>
  <c r="I673" i="41" s="1"/>
  <c r="N673" i="41" s="1"/>
  <c r="I779" i="41" s="1"/>
  <c r="N779" i="41" s="1"/>
  <c r="I885" i="41" s="1"/>
  <c r="M70" i="27"/>
  <c r="K144" i="57"/>
  <c r="N144" i="57" s="1"/>
  <c r="L83" i="42" s="1"/>
  <c r="L83" i="27"/>
  <c r="L28" i="27"/>
  <c r="L61" i="27"/>
  <c r="L22" i="27"/>
  <c r="L23" i="27" s="1"/>
  <c r="L41" i="27"/>
  <c r="D189" i="57"/>
  <c r="G189" i="57" s="1"/>
  <c r="K189" i="57" s="1"/>
  <c r="L32" i="27"/>
  <c r="K123" i="57"/>
  <c r="N123" i="57" s="1"/>
  <c r="I229" i="57" s="1"/>
  <c r="L62" i="27"/>
  <c r="D182" i="57"/>
  <c r="G182" i="57" s="1"/>
  <c r="M25" i="27" s="1"/>
  <c r="L25" i="27"/>
  <c r="D172" i="57"/>
  <c r="G172" i="57" s="1"/>
  <c r="L16" i="27"/>
  <c r="K127" i="57"/>
  <c r="N127" i="57" s="1"/>
  <c r="L66" i="27"/>
  <c r="K80" i="57"/>
  <c r="N80" i="57" s="1"/>
  <c r="L29" i="27"/>
  <c r="D244" i="57"/>
  <c r="G244" i="57" s="1"/>
  <c r="L77" i="27"/>
  <c r="D248" i="57"/>
  <c r="G248" i="57" s="1"/>
  <c r="D354" i="57" s="1"/>
  <c r="G354" i="57" s="1"/>
  <c r="K354" i="57" s="1"/>
  <c r="L81" i="27"/>
  <c r="D226" i="57"/>
  <c r="G226" i="57" s="1"/>
  <c r="D332" i="57" s="1"/>
  <c r="G332" i="57" s="1"/>
  <c r="L59" i="27"/>
  <c r="D202" i="57"/>
  <c r="G202" i="57" s="1"/>
  <c r="L40" i="27"/>
  <c r="K117" i="57"/>
  <c r="N117" i="57" s="1"/>
  <c r="L56" i="27"/>
  <c r="D201" i="57"/>
  <c r="G201" i="57" s="1"/>
  <c r="K201" i="57" s="1"/>
  <c r="L39" i="27"/>
  <c r="K190" i="57"/>
  <c r="M33" i="27"/>
  <c r="L58" i="27"/>
  <c r="L33" i="27"/>
  <c r="D191" i="57"/>
  <c r="G191" i="57" s="1"/>
  <c r="L34" i="27"/>
  <c r="D247" i="57"/>
  <c r="G247" i="57" s="1"/>
  <c r="K247" i="57" s="1"/>
  <c r="L80" i="27"/>
  <c r="K116" i="57"/>
  <c r="N116" i="57" s="1"/>
  <c r="L55" i="42" s="1"/>
  <c r="L55" i="27"/>
  <c r="K224" i="41"/>
  <c r="N224" i="41" s="1"/>
  <c r="D330" i="41"/>
  <c r="G330" i="41" s="1"/>
  <c r="I80" i="120"/>
  <c r="I78" i="120"/>
  <c r="I119" i="120"/>
  <c r="M78" i="120"/>
  <c r="M119" i="120"/>
  <c r="M107" i="120"/>
  <c r="K131" i="57"/>
  <c r="N131" i="57" s="1"/>
  <c r="I237" i="57" s="1"/>
  <c r="K138" i="57"/>
  <c r="N138" i="57" s="1"/>
  <c r="K121" i="57"/>
  <c r="N121" i="57" s="1"/>
  <c r="D225" i="57"/>
  <c r="G225" i="57" s="1"/>
  <c r="K225" i="57" s="1"/>
  <c r="D233" i="57"/>
  <c r="G233" i="57" s="1"/>
  <c r="K94" i="57"/>
  <c r="N94" i="57" s="1"/>
  <c r="D222" i="57"/>
  <c r="G222" i="57" s="1"/>
  <c r="D328" i="57" s="1"/>
  <c r="D199" i="57"/>
  <c r="G199" i="57" s="1"/>
  <c r="K199" i="57" s="1"/>
  <c r="D238" i="57"/>
  <c r="G238" i="57" s="1"/>
  <c r="D344" i="57" s="1"/>
  <c r="G344" i="57" s="1"/>
  <c r="K344" i="57" s="1"/>
  <c r="K84" i="57"/>
  <c r="N84" i="57" s="1"/>
  <c r="D203" i="57"/>
  <c r="G203" i="57" s="1"/>
  <c r="D309" i="57" s="1"/>
  <c r="G309" i="57" s="1"/>
  <c r="D242" i="57"/>
  <c r="G242" i="57" s="1"/>
  <c r="D192" i="57"/>
  <c r="G192" i="57" s="1"/>
  <c r="D298" i="57" s="1"/>
  <c r="G298" i="57" s="1"/>
  <c r="N35" i="27" s="1"/>
  <c r="K137" i="57"/>
  <c r="N137" i="57" s="1"/>
  <c r="I243" i="57" s="1"/>
  <c r="K142" i="57"/>
  <c r="N142" i="57" s="1"/>
  <c r="I248" i="57" s="1"/>
  <c r="D229" i="57"/>
  <c r="G229" i="57" s="1"/>
  <c r="L61" i="42"/>
  <c r="I228" i="57"/>
  <c r="D228" i="57"/>
  <c r="G228" i="57" s="1"/>
  <c r="D334" i="57" s="1"/>
  <c r="G334" i="57" s="1"/>
  <c r="K83" i="57"/>
  <c r="N83" i="57" s="1"/>
  <c r="D249" i="57"/>
  <c r="G249" i="57" s="1"/>
  <c r="K249" i="57" s="1"/>
  <c r="D239" i="57"/>
  <c r="G239" i="57" s="1"/>
  <c r="D345" i="57" s="1"/>
  <c r="G345" i="57" s="1"/>
  <c r="K133" i="57"/>
  <c r="N133" i="57" s="1"/>
  <c r="L72" i="42" s="1"/>
  <c r="D352" i="57"/>
  <c r="G352" i="57" s="1"/>
  <c r="D458" i="57" s="1"/>
  <c r="G458" i="57" s="1"/>
  <c r="K246" i="57"/>
  <c r="K140" i="57"/>
  <c r="N140" i="57" s="1"/>
  <c r="I246" i="57" s="1"/>
  <c r="D245" i="57"/>
  <c r="G245" i="57" s="1"/>
  <c r="I238" i="57"/>
  <c r="K95" i="57"/>
  <c r="N95" i="57" s="1"/>
  <c r="L39" i="42" s="1"/>
  <c r="D186" i="57"/>
  <c r="G186" i="57" s="1"/>
  <c r="K237" i="57"/>
  <c r="D223" i="57"/>
  <c r="G223" i="57" s="1"/>
  <c r="D329" i="57" s="1"/>
  <c r="G329" i="57" s="1"/>
  <c r="K143" i="57"/>
  <c r="N143" i="57" s="1"/>
  <c r="I249" i="57" s="1"/>
  <c r="I171" i="57"/>
  <c r="N171" i="57" s="1"/>
  <c r="I277" i="57" s="1"/>
  <c r="N277" i="57" s="1"/>
  <c r="K141" i="57"/>
  <c r="N141" i="57" s="1"/>
  <c r="I232" i="57"/>
  <c r="D232" i="57"/>
  <c r="G232" i="57" s="1"/>
  <c r="K232" i="57" s="1"/>
  <c r="K120" i="57"/>
  <c r="N120" i="57" s="1"/>
  <c r="L59" i="42" s="1"/>
  <c r="D349" i="57"/>
  <c r="G349" i="57" s="1"/>
  <c r="D455" i="57" s="1"/>
  <c r="G455" i="57" s="1"/>
  <c r="D561" i="57" s="1"/>
  <c r="G561" i="57" s="1"/>
  <c r="E19" i="57"/>
  <c r="K243" i="57"/>
  <c r="D188" i="57"/>
  <c r="G188" i="57" s="1"/>
  <c r="K188" i="57" s="1"/>
  <c r="G178" i="57"/>
  <c r="D284" i="57" s="1"/>
  <c r="D285" i="57" s="1"/>
  <c r="L19" i="57"/>
  <c r="G73" i="57"/>
  <c r="N73" i="57"/>
  <c r="D250" i="57"/>
  <c r="G250" i="57" s="1"/>
  <c r="D185" i="57"/>
  <c r="G185" i="57" s="1"/>
  <c r="D291" i="57" s="1"/>
  <c r="G291" i="57" s="1"/>
  <c r="D296" i="57"/>
  <c r="G296" i="57" s="1"/>
  <c r="K296" i="57" s="1"/>
  <c r="L63" i="27"/>
  <c r="K124" i="57"/>
  <c r="N124" i="57" s="1"/>
  <c r="L63" i="42" s="1"/>
  <c r="D230" i="57"/>
  <c r="G230" i="57" s="1"/>
  <c r="M63" i="27" s="1"/>
  <c r="P78" i="120"/>
  <c r="K552" i="41"/>
  <c r="N348" i="41"/>
  <c r="I454" i="41" s="1"/>
  <c r="N454" i="41" s="1"/>
  <c r="I560" i="41" s="1"/>
  <c r="N560" i="41" s="1"/>
  <c r="I666" i="41" s="1"/>
  <c r="P80" i="120"/>
  <c r="F19" i="57"/>
  <c r="N777" i="41"/>
  <c r="I883" i="41" s="1"/>
  <c r="N356" i="41"/>
  <c r="I462" i="41" s="1"/>
  <c r="N462" i="41" s="1"/>
  <c r="I568" i="41" s="1"/>
  <c r="N568" i="41" s="1"/>
  <c r="I674" i="41" s="1"/>
  <c r="N354" i="41"/>
  <c r="I460" i="41" s="1"/>
  <c r="N460" i="41" s="1"/>
  <c r="I566" i="41" s="1"/>
  <c r="N566" i="41" s="1"/>
  <c r="I672" i="41" s="1"/>
  <c r="N672" i="41" s="1"/>
  <c r="I778" i="41" s="1"/>
  <c r="D551" i="41"/>
  <c r="G551" i="41" s="1"/>
  <c r="D657" i="41" s="1"/>
  <c r="G657" i="41" s="1"/>
  <c r="K657" i="41" s="1"/>
  <c r="K339" i="41"/>
  <c r="N339" i="41" s="1"/>
  <c r="I445" i="41" s="1"/>
  <c r="N445" i="41" s="1"/>
  <c r="I551" i="41" s="1"/>
  <c r="K19" i="57"/>
  <c r="D240" i="57"/>
  <c r="G240" i="57" s="1"/>
  <c r="M73" i="27" s="1"/>
  <c r="K134" i="57"/>
  <c r="N134" i="57" s="1"/>
  <c r="J119" i="120"/>
  <c r="J80" i="120"/>
  <c r="J107" i="120"/>
  <c r="J78" i="120"/>
  <c r="O80" i="120"/>
  <c r="O119" i="120"/>
  <c r="O78" i="120"/>
  <c r="O107" i="120"/>
  <c r="L80" i="120"/>
  <c r="L107" i="120"/>
  <c r="L119" i="120"/>
  <c r="L78" i="120"/>
  <c r="K92" i="57"/>
  <c r="N92" i="57" s="1"/>
  <c r="I198" i="57" s="1"/>
  <c r="K446" i="41"/>
  <c r="I234" i="41"/>
  <c r="N234" i="41" s="1"/>
  <c r="I340" i="41" s="1"/>
  <c r="N340" i="41" s="1"/>
  <c r="I446" i="41" s="1"/>
  <c r="P216" i="58"/>
  <c r="K2082" i="57" s="1"/>
  <c r="K2083" i="57" s="1"/>
  <c r="N216" i="58"/>
  <c r="N218" i="58" s="1"/>
  <c r="I216" i="58"/>
  <c r="K1340" i="57" s="1"/>
  <c r="K1341" i="57" s="1"/>
  <c r="K216" i="58"/>
  <c r="K218" i="58" s="1"/>
  <c r="H216" i="58"/>
  <c r="H218" i="58" s="1"/>
  <c r="R216" i="58"/>
  <c r="R218" i="58" s="1"/>
  <c r="Q216" i="58"/>
  <c r="Q218" i="58" s="1"/>
  <c r="J216" i="58"/>
  <c r="J218" i="58" s="1"/>
  <c r="L216" i="58"/>
  <c r="K1658" i="57" s="1"/>
  <c r="K1659" i="57" s="1"/>
  <c r="G216" i="58"/>
  <c r="G218" i="58" s="1"/>
  <c r="O216" i="58"/>
  <c r="O218" i="58" s="1"/>
  <c r="G133" i="41"/>
  <c r="D147" i="41"/>
  <c r="D184" i="57"/>
  <c r="G184" i="57" s="1"/>
  <c r="K184" i="57" s="1"/>
  <c r="L27" i="27"/>
  <c r="N187" i="41"/>
  <c r="I293" i="41" s="1"/>
  <c r="N293" i="41" s="1"/>
  <c r="I399" i="41" s="1"/>
  <c r="N399" i="41" s="1"/>
  <c r="I505" i="41" s="1"/>
  <c r="M36" i="27"/>
  <c r="K343" i="57"/>
  <c r="N347" i="41"/>
  <c r="I453" i="41" s="1"/>
  <c r="N453" i="41" s="1"/>
  <c r="I559" i="41" s="1"/>
  <c r="N559" i="41" s="1"/>
  <c r="I665" i="41" s="1"/>
  <c r="N665" i="41" s="1"/>
  <c r="I771" i="41" s="1"/>
  <c r="K400" i="41"/>
  <c r="N400" i="41" s="1"/>
  <c r="I506" i="41" s="1"/>
  <c r="K613" i="41"/>
  <c r="N336" i="41"/>
  <c r="I442" i="41" s="1"/>
  <c r="N442" i="41" s="1"/>
  <c r="I548" i="41" s="1"/>
  <c r="N548" i="41" s="1"/>
  <c r="I654" i="41" s="1"/>
  <c r="L41" i="42"/>
  <c r="N70" i="27"/>
  <c r="N309" i="41"/>
  <c r="I415" i="41" s="1"/>
  <c r="N415" i="41" s="1"/>
  <c r="I521" i="41" s="1"/>
  <c r="N521" i="41" s="1"/>
  <c r="I627" i="41" s="1"/>
  <c r="N627" i="41" s="1"/>
  <c r="I733" i="41" s="1"/>
  <c r="N295" i="41"/>
  <c r="I401" i="41" s="1"/>
  <c r="N401" i="41" s="1"/>
  <c r="I507" i="41" s="1"/>
  <c r="N507" i="41" s="1"/>
  <c r="I613" i="41" s="1"/>
  <c r="K227" i="41"/>
  <c r="D333" i="41"/>
  <c r="G333" i="41" s="1"/>
  <c r="I227" i="41"/>
  <c r="N252" i="41"/>
  <c r="I358" i="41" s="1"/>
  <c r="N346" i="41"/>
  <c r="I452" i="41" s="1"/>
  <c r="D881" i="41"/>
  <c r="G881" i="41" s="1"/>
  <c r="K881" i="41" s="1"/>
  <c r="N761" i="41"/>
  <c r="I867" i="41" s="1"/>
  <c r="D455" i="41"/>
  <c r="G455" i="41" s="1"/>
  <c r="K349" i="41"/>
  <c r="K198" i="57"/>
  <c r="D304" i="57"/>
  <c r="G304" i="57" s="1"/>
  <c r="I199" i="57"/>
  <c r="L37" i="42"/>
  <c r="K519" i="41"/>
  <c r="N308" i="41"/>
  <c r="I414" i="41" s="1"/>
  <c r="K883" i="41"/>
  <c r="D989" i="41"/>
  <c r="G989" i="41" s="1"/>
  <c r="D1095" i="41" s="1"/>
  <c r="G1095" i="41" s="1"/>
  <c r="D1201" i="41" s="1"/>
  <c r="G1201" i="41" s="1"/>
  <c r="D1307" i="41" s="1"/>
  <c r="G1307" i="41" s="1"/>
  <c r="D1413" i="41" s="1"/>
  <c r="G1413" i="41" s="1"/>
  <c r="D1519" i="41" s="1"/>
  <c r="G1519" i="41" s="1"/>
  <c r="D1625" i="41" s="1"/>
  <c r="G1625" i="41" s="1"/>
  <c r="D1731" i="41" s="1"/>
  <c r="G1731" i="41" s="1"/>
  <c r="D1837" i="41" s="1"/>
  <c r="G1837" i="41" s="1"/>
  <c r="D1943" i="41" s="1"/>
  <c r="G1943" i="41" s="1"/>
  <c r="D2049" i="41" s="1"/>
  <c r="G2049" i="41" s="1"/>
  <c r="D2155" i="41" s="1"/>
  <c r="G2155" i="41" s="1"/>
  <c r="D2261" i="41" s="1"/>
  <c r="G2261" i="41" s="1"/>
  <c r="D2367" i="41" s="1"/>
  <c r="G2367" i="41" s="1"/>
  <c r="K332" i="41"/>
  <c r="N332" i="41" s="1"/>
  <c r="I438" i="41" s="1"/>
  <c r="D438" i="41"/>
  <c r="G438" i="41" s="1"/>
  <c r="N307" i="41"/>
  <c r="I413" i="41" s="1"/>
  <c r="N413" i="41" s="1"/>
  <c r="I519" i="41" s="1"/>
  <c r="K292" i="41"/>
  <c r="N292" i="41" s="1"/>
  <c r="I398" i="41" s="1"/>
  <c r="D398" i="41"/>
  <c r="G398" i="41" s="1"/>
  <c r="D612" i="41"/>
  <c r="G612" i="41" s="1"/>
  <c r="K506" i="41"/>
  <c r="N775" i="41"/>
  <c r="I881" i="41" s="1"/>
  <c r="J558" i="41"/>
  <c r="K452" i="41"/>
  <c r="J760" i="41"/>
  <c r="K654" i="41"/>
  <c r="N232" i="41"/>
  <c r="I338" i="41" s="1"/>
  <c r="N235" i="41"/>
  <c r="I341" i="41" s="1"/>
  <c r="N191" i="41"/>
  <c r="I297" i="41" s="1"/>
  <c r="M64" i="27"/>
  <c r="K231" i="57"/>
  <c r="D337" i="57"/>
  <c r="G337" i="57" s="1"/>
  <c r="L58" i="42"/>
  <c r="I225" i="57"/>
  <c r="D276" i="57"/>
  <c r="G276" i="57" s="1"/>
  <c r="M14" i="27"/>
  <c r="L74" i="27"/>
  <c r="D241" i="57"/>
  <c r="K135" i="57"/>
  <c r="G145" i="57"/>
  <c r="D279" i="57"/>
  <c r="G279" i="57" s="1"/>
  <c r="M17" i="27"/>
  <c r="L64" i="42"/>
  <c r="I231" i="57"/>
  <c r="K200" i="57"/>
  <c r="D306" i="57"/>
  <c r="G306" i="57" s="1"/>
  <c r="M38" i="27"/>
  <c r="R270" i="127"/>
  <c r="R472" i="127" s="1"/>
  <c r="M156" i="74"/>
  <c r="M216" i="74"/>
  <c r="E33" i="101"/>
  <c r="T9" i="127"/>
  <c r="N156" i="74" s="1"/>
  <c r="F28" i="136" s="1"/>
  <c r="T64" i="127"/>
  <c r="N195" i="74" s="1"/>
  <c r="T28" i="127"/>
  <c r="N170" i="74" s="1"/>
  <c r="F50" i="136" s="1"/>
  <c r="T31" i="127"/>
  <c r="N171" i="74" s="1"/>
  <c r="N60" i="127"/>
  <c r="H60" i="127"/>
  <c r="H31" i="127"/>
  <c r="E21" i="80" s="1"/>
  <c r="F50" i="73" s="1"/>
  <c r="P35" i="127"/>
  <c r="M25" i="80" s="1"/>
  <c r="N54" i="73" s="1"/>
  <c r="L33" i="127"/>
  <c r="P49" i="127"/>
  <c r="H49" i="127"/>
  <c r="F64" i="127"/>
  <c r="L26" i="127"/>
  <c r="I17" i="80" s="1"/>
  <c r="J47" i="73" s="1"/>
  <c r="T34" i="127"/>
  <c r="N174" i="74" s="1"/>
  <c r="F54" i="136" s="1"/>
  <c r="N31" i="127"/>
  <c r="K21" i="80" s="1"/>
  <c r="L50" i="73" s="1"/>
  <c r="P27" i="127"/>
  <c r="N27" i="127"/>
  <c r="L60" i="127"/>
  <c r="F49" i="127"/>
  <c r="J38" i="127"/>
  <c r="G28" i="80" s="1"/>
  <c r="H70" i="73" s="1"/>
  <c r="J26" i="127"/>
  <c r="G17" i="80" s="1"/>
  <c r="H47" i="73" s="1"/>
  <c r="H26" i="127"/>
  <c r="E17" i="80" s="1"/>
  <c r="F47" i="73" s="1"/>
  <c r="H38" i="127"/>
  <c r="E28" i="80" s="1"/>
  <c r="F70" i="73" s="1"/>
  <c r="F17" i="127"/>
  <c r="F51" i="127"/>
  <c r="C41" i="80" s="1"/>
  <c r="D79" i="73" s="1"/>
  <c r="F45" i="127"/>
  <c r="C34" i="80" s="1"/>
  <c r="D75" i="73" s="1"/>
  <c r="F70" i="127"/>
  <c r="C36" i="80" s="1"/>
  <c r="D97" i="73" s="1"/>
  <c r="F57" i="127"/>
  <c r="L31" i="127"/>
  <c r="I21" i="80" s="1"/>
  <c r="J50" i="73" s="1"/>
  <c r="J31" i="127"/>
  <c r="G21" i="80" s="1"/>
  <c r="H50" i="73" s="1"/>
  <c r="N21" i="127"/>
  <c r="K12" i="80" s="1"/>
  <c r="L42" i="73" s="1"/>
  <c r="F9" i="127"/>
  <c r="C9" i="80" s="1"/>
  <c r="D27" i="73" s="1"/>
  <c r="H33" i="127"/>
  <c r="F60" i="127"/>
  <c r="H25" i="127"/>
  <c r="E16" i="80" s="1"/>
  <c r="F46" i="73" s="1"/>
  <c r="N38" i="127"/>
  <c r="F56" i="127"/>
  <c r="C44" i="80" s="1"/>
  <c r="D82" i="73" s="1"/>
  <c r="F63" i="127"/>
  <c r="P60" i="127"/>
  <c r="L34" i="127"/>
  <c r="N35" i="127"/>
  <c r="K25" i="80" s="1"/>
  <c r="L54" i="73" s="1"/>
  <c r="H27" i="127"/>
  <c r="F55" i="127"/>
  <c r="C43" i="80" s="1"/>
  <c r="D81" i="73" s="1"/>
  <c r="J33" i="127"/>
  <c r="P62" i="127"/>
  <c r="J49" i="127"/>
  <c r="N49" i="127"/>
  <c r="P38" i="127"/>
  <c r="N33" i="127"/>
  <c r="L25" i="127"/>
  <c r="I16" i="80" s="1"/>
  <c r="J46" i="73" s="1"/>
  <c r="P25" i="127"/>
  <c r="M16" i="80" s="1"/>
  <c r="N46" i="73" s="1"/>
  <c r="L38" i="127"/>
  <c r="J37" i="127"/>
  <c r="G27" i="80" s="1"/>
  <c r="H69" i="73" s="1"/>
  <c r="N37" i="127"/>
  <c r="K27" i="80" s="1"/>
  <c r="L69" i="73" s="1"/>
  <c r="P22" i="127"/>
  <c r="M13" i="80" s="1"/>
  <c r="N43" i="73" s="1"/>
  <c r="N22" i="127"/>
  <c r="K13" i="80" s="1"/>
  <c r="L43" i="73" s="1"/>
  <c r="T48" i="127"/>
  <c r="N184" i="74" s="1"/>
  <c r="F78" i="136" s="1"/>
  <c r="P34" i="127"/>
  <c r="L35" i="127"/>
  <c r="I25" i="80" s="1"/>
  <c r="J54" i="73" s="1"/>
  <c r="L23" i="127"/>
  <c r="I14" i="80" s="1"/>
  <c r="J44" i="73" s="1"/>
  <c r="J22" i="127"/>
  <c r="G13" i="80" s="1"/>
  <c r="H43" i="73" s="1"/>
  <c r="J34" i="127"/>
  <c r="J21" i="127"/>
  <c r="G12" i="80" s="1"/>
  <c r="H42" i="73" s="1"/>
  <c r="H22" i="127"/>
  <c r="E13" i="80" s="1"/>
  <c r="F43" i="73" s="1"/>
  <c r="H35" i="127"/>
  <c r="E25" i="80" s="1"/>
  <c r="F54" i="73" s="1"/>
  <c r="P21" i="127"/>
  <c r="M12" i="80" s="1"/>
  <c r="N42" i="73" s="1"/>
  <c r="P31" i="127"/>
  <c r="M21" i="80" s="1"/>
  <c r="N50" i="73" s="1"/>
  <c r="L27" i="127"/>
  <c r="J27" i="127"/>
  <c r="F21" i="127"/>
  <c r="C12" i="80" s="1"/>
  <c r="D42" i="73" s="1"/>
  <c r="L21" i="127"/>
  <c r="I12" i="80" s="1"/>
  <c r="J42" i="73" s="1"/>
  <c r="P33" i="127"/>
  <c r="J25" i="127"/>
  <c r="G16" i="80" s="1"/>
  <c r="H46" i="73" s="1"/>
  <c r="H23" i="127"/>
  <c r="E14" i="80" s="1"/>
  <c r="F44" i="73" s="1"/>
  <c r="P26" i="127"/>
  <c r="M17" i="80" s="1"/>
  <c r="N47" i="73" s="1"/>
  <c r="H37" i="127"/>
  <c r="E27" i="80" s="1"/>
  <c r="F69" i="73" s="1"/>
  <c r="P37" i="127"/>
  <c r="L22" i="127"/>
  <c r="I13" i="80" s="1"/>
  <c r="J43" i="73" s="1"/>
  <c r="N34" i="127"/>
  <c r="H34" i="127"/>
  <c r="J35" i="127"/>
  <c r="G25" i="80" s="1"/>
  <c r="H54" i="73" s="1"/>
  <c r="D51" i="70"/>
  <c r="E16" i="69" s="1"/>
  <c r="E18" i="68" s="1"/>
  <c r="D27" i="74"/>
  <c r="D29" i="74" s="1"/>
  <c r="O38" i="74"/>
  <c r="O32" i="74"/>
  <c r="G40" i="74"/>
  <c r="O40" i="74" s="1"/>
  <c r="D40" i="74"/>
  <c r="S74" i="75"/>
  <c r="S45" i="75"/>
  <c r="M173" i="74"/>
  <c r="D28" i="70"/>
  <c r="D30" i="70" s="1"/>
  <c r="F27" i="74"/>
  <c r="O27" i="74" s="1"/>
  <c r="F111" i="70"/>
  <c r="S58" i="75"/>
  <c r="S55" i="75"/>
  <c r="I18" i="108"/>
  <c r="O35" i="79"/>
  <c r="O45" i="79"/>
  <c r="J60" i="79"/>
  <c r="K60" i="79"/>
  <c r="F101" i="70"/>
  <c r="G21" i="90"/>
  <c r="K21" i="90" s="1"/>
  <c r="O18" i="74"/>
  <c r="M84" i="72"/>
  <c r="L60" i="79"/>
  <c r="N84" i="72"/>
  <c r="M60" i="79"/>
  <c r="O84" i="72"/>
  <c r="N60" i="79"/>
  <c r="F110" i="70"/>
  <c r="P85" i="72"/>
  <c r="D104" i="70" s="1"/>
  <c r="F104" i="70" s="1"/>
  <c r="K84" i="72"/>
  <c r="J84" i="72"/>
  <c r="L84" i="72"/>
  <c r="S98" i="75"/>
  <c r="E12" i="80"/>
  <c r="F42" i="73" s="1"/>
  <c r="E34" i="80"/>
  <c r="F75" i="73" s="1"/>
  <c r="G19" i="80"/>
  <c r="H49" i="73" s="1"/>
  <c r="E19" i="80"/>
  <c r="F49" i="73" s="1"/>
  <c r="O66" i="74"/>
  <c r="O68" i="74"/>
  <c r="O69" i="74"/>
  <c r="K16" i="80"/>
  <c r="L46" i="73" s="1"/>
  <c r="C30" i="80"/>
  <c r="K19" i="80"/>
  <c r="L49" i="73" s="1"/>
  <c r="O78" i="74"/>
  <c r="M34" i="80"/>
  <c r="N75" i="73" s="1"/>
  <c r="K34" i="80"/>
  <c r="L75" i="73" s="1"/>
  <c r="I56" i="80"/>
  <c r="J95" i="73" s="1"/>
  <c r="I27" i="80"/>
  <c r="J69" i="73" s="1"/>
  <c r="I19" i="80"/>
  <c r="J49" i="73" s="1"/>
  <c r="S81" i="75"/>
  <c r="S78" i="75"/>
  <c r="S38" i="75"/>
  <c r="S35" i="75"/>
  <c r="P98" i="72"/>
  <c r="D96" i="70" s="1"/>
  <c r="F96" i="70" s="1"/>
  <c r="F20" i="71"/>
  <c r="J16" i="109"/>
  <c r="S91" i="75"/>
  <c r="S88" i="75"/>
  <c r="D30" i="71"/>
  <c r="M41" i="80"/>
  <c r="N79" i="73" s="1"/>
  <c r="R375" i="127"/>
  <c r="G41" i="80"/>
  <c r="H79" i="73" s="1"/>
  <c r="K41" i="80"/>
  <c r="L79" i="73" s="1"/>
  <c r="K43" i="80"/>
  <c r="L81" i="73" s="1"/>
  <c r="G43" i="80"/>
  <c r="H81" i="73" s="1"/>
  <c r="E44" i="80"/>
  <c r="F82" i="73" s="1"/>
  <c r="E43" i="80"/>
  <c r="F81" i="73" s="1"/>
  <c r="I43" i="80"/>
  <c r="J81" i="73" s="1"/>
  <c r="I41" i="80"/>
  <c r="J79" i="73" s="1"/>
  <c r="M43" i="80"/>
  <c r="N81" i="73" s="1"/>
  <c r="E41" i="80"/>
  <c r="F79" i="73" s="1"/>
  <c r="P50" i="127"/>
  <c r="M40" i="80" s="1"/>
  <c r="N78" i="73" s="1"/>
  <c r="R422" i="127"/>
  <c r="T50" i="127" s="1"/>
  <c r="N186" i="74" s="1"/>
  <c r="F80" i="136" s="1"/>
  <c r="N50" i="127"/>
  <c r="K40" i="80" s="1"/>
  <c r="L78" i="73" s="1"/>
  <c r="H50" i="127"/>
  <c r="E40" i="80" s="1"/>
  <c r="F78" i="73" s="1"/>
  <c r="L50" i="127"/>
  <c r="I40" i="80" s="1"/>
  <c r="J78" i="73" s="1"/>
  <c r="J50" i="127"/>
  <c r="G40" i="80" s="1"/>
  <c r="H78" i="73" s="1"/>
  <c r="N36" i="127"/>
  <c r="J23" i="127"/>
  <c r="G14" i="80" s="1"/>
  <c r="H44" i="73" s="1"/>
  <c r="P23" i="127"/>
  <c r="M14" i="80" s="1"/>
  <c r="N44" i="73" s="1"/>
  <c r="P32" i="127"/>
  <c r="J32" i="127"/>
  <c r="N32" i="127"/>
  <c r="N23" i="127"/>
  <c r="K14" i="80" s="1"/>
  <c r="L44" i="73" s="1"/>
  <c r="L32" i="127"/>
  <c r="H32" i="127"/>
  <c r="L36" i="127"/>
  <c r="L61" i="127"/>
  <c r="J36" i="127"/>
  <c r="J61" i="127"/>
  <c r="N61" i="127"/>
  <c r="P61" i="127"/>
  <c r="H61" i="127"/>
  <c r="E35" i="80" s="1"/>
  <c r="F84" i="73" s="1"/>
  <c r="H36" i="127"/>
  <c r="P36" i="127"/>
  <c r="P43" i="127"/>
  <c r="H43" i="127"/>
  <c r="N43" i="127"/>
  <c r="L43" i="127"/>
  <c r="J43" i="127"/>
  <c r="H48" i="127"/>
  <c r="E38" i="80" s="1"/>
  <c r="F76" i="73" s="1"/>
  <c r="P48" i="127"/>
  <c r="M38" i="80" s="1"/>
  <c r="N76" i="73" s="1"/>
  <c r="P66" i="127"/>
  <c r="L48" i="127"/>
  <c r="I38" i="80" s="1"/>
  <c r="J76" i="73" s="1"/>
  <c r="J48" i="127"/>
  <c r="G38" i="80" s="1"/>
  <c r="H76" i="73" s="1"/>
  <c r="N48" i="127"/>
  <c r="K38" i="80" s="1"/>
  <c r="L76" i="73" s="1"/>
  <c r="J42" i="127"/>
  <c r="G31" i="80" s="1"/>
  <c r="H72" i="73" s="1"/>
  <c r="L42" i="127"/>
  <c r="N66" i="127"/>
  <c r="L66" i="127"/>
  <c r="P42" i="127"/>
  <c r="M31" i="80" s="1"/>
  <c r="N72" i="73" s="1"/>
  <c r="N42" i="127"/>
  <c r="K31" i="80" s="1"/>
  <c r="L72" i="73" s="1"/>
  <c r="H42" i="127"/>
  <c r="E31" i="80" s="1"/>
  <c r="F72" i="73" s="1"/>
  <c r="J66" i="127"/>
  <c r="H66" i="127"/>
  <c r="N62" i="127"/>
  <c r="H24" i="127"/>
  <c r="E15" i="80" s="1"/>
  <c r="F45" i="73" s="1"/>
  <c r="J62" i="127"/>
  <c r="N24" i="127"/>
  <c r="K15" i="80" s="1"/>
  <c r="L45" i="73" s="1"/>
  <c r="L24" i="127"/>
  <c r="I15" i="80" s="1"/>
  <c r="J45" i="73" s="1"/>
  <c r="J24" i="127"/>
  <c r="G15" i="80" s="1"/>
  <c r="H45" i="73" s="1"/>
  <c r="P24" i="127"/>
  <c r="M15" i="80" s="1"/>
  <c r="N45" i="73" s="1"/>
  <c r="I34" i="80"/>
  <c r="J75" i="73" s="1"/>
  <c r="H67" i="127"/>
  <c r="P67" i="127"/>
  <c r="J67" i="127"/>
  <c r="N67" i="127"/>
  <c r="P69" i="127"/>
  <c r="N69" i="127"/>
  <c r="L69" i="127"/>
  <c r="H65" i="127"/>
  <c r="L67" i="127"/>
  <c r="J69" i="127"/>
  <c r="H69" i="127"/>
  <c r="N70" i="127"/>
  <c r="J70" i="127"/>
  <c r="L70" i="127"/>
  <c r="P70" i="127"/>
  <c r="M19" i="80"/>
  <c r="N49" i="73" s="1"/>
  <c r="G44" i="80"/>
  <c r="H82" i="73" s="1"/>
  <c r="K44" i="80"/>
  <c r="L82" i="73" s="1"/>
  <c r="G34" i="80"/>
  <c r="H75" i="73" s="1"/>
  <c r="E9" i="80"/>
  <c r="F27" i="73" s="1"/>
  <c r="H70" i="127"/>
  <c r="J20" i="127"/>
  <c r="N20" i="127"/>
  <c r="L20" i="127"/>
  <c r="P20" i="127"/>
  <c r="H20" i="127"/>
  <c r="I44" i="80"/>
  <c r="J82" i="73" s="1"/>
  <c r="T14" i="127"/>
  <c r="V14" i="127" s="1"/>
  <c r="M44" i="80"/>
  <c r="N82" i="73" s="1"/>
  <c r="N44" i="127"/>
  <c r="K33" i="80" s="1"/>
  <c r="L74" i="73" s="1"/>
  <c r="K44" i="127"/>
  <c r="H33" i="80" s="1"/>
  <c r="I74" i="73" s="1"/>
  <c r="O44" i="127"/>
  <c r="L33" i="80" s="1"/>
  <c r="M74" i="73" s="1"/>
  <c r="K9" i="80"/>
  <c r="L27" i="73" s="1"/>
  <c r="M44" i="127"/>
  <c r="J33" i="80" s="1"/>
  <c r="K74" i="73" s="1"/>
  <c r="Q44" i="127"/>
  <c r="N33" i="80" s="1"/>
  <c r="O74" i="73" s="1"/>
  <c r="I44" i="127"/>
  <c r="F33" i="80" s="1"/>
  <c r="G74" i="73" s="1"/>
  <c r="I9" i="80"/>
  <c r="J27" i="73" s="1"/>
  <c r="H44" i="127"/>
  <c r="E33" i="80" s="1"/>
  <c r="F74" i="73" s="1"/>
  <c r="J44" i="127"/>
  <c r="G33" i="80" s="1"/>
  <c r="H74" i="73" s="1"/>
  <c r="P44" i="127"/>
  <c r="M33" i="80" s="1"/>
  <c r="N74" i="73" s="1"/>
  <c r="L44" i="127"/>
  <c r="I33" i="80" s="1"/>
  <c r="J74" i="73" s="1"/>
  <c r="G9" i="80"/>
  <c r="H27" i="73" s="1"/>
  <c r="M9" i="80"/>
  <c r="N27" i="73" s="1"/>
  <c r="J730" i="41"/>
  <c r="K624" i="41"/>
  <c r="D520" i="41"/>
  <c r="G520" i="41" s="1"/>
  <c r="K414" i="41"/>
  <c r="D447" i="41"/>
  <c r="G447" i="41" s="1"/>
  <c r="K341" i="41"/>
  <c r="S20" i="77"/>
  <c r="S85" i="76"/>
  <c r="S82" i="76"/>
  <c r="G79" i="123"/>
  <c r="G82" i="123" s="1"/>
  <c r="E82" i="123"/>
  <c r="D333" i="57"/>
  <c r="G333" i="57" s="1"/>
  <c r="M60" i="27"/>
  <c r="K227" i="57"/>
  <c r="F100" i="70"/>
  <c r="G19" i="90"/>
  <c r="K19" i="90" s="1"/>
  <c r="N107" i="120"/>
  <c r="N80" i="120"/>
  <c r="N78" i="120"/>
  <c r="N119" i="120"/>
  <c r="D772" i="41"/>
  <c r="G772" i="41" s="1"/>
  <c r="K666" i="41"/>
  <c r="K495" i="41"/>
  <c r="N494" i="41"/>
  <c r="I600" i="41" s="1"/>
  <c r="N600" i="41" s="1"/>
  <c r="I706" i="41" s="1"/>
  <c r="N706" i="41" s="1"/>
  <c r="I812" i="41" s="1"/>
  <c r="N812" i="41" s="1"/>
  <c r="I918" i="41" s="1"/>
  <c r="N918" i="41" s="1"/>
  <c r="I1024" i="41" s="1"/>
  <c r="N1024" i="41" s="1"/>
  <c r="I1130" i="41" s="1"/>
  <c r="N1130" i="41" s="1"/>
  <c r="I1236" i="41" s="1"/>
  <c r="N1236" i="41" s="1"/>
  <c r="I1342" i="41" s="1"/>
  <c r="N1342" i="41" s="1"/>
  <c r="I1448" i="41" s="1"/>
  <c r="N1448" i="41" s="1"/>
  <c r="I1554" i="41" s="1"/>
  <c r="N1554" i="41" s="1"/>
  <c r="I1660" i="41" s="1"/>
  <c r="N1660" i="41" s="1"/>
  <c r="I1766" i="41" s="1"/>
  <c r="N1766" i="41" s="1"/>
  <c r="I1872" i="41" s="1"/>
  <c r="N1872" i="41" s="1"/>
  <c r="I1978" i="41" s="1"/>
  <c r="N1978" i="41" s="1"/>
  <c r="I2084" i="41" s="1"/>
  <c r="N2084" i="41" s="1"/>
  <c r="I2190" i="41" s="1"/>
  <c r="N2190" i="41" s="1"/>
  <c r="I2296" i="41" s="1"/>
  <c r="N2296" i="41" s="1"/>
  <c r="M24" i="118"/>
  <c r="M17" i="138"/>
  <c r="M25" i="138" s="1"/>
  <c r="O131" i="74"/>
  <c r="M229" i="74" s="1"/>
  <c r="O229" i="74" s="1"/>
  <c r="L140" i="74"/>
  <c r="G30" i="80"/>
  <c r="H71" i="73" s="1"/>
  <c r="I30" i="80"/>
  <c r="J71" i="73" s="1"/>
  <c r="D30" i="80"/>
  <c r="E71" i="73" s="1"/>
  <c r="I19" i="49"/>
  <c r="C17" i="49"/>
  <c r="D437" i="41"/>
  <c r="G437" i="41" s="1"/>
  <c r="K331" i="41"/>
  <c r="N225" i="41"/>
  <c r="I331" i="41" s="1"/>
  <c r="O33" i="102"/>
  <c r="O31" i="102"/>
  <c r="N29" i="102"/>
  <c r="P97" i="72"/>
  <c r="K107" i="120"/>
  <c r="K119" i="120"/>
  <c r="K78" i="120"/>
  <c r="K80" i="120"/>
  <c r="D839" i="41"/>
  <c r="G839" i="41" s="1"/>
  <c r="K733" i="41"/>
  <c r="F66" i="70"/>
  <c r="D74" i="70"/>
  <c r="I404" i="57"/>
  <c r="N404" i="57" s="1"/>
  <c r="N35" i="42"/>
  <c r="K505" i="41"/>
  <c r="D611" i="41"/>
  <c r="G611" i="41" s="1"/>
  <c r="D876" i="41"/>
  <c r="G876" i="41" s="1"/>
  <c r="I188" i="57"/>
  <c r="L31" i="42"/>
  <c r="O268" i="74"/>
  <c r="N175" i="41"/>
  <c r="I177" i="41"/>
  <c r="M24" i="102"/>
  <c r="L24" i="102" s="1"/>
  <c r="M26" i="102"/>
  <c r="L22" i="102"/>
  <c r="S148" i="76"/>
  <c r="S145" i="76"/>
  <c r="F31" i="102"/>
  <c r="E37" i="102"/>
  <c r="G180" i="41"/>
  <c r="D181" i="41"/>
  <c r="D973" i="41"/>
  <c r="G973" i="41" s="1"/>
  <c r="K867" i="41"/>
  <c r="K674" i="41"/>
  <c r="D780" i="41"/>
  <c r="G780" i="41" s="1"/>
  <c r="K99" i="41"/>
  <c r="D205" i="41"/>
  <c r="G130" i="41"/>
  <c r="R330" i="127"/>
  <c r="T63" i="127" s="1"/>
  <c r="N194" i="74" s="1"/>
  <c r="F90" i="136" s="1"/>
  <c r="D156" i="74"/>
  <c r="L30" i="27"/>
  <c r="K81" i="57"/>
  <c r="N81" i="57" s="1"/>
  <c r="D187" i="57"/>
  <c r="G187" i="57" s="1"/>
  <c r="E238" i="74"/>
  <c r="L232" i="74"/>
  <c r="R80" i="120"/>
  <c r="R78" i="120"/>
  <c r="R119" i="120"/>
  <c r="D183" i="57"/>
  <c r="G183" i="57" s="1"/>
  <c r="L26" i="27"/>
  <c r="S24" i="75"/>
  <c r="S27" i="75"/>
  <c r="F30" i="80"/>
  <c r="G71" i="73" s="1"/>
  <c r="L30" i="80"/>
  <c r="M71" i="73" s="1"/>
  <c r="J30" i="80"/>
  <c r="K71" i="73" s="1"/>
  <c r="N180" i="41"/>
  <c r="I181" i="41"/>
  <c r="I185" i="57"/>
  <c r="L28" i="42"/>
  <c r="S140" i="76"/>
  <c r="S137" i="76"/>
  <c r="N702" i="41"/>
  <c r="D616" i="41"/>
  <c r="G616" i="41" s="1"/>
  <c r="K510" i="41"/>
  <c r="E40" i="123"/>
  <c r="D1048" i="41"/>
  <c r="G1048" i="41" s="1"/>
  <c r="D731" i="41"/>
  <c r="G731" i="41" s="1"/>
  <c r="K625" i="41"/>
  <c r="S43" i="75"/>
  <c r="S40" i="75"/>
  <c r="S132" i="76"/>
  <c r="S129" i="76"/>
  <c r="K118" i="57"/>
  <c r="D224" i="57"/>
  <c r="L57" i="27"/>
  <c r="G128" i="57"/>
  <c r="D403" i="41"/>
  <c r="G403" i="41" s="1"/>
  <c r="K297" i="41"/>
  <c r="T41" i="127"/>
  <c r="N179" i="74" s="1"/>
  <c r="H30" i="80"/>
  <c r="I71" i="73" s="1"/>
  <c r="K30" i="80"/>
  <c r="L71" i="73" s="1"/>
  <c r="K719" i="41"/>
  <c r="D825" i="41"/>
  <c r="G825" i="41" s="1"/>
  <c r="H238" i="74"/>
  <c r="L235" i="74"/>
  <c r="M235" i="74" s="1"/>
  <c r="O235" i="74" s="1"/>
  <c r="K338" i="41"/>
  <c r="D444" i="41"/>
  <c r="G444" i="41" s="1"/>
  <c r="D703" i="41"/>
  <c r="D991" i="41"/>
  <c r="G991" i="41" s="1"/>
  <c r="K885" i="41"/>
  <c r="D1078" i="41"/>
  <c r="G1078" i="41" s="1"/>
  <c r="G282" i="41"/>
  <c r="D283" i="41"/>
  <c r="N78" i="57"/>
  <c r="D808" i="41"/>
  <c r="K449" i="57"/>
  <c r="D555" i="57"/>
  <c r="O70" i="27"/>
  <c r="D39" i="70"/>
  <c r="E17" i="69" s="1"/>
  <c r="F34" i="70"/>
  <c r="F39" i="70" s="1"/>
  <c r="G25" i="90"/>
  <c r="F109" i="70"/>
  <c r="D113" i="70"/>
  <c r="F57" i="70"/>
  <c r="D63" i="70"/>
  <c r="S121" i="76"/>
  <c r="E106" i="123"/>
  <c r="G87" i="123"/>
  <c r="G106" i="123" s="1"/>
  <c r="D877" i="41"/>
  <c r="G877" i="41" s="1"/>
  <c r="K771" i="41"/>
  <c r="D463" i="41"/>
  <c r="K357" i="41"/>
  <c r="K658" i="41"/>
  <c r="D764" i="41"/>
  <c r="G764" i="41" s="1"/>
  <c r="D280" i="57"/>
  <c r="G280" i="57" s="1"/>
  <c r="M18" i="27"/>
  <c r="D171" i="57"/>
  <c r="G69" i="57"/>
  <c r="L15" i="27"/>
  <c r="R326" i="127"/>
  <c r="L234" i="74"/>
  <c r="M234" i="74" s="1"/>
  <c r="O234" i="74" s="1"/>
  <c r="G238" i="74"/>
  <c r="I19" i="108"/>
  <c r="F28" i="70"/>
  <c r="D45" i="49"/>
  <c r="I43" i="49"/>
  <c r="N77" i="57"/>
  <c r="L128" i="57"/>
  <c r="M30" i="80"/>
  <c r="N71" i="73" s="1"/>
  <c r="E30" i="80"/>
  <c r="F71" i="73" s="1"/>
  <c r="N30" i="80"/>
  <c r="O71" i="73" s="1"/>
  <c r="I238" i="74"/>
  <c r="L236" i="74"/>
  <c r="M236" i="74" s="1"/>
  <c r="O236" i="74" s="1"/>
  <c r="D464" i="41"/>
  <c r="G464" i="41" s="1"/>
  <c r="K358" i="41"/>
  <c r="M157" i="74"/>
  <c r="D884" i="41"/>
  <c r="G884" i="41" s="1"/>
  <c r="K778" i="41"/>
  <c r="D334" i="41"/>
  <c r="K228" i="41"/>
  <c r="F94" i="70"/>
  <c r="I18" i="109"/>
  <c r="F20" i="70"/>
  <c r="S23" i="77"/>
  <c r="D441" i="41" l="1"/>
  <c r="G441" i="41" s="1"/>
  <c r="K441" i="41" s="1"/>
  <c r="N335" i="41"/>
  <c r="I441" i="41" s="1"/>
  <c r="K810" i="57"/>
  <c r="K811" i="57" s="1"/>
  <c r="M34" i="42"/>
  <c r="K1764" i="57"/>
  <c r="K1765" i="57" s="1"/>
  <c r="E108" i="123"/>
  <c r="M176" i="74"/>
  <c r="M167" i="74"/>
  <c r="M166" i="74"/>
  <c r="O157" i="74"/>
  <c r="M164" i="74"/>
  <c r="R62" i="127"/>
  <c r="T56" i="127"/>
  <c r="N190" i="74" s="1"/>
  <c r="F84" i="136" s="1"/>
  <c r="R69" i="127"/>
  <c r="T69" i="127" s="1"/>
  <c r="N215" i="74" s="1"/>
  <c r="O215" i="74" s="1"/>
  <c r="G108" i="123"/>
  <c r="Q106" i="58"/>
  <c r="N106" i="58"/>
  <c r="K916" i="57"/>
  <c r="K917" i="57" s="1"/>
  <c r="K598" i="57"/>
  <c r="K599" i="57" s="1"/>
  <c r="K492" i="57"/>
  <c r="K493" i="57" s="1"/>
  <c r="I243" i="41"/>
  <c r="N243" i="41" s="1"/>
  <c r="I349" i="41" s="1"/>
  <c r="N296" i="41"/>
  <c r="I402" i="41" s="1"/>
  <c r="N402" i="41" s="1"/>
  <c r="I508" i="41" s="1"/>
  <c r="N508" i="41" s="1"/>
  <c r="I614" i="41" s="1"/>
  <c r="N614" i="41" s="1"/>
  <c r="I720" i="41" s="1"/>
  <c r="K174" i="57"/>
  <c r="K175" i="57" s="1"/>
  <c r="K386" i="57"/>
  <c r="K387" i="57" s="1"/>
  <c r="K106" i="58"/>
  <c r="G1208" i="57"/>
  <c r="D93" i="130"/>
  <c r="H93" i="130" s="1"/>
  <c r="I1314" i="57"/>
  <c r="N1314" i="57" s="1"/>
  <c r="G87" i="43"/>
  <c r="G88" i="43" s="1"/>
  <c r="K68" i="57"/>
  <c r="H106" i="58"/>
  <c r="K280" i="57"/>
  <c r="K281" i="57" s="1"/>
  <c r="J106" i="58"/>
  <c r="E95" i="130"/>
  <c r="F95" i="130"/>
  <c r="D720" i="41"/>
  <c r="G720" i="41" s="1"/>
  <c r="K720" i="41" s="1"/>
  <c r="D24" i="49"/>
  <c r="I22" i="49"/>
  <c r="K1128" i="57"/>
  <c r="K1129" i="57" s="1"/>
  <c r="G150" i="57"/>
  <c r="L150" i="57"/>
  <c r="K18" i="57" s="1"/>
  <c r="L76" i="42"/>
  <c r="M75" i="42"/>
  <c r="D152" i="41"/>
  <c r="G17" i="41" s="1"/>
  <c r="D18" i="41" s="1"/>
  <c r="G18" i="41" s="1"/>
  <c r="D19" i="41" s="1"/>
  <c r="G19" i="41" s="1"/>
  <c r="D20" i="41" s="1"/>
  <c r="G20" i="41" s="1"/>
  <c r="D21" i="41" s="1"/>
  <c r="G21" i="41" s="1"/>
  <c r="D22" i="41" s="1"/>
  <c r="G22" i="41" s="1"/>
  <c r="D23" i="41" s="1"/>
  <c r="G23" i="41" s="1"/>
  <c r="D24" i="41" s="1"/>
  <c r="G24" i="41" s="1"/>
  <c r="D25" i="41" s="1"/>
  <c r="G25" i="41" s="1"/>
  <c r="D26" i="41" s="1"/>
  <c r="G26" i="41" s="1"/>
  <c r="D27" i="41" s="1"/>
  <c r="G27" i="41" s="1"/>
  <c r="D28" i="41" s="1"/>
  <c r="G28" i="41" s="1"/>
  <c r="D29" i="41" s="1"/>
  <c r="G29" i="41" s="1"/>
  <c r="D30" i="41" s="1"/>
  <c r="G30" i="41" s="1"/>
  <c r="D31" i="41" s="1"/>
  <c r="G31" i="41" s="1"/>
  <c r="D32" i="41" s="1"/>
  <c r="G32" i="41" s="1"/>
  <c r="D33" i="41" s="1"/>
  <c r="G33" i="41" s="1"/>
  <c r="D34" i="41" s="1"/>
  <c r="G34" i="41" s="1"/>
  <c r="D35" i="41" s="1"/>
  <c r="G35" i="41" s="1"/>
  <c r="D36" i="41" s="1"/>
  <c r="G36" i="41" s="1"/>
  <c r="D37" i="41" s="1"/>
  <c r="G37" i="41" s="1"/>
  <c r="D38" i="41" s="1"/>
  <c r="G38" i="41" s="1"/>
  <c r="D39" i="41" s="1"/>
  <c r="G39" i="41" s="1"/>
  <c r="I279" i="57"/>
  <c r="N279" i="57" s="1"/>
  <c r="I385" i="57" s="1"/>
  <c r="N385" i="57" s="1"/>
  <c r="M16" i="42"/>
  <c r="M82" i="27"/>
  <c r="L8" i="59"/>
  <c r="L10" i="59" s="1"/>
  <c r="L12" i="59" s="1"/>
  <c r="L14" i="59" s="1"/>
  <c r="N14" i="59" s="1"/>
  <c r="I351" i="57"/>
  <c r="N351" i="57" s="1"/>
  <c r="M78" i="42"/>
  <c r="I278" i="57"/>
  <c r="N278" i="57" s="1"/>
  <c r="I384" i="57" s="1"/>
  <c r="M15" i="42"/>
  <c r="I382" i="57"/>
  <c r="N382" i="57" s="1"/>
  <c r="N13" i="42"/>
  <c r="I179" i="57"/>
  <c r="I308" i="57"/>
  <c r="N308" i="57" s="1"/>
  <c r="M40" i="42"/>
  <c r="L82" i="42"/>
  <c r="I8" i="59"/>
  <c r="K8" i="59" s="1"/>
  <c r="I250" i="57"/>
  <c r="N76" i="27"/>
  <c r="I288" i="57"/>
  <c r="N288" i="57" s="1"/>
  <c r="M25" i="42"/>
  <c r="I403" i="57"/>
  <c r="N403" i="57" s="1"/>
  <c r="N34" i="42"/>
  <c r="L79" i="42"/>
  <c r="O76" i="27"/>
  <c r="L19" i="27"/>
  <c r="N81" i="27"/>
  <c r="M37" i="27"/>
  <c r="D438" i="57"/>
  <c r="G438" i="57" s="1"/>
  <c r="K438" i="57" s="1"/>
  <c r="N59" i="27"/>
  <c r="M61" i="27"/>
  <c r="N71" i="27"/>
  <c r="M71" i="27"/>
  <c r="D288" i="57"/>
  <c r="G288" i="57" s="1"/>
  <c r="N25" i="27" s="1"/>
  <c r="M28" i="27"/>
  <c r="M56" i="27"/>
  <c r="K345" i="57"/>
  <c r="N72" i="27"/>
  <c r="I189" i="57"/>
  <c r="N189" i="57" s="1"/>
  <c r="M32" i="42" s="1"/>
  <c r="L32" i="42"/>
  <c r="D335" i="57"/>
  <c r="G335" i="57" s="1"/>
  <c r="K335" i="57" s="1"/>
  <c r="M62" i="27"/>
  <c r="I223" i="57"/>
  <c r="L56" i="42"/>
  <c r="K226" i="57"/>
  <c r="M59" i="27"/>
  <c r="D350" i="57"/>
  <c r="G350" i="57" s="1"/>
  <c r="M77" i="27"/>
  <c r="I233" i="57"/>
  <c r="L66" i="42"/>
  <c r="D295" i="57"/>
  <c r="G295" i="57" s="1"/>
  <c r="M32" i="27"/>
  <c r="N79" i="27"/>
  <c r="M35" i="27"/>
  <c r="M22" i="27"/>
  <c r="M23" i="27" s="1"/>
  <c r="L81" i="42"/>
  <c r="D348" i="57"/>
  <c r="G348" i="57" s="1"/>
  <c r="M75" i="27"/>
  <c r="K250" i="57"/>
  <c r="M83" i="27"/>
  <c r="K233" i="57"/>
  <c r="M66" i="27"/>
  <c r="L70" i="42"/>
  <c r="K352" i="57"/>
  <c r="N33" i="27"/>
  <c r="D292" i="57"/>
  <c r="G292" i="57" s="1"/>
  <c r="N29" i="27" s="1"/>
  <c r="M29" i="27"/>
  <c r="D351" i="57"/>
  <c r="G351" i="57" s="1"/>
  <c r="M78" i="27"/>
  <c r="I244" i="57"/>
  <c r="N244" i="57" s="1"/>
  <c r="I350" i="57" s="1"/>
  <c r="N350" i="57" s="1"/>
  <c r="I456" i="57" s="1"/>
  <c r="N456" i="57" s="1"/>
  <c r="L77" i="42"/>
  <c r="D307" i="57"/>
  <c r="G307" i="57" s="1"/>
  <c r="M39" i="27"/>
  <c r="D308" i="57"/>
  <c r="G308" i="57" s="1"/>
  <c r="M40" i="27"/>
  <c r="K248" i="57"/>
  <c r="N248" i="57" s="1"/>
  <c r="M81" i="27"/>
  <c r="I186" i="57"/>
  <c r="L29" i="42"/>
  <c r="D278" i="57"/>
  <c r="G278" i="57" s="1"/>
  <c r="M16" i="27"/>
  <c r="L62" i="42"/>
  <c r="M14" i="42"/>
  <c r="I218" i="58"/>
  <c r="K2188" i="57"/>
  <c r="K2189" i="57" s="1"/>
  <c r="K1976" i="57"/>
  <c r="K1977" i="57" s="1"/>
  <c r="M58" i="27"/>
  <c r="L84" i="27"/>
  <c r="M65" i="27"/>
  <c r="M31" i="27"/>
  <c r="K330" i="41"/>
  <c r="D436" i="41"/>
  <c r="G436" i="41" s="1"/>
  <c r="M41" i="27"/>
  <c r="I222" i="57"/>
  <c r="D353" i="57"/>
  <c r="G353" i="57" s="1"/>
  <c r="M80" i="27"/>
  <c r="D415" i="57"/>
  <c r="G415" i="57" s="1"/>
  <c r="K415" i="57" s="1"/>
  <c r="N41" i="27"/>
  <c r="I247" i="57"/>
  <c r="N247" i="57" s="1"/>
  <c r="L80" i="42"/>
  <c r="M55" i="27"/>
  <c r="L60" i="42"/>
  <c r="L38" i="42"/>
  <c r="K239" i="57"/>
  <c r="M72" i="27"/>
  <c r="I190" i="57"/>
  <c r="N190" i="57" s="1"/>
  <c r="M33" i="42" s="1"/>
  <c r="L33" i="42"/>
  <c r="D297" i="57"/>
  <c r="G297" i="57" s="1"/>
  <c r="M34" i="27"/>
  <c r="D339" i="57"/>
  <c r="G339" i="57" s="1"/>
  <c r="K339" i="57" s="1"/>
  <c r="I200" i="57"/>
  <c r="N200" i="57" s="1"/>
  <c r="M38" i="42" s="1"/>
  <c r="I227" i="57"/>
  <c r="N227" i="57" s="1"/>
  <c r="M60" i="42" s="1"/>
  <c r="D305" i="57"/>
  <c r="G305" i="57" s="1"/>
  <c r="D411" i="57" s="1"/>
  <c r="G411" i="57" s="1"/>
  <c r="D331" i="57"/>
  <c r="G331" i="57" s="1"/>
  <c r="D437" i="57" s="1"/>
  <c r="G437" i="57" s="1"/>
  <c r="N613" i="41"/>
  <c r="I719" i="41" s="1"/>
  <c r="N719" i="41" s="1"/>
  <c r="I825" i="41" s="1"/>
  <c r="K332" i="57"/>
  <c r="K228" i="57"/>
  <c r="N228" i="57" s="1"/>
  <c r="I334" i="57" s="1"/>
  <c r="K222" i="57"/>
  <c r="D450" i="57"/>
  <c r="G450" i="57" s="1"/>
  <c r="K238" i="57"/>
  <c r="N238" i="57" s="1"/>
  <c r="K203" i="57"/>
  <c r="N203" i="57" s="1"/>
  <c r="I309" i="57" s="1"/>
  <c r="K309" i="57"/>
  <c r="I201" i="57"/>
  <c r="N201" i="57" s="1"/>
  <c r="N246" i="57"/>
  <c r="M79" i="42" s="1"/>
  <c r="D404" i="57"/>
  <c r="G404" i="57" s="1"/>
  <c r="D510" i="57" s="1"/>
  <c r="G510" i="57" s="1"/>
  <c r="D616" i="57" s="1"/>
  <c r="G616" i="57" s="1"/>
  <c r="I239" i="57"/>
  <c r="N243" i="57"/>
  <c r="K229" i="57"/>
  <c r="N229" i="57" s="1"/>
  <c r="D355" i="57"/>
  <c r="G355" i="57" s="1"/>
  <c r="K355" i="57" s="1"/>
  <c r="K185" i="57"/>
  <c r="N185" i="57" s="1"/>
  <c r="M28" i="42" s="1"/>
  <c r="K223" i="57"/>
  <c r="K455" i="57"/>
  <c r="D402" i="57"/>
  <c r="G402" i="57" s="1"/>
  <c r="K186" i="57"/>
  <c r="D294" i="57"/>
  <c r="G294" i="57" s="1"/>
  <c r="K294" i="57" s="1"/>
  <c r="N232" i="57"/>
  <c r="I338" i="57" s="1"/>
  <c r="D460" i="57"/>
  <c r="G460" i="57" s="1"/>
  <c r="O81" i="27" s="1"/>
  <c r="D338" i="57"/>
  <c r="G338" i="57" s="1"/>
  <c r="K338" i="57" s="1"/>
  <c r="K349" i="57"/>
  <c r="I226" i="57"/>
  <c r="G284" i="57"/>
  <c r="D390" i="57" s="1"/>
  <c r="G390" i="57" s="1"/>
  <c r="D356" i="57"/>
  <c r="G356" i="57" s="1"/>
  <c r="N83" i="27" s="1"/>
  <c r="G179" i="57"/>
  <c r="I230" i="57"/>
  <c r="D336" i="57"/>
  <c r="G336" i="57" s="1"/>
  <c r="N63" i="27" s="1"/>
  <c r="K230" i="57"/>
  <c r="D451" i="57"/>
  <c r="G451" i="57" s="1"/>
  <c r="K451" i="57" s="1"/>
  <c r="I130" i="41"/>
  <c r="N883" i="41"/>
  <c r="I989" i="41" s="1"/>
  <c r="N989" i="41" s="1"/>
  <c r="I1095" i="41" s="1"/>
  <c r="N1095" i="41" s="1"/>
  <c r="I1201" i="41" s="1"/>
  <c r="N1201" i="41" s="1"/>
  <c r="I1307" i="41" s="1"/>
  <c r="N1307" i="41" s="1"/>
  <c r="I1413" i="41" s="1"/>
  <c r="N1413" i="41" s="1"/>
  <c r="I1519" i="41" s="1"/>
  <c r="N1519" i="41" s="1"/>
  <c r="I1625" i="41" s="1"/>
  <c r="N1625" i="41" s="1"/>
  <c r="I1731" i="41" s="1"/>
  <c r="N1731" i="41" s="1"/>
  <c r="I1837" i="41" s="1"/>
  <c r="N1837" i="41" s="1"/>
  <c r="I1943" i="41" s="1"/>
  <c r="N1943" i="41" s="1"/>
  <c r="I2049" i="41" s="1"/>
  <c r="N2049" i="41" s="1"/>
  <c r="I2155" i="41" s="1"/>
  <c r="N2155" i="41" s="1"/>
  <c r="I2261" i="41" s="1"/>
  <c r="N2261" i="41" s="1"/>
  <c r="I2367" i="41" s="1"/>
  <c r="N2367" i="41" s="1"/>
  <c r="K551" i="41"/>
  <c r="N551" i="41" s="1"/>
  <c r="I657" i="41" s="1"/>
  <c r="N657" i="41" s="1"/>
  <c r="I763" i="41" s="1"/>
  <c r="D763" i="41"/>
  <c r="G763" i="41" s="1"/>
  <c r="K763" i="41" s="1"/>
  <c r="N338" i="41"/>
  <c r="I444" i="41" s="1"/>
  <c r="N198" i="57"/>
  <c r="I304" i="57" s="1"/>
  <c r="L73" i="42"/>
  <c r="I240" i="57"/>
  <c r="D346" i="57"/>
  <c r="G346" i="57" s="1"/>
  <c r="N73" i="27" s="1"/>
  <c r="K240" i="57"/>
  <c r="N452" i="41"/>
  <c r="I558" i="41" s="1"/>
  <c r="N446" i="41"/>
  <c r="I552" i="41" s="1"/>
  <c r="N552" i="41" s="1"/>
  <c r="I658" i="41" s="1"/>
  <c r="N658" i="41" s="1"/>
  <c r="I764" i="41" s="1"/>
  <c r="G42" i="74"/>
  <c r="D290" i="57"/>
  <c r="G290" i="57" s="1"/>
  <c r="K290" i="57" s="1"/>
  <c r="N179" i="57"/>
  <c r="I284" i="57"/>
  <c r="L218" i="58"/>
  <c r="K1552" i="57"/>
  <c r="K1553" i="57" s="1"/>
  <c r="N14" i="42"/>
  <c r="I383" i="57"/>
  <c r="N383" i="57" s="1"/>
  <c r="K1446" i="57"/>
  <c r="K1447" i="57" s="1"/>
  <c r="K1234" i="57"/>
  <c r="K1235" i="57" s="1"/>
  <c r="K2294" i="57"/>
  <c r="K2295" i="57" s="1"/>
  <c r="K1870" i="57"/>
  <c r="K1871" i="57" s="1"/>
  <c r="P218" i="58"/>
  <c r="G147" i="41"/>
  <c r="D239" i="41"/>
  <c r="K133" i="41"/>
  <c r="M27" i="27"/>
  <c r="A37" i="37"/>
  <c r="A38" i="37" s="1"/>
  <c r="N227" i="41"/>
  <c r="I333" i="41" s="1"/>
  <c r="I128" i="57"/>
  <c r="N506" i="41"/>
  <c r="I612" i="41" s="1"/>
  <c r="N358" i="41"/>
  <c r="I464" i="41" s="1"/>
  <c r="D439" i="41"/>
  <c r="G439" i="41" s="1"/>
  <c r="K333" i="41"/>
  <c r="N61" i="27"/>
  <c r="K334" i="57"/>
  <c r="D440" i="57"/>
  <c r="G440" i="57" s="1"/>
  <c r="N341" i="41"/>
  <c r="I447" i="41" s="1"/>
  <c r="D987" i="41"/>
  <c r="G987" i="41" s="1"/>
  <c r="D1093" i="41" s="1"/>
  <c r="G1093" i="41" s="1"/>
  <c r="N654" i="41"/>
  <c r="I760" i="41" s="1"/>
  <c r="N674" i="41"/>
  <c r="I780" i="41" s="1"/>
  <c r="N867" i="41"/>
  <c r="I973" i="41" s="1"/>
  <c r="K329" i="57"/>
  <c r="N56" i="27"/>
  <c r="D435" i="57"/>
  <c r="G435" i="57" s="1"/>
  <c r="D561" i="41"/>
  <c r="G561" i="41" s="1"/>
  <c r="K455" i="41"/>
  <c r="N349" i="41"/>
  <c r="I455" i="41" s="1"/>
  <c r="N249" i="57"/>
  <c r="K304" i="57"/>
  <c r="D410" i="57"/>
  <c r="G410" i="57" s="1"/>
  <c r="N36" i="27"/>
  <c r="N199" i="57"/>
  <c r="N414" i="41"/>
  <c r="I520" i="41" s="1"/>
  <c r="N881" i="41"/>
  <c r="I987" i="41" s="1"/>
  <c r="N885" i="41"/>
  <c r="I991" i="41" s="1"/>
  <c r="N771" i="41"/>
  <c r="I877" i="41" s="1"/>
  <c r="N519" i="41"/>
  <c r="I625" i="41" s="1"/>
  <c r="N625" i="41" s="1"/>
  <c r="I731" i="41" s="1"/>
  <c r="N624" i="41"/>
  <c r="I730" i="41" s="1"/>
  <c r="N505" i="41"/>
  <c r="I611" i="41" s="1"/>
  <c r="N778" i="41"/>
  <c r="I884" i="41" s="1"/>
  <c r="N510" i="41"/>
  <c r="I616" i="41" s="1"/>
  <c r="O79" i="27"/>
  <c r="D564" i="57"/>
  <c r="G564" i="57" s="1"/>
  <c r="K458" i="57"/>
  <c r="N666" i="41"/>
  <c r="I772" i="41" s="1"/>
  <c r="N231" i="57"/>
  <c r="I337" i="57" s="1"/>
  <c r="N225" i="57"/>
  <c r="M58" i="42" s="1"/>
  <c r="K438" i="41"/>
  <c r="N438" i="41" s="1"/>
  <c r="I544" i="41" s="1"/>
  <c r="D544" i="41"/>
  <c r="G544" i="41" s="1"/>
  <c r="N733" i="41"/>
  <c r="I839" i="41" s="1"/>
  <c r="K398" i="41"/>
  <c r="N398" i="41" s="1"/>
  <c r="I504" i="41" s="1"/>
  <c r="D504" i="41"/>
  <c r="G504" i="41" s="1"/>
  <c r="K612" i="41"/>
  <c r="D718" i="41"/>
  <c r="G718" i="41" s="1"/>
  <c r="J664" i="41"/>
  <c r="K558" i="41"/>
  <c r="J866" i="41"/>
  <c r="K760" i="41"/>
  <c r="N331" i="41"/>
  <c r="I437" i="41" s="1"/>
  <c r="N297" i="41"/>
  <c r="I403" i="41" s="1"/>
  <c r="M16" i="59"/>
  <c r="M18" i="59" s="1"/>
  <c r="M20" i="59" s="1"/>
  <c r="M22" i="59" s="1"/>
  <c r="N17" i="27"/>
  <c r="D385" i="57"/>
  <c r="G385" i="57" s="1"/>
  <c r="N64" i="27"/>
  <c r="K337" i="57"/>
  <c r="D443" i="57"/>
  <c r="G443" i="57" s="1"/>
  <c r="N28" i="27"/>
  <c r="K291" i="57"/>
  <c r="D397" i="57"/>
  <c r="G397" i="57" s="1"/>
  <c r="N135" i="57"/>
  <c r="K145" i="57"/>
  <c r="D382" i="57"/>
  <c r="G382" i="57" s="1"/>
  <c r="N14" i="27"/>
  <c r="I454" i="57"/>
  <c r="N454" i="57" s="1"/>
  <c r="N75" i="42"/>
  <c r="N38" i="27"/>
  <c r="K306" i="57"/>
  <c r="D412" i="57"/>
  <c r="G412" i="57" s="1"/>
  <c r="G241" i="57"/>
  <c r="D251" i="57"/>
  <c r="F74" i="70"/>
  <c r="F63" i="70"/>
  <c r="F29" i="74"/>
  <c r="O29" i="74" s="1"/>
  <c r="T43" i="127"/>
  <c r="N181" i="74" s="1"/>
  <c r="T21" i="127"/>
  <c r="N163" i="74" s="1"/>
  <c r="F43" i="136" s="1"/>
  <c r="T68" i="127"/>
  <c r="N214" i="74" s="1"/>
  <c r="F97" i="136" s="1"/>
  <c r="T49" i="127"/>
  <c r="N185" i="74" s="1"/>
  <c r="F79" i="136" s="1"/>
  <c r="T45" i="127"/>
  <c r="N183" i="74" s="1"/>
  <c r="F77" i="136" s="1"/>
  <c r="T33" i="127"/>
  <c r="N173" i="74" s="1"/>
  <c r="F53" i="136" s="1"/>
  <c r="T62" i="127"/>
  <c r="N193" i="74" s="1"/>
  <c r="T35" i="127"/>
  <c r="N175" i="74" s="1"/>
  <c r="F55" i="136" s="1"/>
  <c r="T51" i="127"/>
  <c r="N187" i="74" s="1"/>
  <c r="F81" i="136" s="1"/>
  <c r="T20" i="127"/>
  <c r="N162" i="74" s="1"/>
  <c r="T25" i="127"/>
  <c r="N167" i="74" s="1"/>
  <c r="F47" i="136" s="1"/>
  <c r="T27" i="127"/>
  <c r="N169" i="74" s="1"/>
  <c r="F49" i="136" s="1"/>
  <c r="T37" i="127"/>
  <c r="N177" i="74" s="1"/>
  <c r="F71" i="136" s="1"/>
  <c r="T23" i="127"/>
  <c r="N165" i="74" s="1"/>
  <c r="T22" i="127"/>
  <c r="N164" i="74" s="1"/>
  <c r="F44" i="136" s="1"/>
  <c r="T36" i="127"/>
  <c r="N176" i="74" s="1"/>
  <c r="F70" i="136" s="1"/>
  <c r="T55" i="127"/>
  <c r="N189" i="74" s="1"/>
  <c r="F83" i="136" s="1"/>
  <c r="C46" i="80"/>
  <c r="D98" i="73" s="1"/>
  <c r="T38" i="127"/>
  <c r="N178" i="74" s="1"/>
  <c r="F72" i="136" s="1"/>
  <c r="C58" i="80"/>
  <c r="D99" i="73" s="1"/>
  <c r="T70" i="127"/>
  <c r="N216" i="74" s="1"/>
  <c r="T26" i="127"/>
  <c r="N168" i="74" s="1"/>
  <c r="O168" i="74" s="1"/>
  <c r="T67" i="127"/>
  <c r="N213" i="74" s="1"/>
  <c r="F96" i="136" s="1"/>
  <c r="T57" i="127"/>
  <c r="V57" i="127" s="1"/>
  <c r="L65" i="127"/>
  <c r="I53" i="80" s="1"/>
  <c r="J90" i="73" s="1"/>
  <c r="L62" i="127"/>
  <c r="G44" i="127"/>
  <c r="D33" i="80" s="1"/>
  <c r="E74" i="73" s="1"/>
  <c r="H62" i="127"/>
  <c r="K35" i="80"/>
  <c r="L84" i="73" s="1"/>
  <c r="K45" i="80"/>
  <c r="L85" i="73" s="1"/>
  <c r="M35" i="80"/>
  <c r="N84" i="73" s="1"/>
  <c r="M45" i="80"/>
  <c r="N85" i="73" s="1"/>
  <c r="G35" i="80"/>
  <c r="H84" i="73" s="1"/>
  <c r="G45" i="80"/>
  <c r="H85" i="73" s="1"/>
  <c r="I35" i="80"/>
  <c r="J84" i="73" s="1"/>
  <c r="I45" i="80"/>
  <c r="J85" i="73" s="1"/>
  <c r="T65" i="127"/>
  <c r="N196" i="74" s="1"/>
  <c r="F65" i="127"/>
  <c r="C53" i="80" s="1"/>
  <c r="D90" i="73" s="1"/>
  <c r="F66" i="127"/>
  <c r="C54" i="80" s="1"/>
  <c r="D92" i="73" s="1"/>
  <c r="E45" i="80"/>
  <c r="F85" i="73" s="1"/>
  <c r="F48" i="127"/>
  <c r="C38" i="80" s="1"/>
  <c r="D76" i="73" s="1"/>
  <c r="F44" i="127"/>
  <c r="C33" i="80" s="1"/>
  <c r="D74" i="73" s="1"/>
  <c r="N65" i="127"/>
  <c r="K53" i="80" s="1"/>
  <c r="L90" i="73" s="1"/>
  <c r="J65" i="127"/>
  <c r="G53" i="80" s="1"/>
  <c r="H90" i="73" s="1"/>
  <c r="F69" i="127"/>
  <c r="C57" i="80" s="1"/>
  <c r="P65" i="127"/>
  <c r="M53" i="80" s="1"/>
  <c r="N90" i="73" s="1"/>
  <c r="F50" i="127"/>
  <c r="C40" i="80" s="1"/>
  <c r="D78" i="73" s="1"/>
  <c r="F42" i="127"/>
  <c r="C31" i="80" s="1"/>
  <c r="D72" i="73" s="1"/>
  <c r="M46" i="80"/>
  <c r="N98" i="73" s="1"/>
  <c r="M36" i="80"/>
  <c r="N97" i="73" s="1"/>
  <c r="M58" i="80"/>
  <c r="N99" i="73" s="1"/>
  <c r="I46" i="80"/>
  <c r="J98" i="73" s="1"/>
  <c r="I36" i="80"/>
  <c r="J97" i="73" s="1"/>
  <c r="I58" i="80"/>
  <c r="J99" i="73" s="1"/>
  <c r="G58" i="80"/>
  <c r="H99" i="73" s="1"/>
  <c r="G46" i="80"/>
  <c r="H98" i="73" s="1"/>
  <c r="G36" i="80"/>
  <c r="H97" i="73" s="1"/>
  <c r="E46" i="80"/>
  <c r="F98" i="73" s="1"/>
  <c r="E36" i="80"/>
  <c r="F97" i="73" s="1"/>
  <c r="E58" i="80"/>
  <c r="F99" i="73" s="1"/>
  <c r="K58" i="80"/>
  <c r="L99" i="73" s="1"/>
  <c r="K46" i="80"/>
  <c r="L98" i="73" s="1"/>
  <c r="K36" i="80"/>
  <c r="L97" i="73" s="1"/>
  <c r="S76" i="75"/>
  <c r="S73" i="75"/>
  <c r="D105" i="70"/>
  <c r="F105" i="70" s="1"/>
  <c r="F106" i="70" s="1"/>
  <c r="E20" i="69" s="1"/>
  <c r="E24" i="21" s="1"/>
  <c r="I24" i="21" s="1"/>
  <c r="E61" i="145"/>
  <c r="E72" i="145" s="1"/>
  <c r="F113" i="70"/>
  <c r="E21" i="69" s="1"/>
  <c r="E26" i="21" s="1"/>
  <c r="I26" i="21" s="1"/>
  <c r="P84" i="72"/>
  <c r="D95" i="70" s="1"/>
  <c r="F95" i="70" s="1"/>
  <c r="F97" i="70" s="1"/>
  <c r="E19" i="69" s="1"/>
  <c r="E22" i="21" s="1"/>
  <c r="I22" i="21" s="1"/>
  <c r="E26" i="80"/>
  <c r="F68" i="73" s="1"/>
  <c r="K23" i="80"/>
  <c r="L52" i="73" s="1"/>
  <c r="T32" i="127"/>
  <c r="N172" i="74" s="1"/>
  <c r="F52" i="136" s="1"/>
  <c r="E24" i="80"/>
  <c r="F53" i="73" s="1"/>
  <c r="K26" i="80"/>
  <c r="L68" i="73" s="1"/>
  <c r="T60" i="127"/>
  <c r="N191" i="74" s="1"/>
  <c r="F85" i="136" s="1"/>
  <c r="O94" i="74"/>
  <c r="O76" i="74"/>
  <c r="H127" i="74"/>
  <c r="H120" i="74"/>
  <c r="S43" i="76" s="1"/>
  <c r="O67" i="74"/>
  <c r="I128" i="74"/>
  <c r="O97" i="74"/>
  <c r="I120" i="74"/>
  <c r="S49" i="76" s="1"/>
  <c r="O65" i="74"/>
  <c r="O77" i="74"/>
  <c r="O73" i="74"/>
  <c r="O194" i="74"/>
  <c r="I52" i="80"/>
  <c r="J89" i="73" s="1"/>
  <c r="J129" i="74"/>
  <c r="J120" i="74"/>
  <c r="S69" i="76" s="1"/>
  <c r="O71" i="74"/>
  <c r="G26" i="80"/>
  <c r="H68" i="73" s="1"/>
  <c r="M26" i="80"/>
  <c r="N68" i="73" s="1"/>
  <c r="M23" i="80"/>
  <c r="N52" i="73" s="1"/>
  <c r="G54" i="80"/>
  <c r="H92" i="73" s="1"/>
  <c r="G57" i="80"/>
  <c r="H96" i="73" s="1"/>
  <c r="I57" i="80"/>
  <c r="J96" i="73" s="1"/>
  <c r="I54" i="80"/>
  <c r="J92" i="73" s="1"/>
  <c r="G55" i="80"/>
  <c r="H94" i="73" s="1"/>
  <c r="K55" i="80"/>
  <c r="L94" i="73" s="1"/>
  <c r="G52" i="80"/>
  <c r="H89" i="73" s="1"/>
  <c r="I26" i="80"/>
  <c r="J68" i="73" s="1"/>
  <c r="C52" i="80"/>
  <c r="D89" i="73" s="1"/>
  <c r="M39" i="80"/>
  <c r="N77" i="73" s="1"/>
  <c r="I55" i="80"/>
  <c r="J94" i="73" s="1"/>
  <c r="M55" i="80"/>
  <c r="N94" i="73" s="1"/>
  <c r="M57" i="80"/>
  <c r="N96" i="73" s="1"/>
  <c r="C56" i="80"/>
  <c r="D95" i="73" s="1"/>
  <c r="E48" i="80"/>
  <c r="F83" i="73" s="1"/>
  <c r="G51" i="80"/>
  <c r="H88" i="73" s="1"/>
  <c r="I51" i="80"/>
  <c r="J88" i="73" s="1"/>
  <c r="G23" i="80"/>
  <c r="H52" i="73" s="1"/>
  <c r="G39" i="80"/>
  <c r="H77" i="73" s="1"/>
  <c r="I24" i="80"/>
  <c r="J53" i="73" s="1"/>
  <c r="I48" i="80"/>
  <c r="J83" i="73" s="1"/>
  <c r="K24" i="80"/>
  <c r="L53" i="73" s="1"/>
  <c r="K48" i="80"/>
  <c r="L83" i="73" s="1"/>
  <c r="K54" i="80"/>
  <c r="L92" i="73" s="1"/>
  <c r="M54" i="80"/>
  <c r="N92" i="73" s="1"/>
  <c r="E55" i="80"/>
  <c r="F94" i="73" s="1"/>
  <c r="M52" i="80"/>
  <c r="N89" i="73" s="1"/>
  <c r="E57" i="80"/>
  <c r="F96" i="73" s="1"/>
  <c r="M56" i="80"/>
  <c r="N95" i="73" s="1"/>
  <c r="E53" i="80"/>
  <c r="F90" i="73" s="1"/>
  <c r="C51" i="80"/>
  <c r="D88" i="73" s="1"/>
  <c r="G24" i="80"/>
  <c r="H53" i="73" s="1"/>
  <c r="G48" i="80"/>
  <c r="H83" i="73" s="1"/>
  <c r="E52" i="80"/>
  <c r="F89" i="73" s="1"/>
  <c r="G11" i="80"/>
  <c r="H41" i="73" s="1"/>
  <c r="C39" i="80"/>
  <c r="D77" i="73" s="1"/>
  <c r="R476" i="127"/>
  <c r="E23" i="80"/>
  <c r="F52" i="73" s="1"/>
  <c r="E39" i="80"/>
  <c r="F77" i="73" s="1"/>
  <c r="M24" i="80"/>
  <c r="N53" i="73" s="1"/>
  <c r="M48" i="80"/>
  <c r="N83" i="73" s="1"/>
  <c r="I23" i="80"/>
  <c r="J52" i="73" s="1"/>
  <c r="I39" i="80"/>
  <c r="J77" i="73" s="1"/>
  <c r="C48" i="80"/>
  <c r="D83" i="73" s="1"/>
  <c r="I11" i="80"/>
  <c r="J41" i="73" s="1"/>
  <c r="K52" i="80"/>
  <c r="L89" i="73" s="1"/>
  <c r="K56" i="80"/>
  <c r="L95" i="73" s="1"/>
  <c r="G56" i="80"/>
  <c r="H95" i="73" s="1"/>
  <c r="M51" i="80"/>
  <c r="N88" i="73" s="1"/>
  <c r="K51" i="80"/>
  <c r="L88" i="73" s="1"/>
  <c r="E51" i="80"/>
  <c r="F88" i="73" s="1"/>
  <c r="K11" i="80"/>
  <c r="L41" i="73" s="1"/>
  <c r="E11" i="80"/>
  <c r="F41" i="73" s="1"/>
  <c r="K57" i="80"/>
  <c r="L96" i="73" s="1"/>
  <c r="E56" i="80"/>
  <c r="F95" i="73" s="1"/>
  <c r="T66" i="127"/>
  <c r="N211" i="74" s="1"/>
  <c r="F94" i="136" s="1"/>
  <c r="K39" i="80"/>
  <c r="L77" i="73" s="1"/>
  <c r="D42" i="74"/>
  <c r="J17" i="108"/>
  <c r="J20" i="108" s="1"/>
  <c r="F30" i="71"/>
  <c r="I13" i="69" s="1"/>
  <c r="M13" i="69" s="1"/>
  <c r="J50" i="109"/>
  <c r="J22" i="109"/>
  <c r="M27" i="80"/>
  <c r="N69" i="73" s="1"/>
  <c r="M28" i="80"/>
  <c r="N70" i="73" s="1"/>
  <c r="I31" i="80"/>
  <c r="J72" i="73" s="1"/>
  <c r="T42" i="127"/>
  <c r="N180" i="74" s="1"/>
  <c r="F74" i="136" s="1"/>
  <c r="I28" i="80"/>
  <c r="J70" i="73" s="1"/>
  <c r="K28" i="80"/>
  <c r="L70" i="73" s="1"/>
  <c r="O186" i="74"/>
  <c r="F91" i="136"/>
  <c r="T24" i="127"/>
  <c r="N166" i="74" s="1"/>
  <c r="G18" i="80"/>
  <c r="H48" i="73" s="1"/>
  <c r="K18" i="80"/>
  <c r="L48" i="73" s="1"/>
  <c r="M18" i="80"/>
  <c r="N48" i="73" s="1"/>
  <c r="I18" i="80"/>
  <c r="J48" i="73" s="1"/>
  <c r="O170" i="74"/>
  <c r="M11" i="80"/>
  <c r="N41" i="73" s="1"/>
  <c r="O156" i="74"/>
  <c r="N160" i="74"/>
  <c r="O160" i="74" s="1"/>
  <c r="K32" i="80"/>
  <c r="L73" i="73" s="1"/>
  <c r="K17" i="80"/>
  <c r="L47" i="73" s="1"/>
  <c r="G32" i="80"/>
  <c r="H73" i="73" s="1"/>
  <c r="E32" i="80"/>
  <c r="F73" i="73" s="1"/>
  <c r="E22" i="80"/>
  <c r="F51" i="73" s="1"/>
  <c r="E54" i="80"/>
  <c r="F92" i="73" s="1"/>
  <c r="M32" i="80"/>
  <c r="N73" i="73" s="1"/>
  <c r="K22" i="80"/>
  <c r="L51" i="73" s="1"/>
  <c r="I32" i="80"/>
  <c r="J73" i="73" s="1"/>
  <c r="M22" i="80"/>
  <c r="N51" i="73" s="1"/>
  <c r="G22" i="80"/>
  <c r="H51" i="73" s="1"/>
  <c r="M33" i="68"/>
  <c r="G23" i="64"/>
  <c r="D878" i="41"/>
  <c r="G878" i="41" s="1"/>
  <c r="K772" i="41"/>
  <c r="D553" i="41"/>
  <c r="G553" i="41" s="1"/>
  <c r="K447" i="41"/>
  <c r="J836" i="41"/>
  <c r="K730" i="41"/>
  <c r="K333" i="57"/>
  <c r="D439" i="57"/>
  <c r="G439" i="57" s="1"/>
  <c r="N60" i="27"/>
  <c r="O37" i="102"/>
  <c r="N31" i="102"/>
  <c r="K437" i="41"/>
  <c r="D543" i="41"/>
  <c r="G543" i="41" s="1"/>
  <c r="I21" i="49"/>
  <c r="C19" i="49"/>
  <c r="D626" i="41"/>
  <c r="G626" i="41" s="1"/>
  <c r="K520" i="41"/>
  <c r="T17" i="127"/>
  <c r="N357" i="41"/>
  <c r="I463" i="41" s="1"/>
  <c r="E19" i="123"/>
  <c r="G19" i="123" s="1"/>
  <c r="E112" i="123"/>
  <c r="K25" i="90"/>
  <c r="K32" i="90" s="1"/>
  <c r="G32" i="90"/>
  <c r="D1097" i="41"/>
  <c r="G1097" i="41" s="1"/>
  <c r="K991" i="41"/>
  <c r="D550" i="41"/>
  <c r="G550" i="41" s="1"/>
  <c r="K444" i="41"/>
  <c r="N118" i="57"/>
  <c r="K128" i="57"/>
  <c r="I808" i="41"/>
  <c r="I22" i="80"/>
  <c r="J51" i="73" s="1"/>
  <c r="G10" i="80"/>
  <c r="G463" i="41"/>
  <c r="F73" i="136"/>
  <c r="I330" i="41"/>
  <c r="D1154" i="41"/>
  <c r="G1154" i="41" s="1"/>
  <c r="L67" i="27"/>
  <c r="G18" i="57"/>
  <c r="D19" i="57" s="1"/>
  <c r="G19" i="57" s="1"/>
  <c r="D20" i="57" s="1"/>
  <c r="G20" i="57" s="1"/>
  <c r="D21" i="57" s="1"/>
  <c r="G21" i="57" s="1"/>
  <c r="D22" i="57" s="1"/>
  <c r="G22" i="57" s="1"/>
  <c r="D23" i="57" s="1"/>
  <c r="G23" i="57" s="1"/>
  <c r="D24" i="57" s="1"/>
  <c r="G24" i="57" s="1"/>
  <c r="D25" i="57" s="1"/>
  <c r="G25" i="57" s="1"/>
  <c r="D26" i="57" s="1"/>
  <c r="G26" i="57" s="1"/>
  <c r="D27" i="57" s="1"/>
  <c r="G27" i="57" s="1"/>
  <c r="N99" i="41"/>
  <c r="K130" i="41"/>
  <c r="K973" i="41"/>
  <c r="D1079" i="41"/>
  <c r="G1079" i="41" s="1"/>
  <c r="N188" i="57"/>
  <c r="K611" i="41"/>
  <c r="D717" i="41"/>
  <c r="G717" i="41" s="1"/>
  <c r="D990" i="41"/>
  <c r="G990" i="41" s="1"/>
  <c r="K884" i="41"/>
  <c r="I10" i="80"/>
  <c r="D931" i="41"/>
  <c r="G931" i="41" s="1"/>
  <c r="K825" i="41"/>
  <c r="I17" i="108"/>
  <c r="I20" i="108" s="1"/>
  <c r="F30" i="70"/>
  <c r="G334" i="41"/>
  <c r="G171" i="57"/>
  <c r="D175" i="57"/>
  <c r="K10" i="80"/>
  <c r="G555" i="57"/>
  <c r="I184" i="57"/>
  <c r="N184" i="57" s="1"/>
  <c r="L27" i="42"/>
  <c r="G40" i="123"/>
  <c r="G42" i="123" s="1"/>
  <c r="E42" i="123"/>
  <c r="E48" i="123" s="1"/>
  <c r="G48" i="123" s="1"/>
  <c r="K616" i="41"/>
  <c r="D722" i="41"/>
  <c r="G722" i="41" s="1"/>
  <c r="I286" i="41"/>
  <c r="N181" i="41"/>
  <c r="D289" i="57"/>
  <c r="G289" i="57" s="1"/>
  <c r="M26" i="27"/>
  <c r="D293" i="57"/>
  <c r="G293" i="57" s="1"/>
  <c r="M30" i="27"/>
  <c r="K187" i="57"/>
  <c r="M10" i="80"/>
  <c r="O35" i="42"/>
  <c r="I510" i="57"/>
  <c r="N510" i="57" s="1"/>
  <c r="D71" i="73"/>
  <c r="P71" i="73" s="1"/>
  <c r="O30" i="80"/>
  <c r="N18" i="27"/>
  <c r="D386" i="57"/>
  <c r="G386" i="57" s="1"/>
  <c r="K877" i="41"/>
  <c r="D983" i="41"/>
  <c r="G983" i="41" s="1"/>
  <c r="I52" i="109"/>
  <c r="I22" i="109"/>
  <c r="G328" i="57"/>
  <c r="D570" i="41"/>
  <c r="G570" i="41" s="1"/>
  <c r="K464" i="41"/>
  <c r="D667" i="57"/>
  <c r="G667" i="57" s="1"/>
  <c r="P76" i="27"/>
  <c r="K561" i="57"/>
  <c r="I183" i="57"/>
  <c r="N183" i="57" s="1"/>
  <c r="L26" i="42"/>
  <c r="D47" i="49"/>
  <c r="I45" i="49"/>
  <c r="D870" i="41"/>
  <c r="G870" i="41" s="1"/>
  <c r="K764" i="41"/>
  <c r="E18" i="21"/>
  <c r="G808" i="41"/>
  <c r="D388" i="41"/>
  <c r="G283" i="41"/>
  <c r="D1184" i="41"/>
  <c r="G1184" i="41" s="1"/>
  <c r="G703" i="41"/>
  <c r="D509" i="41"/>
  <c r="G509" i="41" s="1"/>
  <c r="K403" i="41"/>
  <c r="G224" i="57"/>
  <c r="D234" i="57"/>
  <c r="N237" i="57"/>
  <c r="D837" i="41"/>
  <c r="G837" i="41" s="1"/>
  <c r="K731" i="41"/>
  <c r="F51" i="136"/>
  <c r="M232" i="74"/>
  <c r="O232" i="74" s="1"/>
  <c r="I187" i="57"/>
  <c r="L30" i="42"/>
  <c r="N228" i="41"/>
  <c r="I334" i="41" s="1"/>
  <c r="E10" i="80"/>
  <c r="D886" i="41"/>
  <c r="G886" i="41" s="1"/>
  <c r="K780" i="41"/>
  <c r="J16" i="59"/>
  <c r="I281" i="41"/>
  <c r="N177" i="41"/>
  <c r="P99" i="72"/>
  <c r="G205" i="41"/>
  <c r="D236" i="41"/>
  <c r="D286" i="41"/>
  <c r="G181" i="41"/>
  <c r="C10" i="80"/>
  <c r="D982" i="41"/>
  <c r="G982" i="41" s="1"/>
  <c r="K839" i="41"/>
  <c r="D945" i="41"/>
  <c r="G945" i="41" s="1"/>
  <c r="D256" i="57" l="1"/>
  <c r="D547" i="41"/>
  <c r="G547" i="41" s="1"/>
  <c r="K547" i="41" s="1"/>
  <c r="N547" i="41" s="1"/>
  <c r="I653" i="41" s="1"/>
  <c r="N441" i="41"/>
  <c r="I547" i="41" s="1"/>
  <c r="A39" i="37"/>
  <c r="A40" i="37" s="1"/>
  <c r="A42" i="37" s="1"/>
  <c r="O166" i="74"/>
  <c r="M163" i="74"/>
  <c r="M165" i="74"/>
  <c r="M192" i="74"/>
  <c r="M169" i="74"/>
  <c r="M175" i="74"/>
  <c r="M174" i="74"/>
  <c r="M171" i="74"/>
  <c r="M195" i="74"/>
  <c r="O190" i="74"/>
  <c r="G152" i="41"/>
  <c r="K69" i="57"/>
  <c r="K150" i="57" s="1"/>
  <c r="J18" i="57" s="1"/>
  <c r="N68" i="57"/>
  <c r="D1314" i="57"/>
  <c r="G1314" i="57" s="1"/>
  <c r="G87" i="44"/>
  <c r="G88" i="44" s="1"/>
  <c r="I1420" i="57"/>
  <c r="N1420" i="57" s="1"/>
  <c r="H87" i="43"/>
  <c r="H88" i="43" s="1"/>
  <c r="D826" i="41"/>
  <c r="G826" i="41" s="1"/>
  <c r="D932" i="41" s="1"/>
  <c r="G932" i="41" s="1"/>
  <c r="D26" i="49"/>
  <c r="I24" i="49"/>
  <c r="N8" i="59"/>
  <c r="I10" i="59"/>
  <c r="I12" i="59" s="1"/>
  <c r="I14" i="59" s="1"/>
  <c r="K14" i="59" s="1"/>
  <c r="I150" i="57"/>
  <c r="M17" i="57" s="1"/>
  <c r="I18" i="57" s="1"/>
  <c r="N58" i="27"/>
  <c r="N77" i="42"/>
  <c r="N250" i="57"/>
  <c r="I356" i="57" s="1"/>
  <c r="M41" i="42"/>
  <c r="O59" i="27"/>
  <c r="P35" i="27"/>
  <c r="N226" i="57"/>
  <c r="I332" i="57" s="1"/>
  <c r="N332" i="57" s="1"/>
  <c r="N59" i="42" s="1"/>
  <c r="N15" i="42"/>
  <c r="M30" i="59"/>
  <c r="M32" i="59" s="1"/>
  <c r="N37" i="27"/>
  <c r="N16" i="42"/>
  <c r="D544" i="57"/>
  <c r="G544" i="57" s="1"/>
  <c r="P59" i="27" s="1"/>
  <c r="N10" i="59"/>
  <c r="L16" i="59"/>
  <c r="L18" i="59" s="1"/>
  <c r="D398" i="57"/>
  <c r="G398" i="57" s="1"/>
  <c r="O29" i="27" s="1"/>
  <c r="I152" i="41"/>
  <c r="M17" i="41" s="1"/>
  <c r="I18" i="41" s="1"/>
  <c r="D394" i="57"/>
  <c r="G394" i="57" s="1"/>
  <c r="O25" i="27" s="1"/>
  <c r="I509" i="57"/>
  <c r="N509" i="57" s="1"/>
  <c r="O34" i="42"/>
  <c r="N40" i="42"/>
  <c r="I414" i="57"/>
  <c r="N414" i="57" s="1"/>
  <c r="N233" i="57"/>
  <c r="M66" i="42" s="1"/>
  <c r="I394" i="57"/>
  <c r="N394" i="57" s="1"/>
  <c r="N25" i="42"/>
  <c r="I488" i="57"/>
  <c r="N488" i="57" s="1"/>
  <c r="O13" i="42"/>
  <c r="I457" i="57"/>
  <c r="N457" i="57" s="1"/>
  <c r="N78" i="42"/>
  <c r="K305" i="57"/>
  <c r="N22" i="27"/>
  <c r="N23" i="27" s="1"/>
  <c r="G41" i="41"/>
  <c r="N82" i="27"/>
  <c r="O35" i="27"/>
  <c r="M61" i="42"/>
  <c r="M65" i="42"/>
  <c r="I296" i="57"/>
  <c r="N296" i="57" s="1"/>
  <c r="N223" i="57"/>
  <c r="I329" i="57" s="1"/>
  <c r="N329" i="57" s="1"/>
  <c r="I354" i="57"/>
  <c r="N354" i="57" s="1"/>
  <c r="M81" i="42"/>
  <c r="D384" i="57"/>
  <c r="G384" i="57" s="1"/>
  <c r="N16" i="27"/>
  <c r="N186" i="57"/>
  <c r="M29" i="42" s="1"/>
  <c r="I349" i="57"/>
  <c r="N349" i="57" s="1"/>
  <c r="M76" i="42"/>
  <c r="I307" i="57"/>
  <c r="M39" i="42"/>
  <c r="I344" i="57"/>
  <c r="N344" i="57" s="1"/>
  <c r="I450" i="57" s="1"/>
  <c r="M71" i="42"/>
  <c r="M77" i="42"/>
  <c r="D401" i="57"/>
  <c r="G401" i="57" s="1"/>
  <c r="N32" i="27"/>
  <c r="K295" i="57"/>
  <c r="N77" i="27"/>
  <c r="D456" i="57"/>
  <c r="G456" i="57" s="1"/>
  <c r="I335" i="57"/>
  <c r="N335" i="57" s="1"/>
  <c r="M62" i="42"/>
  <c r="D413" i="57"/>
  <c r="G413" i="57" s="1"/>
  <c r="N39" i="27"/>
  <c r="K307" i="57"/>
  <c r="N27" i="27"/>
  <c r="K292" i="57"/>
  <c r="N40" i="27"/>
  <c r="D414" i="57"/>
  <c r="G414" i="57" s="1"/>
  <c r="D457" i="57"/>
  <c r="G457" i="57" s="1"/>
  <c r="N78" i="27"/>
  <c r="D454" i="57"/>
  <c r="G454" i="57" s="1"/>
  <c r="N75" i="27"/>
  <c r="N31" i="27"/>
  <c r="D445" i="57"/>
  <c r="G445" i="57" s="1"/>
  <c r="N66" i="27"/>
  <c r="D441" i="57"/>
  <c r="G441" i="57" s="1"/>
  <c r="N62" i="27"/>
  <c r="N222" i="57"/>
  <c r="I328" i="57" s="1"/>
  <c r="L86" i="27"/>
  <c r="L91" i="27" s="1"/>
  <c r="N239" i="57"/>
  <c r="M72" i="42" s="1"/>
  <c r="D521" i="57"/>
  <c r="G521" i="57" s="1"/>
  <c r="P41" i="27" s="1"/>
  <c r="O41" i="27"/>
  <c r="O72" i="27"/>
  <c r="N34" i="27"/>
  <c r="D403" i="57"/>
  <c r="G403" i="57" s="1"/>
  <c r="K436" i="41"/>
  <c r="D542" i="41"/>
  <c r="G542" i="41" s="1"/>
  <c r="K542" i="41" s="1"/>
  <c r="N65" i="27"/>
  <c r="I353" i="57"/>
  <c r="M80" i="42"/>
  <c r="D508" i="57"/>
  <c r="G508" i="57" s="1"/>
  <c r="O33" i="27"/>
  <c r="K353" i="57"/>
  <c r="N80" i="27"/>
  <c r="D459" i="57"/>
  <c r="G459" i="57" s="1"/>
  <c r="K331" i="57"/>
  <c r="N309" i="57"/>
  <c r="D400" i="57"/>
  <c r="G400" i="57" s="1"/>
  <c r="D506" i="57" s="1"/>
  <c r="G506" i="57" s="1"/>
  <c r="P31" i="27" s="1"/>
  <c r="I352" i="57"/>
  <c r="N352" i="57" s="1"/>
  <c r="I458" i="57" s="1"/>
  <c r="N458" i="57" s="1"/>
  <c r="I564" i="57" s="1"/>
  <c r="I295" i="57"/>
  <c r="D461" i="57"/>
  <c r="G461" i="57" s="1"/>
  <c r="K461" i="57" s="1"/>
  <c r="D557" i="57"/>
  <c r="G557" i="57" s="1"/>
  <c r="K402" i="57"/>
  <c r="D653" i="41"/>
  <c r="G653" i="41" s="1"/>
  <c r="D759" i="41" s="1"/>
  <c r="G759" i="41" s="1"/>
  <c r="D391" i="57"/>
  <c r="D444" i="57"/>
  <c r="G444" i="57" s="1"/>
  <c r="K444" i="57" s="1"/>
  <c r="K460" i="57"/>
  <c r="D566" i="57"/>
  <c r="G566" i="57" s="1"/>
  <c r="G285" i="57"/>
  <c r="D462" i="57"/>
  <c r="G462" i="57" s="1"/>
  <c r="O83" i="27" s="1"/>
  <c r="K356" i="57"/>
  <c r="D442" i="57"/>
  <c r="G442" i="57" s="1"/>
  <c r="O63" i="27" s="1"/>
  <c r="K336" i="57"/>
  <c r="N230" i="57"/>
  <c r="N444" i="41"/>
  <c r="I550" i="41" s="1"/>
  <c r="N763" i="41"/>
  <c r="I869" i="41" s="1"/>
  <c r="D869" i="41"/>
  <c r="G869" i="41" s="1"/>
  <c r="K869" i="41" s="1"/>
  <c r="D396" i="57"/>
  <c r="G396" i="57" s="1"/>
  <c r="D502" i="57" s="1"/>
  <c r="G502" i="57" s="1"/>
  <c r="P27" i="27" s="1"/>
  <c r="N304" i="57"/>
  <c r="I410" i="57" s="1"/>
  <c r="N612" i="41"/>
  <c r="I718" i="41" s="1"/>
  <c r="K346" i="57"/>
  <c r="D452" i="57"/>
  <c r="G452" i="57" s="1"/>
  <c r="N240" i="57"/>
  <c r="N333" i="41"/>
  <c r="I439" i="41" s="1"/>
  <c r="N558" i="41"/>
  <c r="I664" i="41" s="1"/>
  <c r="F42" i="74"/>
  <c r="O42" i="74" s="1"/>
  <c r="I285" i="57"/>
  <c r="N284" i="57"/>
  <c r="N21" i="42" s="1"/>
  <c r="N22" i="42" s="1"/>
  <c r="N760" i="41"/>
  <c r="I866" i="41" s="1"/>
  <c r="I489" i="57"/>
  <c r="N489" i="57" s="1"/>
  <c r="I595" i="57" s="1"/>
  <c r="O14" i="42"/>
  <c r="N133" i="41"/>
  <c r="K147" i="41"/>
  <c r="G239" i="41"/>
  <c r="D253" i="41"/>
  <c r="D258" i="41" s="1"/>
  <c r="L36" i="42"/>
  <c r="N403" i="41"/>
  <c r="I509" i="41" s="1"/>
  <c r="N825" i="41"/>
  <c r="I931" i="41" s="1"/>
  <c r="N464" i="41"/>
  <c r="I570" i="41" s="1"/>
  <c r="N338" i="57"/>
  <c r="N65" i="42" s="1"/>
  <c r="I333" i="57"/>
  <c r="N333" i="57" s="1"/>
  <c r="K439" i="41"/>
  <c r="D545" i="41"/>
  <c r="G545" i="41" s="1"/>
  <c r="N334" i="57"/>
  <c r="N780" i="41"/>
  <c r="I886" i="41" s="1"/>
  <c r="N447" i="41"/>
  <c r="I553" i="41" s="1"/>
  <c r="O61" i="27"/>
  <c r="K440" i="57"/>
  <c r="D546" i="57"/>
  <c r="G546" i="57" s="1"/>
  <c r="K987" i="41"/>
  <c r="N987" i="41" s="1"/>
  <c r="I1093" i="41" s="1"/>
  <c r="N616" i="41"/>
  <c r="I722" i="41" s="1"/>
  <c r="N973" i="41"/>
  <c r="I1079" i="41" s="1"/>
  <c r="N720" i="41"/>
  <c r="I826" i="41" s="1"/>
  <c r="N520" i="41"/>
  <c r="I626" i="41" s="1"/>
  <c r="I331" i="57"/>
  <c r="N611" i="41"/>
  <c r="I717" i="41" s="1"/>
  <c r="K435" i="57"/>
  <c r="D541" i="57"/>
  <c r="G541" i="57" s="1"/>
  <c r="P56" i="27" s="1"/>
  <c r="O56" i="27"/>
  <c r="N455" i="41"/>
  <c r="I561" i="41" s="1"/>
  <c r="I355" i="57"/>
  <c r="N355" i="57" s="1"/>
  <c r="M82" i="42"/>
  <c r="N772" i="41"/>
  <c r="I878" i="41" s="1"/>
  <c r="D667" i="41"/>
  <c r="G667" i="41" s="1"/>
  <c r="K561" i="41"/>
  <c r="M64" i="42"/>
  <c r="K410" i="57"/>
  <c r="D516" i="57"/>
  <c r="G516" i="57" s="1"/>
  <c r="P36" i="27" s="1"/>
  <c r="N839" i="41"/>
  <c r="I945" i="41" s="1"/>
  <c r="O36" i="27"/>
  <c r="N187" i="57"/>
  <c r="I293" i="57" s="1"/>
  <c r="N731" i="41"/>
  <c r="I837" i="41" s="1"/>
  <c r="I305" i="57"/>
  <c r="M37" i="42"/>
  <c r="I291" i="57"/>
  <c r="N291" i="57" s="1"/>
  <c r="I397" i="57" s="1"/>
  <c r="D517" i="57"/>
  <c r="G517" i="57" s="1"/>
  <c r="O37" i="27"/>
  <c r="K411" i="57"/>
  <c r="Q35" i="27"/>
  <c r="D722" i="57"/>
  <c r="G722" i="57" s="1"/>
  <c r="D828" i="57" s="1"/>
  <c r="G828" i="57" s="1"/>
  <c r="D934" i="57" s="1"/>
  <c r="G934" i="57" s="1"/>
  <c r="D1040" i="57" s="1"/>
  <c r="G1040" i="57" s="1"/>
  <c r="N730" i="41"/>
  <c r="I836" i="41" s="1"/>
  <c r="N991" i="41"/>
  <c r="I1097" i="41" s="1"/>
  <c r="N877" i="41"/>
  <c r="I983" i="41" s="1"/>
  <c r="N884" i="41"/>
  <c r="I990" i="41" s="1"/>
  <c r="N764" i="41"/>
  <c r="I870" i="41" s="1"/>
  <c r="I306" i="57"/>
  <c r="N306" i="57" s="1"/>
  <c r="O77" i="42"/>
  <c r="I562" i="57"/>
  <c r="N562" i="57" s="1"/>
  <c r="D670" i="57"/>
  <c r="G670" i="57" s="1"/>
  <c r="P79" i="27"/>
  <c r="K564" i="57"/>
  <c r="K544" i="41"/>
  <c r="N544" i="41" s="1"/>
  <c r="I650" i="41" s="1"/>
  <c r="D650" i="41"/>
  <c r="G650" i="41" s="1"/>
  <c r="N437" i="41"/>
  <c r="I543" i="41" s="1"/>
  <c r="D610" i="41"/>
  <c r="G610" i="41" s="1"/>
  <c r="K504" i="41"/>
  <c r="N504" i="41" s="1"/>
  <c r="I610" i="41" s="1"/>
  <c r="K718" i="41"/>
  <c r="D824" i="41"/>
  <c r="G824" i="41" s="1"/>
  <c r="J972" i="41"/>
  <c r="K866" i="41"/>
  <c r="J770" i="41"/>
  <c r="K664" i="41"/>
  <c r="D488" i="57"/>
  <c r="G488" i="57" s="1"/>
  <c r="O14" i="27"/>
  <c r="D491" i="57"/>
  <c r="G491" i="57" s="1"/>
  <c r="O17" i="27"/>
  <c r="I491" i="57"/>
  <c r="N491" i="57" s="1"/>
  <c r="O16" i="42"/>
  <c r="O28" i="27"/>
  <c r="K397" i="57"/>
  <c r="D503" i="57"/>
  <c r="G503" i="57" s="1"/>
  <c r="D549" i="57"/>
  <c r="G549" i="57" s="1"/>
  <c r="O64" i="27"/>
  <c r="K443" i="57"/>
  <c r="K412" i="57"/>
  <c r="O38" i="27"/>
  <c r="D518" i="57"/>
  <c r="G518" i="57" s="1"/>
  <c r="P38" i="27" s="1"/>
  <c r="I560" i="57"/>
  <c r="N560" i="57" s="1"/>
  <c r="O75" i="42"/>
  <c r="L74" i="42"/>
  <c r="L84" i="42" s="1"/>
  <c r="I241" i="57"/>
  <c r="N145" i="57"/>
  <c r="N337" i="57"/>
  <c r="K437" i="57"/>
  <c r="O58" i="27"/>
  <c r="D543" i="57"/>
  <c r="G543" i="57" s="1"/>
  <c r="P58" i="27" s="1"/>
  <c r="D347" i="57"/>
  <c r="M74" i="27"/>
  <c r="M84" i="27" s="1"/>
  <c r="G251" i="57"/>
  <c r="K241" i="57"/>
  <c r="K251" i="57" s="1"/>
  <c r="E18" i="69"/>
  <c r="E20" i="21" s="1"/>
  <c r="I20" i="21" s="1"/>
  <c r="E73" i="145"/>
  <c r="O183" i="74"/>
  <c r="O214" i="74"/>
  <c r="T61" i="127"/>
  <c r="N192" i="74" s="1"/>
  <c r="F88" i="136" s="1"/>
  <c r="O187" i="74"/>
  <c r="F98" i="136"/>
  <c r="F48" i="136"/>
  <c r="O176" i="74"/>
  <c r="O177" i="74"/>
  <c r="O189" i="74"/>
  <c r="E49" i="80"/>
  <c r="F86" i="73" s="1"/>
  <c r="O164" i="74"/>
  <c r="K21" i="69"/>
  <c r="P74" i="73"/>
  <c r="D76" i="136" s="1"/>
  <c r="K49" i="80"/>
  <c r="L86" i="73" s="1"/>
  <c r="O33" i="80"/>
  <c r="I49" i="80"/>
  <c r="J86" i="73" s="1"/>
  <c r="G49" i="80"/>
  <c r="H86" i="73" s="1"/>
  <c r="M49" i="80"/>
  <c r="N86" i="73" s="1"/>
  <c r="D106" i="70"/>
  <c r="D97" i="70"/>
  <c r="O172" i="74"/>
  <c r="O128" i="74"/>
  <c r="M226" i="74" s="1"/>
  <c r="O226" i="74" s="1"/>
  <c r="I140" i="74"/>
  <c r="G120" i="74"/>
  <c r="S33" i="76" s="1"/>
  <c r="E41" i="127"/>
  <c r="V41" i="127" s="1"/>
  <c r="O173" i="74"/>
  <c r="G126" i="74"/>
  <c r="S70" i="76"/>
  <c r="S67" i="76"/>
  <c r="S47" i="76"/>
  <c r="S50" i="76"/>
  <c r="S44" i="76"/>
  <c r="S41" i="76"/>
  <c r="J140" i="74"/>
  <c r="O129" i="74"/>
  <c r="M227" i="74" s="1"/>
  <c r="O227" i="74" s="1"/>
  <c r="H140" i="74"/>
  <c r="O127" i="74"/>
  <c r="M225" i="74" s="1"/>
  <c r="O225" i="74" s="1"/>
  <c r="O211" i="74"/>
  <c r="F101" i="136"/>
  <c r="O216" i="74"/>
  <c r="F92" i="136"/>
  <c r="O196" i="74"/>
  <c r="D96" i="73"/>
  <c r="J31" i="109"/>
  <c r="K20" i="69"/>
  <c r="E50" i="80"/>
  <c r="F87" i="73" s="1"/>
  <c r="F42" i="136"/>
  <c r="O167" i="74"/>
  <c r="T44" i="127"/>
  <c r="N182" i="74" s="1"/>
  <c r="F76" i="136" s="1"/>
  <c r="F46" i="136"/>
  <c r="M50" i="80"/>
  <c r="N87" i="73" s="1"/>
  <c r="F45" i="136"/>
  <c r="I50" i="80"/>
  <c r="J87" i="73" s="1"/>
  <c r="G50" i="80"/>
  <c r="H87" i="73" s="1"/>
  <c r="E18" i="80"/>
  <c r="F48" i="73" s="1"/>
  <c r="K50" i="80"/>
  <c r="L87" i="73" s="1"/>
  <c r="K18" i="69"/>
  <c r="F89" i="136"/>
  <c r="F32" i="136"/>
  <c r="F75" i="136"/>
  <c r="D732" i="41"/>
  <c r="G732" i="41" s="1"/>
  <c r="K626" i="41"/>
  <c r="C21" i="49"/>
  <c r="I23" i="49"/>
  <c r="K439" i="57"/>
  <c r="D545" i="57"/>
  <c r="G545" i="57" s="1"/>
  <c r="P60" i="27" s="1"/>
  <c r="O60" i="27"/>
  <c r="D649" i="41"/>
  <c r="G649" i="41" s="1"/>
  <c r="K543" i="41"/>
  <c r="D659" i="41"/>
  <c r="G659" i="41" s="1"/>
  <c r="K553" i="41"/>
  <c r="J942" i="41"/>
  <c r="K836" i="41"/>
  <c r="K878" i="41"/>
  <c r="D984" i="41"/>
  <c r="G984" i="41" s="1"/>
  <c r="D49" i="49"/>
  <c r="I47" i="49"/>
  <c r="M26" i="42"/>
  <c r="I289" i="57"/>
  <c r="N289" i="57" s="1"/>
  <c r="D73" i="136"/>
  <c r="H73" i="136" s="1"/>
  <c r="D90" i="71"/>
  <c r="D1096" i="41"/>
  <c r="G1096" i="41" s="1"/>
  <c r="K990" i="41"/>
  <c r="I15" i="68"/>
  <c r="K717" i="41"/>
  <c r="D823" i="41"/>
  <c r="G823" i="41" s="1"/>
  <c r="D1260" i="41"/>
  <c r="G1260" i="41" s="1"/>
  <c r="I224" i="57"/>
  <c r="L57" i="42"/>
  <c r="N128" i="57"/>
  <c r="N161" i="74"/>
  <c r="D118" i="74"/>
  <c r="D216" i="74" s="1"/>
  <c r="D131" i="70"/>
  <c r="D556" i="57"/>
  <c r="K450" i="57"/>
  <c r="O71" i="27"/>
  <c r="I343" i="57"/>
  <c r="M70" i="42"/>
  <c r="D1199" i="41"/>
  <c r="G1199" i="41" s="1"/>
  <c r="K1093" i="41"/>
  <c r="D1088" i="41"/>
  <c r="G1088" i="41" s="1"/>
  <c r="D37" i="73"/>
  <c r="N281" i="41"/>
  <c r="I283" i="41"/>
  <c r="D992" i="41"/>
  <c r="G992" i="41" s="1"/>
  <c r="K886" i="41"/>
  <c r="D943" i="41"/>
  <c r="G943" i="41" s="1"/>
  <c r="K837" i="41"/>
  <c r="D615" i="41"/>
  <c r="G615" i="41" s="1"/>
  <c r="K509" i="41"/>
  <c r="D809" i="41"/>
  <c r="G388" i="41"/>
  <c r="D389" i="41"/>
  <c r="D914" i="41"/>
  <c r="K667" i="57"/>
  <c r="Q76" i="27"/>
  <c r="D773" i="57"/>
  <c r="G773" i="57" s="1"/>
  <c r="K570" i="41"/>
  <c r="D676" i="41"/>
  <c r="G676" i="41" s="1"/>
  <c r="I31" i="109"/>
  <c r="O18" i="27"/>
  <c r="D492" i="57"/>
  <c r="G492" i="57" s="1"/>
  <c r="P18" i="27" s="1"/>
  <c r="K293" i="57"/>
  <c r="N30" i="27"/>
  <c r="D399" i="57"/>
  <c r="G399" i="57" s="1"/>
  <c r="N26" i="27"/>
  <c r="D395" i="57"/>
  <c r="G395" i="57" s="1"/>
  <c r="K555" i="57"/>
  <c r="P70" i="27"/>
  <c r="D661" i="57"/>
  <c r="H37" i="73"/>
  <c r="D1203" i="41"/>
  <c r="G1203" i="41" s="1"/>
  <c r="K1097" i="41"/>
  <c r="D1051" i="41"/>
  <c r="G1051" i="41" s="1"/>
  <c r="K945" i="41"/>
  <c r="G286" i="41"/>
  <c r="D287" i="41"/>
  <c r="K205" i="41"/>
  <c r="K236" i="41" s="1"/>
  <c r="D311" i="41"/>
  <c r="G236" i="41"/>
  <c r="J30" i="59"/>
  <c r="J18" i="59"/>
  <c r="J20" i="59" s="1"/>
  <c r="F37" i="73"/>
  <c r="G391" i="57"/>
  <c r="O22" i="27"/>
  <c r="O23" i="27" s="1"/>
  <c r="D496" i="57"/>
  <c r="K1184" i="41"/>
  <c r="D1290" i="41"/>
  <c r="G1290" i="41" s="1"/>
  <c r="K870" i="41"/>
  <c r="D976" i="41"/>
  <c r="G976" i="41" s="1"/>
  <c r="M27" i="42"/>
  <c r="I290" i="57"/>
  <c r="N290" i="57" s="1"/>
  <c r="D440" i="41"/>
  <c r="K334" i="41"/>
  <c r="N334" i="41" s="1"/>
  <c r="I440" i="41" s="1"/>
  <c r="I294" i="57"/>
  <c r="N294" i="57" s="1"/>
  <c r="M31" i="42"/>
  <c r="K1079" i="41"/>
  <c r="D1185" i="41"/>
  <c r="G1185" i="41" s="1"/>
  <c r="I205" i="41"/>
  <c r="N130" i="41"/>
  <c r="D330" i="57"/>
  <c r="K224" i="57"/>
  <c r="K234" i="57" s="1"/>
  <c r="M57" i="27"/>
  <c r="M67" i="27" s="1"/>
  <c r="G234" i="57"/>
  <c r="I18" i="21"/>
  <c r="D434" i="57"/>
  <c r="N55" i="27"/>
  <c r="K328" i="57"/>
  <c r="D1089" i="41"/>
  <c r="G1089" i="41" s="1"/>
  <c r="K983" i="41"/>
  <c r="I616" i="57"/>
  <c r="N616" i="57" s="1"/>
  <c r="P35" i="42"/>
  <c r="N37" i="73"/>
  <c r="N286" i="41"/>
  <c r="I287" i="41"/>
  <c r="K722" i="41"/>
  <c r="D828" i="41"/>
  <c r="G828" i="41" s="1"/>
  <c r="L37" i="73"/>
  <c r="M15" i="27"/>
  <c r="M19" i="27" s="1"/>
  <c r="D277" i="57"/>
  <c r="G175" i="57"/>
  <c r="E13" i="69"/>
  <c r="D1037" i="41"/>
  <c r="G1037" i="41" s="1"/>
  <c r="K931" i="41"/>
  <c r="J37" i="73"/>
  <c r="D28" i="57"/>
  <c r="G28" i="57" s="1"/>
  <c r="D29" i="57" s="1"/>
  <c r="G29" i="57" s="1"/>
  <c r="D30" i="57" s="1"/>
  <c r="G30" i="57" s="1"/>
  <c r="D31" i="57" s="1"/>
  <c r="G31" i="57" s="1"/>
  <c r="D32" i="57" s="1"/>
  <c r="G32" i="57" s="1"/>
  <c r="D33" i="57" s="1"/>
  <c r="G33" i="57" s="1"/>
  <c r="D34" i="57" s="1"/>
  <c r="G34" i="57" s="1"/>
  <c r="D35" i="57" s="1"/>
  <c r="G35" i="57" s="1"/>
  <c r="D36" i="57" s="1"/>
  <c r="G36" i="57" s="1"/>
  <c r="D37" i="57" s="1"/>
  <c r="G37" i="57" s="1"/>
  <c r="D38" i="57" s="1"/>
  <c r="G38" i="57" s="1"/>
  <c r="D39" i="57" s="1"/>
  <c r="G39" i="57" s="1"/>
  <c r="N330" i="41"/>
  <c r="K463" i="41"/>
  <c r="D569" i="41"/>
  <c r="N384" i="57"/>
  <c r="N808" i="41"/>
  <c r="K550" i="41"/>
  <c r="D656" i="41"/>
  <c r="G656" i="41" s="1"/>
  <c r="K256" i="57" l="1"/>
  <c r="J19" i="57" s="1"/>
  <c r="K13" i="72" s="1"/>
  <c r="K101" i="72" s="1"/>
  <c r="G256" i="57"/>
  <c r="D663" i="57"/>
  <c r="G663" i="57" s="1"/>
  <c r="K663" i="57" s="1"/>
  <c r="P72" i="27"/>
  <c r="D614" i="57"/>
  <c r="G614" i="57" s="1"/>
  <c r="D720" i="57" s="1"/>
  <c r="G720" i="57" s="1"/>
  <c r="K720" i="57" s="1"/>
  <c r="P33" i="27"/>
  <c r="O175" i="74"/>
  <c r="O163" i="74"/>
  <c r="O195" i="74"/>
  <c r="O174" i="74"/>
  <c r="O169" i="74"/>
  <c r="O165" i="74"/>
  <c r="O171" i="74"/>
  <c r="K826" i="41"/>
  <c r="N826" i="41" s="1"/>
  <c r="I932" i="41" s="1"/>
  <c r="D1420" i="57"/>
  <c r="G1420" i="57" s="1"/>
  <c r="H87" i="44"/>
  <c r="H88" i="44" s="1"/>
  <c r="L17" i="42"/>
  <c r="L18" i="42" s="1"/>
  <c r="I174" i="57"/>
  <c r="N69" i="57"/>
  <c r="N150" i="57" s="1"/>
  <c r="I1526" i="57"/>
  <c r="N1526" i="57" s="1"/>
  <c r="I87" i="43"/>
  <c r="I88" i="43" s="1"/>
  <c r="K10" i="59"/>
  <c r="I16" i="59"/>
  <c r="I18" i="59" s="1"/>
  <c r="I20" i="59" s="1"/>
  <c r="L25" i="59" s="1"/>
  <c r="D28" i="49"/>
  <c r="I26" i="49"/>
  <c r="M55" i="42"/>
  <c r="M18" i="57"/>
  <c r="I19" i="57" s="1"/>
  <c r="N305" i="57"/>
  <c r="N37" i="42" s="1"/>
  <c r="D500" i="57"/>
  <c r="G500" i="57" s="1"/>
  <c r="P25" i="27" s="1"/>
  <c r="D650" i="57"/>
  <c r="G650" i="57" s="1"/>
  <c r="D756" i="57" s="1"/>
  <c r="G756" i="57" s="1"/>
  <c r="K544" i="57"/>
  <c r="M83" i="42"/>
  <c r="N356" i="57"/>
  <c r="I462" i="57" s="1"/>
  <c r="M59" i="42"/>
  <c r="I345" i="57"/>
  <c r="N345" i="57" s="1"/>
  <c r="N72" i="42" s="1"/>
  <c r="O31" i="27"/>
  <c r="D504" i="57"/>
  <c r="G504" i="57" s="1"/>
  <c r="D610" i="57" s="1"/>
  <c r="G610" i="57" s="1"/>
  <c r="Q29" i="27" s="1"/>
  <c r="K398" i="57"/>
  <c r="P14" i="42"/>
  <c r="L30" i="59"/>
  <c r="L32" i="59" s="1"/>
  <c r="N32" i="59" s="1"/>
  <c r="I339" i="57"/>
  <c r="N339" i="57" s="1"/>
  <c r="I445" i="57" s="1"/>
  <c r="K152" i="41"/>
  <c r="J18" i="41" s="1"/>
  <c r="M18" i="41" s="1"/>
  <c r="I19" i="41" s="1"/>
  <c r="I563" i="57"/>
  <c r="O78" i="42"/>
  <c r="I500" i="57"/>
  <c r="N500" i="57" s="1"/>
  <c r="O25" i="42"/>
  <c r="I615" i="57"/>
  <c r="N615" i="57" s="1"/>
  <c r="P34" i="42"/>
  <c r="N71" i="42"/>
  <c r="P13" i="42"/>
  <c r="I594" i="57"/>
  <c r="N594" i="57" s="1"/>
  <c r="O40" i="42"/>
  <c r="I520" i="57"/>
  <c r="N520" i="57" s="1"/>
  <c r="I435" i="57"/>
  <c r="N435" i="57" s="1"/>
  <c r="N56" i="42"/>
  <c r="M56" i="42"/>
  <c r="N79" i="42"/>
  <c r="I402" i="57"/>
  <c r="N402" i="57" s="1"/>
  <c r="I508" i="57" s="1"/>
  <c r="N33" i="42"/>
  <c r="I292" i="57"/>
  <c r="N292" i="57" s="1"/>
  <c r="N29" i="42" s="1"/>
  <c r="O65" i="27"/>
  <c r="I346" i="57"/>
  <c r="N346" i="57" s="1"/>
  <c r="M73" i="42"/>
  <c r="I455" i="57"/>
  <c r="N455" i="57" s="1"/>
  <c r="N76" i="42"/>
  <c r="O62" i="27"/>
  <c r="D547" i="57"/>
  <c r="G547" i="57" s="1"/>
  <c r="K441" i="57"/>
  <c r="D520" i="57"/>
  <c r="G520" i="57" s="1"/>
  <c r="O40" i="27"/>
  <c r="D490" i="57"/>
  <c r="G490" i="57" s="1"/>
  <c r="O16" i="27"/>
  <c r="O82" i="27"/>
  <c r="K566" i="57"/>
  <c r="P81" i="27"/>
  <c r="N295" i="57"/>
  <c r="N32" i="42" s="1"/>
  <c r="D560" i="57"/>
  <c r="G560" i="57" s="1"/>
  <c r="O75" i="27"/>
  <c r="O77" i="27"/>
  <c r="D562" i="57"/>
  <c r="G562" i="57" s="1"/>
  <c r="O32" i="27"/>
  <c r="K401" i="57"/>
  <c r="D507" i="57"/>
  <c r="G507" i="57" s="1"/>
  <c r="D563" i="57"/>
  <c r="G563" i="57" s="1"/>
  <c r="O78" i="27"/>
  <c r="I441" i="57"/>
  <c r="N62" i="42"/>
  <c r="D551" i="57"/>
  <c r="G551" i="57" s="1"/>
  <c r="O66" i="27"/>
  <c r="K445" i="57"/>
  <c r="K413" i="57"/>
  <c r="O39" i="27"/>
  <c r="D519" i="57"/>
  <c r="G519" i="57" s="1"/>
  <c r="N307" i="57"/>
  <c r="I460" i="57"/>
  <c r="N460" i="57" s="1"/>
  <c r="O81" i="42" s="1"/>
  <c r="N81" i="42"/>
  <c r="D648" i="41"/>
  <c r="G648" i="41" s="1"/>
  <c r="N353" i="57"/>
  <c r="D509" i="57"/>
  <c r="G509" i="57" s="1"/>
  <c r="P34" i="27" s="1"/>
  <c r="O34" i="27"/>
  <c r="O27" i="27"/>
  <c r="I415" i="57"/>
  <c r="N415" i="57" s="1"/>
  <c r="N41" i="42"/>
  <c r="D565" i="57"/>
  <c r="G565" i="57" s="1"/>
  <c r="P80" i="27" s="1"/>
  <c r="O80" i="27"/>
  <c r="K459" i="57"/>
  <c r="K508" i="57"/>
  <c r="K521" i="57"/>
  <c r="D627" i="57"/>
  <c r="G627" i="57" s="1"/>
  <c r="N331" i="57"/>
  <c r="N58" i="42" s="1"/>
  <c r="K400" i="57"/>
  <c r="I438" i="57"/>
  <c r="N438" i="57" s="1"/>
  <c r="O59" i="42" s="1"/>
  <c r="K653" i="41"/>
  <c r="N653" i="41" s="1"/>
  <c r="I759" i="41" s="1"/>
  <c r="K396" i="57"/>
  <c r="K557" i="57"/>
  <c r="D567" i="57"/>
  <c r="G567" i="57" s="1"/>
  <c r="K567" i="57" s="1"/>
  <c r="N410" i="57"/>
  <c r="I516" i="57" s="1"/>
  <c r="D550" i="57"/>
  <c r="G550" i="57" s="1"/>
  <c r="D672" i="57"/>
  <c r="G672" i="57" s="1"/>
  <c r="D568" i="57"/>
  <c r="G568" i="57" s="1"/>
  <c r="P83" i="27" s="1"/>
  <c r="K462" i="57"/>
  <c r="M63" i="42"/>
  <c r="I336" i="57"/>
  <c r="N336" i="57" s="1"/>
  <c r="D548" i="57"/>
  <c r="G548" i="57" s="1"/>
  <c r="P63" i="27" s="1"/>
  <c r="K442" i="57"/>
  <c r="N550" i="41"/>
  <c r="I656" i="41" s="1"/>
  <c r="N718" i="41"/>
  <c r="I824" i="41" s="1"/>
  <c r="N439" i="41"/>
  <c r="I545" i="41" s="1"/>
  <c r="N869" i="41"/>
  <c r="I975" i="41" s="1"/>
  <c r="D975" i="41"/>
  <c r="G975" i="41" s="1"/>
  <c r="N664" i="41"/>
  <c r="I770" i="41" s="1"/>
  <c r="O73" i="27"/>
  <c r="K452" i="57"/>
  <c r="D558" i="57"/>
  <c r="G558" i="57" s="1"/>
  <c r="P73" i="27" s="1"/>
  <c r="N878" i="41"/>
  <c r="I984" i="41" s="1"/>
  <c r="N866" i="41"/>
  <c r="I972" i="41" s="1"/>
  <c r="N931" i="41"/>
  <c r="I1037" i="41" s="1"/>
  <c r="L67" i="42"/>
  <c r="N285" i="57"/>
  <c r="I390" i="57"/>
  <c r="N509" i="41"/>
  <c r="I615" i="41" s="1"/>
  <c r="I239" i="41"/>
  <c r="N147" i="41"/>
  <c r="G253" i="41"/>
  <c r="G258" i="41" s="1"/>
  <c r="D345" i="41"/>
  <c r="K239" i="41"/>
  <c r="K253" i="41" s="1"/>
  <c r="N60" i="42"/>
  <c r="I439" i="57"/>
  <c r="N439" i="57" s="1"/>
  <c r="I545" i="57" s="1"/>
  <c r="M36" i="42"/>
  <c r="N570" i="41"/>
  <c r="I676" i="41" s="1"/>
  <c r="I444" i="57"/>
  <c r="N444" i="57" s="1"/>
  <c r="I550" i="57" s="1"/>
  <c r="M30" i="42"/>
  <c r="K545" i="41"/>
  <c r="D651" i="41"/>
  <c r="G651" i="41" s="1"/>
  <c r="I440" i="57"/>
  <c r="N440" i="57" s="1"/>
  <c r="N61" i="42"/>
  <c r="N886" i="41"/>
  <c r="I992" i="41" s="1"/>
  <c r="N553" i="41"/>
  <c r="I659" i="41" s="1"/>
  <c r="N1093" i="41"/>
  <c r="I1199" i="41" s="1"/>
  <c r="N626" i="41"/>
  <c r="I732" i="41" s="1"/>
  <c r="O79" i="42"/>
  <c r="D652" i="57"/>
  <c r="G652" i="57" s="1"/>
  <c r="P61" i="27"/>
  <c r="K546" i="57"/>
  <c r="N1079" i="41"/>
  <c r="I1185" i="41" s="1"/>
  <c r="N722" i="41"/>
  <c r="I828" i="41" s="1"/>
  <c r="N837" i="41"/>
  <c r="I943" i="41" s="1"/>
  <c r="N983" i="41"/>
  <c r="I1089" i="41" s="1"/>
  <c r="N1097" i="41"/>
  <c r="I1203" i="41" s="1"/>
  <c r="N717" i="41"/>
  <c r="I823" i="41" s="1"/>
  <c r="N836" i="41"/>
  <c r="I942" i="41" s="1"/>
  <c r="N945" i="41"/>
  <c r="I1051" i="41" s="1"/>
  <c r="N28" i="42"/>
  <c r="D647" i="57"/>
  <c r="G647" i="57" s="1"/>
  <c r="K541" i="57"/>
  <c r="K667" i="41"/>
  <c r="D773" i="41"/>
  <c r="G773" i="41" s="1"/>
  <c r="N561" i="41"/>
  <c r="I667" i="41" s="1"/>
  <c r="N990" i="41"/>
  <c r="I1096" i="41" s="1"/>
  <c r="N82" i="42"/>
  <c r="I461" i="57"/>
  <c r="N461" i="57" s="1"/>
  <c r="F36" i="44"/>
  <c r="D1146" i="57"/>
  <c r="P37" i="27"/>
  <c r="D623" i="57"/>
  <c r="G623" i="57" s="1"/>
  <c r="K517" i="57"/>
  <c r="F38" i="12"/>
  <c r="D37" i="3"/>
  <c r="F37" i="3" s="1"/>
  <c r="H37" i="3" s="1"/>
  <c r="D622" i="57"/>
  <c r="G622" i="57" s="1"/>
  <c r="K516" i="57"/>
  <c r="J13" i="72"/>
  <c r="J101" i="72" s="1"/>
  <c r="N870" i="41"/>
  <c r="I976" i="41" s="1"/>
  <c r="N564" i="57"/>
  <c r="I670" i="57" s="1"/>
  <c r="N543" i="41"/>
  <c r="I649" i="41" s="1"/>
  <c r="D776" i="57"/>
  <c r="G776" i="57" s="1"/>
  <c r="K670" i="57"/>
  <c r="Q79" i="27"/>
  <c r="P77" i="42"/>
  <c r="I668" i="57"/>
  <c r="N668" i="57" s="1"/>
  <c r="D756" i="41"/>
  <c r="G756" i="41" s="1"/>
  <c r="K650" i="41"/>
  <c r="N650" i="41" s="1"/>
  <c r="I756" i="41" s="1"/>
  <c r="D716" i="41"/>
  <c r="G716" i="41" s="1"/>
  <c r="K610" i="41"/>
  <c r="N610" i="41" s="1"/>
  <c r="I716" i="41" s="1"/>
  <c r="D930" i="41"/>
  <c r="G930" i="41" s="1"/>
  <c r="K824" i="41"/>
  <c r="N397" i="57"/>
  <c r="I503" i="57" s="1"/>
  <c r="J876" i="41"/>
  <c r="K770" i="41"/>
  <c r="J1078" i="41"/>
  <c r="K1078" i="41" s="1"/>
  <c r="K972" i="41"/>
  <c r="P17" i="27"/>
  <c r="D597" i="57"/>
  <c r="G597" i="57" s="1"/>
  <c r="K543" i="57"/>
  <c r="D649" i="57"/>
  <c r="G649" i="57" s="1"/>
  <c r="N64" i="42"/>
  <c r="I443" i="57"/>
  <c r="N443" i="57" s="1"/>
  <c r="K549" i="57"/>
  <c r="D655" i="57"/>
  <c r="G655" i="57" s="1"/>
  <c r="P64" i="27"/>
  <c r="G347" i="57"/>
  <c r="D357" i="57"/>
  <c r="P75" i="42"/>
  <c r="I666" i="57"/>
  <c r="N666" i="57" s="1"/>
  <c r="K503" i="57"/>
  <c r="P28" i="27"/>
  <c r="D609" i="57"/>
  <c r="G609" i="57" s="1"/>
  <c r="I412" i="57"/>
  <c r="N412" i="57" s="1"/>
  <c r="N38" i="42"/>
  <c r="N241" i="57"/>
  <c r="I251" i="57"/>
  <c r="K518" i="57"/>
  <c r="D624" i="57"/>
  <c r="G624" i="57" s="1"/>
  <c r="P16" i="42"/>
  <c r="I597" i="57"/>
  <c r="N597" i="57" s="1"/>
  <c r="D594" i="57"/>
  <c r="G594" i="57" s="1"/>
  <c r="Q14" i="27" s="1"/>
  <c r="P14" i="27"/>
  <c r="O192" i="74"/>
  <c r="K22" i="69"/>
  <c r="D93" i="71"/>
  <c r="F93" i="71" s="1"/>
  <c r="E44" i="127"/>
  <c r="V44" i="127" s="1"/>
  <c r="H32" i="136"/>
  <c r="S31" i="76"/>
  <c r="S34" i="76"/>
  <c r="O126" i="74"/>
  <c r="M224" i="74" s="1"/>
  <c r="O224" i="74" s="1"/>
  <c r="G140" i="74"/>
  <c r="K19" i="69"/>
  <c r="R72" i="127"/>
  <c r="R73" i="127" s="1"/>
  <c r="O182" i="74"/>
  <c r="T72" i="127"/>
  <c r="M60" i="80"/>
  <c r="P72" i="127"/>
  <c r="P73" i="127" s="1"/>
  <c r="L72" i="127"/>
  <c r="L73" i="127" s="1"/>
  <c r="H76" i="136"/>
  <c r="I60" i="80"/>
  <c r="N72" i="127"/>
  <c r="N73" i="127" s="1"/>
  <c r="H72" i="127"/>
  <c r="H73" i="127" s="1"/>
  <c r="G60" i="80"/>
  <c r="J72" i="127"/>
  <c r="J73" i="127" s="1"/>
  <c r="K60" i="80"/>
  <c r="E60" i="80"/>
  <c r="K984" i="41"/>
  <c r="D1090" i="41"/>
  <c r="G1090" i="41" s="1"/>
  <c r="K545" i="57"/>
  <c r="D651" i="57"/>
  <c r="G651" i="57" s="1"/>
  <c r="C23" i="49"/>
  <c r="I25" i="49"/>
  <c r="K649" i="41"/>
  <c r="D755" i="41"/>
  <c r="G755" i="41" s="1"/>
  <c r="G41" i="57"/>
  <c r="D765" i="41"/>
  <c r="G765" i="41" s="1"/>
  <c r="K659" i="41"/>
  <c r="J1048" i="41"/>
  <c r="K1048" i="41" s="1"/>
  <c r="K942" i="41"/>
  <c r="K732" i="41"/>
  <c r="D838" i="41"/>
  <c r="G838" i="41" s="1"/>
  <c r="K1290" i="41"/>
  <c r="D1396" i="41"/>
  <c r="G1396" i="41" s="1"/>
  <c r="K506" i="57"/>
  <c r="D612" i="57"/>
  <c r="G612" i="57" s="1"/>
  <c r="G661" i="57"/>
  <c r="D598" i="57"/>
  <c r="G598" i="57" s="1"/>
  <c r="K773" i="57"/>
  <c r="D879" i="57"/>
  <c r="G879" i="57" s="1"/>
  <c r="G914" i="41"/>
  <c r="G809" i="41"/>
  <c r="G556" i="57"/>
  <c r="N450" i="57"/>
  <c r="D1366" i="41"/>
  <c r="G1366" i="41" s="1"/>
  <c r="G62" i="120"/>
  <c r="G35" i="64"/>
  <c r="I395" i="57"/>
  <c r="N395" i="57" s="1"/>
  <c r="N26" i="42"/>
  <c r="E15" i="68"/>
  <c r="G15" i="68" s="1"/>
  <c r="G13" i="69"/>
  <c r="Q35" i="42"/>
  <c r="I38" i="12" s="1"/>
  <c r="I722" i="57"/>
  <c r="N722" i="57" s="1"/>
  <c r="I828" i="57" s="1"/>
  <c r="N828" i="57" s="1"/>
  <c r="I934" i="57" s="1"/>
  <c r="N934" i="57" s="1"/>
  <c r="I1040" i="57" s="1"/>
  <c r="N1040" i="57" s="1"/>
  <c r="N205" i="41"/>
  <c r="I236" i="41"/>
  <c r="N31" i="42"/>
  <c r="I400" i="57"/>
  <c r="G440" i="41"/>
  <c r="J22" i="59"/>
  <c r="J27" i="59" s="1"/>
  <c r="M25" i="59"/>
  <c r="M27" i="59" s="1"/>
  <c r="D1309" i="41"/>
  <c r="G1309" i="41" s="1"/>
  <c r="K1203" i="41"/>
  <c r="D1038" i="41"/>
  <c r="G1038" i="41" s="1"/>
  <c r="K932" i="41"/>
  <c r="O26" i="27"/>
  <c r="D501" i="57"/>
  <c r="G501" i="57" s="1"/>
  <c r="N18" i="59"/>
  <c r="F81" i="12"/>
  <c r="D65" i="3"/>
  <c r="F65" i="3" s="1"/>
  <c r="H65" i="3" s="1"/>
  <c r="I387" i="41"/>
  <c r="N283" i="41"/>
  <c r="D132" i="70"/>
  <c r="F131" i="70"/>
  <c r="N328" i="57"/>
  <c r="K1096" i="41"/>
  <c r="D1202" i="41"/>
  <c r="G1202" i="41" s="1"/>
  <c r="I914" i="41"/>
  <c r="G434" i="57"/>
  <c r="D865" i="41"/>
  <c r="G865" i="41" s="1"/>
  <c r="K759" i="41"/>
  <c r="K1185" i="41"/>
  <c r="D1291" i="41"/>
  <c r="G1291" i="41" s="1"/>
  <c r="I396" i="57"/>
  <c r="N27" i="42"/>
  <c r="K976" i="41"/>
  <c r="D1082" i="41"/>
  <c r="G1082" i="41" s="1"/>
  <c r="D608" i="57"/>
  <c r="G608" i="57" s="1"/>
  <c r="K502" i="57"/>
  <c r="G311" i="41"/>
  <c r="D342" i="41"/>
  <c r="D392" i="41"/>
  <c r="G287" i="41"/>
  <c r="K1051" i="41"/>
  <c r="D1157" i="41"/>
  <c r="G1157" i="41" s="1"/>
  <c r="N595" i="57"/>
  <c r="L20" i="59"/>
  <c r="L22" i="59" s="1"/>
  <c r="N22" i="59" s="1"/>
  <c r="D782" i="41"/>
  <c r="G782" i="41" s="1"/>
  <c r="K676" i="41"/>
  <c r="D494" i="41"/>
  <c r="G389" i="41"/>
  <c r="D721" i="41"/>
  <c r="G721" i="41" s="1"/>
  <c r="K615" i="41"/>
  <c r="D1049" i="41"/>
  <c r="G1049" i="41" s="1"/>
  <c r="K943" i="41"/>
  <c r="D1194" i="41"/>
  <c r="G1194" i="41" s="1"/>
  <c r="D1305" i="41"/>
  <c r="G1305" i="41" s="1"/>
  <c r="K1199" i="41"/>
  <c r="N343" i="57"/>
  <c r="O161" i="74"/>
  <c r="F38" i="136"/>
  <c r="N218" i="74"/>
  <c r="K16" i="69"/>
  <c r="E16" i="51" s="1"/>
  <c r="N224" i="57"/>
  <c r="I234" i="57"/>
  <c r="F90" i="71"/>
  <c r="G569" i="41"/>
  <c r="I436" i="41"/>
  <c r="D934" i="41"/>
  <c r="G934" i="41" s="1"/>
  <c r="K828" i="41"/>
  <c r="G330" i="57"/>
  <c r="D340" i="57"/>
  <c r="K1037" i="41"/>
  <c r="D1143" i="41"/>
  <c r="G1143" i="41" s="1"/>
  <c r="G277" i="57"/>
  <c r="D281" i="57"/>
  <c r="D1195" i="41"/>
  <c r="G1195" i="41" s="1"/>
  <c r="K1089" i="41"/>
  <c r="N463" i="41"/>
  <c r="I569" i="41" s="1"/>
  <c r="D762" i="41"/>
  <c r="G762" i="41" s="1"/>
  <c r="K656" i="41"/>
  <c r="I490" i="57"/>
  <c r="O15" i="42"/>
  <c r="M86" i="27"/>
  <c r="M91" i="27" s="1"/>
  <c r="I392" i="41"/>
  <c r="N287" i="41"/>
  <c r="G496" i="57"/>
  <c r="D497" i="57"/>
  <c r="J32" i="59"/>
  <c r="J38" i="59" s="1"/>
  <c r="M36" i="59"/>
  <c r="M38" i="59" s="1"/>
  <c r="K399" i="57"/>
  <c r="O30" i="27"/>
  <c r="D505" i="57"/>
  <c r="G505" i="57" s="1"/>
  <c r="N293" i="57"/>
  <c r="K992" i="41"/>
  <c r="D1098" i="41"/>
  <c r="G1098" i="41" s="1"/>
  <c r="Q72" i="27"/>
  <c r="K823" i="41"/>
  <c r="D929" i="41"/>
  <c r="G929" i="41" s="1"/>
  <c r="I49" i="49"/>
  <c r="D51" i="49"/>
  <c r="D769" i="57" l="1"/>
  <c r="G769" i="57" s="1"/>
  <c r="K769" i="57" s="1"/>
  <c r="D656" i="57"/>
  <c r="G656" i="57" s="1"/>
  <c r="P65" i="27"/>
  <c r="K614" i="57"/>
  <c r="Q33" i="27"/>
  <c r="F36" i="12" s="1"/>
  <c r="N152" i="41"/>
  <c r="L86" i="42"/>
  <c r="L91" i="42" s="1"/>
  <c r="I1632" i="57"/>
  <c r="N1632" i="57" s="1"/>
  <c r="J87" i="43"/>
  <c r="J88" i="43" s="1"/>
  <c r="N174" i="57"/>
  <c r="I175" i="57"/>
  <c r="I256" i="57" s="1"/>
  <c r="D1526" i="57"/>
  <c r="G1526" i="57" s="1"/>
  <c r="I87" i="44"/>
  <c r="I88" i="44" s="1"/>
  <c r="K18" i="59"/>
  <c r="I22" i="59"/>
  <c r="K22" i="59" s="1"/>
  <c r="I30" i="59"/>
  <c r="L36" i="59" s="1"/>
  <c r="L38" i="59" s="1"/>
  <c r="N38" i="59" s="1"/>
  <c r="Q59" i="27"/>
  <c r="N462" i="57"/>
  <c r="I568" i="57" s="1"/>
  <c r="F32" i="12"/>
  <c r="I28" i="49"/>
  <c r="D30" i="49"/>
  <c r="K650" i="57"/>
  <c r="D606" i="57"/>
  <c r="G606" i="57" s="1"/>
  <c r="D712" i="57" s="1"/>
  <c r="G712" i="57" s="1"/>
  <c r="D818" i="57" s="1"/>
  <c r="G818" i="57" s="1"/>
  <c r="D924" i="57" s="1"/>
  <c r="G924" i="57" s="1"/>
  <c r="D1030" i="57" s="1"/>
  <c r="G1030" i="57" s="1"/>
  <c r="I411" i="57"/>
  <c r="N411" i="57" s="1"/>
  <c r="O37" i="42" s="1"/>
  <c r="D362" i="57"/>
  <c r="D716" i="57"/>
  <c r="G716" i="57" s="1"/>
  <c r="K716" i="57" s="1"/>
  <c r="N83" i="42"/>
  <c r="I451" i="57"/>
  <c r="N451" i="57" s="1"/>
  <c r="O72" i="42" s="1"/>
  <c r="K610" i="57"/>
  <c r="K504" i="57"/>
  <c r="N66" i="42"/>
  <c r="D31" i="3"/>
  <c r="F31" i="3" s="1"/>
  <c r="H31" i="3" s="1"/>
  <c r="P29" i="27"/>
  <c r="K258" i="41"/>
  <c r="J19" i="41" s="1"/>
  <c r="M19" i="41" s="1"/>
  <c r="I398" i="57"/>
  <c r="N398" i="57" s="1"/>
  <c r="O29" i="42" s="1"/>
  <c r="P40" i="42"/>
  <c r="I626" i="57"/>
  <c r="N626" i="57" s="1"/>
  <c r="P25" i="42"/>
  <c r="I606" i="57"/>
  <c r="N606" i="57" s="1"/>
  <c r="I700" i="57"/>
  <c r="N700" i="57" s="1"/>
  <c r="I806" i="57" s="1"/>
  <c r="N806" i="57" s="1"/>
  <c r="I912" i="57" s="1"/>
  <c r="N912" i="57" s="1"/>
  <c r="I1018" i="57" s="1"/>
  <c r="N1018" i="57" s="1"/>
  <c r="F14" i="43" s="1"/>
  <c r="Q13" i="42"/>
  <c r="I16" i="12" s="1"/>
  <c r="I721" i="57"/>
  <c r="N721" i="57" s="1"/>
  <c r="I827" i="57" s="1"/>
  <c r="N827" i="57" s="1"/>
  <c r="I933" i="57" s="1"/>
  <c r="N933" i="57" s="1"/>
  <c r="I1039" i="57" s="1"/>
  <c r="N1039" i="57" s="1"/>
  <c r="Q34" i="42"/>
  <c r="I37" i="12" s="1"/>
  <c r="N508" i="57"/>
  <c r="P33" i="42" s="1"/>
  <c r="N441" i="57"/>
  <c r="I547" i="57" s="1"/>
  <c r="I401" i="57"/>
  <c r="N401" i="57" s="1"/>
  <c r="O32" i="42" s="1"/>
  <c r="O33" i="42"/>
  <c r="I566" i="57"/>
  <c r="N566" i="57" s="1"/>
  <c r="I672" i="57" s="1"/>
  <c r="D826" i="57"/>
  <c r="G826" i="57" s="1"/>
  <c r="K826" i="57" s="1"/>
  <c r="I413" i="57"/>
  <c r="N413" i="57" s="1"/>
  <c r="N39" i="42"/>
  <c r="N445" i="57"/>
  <c r="D626" i="57"/>
  <c r="G626" i="57" s="1"/>
  <c r="P40" i="27"/>
  <c r="I452" i="57"/>
  <c r="N452" i="57" s="1"/>
  <c r="N73" i="42"/>
  <c r="K519" i="57"/>
  <c r="P39" i="27"/>
  <c r="D625" i="57"/>
  <c r="G625" i="57" s="1"/>
  <c r="K547" i="57"/>
  <c r="P62" i="27"/>
  <c r="D653" i="57"/>
  <c r="G653" i="57" s="1"/>
  <c r="K551" i="57"/>
  <c r="D657" i="57"/>
  <c r="G657" i="57" s="1"/>
  <c r="P66" i="27"/>
  <c r="D666" i="57"/>
  <c r="G666" i="57" s="1"/>
  <c r="P75" i="27"/>
  <c r="D596" i="57"/>
  <c r="G596" i="57" s="1"/>
  <c r="P16" i="27"/>
  <c r="D613" i="57"/>
  <c r="G613" i="57" s="1"/>
  <c r="P32" i="27"/>
  <c r="K507" i="57"/>
  <c r="P82" i="27"/>
  <c r="I442" i="57"/>
  <c r="N442" i="57" s="1"/>
  <c r="N63" i="42"/>
  <c r="D778" i="57"/>
  <c r="G778" i="57" s="1"/>
  <c r="D884" i="57" s="1"/>
  <c r="G884" i="57" s="1"/>
  <c r="K884" i="57" s="1"/>
  <c r="Q81" i="27"/>
  <c r="D669" i="57"/>
  <c r="G669" i="57" s="1"/>
  <c r="P78" i="27"/>
  <c r="K563" i="57"/>
  <c r="N563" i="57" s="1"/>
  <c r="D668" i="57"/>
  <c r="G668" i="57" s="1"/>
  <c r="P77" i="27"/>
  <c r="I561" i="57"/>
  <c r="N561" i="57" s="1"/>
  <c r="O76" i="42"/>
  <c r="K565" i="57"/>
  <c r="D671" i="57"/>
  <c r="G671" i="57" s="1"/>
  <c r="I437" i="57"/>
  <c r="N437" i="57" s="1"/>
  <c r="I543" i="57" s="1"/>
  <c r="N543" i="57" s="1"/>
  <c r="I521" i="57"/>
  <c r="N521" i="57" s="1"/>
  <c r="O41" i="42"/>
  <c r="D615" i="57"/>
  <c r="G615" i="57" s="1"/>
  <c r="I459" i="57"/>
  <c r="N459" i="57" s="1"/>
  <c r="N80" i="42"/>
  <c r="Q41" i="27"/>
  <c r="K627" i="57"/>
  <c r="D733" i="57"/>
  <c r="G733" i="57" s="1"/>
  <c r="N400" i="57"/>
  <c r="O31" i="42" s="1"/>
  <c r="I544" i="57"/>
  <c r="N544" i="57" s="1"/>
  <c r="I650" i="57" s="1"/>
  <c r="N396" i="57"/>
  <c r="O27" i="42" s="1"/>
  <c r="K550" i="57"/>
  <c r="N550" i="57" s="1"/>
  <c r="P65" i="42" s="1"/>
  <c r="N516" i="57"/>
  <c r="I622" i="57" s="1"/>
  <c r="D673" i="57"/>
  <c r="G673" i="57" s="1"/>
  <c r="K673" i="57" s="1"/>
  <c r="N759" i="41"/>
  <c r="I865" i="41" s="1"/>
  <c r="K672" i="57"/>
  <c r="N615" i="41"/>
  <c r="I721" i="41" s="1"/>
  <c r="N656" i="41"/>
  <c r="I762" i="41" s="1"/>
  <c r="N824" i="41"/>
  <c r="I930" i="41" s="1"/>
  <c r="D674" i="57"/>
  <c r="G674" i="57" s="1"/>
  <c r="Q83" i="27" s="1"/>
  <c r="K568" i="57"/>
  <c r="D654" i="57"/>
  <c r="G654" i="57" s="1"/>
  <c r="Q63" i="27" s="1"/>
  <c r="K548" i="57"/>
  <c r="N972" i="41"/>
  <c r="I1078" i="41" s="1"/>
  <c r="N1078" i="41" s="1"/>
  <c r="I1184" i="41" s="1"/>
  <c r="N1184" i="41" s="1"/>
  <c r="I1290" i="41" s="1"/>
  <c r="N1290" i="41" s="1"/>
  <c r="I1396" i="41" s="1"/>
  <c r="N545" i="41"/>
  <c r="I651" i="41" s="1"/>
  <c r="N1037" i="41"/>
  <c r="I1143" i="41" s="1"/>
  <c r="D1081" i="41"/>
  <c r="G1081" i="41" s="1"/>
  <c r="K975" i="41"/>
  <c r="N975" i="41" s="1"/>
  <c r="I1081" i="41" s="1"/>
  <c r="N770" i="41"/>
  <c r="I876" i="41" s="1"/>
  <c r="D664" i="57"/>
  <c r="G664" i="57" s="1"/>
  <c r="Q73" i="27" s="1"/>
  <c r="K558" i="57"/>
  <c r="N984" i="41"/>
  <c r="I1090" i="41" s="1"/>
  <c r="N390" i="57"/>
  <c r="I391" i="57"/>
  <c r="N1089" i="41"/>
  <c r="I1195" i="41" s="1"/>
  <c r="G345" i="41"/>
  <c r="D359" i="41"/>
  <c r="D364" i="41" s="1"/>
  <c r="I253" i="41"/>
  <c r="I258" i="41" s="1"/>
  <c r="N239" i="41"/>
  <c r="N36" i="42"/>
  <c r="N676" i="41"/>
  <c r="I782" i="41" s="1"/>
  <c r="D700" i="57"/>
  <c r="G700" i="57" s="1"/>
  <c r="O65" i="42"/>
  <c r="N932" i="41"/>
  <c r="I1038" i="41" s="1"/>
  <c r="N659" i="41"/>
  <c r="I765" i="41" s="1"/>
  <c r="I546" i="57"/>
  <c r="N546" i="57" s="1"/>
  <c r="O61" i="42"/>
  <c r="N1051" i="41"/>
  <c r="I1157" i="41" s="1"/>
  <c r="N1185" i="41"/>
  <c r="I1291" i="41" s="1"/>
  <c r="K651" i="41"/>
  <c r="D757" i="41"/>
  <c r="G757" i="41" s="1"/>
  <c r="N992" i="41"/>
  <c r="I1098" i="41" s="1"/>
  <c r="N828" i="41"/>
  <c r="I934" i="41" s="1"/>
  <c r="N1199" i="41"/>
  <c r="I1305" i="41" s="1"/>
  <c r="N732" i="41"/>
  <c r="I838" i="41" s="1"/>
  <c r="N1203" i="41"/>
  <c r="I1309" i="41" s="1"/>
  <c r="N1096" i="41"/>
  <c r="I1202" i="41" s="1"/>
  <c r="D758" i="57"/>
  <c r="G758" i="57" s="1"/>
  <c r="K652" i="57"/>
  <c r="Q61" i="27"/>
  <c r="N943" i="41"/>
  <c r="I1049" i="41" s="1"/>
  <c r="Q65" i="27"/>
  <c r="D762" i="57"/>
  <c r="G762" i="57" s="1"/>
  <c r="K656" i="57"/>
  <c r="N942" i="41"/>
  <c r="I1048" i="41" s="1"/>
  <c r="N1048" i="41" s="1"/>
  <c r="I1154" i="41" s="1"/>
  <c r="N823" i="41"/>
  <c r="I929" i="41" s="1"/>
  <c r="N667" i="41"/>
  <c r="I773" i="41" s="1"/>
  <c r="N976" i="41"/>
  <c r="I1082" i="41" s="1"/>
  <c r="O56" i="42"/>
  <c r="I541" i="57"/>
  <c r="N541" i="57" s="1"/>
  <c r="D753" i="57"/>
  <c r="G753" i="57" s="1"/>
  <c r="Q56" i="27"/>
  <c r="K647" i="57"/>
  <c r="M19" i="57"/>
  <c r="I20" i="57" s="1"/>
  <c r="I567" i="57"/>
  <c r="N567" i="57" s="1"/>
  <c r="O82" i="42"/>
  <c r="K773" i="41"/>
  <c r="D879" i="41"/>
  <c r="G879" i="41" s="1"/>
  <c r="Q37" i="27"/>
  <c r="D729" i="57"/>
  <c r="G729" i="57" s="1"/>
  <c r="K623" i="57"/>
  <c r="D39" i="130"/>
  <c r="H39" i="130" s="1"/>
  <c r="G1146" i="57"/>
  <c r="K622" i="57"/>
  <c r="D728" i="57"/>
  <c r="G728" i="57" s="1"/>
  <c r="Q36" i="27"/>
  <c r="N649" i="41"/>
  <c r="I755" i="41" s="1"/>
  <c r="N503" i="57"/>
  <c r="I609" i="57" s="1"/>
  <c r="O28" i="42"/>
  <c r="P79" i="42"/>
  <c r="N670" i="57"/>
  <c r="Q79" i="42" s="1"/>
  <c r="I84" i="12" s="1"/>
  <c r="O60" i="42"/>
  <c r="I774" i="57"/>
  <c r="N774" i="57" s="1"/>
  <c r="I880" i="57" s="1"/>
  <c r="N880" i="57" s="1"/>
  <c r="I986" i="57" s="1"/>
  <c r="N986" i="57" s="1"/>
  <c r="I1092" i="57" s="1"/>
  <c r="N1092" i="57" s="1"/>
  <c r="Q77" i="42"/>
  <c r="I82" i="12" s="1"/>
  <c r="D882" i="57"/>
  <c r="G882" i="57" s="1"/>
  <c r="K776" i="57"/>
  <c r="D68" i="3"/>
  <c r="F68" i="3" s="1"/>
  <c r="H68" i="3" s="1"/>
  <c r="F84" i="12"/>
  <c r="N545" i="57"/>
  <c r="I651" i="57" s="1"/>
  <c r="D862" i="41"/>
  <c r="G862" i="41" s="1"/>
  <c r="K756" i="41"/>
  <c r="N756" i="41" s="1"/>
  <c r="I862" i="41" s="1"/>
  <c r="K716" i="41"/>
  <c r="N716" i="41" s="1"/>
  <c r="I822" i="41" s="1"/>
  <c r="D822" i="41"/>
  <c r="G822" i="41" s="1"/>
  <c r="K930" i="41"/>
  <c r="D1036" i="41"/>
  <c r="G1036" i="41" s="1"/>
  <c r="J982" i="41"/>
  <c r="K876" i="41"/>
  <c r="K624" i="57"/>
  <c r="D730" i="57"/>
  <c r="G730" i="57" s="1"/>
  <c r="Q38" i="27"/>
  <c r="Q28" i="27"/>
  <c r="D715" i="57"/>
  <c r="G715" i="57" s="1"/>
  <c r="K609" i="57"/>
  <c r="I772" i="57"/>
  <c r="N772" i="57" s="1"/>
  <c r="I878" i="57" s="1"/>
  <c r="Q75" i="42"/>
  <c r="D703" i="57"/>
  <c r="G703" i="57" s="1"/>
  <c r="D809" i="57" s="1"/>
  <c r="G809" i="57" s="1"/>
  <c r="D915" i="57" s="1"/>
  <c r="G915" i="57" s="1"/>
  <c r="D1021" i="57" s="1"/>
  <c r="G1021" i="57" s="1"/>
  <c r="Q17" i="27"/>
  <c r="I703" i="57"/>
  <c r="N703" i="57" s="1"/>
  <c r="I809" i="57" s="1"/>
  <c r="N809" i="57" s="1"/>
  <c r="I915" i="57" s="1"/>
  <c r="N915" i="57" s="1"/>
  <c r="I1021" i="57" s="1"/>
  <c r="N1021" i="57" s="1"/>
  <c r="Q16" i="42"/>
  <c r="I19" i="12" s="1"/>
  <c r="I347" i="57"/>
  <c r="M74" i="42"/>
  <c r="M84" i="42" s="1"/>
  <c r="N251" i="57"/>
  <c r="D453" i="57"/>
  <c r="K347" i="57"/>
  <c r="K357" i="57" s="1"/>
  <c r="N74" i="27"/>
  <c r="N84" i="27" s="1"/>
  <c r="G357" i="57"/>
  <c r="D862" i="57"/>
  <c r="G862" i="57" s="1"/>
  <c r="K756" i="57"/>
  <c r="I518" i="57"/>
  <c r="N518" i="57" s="1"/>
  <c r="O38" i="42"/>
  <c r="K655" i="57"/>
  <c r="Q64" i="27"/>
  <c r="D761" i="57"/>
  <c r="G761" i="57" s="1"/>
  <c r="I549" i="57"/>
  <c r="N549" i="57" s="1"/>
  <c r="O64" i="42"/>
  <c r="D755" i="57"/>
  <c r="G755" i="57" s="1"/>
  <c r="K649" i="57"/>
  <c r="Q58" i="27"/>
  <c r="F103" i="136"/>
  <c r="D944" i="41"/>
  <c r="G944" i="41" s="1"/>
  <c r="K838" i="41"/>
  <c r="K755" i="41"/>
  <c r="D861" i="41"/>
  <c r="G861" i="41" s="1"/>
  <c r="Q60" i="27"/>
  <c r="D757" i="57"/>
  <c r="G757" i="57" s="1"/>
  <c r="K651" i="57"/>
  <c r="D871" i="41"/>
  <c r="G871" i="41" s="1"/>
  <c r="K765" i="41"/>
  <c r="K1090" i="41"/>
  <c r="D1196" i="41"/>
  <c r="G1196" i="41" s="1"/>
  <c r="C25" i="49"/>
  <c r="I27" i="49"/>
  <c r="N436" i="41"/>
  <c r="M57" i="42"/>
  <c r="M67" i="42" s="1"/>
  <c r="I330" i="57"/>
  <c r="N234" i="57"/>
  <c r="K1305" i="41"/>
  <c r="D1411" i="41"/>
  <c r="G1411" i="41" s="1"/>
  <c r="G392" i="41"/>
  <c r="D393" i="41"/>
  <c r="J45" i="59"/>
  <c r="J40" i="59"/>
  <c r="J51" i="59" s="1"/>
  <c r="J55" i="59" s="1"/>
  <c r="K434" i="57"/>
  <c r="O55" i="27"/>
  <c r="D540" i="57"/>
  <c r="N914" i="41"/>
  <c r="F132" i="70"/>
  <c r="I25" i="108" s="1"/>
  <c r="P26" i="27"/>
  <c r="D607" i="57"/>
  <c r="G607" i="57" s="1"/>
  <c r="D1144" i="41"/>
  <c r="G1144" i="41" s="1"/>
  <c r="K1038" i="41"/>
  <c r="D546" i="41"/>
  <c r="K440" i="41"/>
  <c r="I311" i="41"/>
  <c r="N236" i="41"/>
  <c r="F36" i="43"/>
  <c r="I1146" i="57"/>
  <c r="N1146" i="57" s="1"/>
  <c r="H62" i="120"/>
  <c r="D61" i="3"/>
  <c r="F61" i="3" s="1"/>
  <c r="H61" i="3" s="1"/>
  <c r="F77" i="12"/>
  <c r="I399" i="57"/>
  <c r="N399" i="57" s="1"/>
  <c r="N30" i="42"/>
  <c r="D383" i="57"/>
  <c r="G281" i="57"/>
  <c r="N15" i="27"/>
  <c r="N19" i="27" s="1"/>
  <c r="K1049" i="41"/>
  <c r="D1155" i="41"/>
  <c r="G1155" i="41" s="1"/>
  <c r="G494" i="41"/>
  <c r="D495" i="41"/>
  <c r="D1263" i="41"/>
  <c r="G1263" i="41" s="1"/>
  <c r="K1157" i="41"/>
  <c r="D971" i="41"/>
  <c r="G971" i="41" s="1"/>
  <c r="K865" i="41"/>
  <c r="N55" i="42"/>
  <c r="I434" i="57"/>
  <c r="D1415" i="41"/>
  <c r="G1415" i="41" s="1"/>
  <c r="K1309" i="41"/>
  <c r="K38" i="12"/>
  <c r="G38" i="12"/>
  <c r="I501" i="57"/>
  <c r="N501" i="57" s="1"/>
  <c r="O26" i="42"/>
  <c r="D1472" i="41"/>
  <c r="G1472" i="41" s="1"/>
  <c r="P71" i="27"/>
  <c r="D662" i="57"/>
  <c r="K556" i="57"/>
  <c r="D915" i="41"/>
  <c r="Q31" i="27"/>
  <c r="D718" i="57"/>
  <c r="G718" i="57" s="1"/>
  <c r="K612" i="57"/>
  <c r="N25" i="59"/>
  <c r="N27" i="59" s="1"/>
  <c r="G497" i="57"/>
  <c r="D602" i="57"/>
  <c r="P22" i="27"/>
  <c r="P23" i="27" s="1"/>
  <c r="D868" i="41"/>
  <c r="G868" i="41" s="1"/>
  <c r="K762" i="41"/>
  <c r="D875" i="57"/>
  <c r="G875" i="57" s="1"/>
  <c r="D1204" i="41"/>
  <c r="G1204" i="41" s="1"/>
  <c r="K1098" i="41"/>
  <c r="K505" i="57"/>
  <c r="P30" i="27"/>
  <c r="D611" i="57"/>
  <c r="G611" i="57" s="1"/>
  <c r="N392" i="41"/>
  <c r="I393" i="41"/>
  <c r="D1301" i="41"/>
  <c r="G1301" i="41" s="1"/>
  <c r="K1195" i="41"/>
  <c r="D1249" i="41"/>
  <c r="G1249" i="41" s="1"/>
  <c r="K1143" i="41"/>
  <c r="D1040" i="41"/>
  <c r="G1040" i="41" s="1"/>
  <c r="K934" i="41"/>
  <c r="N70" i="42"/>
  <c r="I449" i="57"/>
  <c r="D1300" i="41"/>
  <c r="G1300" i="41" s="1"/>
  <c r="K1194" i="41"/>
  <c r="F16" i="12"/>
  <c r="D15" i="3"/>
  <c r="Q14" i="42"/>
  <c r="I701" i="57"/>
  <c r="K648" i="41"/>
  <c r="D754" i="41"/>
  <c r="K311" i="41"/>
  <c r="K342" i="41" s="1"/>
  <c r="D417" i="41"/>
  <c r="G342" i="41"/>
  <c r="L27" i="59"/>
  <c r="O71" i="42"/>
  <c r="I556" i="57"/>
  <c r="K879" i="57"/>
  <c r="D985" i="57"/>
  <c r="G985" i="57" s="1"/>
  <c r="K661" i="57"/>
  <c r="D767" i="57"/>
  <c r="Q70" i="27"/>
  <c r="D57" i="49"/>
  <c r="I51" i="49"/>
  <c r="D1035" i="41"/>
  <c r="G1035" i="41" s="1"/>
  <c r="K929" i="41"/>
  <c r="N490" i="57"/>
  <c r="D436" i="57"/>
  <c r="N57" i="27"/>
  <c r="N67" i="27" s="1"/>
  <c r="K330" i="57"/>
  <c r="K340" i="57" s="1"/>
  <c r="G340" i="57"/>
  <c r="D675" i="41"/>
  <c r="K569" i="41"/>
  <c r="D827" i="41"/>
  <c r="G827" i="41" s="1"/>
  <c r="K721" i="41"/>
  <c r="D888" i="41"/>
  <c r="G888" i="41" s="1"/>
  <c r="K782" i="41"/>
  <c r="Q27" i="27"/>
  <c r="K608" i="57"/>
  <c r="D714" i="57"/>
  <c r="G714" i="57" s="1"/>
  <c r="D1188" i="41"/>
  <c r="G1188" i="41" s="1"/>
  <c r="K1082" i="41"/>
  <c r="D1397" i="41"/>
  <c r="G1397" i="41" s="1"/>
  <c r="K1291" i="41"/>
  <c r="K1202" i="41"/>
  <c r="D1308" i="41"/>
  <c r="G1308" i="41" s="1"/>
  <c r="N387" i="41"/>
  <c r="I389" i="41"/>
  <c r="M45" i="59"/>
  <c r="M40" i="59"/>
  <c r="M51" i="59" s="1"/>
  <c r="M55" i="59" s="1"/>
  <c r="D1020" i="41"/>
  <c r="D704" i="57"/>
  <c r="G704" i="57" s="1"/>
  <c r="D810" i="57" s="1"/>
  <c r="G810" i="57" s="1"/>
  <c r="D916" i="57" s="1"/>
  <c r="G916" i="57" s="1"/>
  <c r="D1022" i="57" s="1"/>
  <c r="G1022" i="57" s="1"/>
  <c r="Q18" i="27"/>
  <c r="K1396" i="41"/>
  <c r="D1502" i="41"/>
  <c r="G1502" i="41" s="1"/>
  <c r="D35" i="3" l="1"/>
  <c r="F35" i="3" s="1"/>
  <c r="H35" i="3" s="1"/>
  <c r="I20" i="41"/>
  <c r="I80" i="12"/>
  <c r="K80" i="12" s="1"/>
  <c r="F64" i="12"/>
  <c r="I27" i="59"/>
  <c r="D48" i="3"/>
  <c r="F48" i="3" s="1"/>
  <c r="H48" i="3" s="1"/>
  <c r="N568" i="57"/>
  <c r="I674" i="57" s="1"/>
  <c r="O83" i="42"/>
  <c r="M17" i="42"/>
  <c r="M18" i="42" s="1"/>
  <c r="M86" i="42" s="1"/>
  <c r="M91" i="42" s="1"/>
  <c r="I280" i="57"/>
  <c r="N175" i="57"/>
  <c r="N256" i="57" s="1"/>
  <c r="D1632" i="57"/>
  <c r="G1632" i="57" s="1"/>
  <c r="J87" i="44"/>
  <c r="J88" i="44" s="1"/>
  <c r="I1738" i="57"/>
  <c r="N1738" i="57" s="1"/>
  <c r="K87" i="43"/>
  <c r="K88" i="43" s="1"/>
  <c r="I517" i="57"/>
  <c r="N517" i="57" s="1"/>
  <c r="I623" i="57" s="1"/>
  <c r="N623" i="57" s="1"/>
  <c r="K27" i="59"/>
  <c r="N36" i="59"/>
  <c r="I32" i="59"/>
  <c r="K32" i="59" s="1"/>
  <c r="F39" i="12"/>
  <c r="N650" i="57"/>
  <c r="Q59" i="42" s="1"/>
  <c r="I64" i="12" s="1"/>
  <c r="Q25" i="27"/>
  <c r="F28" i="12" s="1"/>
  <c r="D52" i="3"/>
  <c r="F52" i="3" s="1"/>
  <c r="H52" i="3" s="1"/>
  <c r="I30" i="49"/>
  <c r="F68" i="12"/>
  <c r="Q82" i="27"/>
  <c r="D822" i="57"/>
  <c r="G822" i="57" s="1"/>
  <c r="K822" i="57" s="1"/>
  <c r="G362" i="57"/>
  <c r="D990" i="57"/>
  <c r="G990" i="57" s="1"/>
  <c r="D1096" i="57" s="1"/>
  <c r="G1096" i="57" s="1"/>
  <c r="K362" i="57"/>
  <c r="J20" i="57" s="1"/>
  <c r="L13" i="72" s="1"/>
  <c r="I557" i="57"/>
  <c r="N557" i="57" s="1"/>
  <c r="I663" i="57" s="1"/>
  <c r="N663" i="57" s="1"/>
  <c r="I769" i="57" s="1"/>
  <c r="N769" i="57" s="1"/>
  <c r="I875" i="57" s="1"/>
  <c r="I1124" i="57"/>
  <c r="N1124" i="57" s="1"/>
  <c r="N547" i="57"/>
  <c r="I653" i="57" s="1"/>
  <c r="I504" i="57"/>
  <c r="N504" i="57" s="1"/>
  <c r="P29" i="42" s="1"/>
  <c r="D932" i="57"/>
  <c r="G932" i="57" s="1"/>
  <c r="K932" i="57" s="1"/>
  <c r="G37" i="12"/>
  <c r="K37" i="12"/>
  <c r="Q25" i="42"/>
  <c r="I28" i="12" s="1"/>
  <c r="I712" i="57"/>
  <c r="N712" i="57" s="1"/>
  <c r="I818" i="57" s="1"/>
  <c r="N818" i="57" s="1"/>
  <c r="I924" i="57" s="1"/>
  <c r="N924" i="57" s="1"/>
  <c r="I1030" i="57" s="1"/>
  <c r="N1030" i="57" s="1"/>
  <c r="O62" i="42"/>
  <c r="I1145" i="57"/>
  <c r="N1145" i="57" s="1"/>
  <c r="F35" i="43"/>
  <c r="G16" i="12"/>
  <c r="K16" i="12"/>
  <c r="I732" i="57"/>
  <c r="N732" i="57" s="1"/>
  <c r="I838" i="57" s="1"/>
  <c r="N838" i="57" s="1"/>
  <c r="I944" i="57" s="1"/>
  <c r="N944" i="57" s="1"/>
  <c r="I1050" i="57" s="1"/>
  <c r="N1050" i="57" s="1"/>
  <c r="Q40" i="42"/>
  <c r="I43" i="12" s="1"/>
  <c r="I507" i="57"/>
  <c r="N507" i="57" s="1"/>
  <c r="O58" i="42"/>
  <c r="I614" i="57"/>
  <c r="N614" i="57" s="1"/>
  <c r="I720" i="57" s="1"/>
  <c r="N720" i="57" s="1"/>
  <c r="I826" i="57" s="1"/>
  <c r="N826" i="57" s="1"/>
  <c r="I932" i="57" s="1"/>
  <c r="P81" i="42"/>
  <c r="N672" i="57"/>
  <c r="I502" i="57"/>
  <c r="N502" i="57" s="1"/>
  <c r="I608" i="57" s="1"/>
  <c r="N608" i="57" s="1"/>
  <c r="K778" i="57"/>
  <c r="Q77" i="27"/>
  <c r="D774" i="57"/>
  <c r="G774" i="57" s="1"/>
  <c r="D880" i="57" s="1"/>
  <c r="G880" i="57" s="1"/>
  <c r="D986" i="57" s="1"/>
  <c r="G986" i="57" s="1"/>
  <c r="D1092" i="57" s="1"/>
  <c r="G1092" i="57" s="1"/>
  <c r="Q62" i="27"/>
  <c r="K653" i="57"/>
  <c r="D759" i="57"/>
  <c r="G759" i="57" s="1"/>
  <c r="I551" i="57"/>
  <c r="N551" i="57" s="1"/>
  <c r="O66" i="42"/>
  <c r="P59" i="42"/>
  <c r="I669" i="57"/>
  <c r="N669" i="57" s="1"/>
  <c r="P78" i="42"/>
  <c r="D702" i="57"/>
  <c r="G702" i="57" s="1"/>
  <c r="D808" i="57" s="1"/>
  <c r="G808" i="57" s="1"/>
  <c r="D914" i="57" s="1"/>
  <c r="G914" i="57" s="1"/>
  <c r="D1020" i="57" s="1"/>
  <c r="G1020" i="57" s="1"/>
  <c r="Q16" i="27"/>
  <c r="Q66" i="27"/>
  <c r="D763" i="57"/>
  <c r="G763" i="57" s="1"/>
  <c r="K657" i="57"/>
  <c r="K625" i="57"/>
  <c r="Q39" i="27"/>
  <c r="D731" i="57"/>
  <c r="G731" i="57" s="1"/>
  <c r="F78" i="12"/>
  <c r="D62" i="3"/>
  <c r="F62" i="3" s="1"/>
  <c r="H62" i="3" s="1"/>
  <c r="F26" i="44"/>
  <c r="D1136" i="57"/>
  <c r="I558" i="57"/>
  <c r="N558" i="57" s="1"/>
  <c r="O73" i="42"/>
  <c r="D72" i="3"/>
  <c r="F72" i="3" s="1"/>
  <c r="H72" i="3" s="1"/>
  <c r="F88" i="12"/>
  <c r="I667" i="57"/>
  <c r="N667" i="57" s="1"/>
  <c r="P76" i="42"/>
  <c r="I519" i="57"/>
  <c r="N519" i="57" s="1"/>
  <c r="O39" i="42"/>
  <c r="F86" i="12"/>
  <c r="D70" i="3"/>
  <c r="F70" i="3" s="1"/>
  <c r="H70" i="3" s="1"/>
  <c r="I506" i="57"/>
  <c r="N506" i="57" s="1"/>
  <c r="I612" i="57" s="1"/>
  <c r="N612" i="57" s="1"/>
  <c r="I548" i="57"/>
  <c r="N548" i="57" s="1"/>
  <c r="O63" i="42"/>
  <c r="Q78" i="27"/>
  <c r="D775" i="57"/>
  <c r="G775" i="57" s="1"/>
  <c r="K613" i="57"/>
  <c r="D719" i="57"/>
  <c r="G719" i="57" s="1"/>
  <c r="Q32" i="27"/>
  <c r="D772" i="57"/>
  <c r="G772" i="57" s="1"/>
  <c r="D878" i="57" s="1"/>
  <c r="G878" i="57" s="1"/>
  <c r="Q75" i="27"/>
  <c r="D732" i="57"/>
  <c r="G732" i="57" s="1"/>
  <c r="D838" i="57" s="1"/>
  <c r="G838" i="57" s="1"/>
  <c r="D944" i="57" s="1"/>
  <c r="G944" i="57" s="1"/>
  <c r="D1050" i="57" s="1"/>
  <c r="G1050" i="57" s="1"/>
  <c r="Q40" i="27"/>
  <c r="I627" i="57"/>
  <c r="N627" i="57" s="1"/>
  <c r="P41" i="42"/>
  <c r="D721" i="57"/>
  <c r="G721" i="57" s="1"/>
  <c r="D827" i="57" s="1"/>
  <c r="G827" i="57" s="1"/>
  <c r="D933" i="57" s="1"/>
  <c r="G933" i="57" s="1"/>
  <c r="D1039" i="57" s="1"/>
  <c r="G1039" i="57" s="1"/>
  <c r="Q34" i="27"/>
  <c r="K733" i="57"/>
  <c r="D839" i="57"/>
  <c r="G839" i="57" s="1"/>
  <c r="I565" i="57"/>
  <c r="N565" i="57" s="1"/>
  <c r="O80" i="42"/>
  <c r="F44" i="12"/>
  <c r="D43" i="3"/>
  <c r="F43" i="3" s="1"/>
  <c r="H43" i="3" s="1"/>
  <c r="K671" i="57"/>
  <c r="D777" i="57"/>
  <c r="G777" i="57" s="1"/>
  <c r="Q80" i="27"/>
  <c r="D779" i="57"/>
  <c r="G779" i="57" s="1"/>
  <c r="D885" i="57" s="1"/>
  <c r="G885" i="57" s="1"/>
  <c r="N721" i="41"/>
  <c r="I827" i="41" s="1"/>
  <c r="N762" i="41"/>
  <c r="I868" i="41" s="1"/>
  <c r="N622" i="57"/>
  <c r="I728" i="57" s="1"/>
  <c r="N865" i="41"/>
  <c r="I971" i="41" s="1"/>
  <c r="N930" i="41"/>
  <c r="I1036" i="41" s="1"/>
  <c r="N765" i="41"/>
  <c r="I871" i="41" s="1"/>
  <c r="N651" i="41"/>
  <c r="I757" i="41" s="1"/>
  <c r="K674" i="57"/>
  <c r="D780" i="57"/>
  <c r="G780" i="57" s="1"/>
  <c r="N1090" i="41"/>
  <c r="I1196" i="41" s="1"/>
  <c r="N876" i="41"/>
  <c r="I982" i="41" s="1"/>
  <c r="K654" i="57"/>
  <c r="D760" i="57"/>
  <c r="G760" i="57" s="1"/>
  <c r="N1143" i="41"/>
  <c r="I1249" i="41" s="1"/>
  <c r="N1195" i="41"/>
  <c r="I1301" i="41" s="1"/>
  <c r="K1081" i="41"/>
  <c r="N1081" i="41" s="1"/>
  <c r="I1187" i="41" s="1"/>
  <c r="D1187" i="41"/>
  <c r="G1187" i="41" s="1"/>
  <c r="D770" i="57"/>
  <c r="G770" i="57" s="1"/>
  <c r="K664" i="57"/>
  <c r="I496" i="57"/>
  <c r="N391" i="57"/>
  <c r="I345" i="41"/>
  <c r="I359" i="41" s="1"/>
  <c r="N253" i="41"/>
  <c r="N258" i="41" s="1"/>
  <c r="G359" i="41"/>
  <c r="G364" i="41" s="1"/>
  <c r="D451" i="41"/>
  <c r="K345" i="41"/>
  <c r="N782" i="41"/>
  <c r="I888" i="41" s="1"/>
  <c r="O36" i="42"/>
  <c r="I656" i="57"/>
  <c r="N656" i="57" s="1"/>
  <c r="N1038" i="41"/>
  <c r="I1144" i="41" s="1"/>
  <c r="N838" i="41"/>
  <c r="I944" i="41" s="1"/>
  <c r="N1049" i="41"/>
  <c r="I1155" i="41" s="1"/>
  <c r="N934" i="41"/>
  <c r="I1040" i="41" s="1"/>
  <c r="N1202" i="41"/>
  <c r="I1308" i="41" s="1"/>
  <c r="N1291" i="41"/>
  <c r="I1397" i="41" s="1"/>
  <c r="N1098" i="41"/>
  <c r="I1204" i="41" s="1"/>
  <c r="N1157" i="41"/>
  <c r="I1263" i="41" s="1"/>
  <c r="N1305" i="41"/>
  <c r="I1411" i="41" s="1"/>
  <c r="K757" i="41"/>
  <c r="D863" i="41"/>
  <c r="G863" i="41" s="1"/>
  <c r="N1309" i="41"/>
  <c r="I1415" i="41" s="1"/>
  <c r="D54" i="3"/>
  <c r="F54" i="3" s="1"/>
  <c r="H54" i="3" s="1"/>
  <c r="F70" i="12"/>
  <c r="K758" i="57"/>
  <c r="D864" i="57"/>
  <c r="G864" i="57" s="1"/>
  <c r="P61" i="42"/>
  <c r="I652" i="57"/>
  <c r="N652" i="57" s="1"/>
  <c r="D868" i="57"/>
  <c r="G868" i="57" s="1"/>
  <c r="K762" i="57"/>
  <c r="D50" i="3"/>
  <c r="F50" i="3" s="1"/>
  <c r="H50" i="3" s="1"/>
  <c r="F66" i="12"/>
  <c r="N1082" i="41"/>
  <c r="I1188" i="41" s="1"/>
  <c r="D38" i="3"/>
  <c r="F38" i="3" s="1"/>
  <c r="H38" i="3" s="1"/>
  <c r="N773" i="41"/>
  <c r="I879" i="41" s="1"/>
  <c r="I776" i="57"/>
  <c r="N776" i="57" s="1"/>
  <c r="I882" i="57" s="1"/>
  <c r="P60" i="42"/>
  <c r="N929" i="41"/>
  <c r="I1035" i="41" s="1"/>
  <c r="N755" i="41"/>
  <c r="I861" i="41" s="1"/>
  <c r="P28" i="42"/>
  <c r="K753" i="57"/>
  <c r="D859" i="57"/>
  <c r="G859" i="57" s="1"/>
  <c r="P56" i="42"/>
  <c r="I647" i="57"/>
  <c r="N647" i="57" s="1"/>
  <c r="D45" i="3"/>
  <c r="F45" i="3" s="1"/>
  <c r="H45" i="3" s="1"/>
  <c r="F61" i="12"/>
  <c r="D985" i="41"/>
  <c r="G985" i="41" s="1"/>
  <c r="K879" i="41"/>
  <c r="P82" i="42"/>
  <c r="I673" i="57"/>
  <c r="N673" i="57" s="1"/>
  <c r="K729" i="57"/>
  <c r="D835" i="57"/>
  <c r="G835" i="57" s="1"/>
  <c r="D834" i="57"/>
  <c r="G834" i="57" s="1"/>
  <c r="K728" i="57"/>
  <c r="G36" i="44"/>
  <c r="D1252" i="57"/>
  <c r="G1252" i="57" s="1"/>
  <c r="F40" i="12"/>
  <c r="D39" i="3"/>
  <c r="F39" i="3" s="1"/>
  <c r="H39" i="3" s="1"/>
  <c r="N556" i="57"/>
  <c r="P71" i="42" s="1"/>
  <c r="N1396" i="41"/>
  <c r="I1502" i="41" s="1"/>
  <c r="K882" i="57"/>
  <c r="D988" i="57"/>
  <c r="G988" i="57" s="1"/>
  <c r="G82" i="12"/>
  <c r="K82" i="12"/>
  <c r="I1198" i="57"/>
  <c r="N1198" i="57" s="1"/>
  <c r="F78" i="43"/>
  <c r="N651" i="57"/>
  <c r="I757" i="57" s="1"/>
  <c r="D968" i="41"/>
  <c r="G968" i="41" s="1"/>
  <c r="K862" i="41"/>
  <c r="N862" i="41" s="1"/>
  <c r="I968" i="41" s="1"/>
  <c r="K822" i="41"/>
  <c r="N822" i="41" s="1"/>
  <c r="I928" i="41" s="1"/>
  <c r="D928" i="41"/>
  <c r="G928" i="41" s="1"/>
  <c r="D1142" i="41"/>
  <c r="G1142" i="41" s="1"/>
  <c r="K1036" i="41"/>
  <c r="N609" i="57"/>
  <c r="Q28" i="42" s="1"/>
  <c r="I31" i="12" s="1"/>
  <c r="J1088" i="41"/>
  <c r="K1088" i="41" s="1"/>
  <c r="K982" i="41"/>
  <c r="D1127" i="57"/>
  <c r="F17" i="44"/>
  <c r="K761" i="57"/>
  <c r="D867" i="57"/>
  <c r="G867" i="57" s="1"/>
  <c r="G84" i="12"/>
  <c r="K84" i="12"/>
  <c r="P38" i="42"/>
  <c r="I624" i="57"/>
  <c r="N624" i="57" s="1"/>
  <c r="F19" i="12"/>
  <c r="D18" i="3"/>
  <c r="F18" i="3" s="1"/>
  <c r="H18" i="3" s="1"/>
  <c r="D861" i="57"/>
  <c r="G861" i="57" s="1"/>
  <c r="K755" i="57"/>
  <c r="I649" i="57"/>
  <c r="N649" i="57" s="1"/>
  <c r="P58" i="42"/>
  <c r="D53" i="3"/>
  <c r="F53" i="3" s="1"/>
  <c r="H53" i="3" s="1"/>
  <c r="F69" i="12"/>
  <c r="N347" i="57"/>
  <c r="I357" i="57"/>
  <c r="D821" i="57"/>
  <c r="G821" i="57" s="1"/>
  <c r="K715" i="57"/>
  <c r="F41" i="12"/>
  <c r="D40" i="3"/>
  <c r="F40" i="3" s="1"/>
  <c r="H40" i="3" s="1"/>
  <c r="K862" i="57"/>
  <c r="D968" i="57"/>
  <c r="G968" i="57" s="1"/>
  <c r="G453" i="57"/>
  <c r="D463" i="57"/>
  <c r="K19" i="12"/>
  <c r="G19" i="12"/>
  <c r="G80" i="12"/>
  <c r="D30" i="3"/>
  <c r="F30" i="3" s="1"/>
  <c r="H30" i="3" s="1"/>
  <c r="F31" i="12"/>
  <c r="D836" i="57"/>
  <c r="G836" i="57" s="1"/>
  <c r="K730" i="57"/>
  <c r="D47" i="3"/>
  <c r="F47" i="3" s="1"/>
  <c r="H47" i="3" s="1"/>
  <c r="F63" i="12"/>
  <c r="P64" i="42"/>
  <c r="I655" i="57"/>
  <c r="N655" i="57" s="1"/>
  <c r="I1127" i="57"/>
  <c r="N1127" i="57" s="1"/>
  <c r="F17" i="43"/>
  <c r="D977" i="41"/>
  <c r="G977" i="41" s="1"/>
  <c r="K871" i="41"/>
  <c r="K861" i="41"/>
  <c r="D967" i="41"/>
  <c r="G967" i="41" s="1"/>
  <c r="K1196" i="41"/>
  <c r="D1302" i="41"/>
  <c r="G1302" i="41" s="1"/>
  <c r="D863" i="57"/>
  <c r="G863" i="57" s="1"/>
  <c r="K757" i="57"/>
  <c r="C27" i="49"/>
  <c r="I29" i="49"/>
  <c r="D49" i="3"/>
  <c r="F49" i="3" s="1"/>
  <c r="H49" i="3" s="1"/>
  <c r="F65" i="12"/>
  <c r="K944" i="41"/>
  <c r="D1050" i="41"/>
  <c r="G1050" i="41" s="1"/>
  <c r="K875" i="57"/>
  <c r="D981" i="57"/>
  <c r="G981" i="57" s="1"/>
  <c r="D33" i="3"/>
  <c r="F33" i="3" s="1"/>
  <c r="H33" i="3" s="1"/>
  <c r="F34" i="12"/>
  <c r="D1578" i="41"/>
  <c r="G1578" i="41" s="1"/>
  <c r="N434" i="57"/>
  <c r="D1077" i="41"/>
  <c r="G1077" i="41" s="1"/>
  <c r="K971" i="41"/>
  <c r="N86" i="27"/>
  <c r="N91" i="27" s="1"/>
  <c r="N311" i="41"/>
  <c r="I342" i="41"/>
  <c r="Q26" i="27"/>
  <c r="D713" i="57"/>
  <c r="G713" i="57" s="1"/>
  <c r="D819" i="57" s="1"/>
  <c r="G819" i="57" s="1"/>
  <c r="D925" i="57" s="1"/>
  <c r="G925" i="57" s="1"/>
  <c r="D1031" i="57" s="1"/>
  <c r="G1031" i="57" s="1"/>
  <c r="J49" i="59"/>
  <c r="J47" i="59" s="1"/>
  <c r="F20" i="12"/>
  <c r="D19" i="3"/>
  <c r="F19" i="3" s="1"/>
  <c r="H19" i="3" s="1"/>
  <c r="D994" i="41"/>
  <c r="G994" i="41" s="1"/>
  <c r="K888" i="41"/>
  <c r="I596" i="57"/>
  <c r="P15" i="42"/>
  <c r="G754" i="41"/>
  <c r="I17" i="12"/>
  <c r="K1300" i="41"/>
  <c r="D1406" i="41"/>
  <c r="G1406" i="41" s="1"/>
  <c r="K1040" i="41"/>
  <c r="D1146" i="41"/>
  <c r="G1146" i="41" s="1"/>
  <c r="K1249" i="41"/>
  <c r="D1355" i="41"/>
  <c r="G1355" i="41" s="1"/>
  <c r="I493" i="41"/>
  <c r="N389" i="41"/>
  <c r="K1308" i="41"/>
  <c r="D1414" i="41"/>
  <c r="G1414" i="41" s="1"/>
  <c r="G436" i="57"/>
  <c r="D446" i="57"/>
  <c r="K1035" i="41"/>
  <c r="D1141" i="41"/>
  <c r="G1141" i="41" s="1"/>
  <c r="D1091" i="57"/>
  <c r="G1091" i="57" s="1"/>
  <c r="K985" i="57"/>
  <c r="F15" i="3"/>
  <c r="H15" i="3" s="1"/>
  <c r="I498" i="41"/>
  <c r="O21" i="42"/>
  <c r="O22" i="42" s="1"/>
  <c r="N393" i="41"/>
  <c r="G662" i="57"/>
  <c r="P26" i="42"/>
  <c r="I607" i="57"/>
  <c r="N607" i="57" s="1"/>
  <c r="D1521" i="41"/>
  <c r="G1521" i="41" s="1"/>
  <c r="K1415" i="41"/>
  <c r="D600" i="41"/>
  <c r="G495" i="41"/>
  <c r="D806" i="57"/>
  <c r="I1020" i="41"/>
  <c r="D1517" i="41"/>
  <c r="G1517" i="41" s="1"/>
  <c r="K1411" i="41"/>
  <c r="N330" i="57"/>
  <c r="I340" i="57"/>
  <c r="I542" i="41"/>
  <c r="G417" i="41"/>
  <c r="D448" i="41"/>
  <c r="F18" i="44"/>
  <c r="D1128" i="57"/>
  <c r="K1188" i="41"/>
  <c r="D1294" i="41"/>
  <c r="G1294" i="41" s="1"/>
  <c r="G675" i="41"/>
  <c r="D59" i="3"/>
  <c r="F75" i="12"/>
  <c r="L40" i="59"/>
  <c r="N449" i="57"/>
  <c r="D820" i="57"/>
  <c r="G820" i="57" s="1"/>
  <c r="K714" i="57"/>
  <c r="D933" i="41"/>
  <c r="G933" i="41" s="1"/>
  <c r="K827" i="41"/>
  <c r="N569" i="41"/>
  <c r="I675" i="41" s="1"/>
  <c r="G767" i="57"/>
  <c r="K1301" i="41"/>
  <c r="D1407" i="41"/>
  <c r="G1407" i="41" s="1"/>
  <c r="K868" i="41"/>
  <c r="D974" i="41"/>
  <c r="G974" i="41" s="1"/>
  <c r="D603" i="57"/>
  <c r="G602" i="57"/>
  <c r="G915" i="41"/>
  <c r="K1155" i="41"/>
  <c r="D1261" i="41"/>
  <c r="G1261" i="41" s="1"/>
  <c r="G383" i="57"/>
  <c r="D387" i="57"/>
  <c r="N440" i="41"/>
  <c r="I546" i="41" s="1"/>
  <c r="G540" i="57"/>
  <c r="P55" i="27" s="1"/>
  <c r="G393" i="41"/>
  <c r="D498" i="41"/>
  <c r="K1397" i="41"/>
  <c r="D1503" i="41"/>
  <c r="G1503" i="41" s="1"/>
  <c r="F30" i="12"/>
  <c r="D29" i="3"/>
  <c r="F29" i="3" s="1"/>
  <c r="H29" i="3" s="1"/>
  <c r="K1502" i="41"/>
  <c r="D1608" i="41"/>
  <c r="G1608" i="41" s="1"/>
  <c r="G1020" i="41"/>
  <c r="M49" i="59"/>
  <c r="M47" i="59" s="1"/>
  <c r="E37" i="123"/>
  <c r="E54" i="123" s="1"/>
  <c r="N701" i="57"/>
  <c r="Q30" i="27"/>
  <c r="K611" i="57"/>
  <c r="D717" i="57"/>
  <c r="G717" i="57" s="1"/>
  <c r="K1204" i="41"/>
  <c r="D1310" i="41"/>
  <c r="G1310" i="41" s="1"/>
  <c r="D824" i="57"/>
  <c r="G824" i="57" s="1"/>
  <c r="K718" i="57"/>
  <c r="K1263" i="41"/>
  <c r="D1369" i="41"/>
  <c r="G1369" i="41" s="1"/>
  <c r="O30" i="42"/>
  <c r="I505" i="57"/>
  <c r="N505" i="57" s="1"/>
  <c r="I1252" i="57"/>
  <c r="N1252" i="57" s="1"/>
  <c r="G36" i="43"/>
  <c r="G546" i="41"/>
  <c r="K1144" i="41"/>
  <c r="D1250" i="41"/>
  <c r="G1250" i="41" s="1"/>
  <c r="P37" i="42" l="1"/>
  <c r="P83" i="42"/>
  <c r="P62" i="42"/>
  <c r="N674" i="57"/>
  <c r="I780" i="57" s="1"/>
  <c r="I610" i="57"/>
  <c r="N610" i="57" s="1"/>
  <c r="I716" i="57" s="1"/>
  <c r="N716" i="57" s="1"/>
  <c r="I822" i="57" s="1"/>
  <c r="N822" i="57" s="1"/>
  <c r="I928" i="57" s="1"/>
  <c r="D928" i="57"/>
  <c r="G928" i="57" s="1"/>
  <c r="D1034" i="57" s="1"/>
  <c r="G1034" i="57" s="1"/>
  <c r="F30" i="44" s="1"/>
  <c r="D27" i="3"/>
  <c r="F27" i="3" s="1"/>
  <c r="H27" i="3" s="1"/>
  <c r="D1738" i="57"/>
  <c r="G1738" i="57" s="1"/>
  <c r="K87" i="44"/>
  <c r="K88" i="44" s="1"/>
  <c r="I1844" i="57"/>
  <c r="N1844" i="57" s="1"/>
  <c r="L87" i="43"/>
  <c r="L88" i="43" s="1"/>
  <c r="I281" i="57"/>
  <c r="I362" i="57" s="1"/>
  <c r="N280" i="57"/>
  <c r="I38" i="59"/>
  <c r="K38" i="59" s="1"/>
  <c r="K990" i="57"/>
  <c r="I756" i="57"/>
  <c r="N756" i="57" s="1"/>
  <c r="I862" i="57" s="1"/>
  <c r="N862" i="57" s="1"/>
  <c r="I968" i="57" s="1"/>
  <c r="D71" i="3"/>
  <c r="F71" i="3" s="1"/>
  <c r="H71" i="3" s="1"/>
  <c r="I32" i="49"/>
  <c r="F87" i="12"/>
  <c r="D468" i="57"/>
  <c r="Q72" i="42"/>
  <c r="I77" i="12" s="1"/>
  <c r="K77" i="12" s="1"/>
  <c r="P72" i="42"/>
  <c r="D1038" i="57"/>
  <c r="G1038" i="57" s="1"/>
  <c r="F34" i="44" s="1"/>
  <c r="I364" i="41"/>
  <c r="P32" i="42"/>
  <c r="I613" i="57"/>
  <c r="N613" i="57" s="1"/>
  <c r="F26" i="43"/>
  <c r="I1136" i="57"/>
  <c r="N1136" i="57" s="1"/>
  <c r="G43" i="12"/>
  <c r="K43" i="12"/>
  <c r="G28" i="12"/>
  <c r="K28" i="12"/>
  <c r="I1156" i="57"/>
  <c r="N1156" i="57" s="1"/>
  <c r="F41" i="43"/>
  <c r="G35" i="43"/>
  <c r="I1251" i="57"/>
  <c r="N1251" i="57" s="1"/>
  <c r="Q33" i="42"/>
  <c r="I36" i="12" s="1"/>
  <c r="G36" i="12" s="1"/>
  <c r="N827" i="41"/>
  <c r="I933" i="41" s="1"/>
  <c r="P27" i="42"/>
  <c r="I778" i="57"/>
  <c r="N778" i="57" s="1"/>
  <c r="I884" i="57" s="1"/>
  <c r="N884" i="57" s="1"/>
  <c r="I990" i="57" s="1"/>
  <c r="Q81" i="42"/>
  <c r="I86" i="12" s="1"/>
  <c r="K779" i="57"/>
  <c r="I664" i="57"/>
  <c r="N664" i="57" s="1"/>
  <c r="P73" i="42"/>
  <c r="D825" i="57"/>
  <c r="G825" i="57" s="1"/>
  <c r="K719" i="57"/>
  <c r="F41" i="44"/>
  <c r="D1156" i="57"/>
  <c r="D64" i="3"/>
  <c r="F64" i="3" s="1"/>
  <c r="H64" i="3" s="1"/>
  <c r="F80" i="12"/>
  <c r="I625" i="57"/>
  <c r="N625" i="57" s="1"/>
  <c r="P39" i="42"/>
  <c r="D29" i="130"/>
  <c r="H29" i="130" s="1"/>
  <c r="G1136" i="57"/>
  <c r="F16" i="44"/>
  <c r="D1126" i="57"/>
  <c r="D865" i="57"/>
  <c r="G865" i="57" s="1"/>
  <c r="K759" i="57"/>
  <c r="P31" i="42"/>
  <c r="N868" i="41"/>
  <c r="I974" i="41" s="1"/>
  <c r="I654" i="57"/>
  <c r="N654" i="57" s="1"/>
  <c r="P63" i="42"/>
  <c r="K878" i="57"/>
  <c r="N878" i="57" s="1"/>
  <c r="I984" i="57" s="1"/>
  <c r="N984" i="57" s="1"/>
  <c r="I1090" i="57" s="1"/>
  <c r="N1090" i="57" s="1"/>
  <c r="D984" i="57"/>
  <c r="G984" i="57" s="1"/>
  <c r="D1090" i="57" s="1"/>
  <c r="G1090" i="57" s="1"/>
  <c r="K775" i="57"/>
  <c r="D881" i="57"/>
  <c r="G881" i="57" s="1"/>
  <c r="D837" i="57"/>
  <c r="G837" i="57" s="1"/>
  <c r="K731" i="57"/>
  <c r="D869" i="57"/>
  <c r="G869" i="57" s="1"/>
  <c r="K763" i="57"/>
  <c r="F67" i="12"/>
  <c r="D51" i="3"/>
  <c r="F51" i="3" s="1"/>
  <c r="H51" i="3" s="1"/>
  <c r="N653" i="57"/>
  <c r="F43" i="12"/>
  <c r="D42" i="3"/>
  <c r="F42" i="3" s="1"/>
  <c r="H42" i="3" s="1"/>
  <c r="D17" i="3"/>
  <c r="F17" i="3" s="1"/>
  <c r="H17" i="3" s="1"/>
  <c r="F18" i="12"/>
  <c r="D66" i="3"/>
  <c r="F66" i="3" s="1"/>
  <c r="H66" i="3" s="1"/>
  <c r="F82" i="12"/>
  <c r="D34" i="3"/>
  <c r="F34" i="3" s="1"/>
  <c r="H34" i="3" s="1"/>
  <c r="F35" i="12"/>
  <c r="F83" i="12"/>
  <c r="D67" i="3"/>
  <c r="F67" i="3" s="1"/>
  <c r="H67" i="3" s="1"/>
  <c r="I773" i="57"/>
  <c r="N773" i="57" s="1"/>
  <c r="I879" i="57" s="1"/>
  <c r="N879" i="57" s="1"/>
  <c r="I985" i="57" s="1"/>
  <c r="N985" i="57" s="1"/>
  <c r="I1091" i="57" s="1"/>
  <c r="Q76" i="42"/>
  <c r="D41" i="3"/>
  <c r="F41" i="3" s="1"/>
  <c r="H41" i="3" s="1"/>
  <c r="F42" i="12"/>
  <c r="F71" i="12"/>
  <c r="D55" i="3"/>
  <c r="F55" i="3" s="1"/>
  <c r="H55" i="3" s="1"/>
  <c r="I775" i="57"/>
  <c r="Q78" i="42"/>
  <c r="I83" i="12" s="1"/>
  <c r="P66" i="42"/>
  <c r="I657" i="57"/>
  <c r="N657" i="57" s="1"/>
  <c r="D1198" i="57"/>
  <c r="F78" i="44"/>
  <c r="F37" i="12"/>
  <c r="D36" i="3"/>
  <c r="F36" i="3" s="1"/>
  <c r="H36" i="3" s="1"/>
  <c r="F85" i="12"/>
  <c r="D69" i="3"/>
  <c r="F69" i="3" s="1"/>
  <c r="H69" i="3" s="1"/>
  <c r="P80" i="42"/>
  <c r="I671" i="57"/>
  <c r="N671" i="57" s="1"/>
  <c r="D1145" i="57"/>
  <c r="F35" i="44"/>
  <c r="K777" i="57"/>
  <c r="D883" i="57"/>
  <c r="G883" i="57" s="1"/>
  <c r="K839" i="57"/>
  <c r="D945" i="57"/>
  <c r="G945" i="57" s="1"/>
  <c r="Q41" i="42"/>
  <c r="I44" i="12" s="1"/>
  <c r="I733" i="57"/>
  <c r="N733" i="57" s="1"/>
  <c r="I839" i="57" s="1"/>
  <c r="N971" i="41"/>
  <c r="I1077" i="41" s="1"/>
  <c r="N728" i="57"/>
  <c r="I834" i="57" s="1"/>
  <c r="N1308" i="41"/>
  <c r="I1414" i="41" s="1"/>
  <c r="N1249" i="41"/>
  <c r="I1355" i="41" s="1"/>
  <c r="N1036" i="41"/>
  <c r="I1142" i="41" s="1"/>
  <c r="N757" i="41"/>
  <c r="I863" i="41" s="1"/>
  <c r="N871" i="41"/>
  <c r="I977" i="41" s="1"/>
  <c r="N1196" i="41"/>
  <c r="I1302" i="41" s="1"/>
  <c r="D886" i="57"/>
  <c r="G886" i="57" s="1"/>
  <c r="K780" i="57"/>
  <c r="N982" i="41"/>
  <c r="I1088" i="41" s="1"/>
  <c r="N1088" i="41" s="1"/>
  <c r="I1194" i="41" s="1"/>
  <c r="N1194" i="41" s="1"/>
  <c r="I1300" i="41" s="1"/>
  <c r="N1300" i="41" s="1"/>
  <c r="I1406" i="41" s="1"/>
  <c r="D866" i="57"/>
  <c r="G866" i="57" s="1"/>
  <c r="K760" i="57"/>
  <c r="N1301" i="41"/>
  <c r="I1407" i="41" s="1"/>
  <c r="D1293" i="41"/>
  <c r="G1293" i="41" s="1"/>
  <c r="K1187" i="41"/>
  <c r="N1187" i="41" s="1"/>
  <c r="I1293" i="41" s="1"/>
  <c r="N1144" i="41"/>
  <c r="I1250" i="41" s="1"/>
  <c r="D876" i="57"/>
  <c r="G876" i="57" s="1"/>
  <c r="K770" i="57"/>
  <c r="I497" i="57"/>
  <c r="N496" i="57"/>
  <c r="P21" i="42" s="1"/>
  <c r="P22" i="42" s="1"/>
  <c r="G451" i="41"/>
  <c r="D465" i="41"/>
  <c r="D470" i="41" s="1"/>
  <c r="N345" i="41"/>
  <c r="K359" i="41"/>
  <c r="N888" i="41"/>
  <c r="I994" i="41" s="1"/>
  <c r="N944" i="41"/>
  <c r="I1050" i="41" s="1"/>
  <c r="P36" i="42"/>
  <c r="N1155" i="41"/>
  <c r="I1261" i="41" s="1"/>
  <c r="N1040" i="41"/>
  <c r="I1146" i="41" s="1"/>
  <c r="N1204" i="41"/>
  <c r="I1310" i="41" s="1"/>
  <c r="N1397" i="41"/>
  <c r="I1503" i="41" s="1"/>
  <c r="N1411" i="41"/>
  <c r="I1517" i="41" s="1"/>
  <c r="N1263" i="41"/>
  <c r="I1369" i="41" s="1"/>
  <c r="D969" i="41"/>
  <c r="G969" i="41" s="1"/>
  <c r="K863" i="41"/>
  <c r="N1415" i="41"/>
  <c r="I1521" i="41" s="1"/>
  <c r="I662" i="57"/>
  <c r="N1188" i="41"/>
  <c r="I1294" i="41" s="1"/>
  <c r="I758" i="57"/>
  <c r="N758" i="57" s="1"/>
  <c r="I864" i="57" s="1"/>
  <c r="Q61" i="42"/>
  <c r="I66" i="12" s="1"/>
  <c r="D974" i="57"/>
  <c r="G974" i="57" s="1"/>
  <c r="K868" i="57"/>
  <c r="K864" i="57"/>
  <c r="D970" i="57"/>
  <c r="G970" i="57" s="1"/>
  <c r="Q65" i="42"/>
  <c r="I70" i="12" s="1"/>
  <c r="I762" i="57"/>
  <c r="N762" i="57" s="1"/>
  <c r="I868" i="57" s="1"/>
  <c r="N1035" i="41"/>
  <c r="I1141" i="41" s="1"/>
  <c r="N879" i="41"/>
  <c r="I985" i="41" s="1"/>
  <c r="N875" i="57"/>
  <c r="I981" i="57" s="1"/>
  <c r="N861" i="41"/>
  <c r="I967" i="41" s="1"/>
  <c r="Q56" i="42"/>
  <c r="I61" i="12" s="1"/>
  <c r="I753" i="57"/>
  <c r="N753" i="57" s="1"/>
  <c r="I859" i="57" s="1"/>
  <c r="D965" i="57"/>
  <c r="G965" i="57" s="1"/>
  <c r="K859" i="57"/>
  <c r="K885" i="57"/>
  <c r="D991" i="57"/>
  <c r="G991" i="57" s="1"/>
  <c r="I779" i="57"/>
  <c r="Q82" i="42"/>
  <c r="I87" i="12" s="1"/>
  <c r="K985" i="41"/>
  <c r="D1091" i="41"/>
  <c r="G1091" i="41" s="1"/>
  <c r="D940" i="57"/>
  <c r="G940" i="57" s="1"/>
  <c r="K834" i="57"/>
  <c r="D1358" i="57"/>
  <c r="G1358" i="57" s="1"/>
  <c r="H36" i="44"/>
  <c r="D941" i="57"/>
  <c r="G941" i="57" s="1"/>
  <c r="K835" i="57"/>
  <c r="Q37" i="42"/>
  <c r="I40" i="12" s="1"/>
  <c r="I729" i="57"/>
  <c r="N729" i="57" s="1"/>
  <c r="I835" i="57" s="1"/>
  <c r="N1502" i="41"/>
  <c r="I1608" i="41" s="1"/>
  <c r="Q60" i="42"/>
  <c r="I65" i="12" s="1"/>
  <c r="K65" i="12" s="1"/>
  <c r="N932" i="57"/>
  <c r="I1038" i="57" s="1"/>
  <c r="M20" i="57"/>
  <c r="I21" i="57" s="1"/>
  <c r="I715" i="57"/>
  <c r="N715" i="57" s="1"/>
  <c r="I821" i="57" s="1"/>
  <c r="G78" i="43"/>
  <c r="I1304" i="57"/>
  <c r="N1304" i="57" s="1"/>
  <c r="N882" i="57"/>
  <c r="I988" i="57" s="1"/>
  <c r="K988" i="57"/>
  <c r="D1094" i="57"/>
  <c r="G1094" i="57" s="1"/>
  <c r="D1074" i="41"/>
  <c r="G1074" i="41" s="1"/>
  <c r="K968" i="41"/>
  <c r="N968" i="41" s="1"/>
  <c r="I1074" i="41" s="1"/>
  <c r="K928" i="41"/>
  <c r="N928" i="41" s="1"/>
  <c r="I1034" i="41" s="1"/>
  <c r="D1034" i="41"/>
  <c r="G1034" i="41" s="1"/>
  <c r="D1248" i="41"/>
  <c r="G1248" i="41" s="1"/>
  <c r="K1142" i="41"/>
  <c r="L101" i="72"/>
  <c r="I761" i="57"/>
  <c r="N761" i="57" s="1"/>
  <c r="I867" i="57" s="1"/>
  <c r="Q64" i="42"/>
  <c r="I69" i="12" s="1"/>
  <c r="D942" i="57"/>
  <c r="G942" i="57" s="1"/>
  <c r="K836" i="57"/>
  <c r="D1074" i="57"/>
  <c r="G1074" i="57" s="1"/>
  <c r="K968" i="57"/>
  <c r="K821" i="57"/>
  <c r="D927" i="57"/>
  <c r="G927" i="57" s="1"/>
  <c r="K861" i="57"/>
  <c r="D967" i="57"/>
  <c r="G967" i="57" s="1"/>
  <c r="N74" i="42"/>
  <c r="N84" i="42" s="1"/>
  <c r="I453" i="57"/>
  <c r="N357" i="57"/>
  <c r="G64" i="12"/>
  <c r="K64" i="12"/>
  <c r="I1233" i="57"/>
  <c r="N1233" i="57" s="1"/>
  <c r="G17" i="43"/>
  <c r="K453" i="57"/>
  <c r="K463" i="57" s="1"/>
  <c r="O74" i="27"/>
  <c r="O84" i="27" s="1"/>
  <c r="D559" i="57"/>
  <c r="G463" i="57"/>
  <c r="Q58" i="42"/>
  <c r="I63" i="12" s="1"/>
  <c r="I755" i="57"/>
  <c r="N755" i="57" s="1"/>
  <c r="I861" i="57" s="1"/>
  <c r="I730" i="57"/>
  <c r="N730" i="57" s="1"/>
  <c r="I836" i="57" s="1"/>
  <c r="Q38" i="42"/>
  <c r="I41" i="12" s="1"/>
  <c r="D973" i="57"/>
  <c r="G973" i="57" s="1"/>
  <c r="K867" i="57"/>
  <c r="D20" i="130"/>
  <c r="H20" i="130" s="1"/>
  <c r="G1127" i="57"/>
  <c r="D1073" i="41"/>
  <c r="G1073" i="41" s="1"/>
  <c r="K967" i="41"/>
  <c r="C29" i="49"/>
  <c r="I31" i="49"/>
  <c r="N757" i="57"/>
  <c r="I863" i="57" s="1"/>
  <c r="D1156" i="41"/>
  <c r="G1156" i="41" s="1"/>
  <c r="K1050" i="41"/>
  <c r="D1408" i="41"/>
  <c r="G1408" i="41" s="1"/>
  <c r="K1302" i="41"/>
  <c r="K863" i="57"/>
  <c r="D969" i="57"/>
  <c r="G969" i="57" s="1"/>
  <c r="D1083" i="41"/>
  <c r="G1083" i="41" s="1"/>
  <c r="K977" i="41"/>
  <c r="D823" i="57"/>
  <c r="G823" i="57" s="1"/>
  <c r="K717" i="57"/>
  <c r="K820" i="57"/>
  <c r="D926" i="57"/>
  <c r="G926" i="57" s="1"/>
  <c r="D1356" i="41"/>
  <c r="G1356" i="41" s="1"/>
  <c r="K1250" i="41"/>
  <c r="K1369" i="41"/>
  <c r="D1475" i="41"/>
  <c r="G1475" i="41" s="1"/>
  <c r="K1310" i="41"/>
  <c r="D1416" i="41"/>
  <c r="G1416" i="41" s="1"/>
  <c r="P30" i="42"/>
  <c r="I611" i="57"/>
  <c r="N611" i="57" s="1"/>
  <c r="K974" i="41"/>
  <c r="D1080" i="41"/>
  <c r="G1080" i="41" s="1"/>
  <c r="K1407" i="41"/>
  <c r="D1513" i="41"/>
  <c r="G1513" i="41" s="1"/>
  <c r="L51" i="59"/>
  <c r="N40" i="59"/>
  <c r="K675" i="41"/>
  <c r="D781" i="41"/>
  <c r="D1400" i="41"/>
  <c r="G1400" i="41" s="1"/>
  <c r="K1294" i="41"/>
  <c r="N542" i="41"/>
  <c r="N1020" i="41"/>
  <c r="I499" i="41"/>
  <c r="N498" i="41"/>
  <c r="K1406" i="41"/>
  <c r="D1512" i="41"/>
  <c r="G1512" i="41" s="1"/>
  <c r="D860" i="41"/>
  <c r="K754" i="41"/>
  <c r="D1183" i="41"/>
  <c r="G1183" i="41" s="1"/>
  <c r="K1077" i="41"/>
  <c r="I540" i="57"/>
  <c r="O55" i="42"/>
  <c r="K1608" i="41"/>
  <c r="D1714" i="41"/>
  <c r="G1714" i="41" s="1"/>
  <c r="I718" i="57"/>
  <c r="N718" i="57" s="1"/>
  <c r="I824" i="57" s="1"/>
  <c r="Q31" i="42"/>
  <c r="I34" i="12" s="1"/>
  <c r="D1039" i="41"/>
  <c r="G1039" i="41" s="1"/>
  <c r="K933" i="41"/>
  <c r="G806" i="57"/>
  <c r="D1627" i="41"/>
  <c r="G1627" i="41" s="1"/>
  <c r="K1521" i="41"/>
  <c r="N493" i="41"/>
  <c r="I495" i="41"/>
  <c r="K1146" i="41"/>
  <c r="D1252" i="41"/>
  <c r="G1252" i="41" s="1"/>
  <c r="D1100" i="41"/>
  <c r="G1100" i="41" s="1"/>
  <c r="K994" i="41"/>
  <c r="F27" i="44"/>
  <c r="D1137" i="57"/>
  <c r="D1087" i="57"/>
  <c r="G1087" i="57" s="1"/>
  <c r="K981" i="57"/>
  <c r="D1126" i="41"/>
  <c r="O70" i="42"/>
  <c r="I555" i="57"/>
  <c r="K824" i="57"/>
  <c r="D930" i="57"/>
  <c r="G930" i="57" s="1"/>
  <c r="D1367" i="41"/>
  <c r="G1367" i="41" s="1"/>
  <c r="K1261" i="41"/>
  <c r="D708" i="57"/>
  <c r="Q22" i="27"/>
  <c r="G603" i="57"/>
  <c r="G14" i="43"/>
  <c r="I1230" i="57"/>
  <c r="K417" i="41"/>
  <c r="K448" i="41" s="1"/>
  <c r="D523" i="41"/>
  <c r="G448" i="41"/>
  <c r="I436" i="57"/>
  <c r="N57" i="42"/>
  <c r="N67" i="42" s="1"/>
  <c r="N340" i="57"/>
  <c r="D1623" i="41"/>
  <c r="G1623" i="41" s="1"/>
  <c r="K1517" i="41"/>
  <c r="Q71" i="27"/>
  <c r="K662" i="57"/>
  <c r="D768" i="57"/>
  <c r="D1520" i="41"/>
  <c r="G1520" i="41" s="1"/>
  <c r="K1414" i="41"/>
  <c r="D28" i="3"/>
  <c r="F29" i="12"/>
  <c r="I417" i="41"/>
  <c r="N342" i="41"/>
  <c r="K546" i="41"/>
  <c r="N546" i="41" s="1"/>
  <c r="I652" i="41" s="1"/>
  <c r="D652" i="41"/>
  <c r="K1503" i="41"/>
  <c r="D1609" i="41"/>
  <c r="G1609" i="41" s="1"/>
  <c r="D1021" i="41"/>
  <c r="K767" i="57"/>
  <c r="D873" i="57"/>
  <c r="I807" i="57"/>
  <c r="H36" i="43"/>
  <c r="I1358" i="57"/>
  <c r="N1358" i="57" s="1"/>
  <c r="F33" i="12"/>
  <c r="D32" i="3"/>
  <c r="F32" i="3" s="1"/>
  <c r="H32" i="3" s="1"/>
  <c r="D139" i="70"/>
  <c r="G498" i="41"/>
  <c r="D499" i="41"/>
  <c r="D646" i="57"/>
  <c r="K540" i="57"/>
  <c r="D489" i="57"/>
  <c r="O15" i="27"/>
  <c r="O19" i="27" s="1"/>
  <c r="G387" i="57"/>
  <c r="Q27" i="42"/>
  <c r="I30" i="12" s="1"/>
  <c r="I714" i="57"/>
  <c r="N714" i="57" s="1"/>
  <c r="I820" i="57" s="1"/>
  <c r="F59" i="3"/>
  <c r="D21" i="130"/>
  <c r="H21" i="130" s="1"/>
  <c r="G1128" i="57"/>
  <c r="K31" i="12"/>
  <c r="G31" i="12"/>
  <c r="F82" i="44"/>
  <c r="K1096" i="57"/>
  <c r="D1202" i="57"/>
  <c r="G600" i="41"/>
  <c r="D601" i="41"/>
  <c r="Q26" i="42"/>
  <c r="I29" i="12" s="1"/>
  <c r="I713" i="57"/>
  <c r="N713" i="57" s="1"/>
  <c r="I819" i="57" s="1"/>
  <c r="N819" i="57" s="1"/>
  <c r="I925" i="57" s="1"/>
  <c r="N925" i="57" s="1"/>
  <c r="I1031" i="57" s="1"/>
  <c r="N1031" i="57" s="1"/>
  <c r="D1197" i="57"/>
  <c r="K1091" i="57"/>
  <c r="F77" i="44"/>
  <c r="K1141" i="41"/>
  <c r="D1247" i="41"/>
  <c r="G1247" i="41" s="1"/>
  <c r="K436" i="57"/>
  <c r="K446" i="57" s="1"/>
  <c r="O57" i="27"/>
  <c r="O67" i="27" s="1"/>
  <c r="D542" i="57"/>
  <c r="G446" i="57"/>
  <c r="D1461" i="41"/>
  <c r="G1461" i="41" s="1"/>
  <c r="K1355" i="41"/>
  <c r="G17" i="12"/>
  <c r="K17" i="12"/>
  <c r="N596" i="57"/>
  <c r="D1684" i="41"/>
  <c r="G1684" i="41" s="1"/>
  <c r="I81" i="12" l="1"/>
  <c r="K81" i="12" s="1"/>
  <c r="Q83" i="42"/>
  <c r="I88" i="12" s="1"/>
  <c r="K88" i="12" s="1"/>
  <c r="Q29" i="42"/>
  <c r="I32" i="12" s="1"/>
  <c r="G32" i="12" s="1"/>
  <c r="K928" i="57"/>
  <c r="N928" i="57" s="1"/>
  <c r="I1034" i="57" s="1"/>
  <c r="N780" i="57"/>
  <c r="I886" i="57" s="1"/>
  <c r="I1950" i="57"/>
  <c r="N1950" i="57" s="1"/>
  <c r="M87" i="43"/>
  <c r="M88" i="43" s="1"/>
  <c r="N17" i="42"/>
  <c r="N18" i="42" s="1"/>
  <c r="N86" i="42" s="1"/>
  <c r="N91" i="42" s="1"/>
  <c r="N281" i="57"/>
  <c r="N362" i="57" s="1"/>
  <c r="I386" i="57"/>
  <c r="D1844" i="57"/>
  <c r="G1844" i="57" s="1"/>
  <c r="L87" i="44"/>
  <c r="L88" i="44" s="1"/>
  <c r="I40" i="59"/>
  <c r="I51" i="59" s="1"/>
  <c r="I55" i="59" s="1"/>
  <c r="K55" i="59" s="1"/>
  <c r="N990" i="57"/>
  <c r="I1096" i="57" s="1"/>
  <c r="N1096" i="57" s="1"/>
  <c r="F82" i="43" s="1"/>
  <c r="N1077" i="41"/>
  <c r="I1183" i="41" s="1"/>
  <c r="N1355" i="41"/>
  <c r="I1461" i="41" s="1"/>
  <c r="D36" i="49"/>
  <c r="G77" i="12"/>
  <c r="D1144" i="57"/>
  <c r="G1144" i="57" s="1"/>
  <c r="K1038" i="57"/>
  <c r="N1038" i="57" s="1"/>
  <c r="F34" i="43" s="1"/>
  <c r="K468" i="57"/>
  <c r="J21" i="57" s="1"/>
  <c r="M21" i="57" s="1"/>
  <c r="I22" i="57" s="1"/>
  <c r="G468" i="57"/>
  <c r="N933" i="41"/>
  <c r="I1039" i="41" s="1"/>
  <c r="N1142" i="41"/>
  <c r="I1248" i="41" s="1"/>
  <c r="N775" i="57"/>
  <c r="I881" i="57" s="1"/>
  <c r="K364" i="41"/>
  <c r="J20" i="41" s="1"/>
  <c r="M20" i="41" s="1"/>
  <c r="G41" i="43"/>
  <c r="I1262" i="57"/>
  <c r="N1262" i="57" s="1"/>
  <c r="I1357" i="57"/>
  <c r="N1357" i="57" s="1"/>
  <c r="H35" i="43"/>
  <c r="G26" i="43"/>
  <c r="I1242" i="57"/>
  <c r="N1242" i="57" s="1"/>
  <c r="K36" i="12"/>
  <c r="G86" i="12"/>
  <c r="K86" i="12"/>
  <c r="N779" i="57"/>
  <c r="I885" i="57" s="1"/>
  <c r="N885" i="57" s="1"/>
  <c r="I991" i="57" s="1"/>
  <c r="F76" i="44"/>
  <c r="D1196" i="57"/>
  <c r="G1126" i="57"/>
  <c r="D19" i="130"/>
  <c r="H19" i="130" s="1"/>
  <c r="I770" i="57"/>
  <c r="N770" i="57" s="1"/>
  <c r="I876" i="57" s="1"/>
  <c r="Q73" i="42"/>
  <c r="I78" i="12" s="1"/>
  <c r="K83" i="12"/>
  <c r="G83" i="12"/>
  <c r="G81" i="12"/>
  <c r="D943" i="57"/>
  <c r="G943" i="57" s="1"/>
  <c r="K837" i="57"/>
  <c r="I1196" i="57"/>
  <c r="N1196" i="57" s="1"/>
  <c r="F76" i="43"/>
  <c r="Q39" i="42"/>
  <c r="I42" i="12" s="1"/>
  <c r="I731" i="57"/>
  <c r="N731" i="57" s="1"/>
  <c r="I837" i="57" s="1"/>
  <c r="K825" i="57"/>
  <c r="D931" i="57"/>
  <c r="G931" i="57" s="1"/>
  <c r="I760" i="57"/>
  <c r="N760" i="57" s="1"/>
  <c r="I866" i="57" s="1"/>
  <c r="Q63" i="42"/>
  <c r="I68" i="12" s="1"/>
  <c r="G1198" i="57"/>
  <c r="D83" i="130"/>
  <c r="H83" i="130" s="1"/>
  <c r="Q62" i="42"/>
  <c r="I67" i="12" s="1"/>
  <c r="I759" i="57"/>
  <c r="N759" i="57" s="1"/>
  <c r="I865" i="57" s="1"/>
  <c r="D987" i="57"/>
  <c r="G987" i="57" s="1"/>
  <c r="D1093" i="57" s="1"/>
  <c r="G1093" i="57" s="1"/>
  <c r="K881" i="57"/>
  <c r="D1242" i="57"/>
  <c r="G1242" i="57" s="1"/>
  <c r="G26" i="44"/>
  <c r="I719" i="57"/>
  <c r="N719" i="57" s="1"/>
  <c r="I825" i="57" s="1"/>
  <c r="Q32" i="42"/>
  <c r="I35" i="12" s="1"/>
  <c r="G1156" i="57"/>
  <c r="D44" i="130"/>
  <c r="H44" i="130" s="1"/>
  <c r="N974" i="41"/>
  <c r="I1080" i="41" s="1"/>
  <c r="N968" i="57"/>
  <c r="I1074" i="57" s="1"/>
  <c r="Q66" i="42"/>
  <c r="I71" i="12" s="1"/>
  <c r="I763" i="57"/>
  <c r="N763" i="57" s="1"/>
  <c r="I869" i="57" s="1"/>
  <c r="K869" i="57"/>
  <c r="D975" i="57"/>
  <c r="G975" i="57" s="1"/>
  <c r="D971" i="57"/>
  <c r="G971" i="57" s="1"/>
  <c r="K865" i="57"/>
  <c r="N839" i="57"/>
  <c r="I945" i="57" s="1"/>
  <c r="K883" i="57"/>
  <c r="D989" i="57"/>
  <c r="G989" i="57" s="1"/>
  <c r="G44" i="12"/>
  <c r="K44" i="12"/>
  <c r="Q80" i="42"/>
  <c r="I85" i="12" s="1"/>
  <c r="I777" i="57"/>
  <c r="N777" i="57" s="1"/>
  <c r="I883" i="57" s="1"/>
  <c r="K945" i="57"/>
  <c r="D1051" i="57"/>
  <c r="G1051" i="57" s="1"/>
  <c r="G1145" i="57"/>
  <c r="D38" i="130"/>
  <c r="H38" i="130" s="1"/>
  <c r="N1414" i="41"/>
  <c r="I1520" i="41" s="1"/>
  <c r="N834" i="57"/>
  <c r="I940" i="57" s="1"/>
  <c r="K1034" i="57"/>
  <c r="D1140" i="57"/>
  <c r="N977" i="41"/>
  <c r="I1083" i="41" s="1"/>
  <c r="N863" i="41"/>
  <c r="I969" i="41" s="1"/>
  <c r="N1407" i="41"/>
  <c r="I1513" i="41" s="1"/>
  <c r="N1302" i="41"/>
  <c r="I1408" i="41" s="1"/>
  <c r="K886" i="57"/>
  <c r="D992" i="57"/>
  <c r="G992" i="57" s="1"/>
  <c r="K866" i="57"/>
  <c r="D972" i="57"/>
  <c r="G972" i="57" s="1"/>
  <c r="N1250" i="41"/>
  <c r="I1356" i="41" s="1"/>
  <c r="N1261" i="41"/>
  <c r="I1367" i="41" s="1"/>
  <c r="N1503" i="41"/>
  <c r="I1609" i="41" s="1"/>
  <c r="K1293" i="41"/>
  <c r="N1293" i="41" s="1"/>
  <c r="I1399" i="41" s="1"/>
  <c r="D1399" i="41"/>
  <c r="G1399" i="41" s="1"/>
  <c r="N1369" i="41"/>
  <c r="I1475" i="41" s="1"/>
  <c r="K876" i="57"/>
  <c r="D982" i="57"/>
  <c r="G982" i="57" s="1"/>
  <c r="N1050" i="41"/>
  <c r="I1156" i="41" s="1"/>
  <c r="N497" i="57"/>
  <c r="I602" i="57"/>
  <c r="N994" i="41"/>
  <c r="I1100" i="41" s="1"/>
  <c r="I451" i="41"/>
  <c r="I465" i="41" s="1"/>
  <c r="N359" i="41"/>
  <c r="N364" i="41" s="1"/>
  <c r="K451" i="41"/>
  <c r="D557" i="41"/>
  <c r="G465" i="41"/>
  <c r="G470" i="41" s="1"/>
  <c r="Q36" i="42"/>
  <c r="I39" i="12" s="1"/>
  <c r="N1146" i="41"/>
  <c r="I1252" i="41" s="1"/>
  <c r="N1294" i="41"/>
  <c r="I1400" i="41" s="1"/>
  <c r="N1310" i="41"/>
  <c r="I1416" i="41" s="1"/>
  <c r="N1517" i="41"/>
  <c r="I1623" i="41" s="1"/>
  <c r="N1521" i="41"/>
  <c r="I1627" i="41" s="1"/>
  <c r="N1141" i="41"/>
  <c r="I1247" i="41" s="1"/>
  <c r="N981" i="57"/>
  <c r="I1087" i="57" s="1"/>
  <c r="D1075" i="41"/>
  <c r="G1075" i="41" s="1"/>
  <c r="K969" i="41"/>
  <c r="N868" i="57"/>
  <c r="I974" i="57" s="1"/>
  <c r="K70" i="12"/>
  <c r="G70" i="12"/>
  <c r="D1080" i="57"/>
  <c r="G1080" i="57" s="1"/>
  <c r="K974" i="57"/>
  <c r="K970" i="57"/>
  <c r="D1076" i="57"/>
  <c r="G1076" i="57" s="1"/>
  <c r="K66" i="12"/>
  <c r="G66" i="12"/>
  <c r="N864" i="57"/>
  <c r="I970" i="57" s="1"/>
  <c r="N985" i="41"/>
  <c r="I1091" i="41" s="1"/>
  <c r="N1091" i="57"/>
  <c r="F77" i="43" s="1"/>
  <c r="N820" i="57"/>
  <c r="I926" i="57" s="1"/>
  <c r="N967" i="41"/>
  <c r="I1073" i="41" s="1"/>
  <c r="N835" i="57"/>
  <c r="I941" i="57" s="1"/>
  <c r="D1071" i="57"/>
  <c r="G1071" i="57" s="1"/>
  <c r="K965" i="57"/>
  <c r="N859" i="57"/>
  <c r="I965" i="57" s="1"/>
  <c r="G61" i="12"/>
  <c r="K61" i="12"/>
  <c r="K1091" i="41"/>
  <c r="D1197" i="41"/>
  <c r="G1197" i="41" s="1"/>
  <c r="G87" i="12"/>
  <c r="K87" i="12"/>
  <c r="D1097" i="57"/>
  <c r="G1097" i="57" s="1"/>
  <c r="K991" i="57"/>
  <c r="K40" i="12"/>
  <c r="G40" i="12"/>
  <c r="I36" i="44"/>
  <c r="D1464" i="57"/>
  <c r="G1464" i="57" s="1"/>
  <c r="N821" i="57"/>
  <c r="I927" i="57" s="1"/>
  <c r="D1047" i="57"/>
  <c r="G1047" i="57" s="1"/>
  <c r="K941" i="57"/>
  <c r="K940" i="57"/>
  <c r="D1046" i="57"/>
  <c r="G1046" i="57" s="1"/>
  <c r="N1608" i="41"/>
  <c r="I1714" i="41" s="1"/>
  <c r="G65" i="12"/>
  <c r="N988" i="57"/>
  <c r="I1094" i="57" s="1"/>
  <c r="K1094" i="57"/>
  <c r="F80" i="44"/>
  <c r="D1200" i="57"/>
  <c r="H78" i="43"/>
  <c r="I1410" i="57"/>
  <c r="N1410" i="57" s="1"/>
  <c r="D1180" i="41"/>
  <c r="G1180" i="41" s="1"/>
  <c r="K1074" i="41"/>
  <c r="N1074" i="41" s="1"/>
  <c r="I1180" i="41" s="1"/>
  <c r="K1034" i="41"/>
  <c r="N1034" i="41" s="1"/>
  <c r="I1140" i="41" s="1"/>
  <c r="D1140" i="41"/>
  <c r="G1140" i="41" s="1"/>
  <c r="D1354" i="41"/>
  <c r="G1354" i="41" s="1"/>
  <c r="K1248" i="41"/>
  <c r="N1406" i="41"/>
  <c r="I1512" i="41" s="1"/>
  <c r="N453" i="57"/>
  <c r="I463" i="57"/>
  <c r="N836" i="57"/>
  <c r="I942" i="57" s="1"/>
  <c r="G63" i="12"/>
  <c r="K63" i="12"/>
  <c r="I1339" i="57"/>
  <c r="N1339" i="57" s="1"/>
  <c r="H17" i="43"/>
  <c r="D1073" i="57"/>
  <c r="G1073" i="57" s="1"/>
  <c r="K967" i="57"/>
  <c r="D1180" i="57"/>
  <c r="F60" i="44"/>
  <c r="K1074" i="57"/>
  <c r="N867" i="57"/>
  <c r="I973" i="57" s="1"/>
  <c r="D1079" i="57"/>
  <c r="G1079" i="57" s="1"/>
  <c r="K973" i="57"/>
  <c r="G559" i="57"/>
  <c r="D569" i="57"/>
  <c r="D1048" i="57"/>
  <c r="G1048" i="57" s="1"/>
  <c r="K942" i="57"/>
  <c r="D1233" i="57"/>
  <c r="G1233" i="57" s="1"/>
  <c r="G17" i="44"/>
  <c r="G41" i="12"/>
  <c r="K41" i="12"/>
  <c r="N861" i="57"/>
  <c r="I967" i="57" s="1"/>
  <c r="K927" i="57"/>
  <c r="D1033" i="57"/>
  <c r="G1033" i="57" s="1"/>
  <c r="G69" i="12"/>
  <c r="K69" i="12"/>
  <c r="K1073" i="41"/>
  <c r="D1179" i="41"/>
  <c r="G1179" i="41" s="1"/>
  <c r="N824" i="57"/>
  <c r="I930" i="57" s="1"/>
  <c r="D1189" i="41"/>
  <c r="G1189" i="41" s="1"/>
  <c r="K1083" i="41"/>
  <c r="C31" i="49"/>
  <c r="I33" i="49"/>
  <c r="D1075" i="57"/>
  <c r="G1075" i="57" s="1"/>
  <c r="K969" i="57"/>
  <c r="D1262" i="41"/>
  <c r="G1262" i="41" s="1"/>
  <c r="K1156" i="41"/>
  <c r="D1514" i="41"/>
  <c r="G1514" i="41" s="1"/>
  <c r="K1408" i="41"/>
  <c r="N863" i="57"/>
  <c r="I969" i="57" s="1"/>
  <c r="D1567" i="41"/>
  <c r="G1567" i="41" s="1"/>
  <c r="K1461" i="41"/>
  <c r="H59" i="3"/>
  <c r="F139" i="70"/>
  <c r="E29" i="69"/>
  <c r="E26" i="68" s="1"/>
  <c r="H65" i="120" s="1"/>
  <c r="F28" i="3"/>
  <c r="H28" i="3" s="1"/>
  <c r="G860" i="41"/>
  <c r="D1234" i="57"/>
  <c r="G1234" i="57" s="1"/>
  <c r="G18" i="44"/>
  <c r="G646" i="57"/>
  <c r="G1021" i="41"/>
  <c r="N417" i="41"/>
  <c r="I448" i="41"/>
  <c r="K1183" i="41"/>
  <c r="D1289" i="41"/>
  <c r="G1289" i="41" s="1"/>
  <c r="K926" i="57"/>
  <c r="D1032" i="57"/>
  <c r="G1032" i="57" s="1"/>
  <c r="I1137" i="57"/>
  <c r="N1137" i="57" s="1"/>
  <c r="F27" i="43"/>
  <c r="O86" i="27"/>
  <c r="O91" i="27" s="1"/>
  <c r="D1715" i="41"/>
  <c r="G1715" i="41" s="1"/>
  <c r="K1609" i="41"/>
  <c r="D60" i="3"/>
  <c r="F76" i="12"/>
  <c r="G523" i="41"/>
  <c r="D554" i="41"/>
  <c r="N675" i="41"/>
  <c r="I781" i="41" s="1"/>
  <c r="D30" i="130"/>
  <c r="H30" i="130" s="1"/>
  <c r="G1137" i="57"/>
  <c r="I599" i="41"/>
  <c r="N495" i="41"/>
  <c r="D1733" i="41"/>
  <c r="G1733" i="41" s="1"/>
  <c r="K1627" i="41"/>
  <c r="K1714" i="41"/>
  <c r="D1820" i="41"/>
  <c r="G1820" i="41" s="1"/>
  <c r="D1618" i="41"/>
  <c r="G1618" i="41" s="1"/>
  <c r="K1512" i="41"/>
  <c r="I648" i="41"/>
  <c r="K1400" i="41"/>
  <c r="D1506" i="41"/>
  <c r="G1506" i="41" s="1"/>
  <c r="I717" i="57"/>
  <c r="N717" i="57" s="1"/>
  <c r="I823" i="57" s="1"/>
  <c r="Q30" i="42"/>
  <c r="I33" i="12" s="1"/>
  <c r="K1475" i="41"/>
  <c r="D1581" i="41"/>
  <c r="G1581" i="41" s="1"/>
  <c r="D929" i="57"/>
  <c r="G929" i="57" s="1"/>
  <c r="K823" i="57"/>
  <c r="G873" i="57"/>
  <c r="D1729" i="41"/>
  <c r="G1729" i="41" s="1"/>
  <c r="K1623" i="41"/>
  <c r="G708" i="57"/>
  <c r="D709" i="57"/>
  <c r="C71" i="49"/>
  <c r="G1126" i="41"/>
  <c r="D1353" i="41"/>
  <c r="G1353" i="41" s="1"/>
  <c r="K1247" i="41"/>
  <c r="D82" i="130"/>
  <c r="H82" i="130" s="1"/>
  <c r="G1197" i="57"/>
  <c r="G542" i="57"/>
  <c r="P57" i="27" s="1"/>
  <c r="D552" i="57"/>
  <c r="K29" i="12"/>
  <c r="G29" i="12"/>
  <c r="D706" i="41"/>
  <c r="G601" i="41"/>
  <c r="D87" i="130"/>
  <c r="H87" i="130" s="1"/>
  <c r="G1202" i="57"/>
  <c r="G489" i="57"/>
  <c r="P15" i="27" s="1"/>
  <c r="D493" i="57"/>
  <c r="D604" i="41"/>
  <c r="G499" i="41"/>
  <c r="G652" i="41"/>
  <c r="K1367" i="41"/>
  <c r="D1473" i="41"/>
  <c r="G1473" i="41" s="1"/>
  <c r="D1036" i="57"/>
  <c r="G1036" i="57" s="1"/>
  <c r="K930" i="57"/>
  <c r="N555" i="57"/>
  <c r="K1252" i="41"/>
  <c r="D1358" i="41"/>
  <c r="G1358" i="41" s="1"/>
  <c r="K1039" i="41"/>
  <c r="D1145" i="41"/>
  <c r="G1145" i="41" s="1"/>
  <c r="N540" i="57"/>
  <c r="D1619" i="41"/>
  <c r="G1619" i="41" s="1"/>
  <c r="K1513" i="41"/>
  <c r="D1186" i="41"/>
  <c r="G1186" i="41" s="1"/>
  <c r="K1080" i="41"/>
  <c r="K1356" i="41"/>
  <c r="D1462" i="41"/>
  <c r="G1462" i="41" s="1"/>
  <c r="D1790" i="41"/>
  <c r="G1790" i="41" s="1"/>
  <c r="Q15" i="42"/>
  <c r="I702" i="57"/>
  <c r="G30" i="12"/>
  <c r="K30" i="12"/>
  <c r="I36" i="43"/>
  <c r="I1464" i="57"/>
  <c r="N1464" i="57" s="1"/>
  <c r="N807" i="57"/>
  <c r="I59" i="49"/>
  <c r="D1626" i="41"/>
  <c r="G1626" i="41" s="1"/>
  <c r="K1520" i="41"/>
  <c r="G768" i="57"/>
  <c r="N436" i="57"/>
  <c r="I446" i="57"/>
  <c r="N1230" i="57"/>
  <c r="Q23" i="27"/>
  <c r="F24" i="12"/>
  <c r="F25" i="12" s="1"/>
  <c r="D23" i="3"/>
  <c r="D1193" i="57"/>
  <c r="K1087" i="57"/>
  <c r="F73" i="44"/>
  <c r="D1206" i="41"/>
  <c r="G1206" i="41" s="1"/>
  <c r="K1100" i="41"/>
  <c r="D912" i="57"/>
  <c r="K34" i="12"/>
  <c r="G34" i="12"/>
  <c r="N499" i="41"/>
  <c r="I604" i="41"/>
  <c r="I1126" i="41"/>
  <c r="G781" i="41"/>
  <c r="N51" i="59"/>
  <c r="L55" i="59"/>
  <c r="N55" i="59" s="1"/>
  <c r="D1522" i="41"/>
  <c r="G1522" i="41" s="1"/>
  <c r="K1416" i="41"/>
  <c r="N662" i="57"/>
  <c r="I21" i="41" l="1"/>
  <c r="D37" i="130"/>
  <c r="H37" i="130" s="1"/>
  <c r="N825" i="57"/>
  <c r="I931" i="57" s="1"/>
  <c r="G88" i="12"/>
  <c r="K32" i="12"/>
  <c r="N886" i="57"/>
  <c r="I992" i="57" s="1"/>
  <c r="N1461" i="41"/>
  <c r="I1567" i="41" s="1"/>
  <c r="K40" i="59"/>
  <c r="D1950" i="57"/>
  <c r="G1950" i="57" s="1"/>
  <c r="M87" i="44"/>
  <c r="M88" i="44" s="1"/>
  <c r="I387" i="57"/>
  <c r="I468" i="57" s="1"/>
  <c r="N386" i="57"/>
  <c r="I2056" i="57"/>
  <c r="N2056" i="57" s="1"/>
  <c r="N87" i="43"/>
  <c r="N88" i="43" s="1"/>
  <c r="N1183" i="41"/>
  <c r="I1289" i="41" s="1"/>
  <c r="K51" i="59"/>
  <c r="N1039" i="41"/>
  <c r="I1145" i="41" s="1"/>
  <c r="N1248" i="41"/>
  <c r="I1354" i="41" s="1"/>
  <c r="H38" i="49"/>
  <c r="H40" i="49" s="1"/>
  <c r="H42" i="49" s="1"/>
  <c r="H44" i="49" s="1"/>
  <c r="H46" i="49" s="1"/>
  <c r="H48" i="49" s="1"/>
  <c r="H50" i="49" s="1"/>
  <c r="H52" i="49" s="1"/>
  <c r="H53" i="49" s="1"/>
  <c r="H54" i="49" s="1"/>
  <c r="H55" i="49" s="1"/>
  <c r="H56" i="49" s="1"/>
  <c r="H59" i="49" s="1"/>
  <c r="H60" i="49" s="1"/>
  <c r="H61" i="49" s="1"/>
  <c r="H62" i="49" s="1"/>
  <c r="H63" i="49" s="1"/>
  <c r="H64" i="49" s="1"/>
  <c r="H65" i="49" s="1"/>
  <c r="H66" i="49" s="1"/>
  <c r="H67" i="49" s="1"/>
  <c r="H68" i="49" s="1"/>
  <c r="H69" i="49" s="1"/>
  <c r="H70" i="49" s="1"/>
  <c r="N970" i="57"/>
  <c r="I1076" i="57" s="1"/>
  <c r="D574" i="57"/>
  <c r="N1074" i="57"/>
  <c r="F60" i="43" s="1"/>
  <c r="N881" i="57"/>
  <c r="I987" i="57" s="1"/>
  <c r="N987" i="57" s="1"/>
  <c r="I1093" i="57" s="1"/>
  <c r="N1093" i="57" s="1"/>
  <c r="I1199" i="57" s="1"/>
  <c r="N1199" i="57" s="1"/>
  <c r="I470" i="41"/>
  <c r="I1463" i="57"/>
  <c r="N1463" i="57" s="1"/>
  <c r="I35" i="43"/>
  <c r="I1348" i="57"/>
  <c r="N1348" i="57" s="1"/>
  <c r="H26" i="43"/>
  <c r="H41" i="43"/>
  <c r="I1368" i="57"/>
  <c r="N1368" i="57" s="1"/>
  <c r="N1520" i="41"/>
  <c r="I1626" i="41" s="1"/>
  <c r="N1083" i="41"/>
  <c r="I1189" i="41" s="1"/>
  <c r="N1080" i="41"/>
  <c r="I1186" i="41" s="1"/>
  <c r="N837" i="57"/>
  <c r="I943" i="57" s="1"/>
  <c r="D1262" i="57"/>
  <c r="G1262" i="57" s="1"/>
  <c r="G41" i="44"/>
  <c r="K975" i="57"/>
  <c r="D1081" i="57"/>
  <c r="G1081" i="57" s="1"/>
  <c r="G35" i="12"/>
  <c r="K35" i="12"/>
  <c r="K42" i="12"/>
  <c r="G42" i="12"/>
  <c r="D1049" i="57"/>
  <c r="G1049" i="57" s="1"/>
  <c r="K943" i="57"/>
  <c r="D1232" i="57"/>
  <c r="G1232" i="57" s="1"/>
  <c r="G16" i="44"/>
  <c r="K71" i="12"/>
  <c r="G71" i="12"/>
  <c r="G67" i="12"/>
  <c r="K67" i="12"/>
  <c r="G1140" i="57"/>
  <c r="D1246" i="57" s="1"/>
  <c r="G1246" i="57" s="1"/>
  <c r="D33" i="130"/>
  <c r="H33" i="130" s="1"/>
  <c r="F79" i="44"/>
  <c r="D1199" i="57"/>
  <c r="D1037" i="57"/>
  <c r="G1037" i="57" s="1"/>
  <c r="K931" i="57"/>
  <c r="K78" i="12"/>
  <c r="G78" i="12"/>
  <c r="G1196" i="57"/>
  <c r="D81" i="130"/>
  <c r="H81" i="130" s="1"/>
  <c r="K971" i="57"/>
  <c r="D1077" i="57"/>
  <c r="G1077" i="57" s="1"/>
  <c r="H26" i="44"/>
  <c r="D1348" i="57"/>
  <c r="G1348" i="57" s="1"/>
  <c r="G68" i="12"/>
  <c r="K68" i="12"/>
  <c r="N869" i="57"/>
  <c r="I975" i="57" s="1"/>
  <c r="N865" i="57"/>
  <c r="I971" i="57" s="1"/>
  <c r="G78" i="44"/>
  <c r="D1304" i="57"/>
  <c r="G1304" i="57" s="1"/>
  <c r="I1302" i="57"/>
  <c r="N1302" i="57" s="1"/>
  <c r="G76" i="43"/>
  <c r="N945" i="57"/>
  <c r="I1051" i="57" s="1"/>
  <c r="N940" i="57"/>
  <c r="I1046" i="57" s="1"/>
  <c r="N883" i="57"/>
  <c r="I989" i="57" s="1"/>
  <c r="D1251" i="57"/>
  <c r="G1251" i="57" s="1"/>
  <c r="G35" i="44"/>
  <c r="G85" i="12"/>
  <c r="K85" i="12"/>
  <c r="K989" i="57"/>
  <c r="D1095" i="57"/>
  <c r="G1095" i="57" s="1"/>
  <c r="K1051" i="57"/>
  <c r="F42" i="44"/>
  <c r="D1157" i="57"/>
  <c r="N969" i="41"/>
  <c r="I1075" i="41" s="1"/>
  <c r="N866" i="57"/>
  <c r="I972" i="57" s="1"/>
  <c r="N1034" i="57"/>
  <c r="N1513" i="41"/>
  <c r="I1619" i="41" s="1"/>
  <c r="N1408" i="41"/>
  <c r="I1514" i="41" s="1"/>
  <c r="K992" i="57"/>
  <c r="D1098" i="57"/>
  <c r="G1098" i="57" s="1"/>
  <c r="F84" i="44" s="1"/>
  <c r="N1356" i="41"/>
  <c r="I1462" i="41" s="1"/>
  <c r="N876" i="57"/>
  <c r="I982" i="57" s="1"/>
  <c r="K972" i="57"/>
  <c r="D1078" i="57"/>
  <c r="G1078" i="57" s="1"/>
  <c r="F64" i="44" s="1"/>
  <c r="N1367" i="41"/>
  <c r="I1473" i="41" s="1"/>
  <c r="N1627" i="41"/>
  <c r="I1733" i="41" s="1"/>
  <c r="N1156" i="41"/>
  <c r="I1262" i="41" s="1"/>
  <c r="N1475" i="41"/>
  <c r="I1581" i="41" s="1"/>
  <c r="N1609" i="41"/>
  <c r="I1715" i="41" s="1"/>
  <c r="D1505" i="41"/>
  <c r="G1505" i="41" s="1"/>
  <c r="K1399" i="41"/>
  <c r="N1399" i="41" s="1"/>
  <c r="I1505" i="41" s="1"/>
  <c r="D1088" i="57"/>
  <c r="G1088" i="57" s="1"/>
  <c r="F74" i="44" s="1"/>
  <c r="K982" i="57"/>
  <c r="N1416" i="41"/>
  <c r="I1522" i="41" s="1"/>
  <c r="I603" i="57"/>
  <c r="N602" i="57"/>
  <c r="Q21" i="42" s="1"/>
  <c r="Q22" i="42" s="1"/>
  <c r="N1100" i="41"/>
  <c r="I1206" i="41" s="1"/>
  <c r="N1252" i="41"/>
  <c r="I1358" i="41" s="1"/>
  <c r="G557" i="41"/>
  <c r="D571" i="41"/>
  <c r="D576" i="41" s="1"/>
  <c r="N451" i="41"/>
  <c r="K465" i="41"/>
  <c r="N1247" i="41"/>
  <c r="I1353" i="41" s="1"/>
  <c r="F37" i="44"/>
  <c r="N1400" i="41"/>
  <c r="I1506" i="41" s="1"/>
  <c r="G39" i="12"/>
  <c r="K39" i="12"/>
  <c r="N926" i="57"/>
  <c r="I1032" i="57" s="1"/>
  <c r="N1623" i="41"/>
  <c r="I1729" i="41" s="1"/>
  <c r="I1197" i="57"/>
  <c r="N1087" i="57"/>
  <c r="F73" i="43" s="1"/>
  <c r="I1202" i="57"/>
  <c r="K1075" i="41"/>
  <c r="D1181" i="41"/>
  <c r="G1181" i="41" s="1"/>
  <c r="F66" i="44"/>
  <c r="D1186" i="57"/>
  <c r="K1080" i="57"/>
  <c r="F62" i="44"/>
  <c r="K1076" i="57"/>
  <c r="D1182" i="57"/>
  <c r="N1091" i="41"/>
  <c r="I1197" i="41" s="1"/>
  <c r="N974" i="57"/>
  <c r="I1080" i="57" s="1"/>
  <c r="N1073" i="41"/>
  <c r="I1179" i="41" s="1"/>
  <c r="N991" i="57"/>
  <c r="I1097" i="57" s="1"/>
  <c r="N941" i="57"/>
  <c r="I1047" i="57" s="1"/>
  <c r="N965" i="57"/>
  <c r="I1071" i="57" s="1"/>
  <c r="D1177" i="57"/>
  <c r="K1071" i="57"/>
  <c r="F57" i="44"/>
  <c r="K1197" i="41"/>
  <c r="D1303" i="41"/>
  <c r="G1303" i="41" s="1"/>
  <c r="K1097" i="57"/>
  <c r="D1203" i="57"/>
  <c r="F83" i="44"/>
  <c r="D1570" i="57"/>
  <c r="G1570" i="57" s="1"/>
  <c r="J36" i="44"/>
  <c r="N927" i="57"/>
  <c r="I1033" i="57" s="1"/>
  <c r="D1153" i="57"/>
  <c r="K1047" i="57"/>
  <c r="F38" i="44"/>
  <c r="D1152" i="57"/>
  <c r="G1152" i="57" s="1"/>
  <c r="D1258" i="57" s="1"/>
  <c r="G1258" i="57" s="1"/>
  <c r="D1364" i="57" s="1"/>
  <c r="G1364" i="57" s="1"/>
  <c r="D1470" i="57" s="1"/>
  <c r="G1470" i="57" s="1"/>
  <c r="K1046" i="57"/>
  <c r="I1144" i="57"/>
  <c r="N967" i="57"/>
  <c r="I1073" i="57" s="1"/>
  <c r="N1714" i="41"/>
  <c r="I1820" i="41" s="1"/>
  <c r="M13" i="72"/>
  <c r="N1094" i="57"/>
  <c r="F80" i="43" s="1"/>
  <c r="N1512" i="41"/>
  <c r="I1618" i="41" s="1"/>
  <c r="N930" i="57"/>
  <c r="I1036" i="57" s="1"/>
  <c r="D85" i="130"/>
  <c r="H85" i="130" s="1"/>
  <c r="G1200" i="57"/>
  <c r="I1516" i="57"/>
  <c r="N1516" i="57" s="1"/>
  <c r="I78" i="43"/>
  <c r="N973" i="57"/>
  <c r="I1079" i="57" s="1"/>
  <c r="K1180" i="41"/>
  <c r="N1180" i="41" s="1"/>
  <c r="I1286" i="41" s="1"/>
  <c r="D1286" i="41"/>
  <c r="G1286" i="41" s="1"/>
  <c r="N942" i="57"/>
  <c r="I1048" i="57" s="1"/>
  <c r="K1140" i="41"/>
  <c r="N1140" i="41" s="1"/>
  <c r="I1246" i="41" s="1"/>
  <c r="D1246" i="41"/>
  <c r="G1246" i="41" s="1"/>
  <c r="K1354" i="41"/>
  <c r="D1460" i="41"/>
  <c r="G1460" i="41" s="1"/>
  <c r="D1339" i="57"/>
  <c r="G1339" i="57" s="1"/>
  <c r="H17" i="44"/>
  <c r="D665" i="57"/>
  <c r="P74" i="27"/>
  <c r="P84" i="27" s="1"/>
  <c r="K559" i="57"/>
  <c r="K569" i="57" s="1"/>
  <c r="G569" i="57"/>
  <c r="F65" i="44"/>
  <c r="D1185" i="57"/>
  <c r="K1079" i="57"/>
  <c r="I17" i="43"/>
  <c r="I1445" i="57"/>
  <c r="N1445" i="57" s="1"/>
  <c r="N969" i="57"/>
  <c r="I1075" i="57" s="1"/>
  <c r="K1033" i="57"/>
  <c r="F29" i="44"/>
  <c r="D1139" i="57"/>
  <c r="F39" i="44"/>
  <c r="D1154" i="57"/>
  <c r="K1048" i="57"/>
  <c r="G1180" i="57"/>
  <c r="D65" i="130"/>
  <c r="H65" i="130" s="1"/>
  <c r="F59" i="44"/>
  <c r="K1073" i="57"/>
  <c r="D1179" i="57"/>
  <c r="I559" i="57"/>
  <c r="O74" i="42"/>
  <c r="O84" i="42" s="1"/>
  <c r="N463" i="57"/>
  <c r="D1295" i="41"/>
  <c r="G1295" i="41" s="1"/>
  <c r="K1189" i="41"/>
  <c r="K1179" i="41"/>
  <c r="D1285" i="41"/>
  <c r="G1285" i="41" s="1"/>
  <c r="N823" i="57"/>
  <c r="I929" i="57" s="1"/>
  <c r="C33" i="49"/>
  <c r="I35" i="49"/>
  <c r="C35" i="49" s="1"/>
  <c r="K1514" i="41"/>
  <c r="D1620" i="41"/>
  <c r="G1620" i="41" s="1"/>
  <c r="D1368" i="41"/>
  <c r="G1368" i="41" s="1"/>
  <c r="K1262" i="41"/>
  <c r="F61" i="44"/>
  <c r="D1181" i="57"/>
  <c r="K1075" i="57"/>
  <c r="N1126" i="41"/>
  <c r="I542" i="57"/>
  <c r="O57" i="42"/>
  <c r="O67" i="42" s="1"/>
  <c r="N446" i="57"/>
  <c r="I60" i="49"/>
  <c r="C59" i="49"/>
  <c r="K1358" i="41"/>
  <c r="D1464" i="41"/>
  <c r="G1464" i="41" s="1"/>
  <c r="G706" i="41"/>
  <c r="D707" i="41"/>
  <c r="K1353" i="41"/>
  <c r="D1459" i="41"/>
  <c r="G1459" i="41" s="1"/>
  <c r="D1232" i="41"/>
  <c r="D814" i="57"/>
  <c r="G709" i="57"/>
  <c r="D752" i="57"/>
  <c r="Q55" i="27"/>
  <c r="K646" i="57"/>
  <c r="I1336" i="57"/>
  <c r="H14" i="43"/>
  <c r="J36" i="43"/>
  <c r="I1570" i="57"/>
  <c r="N1570" i="57" s="1"/>
  <c r="D1292" i="41"/>
  <c r="G1292" i="41" s="1"/>
  <c r="K1186" i="41"/>
  <c r="D1308" i="57"/>
  <c r="G1308" i="57" s="1"/>
  <c r="K1202" i="57"/>
  <c r="G82" i="44"/>
  <c r="K1197" i="57"/>
  <c r="G77" i="44"/>
  <c r="D1303" i="57"/>
  <c r="G1303" i="57" s="1"/>
  <c r="K1733" i="41"/>
  <c r="D1839" i="41"/>
  <c r="G1839" i="41" s="1"/>
  <c r="F28" i="44"/>
  <c r="K1032" i="57"/>
  <c r="D1138" i="57"/>
  <c r="D1127" i="41"/>
  <c r="H18" i="44"/>
  <c r="D1340" i="57"/>
  <c r="G1340" i="57" s="1"/>
  <c r="K860" i="41"/>
  <c r="D966" i="41"/>
  <c r="K1567" i="41"/>
  <c r="D1673" i="41"/>
  <c r="G1673" i="41" s="1"/>
  <c r="I768" i="57"/>
  <c r="Q71" i="42"/>
  <c r="I76" i="12" s="1"/>
  <c r="G912" i="57"/>
  <c r="G1193" i="57"/>
  <c r="D78" i="130"/>
  <c r="H78" i="130" s="1"/>
  <c r="K1626" i="41"/>
  <c r="D1732" i="41"/>
  <c r="G1732" i="41" s="1"/>
  <c r="G604" i="41"/>
  <c r="D605" i="41"/>
  <c r="P67" i="27"/>
  <c r="D648" i="57"/>
  <c r="K542" i="57"/>
  <c r="K552" i="57" s="1"/>
  <c r="G552" i="57"/>
  <c r="K1506" i="41"/>
  <c r="D1612" i="41"/>
  <c r="G1612" i="41" s="1"/>
  <c r="D1724" i="41"/>
  <c r="G1724" i="41" s="1"/>
  <c r="K1618" i="41"/>
  <c r="I605" i="41"/>
  <c r="N604" i="41"/>
  <c r="N702" i="57"/>
  <c r="I646" i="57"/>
  <c r="P55" i="42"/>
  <c r="K1145" i="41"/>
  <c r="D1251" i="41"/>
  <c r="G1251" i="41" s="1"/>
  <c r="D1250" i="57"/>
  <c r="G1250" i="57" s="1"/>
  <c r="G34" i="44"/>
  <c r="K1144" i="57"/>
  <c r="K1473" i="41"/>
  <c r="D1579" i="41"/>
  <c r="G1579" i="41" s="1"/>
  <c r="K873" i="57"/>
  <c r="D979" i="57"/>
  <c r="N648" i="41"/>
  <c r="N599" i="41"/>
  <c r="I601" i="41"/>
  <c r="D629" i="41"/>
  <c r="K523" i="41"/>
  <c r="K554" i="41" s="1"/>
  <c r="G554" i="41"/>
  <c r="F60" i="3"/>
  <c r="I1243" i="57"/>
  <c r="N1243" i="57" s="1"/>
  <c r="G27" i="43"/>
  <c r="K1289" i="41"/>
  <c r="D1395" i="41"/>
  <c r="G1395" i="41" s="1"/>
  <c r="I913" i="57"/>
  <c r="D1568" i="41"/>
  <c r="G1568" i="41" s="1"/>
  <c r="K1462" i="41"/>
  <c r="D1835" i="41"/>
  <c r="G1835" i="41" s="1"/>
  <c r="K1729" i="41"/>
  <c r="D1687" i="41"/>
  <c r="G1687" i="41" s="1"/>
  <c r="K1581" i="41"/>
  <c r="D1628" i="41"/>
  <c r="G1628" i="41" s="1"/>
  <c r="K1522" i="41"/>
  <c r="D24" i="3"/>
  <c r="F24" i="3" s="1"/>
  <c r="F23" i="3"/>
  <c r="H23" i="3" s="1"/>
  <c r="H24" i="3" s="1"/>
  <c r="E17" i="2" s="1"/>
  <c r="G17" i="2" s="1"/>
  <c r="I17" i="2" s="1"/>
  <c r="H20" i="120" s="1"/>
  <c r="D874" i="57"/>
  <c r="K768" i="57"/>
  <c r="D1896" i="41"/>
  <c r="G1896" i="41" s="1"/>
  <c r="K781" i="41"/>
  <c r="D887" i="41"/>
  <c r="K1206" i="41"/>
  <c r="D1312" i="41"/>
  <c r="G1312" i="41" s="1"/>
  <c r="I18" i="12"/>
  <c r="D1725" i="41"/>
  <c r="G1725" i="41" s="1"/>
  <c r="K1619" i="41"/>
  <c r="P70" i="42"/>
  <c r="I661" i="57"/>
  <c r="K1036" i="57"/>
  <c r="F32" i="44"/>
  <c r="D1142" i="57"/>
  <c r="D758" i="41"/>
  <c r="K652" i="41"/>
  <c r="P19" i="27"/>
  <c r="D595" i="57"/>
  <c r="G493" i="57"/>
  <c r="K929" i="57"/>
  <c r="D1035" i="57"/>
  <c r="G1035" i="57" s="1"/>
  <c r="G33" i="12"/>
  <c r="K33" i="12"/>
  <c r="K1820" i="41"/>
  <c r="D1926" i="41"/>
  <c r="G1926" i="41" s="1"/>
  <c r="G27" i="44"/>
  <c r="D1243" i="57"/>
  <c r="G1243" i="57" s="1"/>
  <c r="K1715" i="41"/>
  <c r="D1821" i="41"/>
  <c r="G1821" i="41" s="1"/>
  <c r="I523" i="41"/>
  <c r="N448" i="41"/>
  <c r="F10" i="59" l="1"/>
  <c r="F11" i="59" s="1"/>
  <c r="F12" i="59" s="1"/>
  <c r="F13" i="59" s="1"/>
  <c r="F14" i="59" s="1"/>
  <c r="F15" i="59" s="1"/>
  <c r="F16" i="59" s="1"/>
  <c r="F17" i="59" s="1"/>
  <c r="F18" i="59" s="1"/>
  <c r="F19" i="59" s="1"/>
  <c r="F20" i="59" s="1"/>
  <c r="F21" i="59" s="1"/>
  <c r="F22" i="59" s="1"/>
  <c r="F23" i="59" s="1"/>
  <c r="F24" i="59" s="1"/>
  <c r="F25" i="59" s="1"/>
  <c r="F26" i="59" s="1"/>
  <c r="F27" i="59" s="1"/>
  <c r="F28" i="59" s="1"/>
  <c r="F29" i="59" s="1"/>
  <c r="F30" i="59" s="1"/>
  <c r="F31" i="59" s="1"/>
  <c r="N931" i="57"/>
  <c r="I1037" i="57" s="1"/>
  <c r="N992" i="57"/>
  <c r="I1098" i="57" s="1"/>
  <c r="N1289" i="41"/>
  <c r="I1395" i="41" s="1"/>
  <c r="N1567" i="41"/>
  <c r="I1673" i="41" s="1"/>
  <c r="O17" i="42"/>
  <c r="O18" i="42" s="1"/>
  <c r="O86" i="42" s="1"/>
  <c r="O91" i="42" s="1"/>
  <c r="I492" i="57"/>
  <c r="N387" i="57"/>
  <c r="N468" i="57" s="1"/>
  <c r="I2162" i="57"/>
  <c r="N2162" i="57" s="1"/>
  <c r="O87" i="43"/>
  <c r="O88" i="43" s="1"/>
  <c r="D2056" i="57"/>
  <c r="G2056" i="57" s="1"/>
  <c r="N87" i="44"/>
  <c r="N88" i="44" s="1"/>
  <c r="N1145" i="41"/>
  <c r="I1251" i="41" s="1"/>
  <c r="N1354" i="41"/>
  <c r="I1460" i="41" s="1"/>
  <c r="N1076" i="57"/>
  <c r="I1182" i="57" s="1"/>
  <c r="I1180" i="57"/>
  <c r="K574" i="57"/>
  <c r="J22" i="57" s="1"/>
  <c r="N13" i="72" s="1"/>
  <c r="G574" i="57"/>
  <c r="N943" i="57"/>
  <c r="I1049" i="57" s="1"/>
  <c r="F79" i="43"/>
  <c r="N1075" i="41"/>
  <c r="I1181" i="41" s="1"/>
  <c r="K470" i="41"/>
  <c r="J21" i="41" s="1"/>
  <c r="M21" i="41" s="1"/>
  <c r="I26" i="43"/>
  <c r="I1454" i="57"/>
  <c r="N1454" i="57" s="1"/>
  <c r="I24" i="12"/>
  <c r="K24" i="12" s="1"/>
  <c r="K25" i="12" s="1"/>
  <c r="I41" i="43"/>
  <c r="I1474" i="57"/>
  <c r="N1474" i="57" s="1"/>
  <c r="J35" i="43"/>
  <c r="I1569" i="57"/>
  <c r="N1569" i="57" s="1"/>
  <c r="N1626" i="41"/>
  <c r="I1732" i="41" s="1"/>
  <c r="N1186" i="41"/>
  <c r="I1292" i="41" s="1"/>
  <c r="N975" i="57"/>
  <c r="I1081" i="57" s="1"/>
  <c r="N1189" i="41"/>
  <c r="I1295" i="41" s="1"/>
  <c r="N971" i="57"/>
  <c r="I1077" i="57" s="1"/>
  <c r="K1246" i="57"/>
  <c r="H30" i="44"/>
  <c r="D1352" i="57"/>
  <c r="G1352" i="57" s="1"/>
  <c r="K1352" i="57" s="1"/>
  <c r="H78" i="44"/>
  <c r="D1410" i="57"/>
  <c r="G1410" i="57" s="1"/>
  <c r="D1187" i="57"/>
  <c r="F67" i="44"/>
  <c r="K1081" i="57"/>
  <c r="D1368" i="57"/>
  <c r="G1368" i="57" s="1"/>
  <c r="H41" i="44"/>
  <c r="D1183" i="57"/>
  <c r="F63" i="44"/>
  <c r="K1077" i="57"/>
  <c r="D84" i="130"/>
  <c r="H84" i="130" s="1"/>
  <c r="G1199" i="57"/>
  <c r="K1140" i="57"/>
  <c r="G30" i="44"/>
  <c r="D1454" i="57"/>
  <c r="G1454" i="57" s="1"/>
  <c r="I26" i="44"/>
  <c r="H16" i="44"/>
  <c r="D1338" i="57"/>
  <c r="G1338" i="57" s="1"/>
  <c r="I1305" i="57"/>
  <c r="N1305" i="57" s="1"/>
  <c r="G79" i="43"/>
  <c r="K1049" i="57"/>
  <c r="F40" i="44"/>
  <c r="D1155" i="57"/>
  <c r="H76" i="43"/>
  <c r="I1408" i="57"/>
  <c r="N1408" i="57" s="1"/>
  <c r="D1302" i="57"/>
  <c r="G1302" i="57" s="1"/>
  <c r="G76" i="44"/>
  <c r="F33" i="44"/>
  <c r="K1037" i="57"/>
  <c r="D1143" i="57"/>
  <c r="N1046" i="57"/>
  <c r="I1152" i="57" s="1"/>
  <c r="N1051" i="57"/>
  <c r="F42" i="43" s="1"/>
  <c r="F81" i="44"/>
  <c r="K1095" i="57"/>
  <c r="D1201" i="57"/>
  <c r="G1157" i="57"/>
  <c r="D45" i="130"/>
  <c r="H45" i="130" s="1"/>
  <c r="D1357" i="57"/>
  <c r="G1357" i="57" s="1"/>
  <c r="H35" i="44"/>
  <c r="N989" i="57"/>
  <c r="I1095" i="57" s="1"/>
  <c r="N1514" i="41"/>
  <c r="I1620" i="41" s="1"/>
  <c r="N1619" i="41"/>
  <c r="I1725" i="41" s="1"/>
  <c r="N1733" i="41"/>
  <c r="I1839" i="41" s="1"/>
  <c r="N972" i="57"/>
  <c r="I1078" i="57" s="1"/>
  <c r="F30" i="43"/>
  <c r="I1140" i="57"/>
  <c r="N1462" i="41"/>
  <c r="I1568" i="41" s="1"/>
  <c r="N982" i="57"/>
  <c r="I1088" i="57" s="1"/>
  <c r="K1098" i="57"/>
  <c r="D1204" i="57"/>
  <c r="K1078" i="57"/>
  <c r="D1184" i="57"/>
  <c r="N1262" i="41"/>
  <c r="I1368" i="41" s="1"/>
  <c r="N1473" i="41"/>
  <c r="I1579" i="41" s="1"/>
  <c r="N1581" i="41"/>
  <c r="I1687" i="41" s="1"/>
  <c r="N1715" i="41"/>
  <c r="I1821" i="41" s="1"/>
  <c r="N1206" i="41"/>
  <c r="I1312" i="41" s="1"/>
  <c r="N1729" i="41"/>
  <c r="I1835" i="41" s="1"/>
  <c r="K1505" i="41"/>
  <c r="N1505" i="41" s="1"/>
  <c r="I1611" i="41" s="1"/>
  <c r="D1611" i="41"/>
  <c r="G1611" i="41" s="1"/>
  <c r="N1522" i="41"/>
  <c r="I1628" i="41" s="1"/>
  <c r="N1197" i="57"/>
  <c r="I1303" i="57" s="1"/>
  <c r="J1258" i="57"/>
  <c r="I1200" i="57"/>
  <c r="K1088" i="57"/>
  <c r="D1194" i="57"/>
  <c r="N603" i="57"/>
  <c r="I708" i="57"/>
  <c r="N1358" i="41"/>
  <c r="I1464" i="41" s="1"/>
  <c r="K557" i="41"/>
  <c r="K571" i="41" s="1"/>
  <c r="D663" i="41"/>
  <c r="G571" i="41"/>
  <c r="G576" i="41" s="1"/>
  <c r="I557" i="41"/>
  <c r="N465" i="41"/>
  <c r="N470" i="41" s="1"/>
  <c r="N1032" i="57"/>
  <c r="I1138" i="57" s="1"/>
  <c r="N1506" i="41"/>
  <c r="I1612" i="41" s="1"/>
  <c r="N1353" i="41"/>
  <c r="I1459" i="41" s="1"/>
  <c r="N1202" i="57"/>
  <c r="I1308" i="57" s="1"/>
  <c r="I1193" i="57"/>
  <c r="N1097" i="57"/>
  <c r="F83" i="43" s="1"/>
  <c r="D1287" i="41"/>
  <c r="G1287" i="41" s="1"/>
  <c r="K1181" i="41"/>
  <c r="G1182" i="57"/>
  <c r="D67" i="130"/>
  <c r="H67" i="130" s="1"/>
  <c r="G1186" i="57"/>
  <c r="D71" i="130"/>
  <c r="H71" i="130" s="1"/>
  <c r="N1197" i="41"/>
  <c r="I1303" i="41" s="1"/>
  <c r="N1080" i="57"/>
  <c r="N1047" i="57"/>
  <c r="F38" i="43" s="1"/>
  <c r="N1179" i="41"/>
  <c r="I1285" i="41" s="1"/>
  <c r="N1071" i="57"/>
  <c r="F57" i="43" s="1"/>
  <c r="N1820" i="41"/>
  <c r="I1926" i="41" s="1"/>
  <c r="N1073" i="57"/>
  <c r="F59" i="43" s="1"/>
  <c r="N1079" i="57"/>
  <c r="I1185" i="57" s="1"/>
  <c r="D40" i="130"/>
  <c r="H40" i="130" s="1"/>
  <c r="N1144" i="57"/>
  <c r="I1250" i="57" s="1"/>
  <c r="N1033" i="57"/>
  <c r="D62" i="130"/>
  <c r="H62" i="130" s="1"/>
  <c r="G1177" i="57"/>
  <c r="K1303" i="41"/>
  <c r="D1409" i="41"/>
  <c r="G1409" i="41" s="1"/>
  <c r="G1203" i="57"/>
  <c r="D88" i="130"/>
  <c r="H88" i="130" s="1"/>
  <c r="G1153" i="57"/>
  <c r="D41" i="130"/>
  <c r="H41" i="130" s="1"/>
  <c r="K36" i="44"/>
  <c r="D1676" i="57"/>
  <c r="G1676" i="57" s="1"/>
  <c r="M101" i="72"/>
  <c r="N1036" i="57"/>
  <c r="F32" i="43" s="1"/>
  <c r="N1618" i="41"/>
  <c r="I1724" i="41" s="1"/>
  <c r="N1075" i="57"/>
  <c r="I1181" i="57" s="1"/>
  <c r="N929" i="57"/>
  <c r="I1035" i="57" s="1"/>
  <c r="J78" i="43"/>
  <c r="I1622" i="57"/>
  <c r="N1622" i="57" s="1"/>
  <c r="D1306" i="57"/>
  <c r="G1306" i="57" s="1"/>
  <c r="K1200" i="57"/>
  <c r="G80" i="44"/>
  <c r="D1392" i="41"/>
  <c r="G1392" i="41" s="1"/>
  <c r="K1286" i="41"/>
  <c r="N1286" i="41" s="1"/>
  <c r="I1392" i="41" s="1"/>
  <c r="N1048" i="57"/>
  <c r="I1154" i="57" s="1"/>
  <c r="D1352" i="41"/>
  <c r="G1352" i="41" s="1"/>
  <c r="K1246" i="41"/>
  <c r="N1246" i="41" s="1"/>
  <c r="I1352" i="41" s="1"/>
  <c r="D1566" i="41"/>
  <c r="G1566" i="41" s="1"/>
  <c r="K1460" i="41"/>
  <c r="P86" i="27"/>
  <c r="P91" i="27" s="1"/>
  <c r="N559" i="57"/>
  <c r="I569" i="57"/>
  <c r="D1445" i="57"/>
  <c r="G1445" i="57" s="1"/>
  <c r="I17" i="44"/>
  <c r="G1179" i="57"/>
  <c r="D64" i="130"/>
  <c r="H64" i="130" s="1"/>
  <c r="D1286" i="57"/>
  <c r="G1286" i="57" s="1"/>
  <c r="K1180" i="57"/>
  <c r="G60" i="44"/>
  <c r="G1139" i="57"/>
  <c r="D32" i="130"/>
  <c r="H32" i="130" s="1"/>
  <c r="G1185" i="57"/>
  <c r="D70" i="130"/>
  <c r="H70" i="130" s="1"/>
  <c r="G1154" i="57"/>
  <c r="D42" i="130"/>
  <c r="H42" i="130" s="1"/>
  <c r="J17" i="43"/>
  <c r="I1551" i="57"/>
  <c r="N1551" i="57" s="1"/>
  <c r="G665" i="57"/>
  <c r="D675" i="57"/>
  <c r="D1474" i="41"/>
  <c r="G1474" i="41" s="1"/>
  <c r="K1368" i="41"/>
  <c r="D66" i="130"/>
  <c r="H66" i="130" s="1"/>
  <c r="G1181" i="57"/>
  <c r="D1726" i="41"/>
  <c r="G1726" i="41" s="1"/>
  <c r="K1620" i="41"/>
  <c r="K1295" i="41"/>
  <c r="D1401" i="41"/>
  <c r="G1401" i="41" s="1"/>
  <c r="D1391" i="41"/>
  <c r="G1391" i="41" s="1"/>
  <c r="K1285" i="41"/>
  <c r="D1927" i="41"/>
  <c r="G1927" i="41" s="1"/>
  <c r="K1821" i="41"/>
  <c r="D2002" i="41"/>
  <c r="G2002" i="41" s="1"/>
  <c r="H27" i="44"/>
  <c r="D1349" i="57"/>
  <c r="G1349" i="57" s="1"/>
  <c r="D1576" i="57"/>
  <c r="G1576" i="57" s="1"/>
  <c r="G595" i="57"/>
  <c r="D599" i="57"/>
  <c r="N661" i="57"/>
  <c r="D1831" i="41"/>
  <c r="G1831" i="41" s="1"/>
  <c r="K1725" i="41"/>
  <c r="K1312" i="41"/>
  <c r="D1418" i="41"/>
  <c r="G1418" i="41" s="1"/>
  <c r="G874" i="57"/>
  <c r="D1941" i="41"/>
  <c r="G1941" i="41" s="1"/>
  <c r="K1835" i="41"/>
  <c r="K1568" i="41"/>
  <c r="D1674" i="41"/>
  <c r="G1674" i="41" s="1"/>
  <c r="G629" i="41"/>
  <c r="D660" i="41"/>
  <c r="I754" i="41"/>
  <c r="N605" i="41"/>
  <c r="I710" i="41"/>
  <c r="D1830" i="41"/>
  <c r="G1830" i="41" s="1"/>
  <c r="K1724" i="41"/>
  <c r="D1299" i="57"/>
  <c r="G1299" i="57" s="1"/>
  <c r="K1193" i="57"/>
  <c r="G73" i="44"/>
  <c r="N781" i="41"/>
  <c r="I887" i="41" s="1"/>
  <c r="G37" i="44"/>
  <c r="K1292" i="41"/>
  <c r="D1398" i="41"/>
  <c r="G1398" i="41" s="1"/>
  <c r="N1336" i="57"/>
  <c r="D44" i="3"/>
  <c r="F60" i="12"/>
  <c r="G1232" i="41"/>
  <c r="D812" i="41"/>
  <c r="G707" i="41"/>
  <c r="D1570" i="41"/>
  <c r="G1570" i="41" s="1"/>
  <c r="K1464" i="41"/>
  <c r="N542" i="57"/>
  <c r="I552" i="57"/>
  <c r="G758" i="41"/>
  <c r="N523" i="41"/>
  <c r="I554" i="41"/>
  <c r="N652" i="41"/>
  <c r="I758" i="41" s="1"/>
  <c r="D35" i="130"/>
  <c r="H35" i="130" s="1"/>
  <c r="G1142" i="57"/>
  <c r="K18" i="12"/>
  <c r="G18" i="12"/>
  <c r="K1628" i="41"/>
  <c r="D1734" i="41"/>
  <c r="G1734" i="41" s="1"/>
  <c r="H60" i="3"/>
  <c r="G979" i="57"/>
  <c r="N646" i="57"/>
  <c r="D1718" i="41"/>
  <c r="G1718" i="41" s="1"/>
  <c r="K1612" i="41"/>
  <c r="D710" i="41"/>
  <c r="G605" i="41"/>
  <c r="D1838" i="41"/>
  <c r="G1838" i="41" s="1"/>
  <c r="K1732" i="41"/>
  <c r="D1018" i="57"/>
  <c r="K1839" i="41"/>
  <c r="D1945" i="41"/>
  <c r="G1945" i="41" s="1"/>
  <c r="K36" i="43"/>
  <c r="I1676" i="57"/>
  <c r="N1676" i="57" s="1"/>
  <c r="G752" i="57"/>
  <c r="D1565" i="41"/>
  <c r="G1565" i="41" s="1"/>
  <c r="K1459" i="41"/>
  <c r="C60" i="49"/>
  <c r="I61" i="49"/>
  <c r="I1232" i="41"/>
  <c r="D1793" i="41"/>
  <c r="G1793" i="41" s="1"/>
  <c r="K1687" i="41"/>
  <c r="N913" i="57"/>
  <c r="D1685" i="41"/>
  <c r="G1685" i="41" s="1"/>
  <c r="K1579" i="41"/>
  <c r="D1357" i="41"/>
  <c r="G1357" i="41" s="1"/>
  <c r="K1251" i="41"/>
  <c r="I808" i="57"/>
  <c r="G648" i="57"/>
  <c r="D658" i="57"/>
  <c r="G76" i="12"/>
  <c r="K76" i="12"/>
  <c r="D1446" i="57"/>
  <c r="G1446" i="57" s="1"/>
  <c r="I18" i="44"/>
  <c r="H77" i="44"/>
  <c r="K1303" i="57"/>
  <c r="D1409" i="57"/>
  <c r="G1409" i="57" s="1"/>
  <c r="D815" i="57"/>
  <c r="G814" i="57"/>
  <c r="J1260" i="41"/>
  <c r="K1154" i="41"/>
  <c r="N1154" i="41" s="1"/>
  <c r="I1260" i="41" s="1"/>
  <c r="D2032" i="41"/>
  <c r="G2032" i="41" s="1"/>
  <c r="K1926" i="41"/>
  <c r="F31" i="44"/>
  <c r="D1141" i="57"/>
  <c r="K1035" i="57"/>
  <c r="G887" i="41"/>
  <c r="K1395" i="41"/>
  <c r="D1501" i="41"/>
  <c r="G1501" i="41" s="1"/>
  <c r="H27" i="43"/>
  <c r="I1349" i="57"/>
  <c r="N1349" i="57" s="1"/>
  <c r="I705" i="41"/>
  <c r="N601" i="41"/>
  <c r="H34" i="44"/>
  <c r="K1250" i="57"/>
  <c r="D1356" i="57"/>
  <c r="G1356" i="57" s="1"/>
  <c r="N768" i="57"/>
  <c r="I874" i="57" s="1"/>
  <c r="D1779" i="41"/>
  <c r="G1779" i="41" s="1"/>
  <c r="K1673" i="41"/>
  <c r="G966" i="41"/>
  <c r="G1127" i="41"/>
  <c r="D31" i="130"/>
  <c r="H31" i="130" s="1"/>
  <c r="G1138" i="57"/>
  <c r="K1308" i="57"/>
  <c r="D1414" i="57"/>
  <c r="G1414" i="57" s="1"/>
  <c r="H82" i="44"/>
  <c r="I22" i="41" l="1"/>
  <c r="H33" i="53"/>
  <c r="J33" i="53" s="1"/>
  <c r="N1037" i="57"/>
  <c r="I1143" i="57" s="1"/>
  <c r="N1098" i="57"/>
  <c r="I1204" i="57" s="1"/>
  <c r="N1673" i="41"/>
  <c r="I1779" i="41" s="1"/>
  <c r="N1078" i="57"/>
  <c r="F64" i="43" s="1"/>
  <c r="N1395" i="41"/>
  <c r="I1501" i="41" s="1"/>
  <c r="N1251" i="41"/>
  <c r="I1357" i="41" s="1"/>
  <c r="I2268" i="57"/>
  <c r="N2268" i="57" s="1"/>
  <c r="P87" i="43"/>
  <c r="P88" i="43" s="1"/>
  <c r="D2162" i="57"/>
  <c r="G2162" i="57" s="1"/>
  <c r="O87" i="44"/>
  <c r="O88" i="44" s="1"/>
  <c r="I493" i="57"/>
  <c r="I574" i="57" s="1"/>
  <c r="N492" i="57"/>
  <c r="N1292" i="41"/>
  <c r="I1398" i="41" s="1"/>
  <c r="N1460" i="41"/>
  <c r="I1566" i="41" s="1"/>
  <c r="F62" i="43"/>
  <c r="N1180" i="57"/>
  <c r="G60" i="43" s="1"/>
  <c r="I38" i="49"/>
  <c r="D680" i="57"/>
  <c r="N1049" i="57"/>
  <c r="I1155" i="57" s="1"/>
  <c r="N1181" i="41"/>
  <c r="I1287" i="41" s="1"/>
  <c r="K576" i="41"/>
  <c r="J22" i="41" s="1"/>
  <c r="I25" i="12"/>
  <c r="N1081" i="57"/>
  <c r="I1187" i="57" s="1"/>
  <c r="G24" i="12"/>
  <c r="G25" i="12" s="1"/>
  <c r="I1560" i="57"/>
  <c r="N1560" i="57" s="1"/>
  <c r="J26" i="43"/>
  <c r="D1458" i="57"/>
  <c r="G1458" i="57" s="1"/>
  <c r="K1458" i="57" s="1"/>
  <c r="K35" i="43"/>
  <c r="I1675" i="57"/>
  <c r="N1675" i="57" s="1"/>
  <c r="J41" i="43"/>
  <c r="I1580" i="57"/>
  <c r="N1580" i="57" s="1"/>
  <c r="N1732" i="41"/>
  <c r="I1838" i="41" s="1"/>
  <c r="I30" i="44"/>
  <c r="G77" i="43"/>
  <c r="G82" i="43"/>
  <c r="N1295" i="41"/>
  <c r="I1401" i="41" s="1"/>
  <c r="N1140" i="57"/>
  <c r="I1246" i="57" s="1"/>
  <c r="N1246" i="57" s="1"/>
  <c r="H30" i="43" s="1"/>
  <c r="N1077" i="57"/>
  <c r="G1143" i="57"/>
  <c r="D36" i="130"/>
  <c r="H36" i="130" s="1"/>
  <c r="H79" i="43"/>
  <c r="I1411" i="57"/>
  <c r="N1411" i="57" s="1"/>
  <c r="D1560" i="57"/>
  <c r="G1560" i="57" s="1"/>
  <c r="J26" i="44"/>
  <c r="F33" i="43"/>
  <c r="I1203" i="57"/>
  <c r="D1444" i="57"/>
  <c r="G1444" i="57" s="1"/>
  <c r="I16" i="44"/>
  <c r="I41" i="44"/>
  <c r="D1474" i="57"/>
  <c r="G1474" i="57" s="1"/>
  <c r="I78" i="44"/>
  <c r="D1516" i="57"/>
  <c r="G1516" i="57" s="1"/>
  <c r="G1184" i="57"/>
  <c r="D69" i="130"/>
  <c r="H69" i="130" s="1"/>
  <c r="D1408" i="57"/>
  <c r="G1408" i="57" s="1"/>
  <c r="H76" i="44"/>
  <c r="G1155" i="57"/>
  <c r="D43" i="130"/>
  <c r="H43" i="130" s="1"/>
  <c r="G1187" i="57"/>
  <c r="D72" i="130"/>
  <c r="H72" i="130" s="1"/>
  <c r="G1194" i="57"/>
  <c r="G74" i="44" s="1"/>
  <c r="D79" i="130"/>
  <c r="H79" i="130" s="1"/>
  <c r="G1204" i="57"/>
  <c r="G84" i="44" s="1"/>
  <c r="D89" i="130"/>
  <c r="H89" i="130" s="1"/>
  <c r="I1514" i="57"/>
  <c r="N1514" i="57" s="1"/>
  <c r="I76" i="43"/>
  <c r="D1305" i="57"/>
  <c r="G1305" i="57" s="1"/>
  <c r="G79" i="44"/>
  <c r="D68" i="130"/>
  <c r="H68" i="130" s="1"/>
  <c r="G1183" i="57"/>
  <c r="F37" i="43"/>
  <c r="I1157" i="57"/>
  <c r="F28" i="43"/>
  <c r="N1095" i="57"/>
  <c r="G42" i="44"/>
  <c r="K1157" i="57"/>
  <c r="D1263" i="57"/>
  <c r="G1263" i="57" s="1"/>
  <c r="I35" i="44"/>
  <c r="D1463" i="57"/>
  <c r="G1463" i="57" s="1"/>
  <c r="D86" i="130"/>
  <c r="H86" i="130" s="1"/>
  <c r="G1201" i="57"/>
  <c r="N1725" i="41"/>
  <c r="I1831" i="41" s="1"/>
  <c r="N1839" i="41"/>
  <c r="I1945" i="41" s="1"/>
  <c r="N1620" i="41"/>
  <c r="I1726" i="41" s="1"/>
  <c r="N1464" i="41"/>
  <c r="I1570" i="41" s="1"/>
  <c r="N1568" i="41"/>
  <c r="I1674" i="41" s="1"/>
  <c r="N1579" i="41"/>
  <c r="I1685" i="41" s="1"/>
  <c r="N1088" i="57"/>
  <c r="N1312" i="41"/>
  <c r="I1418" i="41" s="1"/>
  <c r="N1368" i="41"/>
  <c r="I1474" i="41" s="1"/>
  <c r="N1821" i="41"/>
  <c r="I1927" i="41" s="1"/>
  <c r="N1687" i="41"/>
  <c r="I1793" i="41" s="1"/>
  <c r="N1835" i="41"/>
  <c r="I1941" i="41" s="1"/>
  <c r="N1628" i="41"/>
  <c r="I1734" i="41" s="1"/>
  <c r="D1717" i="41"/>
  <c r="G1717" i="41" s="1"/>
  <c r="K1611" i="41"/>
  <c r="N1611" i="41" s="1"/>
  <c r="I1717" i="41" s="1"/>
  <c r="K1152" i="57"/>
  <c r="N1152" i="57" s="1"/>
  <c r="I1258" i="57" s="1"/>
  <c r="N1200" i="57"/>
  <c r="I1306" i="57" s="1"/>
  <c r="N1612" i="41"/>
  <c r="I1718" i="41" s="1"/>
  <c r="I709" i="57"/>
  <c r="N708" i="57"/>
  <c r="N1193" i="57"/>
  <c r="I1299" i="57" s="1"/>
  <c r="I571" i="41"/>
  <c r="I576" i="41" s="1"/>
  <c r="N557" i="41"/>
  <c r="G663" i="41"/>
  <c r="D677" i="41"/>
  <c r="D682" i="41" s="1"/>
  <c r="N1459" i="41"/>
  <c r="I1565" i="41" s="1"/>
  <c r="N1303" i="41"/>
  <c r="I1409" i="41" s="1"/>
  <c r="K1287" i="41"/>
  <c r="D1393" i="41"/>
  <c r="G1393" i="41" s="1"/>
  <c r="D1288" i="57"/>
  <c r="G1288" i="57" s="1"/>
  <c r="K1182" i="57"/>
  <c r="N1182" i="57" s="1"/>
  <c r="G62" i="44"/>
  <c r="I1186" i="57"/>
  <c r="F66" i="43"/>
  <c r="G66" i="44"/>
  <c r="D1292" i="57"/>
  <c r="G1292" i="57" s="1"/>
  <c r="K1186" i="57"/>
  <c r="N1926" i="41"/>
  <c r="I2032" i="41" s="1"/>
  <c r="F65" i="43"/>
  <c r="I1153" i="57"/>
  <c r="N1285" i="41"/>
  <c r="I1391" i="41" s="1"/>
  <c r="G34" i="43"/>
  <c r="I1177" i="57"/>
  <c r="I1179" i="57"/>
  <c r="F29" i="43"/>
  <c r="I1139" i="57"/>
  <c r="D1283" i="57"/>
  <c r="G1283" i="57" s="1"/>
  <c r="K1177" i="57"/>
  <c r="G57" i="44"/>
  <c r="K1409" i="41"/>
  <c r="D1515" i="41"/>
  <c r="G1515" i="41" s="1"/>
  <c r="K1203" i="57"/>
  <c r="D1309" i="57"/>
  <c r="G1309" i="57" s="1"/>
  <c r="G83" i="44"/>
  <c r="D1782" i="57"/>
  <c r="G1782" i="57" s="1"/>
  <c r="L36" i="44"/>
  <c r="K1153" i="57"/>
  <c r="D1259" i="57"/>
  <c r="G1259" i="57" s="1"/>
  <c r="G38" i="44"/>
  <c r="F61" i="43"/>
  <c r="F39" i="43"/>
  <c r="N1035" i="57"/>
  <c r="F31" i="43" s="1"/>
  <c r="I1142" i="57"/>
  <c r="N1724" i="41"/>
  <c r="I1830" i="41" s="1"/>
  <c r="I1728" i="57"/>
  <c r="N1728" i="57" s="1"/>
  <c r="K78" i="43"/>
  <c r="D1412" i="57"/>
  <c r="G1412" i="57" s="1"/>
  <c r="K1306" i="57"/>
  <c r="H80" i="44"/>
  <c r="D1498" i="41"/>
  <c r="G1498" i="41" s="1"/>
  <c r="K1392" i="41"/>
  <c r="N1392" i="41" s="1"/>
  <c r="I1498" i="41" s="1"/>
  <c r="K1352" i="41"/>
  <c r="N1352" i="41" s="1"/>
  <c r="I1458" i="41" s="1"/>
  <c r="D1458" i="41"/>
  <c r="G1458" i="41" s="1"/>
  <c r="K1566" i="41"/>
  <c r="D1672" i="41"/>
  <c r="G1672" i="41" s="1"/>
  <c r="M22" i="57"/>
  <c r="I23" i="57" s="1"/>
  <c r="P74" i="42"/>
  <c r="P84" i="42" s="1"/>
  <c r="I665" i="57"/>
  <c r="N569" i="57"/>
  <c r="K1286" i="57"/>
  <c r="D1392" i="57"/>
  <c r="G1392" i="57" s="1"/>
  <c r="H60" i="44"/>
  <c r="J17" i="44"/>
  <c r="D1551" i="57"/>
  <c r="G1551" i="57" s="1"/>
  <c r="D771" i="57"/>
  <c r="Q74" i="27"/>
  <c r="K665" i="57"/>
  <c r="K675" i="57" s="1"/>
  <c r="G675" i="57"/>
  <c r="G39" i="44"/>
  <c r="K1154" i="57"/>
  <c r="N1154" i="57" s="1"/>
  <c r="D1260" i="57"/>
  <c r="G1260" i="57" s="1"/>
  <c r="G65" i="44"/>
  <c r="K1185" i="57"/>
  <c r="N1185" i="57" s="1"/>
  <c r="D1291" i="57"/>
  <c r="G1291" i="57" s="1"/>
  <c r="K1139" i="57"/>
  <c r="D1245" i="57"/>
  <c r="G1245" i="57" s="1"/>
  <c r="G29" i="44"/>
  <c r="N101" i="72"/>
  <c r="I1657" i="57"/>
  <c r="N1657" i="57" s="1"/>
  <c r="K17" i="43"/>
  <c r="D1285" i="57"/>
  <c r="G1285" i="57" s="1"/>
  <c r="K1179" i="57"/>
  <c r="G59" i="44"/>
  <c r="N1250" i="57"/>
  <c r="I1356" i="57" s="1"/>
  <c r="G61" i="44"/>
  <c r="D1287" i="57"/>
  <c r="G1287" i="57" s="1"/>
  <c r="K1181" i="57"/>
  <c r="N1181" i="57" s="1"/>
  <c r="D1507" i="41"/>
  <c r="G1507" i="41" s="1"/>
  <c r="K1401" i="41"/>
  <c r="D1832" i="41"/>
  <c r="G1832" i="41" s="1"/>
  <c r="K1726" i="41"/>
  <c r="D1580" i="41"/>
  <c r="G1580" i="41" s="1"/>
  <c r="K1474" i="41"/>
  <c r="K1391" i="41"/>
  <c r="D1497" i="41"/>
  <c r="G1497" i="41" s="1"/>
  <c r="J1366" i="41"/>
  <c r="K1260" i="41"/>
  <c r="N1260" i="41" s="1"/>
  <c r="I1366" i="41" s="1"/>
  <c r="D2051" i="41"/>
  <c r="G2051" i="41" s="1"/>
  <c r="K1945" i="41"/>
  <c r="D711" i="41"/>
  <c r="G710" i="41"/>
  <c r="I752" i="57"/>
  <c r="Q55" i="42"/>
  <c r="I629" i="41"/>
  <c r="N554" i="41"/>
  <c r="D1072" i="41"/>
  <c r="K966" i="41"/>
  <c r="D920" i="57"/>
  <c r="G815" i="57"/>
  <c r="I1019" i="57"/>
  <c r="N1232" i="41"/>
  <c r="K752" i="57"/>
  <c r="D858" i="57"/>
  <c r="K1718" i="41"/>
  <c r="D1824" i="41"/>
  <c r="G1824" i="41" s="1"/>
  <c r="K979" i="57"/>
  <c r="D1085" i="57"/>
  <c r="N1308" i="57"/>
  <c r="D864" i="41"/>
  <c r="K758" i="41"/>
  <c r="N758" i="41" s="1"/>
  <c r="I864" i="41" s="1"/>
  <c r="K1570" i="41"/>
  <c r="D1676" i="41"/>
  <c r="G1676" i="41" s="1"/>
  <c r="I1442" i="57"/>
  <c r="I14" i="43"/>
  <c r="D1504" i="41"/>
  <c r="G1504" i="41" s="1"/>
  <c r="K1398" i="41"/>
  <c r="H37" i="44"/>
  <c r="D1937" i="41"/>
  <c r="G1937" i="41" s="1"/>
  <c r="K1831" i="41"/>
  <c r="K1138" i="57"/>
  <c r="N1138" i="57" s="1"/>
  <c r="G28" i="44"/>
  <c r="D1244" i="57"/>
  <c r="G1244" i="57" s="1"/>
  <c r="I1455" i="57"/>
  <c r="N1455" i="57" s="1"/>
  <c r="I27" i="43"/>
  <c r="K887" i="41"/>
  <c r="D993" i="41"/>
  <c r="D1552" i="57"/>
  <c r="G1552" i="57" s="1"/>
  <c r="J18" i="44"/>
  <c r="D754" i="57"/>
  <c r="K648" i="57"/>
  <c r="K658" i="57" s="1"/>
  <c r="Q57" i="27"/>
  <c r="G658" i="57"/>
  <c r="D1791" i="41"/>
  <c r="G1791" i="41" s="1"/>
  <c r="K1685" i="41"/>
  <c r="J1364" i="57"/>
  <c r="K1258" i="57"/>
  <c r="K1356" i="57"/>
  <c r="I34" i="44"/>
  <c r="D1462" i="57"/>
  <c r="G1462" i="57" s="1"/>
  <c r="K1357" i="41"/>
  <c r="D1463" i="41"/>
  <c r="G1463" i="41" s="1"/>
  <c r="K1565" i="41"/>
  <c r="D1671" i="41"/>
  <c r="G1671" i="41" s="1"/>
  <c r="L36" i="43"/>
  <c r="I1782" i="57"/>
  <c r="N1782" i="57" s="1"/>
  <c r="K1501" i="41"/>
  <c r="D1607" i="41"/>
  <c r="G1607" i="41" s="1"/>
  <c r="K2032" i="41"/>
  <c r="D2138" i="41"/>
  <c r="G2138" i="41" s="1"/>
  <c r="K1409" i="57"/>
  <c r="I77" i="44"/>
  <c r="D1515" i="57"/>
  <c r="G1515" i="57" s="1"/>
  <c r="C61" i="49"/>
  <c r="I62" i="49"/>
  <c r="N1303" i="57"/>
  <c r="D1944" i="41"/>
  <c r="G1944" i="41" s="1"/>
  <c r="K1838" i="41"/>
  <c r="K1734" i="41"/>
  <c r="D1840" i="41"/>
  <c r="G1840" i="41" s="1"/>
  <c r="D1248" i="57"/>
  <c r="G1248" i="57" s="1"/>
  <c r="K1142" i="57"/>
  <c r="G32" i="44"/>
  <c r="K629" i="41"/>
  <c r="K660" i="41" s="1"/>
  <c r="D735" i="41"/>
  <c r="G660" i="41"/>
  <c r="K1674" i="41"/>
  <c r="D1780" i="41"/>
  <c r="G1780" i="41" s="1"/>
  <c r="D1682" i="57"/>
  <c r="G1682" i="57" s="1"/>
  <c r="K1414" i="57"/>
  <c r="D1520" i="57"/>
  <c r="G1520" i="57" s="1"/>
  <c r="I82" i="44"/>
  <c r="D1233" i="41"/>
  <c r="D1885" i="41"/>
  <c r="G1885" i="41" s="1"/>
  <c r="K1779" i="41"/>
  <c r="N705" i="41"/>
  <c r="I707" i="41"/>
  <c r="D34" i="130"/>
  <c r="H34" i="130" s="1"/>
  <c r="G1141" i="57"/>
  <c r="N808" i="57"/>
  <c r="K1793" i="41"/>
  <c r="D1899" i="41"/>
  <c r="G1899" i="41" s="1"/>
  <c r="G1018" i="57"/>
  <c r="I648" i="57"/>
  <c r="P57" i="42"/>
  <c r="P67" i="42" s="1"/>
  <c r="N552" i="57"/>
  <c r="G812" i="41"/>
  <c r="D813" i="41"/>
  <c r="F44" i="3"/>
  <c r="K1830" i="41"/>
  <c r="D1936" i="41"/>
  <c r="G1936" i="41" s="1"/>
  <c r="D1524" i="41"/>
  <c r="G1524" i="41" s="1"/>
  <c r="K1418" i="41"/>
  <c r="Q70" i="42"/>
  <c r="I767" i="57"/>
  <c r="D701" i="57"/>
  <c r="Q15" i="27"/>
  <c r="G599" i="57"/>
  <c r="D1338" i="41"/>
  <c r="D1405" i="57"/>
  <c r="G1405" i="57" s="1"/>
  <c r="K1299" i="57"/>
  <c r="H73" i="44"/>
  <c r="I711" i="41"/>
  <c r="N710" i="41"/>
  <c r="N754" i="41"/>
  <c r="D2047" i="41"/>
  <c r="G2047" i="41" s="1"/>
  <c r="K1941" i="41"/>
  <c r="K874" i="57"/>
  <c r="D980" i="57"/>
  <c r="I27" i="44"/>
  <c r="D1455" i="57"/>
  <c r="G1455" i="57" s="1"/>
  <c r="D2108" i="41"/>
  <c r="G2108" i="41" s="1"/>
  <c r="K1927" i="41"/>
  <c r="D2033" i="41"/>
  <c r="G2033" i="41" s="1"/>
  <c r="M22" i="41" l="1"/>
  <c r="F84" i="43"/>
  <c r="N1779" i="41"/>
  <c r="I1885" i="41" s="1"/>
  <c r="N1357" i="41"/>
  <c r="I1463" i="41" s="1"/>
  <c r="I1184" i="57"/>
  <c r="N1287" i="41"/>
  <c r="I1393" i="41" s="1"/>
  <c r="N1501" i="41"/>
  <c r="I1607" i="41" s="1"/>
  <c r="N1398" i="41"/>
  <c r="I1504" i="41" s="1"/>
  <c r="N1566" i="41"/>
  <c r="I1672" i="41" s="1"/>
  <c r="D2268" i="57"/>
  <c r="G2268" i="57" s="1"/>
  <c r="P87" i="44"/>
  <c r="P88" i="44" s="1"/>
  <c r="N493" i="57"/>
  <c r="N574" i="57" s="1"/>
  <c r="P17" i="42"/>
  <c r="P18" i="42" s="1"/>
  <c r="P86" i="42" s="1"/>
  <c r="P91" i="42" s="1"/>
  <c r="I598" i="57"/>
  <c r="I2374" i="57"/>
  <c r="N2374" i="57" s="1"/>
  <c r="R87" i="43" s="1"/>
  <c r="R88" i="43" s="1"/>
  <c r="Q87" i="43"/>
  <c r="Q88" i="43" s="1"/>
  <c r="I1286" i="57"/>
  <c r="N1286" i="57" s="1"/>
  <c r="I40" i="49"/>
  <c r="C38" i="49"/>
  <c r="N1186" i="57"/>
  <c r="G66" i="43" s="1"/>
  <c r="K680" i="57"/>
  <c r="J23" i="57" s="1"/>
  <c r="O13" i="72" s="1"/>
  <c r="G680" i="57"/>
  <c r="F40" i="43"/>
  <c r="D1564" i="57"/>
  <c r="G1564" i="57" s="1"/>
  <c r="K1564" i="57" s="1"/>
  <c r="F67" i="43"/>
  <c r="G80" i="43"/>
  <c r="G30" i="43"/>
  <c r="K41" i="43"/>
  <c r="I1686" i="57"/>
  <c r="N1686" i="57" s="1"/>
  <c r="J30" i="44"/>
  <c r="L35" i="43"/>
  <c r="I1781" i="57"/>
  <c r="N1781" i="57" s="1"/>
  <c r="K26" i="43"/>
  <c r="I1666" i="57"/>
  <c r="N1666" i="57" s="1"/>
  <c r="N1203" i="57"/>
  <c r="I1309" i="57" s="1"/>
  <c r="N1838" i="41"/>
  <c r="I1944" i="41" s="1"/>
  <c r="N1157" i="57"/>
  <c r="G42" i="43" s="1"/>
  <c r="N1401" i="41"/>
  <c r="I1507" i="41" s="1"/>
  <c r="K1194" i="57"/>
  <c r="F63" i="43"/>
  <c r="I1183" i="57"/>
  <c r="D1300" i="57"/>
  <c r="G1300" i="57" s="1"/>
  <c r="H74" i="44" s="1"/>
  <c r="G73" i="43"/>
  <c r="I1352" i="57"/>
  <c r="N1352" i="57" s="1"/>
  <c r="I1458" i="57" s="1"/>
  <c r="N1458" i="57" s="1"/>
  <c r="D1293" i="57"/>
  <c r="G1293" i="57" s="1"/>
  <c r="G67" i="44"/>
  <c r="K1187" i="57"/>
  <c r="N1187" i="57" s="1"/>
  <c r="D1514" i="57"/>
  <c r="G1514" i="57" s="1"/>
  <c r="I76" i="44"/>
  <c r="I1517" i="57"/>
  <c r="N1517" i="57" s="1"/>
  <c r="I79" i="43"/>
  <c r="I1194" i="57"/>
  <c r="F74" i="43"/>
  <c r="D1580" i="57"/>
  <c r="G1580" i="57" s="1"/>
  <c r="J41" i="44"/>
  <c r="J16" i="44"/>
  <c r="D1550" i="57"/>
  <c r="G1550" i="57" s="1"/>
  <c r="D1310" i="57"/>
  <c r="G1310" i="57" s="1"/>
  <c r="H84" i="44" s="1"/>
  <c r="D1411" i="57"/>
  <c r="G1411" i="57" s="1"/>
  <c r="H79" i="44"/>
  <c r="J76" i="43"/>
  <c r="I1620" i="57"/>
  <c r="N1620" i="57" s="1"/>
  <c r="D1261" i="57"/>
  <c r="G1261" i="57" s="1"/>
  <c r="K1155" i="57"/>
  <c r="N1155" i="57" s="1"/>
  <c r="G40" i="44"/>
  <c r="D1290" i="57"/>
  <c r="G1290" i="57" s="1"/>
  <c r="G64" i="44"/>
  <c r="K1184" i="57"/>
  <c r="K1204" i="57"/>
  <c r="N1204" i="57" s="1"/>
  <c r="D1289" i="57"/>
  <c r="G1289" i="57" s="1"/>
  <c r="K1183" i="57"/>
  <c r="G63" i="44"/>
  <c r="J78" i="44"/>
  <c r="D1622" i="57"/>
  <c r="G1622" i="57" s="1"/>
  <c r="K26" i="44"/>
  <c r="D1666" i="57"/>
  <c r="G1666" i="57" s="1"/>
  <c r="D1249" i="57"/>
  <c r="G1249" i="57" s="1"/>
  <c r="G33" i="44"/>
  <c r="K1143" i="57"/>
  <c r="N1143" i="57" s="1"/>
  <c r="D1369" i="57"/>
  <c r="G1369" i="57" s="1"/>
  <c r="H42" i="44"/>
  <c r="K1263" i="57"/>
  <c r="D1569" i="57"/>
  <c r="G1569" i="57" s="1"/>
  <c r="J35" i="44"/>
  <c r="N1831" i="41"/>
  <c r="I1937" i="41" s="1"/>
  <c r="G81" i="44"/>
  <c r="K1201" i="57"/>
  <c r="D1307" i="57"/>
  <c r="G1307" i="57" s="1"/>
  <c r="F81" i="43"/>
  <c r="I1201" i="57"/>
  <c r="G37" i="43"/>
  <c r="N1945" i="41"/>
  <c r="I2051" i="41" s="1"/>
  <c r="N1570" i="41"/>
  <c r="I1676" i="41" s="1"/>
  <c r="N1927" i="41"/>
  <c r="I2033" i="41" s="1"/>
  <c r="N1685" i="41"/>
  <c r="I1791" i="41" s="1"/>
  <c r="N1726" i="41"/>
  <c r="I1832" i="41" s="1"/>
  <c r="N1674" i="41"/>
  <c r="I1780" i="41" s="1"/>
  <c r="N1418" i="41"/>
  <c r="I1524" i="41" s="1"/>
  <c r="N1474" i="41"/>
  <c r="I1580" i="41" s="1"/>
  <c r="N1734" i="41"/>
  <c r="I1840" i="41" s="1"/>
  <c r="N1793" i="41"/>
  <c r="I1899" i="41" s="1"/>
  <c r="N1941" i="41"/>
  <c r="I2047" i="41" s="1"/>
  <c r="N1718" i="41"/>
  <c r="I1824" i="41" s="1"/>
  <c r="N1258" i="57"/>
  <c r="I1364" i="57" s="1"/>
  <c r="K1717" i="41"/>
  <c r="N1717" i="41" s="1"/>
  <c r="I1823" i="41" s="1"/>
  <c r="D1823" i="41"/>
  <c r="G1823" i="41" s="1"/>
  <c r="I814" i="57"/>
  <c r="N709" i="57"/>
  <c r="D769" i="41"/>
  <c r="K663" i="41"/>
  <c r="K677" i="41" s="1"/>
  <c r="G677" i="41"/>
  <c r="G682" i="41" s="1"/>
  <c r="I663" i="41"/>
  <c r="N571" i="41"/>
  <c r="N576" i="41" s="1"/>
  <c r="N1565" i="41"/>
  <c r="I1671" i="41" s="1"/>
  <c r="N1409" i="41"/>
  <c r="I1515" i="41" s="1"/>
  <c r="N1179" i="57"/>
  <c r="I1285" i="57" s="1"/>
  <c r="D1499" i="41"/>
  <c r="G1499" i="41" s="1"/>
  <c r="K1393" i="41"/>
  <c r="N1391" i="41"/>
  <c r="I1497" i="41" s="1"/>
  <c r="K1292" i="57"/>
  <c r="H66" i="44"/>
  <c r="D1398" i="57"/>
  <c r="G1398" i="57" s="1"/>
  <c r="G62" i="43"/>
  <c r="I1288" i="57"/>
  <c r="K1288" i="57"/>
  <c r="D1394" i="57"/>
  <c r="G1394" i="57" s="1"/>
  <c r="H62" i="44"/>
  <c r="N2032" i="41"/>
  <c r="I2138" i="41" s="1"/>
  <c r="N1153" i="57"/>
  <c r="I1259" i="57" s="1"/>
  <c r="N1177" i="57"/>
  <c r="I1283" i="57" s="1"/>
  <c r="N1139" i="57"/>
  <c r="G29" i="43" s="1"/>
  <c r="D1389" i="57"/>
  <c r="G1389" i="57" s="1"/>
  <c r="H57" i="44"/>
  <c r="K1283" i="57"/>
  <c r="D1415" i="57"/>
  <c r="G1415" i="57" s="1"/>
  <c r="H83" i="44"/>
  <c r="K1309" i="57"/>
  <c r="D1621" i="41"/>
  <c r="G1621" i="41" s="1"/>
  <c r="K1515" i="41"/>
  <c r="D1365" i="57"/>
  <c r="G1365" i="57" s="1"/>
  <c r="H38" i="44"/>
  <c r="K1259" i="57"/>
  <c r="I1141" i="57"/>
  <c r="M36" i="44"/>
  <c r="D1888" i="57"/>
  <c r="G1888" i="57" s="1"/>
  <c r="N1830" i="41"/>
  <c r="I1936" i="41" s="1"/>
  <c r="N1142" i="57"/>
  <c r="G32" i="43" s="1"/>
  <c r="N1306" i="57"/>
  <c r="D1518" i="57"/>
  <c r="G1518" i="57" s="1"/>
  <c r="K1412" i="57"/>
  <c r="I80" i="44"/>
  <c r="L78" i="43"/>
  <c r="I1834" i="57"/>
  <c r="N1834" i="57" s="1"/>
  <c r="K1498" i="41"/>
  <c r="N1498" i="41" s="1"/>
  <c r="I1604" i="41" s="1"/>
  <c r="D1604" i="41"/>
  <c r="G1604" i="41" s="1"/>
  <c r="H34" i="43"/>
  <c r="D1564" i="41"/>
  <c r="G1564" i="41" s="1"/>
  <c r="K1458" i="41"/>
  <c r="N1458" i="41" s="1"/>
  <c r="I1564" i="41" s="1"/>
  <c r="K1672" i="41"/>
  <c r="D1778" i="41"/>
  <c r="G1778" i="41" s="1"/>
  <c r="N887" i="41"/>
  <c r="I993" i="41" s="1"/>
  <c r="D1391" i="57"/>
  <c r="G1391" i="57" s="1"/>
  <c r="K1285" i="57"/>
  <c r="H59" i="44"/>
  <c r="K1291" i="57"/>
  <c r="D1397" i="57"/>
  <c r="G1397" i="57" s="1"/>
  <c r="H65" i="44"/>
  <c r="G39" i="43"/>
  <c r="I1260" i="57"/>
  <c r="F79" i="12"/>
  <c r="F89" i="12" s="1"/>
  <c r="D63" i="3"/>
  <c r="Q84" i="27"/>
  <c r="I1291" i="57"/>
  <c r="G65" i="43"/>
  <c r="G771" i="57"/>
  <c r="D781" i="57"/>
  <c r="D1498" i="57"/>
  <c r="G1498" i="57" s="1"/>
  <c r="K1392" i="57"/>
  <c r="I60" i="44"/>
  <c r="L17" i="43"/>
  <c r="I1763" i="57"/>
  <c r="N1763" i="57" s="1"/>
  <c r="H29" i="44"/>
  <c r="D1351" i="57"/>
  <c r="G1351" i="57" s="1"/>
  <c r="K1245" i="57"/>
  <c r="D1657" i="57"/>
  <c r="G1657" i="57" s="1"/>
  <c r="K17" i="44"/>
  <c r="N665" i="57"/>
  <c r="I675" i="57"/>
  <c r="H39" i="44"/>
  <c r="D1366" i="57"/>
  <c r="G1366" i="57" s="1"/>
  <c r="K1260" i="57"/>
  <c r="K1497" i="41"/>
  <c r="D1603" i="41"/>
  <c r="G1603" i="41" s="1"/>
  <c r="G61" i="43"/>
  <c r="I1287" i="57"/>
  <c r="K1832" i="41"/>
  <c r="D1938" i="41"/>
  <c r="G1938" i="41" s="1"/>
  <c r="D1686" i="41"/>
  <c r="G1686" i="41" s="1"/>
  <c r="K1580" i="41"/>
  <c r="K1507" i="41"/>
  <c r="D1613" i="41"/>
  <c r="G1613" i="41" s="1"/>
  <c r="H61" i="44"/>
  <c r="K1287" i="57"/>
  <c r="D1393" i="57"/>
  <c r="G1393" i="57" s="1"/>
  <c r="G1338" i="41"/>
  <c r="D2005" i="41"/>
  <c r="G2005" i="41" s="1"/>
  <c r="K1899" i="41"/>
  <c r="K1141" i="57"/>
  <c r="D1247" i="57"/>
  <c r="G1247" i="57" s="1"/>
  <c r="G31" i="44"/>
  <c r="D1626" i="57"/>
  <c r="G1626" i="57" s="1"/>
  <c r="J82" i="44"/>
  <c r="K1520" i="57"/>
  <c r="H32" i="44"/>
  <c r="K1248" i="57"/>
  <c r="D1354" i="57"/>
  <c r="G1354" i="57" s="1"/>
  <c r="D1946" i="41"/>
  <c r="G1946" i="41" s="1"/>
  <c r="K1840" i="41"/>
  <c r="J1470" i="57"/>
  <c r="K1364" i="57"/>
  <c r="J27" i="43"/>
  <c r="I1561" i="57"/>
  <c r="N1561" i="57" s="1"/>
  <c r="H28" i="44"/>
  <c r="K1244" i="57"/>
  <c r="D1350" i="57"/>
  <c r="G1350" i="57" s="1"/>
  <c r="D1610" i="41"/>
  <c r="G1610" i="41" s="1"/>
  <c r="K1504" i="41"/>
  <c r="K2047" i="41"/>
  <c r="D2153" i="41"/>
  <c r="G2153" i="41" s="1"/>
  <c r="N1299" i="57"/>
  <c r="N767" i="57"/>
  <c r="N648" i="57"/>
  <c r="I658" i="57"/>
  <c r="F14" i="44"/>
  <c r="D1124" i="57"/>
  <c r="D1713" i="41"/>
  <c r="G1713" i="41" s="1"/>
  <c r="K1607" i="41"/>
  <c r="D1777" i="41"/>
  <c r="G1777" i="41" s="1"/>
  <c r="K1671" i="41"/>
  <c r="D1569" i="41"/>
  <c r="G1569" i="41" s="1"/>
  <c r="K1463" i="41"/>
  <c r="F62" i="12"/>
  <c r="F72" i="12" s="1"/>
  <c r="D46" i="3"/>
  <c r="Q67" i="27"/>
  <c r="K18" i="44"/>
  <c r="D1658" i="57"/>
  <c r="G1658" i="57" s="1"/>
  <c r="G993" i="41"/>
  <c r="N1356" i="57"/>
  <c r="G1085" i="57"/>
  <c r="N1019" i="57"/>
  <c r="D921" i="57"/>
  <c r="G920" i="57"/>
  <c r="N629" i="41"/>
  <c r="I660" i="41"/>
  <c r="N752" i="57"/>
  <c r="K2051" i="41"/>
  <c r="D2157" i="41"/>
  <c r="G2157" i="41" s="1"/>
  <c r="D1561" i="57"/>
  <c r="G1561" i="57" s="1"/>
  <c r="J27" i="44"/>
  <c r="H44" i="3"/>
  <c r="D1991" i="41"/>
  <c r="G1991" i="41" s="1"/>
  <c r="K1885" i="41"/>
  <c r="D2244" i="41"/>
  <c r="G2244" i="41" s="1"/>
  <c r="K2138" i="41"/>
  <c r="J34" i="44"/>
  <c r="K1462" i="57"/>
  <c r="D1568" i="57"/>
  <c r="G1568" i="57" s="1"/>
  <c r="D2214" i="41"/>
  <c r="G2214" i="41" s="1"/>
  <c r="G980" i="57"/>
  <c r="I816" i="41"/>
  <c r="N711" i="41"/>
  <c r="K1405" i="57"/>
  <c r="I73" i="44"/>
  <c r="D1511" i="57"/>
  <c r="G1511" i="57" s="1"/>
  <c r="F17" i="12"/>
  <c r="F21" i="12" s="1"/>
  <c r="D16" i="3"/>
  <c r="Q19" i="27"/>
  <c r="I75" i="12"/>
  <c r="K1524" i="41"/>
  <c r="D1630" i="41"/>
  <c r="G1630" i="41" s="1"/>
  <c r="D918" i="41"/>
  <c r="G813" i="41"/>
  <c r="I914" i="57"/>
  <c r="I811" i="41"/>
  <c r="N707" i="41"/>
  <c r="G1233" i="41"/>
  <c r="D1788" i="57"/>
  <c r="G1788" i="57" s="1"/>
  <c r="D1886" i="41"/>
  <c r="G1886" i="41" s="1"/>
  <c r="K1780" i="41"/>
  <c r="G735" i="41"/>
  <c r="D766" i="41"/>
  <c r="D2050" i="41"/>
  <c r="G2050" i="41" s="1"/>
  <c r="K1944" i="41"/>
  <c r="K1937" i="41"/>
  <c r="D2043" i="41"/>
  <c r="G2043" i="41" s="1"/>
  <c r="I37" i="44"/>
  <c r="D1782" i="41"/>
  <c r="G1782" i="41" s="1"/>
  <c r="K1676" i="41"/>
  <c r="G711" i="41"/>
  <c r="D816" i="41"/>
  <c r="J1472" i="41"/>
  <c r="K1366" i="41"/>
  <c r="N1366" i="41" s="1"/>
  <c r="I1472" i="41" s="1"/>
  <c r="D2139" i="41"/>
  <c r="G2139" i="41" s="1"/>
  <c r="K2033" i="41"/>
  <c r="I860" i="41"/>
  <c r="G701" i="57"/>
  <c r="D705" i="57"/>
  <c r="K1936" i="41"/>
  <c r="D2042" i="41"/>
  <c r="G2042" i="41" s="1"/>
  <c r="G28" i="43"/>
  <c r="I1244" i="57"/>
  <c r="I1409" i="57"/>
  <c r="N1409" i="57" s="1"/>
  <c r="H77" i="43"/>
  <c r="C62" i="49"/>
  <c r="I63" i="49"/>
  <c r="J77" i="44"/>
  <c r="D1621" i="57"/>
  <c r="G1621" i="57" s="1"/>
  <c r="K1515" i="57"/>
  <c r="M36" i="43"/>
  <c r="I1888" i="57"/>
  <c r="N1888" i="57" s="1"/>
  <c r="D1897" i="41"/>
  <c r="G1897" i="41" s="1"/>
  <c r="K1791" i="41"/>
  <c r="G754" i="57"/>
  <c r="D764" i="57"/>
  <c r="N874" i="57"/>
  <c r="I980" i="57" s="1"/>
  <c r="N1442" i="57"/>
  <c r="I1414" i="57"/>
  <c r="N1414" i="57" s="1"/>
  <c r="H82" i="43"/>
  <c r="K1824" i="41"/>
  <c r="D1930" i="41"/>
  <c r="G1930" i="41" s="1"/>
  <c r="G858" i="57"/>
  <c r="I1338" i="41"/>
  <c r="G1072" i="41"/>
  <c r="G864" i="41"/>
  <c r="I60" i="12"/>
  <c r="I23" i="41" l="1"/>
  <c r="N1463" i="41"/>
  <c r="I1569" i="41" s="1"/>
  <c r="N1885" i="41"/>
  <c r="I1991" i="41" s="1"/>
  <c r="N1607" i="41"/>
  <c r="I1713" i="41" s="1"/>
  <c r="I1263" i="57"/>
  <c r="N1263" i="57" s="1"/>
  <c r="N1184" i="57"/>
  <c r="G64" i="43" s="1"/>
  <c r="N1393" i="41"/>
  <c r="I1499" i="41" s="1"/>
  <c r="N1672" i="41"/>
  <c r="I1778" i="41" s="1"/>
  <c r="N1504" i="41"/>
  <c r="I1610" i="41" s="1"/>
  <c r="I1292" i="57"/>
  <c r="N1292" i="57" s="1"/>
  <c r="H66" i="43" s="1"/>
  <c r="G96" i="48"/>
  <c r="S87" i="43"/>
  <c r="I599" i="57"/>
  <c r="I680" i="57" s="1"/>
  <c r="N598" i="57"/>
  <c r="D2374" i="57"/>
  <c r="G2374" i="57" s="1"/>
  <c r="R87" i="44" s="1"/>
  <c r="R88" i="44" s="1"/>
  <c r="Q87" i="44"/>
  <c r="Q88" i="44" s="1"/>
  <c r="D1670" i="57"/>
  <c r="G1670" i="57" s="1"/>
  <c r="L30" i="44" s="1"/>
  <c r="K30" i="44"/>
  <c r="I42" i="49"/>
  <c r="C40" i="49"/>
  <c r="D786" i="57"/>
  <c r="N1507" i="41"/>
  <c r="I1613" i="41" s="1"/>
  <c r="D1406" i="57"/>
  <c r="G1406" i="57" s="1"/>
  <c r="I74" i="44" s="1"/>
  <c r="N1824" i="41"/>
  <c r="I1930" i="41" s="1"/>
  <c r="K1300" i="57"/>
  <c r="K682" i="41"/>
  <c r="J23" i="41" s="1"/>
  <c r="N1937" i="41"/>
  <c r="I2043" i="41" s="1"/>
  <c r="I30" i="43"/>
  <c r="N1183" i="57"/>
  <c r="I1289" i="57" s="1"/>
  <c r="N1194" i="57"/>
  <c r="I1300" i="57" s="1"/>
  <c r="G83" i="43"/>
  <c r="L26" i="43"/>
  <c r="I1772" i="57"/>
  <c r="N1772" i="57" s="1"/>
  <c r="I1792" i="57"/>
  <c r="N1792" i="57" s="1"/>
  <c r="L41" i="43"/>
  <c r="M35" i="43"/>
  <c r="I1887" i="57"/>
  <c r="N1887" i="57" s="1"/>
  <c r="N1944" i="41"/>
  <c r="I2050" i="41" s="1"/>
  <c r="N2047" i="41"/>
  <c r="I2153" i="41" s="1"/>
  <c r="N1832" i="41"/>
  <c r="I1938" i="41" s="1"/>
  <c r="N1580" i="41"/>
  <c r="I1686" i="41" s="1"/>
  <c r="N2051" i="41"/>
  <c r="I2157" i="41" s="1"/>
  <c r="G40" i="43"/>
  <c r="I1261" i="57"/>
  <c r="I1293" i="57"/>
  <c r="G67" i="43"/>
  <c r="H33" i="44"/>
  <c r="K1249" i="57"/>
  <c r="D1355" i="57"/>
  <c r="G1355" i="57" s="1"/>
  <c r="K16" i="44"/>
  <c r="D1656" i="57"/>
  <c r="G1656" i="57" s="1"/>
  <c r="I1623" i="57"/>
  <c r="N1623" i="57" s="1"/>
  <c r="J79" i="43"/>
  <c r="I1310" i="57"/>
  <c r="G84" i="43"/>
  <c r="D1395" i="57"/>
  <c r="G1395" i="57" s="1"/>
  <c r="K1289" i="57"/>
  <c r="H63" i="44"/>
  <c r="I1726" i="57"/>
  <c r="N1726" i="57" s="1"/>
  <c r="K76" i="43"/>
  <c r="K41" i="44"/>
  <c r="D1686" i="57"/>
  <c r="G1686" i="57" s="1"/>
  <c r="D1416" i="57"/>
  <c r="G1416" i="57" s="1"/>
  <c r="I84" i="44" s="1"/>
  <c r="L26" i="44"/>
  <c r="D1772" i="57"/>
  <c r="G1772" i="57" s="1"/>
  <c r="D1399" i="57"/>
  <c r="G1399" i="57" s="1"/>
  <c r="H67" i="44"/>
  <c r="K1293" i="57"/>
  <c r="D1728" i="57"/>
  <c r="G1728" i="57" s="1"/>
  <c r="K78" i="44"/>
  <c r="D1396" i="57"/>
  <c r="G1396" i="57" s="1"/>
  <c r="H64" i="44"/>
  <c r="K1290" i="57"/>
  <c r="K1310" i="57"/>
  <c r="G33" i="43"/>
  <c r="I1249" i="57"/>
  <c r="D1367" i="57"/>
  <c r="G1367" i="57" s="1"/>
  <c r="K1261" i="57"/>
  <c r="H40" i="44"/>
  <c r="I79" i="44"/>
  <c r="D1517" i="57"/>
  <c r="G1517" i="57" s="1"/>
  <c r="D1620" i="57"/>
  <c r="G1620" i="57" s="1"/>
  <c r="J76" i="44"/>
  <c r="D1675" i="57"/>
  <c r="G1675" i="57" s="1"/>
  <c r="K35" i="44"/>
  <c r="N1201" i="57"/>
  <c r="K1307" i="57"/>
  <c r="D1413" i="57"/>
  <c r="G1413" i="57" s="1"/>
  <c r="H81" i="44"/>
  <c r="I42" i="44"/>
  <c r="D1475" i="57"/>
  <c r="G1475" i="57" s="1"/>
  <c r="K1369" i="57"/>
  <c r="N2033" i="41"/>
  <c r="I2139" i="41" s="1"/>
  <c r="N1780" i="41"/>
  <c r="I1886" i="41" s="1"/>
  <c r="N1791" i="41"/>
  <c r="I1897" i="41" s="1"/>
  <c r="N1676" i="41"/>
  <c r="I1782" i="41" s="1"/>
  <c r="N1524" i="41"/>
  <c r="I1630" i="41" s="1"/>
  <c r="N1840" i="41"/>
  <c r="I1946" i="41" s="1"/>
  <c r="N1899" i="41"/>
  <c r="I2005" i="41" s="1"/>
  <c r="N1364" i="57"/>
  <c r="I1470" i="57" s="1"/>
  <c r="K1823" i="41"/>
  <c r="N1823" i="41" s="1"/>
  <c r="I1929" i="41" s="1"/>
  <c r="D1929" i="41"/>
  <c r="G1929" i="41" s="1"/>
  <c r="I815" i="57"/>
  <c r="N814" i="57"/>
  <c r="N1671" i="41"/>
  <c r="I1777" i="41" s="1"/>
  <c r="N663" i="41"/>
  <c r="I677" i="41"/>
  <c r="I682" i="41" s="1"/>
  <c r="G769" i="41"/>
  <c r="D783" i="41"/>
  <c r="D788" i="41" s="1"/>
  <c r="H37" i="43"/>
  <c r="G59" i="43"/>
  <c r="N1515" i="41"/>
  <c r="I1621" i="41" s="1"/>
  <c r="N1497" i="41"/>
  <c r="I1603" i="41" s="1"/>
  <c r="K1499" i="41"/>
  <c r="D1605" i="41"/>
  <c r="G1605" i="41" s="1"/>
  <c r="N1288" i="57"/>
  <c r="K1398" i="57"/>
  <c r="D1504" i="57"/>
  <c r="G1504" i="57" s="1"/>
  <c r="I66" i="44"/>
  <c r="I62" i="44"/>
  <c r="D1500" i="57"/>
  <c r="G1500" i="57" s="1"/>
  <c r="K1394" i="57"/>
  <c r="N2138" i="41"/>
  <c r="I2244" i="41" s="1"/>
  <c r="G38" i="43"/>
  <c r="I1248" i="57"/>
  <c r="N1248" i="57" s="1"/>
  <c r="G57" i="43"/>
  <c r="I1245" i="57"/>
  <c r="N1245" i="57" s="1"/>
  <c r="I1351" i="57" s="1"/>
  <c r="N1141" i="57"/>
  <c r="I1247" i="57" s="1"/>
  <c r="N1259" i="57"/>
  <c r="K1389" i="57"/>
  <c r="D1495" i="57"/>
  <c r="G1495" i="57" s="1"/>
  <c r="I57" i="44"/>
  <c r="N1283" i="57"/>
  <c r="D1521" i="57"/>
  <c r="G1521" i="57" s="1"/>
  <c r="I83" i="44"/>
  <c r="K1415" i="57"/>
  <c r="D1727" i="41"/>
  <c r="G1727" i="41" s="1"/>
  <c r="K1621" i="41"/>
  <c r="N1309" i="57"/>
  <c r="N36" i="44"/>
  <c r="D1994" i="57"/>
  <c r="G1994" i="57" s="1"/>
  <c r="I38" i="44"/>
  <c r="K1365" i="57"/>
  <c r="D1471" i="57"/>
  <c r="G1471" i="57" s="1"/>
  <c r="N1936" i="41"/>
  <c r="I2042" i="41" s="1"/>
  <c r="N1291" i="57"/>
  <c r="H65" i="43" s="1"/>
  <c r="M23" i="57"/>
  <c r="I24" i="57" s="1"/>
  <c r="M78" i="43"/>
  <c r="I1940" i="57"/>
  <c r="N1940" i="57" s="1"/>
  <c r="K1518" i="57"/>
  <c r="D1624" i="57"/>
  <c r="G1624" i="57" s="1"/>
  <c r="J80" i="44"/>
  <c r="I1412" i="57"/>
  <c r="N1412" i="57" s="1"/>
  <c r="H80" i="43"/>
  <c r="D1710" i="41"/>
  <c r="G1710" i="41" s="1"/>
  <c r="K1604" i="41"/>
  <c r="N1604" i="41" s="1"/>
  <c r="I1710" i="41" s="1"/>
  <c r="N1260" i="57"/>
  <c r="I1366" i="57" s="1"/>
  <c r="D1670" i="41"/>
  <c r="G1670" i="41" s="1"/>
  <c r="K1564" i="41"/>
  <c r="N1564" i="41" s="1"/>
  <c r="I1670" i="41" s="1"/>
  <c r="F94" i="12"/>
  <c r="D1884" i="41"/>
  <c r="G1884" i="41" s="1"/>
  <c r="K1778" i="41"/>
  <c r="N1285" i="57"/>
  <c r="I1391" i="57" s="1"/>
  <c r="N1244" i="57"/>
  <c r="I1350" i="57" s="1"/>
  <c r="D1763" i="57"/>
  <c r="G1763" i="57" s="1"/>
  <c r="L17" i="44"/>
  <c r="M17" i="43"/>
  <c r="I1869" i="57"/>
  <c r="N1869" i="57" s="1"/>
  <c r="J60" i="44"/>
  <c r="D1604" i="57"/>
  <c r="G1604" i="57" s="1"/>
  <c r="K1498" i="57"/>
  <c r="F63" i="3"/>
  <c r="D73" i="3"/>
  <c r="O101" i="72"/>
  <c r="Q74" i="42"/>
  <c r="I771" i="57"/>
  <c r="N675" i="57"/>
  <c r="K1351" i="57"/>
  <c r="D1457" i="57"/>
  <c r="G1457" i="57" s="1"/>
  <c r="I29" i="44"/>
  <c r="K1366" i="57"/>
  <c r="I39" i="44"/>
  <c r="D1472" i="57"/>
  <c r="G1472" i="57" s="1"/>
  <c r="D877" i="57"/>
  <c r="K771" i="57"/>
  <c r="K781" i="57" s="1"/>
  <c r="G781" i="57"/>
  <c r="H60" i="43"/>
  <c r="I1392" i="57"/>
  <c r="N1392" i="57" s="1"/>
  <c r="D1503" i="57"/>
  <c r="G1503" i="57" s="1"/>
  <c r="K1397" i="57"/>
  <c r="I65" i="44"/>
  <c r="K1391" i="57"/>
  <c r="I59" i="44"/>
  <c r="D1497" i="57"/>
  <c r="G1497" i="57" s="1"/>
  <c r="K1613" i="41"/>
  <c r="D1719" i="41"/>
  <c r="G1719" i="41" s="1"/>
  <c r="K1393" i="57"/>
  <c r="D1499" i="57"/>
  <c r="G1499" i="57" s="1"/>
  <c r="I61" i="44"/>
  <c r="K1938" i="41"/>
  <c r="D2044" i="41"/>
  <c r="G2044" i="41" s="1"/>
  <c r="D1709" i="41"/>
  <c r="G1709" i="41" s="1"/>
  <c r="K1603" i="41"/>
  <c r="D1792" i="41"/>
  <c r="G1792" i="41" s="1"/>
  <c r="K1686" i="41"/>
  <c r="N1287" i="57"/>
  <c r="D1026" i="57"/>
  <c r="G921" i="57"/>
  <c r="I1462" i="57"/>
  <c r="N1462" i="57" s="1"/>
  <c r="I34" i="43"/>
  <c r="D17" i="130"/>
  <c r="G1124" i="57"/>
  <c r="Q57" i="42"/>
  <c r="I754" i="57"/>
  <c r="N658" i="57"/>
  <c r="D1716" i="41"/>
  <c r="G1716" i="41" s="1"/>
  <c r="K1610" i="41"/>
  <c r="I28" i="44"/>
  <c r="K1350" i="57"/>
  <c r="D1456" i="57"/>
  <c r="G1456" i="57" s="1"/>
  <c r="K1946" i="41"/>
  <c r="D2052" i="41"/>
  <c r="G2052" i="41" s="1"/>
  <c r="D1732" i="57"/>
  <c r="G1732" i="57" s="1"/>
  <c r="K82" i="44"/>
  <c r="K1626" i="57"/>
  <c r="K1247" i="57"/>
  <c r="D1353" i="57"/>
  <c r="G1353" i="57" s="1"/>
  <c r="H31" i="44"/>
  <c r="D1178" i="41"/>
  <c r="K1072" i="41"/>
  <c r="P13" i="72"/>
  <c r="K1630" i="41"/>
  <c r="D1736" i="41"/>
  <c r="G1736" i="41" s="1"/>
  <c r="Q86" i="27"/>
  <c r="Q91" i="27" s="1"/>
  <c r="D970" i="41"/>
  <c r="K864" i="41"/>
  <c r="D860" i="57"/>
  <c r="K754" i="57"/>
  <c r="K764" i="57" s="1"/>
  <c r="G764" i="57"/>
  <c r="N36" i="43"/>
  <c r="I1994" i="57"/>
  <c r="N1994" i="57" s="1"/>
  <c r="K77" i="44"/>
  <c r="K1621" i="57"/>
  <c r="D1727" i="57"/>
  <c r="G1727" i="57" s="1"/>
  <c r="D2148" i="41"/>
  <c r="G2148" i="41" s="1"/>
  <c r="K2042" i="41"/>
  <c r="D1992" i="41"/>
  <c r="G1992" i="41" s="1"/>
  <c r="K1886" i="41"/>
  <c r="D1339" i="41"/>
  <c r="G918" i="41"/>
  <c r="D919" i="41"/>
  <c r="F16" i="3"/>
  <c r="H16" i="3" s="1"/>
  <c r="H20" i="3" s="1"/>
  <c r="D20" i="3"/>
  <c r="J73" i="44"/>
  <c r="K1511" i="57"/>
  <c r="D1617" i="57"/>
  <c r="G1617" i="57" s="1"/>
  <c r="I817" i="41"/>
  <c r="N816" i="41"/>
  <c r="D2350" i="41"/>
  <c r="G2350" i="41" s="1"/>
  <c r="K2350" i="41" s="1"/>
  <c r="K2244" i="41"/>
  <c r="K1991" i="41"/>
  <c r="D2097" i="41"/>
  <c r="G2097" i="41" s="1"/>
  <c r="K27" i="44"/>
  <c r="D1667" i="57"/>
  <c r="G1667" i="57" s="1"/>
  <c r="I858" i="57"/>
  <c r="F46" i="3"/>
  <c r="D56" i="3"/>
  <c r="I32" i="44"/>
  <c r="D1460" i="57"/>
  <c r="G1460" i="57" s="1"/>
  <c r="K1354" i="57"/>
  <c r="N1338" i="41"/>
  <c r="J14" i="43"/>
  <c r="I1548" i="57"/>
  <c r="D807" i="57"/>
  <c r="G705" i="57"/>
  <c r="D2149" i="41"/>
  <c r="G2149" i="41" s="1"/>
  <c r="K2043" i="41"/>
  <c r="G60" i="12"/>
  <c r="K60" i="12"/>
  <c r="D964" i="57"/>
  <c r="K858" i="57"/>
  <c r="I1520" i="57"/>
  <c r="N1520" i="57" s="1"/>
  <c r="I82" i="43"/>
  <c r="I77" i="43"/>
  <c r="I1515" i="57"/>
  <c r="N1515" i="57" s="1"/>
  <c r="J37" i="44"/>
  <c r="D2156" i="41"/>
  <c r="G2156" i="41" s="1"/>
  <c r="K2050" i="41"/>
  <c r="N914" i="57"/>
  <c r="J30" i="43"/>
  <c r="I1564" i="57"/>
  <c r="N1564" i="57" s="1"/>
  <c r="D2263" i="41"/>
  <c r="G2263" i="41" s="1"/>
  <c r="K2157" i="41"/>
  <c r="L18" i="44"/>
  <c r="D1764" i="57"/>
  <c r="G1764" i="57" s="1"/>
  <c r="I873" i="57"/>
  <c r="H73" i="43"/>
  <c r="I1405" i="57"/>
  <c r="N1405" i="57" s="1"/>
  <c r="J1576" i="57"/>
  <c r="K1470" i="57"/>
  <c r="D1444" i="41"/>
  <c r="D2036" i="41"/>
  <c r="G2036" i="41" s="1"/>
  <c r="K1930" i="41"/>
  <c r="K1897" i="41"/>
  <c r="D2003" i="41"/>
  <c r="G2003" i="41" s="1"/>
  <c r="C63" i="49"/>
  <c r="I64" i="49"/>
  <c r="N860" i="41"/>
  <c r="K2139" i="41"/>
  <c r="D2245" i="41"/>
  <c r="G2245" i="41" s="1"/>
  <c r="J1578" i="41"/>
  <c r="K1472" i="41"/>
  <c r="N1472" i="41" s="1"/>
  <c r="I1578" i="41" s="1"/>
  <c r="G816" i="41"/>
  <c r="D817" i="41"/>
  <c r="K1782" i="41"/>
  <c r="D1888" i="41"/>
  <c r="G1888" i="41" s="1"/>
  <c r="D841" i="41"/>
  <c r="K735" i="41"/>
  <c r="K766" i="41" s="1"/>
  <c r="G766" i="41"/>
  <c r="D1894" i="57"/>
  <c r="G1894" i="57" s="1"/>
  <c r="N811" i="41"/>
  <c r="I813" i="41"/>
  <c r="G75" i="12"/>
  <c r="K75" i="12"/>
  <c r="D1086" i="57"/>
  <c r="K980" i="57"/>
  <c r="D2320" i="41"/>
  <c r="G2320" i="41" s="1"/>
  <c r="K34" i="44"/>
  <c r="D1674" i="57"/>
  <c r="G1674" i="57" s="1"/>
  <c r="K1568" i="57"/>
  <c r="I735" i="41"/>
  <c r="N660" i="41"/>
  <c r="I1125" i="57"/>
  <c r="F15" i="43"/>
  <c r="D1191" i="57"/>
  <c r="K1085" i="57"/>
  <c r="F71" i="44"/>
  <c r="K993" i="41"/>
  <c r="D1099" i="41"/>
  <c r="D1675" i="41"/>
  <c r="G1675" i="41" s="1"/>
  <c r="K1569" i="41"/>
  <c r="D1883" i="41"/>
  <c r="G1883" i="41" s="1"/>
  <c r="K1777" i="41"/>
  <c r="K1713" i="41"/>
  <c r="D1819" i="41"/>
  <c r="G1819" i="41" s="1"/>
  <c r="K2153" i="41"/>
  <c r="D2259" i="41"/>
  <c r="G2259" i="41" s="1"/>
  <c r="K27" i="43"/>
  <c r="I1667" i="57"/>
  <c r="N1667" i="57" s="1"/>
  <c r="K2005" i="41"/>
  <c r="D2111" i="41"/>
  <c r="G2111" i="41" s="1"/>
  <c r="M23" i="41" l="1"/>
  <c r="I24" i="41" s="1"/>
  <c r="H169" i="120"/>
  <c r="N1569" i="41"/>
  <c r="I1675" i="41" s="1"/>
  <c r="N1713" i="41"/>
  <c r="I1819" i="41" s="1"/>
  <c r="N1991" i="41"/>
  <c r="I2097" i="41" s="1"/>
  <c r="L96" i="48"/>
  <c r="S88" i="43"/>
  <c r="I1290" i="57"/>
  <c r="N1290" i="57" s="1"/>
  <c r="N1499" i="41"/>
  <c r="I1605" i="41" s="1"/>
  <c r="N1778" i="41"/>
  <c r="I1884" i="41" s="1"/>
  <c r="N1610" i="41"/>
  <c r="I1716" i="41" s="1"/>
  <c r="N1613" i="41"/>
  <c r="I1719" i="41" s="1"/>
  <c r="K1670" i="57"/>
  <c r="N599" i="57"/>
  <c r="N680" i="57" s="1"/>
  <c r="I704" i="57"/>
  <c r="Q17" i="42"/>
  <c r="S87" i="44"/>
  <c r="S88" i="44" s="1"/>
  <c r="D76" i="47"/>
  <c r="F76" i="47" s="1"/>
  <c r="H76" i="47" s="1"/>
  <c r="D1776" i="57"/>
  <c r="G1776" i="57" s="1"/>
  <c r="M30" i="44" s="1"/>
  <c r="D78" i="3"/>
  <c r="C42" i="49"/>
  <c r="I44" i="49"/>
  <c r="G786" i="57"/>
  <c r="K786" i="57"/>
  <c r="J24" i="57" s="1"/>
  <c r="M24" i="57" s="1"/>
  <c r="I25" i="57" s="1"/>
  <c r="N2153" i="41"/>
  <c r="I2259" i="41" s="1"/>
  <c r="N2043" i="41"/>
  <c r="I2149" i="41" s="1"/>
  <c r="D1512" i="57"/>
  <c r="G1512" i="57" s="1"/>
  <c r="J74" i="44" s="1"/>
  <c r="K1406" i="57"/>
  <c r="N1930" i="41"/>
  <c r="I2036" i="41" s="1"/>
  <c r="N1300" i="57"/>
  <c r="I1406" i="57" s="1"/>
  <c r="N1686" i="41"/>
  <c r="I1792" i="41" s="1"/>
  <c r="N2157" i="41"/>
  <c r="I2263" i="41" s="1"/>
  <c r="G63" i="43"/>
  <c r="N1289" i="57"/>
  <c r="H63" i="43" s="1"/>
  <c r="G74" i="43"/>
  <c r="I1993" i="57"/>
  <c r="N1993" i="57" s="1"/>
  <c r="N35" i="43"/>
  <c r="I1878" i="57"/>
  <c r="N1878" i="57" s="1"/>
  <c r="M26" i="43"/>
  <c r="I1898" i="57"/>
  <c r="N1898" i="57" s="1"/>
  <c r="M41" i="43"/>
  <c r="N2050" i="41"/>
  <c r="I2156" i="41" s="1"/>
  <c r="K1416" i="57"/>
  <c r="N1310" i="57"/>
  <c r="I1416" i="57" s="1"/>
  <c r="N1938" i="41"/>
  <c r="I2044" i="41" s="1"/>
  <c r="N2139" i="41"/>
  <c r="I2245" i="41" s="1"/>
  <c r="N1249" i="57"/>
  <c r="H33" i="43" s="1"/>
  <c r="N1897" i="41"/>
  <c r="I2003" i="41" s="1"/>
  <c r="G31" i="43"/>
  <c r="M26" i="44"/>
  <c r="D1878" i="57"/>
  <c r="G1878" i="57" s="1"/>
  <c r="L76" i="43"/>
  <c r="I1832" i="57"/>
  <c r="N1832" i="57" s="1"/>
  <c r="L16" i="44"/>
  <c r="D1762" i="57"/>
  <c r="G1762" i="57" s="1"/>
  <c r="D1834" i="57"/>
  <c r="G1834" i="57" s="1"/>
  <c r="L78" i="44"/>
  <c r="D1501" i="57"/>
  <c r="G1501" i="57" s="1"/>
  <c r="K1395" i="57"/>
  <c r="I63" i="44"/>
  <c r="K76" i="44"/>
  <c r="D1726" i="57"/>
  <c r="G1726" i="57" s="1"/>
  <c r="D1502" i="57"/>
  <c r="G1502" i="57" s="1"/>
  <c r="I64" i="44"/>
  <c r="K1396" i="57"/>
  <c r="L41" i="44"/>
  <c r="D1792" i="57"/>
  <c r="G1792" i="57" s="1"/>
  <c r="N1261" i="57"/>
  <c r="K79" i="43"/>
  <c r="I1729" i="57"/>
  <c r="N1729" i="57" s="1"/>
  <c r="D1522" i="57"/>
  <c r="G1522" i="57" s="1"/>
  <c r="J84" i="44" s="1"/>
  <c r="J79" i="44"/>
  <c r="D1623" i="57"/>
  <c r="G1623" i="57" s="1"/>
  <c r="D1473" i="57"/>
  <c r="G1473" i="57" s="1"/>
  <c r="I40" i="44"/>
  <c r="K1367" i="57"/>
  <c r="D1505" i="57"/>
  <c r="G1505" i="57" s="1"/>
  <c r="I67" i="44"/>
  <c r="K1399" i="57"/>
  <c r="D1461" i="57"/>
  <c r="G1461" i="57" s="1"/>
  <c r="K1355" i="57"/>
  <c r="I33" i="44"/>
  <c r="N1293" i="57"/>
  <c r="I1307" i="57"/>
  <c r="N1307" i="57" s="1"/>
  <c r="G81" i="43"/>
  <c r="H42" i="43"/>
  <c r="I1369" i="57"/>
  <c r="N1369" i="57" s="1"/>
  <c r="I81" i="44"/>
  <c r="D1519" i="57"/>
  <c r="G1519" i="57" s="1"/>
  <c r="K1413" i="57"/>
  <c r="J42" i="44"/>
  <c r="K1475" i="57"/>
  <c r="D1581" i="57"/>
  <c r="G1581" i="57" s="1"/>
  <c r="L35" i="44"/>
  <c r="D1781" i="57"/>
  <c r="G1781" i="57" s="1"/>
  <c r="N1886" i="41"/>
  <c r="I1992" i="41" s="1"/>
  <c r="N1782" i="41"/>
  <c r="I1888" i="41" s="1"/>
  <c r="N1630" i="41"/>
  <c r="I1736" i="41" s="1"/>
  <c r="N1946" i="41"/>
  <c r="I2052" i="41" s="1"/>
  <c r="N1603" i="41"/>
  <c r="I1709" i="41" s="1"/>
  <c r="N2005" i="41"/>
  <c r="I2111" i="41" s="1"/>
  <c r="N1470" i="57"/>
  <c r="I1576" i="57" s="1"/>
  <c r="D2035" i="41"/>
  <c r="G2035" i="41" s="1"/>
  <c r="K1929" i="41"/>
  <c r="N1929" i="41" s="1"/>
  <c r="I2035" i="41" s="1"/>
  <c r="N1621" i="41"/>
  <c r="I1727" i="41" s="1"/>
  <c r="I920" i="57"/>
  <c r="N815" i="57"/>
  <c r="N1777" i="41"/>
  <c r="I1883" i="41" s="1"/>
  <c r="I769" i="41"/>
  <c r="N677" i="41"/>
  <c r="N682" i="41" s="1"/>
  <c r="D875" i="41"/>
  <c r="K769" i="41"/>
  <c r="K783" i="41" s="1"/>
  <c r="G783" i="41"/>
  <c r="G788" i="41" s="1"/>
  <c r="N2244" i="41"/>
  <c r="I2350" i="41" s="1"/>
  <c r="N2350" i="41" s="1"/>
  <c r="I1398" i="57"/>
  <c r="N1398" i="57" s="1"/>
  <c r="D1711" i="41"/>
  <c r="G1711" i="41" s="1"/>
  <c r="K1605" i="41"/>
  <c r="K1500" i="57"/>
  <c r="J62" i="44"/>
  <c r="D1606" i="57"/>
  <c r="G1606" i="57" s="1"/>
  <c r="D1610" i="57"/>
  <c r="G1610" i="57" s="1"/>
  <c r="K1504" i="57"/>
  <c r="J66" i="44"/>
  <c r="I1394" i="57"/>
  <c r="N1394" i="57" s="1"/>
  <c r="H62" i="43"/>
  <c r="I1397" i="57"/>
  <c r="N1397" i="57" s="1"/>
  <c r="N2042" i="41"/>
  <c r="I2148" i="41" s="1"/>
  <c r="H39" i="43"/>
  <c r="H29" i="43"/>
  <c r="H38" i="43"/>
  <c r="I1365" i="57"/>
  <c r="N1365" i="57" s="1"/>
  <c r="I1389" i="57"/>
  <c r="N1389" i="57" s="1"/>
  <c r="H57" i="43"/>
  <c r="J57" i="44"/>
  <c r="K1495" i="57"/>
  <c r="D1601" i="57"/>
  <c r="G1601" i="57" s="1"/>
  <c r="D1833" i="41"/>
  <c r="G1833" i="41" s="1"/>
  <c r="K1727" i="41"/>
  <c r="H83" i="43"/>
  <c r="I1415" i="57"/>
  <c r="N1415" i="57" s="1"/>
  <c r="D1627" i="57"/>
  <c r="G1627" i="57" s="1"/>
  <c r="J83" i="44"/>
  <c r="K1521" i="57"/>
  <c r="O36" i="44"/>
  <c r="D2100" i="57"/>
  <c r="G2100" i="57" s="1"/>
  <c r="D1577" i="57"/>
  <c r="G1577" i="57" s="1"/>
  <c r="J38" i="44"/>
  <c r="K1471" i="57"/>
  <c r="N1350" i="57"/>
  <c r="I28" i="43" s="1"/>
  <c r="H28" i="43"/>
  <c r="K1624" i="57"/>
  <c r="K80" i="44"/>
  <c r="D1730" i="57"/>
  <c r="G1730" i="57" s="1"/>
  <c r="I80" i="43"/>
  <c r="I1518" i="57"/>
  <c r="N1518" i="57" s="1"/>
  <c r="N78" i="43"/>
  <c r="I2046" i="57"/>
  <c r="N2046" i="57" s="1"/>
  <c r="H59" i="43"/>
  <c r="D1816" i="41"/>
  <c r="G1816" i="41" s="1"/>
  <c r="K1710" i="41"/>
  <c r="N1710" i="41" s="1"/>
  <c r="I1816" i="41" s="1"/>
  <c r="N1366" i="57"/>
  <c r="I1472" i="57" s="1"/>
  <c r="D1776" i="41"/>
  <c r="G1776" i="41" s="1"/>
  <c r="K1670" i="41"/>
  <c r="N1670" i="41" s="1"/>
  <c r="I1776" i="41" s="1"/>
  <c r="D1990" i="41"/>
  <c r="G1990" i="41" s="1"/>
  <c r="K1884" i="41"/>
  <c r="N1247" i="57"/>
  <c r="H31" i="43" s="1"/>
  <c r="D1603" i="57"/>
  <c r="G1603" i="57" s="1"/>
  <c r="K1497" i="57"/>
  <c r="J59" i="44"/>
  <c r="D1563" i="57"/>
  <c r="G1563" i="57" s="1"/>
  <c r="K1457" i="57"/>
  <c r="J29" i="44"/>
  <c r="I79" i="12"/>
  <c r="Q84" i="42"/>
  <c r="I60" i="43"/>
  <c r="I1498" i="57"/>
  <c r="N1498" i="57" s="1"/>
  <c r="G877" i="57"/>
  <c r="D887" i="57"/>
  <c r="D1869" i="57"/>
  <c r="G1869" i="57" s="1"/>
  <c r="M17" i="44"/>
  <c r="K1503" i="57"/>
  <c r="D1609" i="57"/>
  <c r="G1609" i="57" s="1"/>
  <c r="J65" i="44"/>
  <c r="J39" i="44"/>
  <c r="K1472" i="57"/>
  <c r="D1578" i="57"/>
  <c r="G1578" i="57" s="1"/>
  <c r="N1391" i="57"/>
  <c r="H63" i="3"/>
  <c r="H73" i="3" s="1"/>
  <c r="E25" i="2" s="1"/>
  <c r="G25" i="2" s="1"/>
  <c r="I25" i="2" s="1"/>
  <c r="H19" i="120" s="1"/>
  <c r="F73" i="3"/>
  <c r="K60" i="44"/>
  <c r="D1710" i="57"/>
  <c r="G1710" i="57" s="1"/>
  <c r="K1604" i="57"/>
  <c r="N17" i="43"/>
  <c r="I1975" i="57"/>
  <c r="N1975" i="57" s="1"/>
  <c r="N1351" i="57"/>
  <c r="N771" i="57"/>
  <c r="I781" i="57"/>
  <c r="D1825" i="41"/>
  <c r="G1825" i="41" s="1"/>
  <c r="K1719" i="41"/>
  <c r="K1792" i="41"/>
  <c r="D1898" i="41"/>
  <c r="G1898" i="41" s="1"/>
  <c r="D1815" i="41"/>
  <c r="G1815" i="41" s="1"/>
  <c r="K1709" i="41"/>
  <c r="D1605" i="57"/>
  <c r="G1605" i="57" s="1"/>
  <c r="K1499" i="57"/>
  <c r="J61" i="44"/>
  <c r="H61" i="43"/>
  <c r="I1393" i="57"/>
  <c r="N1393" i="57" s="1"/>
  <c r="K2044" i="41"/>
  <c r="D2150" i="41"/>
  <c r="G2150" i="41" s="1"/>
  <c r="N980" i="57"/>
  <c r="I1086" i="57" s="1"/>
  <c r="D1989" i="41"/>
  <c r="G1989" i="41" s="1"/>
  <c r="K1883" i="41"/>
  <c r="I917" i="41"/>
  <c r="N813" i="41"/>
  <c r="J1684" i="41"/>
  <c r="K1578" i="41"/>
  <c r="N1578" i="41" s="1"/>
  <c r="I1684" i="41" s="1"/>
  <c r="H46" i="3"/>
  <c r="H56" i="3" s="1"/>
  <c r="F56" i="3"/>
  <c r="D2098" i="41"/>
  <c r="G2098" i="41" s="1"/>
  <c r="K1992" i="41"/>
  <c r="D1925" i="41"/>
  <c r="G1925" i="41" s="1"/>
  <c r="K1819" i="41"/>
  <c r="N993" i="41"/>
  <c r="I1099" i="41" s="1"/>
  <c r="D2000" i="57"/>
  <c r="G2000" i="57" s="1"/>
  <c r="G841" i="41"/>
  <c r="D872" i="41"/>
  <c r="K2245" i="41"/>
  <c r="D2351" i="41"/>
  <c r="G2351" i="41" s="1"/>
  <c r="K2351" i="41" s="1"/>
  <c r="I73" i="43"/>
  <c r="I1511" i="57"/>
  <c r="N1511" i="57" s="1"/>
  <c r="K37" i="44"/>
  <c r="G964" i="57"/>
  <c r="K2149" i="41"/>
  <c r="D2255" i="41"/>
  <c r="G2255" i="41" s="1"/>
  <c r="N858" i="57"/>
  <c r="N817" i="41"/>
  <c r="I922" i="41"/>
  <c r="D1024" i="41"/>
  <c r="G919" i="41"/>
  <c r="G1339" i="41"/>
  <c r="G1178" i="41"/>
  <c r="K1353" i="57"/>
  <c r="D1459" i="57"/>
  <c r="G1459" i="57" s="1"/>
  <c r="I31" i="44"/>
  <c r="L82" i="44"/>
  <c r="K1732" i="57"/>
  <c r="D1838" i="57"/>
  <c r="G1838" i="57" s="1"/>
  <c r="H17" i="130"/>
  <c r="N873" i="57"/>
  <c r="N1548" i="57"/>
  <c r="I37" i="43"/>
  <c r="D2217" i="41"/>
  <c r="G2217" i="41" s="1"/>
  <c r="K2111" i="41"/>
  <c r="L27" i="43"/>
  <c r="I1773" i="57"/>
  <c r="N1773" i="57" s="1"/>
  <c r="N735" i="41"/>
  <c r="I766" i="41"/>
  <c r="K1675" i="41"/>
  <c r="D1781" i="41"/>
  <c r="G1781" i="41" s="1"/>
  <c r="G1086" i="57"/>
  <c r="D922" i="41"/>
  <c r="G817" i="41"/>
  <c r="I1020" i="57"/>
  <c r="D2262" i="41"/>
  <c r="G2262" i="41" s="1"/>
  <c r="K2156" i="41"/>
  <c r="J77" i="43"/>
  <c r="I1621" i="57"/>
  <c r="N1621" i="57" s="1"/>
  <c r="G807" i="57"/>
  <c r="D811" i="57"/>
  <c r="J32" i="44"/>
  <c r="K1460" i="57"/>
  <c r="D1566" i="57"/>
  <c r="G1566" i="57" s="1"/>
  <c r="K2097" i="41"/>
  <c r="D2203" i="41"/>
  <c r="G2203" i="41" s="1"/>
  <c r="F20" i="3"/>
  <c r="D2254" i="41"/>
  <c r="G2254" i="41" s="1"/>
  <c r="K2148" i="41"/>
  <c r="O36" i="43"/>
  <c r="I2100" i="57"/>
  <c r="N2100" i="57" s="1"/>
  <c r="G860" i="57"/>
  <c r="D870" i="57"/>
  <c r="D1842" i="41"/>
  <c r="G1842" i="41" s="1"/>
  <c r="K1736" i="41"/>
  <c r="N754" i="57"/>
  <c r="I764" i="57"/>
  <c r="D1027" i="57"/>
  <c r="G1026" i="57"/>
  <c r="G1099" i="41"/>
  <c r="K1674" i="57"/>
  <c r="L34" i="44"/>
  <c r="D1780" i="57"/>
  <c r="G1780" i="57" s="1"/>
  <c r="K2003" i="41"/>
  <c r="D2109" i="41"/>
  <c r="G2109" i="41" s="1"/>
  <c r="K2259" i="41"/>
  <c r="D2365" i="41"/>
  <c r="G2365" i="41" s="1"/>
  <c r="K2365" i="41" s="1"/>
  <c r="G1191" i="57"/>
  <c r="D76" i="130"/>
  <c r="N1125" i="57"/>
  <c r="D1994" i="41"/>
  <c r="G1994" i="41" s="1"/>
  <c r="K1888" i="41"/>
  <c r="I966" i="41"/>
  <c r="C64" i="49"/>
  <c r="I65" i="49"/>
  <c r="D2142" i="41"/>
  <c r="G2142" i="41" s="1"/>
  <c r="K2036" i="41"/>
  <c r="G1444" i="41"/>
  <c r="J1682" i="57"/>
  <c r="K1576" i="57"/>
  <c r="M18" i="44"/>
  <c r="D1870" i="57"/>
  <c r="G1870" i="57" s="1"/>
  <c r="K2263" i="41"/>
  <c r="D2369" i="41"/>
  <c r="G2369" i="41" s="1"/>
  <c r="K2369" i="41" s="1"/>
  <c r="K30" i="43"/>
  <c r="I1670" i="57"/>
  <c r="J82" i="43"/>
  <c r="I1626" i="57"/>
  <c r="N1626" i="57" s="1"/>
  <c r="I1444" i="41"/>
  <c r="L27" i="44"/>
  <c r="D1773" i="57"/>
  <c r="G1773" i="57" s="1"/>
  <c r="K73" i="44"/>
  <c r="K1617" i="57"/>
  <c r="D1723" i="57"/>
  <c r="G1723" i="57" s="1"/>
  <c r="E15" i="2"/>
  <c r="N864" i="41"/>
  <c r="I970" i="41" s="1"/>
  <c r="H32" i="43"/>
  <c r="I1354" i="57"/>
  <c r="N1354" i="57" s="1"/>
  <c r="K2052" i="41"/>
  <c r="D2158" i="41"/>
  <c r="G2158" i="41" s="1"/>
  <c r="K1716" i="41"/>
  <c r="D1822" i="41"/>
  <c r="G1822" i="41" s="1"/>
  <c r="I62" i="12"/>
  <c r="Q67" i="42"/>
  <c r="D1833" i="57"/>
  <c r="G1833" i="57" s="1"/>
  <c r="K1727" i="57"/>
  <c r="L77" i="44"/>
  <c r="G970" i="41"/>
  <c r="D258" i="74"/>
  <c r="D136" i="70"/>
  <c r="K1456" i="57"/>
  <c r="D1562" i="57"/>
  <c r="G1562" i="57" s="1"/>
  <c r="J28" i="44"/>
  <c r="G14" i="44"/>
  <c r="D1230" i="57"/>
  <c r="J34" i="43"/>
  <c r="I1568" i="57"/>
  <c r="N1568" i="57" s="1"/>
  <c r="N1675" i="41" l="1"/>
  <c r="I1781" i="41" s="1"/>
  <c r="N2097" i="41"/>
  <c r="I2203" i="41" s="1"/>
  <c r="I1395" i="57"/>
  <c r="N1395" i="57" s="1"/>
  <c r="I63" i="43" s="1"/>
  <c r="N1819" i="41"/>
  <c r="I1925" i="41" s="1"/>
  <c r="N1605" i="41"/>
  <c r="I1711" i="41" s="1"/>
  <c r="N1716" i="41"/>
  <c r="I1822" i="41" s="1"/>
  <c r="N1884" i="41"/>
  <c r="I1990" i="41" s="1"/>
  <c r="N1670" i="57"/>
  <c r="I1776" i="57" s="1"/>
  <c r="N1719" i="41"/>
  <c r="I1825" i="41" s="1"/>
  <c r="N2036" i="41"/>
  <c r="I2142" i="41" s="1"/>
  <c r="I93" i="130"/>
  <c r="F96" i="48"/>
  <c r="I20" i="12"/>
  <c r="Q18" i="42"/>
  <c r="Q86" i="42" s="1"/>
  <c r="Q91" i="42" s="1"/>
  <c r="N704" i="57"/>
  <c r="I705" i="57"/>
  <c r="I786" i="57" s="1"/>
  <c r="I76" i="47"/>
  <c r="J30" i="46" s="1"/>
  <c r="G23" i="120" s="1"/>
  <c r="E30" i="46"/>
  <c r="G30" i="46" s="1"/>
  <c r="I30" i="46" s="1"/>
  <c r="K1776" i="57"/>
  <c r="D1882" i="57"/>
  <c r="G1882" i="57" s="1"/>
  <c r="K1882" i="57" s="1"/>
  <c r="F78" i="3"/>
  <c r="I46" i="49"/>
  <c r="C44" i="49"/>
  <c r="E23" i="2"/>
  <c r="G23" i="2" s="1"/>
  <c r="I23" i="2" s="1"/>
  <c r="H18" i="120" s="1"/>
  <c r="H78" i="3"/>
  <c r="D892" i="57"/>
  <c r="D1618" i="57"/>
  <c r="G1618" i="57" s="1"/>
  <c r="K74" i="44" s="1"/>
  <c r="N2149" i="41"/>
  <c r="I2255" i="41" s="1"/>
  <c r="N2245" i="41"/>
  <c r="I2351" i="41" s="1"/>
  <c r="N2351" i="41" s="1"/>
  <c r="I1355" i="57"/>
  <c r="N1355" i="57" s="1"/>
  <c r="H74" i="43"/>
  <c r="N2003" i="41"/>
  <c r="I2109" i="41" s="1"/>
  <c r="N1792" i="41"/>
  <c r="I1898" i="41" s="1"/>
  <c r="K1512" i="57"/>
  <c r="N1406" i="57"/>
  <c r="I74" i="43" s="1"/>
  <c r="N2259" i="41"/>
  <c r="I2365" i="41" s="1"/>
  <c r="N2365" i="41" s="1"/>
  <c r="N2263" i="41"/>
  <c r="I2369" i="41" s="1"/>
  <c r="N2369" i="41" s="1"/>
  <c r="K788" i="41"/>
  <c r="J24" i="41" s="1"/>
  <c r="M24" i="41" s="1"/>
  <c r="N2044" i="41"/>
  <c r="I2150" i="41" s="1"/>
  <c r="N1888" i="41"/>
  <c r="I1994" i="41" s="1"/>
  <c r="K1522" i="57"/>
  <c r="N1416" i="57"/>
  <c r="I1522" i="57" s="1"/>
  <c r="H84" i="43"/>
  <c r="N26" i="43"/>
  <c r="I1984" i="57"/>
  <c r="N1984" i="57" s="1"/>
  <c r="I2004" i="57"/>
  <c r="N2004" i="57" s="1"/>
  <c r="N41" i="43"/>
  <c r="I2099" i="57"/>
  <c r="N2099" i="57" s="1"/>
  <c r="O35" i="43"/>
  <c r="N2156" i="41"/>
  <c r="I2262" i="41" s="1"/>
  <c r="N1736" i="41"/>
  <c r="I1842" i="41" s="1"/>
  <c r="N2111" i="41"/>
  <c r="I2217" i="41" s="1"/>
  <c r="J33" i="44"/>
  <c r="D1567" i="57"/>
  <c r="G1567" i="57" s="1"/>
  <c r="K1461" i="57"/>
  <c r="D1608" i="57"/>
  <c r="G1608" i="57" s="1"/>
  <c r="K1502" i="57"/>
  <c r="J64" i="44"/>
  <c r="D1868" i="57"/>
  <c r="G1868" i="57" s="1"/>
  <c r="M16" i="44"/>
  <c r="I1399" i="57"/>
  <c r="N1399" i="57" s="1"/>
  <c r="H67" i="43"/>
  <c r="I1835" i="57"/>
  <c r="N1835" i="57" s="1"/>
  <c r="L79" i="43"/>
  <c r="D1832" i="57"/>
  <c r="G1832" i="57" s="1"/>
  <c r="L76" i="44"/>
  <c r="D1898" i="57"/>
  <c r="G1898" i="57" s="1"/>
  <c r="M41" i="44"/>
  <c r="M78" i="44"/>
  <c r="D1940" i="57"/>
  <c r="G1940" i="57" s="1"/>
  <c r="D1628" i="57"/>
  <c r="G1628" i="57" s="1"/>
  <c r="K84" i="44" s="1"/>
  <c r="D1579" i="57"/>
  <c r="G1579" i="57" s="1"/>
  <c r="J40" i="44"/>
  <c r="K1473" i="57"/>
  <c r="K1501" i="57"/>
  <c r="J63" i="44"/>
  <c r="D1607" i="57"/>
  <c r="G1607" i="57" s="1"/>
  <c r="I1938" i="57"/>
  <c r="N1938" i="57" s="1"/>
  <c r="M76" i="43"/>
  <c r="N26" i="44"/>
  <c r="D1984" i="57"/>
  <c r="G1984" i="57" s="1"/>
  <c r="J67" i="44"/>
  <c r="D1611" i="57"/>
  <c r="G1611" i="57" s="1"/>
  <c r="K1505" i="57"/>
  <c r="K79" i="44"/>
  <c r="D1729" i="57"/>
  <c r="G1729" i="57" s="1"/>
  <c r="H40" i="43"/>
  <c r="I1367" i="57"/>
  <c r="N1367" i="57" s="1"/>
  <c r="H64" i="43"/>
  <c r="I1396" i="57"/>
  <c r="N1396" i="57" s="1"/>
  <c r="N1992" i="41"/>
  <c r="I2098" i="41" s="1"/>
  <c r="M35" i="44"/>
  <c r="D1887" i="57"/>
  <c r="G1887" i="57" s="1"/>
  <c r="I1475" i="57"/>
  <c r="N1475" i="57" s="1"/>
  <c r="I42" i="43"/>
  <c r="D1687" i="57"/>
  <c r="G1687" i="57" s="1"/>
  <c r="K42" i="44"/>
  <c r="K1581" i="57"/>
  <c r="J81" i="44"/>
  <c r="D1625" i="57"/>
  <c r="G1625" i="57" s="1"/>
  <c r="K1519" i="57"/>
  <c r="H81" i="43"/>
  <c r="I1413" i="57"/>
  <c r="N1413" i="57" s="1"/>
  <c r="N2052" i="41"/>
  <c r="I2158" i="41" s="1"/>
  <c r="N1709" i="41"/>
  <c r="I1815" i="41" s="1"/>
  <c r="N1576" i="57"/>
  <c r="I1682" i="57" s="1"/>
  <c r="N1727" i="41"/>
  <c r="I1833" i="41" s="1"/>
  <c r="K2035" i="41"/>
  <c r="N2035" i="41" s="1"/>
  <c r="I2141" i="41" s="1"/>
  <c r="D2141" i="41"/>
  <c r="G2141" i="41" s="1"/>
  <c r="N1883" i="41"/>
  <c r="I1989" i="41" s="1"/>
  <c r="N920" i="57"/>
  <c r="I921" i="57"/>
  <c r="N769" i="41"/>
  <c r="I783" i="41"/>
  <c r="I788" i="41" s="1"/>
  <c r="G875" i="41"/>
  <c r="D889" i="41"/>
  <c r="D894" i="41" s="1"/>
  <c r="K1711" i="41"/>
  <c r="D1817" i="41"/>
  <c r="G1817" i="41" s="1"/>
  <c r="N2148" i="41"/>
  <c r="I2254" i="41" s="1"/>
  <c r="K1610" i="57"/>
  <c r="K66" i="44"/>
  <c r="D1716" i="57"/>
  <c r="G1716" i="57" s="1"/>
  <c r="I1500" i="57"/>
  <c r="N1500" i="57" s="1"/>
  <c r="I62" i="43"/>
  <c r="K62" i="44"/>
  <c r="D1712" i="57"/>
  <c r="G1712" i="57" s="1"/>
  <c r="K1606" i="57"/>
  <c r="I66" i="43"/>
  <c r="I1504" i="57"/>
  <c r="N1504" i="57" s="1"/>
  <c r="I1471" i="57"/>
  <c r="N1471" i="57" s="1"/>
  <c r="I38" i="43"/>
  <c r="K57" i="44"/>
  <c r="K1601" i="57"/>
  <c r="D1707" i="57"/>
  <c r="G1707" i="57" s="1"/>
  <c r="I57" i="43"/>
  <c r="I1495" i="57"/>
  <c r="N1495" i="57" s="1"/>
  <c r="I1521" i="57"/>
  <c r="N1521" i="57" s="1"/>
  <c r="I83" i="43"/>
  <c r="D1733" i="57"/>
  <c r="G1733" i="57" s="1"/>
  <c r="K1627" i="57"/>
  <c r="K83" i="44"/>
  <c r="K1833" i="41"/>
  <c r="D1939" i="41"/>
  <c r="G1939" i="41" s="1"/>
  <c r="P36" i="44"/>
  <c r="D2206" i="57"/>
  <c r="G2206" i="57" s="1"/>
  <c r="K1577" i="57"/>
  <c r="K38" i="44"/>
  <c r="D1683" i="57"/>
  <c r="G1683" i="57" s="1"/>
  <c r="I1456" i="57"/>
  <c r="N1456" i="57" s="1"/>
  <c r="I1353" i="57"/>
  <c r="N1353" i="57" s="1"/>
  <c r="I31" i="43" s="1"/>
  <c r="K1730" i="57"/>
  <c r="L80" i="44"/>
  <c r="D1836" i="57"/>
  <c r="G1836" i="57" s="1"/>
  <c r="O78" i="43"/>
  <c r="I2152" i="57"/>
  <c r="N2152" i="57" s="1"/>
  <c r="I1624" i="57"/>
  <c r="N1624" i="57" s="1"/>
  <c r="J80" i="43"/>
  <c r="K1816" i="41"/>
  <c r="N1816" i="41" s="1"/>
  <c r="I1922" i="41" s="1"/>
  <c r="D1922" i="41"/>
  <c r="G1922" i="41" s="1"/>
  <c r="I39" i="43"/>
  <c r="K1776" i="41"/>
  <c r="N1776" i="41" s="1"/>
  <c r="I1882" i="41" s="1"/>
  <c r="D1882" i="41"/>
  <c r="G1882" i="41" s="1"/>
  <c r="K1990" i="41"/>
  <c r="D2096" i="41"/>
  <c r="G2096" i="41" s="1"/>
  <c r="N1472" i="57"/>
  <c r="K877" i="57"/>
  <c r="K887" i="57" s="1"/>
  <c r="D983" i="57"/>
  <c r="G887" i="57"/>
  <c r="K29" i="44"/>
  <c r="D1669" i="57"/>
  <c r="G1669" i="57" s="1"/>
  <c r="K1563" i="57"/>
  <c r="L60" i="44"/>
  <c r="D1816" i="57"/>
  <c r="G1816" i="57" s="1"/>
  <c r="K1710" i="57"/>
  <c r="I59" i="43"/>
  <c r="I1497" i="57"/>
  <c r="N1497" i="57" s="1"/>
  <c r="K39" i="44"/>
  <c r="K1578" i="57"/>
  <c r="D1684" i="57"/>
  <c r="G1684" i="57" s="1"/>
  <c r="K1609" i="57"/>
  <c r="K65" i="44"/>
  <c r="D1715" i="57"/>
  <c r="G1715" i="57" s="1"/>
  <c r="I1604" i="57"/>
  <c r="N1604" i="57" s="1"/>
  <c r="J60" i="43"/>
  <c r="K79" i="12"/>
  <c r="K89" i="12" s="1"/>
  <c r="G79" i="12"/>
  <c r="G89" i="12" s="1"/>
  <c r="I89" i="12"/>
  <c r="I877" i="57"/>
  <c r="N781" i="57"/>
  <c r="O17" i="43"/>
  <c r="I2081" i="57"/>
  <c r="N2081" i="57" s="1"/>
  <c r="D1975" i="57"/>
  <c r="G1975" i="57" s="1"/>
  <c r="N17" i="44"/>
  <c r="I29" i="43"/>
  <c r="I1457" i="57"/>
  <c r="N1457" i="57" s="1"/>
  <c r="I1503" i="57"/>
  <c r="N1503" i="57" s="1"/>
  <c r="I65" i="43"/>
  <c r="K59" i="44"/>
  <c r="D1709" i="57"/>
  <c r="G1709" i="57" s="1"/>
  <c r="K1603" i="57"/>
  <c r="K2150" i="41"/>
  <c r="D2256" i="41"/>
  <c r="G2256" i="41" s="1"/>
  <c r="D1711" i="57"/>
  <c r="G1711" i="57" s="1"/>
  <c r="K1605" i="57"/>
  <c r="K61" i="44"/>
  <c r="K1815" i="41"/>
  <c r="D1921" i="41"/>
  <c r="G1921" i="41" s="1"/>
  <c r="K1898" i="41"/>
  <c r="D2004" i="41"/>
  <c r="G2004" i="41" s="1"/>
  <c r="K1825" i="41"/>
  <c r="D1931" i="41"/>
  <c r="G1931" i="41" s="1"/>
  <c r="I1499" i="57"/>
  <c r="N1499" i="57" s="1"/>
  <c r="I61" i="43"/>
  <c r="F136" i="70"/>
  <c r="J1788" i="57"/>
  <c r="K1682" i="57"/>
  <c r="H76" i="130"/>
  <c r="D2215" i="41"/>
  <c r="G2215" i="41" s="1"/>
  <c r="K2109" i="41"/>
  <c r="D1672" i="57"/>
  <c r="G1672" i="57" s="1"/>
  <c r="K1566" i="57"/>
  <c r="K32" i="44"/>
  <c r="N1020" i="57"/>
  <c r="K1781" i="41"/>
  <c r="D1887" i="41"/>
  <c r="G1887" i="41" s="1"/>
  <c r="D1284" i="41"/>
  <c r="K1178" i="41"/>
  <c r="D1445" i="41"/>
  <c r="K2255" i="41"/>
  <c r="D2361" i="41"/>
  <c r="G2361" i="41" s="1"/>
  <c r="K2361" i="41" s="1"/>
  <c r="D1070" i="57"/>
  <c r="K964" i="57"/>
  <c r="J73" i="43"/>
  <c r="I1617" i="57"/>
  <c r="N1617" i="57" s="1"/>
  <c r="D2106" i="57"/>
  <c r="G2106" i="57" s="1"/>
  <c r="D2031" i="41"/>
  <c r="G2031" i="41" s="1"/>
  <c r="K1925" i="41"/>
  <c r="K2098" i="41"/>
  <c r="D2204" i="41"/>
  <c r="G2204" i="41" s="1"/>
  <c r="J1790" i="41"/>
  <c r="K1684" i="41"/>
  <c r="N1684" i="41" s="1"/>
  <c r="I1790" i="41" s="1"/>
  <c r="N917" i="41"/>
  <c r="I919" i="41"/>
  <c r="D1976" i="57"/>
  <c r="G1976" i="57" s="1"/>
  <c r="N18" i="44"/>
  <c r="I66" i="49"/>
  <c r="C65" i="49"/>
  <c r="I860" i="57"/>
  <c r="N764" i="57"/>
  <c r="D913" i="57"/>
  <c r="G811" i="57"/>
  <c r="K34" i="43"/>
  <c r="I1674" i="57"/>
  <c r="N1674" i="57" s="1"/>
  <c r="K1562" i="57"/>
  <c r="K28" i="44"/>
  <c r="D1668" i="57"/>
  <c r="G1668" i="57" s="1"/>
  <c r="D261" i="74"/>
  <c r="S15" i="77"/>
  <c r="D1076" i="41"/>
  <c r="K970" i="41"/>
  <c r="N970" i="41" s="1"/>
  <c r="I1076" i="41" s="1"/>
  <c r="D1939" i="57"/>
  <c r="G1939" i="57" s="1"/>
  <c r="K1833" i="57"/>
  <c r="M77" i="44"/>
  <c r="I1460" i="57"/>
  <c r="N1460" i="57" s="1"/>
  <c r="I32" i="43"/>
  <c r="G15" i="2"/>
  <c r="D1550" i="41"/>
  <c r="D2100" i="41"/>
  <c r="G2100" i="41" s="1"/>
  <c r="K1994" i="41"/>
  <c r="G71" i="44"/>
  <c r="K1191" i="57"/>
  <c r="D1297" i="57"/>
  <c r="D1132" i="57"/>
  <c r="F22" i="44"/>
  <c r="G1027" i="57"/>
  <c r="F72" i="44"/>
  <c r="D1192" i="57"/>
  <c r="K1086" i="57"/>
  <c r="K2217" i="41"/>
  <c r="D2323" i="41"/>
  <c r="G2323" i="41" s="1"/>
  <c r="K2323" i="41" s="1"/>
  <c r="J37" i="43"/>
  <c r="I1654" i="57"/>
  <c r="K14" i="43"/>
  <c r="I979" i="57"/>
  <c r="K62" i="12"/>
  <c r="K72" i="12" s="1"/>
  <c r="G62" i="12"/>
  <c r="G72" i="12" s="1"/>
  <c r="I72" i="12"/>
  <c r="K1822" i="41"/>
  <c r="D1928" i="41"/>
  <c r="G1928" i="41" s="1"/>
  <c r="K1723" i="57"/>
  <c r="L73" i="44"/>
  <c r="D1829" i="57"/>
  <c r="G1829" i="57" s="1"/>
  <c r="M27" i="44"/>
  <c r="D1879" i="57"/>
  <c r="G1879" i="57" s="1"/>
  <c r="K82" i="43"/>
  <c r="I1732" i="57"/>
  <c r="N1732" i="57" s="1"/>
  <c r="K1780" i="57"/>
  <c r="M34" i="44"/>
  <c r="D1886" i="57"/>
  <c r="G1886" i="57" s="1"/>
  <c r="K1099" i="41"/>
  <c r="D1205" i="41"/>
  <c r="D966" i="57"/>
  <c r="K860" i="57"/>
  <c r="K870" i="57" s="1"/>
  <c r="G870" i="57"/>
  <c r="D2360" i="41"/>
  <c r="G2360" i="41" s="1"/>
  <c r="K2360" i="41" s="1"/>
  <c r="K2254" i="41"/>
  <c r="I1727" i="57"/>
  <c r="N1727" i="57" s="1"/>
  <c r="K77" i="43"/>
  <c r="K2262" i="41"/>
  <c r="D2368" i="41"/>
  <c r="G2368" i="41" s="1"/>
  <c r="K2368" i="41" s="1"/>
  <c r="D923" i="41"/>
  <c r="G922" i="41"/>
  <c r="M27" i="43"/>
  <c r="I1879" i="57"/>
  <c r="N1879" i="57" s="1"/>
  <c r="K1838" i="57"/>
  <c r="M82" i="44"/>
  <c r="D1944" i="57"/>
  <c r="G1944" i="57" s="1"/>
  <c r="K1459" i="57"/>
  <c r="D1565" i="57"/>
  <c r="G1565" i="57" s="1"/>
  <c r="J31" i="44"/>
  <c r="G1024" i="41"/>
  <c r="D1025" i="41"/>
  <c r="I964" i="57"/>
  <c r="G1230" i="57"/>
  <c r="K2158" i="41"/>
  <c r="D2264" i="41"/>
  <c r="G2264" i="41" s="1"/>
  <c r="N1444" i="41"/>
  <c r="K2142" i="41"/>
  <c r="D2248" i="41"/>
  <c r="G2248" i="41" s="1"/>
  <c r="N966" i="41"/>
  <c r="G15" i="43"/>
  <c r="I1231" i="57"/>
  <c r="D1948" i="41"/>
  <c r="G1948" i="41" s="1"/>
  <c r="K1842" i="41"/>
  <c r="P36" i="43"/>
  <c r="I2206" i="57"/>
  <c r="N2206" i="57" s="1"/>
  <c r="K2203" i="41"/>
  <c r="D2309" i="41"/>
  <c r="G2309" i="41" s="1"/>
  <c r="K2309" i="41" s="1"/>
  <c r="I841" i="41"/>
  <c r="N766" i="41"/>
  <c r="N922" i="41"/>
  <c r="I923" i="41"/>
  <c r="L37" i="44"/>
  <c r="D947" i="41"/>
  <c r="K841" i="41"/>
  <c r="K872" i="41" s="1"/>
  <c r="G872" i="41"/>
  <c r="D2095" i="41"/>
  <c r="G2095" i="41" s="1"/>
  <c r="K1989" i="41"/>
  <c r="I25" i="41" l="1"/>
  <c r="N1781" i="41"/>
  <c r="I1887" i="41" s="1"/>
  <c r="N2203" i="41"/>
  <c r="I2309" i="41" s="1"/>
  <c r="N2309" i="41" s="1"/>
  <c r="N1925" i="41"/>
  <c r="I2031" i="41" s="1"/>
  <c r="N1711" i="41"/>
  <c r="I1817" i="41" s="1"/>
  <c r="N1822" i="41"/>
  <c r="I1928" i="41" s="1"/>
  <c r="L30" i="43"/>
  <c r="N1990" i="41"/>
  <c r="I2096" i="41" s="1"/>
  <c r="I1512" i="57"/>
  <c r="N1512" i="57" s="1"/>
  <c r="J74" i="43" s="1"/>
  <c r="N30" i="44"/>
  <c r="N1776" i="57"/>
  <c r="M30" i="43" s="1"/>
  <c r="N1825" i="41"/>
  <c r="I1931" i="41" s="1"/>
  <c r="N2142" i="41"/>
  <c r="I2248" i="41" s="1"/>
  <c r="I21" i="12"/>
  <c r="I94" i="12" s="1"/>
  <c r="K20" i="12"/>
  <c r="K21" i="12" s="1"/>
  <c r="K94" i="12" s="1"/>
  <c r="H25" i="120" s="1"/>
  <c r="G20" i="12"/>
  <c r="G21" i="12" s="1"/>
  <c r="G94" i="12" s="1"/>
  <c r="I810" i="57"/>
  <c r="N705" i="57"/>
  <c r="N786" i="57" s="1"/>
  <c r="D1988" i="57"/>
  <c r="G1988" i="57" s="1"/>
  <c r="O30" i="44" s="1"/>
  <c r="E31" i="2"/>
  <c r="N2255" i="41"/>
  <c r="I2361" i="41" s="1"/>
  <c r="N2361" i="41" s="1"/>
  <c r="C46" i="49"/>
  <c r="I48" i="49"/>
  <c r="N1898" i="41"/>
  <c r="I2004" i="41" s="1"/>
  <c r="K1618" i="57"/>
  <c r="G892" i="57"/>
  <c r="K892" i="57"/>
  <c r="J25" i="57" s="1"/>
  <c r="M25" i="57" s="1"/>
  <c r="I26" i="57" s="1"/>
  <c r="D1724" i="57"/>
  <c r="G1724" i="57" s="1"/>
  <c r="L74" i="44" s="1"/>
  <c r="N2109" i="41"/>
  <c r="I2215" i="41" s="1"/>
  <c r="N1994" i="41"/>
  <c r="I2100" i="41" s="1"/>
  <c r="N2150" i="41"/>
  <c r="I2256" i="41" s="1"/>
  <c r="I1501" i="57"/>
  <c r="N1501" i="57" s="1"/>
  <c r="N2158" i="41"/>
  <c r="I2264" i="41" s="1"/>
  <c r="N1522" i="57"/>
  <c r="I1628" i="57" s="1"/>
  <c r="N2262" i="41"/>
  <c r="I2368" i="41" s="1"/>
  <c r="N2368" i="41" s="1"/>
  <c r="N1682" i="57"/>
  <c r="I1788" i="57" s="1"/>
  <c r="I84" i="43"/>
  <c r="I2205" i="57"/>
  <c r="N2205" i="57" s="1"/>
  <c r="P35" i="43"/>
  <c r="I2090" i="57"/>
  <c r="N2090" i="57" s="1"/>
  <c r="O26" i="43"/>
  <c r="O41" i="43"/>
  <c r="I2110" i="57"/>
  <c r="N2110" i="57" s="1"/>
  <c r="K1628" i="57"/>
  <c r="N1842" i="41"/>
  <c r="I1948" i="41" s="1"/>
  <c r="D1734" i="57"/>
  <c r="G1734" i="57" s="1"/>
  <c r="L84" i="44" s="1"/>
  <c r="N2217" i="41"/>
  <c r="I2323" i="41" s="1"/>
  <c r="N2323" i="41" s="1"/>
  <c r="D1717" i="57"/>
  <c r="G1717" i="57" s="1"/>
  <c r="K1611" i="57"/>
  <c r="K67" i="44"/>
  <c r="K1579" i="57"/>
  <c r="K40" i="44"/>
  <c r="D1685" i="57"/>
  <c r="G1685" i="57" s="1"/>
  <c r="N1815" i="41"/>
  <c r="I1921" i="41" s="1"/>
  <c r="I64" i="43"/>
  <c r="I1502" i="57"/>
  <c r="N1502" i="57" s="1"/>
  <c r="L79" i="44"/>
  <c r="D1835" i="57"/>
  <c r="G1835" i="57" s="1"/>
  <c r="I2044" i="57"/>
  <c r="N2044" i="57" s="1"/>
  <c r="N76" i="43"/>
  <c r="N41" i="44"/>
  <c r="D2004" i="57"/>
  <c r="G2004" i="57" s="1"/>
  <c r="M79" i="43"/>
  <c r="I1941" i="57"/>
  <c r="N1941" i="57" s="1"/>
  <c r="K1608" i="57"/>
  <c r="D1714" i="57"/>
  <c r="G1714" i="57" s="1"/>
  <c r="K64" i="44"/>
  <c r="D2090" i="57"/>
  <c r="G2090" i="57" s="1"/>
  <c r="O26" i="44"/>
  <c r="I1461" i="57"/>
  <c r="N1461" i="57" s="1"/>
  <c r="I33" i="43"/>
  <c r="D2046" i="57"/>
  <c r="G2046" i="57" s="1"/>
  <c r="N78" i="44"/>
  <c r="D1974" i="57"/>
  <c r="G1974" i="57" s="1"/>
  <c r="N16" i="44"/>
  <c r="I40" i="43"/>
  <c r="I1473" i="57"/>
  <c r="N1473" i="57" s="1"/>
  <c r="K63" i="44"/>
  <c r="K1607" i="57"/>
  <c r="D1713" i="57"/>
  <c r="G1713" i="57" s="1"/>
  <c r="M76" i="44"/>
  <c r="D1938" i="57"/>
  <c r="G1938" i="57" s="1"/>
  <c r="I1505" i="57"/>
  <c r="N1505" i="57" s="1"/>
  <c r="I67" i="43"/>
  <c r="K1567" i="57"/>
  <c r="K33" i="44"/>
  <c r="D1673" i="57"/>
  <c r="G1673" i="57" s="1"/>
  <c r="N2098" i="41"/>
  <c r="I2204" i="41" s="1"/>
  <c r="I81" i="43"/>
  <c r="I1519" i="57"/>
  <c r="N1519" i="57" s="1"/>
  <c r="I1581" i="57"/>
  <c r="N1581" i="57" s="1"/>
  <c r="J42" i="43"/>
  <c r="D1993" i="57"/>
  <c r="G1993" i="57" s="1"/>
  <c r="N35" i="44"/>
  <c r="D1731" i="57"/>
  <c r="G1731" i="57" s="1"/>
  <c r="K81" i="44"/>
  <c r="K1625" i="57"/>
  <c r="K1687" i="57"/>
  <c r="L42" i="44"/>
  <c r="D1793" i="57"/>
  <c r="G1793" i="57" s="1"/>
  <c r="N1833" i="41"/>
  <c r="I1939" i="41" s="1"/>
  <c r="N1989" i="41"/>
  <c r="I2095" i="41" s="1"/>
  <c r="K2141" i="41"/>
  <c r="N2141" i="41" s="1"/>
  <c r="I2247" i="41" s="1"/>
  <c r="D2247" i="41"/>
  <c r="G2247" i="41" s="1"/>
  <c r="N921" i="57"/>
  <c r="I1026" i="57"/>
  <c r="I875" i="41"/>
  <c r="N783" i="41"/>
  <c r="N788" i="41" s="1"/>
  <c r="K875" i="41"/>
  <c r="K889" i="41" s="1"/>
  <c r="D981" i="41"/>
  <c r="G889" i="41"/>
  <c r="G894" i="41" s="1"/>
  <c r="N2254" i="41"/>
  <c r="I2360" i="41" s="1"/>
  <c r="N2360" i="41" s="1"/>
  <c r="D1923" i="41"/>
  <c r="G1923" i="41" s="1"/>
  <c r="K1817" i="41"/>
  <c r="L62" i="44"/>
  <c r="K1712" i="57"/>
  <c r="D1818" i="57"/>
  <c r="G1818" i="57" s="1"/>
  <c r="J66" i="43"/>
  <c r="I1610" i="57"/>
  <c r="N1610" i="57" s="1"/>
  <c r="I1606" i="57"/>
  <c r="N1606" i="57" s="1"/>
  <c r="J62" i="43"/>
  <c r="L66" i="44"/>
  <c r="K1716" i="57"/>
  <c r="D1822" i="57"/>
  <c r="G1822" i="57" s="1"/>
  <c r="K1707" i="57"/>
  <c r="D1813" i="57"/>
  <c r="G1813" i="57" s="1"/>
  <c r="L57" i="44"/>
  <c r="I1601" i="57"/>
  <c r="N1601" i="57" s="1"/>
  <c r="J57" i="43"/>
  <c r="D2045" i="41"/>
  <c r="G2045" i="41" s="1"/>
  <c r="K1939" i="41"/>
  <c r="K1733" i="57"/>
  <c r="L83" i="44"/>
  <c r="D1839" i="57"/>
  <c r="G1839" i="57" s="1"/>
  <c r="J83" i="43"/>
  <c r="I1627" i="57"/>
  <c r="N1627" i="57" s="1"/>
  <c r="I1459" i="57"/>
  <c r="N1459" i="57" s="1"/>
  <c r="J38" i="43"/>
  <c r="I1577" i="57"/>
  <c r="N1577" i="57" s="1"/>
  <c r="D2312" i="57"/>
  <c r="G2312" i="57" s="1"/>
  <c r="R36" i="44" s="1"/>
  <c r="D37" i="47" s="1"/>
  <c r="F37" i="47" s="1"/>
  <c r="H37" i="47" s="1"/>
  <c r="Q36" i="44"/>
  <c r="L38" i="44"/>
  <c r="K1683" i="57"/>
  <c r="D1789" i="57"/>
  <c r="G1789" i="57" s="1"/>
  <c r="M80" i="44"/>
  <c r="D1942" i="57"/>
  <c r="G1942" i="57" s="1"/>
  <c r="K1836" i="57"/>
  <c r="I1730" i="57"/>
  <c r="N1730" i="57" s="1"/>
  <c r="K80" i="43"/>
  <c r="P78" i="43"/>
  <c r="I2258" i="57"/>
  <c r="N2258" i="57" s="1"/>
  <c r="K1922" i="41"/>
  <c r="N1922" i="41" s="1"/>
  <c r="I2028" i="41" s="1"/>
  <c r="D2028" i="41"/>
  <c r="G2028" i="41" s="1"/>
  <c r="D1988" i="41"/>
  <c r="G1988" i="41" s="1"/>
  <c r="K1882" i="41"/>
  <c r="N1882" i="41" s="1"/>
  <c r="I1988" i="41" s="1"/>
  <c r="D2202" i="41"/>
  <c r="G2202" i="41" s="1"/>
  <c r="K2096" i="41"/>
  <c r="I1578" i="57"/>
  <c r="N1578" i="57" s="1"/>
  <c r="J39" i="43"/>
  <c r="J59" i="43"/>
  <c r="I1603" i="57"/>
  <c r="N1603" i="57" s="1"/>
  <c r="L29" i="44"/>
  <c r="K1669" i="57"/>
  <c r="D1775" i="57"/>
  <c r="G1775" i="57" s="1"/>
  <c r="J65" i="43"/>
  <c r="I1609" i="57"/>
  <c r="N1609" i="57" s="1"/>
  <c r="O17" i="44"/>
  <c r="D2081" i="57"/>
  <c r="G2081" i="57" s="1"/>
  <c r="N877" i="57"/>
  <c r="I887" i="57"/>
  <c r="L65" i="44"/>
  <c r="D1821" i="57"/>
  <c r="G1821" i="57" s="1"/>
  <c r="K1715" i="57"/>
  <c r="D1790" i="57"/>
  <c r="G1790" i="57" s="1"/>
  <c r="L39" i="44"/>
  <c r="K1684" i="57"/>
  <c r="D1815" i="57"/>
  <c r="G1815" i="57" s="1"/>
  <c r="L59" i="44"/>
  <c r="K1709" i="57"/>
  <c r="J29" i="43"/>
  <c r="I1563" i="57"/>
  <c r="N1563" i="57" s="1"/>
  <c r="P17" i="43"/>
  <c r="I2187" i="57"/>
  <c r="N2187" i="57" s="1"/>
  <c r="I1710" i="57"/>
  <c r="N1710" i="57" s="1"/>
  <c r="K60" i="43"/>
  <c r="D1922" i="57"/>
  <c r="G1922" i="57" s="1"/>
  <c r="K1816" i="57"/>
  <c r="M60" i="44"/>
  <c r="G983" i="57"/>
  <c r="D993" i="57"/>
  <c r="N1099" i="41"/>
  <c r="I1205" i="41" s="1"/>
  <c r="D2037" i="41"/>
  <c r="G2037" i="41" s="1"/>
  <c r="K1931" i="41"/>
  <c r="K1921" i="41"/>
  <c r="D2027" i="41"/>
  <c r="G2027" i="41" s="1"/>
  <c r="K1711" i="57"/>
  <c r="L61" i="44"/>
  <c r="D1817" i="57"/>
  <c r="G1817" i="57" s="1"/>
  <c r="K2256" i="41"/>
  <c r="D2362" i="41"/>
  <c r="G2362" i="41" s="1"/>
  <c r="K2362" i="41" s="1"/>
  <c r="D2110" i="41"/>
  <c r="G2110" i="41" s="1"/>
  <c r="K2004" i="41"/>
  <c r="J61" i="43"/>
  <c r="I1605" i="57"/>
  <c r="N1605" i="57" s="1"/>
  <c r="G947" i="41"/>
  <c r="D978" i="41"/>
  <c r="K1948" i="41"/>
  <c r="D2054" i="41"/>
  <c r="G2054" i="41" s="1"/>
  <c r="N979" i="57"/>
  <c r="N1654" i="57"/>
  <c r="D2201" i="41"/>
  <c r="G2201" i="41" s="1"/>
  <c r="K2095" i="41"/>
  <c r="N1231" i="57"/>
  <c r="D1336" i="57"/>
  <c r="H14" i="44"/>
  <c r="D1130" i="41"/>
  <c r="G1025" i="41"/>
  <c r="I1838" i="57"/>
  <c r="N1838" i="57" s="1"/>
  <c r="L82" i="43"/>
  <c r="N1086" i="57"/>
  <c r="G1550" i="41"/>
  <c r="G31" i="2"/>
  <c r="I15" i="2"/>
  <c r="K1939" i="57"/>
  <c r="N77" i="44"/>
  <c r="D2045" i="57"/>
  <c r="G2045" i="57" s="1"/>
  <c r="G913" i="57"/>
  <c r="D917" i="57"/>
  <c r="J1896" i="41"/>
  <c r="K1790" i="41"/>
  <c r="N1790" i="41" s="1"/>
  <c r="I1896" i="41" s="1"/>
  <c r="D2137" i="41"/>
  <c r="G2137" i="41" s="1"/>
  <c r="K2031" i="41"/>
  <c r="I1723" i="57"/>
  <c r="N1723" i="57" s="1"/>
  <c r="K73" i="43"/>
  <c r="F16" i="43"/>
  <c r="I1126" i="57"/>
  <c r="K2215" i="41"/>
  <c r="D2321" i="41"/>
  <c r="G2321" i="41" s="1"/>
  <c r="K2321" i="41" s="1"/>
  <c r="J1894" i="57"/>
  <c r="K1788" i="57"/>
  <c r="Q36" i="43"/>
  <c r="I2312" i="57"/>
  <c r="N2312" i="57" s="1"/>
  <c r="R36" i="43" s="1"/>
  <c r="D2354" i="41"/>
  <c r="G2354" i="41" s="1"/>
  <c r="K2354" i="41" s="1"/>
  <c r="K2248" i="41"/>
  <c r="K31" i="44"/>
  <c r="D1671" i="57"/>
  <c r="G1671" i="57" s="1"/>
  <c r="K1565" i="57"/>
  <c r="G966" i="57"/>
  <c r="D976" i="57"/>
  <c r="K1886" i="57"/>
  <c r="N34" i="44"/>
  <c r="D1992" i="57"/>
  <c r="G1992" i="57" s="1"/>
  <c r="G1076" i="41"/>
  <c r="N841" i="41"/>
  <c r="I872" i="41"/>
  <c r="J28" i="43"/>
  <c r="I1562" i="57"/>
  <c r="N1562" i="57" s="1"/>
  <c r="I1985" i="57"/>
  <c r="N1985" i="57" s="1"/>
  <c r="N27" i="43"/>
  <c r="L77" i="43"/>
  <c r="I1833" i="57"/>
  <c r="N1833" i="57" s="1"/>
  <c r="M37" i="44"/>
  <c r="K2264" i="41"/>
  <c r="D2370" i="41"/>
  <c r="G2370" i="41" s="1"/>
  <c r="K2370" i="41" s="1"/>
  <c r="N964" i="57"/>
  <c r="N82" i="44"/>
  <c r="D2050" i="57"/>
  <c r="G2050" i="57" s="1"/>
  <c r="K1944" i="57"/>
  <c r="D1028" i="41"/>
  <c r="G923" i="41"/>
  <c r="G1205" i="41"/>
  <c r="N27" i="44"/>
  <c r="D1985" i="57"/>
  <c r="G1985" i="57" s="1"/>
  <c r="K1928" i="41"/>
  <c r="D2034" i="41"/>
  <c r="G2034" i="41" s="1"/>
  <c r="K37" i="43"/>
  <c r="G1192" i="57"/>
  <c r="D77" i="130"/>
  <c r="G1297" i="57"/>
  <c r="J32" i="43"/>
  <c r="I1566" i="57"/>
  <c r="N1566" i="57" s="1"/>
  <c r="L34" i="43"/>
  <c r="I1780" i="57"/>
  <c r="N1780" i="57" s="1"/>
  <c r="N860" i="57"/>
  <c r="I870" i="57"/>
  <c r="O18" i="44"/>
  <c r="D2082" i="57"/>
  <c r="G2082" i="57" s="1"/>
  <c r="K2204" i="41"/>
  <c r="D2310" i="41"/>
  <c r="G2310" i="41" s="1"/>
  <c r="K2310" i="41" s="1"/>
  <c r="G1070" i="57"/>
  <c r="G1284" i="41"/>
  <c r="I26" i="108"/>
  <c r="E23" i="69"/>
  <c r="I1028" i="41"/>
  <c r="N923" i="41"/>
  <c r="I1072" i="41"/>
  <c r="I1550" i="41"/>
  <c r="F23" i="44"/>
  <c r="D2206" i="41"/>
  <c r="G2206" i="41" s="1"/>
  <c r="K2100" i="41"/>
  <c r="K1668" i="57"/>
  <c r="L28" i="44"/>
  <c r="D1774" i="57"/>
  <c r="G1774" i="57" s="1"/>
  <c r="I1023" i="41"/>
  <c r="N919" i="41"/>
  <c r="D2212" i="57"/>
  <c r="G2212" i="57" s="1"/>
  <c r="G1445" i="41"/>
  <c r="K1887" i="41"/>
  <c r="D1993" i="41"/>
  <c r="G1993" i="41" s="1"/>
  <c r="K1829" i="57"/>
  <c r="M73" i="44"/>
  <c r="D1935" i="57"/>
  <c r="G1935" i="57" s="1"/>
  <c r="D25" i="130"/>
  <c r="D1133" i="57"/>
  <c r="G1132" i="57"/>
  <c r="C66" i="49"/>
  <c r="I67" i="49"/>
  <c r="D1778" i="57"/>
  <c r="G1778" i="57" s="1"/>
  <c r="K1672" i="57"/>
  <c r="L32" i="44"/>
  <c r="N1887" i="41" l="1"/>
  <c r="I1993" i="41" s="1"/>
  <c r="N1928" i="41"/>
  <c r="I2034" i="41" s="1"/>
  <c r="N2031" i="41"/>
  <c r="I2137" i="41" s="1"/>
  <c r="N1817" i="41"/>
  <c r="I1923" i="41" s="1"/>
  <c r="N2096" i="41"/>
  <c r="I2202" i="41" s="1"/>
  <c r="I1882" i="57"/>
  <c r="N1882" i="57" s="1"/>
  <c r="I1988" i="57" s="1"/>
  <c r="N1931" i="41"/>
  <c r="I2037" i="41" s="1"/>
  <c r="K1724" i="57"/>
  <c r="N2248" i="41"/>
  <c r="I2354" i="41" s="1"/>
  <c r="N2354" i="41" s="1"/>
  <c r="D2094" i="57"/>
  <c r="G2094" i="57" s="1"/>
  <c r="P30" i="44" s="1"/>
  <c r="K1988" i="57"/>
  <c r="N2215" i="41"/>
  <c r="I2321" i="41" s="1"/>
  <c r="N2321" i="41" s="1"/>
  <c r="I811" i="57"/>
  <c r="I892" i="57" s="1"/>
  <c r="N810" i="57"/>
  <c r="N1788" i="57"/>
  <c r="I1894" i="57" s="1"/>
  <c r="N1948" i="41"/>
  <c r="I2054" i="41" s="1"/>
  <c r="I50" i="49"/>
  <c r="C48" i="49"/>
  <c r="N2004" i="41"/>
  <c r="I2110" i="41" s="1"/>
  <c r="I1618" i="57"/>
  <c r="N1618" i="57" s="1"/>
  <c r="I1724" i="57" s="1"/>
  <c r="D998" i="57"/>
  <c r="D1830" i="57"/>
  <c r="G1830" i="57" s="1"/>
  <c r="M74" i="44" s="1"/>
  <c r="N2256" i="41"/>
  <c r="I2362" i="41" s="1"/>
  <c r="N2362" i="41" s="1"/>
  <c r="N2100" i="41"/>
  <c r="I2206" i="41" s="1"/>
  <c r="N2264" i="41"/>
  <c r="I2370" i="41" s="1"/>
  <c r="N2370" i="41" s="1"/>
  <c r="I1607" i="57"/>
  <c r="N1607" i="57" s="1"/>
  <c r="K63" i="43" s="1"/>
  <c r="J63" i="43"/>
  <c r="J84" i="43"/>
  <c r="K894" i="41"/>
  <c r="J25" i="41" s="1"/>
  <c r="M25" i="41" s="1"/>
  <c r="P26" i="43"/>
  <c r="I2196" i="57"/>
  <c r="N2196" i="57" s="1"/>
  <c r="N1628" i="57"/>
  <c r="K84" i="43" s="1"/>
  <c r="I2216" i="57"/>
  <c r="N2216" i="57" s="1"/>
  <c r="P41" i="43"/>
  <c r="I2311" i="57"/>
  <c r="N2311" i="57" s="1"/>
  <c r="R35" i="43" s="1"/>
  <c r="G39" i="48" s="1"/>
  <c r="I39" i="48" s="1"/>
  <c r="K39" i="48" s="1"/>
  <c r="Q35" i="43"/>
  <c r="K1734" i="57"/>
  <c r="D1840" i="57"/>
  <c r="G1840" i="57" s="1"/>
  <c r="M84" i="44" s="1"/>
  <c r="N1921" i="41"/>
  <c r="I2027" i="41" s="1"/>
  <c r="K1713" i="57"/>
  <c r="D1819" i="57"/>
  <c r="G1819" i="57" s="1"/>
  <c r="L63" i="44"/>
  <c r="O78" i="44"/>
  <c r="D2152" i="57"/>
  <c r="G2152" i="57" s="1"/>
  <c r="P26" i="44"/>
  <c r="D2196" i="57"/>
  <c r="G2196" i="57" s="1"/>
  <c r="I2047" i="57"/>
  <c r="N2047" i="57" s="1"/>
  <c r="N79" i="43"/>
  <c r="J64" i="43"/>
  <c r="I1608" i="57"/>
  <c r="N1608" i="57" s="1"/>
  <c r="L67" i="44"/>
  <c r="K1717" i="57"/>
  <c r="D1823" i="57"/>
  <c r="G1823" i="57" s="1"/>
  <c r="N2095" i="41"/>
  <c r="I2201" i="41" s="1"/>
  <c r="K1673" i="57"/>
  <c r="L33" i="44"/>
  <c r="D1779" i="57"/>
  <c r="G1779" i="57" s="1"/>
  <c r="J67" i="43"/>
  <c r="I1611" i="57"/>
  <c r="N1611" i="57" s="1"/>
  <c r="O76" i="43"/>
  <c r="I2150" i="57"/>
  <c r="N2150" i="57" s="1"/>
  <c r="I1579" i="57"/>
  <c r="N1579" i="57" s="1"/>
  <c r="J40" i="43"/>
  <c r="K1685" i="57"/>
  <c r="L40" i="44"/>
  <c r="D1791" i="57"/>
  <c r="G1791" i="57" s="1"/>
  <c r="D2044" i="57"/>
  <c r="G2044" i="57" s="1"/>
  <c r="N76" i="44"/>
  <c r="D2080" i="57"/>
  <c r="G2080" i="57" s="1"/>
  <c r="O16" i="44"/>
  <c r="J33" i="43"/>
  <c r="I1567" i="57"/>
  <c r="N1567" i="57" s="1"/>
  <c r="L64" i="44"/>
  <c r="D1820" i="57"/>
  <c r="G1820" i="57" s="1"/>
  <c r="K1714" i="57"/>
  <c r="O41" i="44"/>
  <c r="D2110" i="57"/>
  <c r="G2110" i="57" s="1"/>
  <c r="D1941" i="57"/>
  <c r="G1941" i="57" s="1"/>
  <c r="M79" i="44"/>
  <c r="N2204" i="41"/>
  <c r="I2310" i="41" s="1"/>
  <c r="N2310" i="41" s="1"/>
  <c r="L81" i="44"/>
  <c r="K1731" i="57"/>
  <c r="D1837" i="57"/>
  <c r="G1837" i="57" s="1"/>
  <c r="K42" i="43"/>
  <c r="I1687" i="57"/>
  <c r="N1687" i="57" s="1"/>
  <c r="J81" i="43"/>
  <c r="I1625" i="57"/>
  <c r="N1625" i="57" s="1"/>
  <c r="M42" i="44"/>
  <c r="K1793" i="57"/>
  <c r="D1899" i="57"/>
  <c r="G1899" i="57" s="1"/>
  <c r="O35" i="44"/>
  <c r="D2099" i="57"/>
  <c r="G2099" i="57" s="1"/>
  <c r="N1939" i="41"/>
  <c r="I2045" i="41" s="1"/>
  <c r="D2353" i="41"/>
  <c r="G2353" i="41" s="1"/>
  <c r="K2353" i="41" s="1"/>
  <c r="K2247" i="41"/>
  <c r="N2247" i="41" s="1"/>
  <c r="I2353" i="41" s="1"/>
  <c r="N1026" i="57"/>
  <c r="F22" i="43" s="1"/>
  <c r="F23" i="43" s="1"/>
  <c r="I1027" i="57"/>
  <c r="G981" i="41"/>
  <c r="D995" i="41"/>
  <c r="D1000" i="41" s="1"/>
  <c r="I889" i="41"/>
  <c r="I894" i="41" s="1"/>
  <c r="N875" i="41"/>
  <c r="K1923" i="41"/>
  <c r="D2029" i="41"/>
  <c r="G2029" i="41" s="1"/>
  <c r="D1924" i="57"/>
  <c r="G1924" i="57" s="1"/>
  <c r="K1818" i="57"/>
  <c r="M62" i="44"/>
  <c r="K1822" i="57"/>
  <c r="D1928" i="57"/>
  <c r="G1928" i="57" s="1"/>
  <c r="M66" i="44"/>
  <c r="K62" i="43"/>
  <c r="I1712" i="57"/>
  <c r="N1712" i="57" s="1"/>
  <c r="K66" i="43"/>
  <c r="I1716" i="57"/>
  <c r="N1716" i="57" s="1"/>
  <c r="K57" i="43"/>
  <c r="I1707" i="57"/>
  <c r="N1707" i="57" s="1"/>
  <c r="K1813" i="57"/>
  <c r="M57" i="44"/>
  <c r="D1919" i="57"/>
  <c r="G1919" i="57" s="1"/>
  <c r="K83" i="43"/>
  <c r="I1733" i="57"/>
  <c r="N1733" i="57" s="1"/>
  <c r="D1945" i="57"/>
  <c r="G1945" i="57" s="1"/>
  <c r="K1839" i="57"/>
  <c r="M83" i="44"/>
  <c r="K2045" i="41"/>
  <c r="D2151" i="41"/>
  <c r="G2151" i="41" s="1"/>
  <c r="I1683" i="57"/>
  <c r="N1683" i="57" s="1"/>
  <c r="K38" i="43"/>
  <c r="D1895" i="57"/>
  <c r="G1895" i="57" s="1"/>
  <c r="M38" i="44"/>
  <c r="K1789" i="57"/>
  <c r="S36" i="44"/>
  <c r="N80" i="44"/>
  <c r="D2048" i="57"/>
  <c r="G2048" i="57" s="1"/>
  <c r="K1942" i="57"/>
  <c r="I2364" i="57"/>
  <c r="N2364" i="57" s="1"/>
  <c r="R78" i="43" s="1"/>
  <c r="G86" i="48" s="1"/>
  <c r="I86" i="48" s="1"/>
  <c r="K86" i="48" s="1"/>
  <c r="Q78" i="43"/>
  <c r="L80" i="43"/>
  <c r="I1836" i="57"/>
  <c r="N1836" i="57" s="1"/>
  <c r="D2134" i="41"/>
  <c r="G2134" i="41" s="1"/>
  <c r="K2028" i="41"/>
  <c r="N2028" i="41" s="1"/>
  <c r="I2134" i="41" s="1"/>
  <c r="J21" i="1"/>
  <c r="D2094" i="41"/>
  <c r="G2094" i="41" s="1"/>
  <c r="K1988" i="41"/>
  <c r="N1988" i="41" s="1"/>
  <c r="I2094" i="41" s="1"/>
  <c r="D2308" i="41"/>
  <c r="G2308" i="41" s="1"/>
  <c r="K2308" i="41" s="1"/>
  <c r="K2202" i="41"/>
  <c r="N2202" i="41" s="1"/>
  <c r="I2308" i="41" s="1"/>
  <c r="K983" i="57"/>
  <c r="K993" i="57" s="1"/>
  <c r="D1089" i="57"/>
  <c r="G993" i="57"/>
  <c r="K65" i="43"/>
  <c r="I1715" i="57"/>
  <c r="N1715" i="57" s="1"/>
  <c r="M29" i="44"/>
  <c r="D1881" i="57"/>
  <c r="G1881" i="57" s="1"/>
  <c r="K1775" i="57"/>
  <c r="L60" i="43"/>
  <c r="I1816" i="57"/>
  <c r="N1816" i="57" s="1"/>
  <c r="I983" i="57"/>
  <c r="N887" i="57"/>
  <c r="I2293" i="57"/>
  <c r="N2293" i="57" s="1"/>
  <c r="R17" i="43" s="1"/>
  <c r="G21" i="48" s="1"/>
  <c r="I21" i="48" s="1"/>
  <c r="K21" i="48" s="1"/>
  <c r="Q17" i="43"/>
  <c r="I1669" i="57"/>
  <c r="N1669" i="57" s="1"/>
  <c r="K29" i="43"/>
  <c r="K1815" i="57"/>
  <c r="M59" i="44"/>
  <c r="D1921" i="57"/>
  <c r="G1921" i="57" s="1"/>
  <c r="K1821" i="57"/>
  <c r="M65" i="44"/>
  <c r="D1927" i="57"/>
  <c r="G1927" i="57" s="1"/>
  <c r="D2187" i="57"/>
  <c r="G2187" i="57" s="1"/>
  <c r="P17" i="44"/>
  <c r="K1790" i="57"/>
  <c r="M39" i="44"/>
  <c r="D1896" i="57"/>
  <c r="G1896" i="57" s="1"/>
  <c r="D2028" i="57"/>
  <c r="G2028" i="57" s="1"/>
  <c r="K1922" i="57"/>
  <c r="N60" i="44"/>
  <c r="K59" i="43"/>
  <c r="I1709" i="57"/>
  <c r="N1709" i="57" s="1"/>
  <c r="I1684" i="57"/>
  <c r="N1684" i="57" s="1"/>
  <c r="K39" i="43"/>
  <c r="D2216" i="41"/>
  <c r="G2216" i="41" s="1"/>
  <c r="K2110" i="41"/>
  <c r="K2027" i="41"/>
  <c r="D2133" i="41"/>
  <c r="G2133" i="41" s="1"/>
  <c r="K2037" i="41"/>
  <c r="D2143" i="41"/>
  <c r="G2143" i="41" s="1"/>
  <c r="K1817" i="57"/>
  <c r="M61" i="44"/>
  <c r="D1923" i="57"/>
  <c r="G1923" i="57" s="1"/>
  <c r="I1711" i="57"/>
  <c r="N1711" i="57" s="1"/>
  <c r="K61" i="43"/>
  <c r="E20" i="68"/>
  <c r="D1238" i="57"/>
  <c r="G1133" i="57"/>
  <c r="G22" i="44"/>
  <c r="K2206" i="41"/>
  <c r="D2312" i="41"/>
  <c r="G2312" i="41" s="1"/>
  <c r="K2312" i="41" s="1"/>
  <c r="D1176" i="57"/>
  <c r="F56" i="44"/>
  <c r="K1070" i="57"/>
  <c r="P18" i="44"/>
  <c r="D2188" i="57"/>
  <c r="G2188" i="57" s="1"/>
  <c r="I1886" i="57"/>
  <c r="N1886" i="57" s="1"/>
  <c r="M34" i="43"/>
  <c r="G72" i="44"/>
  <c r="D1298" i="57"/>
  <c r="K1192" i="57"/>
  <c r="K1671" i="57"/>
  <c r="L31" i="44"/>
  <c r="D1777" i="57"/>
  <c r="G1777" i="57" s="1"/>
  <c r="J2000" i="57"/>
  <c r="K1894" i="57"/>
  <c r="L73" i="43"/>
  <c r="I1829" i="57"/>
  <c r="N1829" i="57" s="1"/>
  <c r="D1656" i="41"/>
  <c r="L14" i="43"/>
  <c r="I1760" i="57"/>
  <c r="D2160" i="41"/>
  <c r="G2160" i="41" s="1"/>
  <c r="K2054" i="41"/>
  <c r="C67" i="49"/>
  <c r="I68" i="49"/>
  <c r="D1551" i="41"/>
  <c r="D2318" i="57"/>
  <c r="G2318" i="57" s="1"/>
  <c r="D1880" i="57"/>
  <c r="G1880" i="57" s="1"/>
  <c r="M28" i="44"/>
  <c r="K1774" i="57"/>
  <c r="N1550" i="41"/>
  <c r="K2034" i="41"/>
  <c r="D2140" i="41"/>
  <c r="G2140" i="41" s="1"/>
  <c r="K1205" i="41"/>
  <c r="D1311" i="41"/>
  <c r="O27" i="43"/>
  <c r="I2091" i="57"/>
  <c r="N2091" i="57" s="1"/>
  <c r="D2243" i="41"/>
  <c r="G2243" i="41" s="1"/>
  <c r="K2137" i="41"/>
  <c r="D1019" i="57"/>
  <c r="G917" i="57"/>
  <c r="F72" i="43"/>
  <c r="I1192" i="57"/>
  <c r="K2201" i="41"/>
  <c r="D2307" i="41"/>
  <c r="G2307" i="41" s="1"/>
  <c r="K2307" i="41" s="1"/>
  <c r="I1085" i="57"/>
  <c r="G1028" i="41"/>
  <c r="D1029" i="41"/>
  <c r="N37" i="44"/>
  <c r="G40" i="48"/>
  <c r="I40" i="48" s="1"/>
  <c r="K40" i="48" s="1"/>
  <c r="S36" i="43"/>
  <c r="L40" i="48" s="1"/>
  <c r="D1884" i="57"/>
  <c r="G1884" i="57" s="1"/>
  <c r="K1778" i="57"/>
  <c r="M32" i="44"/>
  <c r="D26" i="130"/>
  <c r="H26" i="130" s="1"/>
  <c r="H25" i="130"/>
  <c r="D2099" i="41"/>
  <c r="G2099" i="41" s="1"/>
  <c r="K1993" i="41"/>
  <c r="N1993" i="41" s="1"/>
  <c r="I2099" i="41" s="1"/>
  <c r="K1284" i="41"/>
  <c r="D1390" i="41"/>
  <c r="I1672" i="57"/>
  <c r="N1672" i="57" s="1"/>
  <c r="K32" i="43"/>
  <c r="L37" i="43"/>
  <c r="K2050" i="57"/>
  <c r="D2156" i="57"/>
  <c r="G2156" i="57" s="1"/>
  <c r="O82" i="44"/>
  <c r="M77" i="43"/>
  <c r="I1939" i="57"/>
  <c r="N1939" i="57" s="1"/>
  <c r="K28" i="43"/>
  <c r="I1668" i="57"/>
  <c r="N1668" i="57" s="1"/>
  <c r="K1992" i="57"/>
  <c r="D2098" i="57"/>
  <c r="G2098" i="57" s="1"/>
  <c r="O34" i="44"/>
  <c r="K966" i="57"/>
  <c r="K976" i="57" s="1"/>
  <c r="D1072" i="57"/>
  <c r="G976" i="57"/>
  <c r="H17" i="120"/>
  <c r="H24" i="120" s="1"/>
  <c r="H26" i="120" s="1"/>
  <c r="H35" i="120" s="1"/>
  <c r="I31" i="2"/>
  <c r="J15" i="1" s="1"/>
  <c r="G1336" i="57"/>
  <c r="I1337" i="57"/>
  <c r="H15" i="43"/>
  <c r="I1029" i="41"/>
  <c r="N1028" i="41"/>
  <c r="K1935" i="57"/>
  <c r="D2041" i="57"/>
  <c r="G2041" i="57" s="1"/>
  <c r="N73" i="44"/>
  <c r="N1023" i="41"/>
  <c r="I1025" i="41"/>
  <c r="N1072" i="41"/>
  <c r="I966" i="57"/>
  <c r="N870" i="57"/>
  <c r="K1297" i="57"/>
  <c r="H71" i="44"/>
  <c r="D1403" i="57"/>
  <c r="H77" i="130"/>
  <c r="D2091" i="57"/>
  <c r="G2091" i="57" s="1"/>
  <c r="O27" i="44"/>
  <c r="I1070" i="57"/>
  <c r="I947" i="41"/>
  <c r="N872" i="41"/>
  <c r="K1076" i="41"/>
  <c r="D1182" i="41"/>
  <c r="N1126" i="57"/>
  <c r="J2002" i="41"/>
  <c r="K1896" i="41"/>
  <c r="N1896" i="41" s="1"/>
  <c r="I2002" i="41" s="1"/>
  <c r="I1565" i="57"/>
  <c r="N1565" i="57" s="1"/>
  <c r="J31" i="43"/>
  <c r="K2045" i="57"/>
  <c r="D2151" i="57"/>
  <c r="G2151" i="57" s="1"/>
  <c r="O77" i="44"/>
  <c r="M82" i="43"/>
  <c r="I1944" i="57"/>
  <c r="N1944" i="57" s="1"/>
  <c r="G1130" i="41"/>
  <c r="D1131" i="41"/>
  <c r="D1053" i="41"/>
  <c r="K947" i="41"/>
  <c r="K978" i="41" s="1"/>
  <c r="G978" i="41"/>
  <c r="I26" i="41" l="1"/>
  <c r="N2137" i="41"/>
  <c r="I2243" i="41" s="1"/>
  <c r="N2034" i="41"/>
  <c r="I2140" i="41" s="1"/>
  <c r="N1923" i="41"/>
  <c r="I2029" i="41" s="1"/>
  <c r="N2037" i="41"/>
  <c r="I2143" i="41" s="1"/>
  <c r="K2094" i="57"/>
  <c r="N30" i="43"/>
  <c r="N1724" i="57"/>
  <c r="I1830" i="57" s="1"/>
  <c r="D2200" i="57"/>
  <c r="G2200" i="57" s="1"/>
  <c r="D2306" i="57" s="1"/>
  <c r="G2306" i="57" s="1"/>
  <c r="N1988" i="57"/>
  <c r="I2094" i="57" s="1"/>
  <c r="N1894" i="57"/>
  <c r="I2000" i="57" s="1"/>
  <c r="N811" i="57"/>
  <c r="N892" i="57" s="1"/>
  <c r="I916" i="57"/>
  <c r="N2054" i="41"/>
  <c r="I2160" i="41" s="1"/>
  <c r="N2206" i="41"/>
  <c r="I2312" i="41" s="1"/>
  <c r="N2312" i="41" s="1"/>
  <c r="I52" i="49"/>
  <c r="C50" i="49"/>
  <c r="N2110" i="41"/>
  <c r="I2216" i="41" s="1"/>
  <c r="K74" i="43"/>
  <c r="K1830" i="57"/>
  <c r="G998" i="57"/>
  <c r="K998" i="57"/>
  <c r="J26" i="57" s="1"/>
  <c r="M26" i="57" s="1"/>
  <c r="I27" i="57" s="1"/>
  <c r="D1936" i="57"/>
  <c r="G1936" i="57" s="1"/>
  <c r="N74" i="44" s="1"/>
  <c r="N2201" i="41"/>
  <c r="I2307" i="41" s="1"/>
  <c r="N2307" i="41" s="1"/>
  <c r="K1840" i="57"/>
  <c r="I1734" i="57"/>
  <c r="N1734" i="57" s="1"/>
  <c r="L84" i="43" s="1"/>
  <c r="N2027" i="41"/>
  <c r="I2133" i="41" s="1"/>
  <c r="Q41" i="43"/>
  <c r="I2322" i="57"/>
  <c r="N2322" i="57" s="1"/>
  <c r="R41" i="43" s="1"/>
  <c r="G45" i="48" s="1"/>
  <c r="I45" i="48" s="1"/>
  <c r="K45" i="48" s="1"/>
  <c r="D1946" i="57"/>
  <c r="G1946" i="57" s="1"/>
  <c r="N84" i="44" s="1"/>
  <c r="S35" i="43"/>
  <c r="L39" i="48" s="1"/>
  <c r="I2302" i="57"/>
  <c r="N2302" i="57" s="1"/>
  <c r="R26" i="43" s="1"/>
  <c r="G30" i="48" s="1"/>
  <c r="I30" i="48" s="1"/>
  <c r="K30" i="48" s="1"/>
  <c r="Q26" i="43"/>
  <c r="I1713" i="57"/>
  <c r="N1713" i="57" s="1"/>
  <c r="I1717" i="57"/>
  <c r="N1717" i="57" s="1"/>
  <c r="K67" i="43"/>
  <c r="N79" i="44"/>
  <c r="D2047" i="57"/>
  <c r="G2047" i="57" s="1"/>
  <c r="D1926" i="57"/>
  <c r="G1926" i="57" s="1"/>
  <c r="M64" i="44"/>
  <c r="K1820" i="57"/>
  <c r="M40" i="44"/>
  <c r="D1897" i="57"/>
  <c r="G1897" i="57" s="1"/>
  <c r="K1791" i="57"/>
  <c r="I1685" i="57"/>
  <c r="N1685" i="57" s="1"/>
  <c r="K40" i="43"/>
  <c r="O79" i="43"/>
  <c r="I2153" i="57"/>
  <c r="N2153" i="57" s="1"/>
  <c r="D2216" i="57"/>
  <c r="G2216" i="57" s="1"/>
  <c r="P41" i="44"/>
  <c r="D2186" i="57"/>
  <c r="G2186" i="57" s="1"/>
  <c r="P16" i="44"/>
  <c r="I2256" i="57"/>
  <c r="N2256" i="57" s="1"/>
  <c r="P76" i="43"/>
  <c r="M33" i="44"/>
  <c r="K1779" i="57"/>
  <c r="D1885" i="57"/>
  <c r="G1885" i="57" s="1"/>
  <c r="K64" i="43"/>
  <c r="I1714" i="57"/>
  <c r="N1714" i="57" s="1"/>
  <c r="Q26" i="44"/>
  <c r="D2302" i="57"/>
  <c r="G2302" i="57" s="1"/>
  <c r="R26" i="44" s="1"/>
  <c r="D27" i="47" s="1"/>
  <c r="F27" i="47" s="1"/>
  <c r="D2150" i="57"/>
  <c r="G2150" i="57" s="1"/>
  <c r="O76" i="44"/>
  <c r="P78" i="44"/>
  <c r="D2258" i="57"/>
  <c r="G2258" i="57" s="1"/>
  <c r="K33" i="43"/>
  <c r="I1673" i="57"/>
  <c r="N1673" i="57" s="1"/>
  <c r="D1929" i="57"/>
  <c r="G1929" i="57" s="1"/>
  <c r="M67" i="44"/>
  <c r="K1823" i="57"/>
  <c r="M63" i="44"/>
  <c r="D1925" i="57"/>
  <c r="G1925" i="57" s="1"/>
  <c r="K1819" i="57"/>
  <c r="K81" i="43"/>
  <c r="I1731" i="57"/>
  <c r="N1731" i="57" s="1"/>
  <c r="D1943" i="57"/>
  <c r="G1943" i="57" s="1"/>
  <c r="M81" i="44"/>
  <c r="K1837" i="57"/>
  <c r="P35" i="44"/>
  <c r="D2205" i="57"/>
  <c r="G2205" i="57" s="1"/>
  <c r="N42" i="44"/>
  <c r="K1899" i="57"/>
  <c r="D2005" i="57"/>
  <c r="G2005" i="57" s="1"/>
  <c r="L42" i="43"/>
  <c r="I1793" i="57"/>
  <c r="N1793" i="57" s="1"/>
  <c r="N2045" i="41"/>
  <c r="I2151" i="41" s="1"/>
  <c r="N2353" i="41"/>
  <c r="I1132" i="57"/>
  <c r="N1027" i="57"/>
  <c r="I981" i="41"/>
  <c r="N889" i="41"/>
  <c r="N894" i="41" s="1"/>
  <c r="K981" i="41"/>
  <c r="K995" i="41" s="1"/>
  <c r="D1087" i="41"/>
  <c r="G995" i="41"/>
  <c r="G1000" i="41" s="1"/>
  <c r="K2029" i="41"/>
  <c r="D2135" i="41"/>
  <c r="G2135" i="41" s="1"/>
  <c r="I1822" i="57"/>
  <c r="N1822" i="57" s="1"/>
  <c r="L66" i="43"/>
  <c r="I1818" i="57"/>
  <c r="N1818" i="57" s="1"/>
  <c r="L62" i="43"/>
  <c r="K1928" i="57"/>
  <c r="N66" i="44"/>
  <c r="D2034" i="57"/>
  <c r="G2034" i="57" s="1"/>
  <c r="D2030" i="57"/>
  <c r="G2030" i="57" s="1"/>
  <c r="N62" i="44"/>
  <c r="K1924" i="57"/>
  <c r="S78" i="43"/>
  <c r="L86" i="48" s="1"/>
  <c r="I1813" i="57"/>
  <c r="N1813" i="57" s="1"/>
  <c r="L57" i="43"/>
  <c r="D2025" i="57"/>
  <c r="G2025" i="57" s="1"/>
  <c r="K1919" i="57"/>
  <c r="N57" i="44"/>
  <c r="D2257" i="41"/>
  <c r="G2257" i="41" s="1"/>
  <c r="K2151" i="41"/>
  <c r="N83" i="44"/>
  <c r="D2051" i="57"/>
  <c r="G2051" i="57" s="1"/>
  <c r="K1945" i="57"/>
  <c r="L83" i="43"/>
  <c r="I1839" i="57"/>
  <c r="N1839" i="57" s="1"/>
  <c r="N38" i="44"/>
  <c r="D2001" i="57"/>
  <c r="G2001" i="57" s="1"/>
  <c r="K1895" i="57"/>
  <c r="I37" i="47"/>
  <c r="F40" i="48"/>
  <c r="I39" i="130"/>
  <c r="L38" i="43"/>
  <c r="I1789" i="57"/>
  <c r="N1789" i="57" s="1"/>
  <c r="N2308" i="41"/>
  <c r="N1192" i="57"/>
  <c r="G72" i="43" s="1"/>
  <c r="M80" i="43"/>
  <c r="I1942" i="57"/>
  <c r="N1942" i="57" s="1"/>
  <c r="O80" i="44"/>
  <c r="K2048" i="57"/>
  <c r="D2154" i="57"/>
  <c r="G2154" i="57" s="1"/>
  <c r="D2240" i="41"/>
  <c r="G2240" i="41" s="1"/>
  <c r="K2134" i="41"/>
  <c r="N2134" i="41" s="1"/>
  <c r="I2240" i="41" s="1"/>
  <c r="J23" i="1"/>
  <c r="D2200" i="41"/>
  <c r="G2200" i="41" s="1"/>
  <c r="K2094" i="41"/>
  <c r="N2094" i="41" s="1"/>
  <c r="I2200" i="41" s="1"/>
  <c r="K1881" i="57"/>
  <c r="N29" i="44"/>
  <c r="D1987" i="57"/>
  <c r="G1987" i="57" s="1"/>
  <c r="G1089" i="57"/>
  <c r="D1099" i="57"/>
  <c r="I1790" i="57"/>
  <c r="N1790" i="57" s="1"/>
  <c r="L39" i="43"/>
  <c r="Q17" i="44"/>
  <c r="D2293" i="57"/>
  <c r="G2293" i="57" s="1"/>
  <c r="R17" i="44" s="1"/>
  <c r="D18" i="47" s="1"/>
  <c r="F18" i="47" s="1"/>
  <c r="H18" i="47" s="1"/>
  <c r="N59" i="44"/>
  <c r="D2027" i="57"/>
  <c r="G2027" i="57" s="1"/>
  <c r="K1921" i="57"/>
  <c r="I1775" i="57"/>
  <c r="N1775" i="57" s="1"/>
  <c r="L29" i="43"/>
  <c r="L59" i="43"/>
  <c r="I1815" i="57"/>
  <c r="N1815" i="57" s="1"/>
  <c r="D2134" i="57"/>
  <c r="G2134" i="57" s="1"/>
  <c r="O60" i="44"/>
  <c r="K2028" i="57"/>
  <c r="N65" i="44"/>
  <c r="D2033" i="57"/>
  <c r="G2033" i="57" s="1"/>
  <c r="K1927" i="57"/>
  <c r="S17" i="43"/>
  <c r="L21" i="48" s="1"/>
  <c r="M60" i="43"/>
  <c r="I1922" i="57"/>
  <c r="N1922" i="57" s="1"/>
  <c r="N983" i="57"/>
  <c r="I993" i="57"/>
  <c r="D2002" i="57"/>
  <c r="G2002" i="57" s="1"/>
  <c r="K1896" i="57"/>
  <c r="N39" i="44"/>
  <c r="I1821" i="57"/>
  <c r="N1821" i="57" s="1"/>
  <c r="L65" i="43"/>
  <c r="K1923" i="57"/>
  <c r="D2029" i="57"/>
  <c r="G2029" i="57" s="1"/>
  <c r="N61" i="44"/>
  <c r="D2322" i="41"/>
  <c r="G2322" i="41" s="1"/>
  <c r="K2322" i="41" s="1"/>
  <c r="K2216" i="41"/>
  <c r="L61" i="43"/>
  <c r="I1817" i="57"/>
  <c r="N1817" i="57" s="1"/>
  <c r="K2143" i="41"/>
  <c r="D2249" i="41"/>
  <c r="G2249" i="41" s="1"/>
  <c r="D2239" i="41"/>
  <c r="G2239" i="41" s="1"/>
  <c r="K2133" i="41"/>
  <c r="I1178" i="41"/>
  <c r="I1134" i="41"/>
  <c r="N1029" i="41"/>
  <c r="N32" i="44"/>
  <c r="K1884" i="57"/>
  <c r="D1990" i="57"/>
  <c r="G1990" i="57" s="1"/>
  <c r="N1085" i="57"/>
  <c r="G1311" i="41"/>
  <c r="I69" i="49"/>
  <c r="C68" i="49"/>
  <c r="J2106" i="57"/>
  <c r="K2000" i="57"/>
  <c r="G1298" i="57"/>
  <c r="G1176" i="57"/>
  <c r="D61" i="130"/>
  <c r="G23" i="44"/>
  <c r="G1053" i="41"/>
  <c r="D1084" i="41"/>
  <c r="K31" i="43"/>
  <c r="I1671" i="57"/>
  <c r="N1671" i="57" s="1"/>
  <c r="G16" i="43"/>
  <c r="I1232" i="57"/>
  <c r="N947" i="41"/>
  <c r="I978" i="41"/>
  <c r="P27" i="44"/>
  <c r="D2197" i="57"/>
  <c r="G2197" i="57" s="1"/>
  <c r="N966" i="57"/>
  <c r="I976" i="57"/>
  <c r="K2098" i="57"/>
  <c r="P34" i="44"/>
  <c r="D2204" i="57"/>
  <c r="G2204" i="57" s="1"/>
  <c r="L28" i="43"/>
  <c r="I1774" i="57"/>
  <c r="N1774" i="57" s="1"/>
  <c r="O37" i="44"/>
  <c r="D2349" i="41"/>
  <c r="G2349" i="41" s="1"/>
  <c r="K2349" i="41" s="1"/>
  <c r="K2243" i="41"/>
  <c r="N2243" i="41" s="1"/>
  <c r="I2349" i="41" s="1"/>
  <c r="N1205" i="41"/>
  <c r="I1311" i="41" s="1"/>
  <c r="M31" i="44"/>
  <c r="K1777" i="57"/>
  <c r="D1883" i="57"/>
  <c r="G1883" i="57" s="1"/>
  <c r="D2147" i="57"/>
  <c r="G2147" i="57" s="1"/>
  <c r="O73" i="44"/>
  <c r="K2041" i="57"/>
  <c r="I14" i="44"/>
  <c r="D1442" i="57"/>
  <c r="G1390" i="41"/>
  <c r="G1182" i="41"/>
  <c r="N1070" i="57"/>
  <c r="I1129" i="41"/>
  <c r="N1025" i="41"/>
  <c r="G1072" i="57"/>
  <c r="D1082" i="57"/>
  <c r="K2099" i="41"/>
  <c r="N2099" i="41" s="1"/>
  <c r="I2205" i="41" s="1"/>
  <c r="D2205" i="41"/>
  <c r="G2205" i="41" s="1"/>
  <c r="I2197" i="57"/>
  <c r="N2197" i="57" s="1"/>
  <c r="P27" i="43"/>
  <c r="D2246" i="41"/>
  <c r="G2246" i="41" s="1"/>
  <c r="K2140" i="41"/>
  <c r="I1656" i="41"/>
  <c r="K1880" i="57"/>
  <c r="N28" i="44"/>
  <c r="D1986" i="57"/>
  <c r="G1986" i="57" s="1"/>
  <c r="G1551" i="41"/>
  <c r="D2266" i="41"/>
  <c r="G2266" i="41" s="1"/>
  <c r="K2160" i="41"/>
  <c r="N34" i="43"/>
  <c r="I1992" i="57"/>
  <c r="N1992" i="57" s="1"/>
  <c r="G1238" i="57"/>
  <c r="D1239" i="57"/>
  <c r="G1403" i="57"/>
  <c r="M37" i="43"/>
  <c r="D1236" i="41"/>
  <c r="G1131" i="41"/>
  <c r="D2257" i="57"/>
  <c r="G2257" i="57" s="1"/>
  <c r="K2151" i="57"/>
  <c r="P77" i="44"/>
  <c r="I2050" i="57"/>
  <c r="N2050" i="57" s="1"/>
  <c r="N82" i="43"/>
  <c r="J2108" i="41"/>
  <c r="K2002" i="41"/>
  <c r="N2002" i="41" s="1"/>
  <c r="I2108" i="41" s="1"/>
  <c r="N1076" i="41"/>
  <c r="I1182" i="41" s="1"/>
  <c r="N1337" i="57"/>
  <c r="N77" i="43"/>
  <c r="I2045" i="57"/>
  <c r="N2045" i="57" s="1"/>
  <c r="D2262" i="57"/>
  <c r="G2262" i="57" s="1"/>
  <c r="K2156" i="57"/>
  <c r="P82" i="44"/>
  <c r="L32" i="43"/>
  <c r="I1778" i="57"/>
  <c r="N1778" i="57" s="1"/>
  <c r="D1134" i="41"/>
  <c r="G1029" i="41"/>
  <c r="G1019" i="57"/>
  <c r="D1023" i="57"/>
  <c r="N1760" i="57"/>
  <c r="G1656" i="41"/>
  <c r="M73" i="43"/>
  <c r="I1935" i="57"/>
  <c r="N1935" i="57" s="1"/>
  <c r="Q18" i="44"/>
  <c r="D2294" i="57"/>
  <c r="G2294" i="57" s="1"/>
  <c r="R18" i="44" s="1"/>
  <c r="N2140" i="41" l="1"/>
  <c r="I2246" i="41" s="1"/>
  <c r="N2143" i="41"/>
  <c r="I2249" i="41" s="1"/>
  <c r="N2029" i="41"/>
  <c r="I2135" i="41" s="1"/>
  <c r="Q30" i="44"/>
  <c r="K2200" i="57"/>
  <c r="N2094" i="57"/>
  <c r="P30" i="43" s="1"/>
  <c r="L74" i="43"/>
  <c r="K1936" i="57"/>
  <c r="O30" i="43"/>
  <c r="N2216" i="41"/>
  <c r="I2322" i="41" s="1"/>
  <c r="N2322" i="41" s="1"/>
  <c r="N2000" i="57"/>
  <c r="I2106" i="57" s="1"/>
  <c r="I917" i="57"/>
  <c r="I998" i="57" s="1"/>
  <c r="N916" i="57"/>
  <c r="D2042" i="57"/>
  <c r="G2042" i="57" s="1"/>
  <c r="O74" i="44" s="1"/>
  <c r="N2160" i="41"/>
  <c r="I2266" i="41" s="1"/>
  <c r="C52" i="49"/>
  <c r="C73" i="49" s="1"/>
  <c r="D19" i="34" s="1"/>
  <c r="I53" i="49"/>
  <c r="N1830" i="57"/>
  <c r="M74" i="43" s="1"/>
  <c r="D1104" i="57"/>
  <c r="K1000" i="41"/>
  <c r="J26" i="41" s="1"/>
  <c r="M26" i="41" s="1"/>
  <c r="I1840" i="57"/>
  <c r="N1840" i="57" s="1"/>
  <c r="D2052" i="57"/>
  <c r="G2052" i="57" s="1"/>
  <c r="O84" i="44" s="1"/>
  <c r="N2133" i="41"/>
  <c r="I2239" i="41" s="1"/>
  <c r="K1946" i="57"/>
  <c r="S26" i="43"/>
  <c r="L30" i="48" s="1"/>
  <c r="S41" i="43"/>
  <c r="L45" i="48" s="1"/>
  <c r="P76" i="44"/>
  <c r="D2256" i="57"/>
  <c r="G2256" i="57" s="1"/>
  <c r="I2362" i="57"/>
  <c r="N2362" i="57" s="1"/>
  <c r="R76" i="43" s="1"/>
  <c r="G84" i="48" s="1"/>
  <c r="I84" i="48" s="1"/>
  <c r="K84" i="48" s="1"/>
  <c r="Q76" i="43"/>
  <c r="I1791" i="57"/>
  <c r="N1791" i="57" s="1"/>
  <c r="L40" i="43"/>
  <c r="Q78" i="44"/>
  <c r="D2364" i="57"/>
  <c r="G2364" i="57" s="1"/>
  <c r="R78" i="44" s="1"/>
  <c r="D66" i="47" s="1"/>
  <c r="F66" i="47" s="1"/>
  <c r="H66" i="47" s="1"/>
  <c r="S26" i="44"/>
  <c r="P79" i="43"/>
  <c r="I2259" i="57"/>
  <c r="N2259" i="57" s="1"/>
  <c r="N33" i="44"/>
  <c r="K1885" i="57"/>
  <c r="D1991" i="57"/>
  <c r="G1991" i="57" s="1"/>
  <c r="Q41" i="44"/>
  <c r="D2322" i="57"/>
  <c r="G2322" i="57" s="1"/>
  <c r="R41" i="44" s="1"/>
  <c r="D42" i="47" s="1"/>
  <c r="F42" i="47" s="1"/>
  <c r="H42" i="47" s="1"/>
  <c r="D2031" i="57"/>
  <c r="G2031" i="57" s="1"/>
  <c r="N63" i="44"/>
  <c r="K1925" i="57"/>
  <c r="N67" i="44"/>
  <c r="D2035" i="57"/>
  <c r="G2035" i="57" s="1"/>
  <c r="K1929" i="57"/>
  <c r="I1820" i="57"/>
  <c r="N1820" i="57" s="1"/>
  <c r="L64" i="43"/>
  <c r="D2292" i="57"/>
  <c r="G2292" i="57" s="1"/>
  <c r="R16" i="44" s="1"/>
  <c r="D17" i="47" s="1"/>
  <c r="F17" i="47" s="1"/>
  <c r="H17" i="47" s="1"/>
  <c r="Q16" i="44"/>
  <c r="D2003" i="57"/>
  <c r="G2003" i="57" s="1"/>
  <c r="N40" i="44"/>
  <c r="K1897" i="57"/>
  <c r="N64" i="44"/>
  <c r="D2032" i="57"/>
  <c r="G2032" i="57" s="1"/>
  <c r="K1926" i="57"/>
  <c r="I1779" i="57"/>
  <c r="N1779" i="57" s="1"/>
  <c r="L33" i="43"/>
  <c r="L63" i="43"/>
  <c r="I1819" i="57"/>
  <c r="N1819" i="57" s="1"/>
  <c r="D2153" i="57"/>
  <c r="G2153" i="57" s="1"/>
  <c r="O79" i="44"/>
  <c r="I1823" i="57"/>
  <c r="N1823" i="57" s="1"/>
  <c r="L67" i="43"/>
  <c r="I1899" i="57"/>
  <c r="N1899" i="57" s="1"/>
  <c r="M42" i="43"/>
  <c r="D2311" i="57"/>
  <c r="G2311" i="57" s="1"/>
  <c r="R35" i="44" s="1"/>
  <c r="D36" i="47" s="1"/>
  <c r="F36" i="47" s="1"/>
  <c r="H36" i="47" s="1"/>
  <c r="Q35" i="44"/>
  <c r="D2049" i="57"/>
  <c r="G2049" i="57" s="1"/>
  <c r="N81" i="44"/>
  <c r="K1943" i="57"/>
  <c r="O42" i="44"/>
  <c r="D2111" i="57"/>
  <c r="G2111" i="57" s="1"/>
  <c r="K2005" i="57"/>
  <c r="I1837" i="57"/>
  <c r="N1837" i="57" s="1"/>
  <c r="L81" i="43"/>
  <c r="N2151" i="41"/>
  <c r="I2257" i="41" s="1"/>
  <c r="I1133" i="57"/>
  <c r="N1132" i="57"/>
  <c r="G22" i="43" s="1"/>
  <c r="G23" i="43" s="1"/>
  <c r="G1087" i="41"/>
  <c r="D1101" i="41"/>
  <c r="D1106" i="41" s="1"/>
  <c r="N981" i="41"/>
  <c r="I995" i="41"/>
  <c r="I1000" i="41" s="1"/>
  <c r="D2241" i="41"/>
  <c r="G2241" i="41" s="1"/>
  <c r="K2135" i="41"/>
  <c r="N2135" i="41" s="1"/>
  <c r="I2241" i="41" s="1"/>
  <c r="S17" i="44"/>
  <c r="I1924" i="57"/>
  <c r="N1924" i="57" s="1"/>
  <c r="M62" i="43"/>
  <c r="K2030" i="57"/>
  <c r="O62" i="44"/>
  <c r="D2136" i="57"/>
  <c r="G2136" i="57" s="1"/>
  <c r="D2140" i="57"/>
  <c r="G2140" i="57" s="1"/>
  <c r="K2034" i="57"/>
  <c r="O66" i="44"/>
  <c r="I1928" i="57"/>
  <c r="N1928" i="57" s="1"/>
  <c r="M66" i="43"/>
  <c r="K2025" i="57"/>
  <c r="O57" i="44"/>
  <c r="D2131" i="57"/>
  <c r="G2131" i="57" s="1"/>
  <c r="I1919" i="57"/>
  <c r="N1919" i="57" s="1"/>
  <c r="M57" i="43"/>
  <c r="O83" i="44"/>
  <c r="D2157" i="57"/>
  <c r="G2157" i="57" s="1"/>
  <c r="K2051" i="57"/>
  <c r="I1945" i="57"/>
  <c r="N1945" i="57" s="1"/>
  <c r="M83" i="43"/>
  <c r="K2257" i="41"/>
  <c r="D2363" i="41"/>
  <c r="G2363" i="41" s="1"/>
  <c r="K2363" i="41" s="1"/>
  <c r="I1895" i="57"/>
  <c r="N1895" i="57" s="1"/>
  <c r="M38" i="43"/>
  <c r="K2001" i="57"/>
  <c r="O38" i="44"/>
  <c r="D2107" i="57"/>
  <c r="G2107" i="57" s="1"/>
  <c r="I1298" i="57"/>
  <c r="I2048" i="57"/>
  <c r="N2048" i="57" s="1"/>
  <c r="N80" i="43"/>
  <c r="D2260" i="57"/>
  <c r="G2260" i="57" s="1"/>
  <c r="P80" i="44"/>
  <c r="K2154" i="57"/>
  <c r="D2346" i="41"/>
  <c r="G2346" i="41" s="1"/>
  <c r="K2346" i="41" s="1"/>
  <c r="K2240" i="41"/>
  <c r="N2240" i="41" s="1"/>
  <c r="I2346" i="41" s="1"/>
  <c r="D2306" i="41"/>
  <c r="G2306" i="41" s="1"/>
  <c r="K2306" i="41" s="1"/>
  <c r="K2200" i="41"/>
  <c r="N2200" i="41" s="1"/>
  <c r="I2306" i="41" s="1"/>
  <c r="M65" i="43"/>
  <c r="I1927" i="57"/>
  <c r="N1927" i="57" s="1"/>
  <c r="K2002" i="57"/>
  <c r="D2108" i="57"/>
  <c r="G2108" i="57" s="1"/>
  <c r="O39" i="44"/>
  <c r="D2133" i="57"/>
  <c r="G2133" i="57" s="1"/>
  <c r="O59" i="44"/>
  <c r="K2027" i="57"/>
  <c r="F75" i="44"/>
  <c r="F85" i="44" s="1"/>
  <c r="K1089" i="57"/>
  <c r="D1195" i="57"/>
  <c r="G1099" i="57"/>
  <c r="I2028" i="57"/>
  <c r="N2028" i="57" s="1"/>
  <c r="N60" i="43"/>
  <c r="O65" i="44"/>
  <c r="K2033" i="57"/>
  <c r="D2139" i="57"/>
  <c r="G2139" i="57" s="1"/>
  <c r="D2240" i="57"/>
  <c r="G2240" i="57" s="1"/>
  <c r="P60" i="44"/>
  <c r="K2134" i="57"/>
  <c r="I1896" i="57"/>
  <c r="N1896" i="57" s="1"/>
  <c r="M39" i="43"/>
  <c r="K1987" i="57"/>
  <c r="O29" i="44"/>
  <c r="D2093" i="57"/>
  <c r="G2093" i="57" s="1"/>
  <c r="I1089" i="57"/>
  <c r="I1099" i="57" s="1"/>
  <c r="N993" i="57"/>
  <c r="I1921" i="57"/>
  <c r="N1921" i="57" s="1"/>
  <c r="M59" i="43"/>
  <c r="I1881" i="57"/>
  <c r="N1881" i="57" s="1"/>
  <c r="M29" i="43"/>
  <c r="N2349" i="41"/>
  <c r="M61" i="43"/>
  <c r="I1923" i="57"/>
  <c r="N1923" i="57" s="1"/>
  <c r="D2355" i="41"/>
  <c r="G2355" i="41" s="1"/>
  <c r="K2355" i="41" s="1"/>
  <c r="K2249" i="41"/>
  <c r="O61" i="44"/>
  <c r="K2029" i="57"/>
  <c r="D2135" i="57"/>
  <c r="G2135" i="57" s="1"/>
  <c r="K2239" i="41"/>
  <c r="D2345" i="41"/>
  <c r="G2345" i="41" s="1"/>
  <c r="K2345" i="41" s="1"/>
  <c r="I2303" i="57"/>
  <c r="N2303" i="57" s="1"/>
  <c r="R27" i="43" s="1"/>
  <c r="Q27" i="43"/>
  <c r="D1496" i="41"/>
  <c r="K1390" i="41"/>
  <c r="H27" i="47"/>
  <c r="D2310" i="57"/>
  <c r="G2310" i="57" s="1"/>
  <c r="K2204" i="57"/>
  <c r="Q34" i="44"/>
  <c r="I1072" i="57"/>
  <c r="N976" i="57"/>
  <c r="N1232" i="57"/>
  <c r="K1298" i="57"/>
  <c r="H72" i="44"/>
  <c r="D1404" i="57"/>
  <c r="D1417" i="41"/>
  <c r="K1311" i="41"/>
  <c r="I1191" i="57"/>
  <c r="F71" i="43"/>
  <c r="N1134" i="41"/>
  <c r="I1135" i="41"/>
  <c r="D1762" i="41"/>
  <c r="F15" i="44"/>
  <c r="D1125" i="57"/>
  <c r="G1023" i="57"/>
  <c r="N73" i="43"/>
  <c r="I2041" i="57"/>
  <c r="N2041" i="57" s="1"/>
  <c r="O77" i="43"/>
  <c r="I2151" i="57"/>
  <c r="N2151" i="57" s="1"/>
  <c r="D19" i="47"/>
  <c r="F19" i="47" s="1"/>
  <c r="H19" i="47" s="1"/>
  <c r="S18" i="44"/>
  <c r="O82" i="43"/>
  <c r="I2156" i="57"/>
  <c r="N2156" i="57" s="1"/>
  <c r="K2257" i="57"/>
  <c r="Q77" i="44"/>
  <c r="D2363" i="57"/>
  <c r="G2363" i="57" s="1"/>
  <c r="D1657" i="41"/>
  <c r="K2205" i="41"/>
  <c r="N2205" i="41" s="1"/>
  <c r="I2311" i="41" s="1"/>
  <c r="D2311" i="41"/>
  <c r="G2311" i="41" s="1"/>
  <c r="K2311" i="41" s="1"/>
  <c r="K2306" i="57"/>
  <c r="R30" i="44"/>
  <c r="K1072" i="57"/>
  <c r="K1082" i="57" s="1"/>
  <c r="D1178" i="57"/>
  <c r="F58" i="44"/>
  <c r="G1082" i="57"/>
  <c r="F56" i="43"/>
  <c r="I1176" i="57"/>
  <c r="K1883" i="57"/>
  <c r="D1989" i="57"/>
  <c r="G1989" i="57" s="1"/>
  <c r="N31" i="44"/>
  <c r="D1159" i="41"/>
  <c r="K1053" i="41"/>
  <c r="K1084" i="41" s="1"/>
  <c r="G1084" i="41"/>
  <c r="H61" i="130"/>
  <c r="G1134" i="41"/>
  <c r="D1135" i="41"/>
  <c r="K1403" i="57"/>
  <c r="D1509" i="57"/>
  <c r="I71" i="44"/>
  <c r="O34" i="43"/>
  <c r="I2098" i="57"/>
  <c r="N2098" i="57" s="1"/>
  <c r="K1986" i="57"/>
  <c r="D2092" i="57"/>
  <c r="G2092" i="57" s="1"/>
  <c r="O28" i="44"/>
  <c r="N1656" i="41"/>
  <c r="K2246" i="41"/>
  <c r="D2352" i="41"/>
  <c r="G2352" i="41" s="1"/>
  <c r="K2352" i="41" s="1"/>
  <c r="N1129" i="41"/>
  <c r="I1131" i="41"/>
  <c r="D1288" i="41"/>
  <c r="K1182" i="41"/>
  <c r="P37" i="44"/>
  <c r="M28" i="43"/>
  <c r="I1880" i="57"/>
  <c r="N1880" i="57" s="1"/>
  <c r="I1053" i="41"/>
  <c r="N978" i="41"/>
  <c r="L31" i="43"/>
  <c r="I1777" i="57"/>
  <c r="N1777" i="57" s="1"/>
  <c r="K1176" i="57"/>
  <c r="G56" i="44"/>
  <c r="D1282" i="57"/>
  <c r="J2212" i="57"/>
  <c r="K2106" i="57"/>
  <c r="N1178" i="41"/>
  <c r="M14" i="43"/>
  <c r="I1866" i="57"/>
  <c r="M32" i="43"/>
  <c r="I1884" i="57"/>
  <c r="N1884" i="57" s="1"/>
  <c r="K2262" i="57"/>
  <c r="Q82" i="44"/>
  <c r="D2368" i="57"/>
  <c r="G2368" i="57" s="1"/>
  <c r="I1443" i="57"/>
  <c r="I15" i="43"/>
  <c r="J2214" i="41"/>
  <c r="K2108" i="41"/>
  <c r="N2108" i="41" s="1"/>
  <c r="I2214" i="41" s="1"/>
  <c r="G1236" i="41"/>
  <c r="D1237" i="41"/>
  <c r="N37" i="43"/>
  <c r="H22" i="44"/>
  <c r="G1239" i="57"/>
  <c r="D1344" i="57"/>
  <c r="D2372" i="41"/>
  <c r="G2372" i="41" s="1"/>
  <c r="K2372" i="41" s="1"/>
  <c r="K2266" i="41"/>
  <c r="G1442" i="57"/>
  <c r="P73" i="44"/>
  <c r="K2147" i="57"/>
  <c r="D2253" i="57"/>
  <c r="G2253" i="57" s="1"/>
  <c r="Q27" i="44"/>
  <c r="D2303" i="57"/>
  <c r="G2303" i="57" s="1"/>
  <c r="R27" i="44" s="1"/>
  <c r="I70" i="49"/>
  <c r="C70" i="49" s="1"/>
  <c r="C69" i="49"/>
  <c r="C74" i="49" s="1"/>
  <c r="D19" i="54" s="1"/>
  <c r="O32" i="44"/>
  <c r="K1990" i="57"/>
  <c r="D2096" i="57"/>
  <c r="G2096" i="57" s="1"/>
  <c r="I27" i="41" l="1"/>
  <c r="N2246" i="41"/>
  <c r="I2352" i="41" s="1"/>
  <c r="N2352" i="41" s="1"/>
  <c r="N2249" i="41"/>
  <c r="I2355" i="41" s="1"/>
  <c r="N2355" i="41" s="1"/>
  <c r="I2200" i="57"/>
  <c r="N2200" i="57" s="1"/>
  <c r="I2306" i="57" s="1"/>
  <c r="N2306" i="57" s="1"/>
  <c r="R30" i="43" s="1"/>
  <c r="D2148" i="57"/>
  <c r="G2148" i="57" s="1"/>
  <c r="P74" i="44" s="1"/>
  <c r="N2106" i="57"/>
  <c r="I2212" i="57" s="1"/>
  <c r="K2042" i="57"/>
  <c r="N2266" i="41"/>
  <c r="I2372" i="41" s="1"/>
  <c r="N2372" i="41" s="1"/>
  <c r="I1022" i="57"/>
  <c r="N917" i="57"/>
  <c r="N998" i="57" s="1"/>
  <c r="I1936" i="57"/>
  <c r="N1936" i="57" s="1"/>
  <c r="I2042" i="57" s="1"/>
  <c r="D23" i="34"/>
  <c r="F19" i="34"/>
  <c r="I54" i="49"/>
  <c r="C53" i="49"/>
  <c r="G1104" i="57"/>
  <c r="N2239" i="41"/>
  <c r="I2345" i="41" s="1"/>
  <c r="N2345" i="41" s="1"/>
  <c r="K2052" i="57"/>
  <c r="D2158" i="57"/>
  <c r="G2158" i="57" s="1"/>
  <c r="P84" i="44" s="1"/>
  <c r="I1946" i="57"/>
  <c r="N1946" i="57" s="1"/>
  <c r="N84" i="43" s="1"/>
  <c r="M84" i="43"/>
  <c r="S76" i="43"/>
  <c r="L84" i="48" s="1"/>
  <c r="S16" i="44"/>
  <c r="I1897" i="57"/>
  <c r="N1897" i="57" s="1"/>
  <c r="M40" i="43"/>
  <c r="D2109" i="57"/>
  <c r="G2109" i="57" s="1"/>
  <c r="K2003" i="57"/>
  <c r="O40" i="44"/>
  <c r="I1926" i="57"/>
  <c r="N1926" i="57" s="1"/>
  <c r="M64" i="43"/>
  <c r="S78" i="44"/>
  <c r="D2259" i="57"/>
  <c r="G2259" i="57" s="1"/>
  <c r="P79" i="44"/>
  <c r="K1991" i="57"/>
  <c r="O33" i="44"/>
  <c r="D2097" i="57"/>
  <c r="G2097" i="57" s="1"/>
  <c r="S41" i="44"/>
  <c r="M67" i="43"/>
  <c r="I1929" i="57"/>
  <c r="N1929" i="57" s="1"/>
  <c r="D2138" i="57"/>
  <c r="G2138" i="57" s="1"/>
  <c r="K2032" i="57"/>
  <c r="O64" i="44"/>
  <c r="Q79" i="43"/>
  <c r="I2365" i="57"/>
  <c r="N2365" i="57" s="1"/>
  <c r="R79" i="43" s="1"/>
  <c r="G87" i="48" s="1"/>
  <c r="I87" i="48" s="1"/>
  <c r="K87" i="48" s="1"/>
  <c r="I1925" i="57"/>
  <c r="N1925" i="57" s="1"/>
  <c r="M63" i="43"/>
  <c r="M33" i="43"/>
  <c r="I1885" i="57"/>
  <c r="N1885" i="57" s="1"/>
  <c r="K2035" i="57"/>
  <c r="O67" i="44"/>
  <c r="D2141" i="57"/>
  <c r="G2141" i="57" s="1"/>
  <c r="O63" i="44"/>
  <c r="D2137" i="57"/>
  <c r="G2137" i="57" s="1"/>
  <c r="K2031" i="57"/>
  <c r="I29" i="130"/>
  <c r="F30" i="48"/>
  <c r="I27" i="47"/>
  <c r="D2362" i="57"/>
  <c r="G2362" i="57" s="1"/>
  <c r="R76" i="44" s="1"/>
  <c r="D64" i="47" s="1"/>
  <c r="F64" i="47" s="1"/>
  <c r="H64" i="47" s="1"/>
  <c r="Q76" i="44"/>
  <c r="S35" i="44"/>
  <c r="I38" i="130" s="1"/>
  <c r="I1943" i="57"/>
  <c r="N1943" i="57" s="1"/>
  <c r="M81" i="43"/>
  <c r="D2217" i="57"/>
  <c r="G2217" i="57" s="1"/>
  <c r="P42" i="44"/>
  <c r="K2111" i="57"/>
  <c r="D2155" i="57"/>
  <c r="G2155" i="57" s="1"/>
  <c r="K2049" i="57"/>
  <c r="O81" i="44"/>
  <c r="N42" i="43"/>
  <c r="I2005" i="57"/>
  <c r="N2005" i="57" s="1"/>
  <c r="N2257" i="41"/>
  <c r="I2363" i="41" s="1"/>
  <c r="N2363" i="41" s="1"/>
  <c r="I1238" i="57"/>
  <c r="N1133" i="57"/>
  <c r="K1087" i="41"/>
  <c r="K1101" i="41" s="1"/>
  <c r="D1193" i="41"/>
  <c r="G1101" i="41"/>
  <c r="G1106" i="41" s="1"/>
  <c r="I1087" i="41"/>
  <c r="N995" i="41"/>
  <c r="N1000" i="41" s="1"/>
  <c r="N1311" i="41"/>
  <c r="I1417" i="41" s="1"/>
  <c r="K2241" i="41"/>
  <c r="N2241" i="41" s="1"/>
  <c r="I2347" i="41" s="1"/>
  <c r="D2347" i="41"/>
  <c r="G2347" i="41" s="1"/>
  <c r="K2347" i="41" s="1"/>
  <c r="P66" i="44"/>
  <c r="D2246" i="57"/>
  <c r="G2246" i="57" s="1"/>
  <c r="K2140" i="57"/>
  <c r="I2034" i="57"/>
  <c r="N2034" i="57" s="1"/>
  <c r="N66" i="43"/>
  <c r="K2136" i="57"/>
  <c r="P62" i="44"/>
  <c r="D2242" i="57"/>
  <c r="G2242" i="57" s="1"/>
  <c r="I2030" i="57"/>
  <c r="N2030" i="57" s="1"/>
  <c r="N62" i="43"/>
  <c r="F21" i="48"/>
  <c r="I18" i="47"/>
  <c r="I20" i="130"/>
  <c r="I2025" i="57"/>
  <c r="N2025" i="57" s="1"/>
  <c r="N57" i="43"/>
  <c r="D2237" i="57"/>
  <c r="G2237" i="57" s="1"/>
  <c r="P57" i="44"/>
  <c r="K2131" i="57"/>
  <c r="I2051" i="57"/>
  <c r="N2051" i="57" s="1"/>
  <c r="N83" i="43"/>
  <c r="K2157" i="57"/>
  <c r="P83" i="44"/>
  <c r="D2263" i="57"/>
  <c r="G2263" i="57" s="1"/>
  <c r="D2213" i="57"/>
  <c r="G2213" i="57" s="1"/>
  <c r="P38" i="44"/>
  <c r="K2107" i="57"/>
  <c r="N38" i="43"/>
  <c r="I2001" i="57"/>
  <c r="N2001" i="57" s="1"/>
  <c r="N2346" i="41"/>
  <c r="N2306" i="41"/>
  <c r="K2260" i="57"/>
  <c r="Q80" i="44"/>
  <c r="D2366" i="57"/>
  <c r="G2366" i="57" s="1"/>
  <c r="O80" i="43"/>
  <c r="I2154" i="57"/>
  <c r="N2154" i="57" s="1"/>
  <c r="N2311" i="41"/>
  <c r="K2108" i="57"/>
  <c r="P39" i="44"/>
  <c r="D2214" i="57"/>
  <c r="G2214" i="57" s="1"/>
  <c r="N29" i="43"/>
  <c r="I1987" i="57"/>
  <c r="N1987" i="57" s="1"/>
  <c r="N1298" i="57"/>
  <c r="I1404" i="57" s="1"/>
  <c r="P29" i="44"/>
  <c r="K2093" i="57"/>
  <c r="D2199" i="57"/>
  <c r="G2199" i="57" s="1"/>
  <c r="N39" i="43"/>
  <c r="I2002" i="57"/>
  <c r="N2002" i="57" s="1"/>
  <c r="P65" i="44"/>
  <c r="K2139" i="57"/>
  <c r="D2245" i="57"/>
  <c r="G2245" i="57" s="1"/>
  <c r="I2134" i="57"/>
  <c r="N2134" i="57" s="1"/>
  <c r="O60" i="43"/>
  <c r="D80" i="130"/>
  <c r="G1195" i="57"/>
  <c r="D1205" i="57"/>
  <c r="I2033" i="57"/>
  <c r="N2033" i="57" s="1"/>
  <c r="N65" i="43"/>
  <c r="Q60" i="44"/>
  <c r="D2346" i="57"/>
  <c r="G2346" i="57" s="1"/>
  <c r="K2240" i="57"/>
  <c r="N59" i="43"/>
  <c r="I2027" i="57"/>
  <c r="N2027" i="57" s="1"/>
  <c r="N1089" i="57"/>
  <c r="K1099" i="57"/>
  <c r="P59" i="44"/>
  <c r="K2133" i="57"/>
  <c r="D2239" i="57"/>
  <c r="G2239" i="57" s="1"/>
  <c r="P61" i="44"/>
  <c r="D2241" i="57"/>
  <c r="G2241" i="57" s="1"/>
  <c r="K2135" i="57"/>
  <c r="N61" i="43"/>
  <c r="I2029" i="57"/>
  <c r="N2029" i="57" s="1"/>
  <c r="D28" i="47"/>
  <c r="S27" i="44"/>
  <c r="D1548" i="57"/>
  <c r="J14" i="44"/>
  <c r="H23" i="44"/>
  <c r="N32" i="43"/>
  <c r="I1990" i="57"/>
  <c r="N1990" i="57" s="1"/>
  <c r="N1866" i="57"/>
  <c r="I1284" i="41"/>
  <c r="M31" i="43"/>
  <c r="I1883" i="57"/>
  <c r="N1883" i="57" s="1"/>
  <c r="G1509" i="57"/>
  <c r="K2253" i="57"/>
  <c r="D2359" i="57"/>
  <c r="G2359" i="57" s="1"/>
  <c r="Q73" i="44"/>
  <c r="R82" i="44"/>
  <c r="K2368" i="57"/>
  <c r="G1344" i="57"/>
  <c r="D1345" i="57"/>
  <c r="O37" i="43"/>
  <c r="G1282" i="57"/>
  <c r="N28" i="43"/>
  <c r="I1986" i="57"/>
  <c r="N1986" i="57" s="1"/>
  <c r="G1159" i="41"/>
  <c r="D1190" i="41"/>
  <c r="K1989" i="57"/>
  <c r="O31" i="44"/>
  <c r="D2095" i="57"/>
  <c r="G2095" i="57" s="1"/>
  <c r="F68" i="44"/>
  <c r="K2363" i="57"/>
  <c r="R77" i="44"/>
  <c r="P82" i="43"/>
  <c r="I2262" i="57"/>
  <c r="N2262" i="57" s="1"/>
  <c r="I21" i="130"/>
  <c r="F22" i="48"/>
  <c r="I19" i="47"/>
  <c r="G1125" i="57"/>
  <c r="D18" i="130"/>
  <c r="D1129" i="57"/>
  <c r="G1762" i="41"/>
  <c r="N1072" i="57"/>
  <c r="I1082" i="57"/>
  <c r="N1176" i="57"/>
  <c r="D63" i="130"/>
  <c r="G1178" i="57"/>
  <c r="D1188" i="57"/>
  <c r="D31" i="47"/>
  <c r="F31" i="47" s="1"/>
  <c r="H31" i="47" s="1"/>
  <c r="S30" i="44"/>
  <c r="O73" i="43"/>
  <c r="I2147" i="57"/>
  <c r="N2147" i="57" s="1"/>
  <c r="F19" i="44"/>
  <c r="G1417" i="41"/>
  <c r="G1404" i="57"/>
  <c r="H16" i="43"/>
  <c r="I1338" i="57"/>
  <c r="G1496" i="41"/>
  <c r="G19" i="54"/>
  <c r="D23" i="54"/>
  <c r="N1053" i="41"/>
  <c r="I1084" i="41"/>
  <c r="G1288" i="41"/>
  <c r="I1762" i="41"/>
  <c r="D1342" i="41"/>
  <c r="G1237" i="41"/>
  <c r="G1657" i="41"/>
  <c r="P77" i="43"/>
  <c r="I2257" i="57"/>
  <c r="N2257" i="57" s="1"/>
  <c r="N1191" i="57"/>
  <c r="R34" i="44"/>
  <c r="K2310" i="57"/>
  <c r="I1235" i="41"/>
  <c r="N1131" i="41"/>
  <c r="I2204" i="57"/>
  <c r="N2204" i="57" s="1"/>
  <c r="P34" i="43"/>
  <c r="N1443" i="57"/>
  <c r="K2096" i="57"/>
  <c r="D2202" i="57"/>
  <c r="G2202" i="57" s="1"/>
  <c r="P32" i="44"/>
  <c r="J2320" i="41"/>
  <c r="K2320" i="41" s="1"/>
  <c r="K2214" i="41"/>
  <c r="N2214" i="41" s="1"/>
  <c r="I2320" i="41" s="1"/>
  <c r="J2318" i="57"/>
  <c r="K2318" i="57" s="1"/>
  <c r="K2212" i="57"/>
  <c r="Q37" i="44"/>
  <c r="D2198" i="57"/>
  <c r="G2198" i="57" s="1"/>
  <c r="P28" i="44"/>
  <c r="K2092" i="57"/>
  <c r="G1135" i="41"/>
  <c r="D1240" i="41"/>
  <c r="N1182" i="41"/>
  <c r="I1288" i="41" s="1"/>
  <c r="I1240" i="41"/>
  <c r="N1135" i="41"/>
  <c r="G31" i="48"/>
  <c r="I31" i="48" s="1"/>
  <c r="K31" i="48" s="1"/>
  <c r="S27" i="43"/>
  <c r="L31" i="48" s="1"/>
  <c r="Q30" i="43" l="1"/>
  <c r="F90" i="44"/>
  <c r="N2042" i="57"/>
  <c r="O74" i="43" s="1"/>
  <c r="D2254" i="57"/>
  <c r="G2254" i="57" s="1"/>
  <c r="Q74" i="44" s="1"/>
  <c r="N2212" i="57"/>
  <c r="I2318" i="57" s="1"/>
  <c r="N2318" i="57" s="1"/>
  <c r="K2148" i="57"/>
  <c r="N74" i="43"/>
  <c r="N1022" i="57"/>
  <c r="I1023" i="57"/>
  <c r="I1104" i="57" s="1"/>
  <c r="I55" i="49"/>
  <c r="C54" i="49"/>
  <c r="I21" i="22"/>
  <c r="L21" i="22" s="1"/>
  <c r="F23" i="34"/>
  <c r="J27" i="1" s="1"/>
  <c r="D1210" i="57"/>
  <c r="K1104" i="57"/>
  <c r="J27" i="57" s="1"/>
  <c r="K2158" i="57"/>
  <c r="I2052" i="57"/>
  <c r="N2052" i="57" s="1"/>
  <c r="D2264" i="57"/>
  <c r="G2264" i="57" s="1"/>
  <c r="Q84" i="44" s="1"/>
  <c r="K1106" i="41"/>
  <c r="J27" i="41" s="1"/>
  <c r="M27" i="41" s="1"/>
  <c r="F39" i="48"/>
  <c r="S76" i="44"/>
  <c r="I81" i="130" s="1"/>
  <c r="I17" i="47"/>
  <c r="F20" i="48"/>
  <c r="I19" i="130"/>
  <c r="N40" i="43"/>
  <c r="I2003" i="57"/>
  <c r="N2003" i="57" s="1"/>
  <c r="I1991" i="57"/>
  <c r="N1991" i="57" s="1"/>
  <c r="N33" i="43"/>
  <c r="I44" i="130"/>
  <c r="I42" i="47"/>
  <c r="F45" i="48"/>
  <c r="I66" i="47"/>
  <c r="F86" i="48"/>
  <c r="I83" i="130"/>
  <c r="N67" i="43"/>
  <c r="I2035" i="57"/>
  <c r="N2035" i="57" s="1"/>
  <c r="I2032" i="57"/>
  <c r="N2032" i="57" s="1"/>
  <c r="N64" i="43"/>
  <c r="P63" i="44"/>
  <c r="K2137" i="57"/>
  <c r="D2243" i="57"/>
  <c r="G2243" i="57" s="1"/>
  <c r="I2031" i="57"/>
  <c r="N2031" i="57" s="1"/>
  <c r="N63" i="43"/>
  <c r="K2141" i="57"/>
  <c r="D2247" i="57"/>
  <c r="G2247" i="57" s="1"/>
  <c r="P67" i="44"/>
  <c r="P64" i="44"/>
  <c r="D2244" i="57"/>
  <c r="G2244" i="57" s="1"/>
  <c r="K2138" i="57"/>
  <c r="D2203" i="57"/>
  <c r="G2203" i="57" s="1"/>
  <c r="K2097" i="57"/>
  <c r="P33" i="44"/>
  <c r="D2365" i="57"/>
  <c r="G2365" i="57" s="1"/>
  <c r="R79" i="44" s="1"/>
  <c r="D67" i="47" s="1"/>
  <c r="F67" i="47" s="1"/>
  <c r="H67" i="47" s="1"/>
  <c r="Q79" i="44"/>
  <c r="D2215" i="57"/>
  <c r="G2215" i="57" s="1"/>
  <c r="P40" i="44"/>
  <c r="K2109" i="57"/>
  <c r="S79" i="43"/>
  <c r="L87" i="48" s="1"/>
  <c r="I36" i="47"/>
  <c r="K2155" i="57"/>
  <c r="D2261" i="57"/>
  <c r="G2261" i="57" s="1"/>
  <c r="P81" i="44"/>
  <c r="N81" i="43"/>
  <c r="I2049" i="57"/>
  <c r="N2049" i="57" s="1"/>
  <c r="O42" i="43"/>
  <c r="I2111" i="57"/>
  <c r="N2111" i="57" s="1"/>
  <c r="Q42" i="44"/>
  <c r="D2323" i="57"/>
  <c r="G2323" i="57" s="1"/>
  <c r="K2217" i="57"/>
  <c r="I1239" i="57"/>
  <c r="N1238" i="57"/>
  <c r="G1193" i="41"/>
  <c r="D1207" i="41"/>
  <c r="D1212" i="41" s="1"/>
  <c r="N1087" i="41"/>
  <c r="I1101" i="41"/>
  <c r="I1106" i="41" s="1"/>
  <c r="N2347" i="41"/>
  <c r="I2140" i="57"/>
  <c r="N2140" i="57" s="1"/>
  <c r="O66" i="43"/>
  <c r="K2246" i="57"/>
  <c r="D2352" i="57"/>
  <c r="G2352" i="57" s="1"/>
  <c r="Q66" i="44"/>
  <c r="K2242" i="57"/>
  <c r="Q62" i="44"/>
  <c r="D2348" i="57"/>
  <c r="G2348" i="57" s="1"/>
  <c r="O62" i="43"/>
  <c r="I2136" i="57"/>
  <c r="N2136" i="57" s="1"/>
  <c r="D2343" i="57"/>
  <c r="G2343" i="57" s="1"/>
  <c r="Q57" i="44"/>
  <c r="K2237" i="57"/>
  <c r="I2131" i="57"/>
  <c r="N2131" i="57" s="1"/>
  <c r="O57" i="43"/>
  <c r="D2369" i="57"/>
  <c r="G2369" i="57" s="1"/>
  <c r="Q83" i="44"/>
  <c r="K2263" i="57"/>
  <c r="I2157" i="57"/>
  <c r="N2157" i="57" s="1"/>
  <c r="O83" i="43"/>
  <c r="O38" i="43"/>
  <c r="I2107" i="57"/>
  <c r="N2107" i="57" s="1"/>
  <c r="K2213" i="57"/>
  <c r="D2319" i="57"/>
  <c r="G2319" i="57" s="1"/>
  <c r="Q38" i="44"/>
  <c r="H72" i="43"/>
  <c r="I2260" i="57"/>
  <c r="N2260" i="57" s="1"/>
  <c r="P80" i="43"/>
  <c r="K2366" i="57"/>
  <c r="R80" i="44"/>
  <c r="D68" i="47" s="1"/>
  <c r="F68" i="47" s="1"/>
  <c r="H68" i="47" s="1"/>
  <c r="H80" i="130"/>
  <c r="H90" i="130" s="1"/>
  <c r="D90" i="130"/>
  <c r="K1195" i="57"/>
  <c r="K1205" i="57" s="1"/>
  <c r="G75" i="44"/>
  <c r="D1301" i="57"/>
  <c r="G1205" i="57"/>
  <c r="K2245" i="57"/>
  <c r="Q65" i="44"/>
  <c r="D2351" i="57"/>
  <c r="G2351" i="57" s="1"/>
  <c r="Q39" i="44"/>
  <c r="D2320" i="57"/>
  <c r="G2320" i="57" s="1"/>
  <c r="K2214" i="57"/>
  <c r="Q29" i="44"/>
  <c r="K2199" i="57"/>
  <c r="D2305" i="57"/>
  <c r="G2305" i="57" s="1"/>
  <c r="I2093" i="57"/>
  <c r="N2093" i="57" s="1"/>
  <c r="O29" i="43"/>
  <c r="D2345" i="57"/>
  <c r="G2345" i="57" s="1"/>
  <c r="Q59" i="44"/>
  <c r="K2239" i="57"/>
  <c r="F75" i="43"/>
  <c r="I1195" i="57"/>
  <c r="N1099" i="57"/>
  <c r="I2139" i="57"/>
  <c r="N2139" i="57" s="1"/>
  <c r="O65" i="43"/>
  <c r="I2133" i="57"/>
  <c r="N2133" i="57" s="1"/>
  <c r="O59" i="43"/>
  <c r="K2346" i="57"/>
  <c r="R60" i="44"/>
  <c r="D48" i="47" s="1"/>
  <c r="F48" i="47" s="1"/>
  <c r="H48" i="47" s="1"/>
  <c r="P60" i="43"/>
  <c r="I2240" i="57"/>
  <c r="N2240" i="57" s="1"/>
  <c r="I2108" i="57"/>
  <c r="N2108" i="57" s="1"/>
  <c r="O39" i="43"/>
  <c r="O61" i="43"/>
  <c r="I2135" i="57"/>
  <c r="N2135" i="57" s="1"/>
  <c r="N2320" i="41"/>
  <c r="Q61" i="44"/>
  <c r="D2347" i="57"/>
  <c r="G2347" i="57" s="1"/>
  <c r="K2241" i="57"/>
  <c r="Q82" i="43"/>
  <c r="I2368" i="57"/>
  <c r="N2368" i="57" s="1"/>
  <c r="R82" i="43" s="1"/>
  <c r="P37" i="43"/>
  <c r="N1284" i="41"/>
  <c r="G1548" i="57"/>
  <c r="I1297" i="57"/>
  <c r="G71" i="43"/>
  <c r="G1342" i="41"/>
  <c r="D1343" i="41"/>
  <c r="D1394" i="41"/>
  <c r="K1288" i="41"/>
  <c r="N1288" i="41" s="1"/>
  <c r="I1394" i="41" s="1"/>
  <c r="I1159" i="41"/>
  <c r="N1084" i="41"/>
  <c r="K1496" i="41"/>
  <c r="D1602" i="41"/>
  <c r="K1417" i="41"/>
  <c r="D1523" i="41"/>
  <c r="K1178" i="57"/>
  <c r="K1188" i="57" s="1"/>
  <c r="G58" i="44"/>
  <c r="D1284" i="57"/>
  <c r="G1188" i="57"/>
  <c r="H18" i="130"/>
  <c r="H22" i="130" s="1"/>
  <c r="D22" i="130"/>
  <c r="O28" i="43"/>
  <c r="I2092" i="57"/>
  <c r="N2092" i="57" s="1"/>
  <c r="I1989" i="57"/>
  <c r="N1989" i="57" s="1"/>
  <c r="N31" i="43"/>
  <c r="K2198" i="57"/>
  <c r="D2304" i="57"/>
  <c r="G2304" i="57" s="1"/>
  <c r="Q28" i="44"/>
  <c r="D35" i="47"/>
  <c r="F35" i="47" s="1"/>
  <c r="H35" i="47" s="1"/>
  <c r="S34" i="44"/>
  <c r="I2363" i="57"/>
  <c r="N2363" i="57" s="1"/>
  <c r="R77" i="43" s="1"/>
  <c r="Q77" i="43"/>
  <c r="N1338" i="57"/>
  <c r="D2201" i="57"/>
  <c r="G2201" i="57" s="1"/>
  <c r="K2095" i="57"/>
  <c r="P31" i="44"/>
  <c r="D1265" i="41"/>
  <c r="K1159" i="41"/>
  <c r="K1190" i="41" s="1"/>
  <c r="G1190" i="41"/>
  <c r="F28" i="47"/>
  <c r="N1240" i="41"/>
  <c r="I1241" i="41"/>
  <c r="D1241" i="41"/>
  <c r="G1240" i="41"/>
  <c r="I1549" i="57"/>
  <c r="J15" i="43"/>
  <c r="Q34" i="43"/>
  <c r="I2310" i="57"/>
  <c r="N2310" i="57" s="1"/>
  <c r="R34" i="43" s="1"/>
  <c r="D1763" i="41"/>
  <c r="N1762" i="41"/>
  <c r="P73" i="43"/>
  <c r="I2253" i="57"/>
  <c r="N2253" i="57" s="1"/>
  <c r="F34" i="48"/>
  <c r="I31" i="47"/>
  <c r="I33" i="130"/>
  <c r="H63" i="130"/>
  <c r="H73" i="130" s="1"/>
  <c r="D73" i="130"/>
  <c r="I1282" i="57"/>
  <c r="G56" i="43"/>
  <c r="I1178" i="57"/>
  <c r="F58" i="43"/>
  <c r="N1082" i="57"/>
  <c r="D1868" i="41"/>
  <c r="D1231" i="57"/>
  <c r="G15" i="44"/>
  <c r="G1129" i="57"/>
  <c r="D65" i="47"/>
  <c r="F65" i="47" s="1"/>
  <c r="H65" i="47" s="1"/>
  <c r="S77" i="44"/>
  <c r="I22" i="44"/>
  <c r="G1345" i="57"/>
  <c r="D1450" i="57"/>
  <c r="I1972" i="57"/>
  <c r="N14" i="43"/>
  <c r="N1235" i="41"/>
  <c r="I1237" i="41"/>
  <c r="R37" i="44"/>
  <c r="K2202" i="57"/>
  <c r="Q32" i="44"/>
  <c r="D2308" i="57"/>
  <c r="G2308" i="57" s="1"/>
  <c r="I21" i="50"/>
  <c r="G23" i="54"/>
  <c r="K1404" i="57"/>
  <c r="D1510" i="57"/>
  <c r="I72" i="44"/>
  <c r="G34" i="48"/>
  <c r="I34" i="48" s="1"/>
  <c r="K34" i="48" s="1"/>
  <c r="S30" i="43"/>
  <c r="L34" i="48" s="1"/>
  <c r="H56" i="44"/>
  <c r="D1388" i="57"/>
  <c r="K1282" i="57"/>
  <c r="D70" i="47"/>
  <c r="F70" i="47" s="1"/>
  <c r="H70" i="47" s="1"/>
  <c r="S82" i="44"/>
  <c r="R73" i="44"/>
  <c r="K2359" i="57"/>
  <c r="D1615" i="57"/>
  <c r="K1509" i="57"/>
  <c r="J71" i="44"/>
  <c r="I2096" i="57"/>
  <c r="N2096" i="57" s="1"/>
  <c r="O32" i="43"/>
  <c r="I30" i="130"/>
  <c r="I28" i="47"/>
  <c r="F31" i="48"/>
  <c r="I28" i="41" l="1"/>
  <c r="D2360" i="57"/>
  <c r="G2360" i="57" s="1"/>
  <c r="K2360" i="57" s="1"/>
  <c r="I2148" i="57"/>
  <c r="N2148" i="57" s="1"/>
  <c r="I2254" i="57" s="1"/>
  <c r="K2254" i="57"/>
  <c r="N1023" i="57"/>
  <c r="N1104" i="57" s="1"/>
  <c r="I1128" i="57"/>
  <c r="F18" i="43"/>
  <c r="F19" i="43" s="1"/>
  <c r="D95" i="130"/>
  <c r="H95" i="130"/>
  <c r="I56" i="49"/>
  <c r="C56" i="49" s="1"/>
  <c r="C55" i="49"/>
  <c r="K1210" i="57"/>
  <c r="J28" i="57" s="1"/>
  <c r="G1210" i="57"/>
  <c r="I43" i="59"/>
  <c r="I45" i="59" s="1"/>
  <c r="M27" i="57"/>
  <c r="I28" i="57" s="1"/>
  <c r="K2264" i="57"/>
  <c r="D2370" i="57"/>
  <c r="G2370" i="57" s="1"/>
  <c r="R84" i="44" s="1"/>
  <c r="O84" i="43"/>
  <c r="I2158" i="57"/>
  <c r="N2158" i="57" s="1"/>
  <c r="I2264" i="57" s="1"/>
  <c r="S79" i="44"/>
  <c r="I84" i="130" s="1"/>
  <c r="I64" i="47"/>
  <c r="F84" i="48"/>
  <c r="D2309" i="57"/>
  <c r="G2309" i="57" s="1"/>
  <c r="K2203" i="57"/>
  <c r="Q33" i="44"/>
  <c r="I2137" i="57"/>
  <c r="N2137" i="57" s="1"/>
  <c r="O63" i="43"/>
  <c r="D2353" i="57"/>
  <c r="G2353" i="57" s="1"/>
  <c r="Q67" i="44"/>
  <c r="K2247" i="57"/>
  <c r="D2349" i="57"/>
  <c r="G2349" i="57" s="1"/>
  <c r="K2243" i="57"/>
  <c r="Q63" i="44"/>
  <c r="I2138" i="57"/>
  <c r="N2138" i="57" s="1"/>
  <c r="O64" i="43"/>
  <c r="O33" i="43"/>
  <c r="I2097" i="57"/>
  <c r="N2097" i="57" s="1"/>
  <c r="D2350" i="57"/>
  <c r="G2350" i="57" s="1"/>
  <c r="K2244" i="57"/>
  <c r="Q64" i="44"/>
  <c r="I2141" i="57"/>
  <c r="N2141" i="57" s="1"/>
  <c r="O67" i="43"/>
  <c r="I2109" i="57"/>
  <c r="N2109" i="57" s="1"/>
  <c r="O40" i="43"/>
  <c r="Q40" i="44"/>
  <c r="D2321" i="57"/>
  <c r="G2321" i="57" s="1"/>
  <c r="K2215" i="57"/>
  <c r="Q81" i="44"/>
  <c r="D2367" i="57"/>
  <c r="G2367" i="57" s="1"/>
  <c r="K2261" i="57"/>
  <c r="I2217" i="57"/>
  <c r="N2217" i="57" s="1"/>
  <c r="P42" i="43"/>
  <c r="K2323" i="57"/>
  <c r="R42" i="44"/>
  <c r="D43" i="47" s="1"/>
  <c r="F43" i="47" s="1"/>
  <c r="H43" i="47" s="1"/>
  <c r="I2155" i="57"/>
  <c r="N2155" i="57" s="1"/>
  <c r="O81" i="43"/>
  <c r="I1344" i="57"/>
  <c r="N1239" i="57"/>
  <c r="I1193" i="41"/>
  <c r="N1101" i="41"/>
  <c r="N1106" i="41" s="1"/>
  <c r="K1193" i="41"/>
  <c r="K1207" i="41" s="1"/>
  <c r="D1299" i="41"/>
  <c r="G1207" i="41"/>
  <c r="G1212" i="41" s="1"/>
  <c r="K2348" i="57"/>
  <c r="R62" i="44"/>
  <c r="P62" i="43"/>
  <c r="I2242" i="57"/>
  <c r="N2242" i="57" s="1"/>
  <c r="K2352" i="57"/>
  <c r="R66" i="44"/>
  <c r="P66" i="43"/>
  <c r="I2246" i="57"/>
  <c r="N2246" i="57" s="1"/>
  <c r="P57" i="43"/>
  <c r="I2237" i="57"/>
  <c r="N2237" i="57" s="1"/>
  <c r="R57" i="44"/>
  <c r="K2343" i="57"/>
  <c r="R83" i="44"/>
  <c r="D71" i="47" s="1"/>
  <c r="F71" i="47" s="1"/>
  <c r="H71" i="47" s="1"/>
  <c r="K2369" i="57"/>
  <c r="I2263" i="57"/>
  <c r="N2263" i="57" s="1"/>
  <c r="P83" i="43"/>
  <c r="K2319" i="57"/>
  <c r="R38" i="44"/>
  <c r="I2213" i="57"/>
  <c r="N2213" i="57" s="1"/>
  <c r="P38" i="43"/>
  <c r="S80" i="44"/>
  <c r="F88" i="48" s="1"/>
  <c r="I2366" i="57"/>
  <c r="N2366" i="57" s="1"/>
  <c r="R80" i="43" s="1"/>
  <c r="G88" i="48" s="1"/>
  <c r="I88" i="48" s="1"/>
  <c r="K88" i="48" s="1"/>
  <c r="Q80" i="43"/>
  <c r="P39" i="43"/>
  <c r="I2214" i="57"/>
  <c r="N2214" i="57" s="1"/>
  <c r="I2245" i="57"/>
  <c r="N2245" i="57" s="1"/>
  <c r="P65" i="43"/>
  <c r="K2305" i="57"/>
  <c r="R29" i="44"/>
  <c r="R65" i="44"/>
  <c r="D53" i="47" s="1"/>
  <c r="F53" i="47" s="1"/>
  <c r="H53" i="47" s="1"/>
  <c r="K2351" i="57"/>
  <c r="G1301" i="57"/>
  <c r="D1311" i="57"/>
  <c r="Q60" i="43"/>
  <c r="I2346" i="57"/>
  <c r="N2346" i="57" s="1"/>
  <c r="R60" i="43" s="1"/>
  <c r="G68" i="48" s="1"/>
  <c r="I68" i="48" s="1"/>
  <c r="K68" i="48" s="1"/>
  <c r="G85" i="44"/>
  <c r="I2239" i="57"/>
  <c r="N2239" i="57" s="1"/>
  <c r="P59" i="43"/>
  <c r="N1195" i="57"/>
  <c r="I1205" i="57"/>
  <c r="K2345" i="57"/>
  <c r="R59" i="44"/>
  <c r="D47" i="47" s="1"/>
  <c r="F47" i="47" s="1"/>
  <c r="H47" i="47" s="1"/>
  <c r="K2320" i="57"/>
  <c r="R39" i="44"/>
  <c r="D40" i="47" s="1"/>
  <c r="F40" i="47" s="1"/>
  <c r="H40" i="47" s="1"/>
  <c r="F85" i="43"/>
  <c r="P29" i="43"/>
  <c r="I2199" i="57"/>
  <c r="N2199" i="57" s="1"/>
  <c r="S60" i="44"/>
  <c r="P61" i="43"/>
  <c r="I2241" i="57"/>
  <c r="N2241" i="57" s="1"/>
  <c r="K2347" i="57"/>
  <c r="R61" i="44"/>
  <c r="D49" i="47" s="1"/>
  <c r="F49" i="47" s="1"/>
  <c r="H49" i="47" s="1"/>
  <c r="I35" i="47"/>
  <c r="I37" i="130"/>
  <c r="F38" i="48"/>
  <c r="P28" i="43"/>
  <c r="I2198" i="57"/>
  <c r="N2198" i="57" s="1"/>
  <c r="I1390" i="41"/>
  <c r="G1615" i="57"/>
  <c r="I23" i="44"/>
  <c r="G1868" i="41"/>
  <c r="I1868" i="41"/>
  <c r="H28" i="47"/>
  <c r="G1510" i="57"/>
  <c r="G19" i="44"/>
  <c r="F34" i="59"/>
  <c r="G1284" i="57"/>
  <c r="D1294" i="57"/>
  <c r="G1394" i="41"/>
  <c r="N1297" i="57"/>
  <c r="G1388" i="57"/>
  <c r="L21" i="50"/>
  <c r="I1341" i="41"/>
  <c r="N1237" i="41"/>
  <c r="G1450" i="57"/>
  <c r="D1451" i="57"/>
  <c r="F85" i="48"/>
  <c r="I82" i="130"/>
  <c r="I65" i="47"/>
  <c r="G1231" i="57"/>
  <c r="D1235" i="57"/>
  <c r="F68" i="43"/>
  <c r="N1282" i="57"/>
  <c r="Q73" i="43"/>
  <c r="I2359" i="57"/>
  <c r="N2359" i="57" s="1"/>
  <c r="R73" i="43" s="1"/>
  <c r="G38" i="48"/>
  <c r="I38" i="48" s="1"/>
  <c r="K38" i="48" s="1"/>
  <c r="S34" i="43"/>
  <c r="L38" i="48" s="1"/>
  <c r="N1549" i="57"/>
  <c r="N1241" i="41"/>
  <c r="I1346" i="41"/>
  <c r="Q31" i="44"/>
  <c r="K2201" i="57"/>
  <c r="D2307" i="57"/>
  <c r="G2307" i="57" s="1"/>
  <c r="I2095" i="57"/>
  <c r="N2095" i="57" s="1"/>
  <c r="O31" i="43"/>
  <c r="G68" i="44"/>
  <c r="G1523" i="41"/>
  <c r="G1602" i="41"/>
  <c r="N1159" i="41"/>
  <c r="I1190" i="41"/>
  <c r="K14" i="44"/>
  <c r="D1654" i="57"/>
  <c r="R32" i="44"/>
  <c r="K2308" i="57"/>
  <c r="D61" i="47"/>
  <c r="F61" i="47" s="1"/>
  <c r="H61" i="47" s="1"/>
  <c r="S73" i="44"/>
  <c r="P32" i="43"/>
  <c r="I2202" i="57"/>
  <c r="N2202" i="57" s="1"/>
  <c r="I87" i="130"/>
  <c r="F90" i="48"/>
  <c r="I70" i="47"/>
  <c r="I27" i="45"/>
  <c r="H27" i="45"/>
  <c r="D38" i="47"/>
  <c r="F38" i="47" s="1"/>
  <c r="H38" i="47" s="1"/>
  <c r="S37" i="44"/>
  <c r="N1972" i="57"/>
  <c r="N1178" i="57"/>
  <c r="I1188" i="57"/>
  <c r="G1763" i="41"/>
  <c r="G1241" i="41"/>
  <c r="D1346" i="41"/>
  <c r="G1265" i="41"/>
  <c r="D1296" i="41"/>
  <c r="I16" i="43"/>
  <c r="I1444" i="57"/>
  <c r="G85" i="48"/>
  <c r="I85" i="48" s="1"/>
  <c r="K85" i="48" s="1"/>
  <c r="S77" i="43"/>
  <c r="L85" i="48" s="1"/>
  <c r="R28" i="44"/>
  <c r="K2304" i="57"/>
  <c r="N1404" i="57"/>
  <c r="N1417" i="41"/>
  <c r="I1523" i="41" s="1"/>
  <c r="D1448" i="41"/>
  <c r="G1343" i="41"/>
  <c r="R37" i="43"/>
  <c r="Q37" i="43"/>
  <c r="G90" i="48"/>
  <c r="I90" i="48" s="1"/>
  <c r="K90" i="48" s="1"/>
  <c r="S82" i="43"/>
  <c r="L90" i="48" s="1"/>
  <c r="R74" i="44" l="1"/>
  <c r="S74" i="44" s="1"/>
  <c r="F90" i="43"/>
  <c r="P74" i="43"/>
  <c r="N2254" i="57"/>
  <c r="I2360" i="57" s="1"/>
  <c r="N2360" i="57" s="1"/>
  <c r="R74" i="43" s="1"/>
  <c r="G90" i="44"/>
  <c r="N1128" i="57"/>
  <c r="I1129" i="57"/>
  <c r="I1210" i="57" s="1"/>
  <c r="K43" i="59"/>
  <c r="M28" i="57"/>
  <c r="I29" i="57" s="1"/>
  <c r="K2370" i="57"/>
  <c r="D1316" i="57"/>
  <c r="N2264" i="57"/>
  <c r="I2370" i="57" s="1"/>
  <c r="P84" i="43"/>
  <c r="K1212" i="41"/>
  <c r="J28" i="41" s="1"/>
  <c r="M28" i="41" s="1"/>
  <c r="I67" i="47"/>
  <c r="F87" i="48"/>
  <c r="K2321" i="57"/>
  <c r="R40" i="44"/>
  <c r="P40" i="43"/>
  <c r="I2215" i="57"/>
  <c r="N2215" i="57" s="1"/>
  <c r="R67" i="44"/>
  <c r="D55" i="47" s="1"/>
  <c r="F55" i="47" s="1"/>
  <c r="H55" i="47" s="1"/>
  <c r="K2353" i="57"/>
  <c r="K2350" i="57"/>
  <c r="R64" i="44"/>
  <c r="R63" i="44"/>
  <c r="D51" i="47" s="1"/>
  <c r="F51" i="47" s="1"/>
  <c r="H51" i="47" s="1"/>
  <c r="K2349" i="57"/>
  <c r="K2309" i="57"/>
  <c r="R33" i="44"/>
  <c r="D34" i="47" s="1"/>
  <c r="F34" i="47" s="1"/>
  <c r="H34" i="47" s="1"/>
  <c r="D72" i="47"/>
  <c r="F72" i="47" s="1"/>
  <c r="H72" i="47" s="1"/>
  <c r="S84" i="44"/>
  <c r="P33" i="43"/>
  <c r="I2203" i="57"/>
  <c r="N2203" i="57" s="1"/>
  <c r="P67" i="43"/>
  <c r="I2247" i="57"/>
  <c r="N2247" i="57" s="1"/>
  <c r="P64" i="43"/>
  <c r="I2244" i="57"/>
  <c r="N2244" i="57" s="1"/>
  <c r="I2243" i="57"/>
  <c r="N2243" i="57" s="1"/>
  <c r="P63" i="43"/>
  <c r="K2367" i="57"/>
  <c r="R81" i="44"/>
  <c r="D69" i="47" s="1"/>
  <c r="F69" i="47" s="1"/>
  <c r="H69" i="47" s="1"/>
  <c r="P81" i="43"/>
  <c r="I2261" i="57"/>
  <c r="N2261" i="57" s="1"/>
  <c r="I2323" i="57"/>
  <c r="N2323" i="57" s="1"/>
  <c r="R42" i="43" s="1"/>
  <c r="G46" i="48" s="1"/>
  <c r="I46" i="48" s="1"/>
  <c r="K46" i="48" s="1"/>
  <c r="Q42" i="43"/>
  <c r="S42" i="44"/>
  <c r="N1344" i="57"/>
  <c r="I22" i="43" s="1"/>
  <c r="I23" i="43" s="1"/>
  <c r="I1345" i="57"/>
  <c r="N1193" i="41"/>
  <c r="I1207" i="41"/>
  <c r="I1212" i="41" s="1"/>
  <c r="G1299" i="41"/>
  <c r="D1313" i="41"/>
  <c r="D1318" i="41" s="1"/>
  <c r="I2348" i="57"/>
  <c r="N2348" i="57" s="1"/>
  <c r="R62" i="43" s="1"/>
  <c r="G70" i="48" s="1"/>
  <c r="I70" i="48" s="1"/>
  <c r="K70" i="48" s="1"/>
  <c r="Q62" i="43"/>
  <c r="D54" i="47"/>
  <c r="F54" i="47" s="1"/>
  <c r="H54" i="47" s="1"/>
  <c r="S66" i="44"/>
  <c r="S62" i="44"/>
  <c r="D50" i="47"/>
  <c r="F50" i="47" s="1"/>
  <c r="H50" i="47" s="1"/>
  <c r="I2352" i="57"/>
  <c r="N2352" i="57" s="1"/>
  <c r="R66" i="43" s="1"/>
  <c r="G74" i="48" s="1"/>
  <c r="I74" i="48" s="1"/>
  <c r="K74" i="48" s="1"/>
  <c r="Q66" i="43"/>
  <c r="S83" i="44"/>
  <c r="I71" i="47" s="1"/>
  <c r="D45" i="47"/>
  <c r="F45" i="47" s="1"/>
  <c r="H45" i="47" s="1"/>
  <c r="S57" i="44"/>
  <c r="Q57" i="43"/>
  <c r="I2343" i="57"/>
  <c r="N2343" i="57" s="1"/>
  <c r="R57" i="43" s="1"/>
  <c r="G65" i="48" s="1"/>
  <c r="I65" i="48" s="1"/>
  <c r="K65" i="48" s="1"/>
  <c r="I2369" i="57"/>
  <c r="N2369" i="57" s="1"/>
  <c r="R83" i="43" s="1"/>
  <c r="G91" i="48" s="1"/>
  <c r="I91" i="48" s="1"/>
  <c r="K91" i="48" s="1"/>
  <c r="Q83" i="43"/>
  <c r="Q38" i="43"/>
  <c r="I2319" i="57"/>
  <c r="N2319" i="57" s="1"/>
  <c r="R38" i="43" s="1"/>
  <c r="G42" i="48" s="1"/>
  <c r="I42" i="48" s="1"/>
  <c r="K42" i="48" s="1"/>
  <c r="D39" i="47"/>
  <c r="F39" i="47" s="1"/>
  <c r="H39" i="47" s="1"/>
  <c r="S38" i="44"/>
  <c r="I85" i="130"/>
  <c r="I68" i="47"/>
  <c r="S80" i="43"/>
  <c r="L88" i="48" s="1"/>
  <c r="D13" i="73"/>
  <c r="S60" i="43"/>
  <c r="L68" i="48" s="1"/>
  <c r="F68" i="48"/>
  <c r="I65" i="130"/>
  <c r="I48" i="47"/>
  <c r="S65" i="44"/>
  <c r="S39" i="44"/>
  <c r="Q59" i="43"/>
  <c r="I2345" i="57"/>
  <c r="N2345" i="57" s="1"/>
  <c r="R59" i="43" s="1"/>
  <c r="G67" i="48" s="1"/>
  <c r="I67" i="48" s="1"/>
  <c r="K67" i="48" s="1"/>
  <c r="D30" i="47"/>
  <c r="F30" i="47" s="1"/>
  <c r="H30" i="47" s="1"/>
  <c r="S29" i="44"/>
  <c r="I2320" i="57"/>
  <c r="N2320" i="57" s="1"/>
  <c r="R39" i="43" s="1"/>
  <c r="G43" i="48" s="1"/>
  <c r="I43" i="48" s="1"/>
  <c r="K43" i="48" s="1"/>
  <c r="Q39" i="43"/>
  <c r="Q29" i="43"/>
  <c r="I2305" i="57"/>
  <c r="N2305" i="57" s="1"/>
  <c r="R29" i="43" s="1"/>
  <c r="G33" i="48" s="1"/>
  <c r="I33" i="48" s="1"/>
  <c r="K33" i="48" s="1"/>
  <c r="S59" i="44"/>
  <c r="H75" i="44"/>
  <c r="K1301" i="57"/>
  <c r="K1311" i="57" s="1"/>
  <c r="D1407" i="57"/>
  <c r="G1311" i="57"/>
  <c r="K45" i="59"/>
  <c r="I49" i="59"/>
  <c r="I1301" i="57"/>
  <c r="G75" i="43"/>
  <c r="N1205" i="57"/>
  <c r="S61" i="44"/>
  <c r="I49" i="47" s="1"/>
  <c r="I2351" i="57"/>
  <c r="N2351" i="57" s="1"/>
  <c r="R65" i="43" s="1"/>
  <c r="G73" i="48" s="1"/>
  <c r="I73" i="48" s="1"/>
  <c r="K73" i="48" s="1"/>
  <c r="Q65" i="43"/>
  <c r="I2347" i="57"/>
  <c r="N2347" i="57" s="1"/>
  <c r="R61" i="43" s="1"/>
  <c r="G69" i="48" s="1"/>
  <c r="I69" i="48" s="1"/>
  <c r="K69" i="48" s="1"/>
  <c r="Q61" i="43"/>
  <c r="G1654" i="57"/>
  <c r="D1494" i="57"/>
  <c r="I56" i="44"/>
  <c r="K1388" i="57"/>
  <c r="K1394" i="41"/>
  <c r="D1500" i="41"/>
  <c r="H58" i="44"/>
  <c r="D1390" i="57"/>
  <c r="K1284" i="57"/>
  <c r="K1294" i="57" s="1"/>
  <c r="G1294" i="57"/>
  <c r="N1868" i="41"/>
  <c r="I72" i="43"/>
  <c r="I1510" i="57"/>
  <c r="D29" i="47"/>
  <c r="S28" i="44"/>
  <c r="N1444" i="57"/>
  <c r="I1265" i="41"/>
  <c r="N1190" i="41"/>
  <c r="K1523" i="41"/>
  <c r="D1629" i="41"/>
  <c r="I1655" i="57"/>
  <c r="K15" i="43"/>
  <c r="Q28" i="43"/>
  <c r="I2304" i="57"/>
  <c r="N2304" i="57" s="1"/>
  <c r="R28" i="43" s="1"/>
  <c r="I1284" i="57"/>
  <c r="G58" i="43"/>
  <c r="N1188" i="57"/>
  <c r="Q32" i="43"/>
  <c r="I2308" i="57"/>
  <c r="N2308" i="57" s="1"/>
  <c r="R32" i="43" s="1"/>
  <c r="P31" i="43"/>
  <c r="I2201" i="57"/>
  <c r="N2201" i="57" s="1"/>
  <c r="G81" i="48"/>
  <c r="I81" i="48" s="1"/>
  <c r="K81" i="48" s="1"/>
  <c r="S73" i="43"/>
  <c r="L81" i="48" s="1"/>
  <c r="G41" i="48"/>
  <c r="I41" i="48" s="1"/>
  <c r="K41" i="48" s="1"/>
  <c r="S37" i="43"/>
  <c r="L41" i="48" s="1"/>
  <c r="D1869" i="41"/>
  <c r="I2078" i="57"/>
  <c r="O14" i="43"/>
  <c r="R31" i="44"/>
  <c r="K2307" i="57"/>
  <c r="I1347" i="41"/>
  <c r="N1346" i="41"/>
  <c r="H56" i="43"/>
  <c r="I1388" i="57"/>
  <c r="D1337" i="57"/>
  <c r="H15" i="44"/>
  <c r="G1235" i="57"/>
  <c r="H71" i="43"/>
  <c r="I1403" i="57"/>
  <c r="D1721" i="57"/>
  <c r="K1615" i="57"/>
  <c r="K71" i="44"/>
  <c r="N1390" i="41"/>
  <c r="G1448" i="41"/>
  <c r="D1449" i="41"/>
  <c r="D1371" i="41"/>
  <c r="K1265" i="41"/>
  <c r="K1296" i="41" s="1"/>
  <c r="G1296" i="41"/>
  <c r="G1346" i="41"/>
  <c r="D1347" i="41"/>
  <c r="I38" i="47"/>
  <c r="F41" i="48"/>
  <c r="I40" i="130"/>
  <c r="F81" i="48"/>
  <c r="I78" i="130"/>
  <c r="I61" i="47"/>
  <c r="D33" i="47"/>
  <c r="F33" i="47" s="1"/>
  <c r="H33" i="47" s="1"/>
  <c r="S32" i="44"/>
  <c r="D1708" i="41"/>
  <c r="K1602" i="41"/>
  <c r="D1556" i="57"/>
  <c r="J22" i="44"/>
  <c r="G1451" i="57"/>
  <c r="N1341" i="41"/>
  <c r="I1343" i="41"/>
  <c r="H34" i="23"/>
  <c r="J34" i="23" s="1"/>
  <c r="M32" i="61"/>
  <c r="K34" i="23" s="1"/>
  <c r="J72" i="44"/>
  <c r="D1616" i="57"/>
  <c r="K1510" i="57"/>
  <c r="D1974" i="41"/>
  <c r="D62" i="47" l="1"/>
  <c r="F62" i="47" s="1"/>
  <c r="H62" i="47" s="1"/>
  <c r="I29" i="41"/>
  <c r="Q74" i="43"/>
  <c r="N1129" i="57"/>
  <c r="N1210" i="57" s="1"/>
  <c r="G18" i="43"/>
  <c r="G19" i="43" s="1"/>
  <c r="I1234" i="57"/>
  <c r="N2370" i="57"/>
  <c r="R84" i="43" s="1"/>
  <c r="G92" i="48" s="1"/>
  <c r="I92" i="48" s="1"/>
  <c r="K92" i="48" s="1"/>
  <c r="K1316" i="57"/>
  <c r="J29" i="57" s="1"/>
  <c r="M29" i="57" s="1"/>
  <c r="I30" i="57" s="1"/>
  <c r="G1316" i="57"/>
  <c r="Q84" i="43"/>
  <c r="S67" i="44"/>
  <c r="I55" i="47" s="1"/>
  <c r="D41" i="47"/>
  <c r="F41" i="47" s="1"/>
  <c r="H41" i="47" s="1"/>
  <c r="S40" i="44"/>
  <c r="Q64" i="43"/>
  <c r="I2350" i="57"/>
  <c r="N2350" i="57" s="1"/>
  <c r="R64" i="43" s="1"/>
  <c r="G72" i="48" s="1"/>
  <c r="I72" i="48" s="1"/>
  <c r="K72" i="48" s="1"/>
  <c r="F92" i="48"/>
  <c r="I72" i="47"/>
  <c r="I89" i="130"/>
  <c r="S64" i="44"/>
  <c r="D52" i="47"/>
  <c r="F52" i="47" s="1"/>
  <c r="H52" i="47" s="1"/>
  <c r="I2349" i="57"/>
  <c r="N2349" i="57" s="1"/>
  <c r="R63" i="43" s="1"/>
  <c r="G71" i="48" s="1"/>
  <c r="I71" i="48" s="1"/>
  <c r="K71" i="48" s="1"/>
  <c r="Q63" i="43"/>
  <c r="I79" i="130"/>
  <c r="F82" i="48"/>
  <c r="I62" i="47"/>
  <c r="I2321" i="57"/>
  <c r="N2321" i="57" s="1"/>
  <c r="R40" i="43" s="1"/>
  <c r="G44" i="48" s="1"/>
  <c r="I44" i="48" s="1"/>
  <c r="K44" i="48" s="1"/>
  <c r="Q40" i="43"/>
  <c r="S33" i="44"/>
  <c r="Q67" i="43"/>
  <c r="I2353" i="57"/>
  <c r="N2353" i="57" s="1"/>
  <c r="R67" i="43" s="1"/>
  <c r="G75" i="48" s="1"/>
  <c r="I75" i="48" s="1"/>
  <c r="K75" i="48" s="1"/>
  <c r="Q33" i="43"/>
  <c r="I2309" i="57"/>
  <c r="N2309" i="57" s="1"/>
  <c r="R33" i="43" s="1"/>
  <c r="G37" i="48" s="1"/>
  <c r="I37" i="48" s="1"/>
  <c r="K37" i="48" s="1"/>
  <c r="G82" i="48"/>
  <c r="I82" i="48" s="1"/>
  <c r="K82" i="48" s="1"/>
  <c r="S63" i="44"/>
  <c r="I43" i="47"/>
  <c r="I45" i="130"/>
  <c r="F46" i="48"/>
  <c r="S42" i="43"/>
  <c r="L46" i="48" s="1"/>
  <c r="S81" i="44"/>
  <c r="I2367" i="57"/>
  <c r="N2367" i="57" s="1"/>
  <c r="R81" i="43" s="1"/>
  <c r="G89" i="48" s="1"/>
  <c r="I89" i="48" s="1"/>
  <c r="K89" i="48" s="1"/>
  <c r="Q81" i="43"/>
  <c r="I1450" i="57"/>
  <c r="N1345" i="57"/>
  <c r="D1405" i="41"/>
  <c r="K1299" i="41"/>
  <c r="K1313" i="41" s="1"/>
  <c r="G1313" i="41"/>
  <c r="G1318" i="41" s="1"/>
  <c r="I1299" i="41"/>
  <c r="N1207" i="41"/>
  <c r="N1212" i="41" s="1"/>
  <c r="S66" i="43"/>
  <c r="L74" i="48" s="1"/>
  <c r="S62" i="43"/>
  <c r="L70" i="48" s="1"/>
  <c r="F70" i="48"/>
  <c r="I50" i="47"/>
  <c r="I67" i="130"/>
  <c r="I71" i="130"/>
  <c r="F74" i="48"/>
  <c r="I54" i="47"/>
  <c r="I88" i="130"/>
  <c r="F91" i="48"/>
  <c r="S83" i="43"/>
  <c r="L91" i="48" s="1"/>
  <c r="S38" i="43"/>
  <c r="L42" i="48" s="1"/>
  <c r="S57" i="43"/>
  <c r="L65" i="48" s="1"/>
  <c r="I45" i="47"/>
  <c r="I62" i="130"/>
  <c r="F65" i="48"/>
  <c r="F42" i="48"/>
  <c r="I39" i="47"/>
  <c r="I41" i="130"/>
  <c r="N1523" i="41"/>
  <c r="I1629" i="41" s="1"/>
  <c r="S65" i="43"/>
  <c r="L73" i="48" s="1"/>
  <c r="F69" i="48"/>
  <c r="S39" i="43"/>
  <c r="L43" i="48" s="1"/>
  <c r="G1407" i="57"/>
  <c r="D1417" i="57"/>
  <c r="I30" i="47"/>
  <c r="F33" i="48"/>
  <c r="I32" i="130"/>
  <c r="I42" i="130"/>
  <c r="I40" i="47"/>
  <c r="F43" i="48"/>
  <c r="S61" i="43"/>
  <c r="L69" i="48" s="1"/>
  <c r="I66" i="130"/>
  <c r="S29" i="43"/>
  <c r="L33" i="48" s="1"/>
  <c r="I70" i="130"/>
  <c r="I53" i="47"/>
  <c r="F73" i="48"/>
  <c r="G85" i="43"/>
  <c r="H85" i="44"/>
  <c r="N1301" i="57"/>
  <c r="I1311" i="57"/>
  <c r="F67" i="48"/>
  <c r="I47" i="47"/>
  <c r="I64" i="130"/>
  <c r="S59" i="43"/>
  <c r="L67" i="48" s="1"/>
  <c r="K49" i="59"/>
  <c r="E10" i="59" s="1"/>
  <c r="E11" i="59" s="1"/>
  <c r="E12" i="59" s="1"/>
  <c r="E13" i="59" s="1"/>
  <c r="E14" i="59" s="1"/>
  <c r="E15" i="59" s="1"/>
  <c r="I47" i="59"/>
  <c r="K47" i="59" s="1"/>
  <c r="C10" i="59" s="1"/>
  <c r="C11" i="59" s="1"/>
  <c r="C12" i="59" s="1"/>
  <c r="C13" i="59" s="1"/>
  <c r="C14" i="59" s="1"/>
  <c r="C15" i="59" s="1"/>
  <c r="G1556" i="57"/>
  <c r="D1557" i="57"/>
  <c r="F36" i="48"/>
  <c r="I35" i="130"/>
  <c r="I33" i="47"/>
  <c r="G1371" i="41"/>
  <c r="D1402" i="41"/>
  <c r="G1337" i="57"/>
  <c r="D1341" i="57"/>
  <c r="D32" i="47"/>
  <c r="F32" i="47" s="1"/>
  <c r="H32" i="47" s="1"/>
  <c r="S31" i="44"/>
  <c r="N2078" i="57"/>
  <c r="N1265" i="41"/>
  <c r="I1296" i="41"/>
  <c r="I31" i="130"/>
  <c r="F32" i="48"/>
  <c r="I29" i="47"/>
  <c r="I1974" i="41"/>
  <c r="G1500" i="41"/>
  <c r="D1760" i="57"/>
  <c r="L14" i="44"/>
  <c r="D1452" i="41"/>
  <c r="G1347" i="41"/>
  <c r="D1554" i="41"/>
  <c r="G1449" i="41"/>
  <c r="N1347" i="41"/>
  <c r="I1452" i="41"/>
  <c r="Q31" i="43"/>
  <c r="I2307" i="57"/>
  <c r="N2307" i="57" s="1"/>
  <c r="R31" i="43" s="1"/>
  <c r="G32" i="48"/>
  <c r="I32" i="48" s="1"/>
  <c r="K32" i="48" s="1"/>
  <c r="S28" i="43"/>
  <c r="L32" i="48" s="1"/>
  <c r="G1629" i="41"/>
  <c r="F29" i="47"/>
  <c r="G1390" i="57"/>
  <c r="D1400" i="57"/>
  <c r="N1394" i="41"/>
  <c r="I1500" i="41" s="1"/>
  <c r="G1494" i="57"/>
  <c r="G1974" i="41"/>
  <c r="G1616" i="57"/>
  <c r="I1447" i="41"/>
  <c r="N1343" i="41"/>
  <c r="G1708" i="41"/>
  <c r="I1496" i="41"/>
  <c r="N1388" i="57"/>
  <c r="G1869" i="41"/>
  <c r="G68" i="43"/>
  <c r="J16" i="43"/>
  <c r="I1550" i="57"/>
  <c r="N1510" i="57"/>
  <c r="H68" i="44"/>
  <c r="J23" i="44"/>
  <c r="G1721" i="57"/>
  <c r="N1403" i="57"/>
  <c r="H19" i="44"/>
  <c r="G36" i="48"/>
  <c r="I36" i="48" s="1"/>
  <c r="K36" i="48" s="1"/>
  <c r="S32" i="43"/>
  <c r="L36" i="48" s="1"/>
  <c r="N1284" i="57"/>
  <c r="I1294" i="57"/>
  <c r="N1655" i="57"/>
  <c r="E16" i="59" l="1"/>
  <c r="E17" i="59" s="1"/>
  <c r="E18" i="59" s="1"/>
  <c r="E19" i="59" s="1"/>
  <c r="H24" i="53"/>
  <c r="C16" i="59"/>
  <c r="C17" i="59" s="1"/>
  <c r="C18" i="59" s="1"/>
  <c r="C19" i="59" s="1"/>
  <c r="H23" i="53"/>
  <c r="G90" i="43"/>
  <c r="S74" i="43"/>
  <c r="H90" i="44"/>
  <c r="S84" i="43"/>
  <c r="L92" i="48" s="1"/>
  <c r="N1234" i="57"/>
  <c r="I1235" i="57"/>
  <c r="I1316" i="57" s="1"/>
  <c r="D1422" i="57"/>
  <c r="F75" i="48"/>
  <c r="K1318" i="41"/>
  <c r="J29" i="41" s="1"/>
  <c r="M29" i="41" s="1"/>
  <c r="I72" i="130"/>
  <c r="S67" i="43"/>
  <c r="L75" i="48" s="1"/>
  <c r="S64" i="43"/>
  <c r="L72" i="48" s="1"/>
  <c r="S40" i="43"/>
  <c r="L44" i="48" s="1"/>
  <c r="I41" i="47"/>
  <c r="I43" i="130"/>
  <c r="F44" i="48"/>
  <c r="F71" i="48"/>
  <c r="I51" i="47"/>
  <c r="I68" i="130"/>
  <c r="I69" i="130"/>
  <c r="F72" i="48"/>
  <c r="I52" i="47"/>
  <c r="F37" i="48"/>
  <c r="I36" i="130"/>
  <c r="I34" i="47"/>
  <c r="S63" i="43"/>
  <c r="L71" i="48" s="1"/>
  <c r="S33" i="43"/>
  <c r="L37" i="48" s="1"/>
  <c r="S81" i="43"/>
  <c r="L89" i="48" s="1"/>
  <c r="F89" i="48"/>
  <c r="I69" i="47"/>
  <c r="I86" i="130"/>
  <c r="I1451" i="57"/>
  <c r="N1450" i="57"/>
  <c r="J22" i="43" s="1"/>
  <c r="J23" i="43" s="1"/>
  <c r="N1299" i="41"/>
  <c r="I1313" i="41"/>
  <c r="I1318" i="41" s="1"/>
  <c r="G1405" i="41"/>
  <c r="D1419" i="41"/>
  <c r="D1424" i="41" s="1"/>
  <c r="E13" i="73"/>
  <c r="K1407" i="57"/>
  <c r="K1417" i="57" s="1"/>
  <c r="D1513" i="57"/>
  <c r="I75" i="44"/>
  <c r="G1417" i="57"/>
  <c r="H75" i="43"/>
  <c r="I1407" i="57"/>
  <c r="N1311" i="57"/>
  <c r="J24" i="53"/>
  <c r="I1453" i="41"/>
  <c r="N1452" i="41"/>
  <c r="K1500" i="41"/>
  <c r="N1500" i="41" s="1"/>
  <c r="I1606" i="41" s="1"/>
  <c r="D1606" i="41"/>
  <c r="N1974" i="41"/>
  <c r="P14" i="43"/>
  <c r="I2184" i="57"/>
  <c r="I15" i="44"/>
  <c r="D1443" i="57"/>
  <c r="G1341" i="57"/>
  <c r="I71" i="43"/>
  <c r="I1509" i="57"/>
  <c r="D1975" i="41"/>
  <c r="K1708" i="41"/>
  <c r="D1814" i="41"/>
  <c r="K72" i="44"/>
  <c r="K1616" i="57"/>
  <c r="D1722" i="57"/>
  <c r="D1735" i="41"/>
  <c r="K1629" i="41"/>
  <c r="I34" i="130"/>
  <c r="I32" i="47"/>
  <c r="F35" i="48"/>
  <c r="K1371" i="41"/>
  <c r="K1402" i="41" s="1"/>
  <c r="D1477" i="41"/>
  <c r="G1402" i="41"/>
  <c r="H29" i="47"/>
  <c r="G35" i="48"/>
  <c r="I35" i="48" s="1"/>
  <c r="K35" i="48" s="1"/>
  <c r="S31" i="43"/>
  <c r="L35" i="48" s="1"/>
  <c r="G1760" i="57"/>
  <c r="D1662" i="57"/>
  <c r="K22" i="44"/>
  <c r="K23" i="44" s="1"/>
  <c r="G1557" i="57"/>
  <c r="H58" i="43"/>
  <c r="I1390" i="57"/>
  <c r="N1294" i="57"/>
  <c r="I1616" i="57"/>
  <c r="J72" i="43"/>
  <c r="G1554" i="41"/>
  <c r="D1555" i="41"/>
  <c r="N1550" i="57"/>
  <c r="N1496" i="41"/>
  <c r="J56" i="44"/>
  <c r="D1600" i="57"/>
  <c r="K1494" i="57"/>
  <c r="L15" i="43"/>
  <c r="I1761" i="57"/>
  <c r="K1721" i="57"/>
  <c r="L71" i="44"/>
  <c r="D1827" i="57"/>
  <c r="I1494" i="57"/>
  <c r="I56" i="43"/>
  <c r="N1447" i="41"/>
  <c r="I1449" i="41"/>
  <c r="D2080" i="41"/>
  <c r="K1390" i="57"/>
  <c r="K1400" i="57" s="1"/>
  <c r="D1496" i="57"/>
  <c r="I58" i="44"/>
  <c r="G1400" i="57"/>
  <c r="G1452" i="41"/>
  <c r="D1453" i="41"/>
  <c r="I1371" i="41"/>
  <c r="N1296" i="41"/>
  <c r="I30" i="41" l="1"/>
  <c r="C58" i="59"/>
  <c r="C70" i="59" s="1"/>
  <c r="H70" i="59" s="1"/>
  <c r="E46" i="62" s="1"/>
  <c r="L82" i="48"/>
  <c r="N1235" i="57"/>
  <c r="N1316" i="57" s="1"/>
  <c r="H18" i="43"/>
  <c r="H19" i="43" s="1"/>
  <c r="I1340" i="57"/>
  <c r="K1422" i="57"/>
  <c r="J30" i="57" s="1"/>
  <c r="M30" i="57" s="1"/>
  <c r="I31" i="57" s="1"/>
  <c r="G1422" i="57"/>
  <c r="I1556" i="57"/>
  <c r="N1451" i="57"/>
  <c r="D1511" i="41"/>
  <c r="K1405" i="41"/>
  <c r="K1419" i="41" s="1"/>
  <c r="G1419" i="41"/>
  <c r="G1424" i="41" s="1"/>
  <c r="I1405" i="41"/>
  <c r="N1313" i="41"/>
  <c r="N1318" i="41" s="1"/>
  <c r="N1616" i="57"/>
  <c r="I1722" i="57" s="1"/>
  <c r="H85" i="43"/>
  <c r="H36" i="53"/>
  <c r="J23" i="53"/>
  <c r="I85" i="44"/>
  <c r="G1513" i="57"/>
  <c r="D1523" i="57"/>
  <c r="N1407" i="57"/>
  <c r="I1417" i="57"/>
  <c r="D1558" i="41"/>
  <c r="G1453" i="41"/>
  <c r="N1390" i="57"/>
  <c r="I1400" i="57"/>
  <c r="N1509" i="57"/>
  <c r="G1606" i="41"/>
  <c r="G1662" i="57"/>
  <c r="D1663" i="57"/>
  <c r="I68" i="44"/>
  <c r="I1602" i="41"/>
  <c r="H68" i="43"/>
  <c r="M14" i="44"/>
  <c r="D1866" i="57"/>
  <c r="N1629" i="41"/>
  <c r="I1735" i="41" s="1"/>
  <c r="I19" i="44"/>
  <c r="I2080" i="41"/>
  <c r="G1827" i="57"/>
  <c r="N1761" i="57"/>
  <c r="K16" i="43"/>
  <c r="I1656" i="57"/>
  <c r="D1660" i="41"/>
  <c r="G1555" i="41"/>
  <c r="G1735" i="41"/>
  <c r="N2184" i="57"/>
  <c r="G2080" i="41"/>
  <c r="G1722" i="57"/>
  <c r="G1443" i="57"/>
  <c r="D1447" i="57"/>
  <c r="N1371" i="41"/>
  <c r="I1402" i="41"/>
  <c r="G1496" i="57"/>
  <c r="D1506" i="57"/>
  <c r="N1494" i="57"/>
  <c r="I1553" i="41"/>
  <c r="N1449" i="41"/>
  <c r="G1600" i="57"/>
  <c r="G1477" i="41"/>
  <c r="D1508" i="41"/>
  <c r="G1814" i="41"/>
  <c r="G1975" i="41"/>
  <c r="N1453" i="41"/>
  <c r="I1558" i="41"/>
  <c r="J70" i="59" l="1"/>
  <c r="H90" i="43"/>
  <c r="I90" i="44"/>
  <c r="N1340" i="57"/>
  <c r="I1341" i="57"/>
  <c r="I1422" i="57" s="1"/>
  <c r="D1528" i="57"/>
  <c r="K1424" i="41"/>
  <c r="J30" i="41" s="1"/>
  <c r="M30" i="41" s="1"/>
  <c r="K72" i="43"/>
  <c r="I1557" i="57"/>
  <c r="N1556" i="57"/>
  <c r="K22" i="43" s="1"/>
  <c r="K23" i="43" s="1"/>
  <c r="N1405" i="41"/>
  <c r="I1419" i="41"/>
  <c r="I1424" i="41" s="1"/>
  <c r="G1511" i="41"/>
  <c r="D1525" i="41"/>
  <c r="D1530" i="41" s="1"/>
  <c r="F13" i="73"/>
  <c r="F101" i="73" s="1"/>
  <c r="J36" i="53"/>
  <c r="J29" i="1" s="1"/>
  <c r="H43" i="53"/>
  <c r="J43" i="53" s="1"/>
  <c r="J75" i="44"/>
  <c r="D1619" i="57"/>
  <c r="K1513" i="57"/>
  <c r="K1523" i="57" s="1"/>
  <c r="G1523" i="57"/>
  <c r="I75" i="43"/>
  <c r="I1513" i="57"/>
  <c r="N1417" i="57"/>
  <c r="J58" i="44"/>
  <c r="D1602" i="57"/>
  <c r="K1496" i="57"/>
  <c r="K1506" i="57" s="1"/>
  <c r="G1506" i="57"/>
  <c r="K1735" i="41"/>
  <c r="D1841" i="41"/>
  <c r="N1656" i="57"/>
  <c r="I1496" i="57"/>
  <c r="I58" i="43"/>
  <c r="N1400" i="57"/>
  <c r="D2081" i="41"/>
  <c r="N1553" i="41"/>
  <c r="I1555" i="41"/>
  <c r="J56" i="43"/>
  <c r="I1600" i="57"/>
  <c r="D1549" i="57"/>
  <c r="J15" i="44"/>
  <c r="G1447" i="57"/>
  <c r="N2080" i="41"/>
  <c r="N1602" i="41"/>
  <c r="D1768" i="57"/>
  <c r="G1663" i="57"/>
  <c r="L22" i="44"/>
  <c r="L23" i="44" s="1"/>
  <c r="I1615" i="57"/>
  <c r="J71" i="43"/>
  <c r="N1558" i="41"/>
  <c r="I1559" i="41"/>
  <c r="D2186" i="41"/>
  <c r="D1706" i="57"/>
  <c r="K1600" i="57"/>
  <c r="K56" i="44"/>
  <c r="I2290" i="57"/>
  <c r="Q14" i="43"/>
  <c r="G1660" i="41"/>
  <c r="D1661" i="41"/>
  <c r="D1933" i="57"/>
  <c r="M71" i="44"/>
  <c r="K1827" i="57"/>
  <c r="G1866" i="57"/>
  <c r="K1477" i="41"/>
  <c r="K1508" i="41" s="1"/>
  <c r="D1583" i="41"/>
  <c r="G1508" i="41"/>
  <c r="K1814" i="41"/>
  <c r="D1920" i="41"/>
  <c r="I1477" i="41"/>
  <c r="N1402" i="41"/>
  <c r="K1722" i="57"/>
  <c r="D1828" i="57"/>
  <c r="L72" i="44"/>
  <c r="M15" i="43"/>
  <c r="I1867" i="57"/>
  <c r="K1606" i="41"/>
  <c r="D1712" i="41"/>
  <c r="D1559" i="41"/>
  <c r="G1558" i="41"/>
  <c r="I31" i="41" l="1"/>
  <c r="I1446" i="57"/>
  <c r="I18" i="43"/>
  <c r="I19" i="43" s="1"/>
  <c r="N1341" i="57"/>
  <c r="N1422" i="57" s="1"/>
  <c r="K1528" i="57"/>
  <c r="J31" i="57" s="1"/>
  <c r="G13" i="73" s="1"/>
  <c r="G1528" i="57"/>
  <c r="N1557" i="57"/>
  <c r="I1662" i="57"/>
  <c r="D1617" i="41"/>
  <c r="K1511" i="41"/>
  <c r="K1525" i="41" s="1"/>
  <c r="G1525" i="41"/>
  <c r="G1530" i="41" s="1"/>
  <c r="I1511" i="41"/>
  <c r="N1419" i="41"/>
  <c r="N1424" i="41" s="1"/>
  <c r="N1735" i="41"/>
  <c r="I1841" i="41" s="1"/>
  <c r="I85" i="43"/>
  <c r="G1619" i="57"/>
  <c r="D1629" i="57"/>
  <c r="J85" i="44"/>
  <c r="N1513" i="57"/>
  <c r="I1523" i="57"/>
  <c r="N1477" i="41"/>
  <c r="I1508" i="41"/>
  <c r="I1708" i="41"/>
  <c r="G1712" i="41"/>
  <c r="D1664" i="41"/>
  <c r="G1559" i="41"/>
  <c r="N1606" i="41"/>
  <c r="I1712" i="41" s="1"/>
  <c r="G1920" i="41"/>
  <c r="G1583" i="41"/>
  <c r="D1614" i="41"/>
  <c r="G1933" i="57"/>
  <c r="N2290" i="57"/>
  <c r="G1706" i="57"/>
  <c r="N1722" i="57"/>
  <c r="N1600" i="57"/>
  <c r="I1659" i="41"/>
  <c r="N1555" i="41"/>
  <c r="I68" i="43"/>
  <c r="I1762" i="57"/>
  <c r="L16" i="43"/>
  <c r="N1867" i="57"/>
  <c r="G1828" i="57"/>
  <c r="N1559" i="41"/>
  <c r="I1664" i="41"/>
  <c r="N1615" i="57"/>
  <c r="N1496" i="57"/>
  <c r="I1506" i="57"/>
  <c r="D1766" i="41"/>
  <c r="G1661" i="41"/>
  <c r="G2186" i="41"/>
  <c r="G1768" i="57"/>
  <c r="D1769" i="57"/>
  <c r="I2186" i="41"/>
  <c r="J19" i="44"/>
  <c r="G2081" i="41"/>
  <c r="G1841" i="41"/>
  <c r="G1602" i="57"/>
  <c r="D1612" i="57"/>
  <c r="D1972" i="57"/>
  <c r="N14" i="44"/>
  <c r="G1549" i="57"/>
  <c r="D1553" i="57"/>
  <c r="J68" i="44"/>
  <c r="I90" i="43" l="1"/>
  <c r="J90" i="44"/>
  <c r="N1446" i="57"/>
  <c r="I1447" i="57"/>
  <c r="I1528" i="57" s="1"/>
  <c r="D1634" i="57"/>
  <c r="K1530" i="41"/>
  <c r="J31" i="41" s="1"/>
  <c r="M31" i="41" s="1"/>
  <c r="N1662" i="57"/>
  <c r="L22" i="43" s="1"/>
  <c r="L23" i="43" s="1"/>
  <c r="I1663" i="57"/>
  <c r="I1525" i="41"/>
  <c r="I1530" i="41" s="1"/>
  <c r="N1511" i="41"/>
  <c r="G1617" i="41"/>
  <c r="D1631" i="41"/>
  <c r="D1636" i="41" s="1"/>
  <c r="M31" i="57"/>
  <c r="I32" i="57" s="1"/>
  <c r="I1619" i="57"/>
  <c r="J75" i="43"/>
  <c r="N1523" i="57"/>
  <c r="K75" i="44"/>
  <c r="K1619" i="57"/>
  <c r="K1629" i="57" s="1"/>
  <c r="D1725" i="57"/>
  <c r="G1629" i="57"/>
  <c r="K15" i="44"/>
  <c r="K19" i="44" s="1"/>
  <c r="D1655" i="57"/>
  <c r="G1553" i="57"/>
  <c r="G1972" i="57"/>
  <c r="N2186" i="41"/>
  <c r="I1602" i="57"/>
  <c r="J58" i="43"/>
  <c r="N1506" i="57"/>
  <c r="K56" i="43"/>
  <c r="I1706" i="57"/>
  <c r="D1689" i="41"/>
  <c r="K1583" i="41"/>
  <c r="K1614" i="41" s="1"/>
  <c r="G1614" i="41"/>
  <c r="I1583" i="41"/>
  <c r="N1508" i="41"/>
  <c r="K1841" i="41"/>
  <c r="D1947" i="41"/>
  <c r="D2292" i="41"/>
  <c r="G1766" i="41"/>
  <c r="D1767" i="41"/>
  <c r="I1721" i="57"/>
  <c r="K71" i="43"/>
  <c r="K1828" i="57"/>
  <c r="M72" i="44"/>
  <c r="D1934" i="57"/>
  <c r="I1828" i="57"/>
  <c r="L72" i="43"/>
  <c r="D1812" i="57"/>
  <c r="K1706" i="57"/>
  <c r="L56" i="44"/>
  <c r="D1818" i="41"/>
  <c r="K1712" i="41"/>
  <c r="N1712" i="41" s="1"/>
  <c r="I1818" i="41" s="1"/>
  <c r="N1664" i="41"/>
  <c r="I1665" i="41"/>
  <c r="N15" i="43"/>
  <c r="I1973" i="57"/>
  <c r="N1762" i="57"/>
  <c r="N1659" i="41"/>
  <c r="I1661" i="41"/>
  <c r="N71" i="44"/>
  <c r="D2039" i="57"/>
  <c r="K1933" i="57"/>
  <c r="K1920" i="41"/>
  <c r="D2026" i="41"/>
  <c r="K1602" i="57"/>
  <c r="K1612" i="57" s="1"/>
  <c r="D1708" i="57"/>
  <c r="K58" i="44"/>
  <c r="K68" i="44" s="1"/>
  <c r="G1612" i="57"/>
  <c r="D2187" i="41"/>
  <c r="M22" i="44"/>
  <c r="M23" i="44" s="1"/>
  <c r="D1874" i="57"/>
  <c r="G1769" i="57"/>
  <c r="R14" i="43"/>
  <c r="D1665" i="41"/>
  <c r="G1664" i="41"/>
  <c r="N1708" i="41"/>
  <c r="I32" i="41" l="1"/>
  <c r="J18" i="43"/>
  <c r="J19" i="43" s="1"/>
  <c r="N1447" i="57"/>
  <c r="N1528" i="57" s="1"/>
  <c r="I1552" i="57"/>
  <c r="K1634" i="57"/>
  <c r="J32" i="57" s="1"/>
  <c r="M32" i="57" s="1"/>
  <c r="I33" i="57" s="1"/>
  <c r="G1634" i="57"/>
  <c r="N1663" i="57"/>
  <c r="I1768" i="57"/>
  <c r="I1617" i="41"/>
  <c r="N1525" i="41"/>
  <c r="N1530" i="41" s="1"/>
  <c r="K1617" i="41"/>
  <c r="K1631" i="41" s="1"/>
  <c r="D1723" i="41"/>
  <c r="G1631" i="41"/>
  <c r="G1636" i="41" s="1"/>
  <c r="N1828" i="57"/>
  <c r="M72" i="43" s="1"/>
  <c r="K85" i="44"/>
  <c r="K90" i="44" s="1"/>
  <c r="G1725" i="57"/>
  <c r="D1735" i="57"/>
  <c r="J85" i="43"/>
  <c r="N1619" i="57"/>
  <c r="I1629" i="57"/>
  <c r="I1814" i="41"/>
  <c r="G18" i="48"/>
  <c r="S14" i="43"/>
  <c r="D1770" i="41"/>
  <c r="G1665" i="41"/>
  <c r="M16" i="43"/>
  <c r="I1868" i="57"/>
  <c r="N1721" i="57"/>
  <c r="G2292" i="41"/>
  <c r="N1841" i="41"/>
  <c r="I1947" i="41" s="1"/>
  <c r="N1602" i="57"/>
  <c r="I1612" i="57"/>
  <c r="D2078" i="57"/>
  <c r="O14" i="44"/>
  <c r="I1770" i="41"/>
  <c r="N1665" i="41"/>
  <c r="G1812" i="57"/>
  <c r="G1874" i="57"/>
  <c r="D1875" i="57"/>
  <c r="G2026" i="41"/>
  <c r="G2039" i="57"/>
  <c r="G1708" i="57"/>
  <c r="D1718" i="57"/>
  <c r="G2187" i="41"/>
  <c r="I1765" i="41"/>
  <c r="N1661" i="41"/>
  <c r="N1973" i="57"/>
  <c r="G1818" i="41"/>
  <c r="N1583" i="41"/>
  <c r="I1614" i="41"/>
  <c r="G1689" i="41"/>
  <c r="D1720" i="41"/>
  <c r="I2292" i="41"/>
  <c r="G1655" i="57"/>
  <c r="D1659" i="57"/>
  <c r="G1934" i="57"/>
  <c r="D1872" i="41"/>
  <c r="G1767" i="41"/>
  <c r="G1947" i="41"/>
  <c r="N1706" i="57"/>
  <c r="J68" i="43"/>
  <c r="J90" i="43" l="1"/>
  <c r="I1553" i="57"/>
  <c r="I1634" i="57" s="1"/>
  <c r="N1552" i="57"/>
  <c r="D1740" i="57"/>
  <c r="I1934" i="57"/>
  <c r="K1636" i="41"/>
  <c r="J32" i="41" s="1"/>
  <c r="M32" i="41" s="1"/>
  <c r="N1768" i="57"/>
  <c r="M22" i="43" s="1"/>
  <c r="M23" i="43" s="1"/>
  <c r="I1769" i="57"/>
  <c r="G1723" i="41"/>
  <c r="D1737" i="41"/>
  <c r="D1742" i="41" s="1"/>
  <c r="I1631" i="41"/>
  <c r="I1636" i="41" s="1"/>
  <c r="N1617" i="41"/>
  <c r="H13" i="73"/>
  <c r="H101" i="73" s="1"/>
  <c r="I1725" i="57"/>
  <c r="K75" i="43"/>
  <c r="N1629" i="57"/>
  <c r="L75" i="44"/>
  <c r="L85" i="44" s="1"/>
  <c r="K1725" i="57"/>
  <c r="K1735" i="57" s="1"/>
  <c r="D1831" i="57"/>
  <c r="G1735" i="57"/>
  <c r="K1947" i="41"/>
  <c r="D2053" i="41"/>
  <c r="D1795" i="41"/>
  <c r="K1689" i="41"/>
  <c r="K1720" i="41" s="1"/>
  <c r="G1720" i="41"/>
  <c r="M56" i="44"/>
  <c r="K1812" i="57"/>
  <c r="D1918" i="57"/>
  <c r="I18" i="48"/>
  <c r="N2292" i="41"/>
  <c r="N1765" i="41"/>
  <c r="I1767" i="41"/>
  <c r="K2026" i="41"/>
  <c r="D2132" i="41"/>
  <c r="G2078" i="57"/>
  <c r="L71" i="43"/>
  <c r="I1827" i="57"/>
  <c r="D1771" i="41"/>
  <c r="G1770" i="41"/>
  <c r="D1761" i="57"/>
  <c r="L15" i="44"/>
  <c r="L19" i="44" s="1"/>
  <c r="G1659" i="57"/>
  <c r="G1872" i="41"/>
  <c r="D1873" i="41"/>
  <c r="N1770" i="41"/>
  <c r="I1771" i="41"/>
  <c r="K1934" i="57"/>
  <c r="N72" i="44"/>
  <c r="D2040" i="57"/>
  <c r="I1812" i="57"/>
  <c r="L56" i="43"/>
  <c r="I1689" i="41"/>
  <c r="N1614" i="41"/>
  <c r="D1924" i="41"/>
  <c r="K1818" i="41"/>
  <c r="I2079" i="57"/>
  <c r="O15" i="43"/>
  <c r="D2293" i="41"/>
  <c r="L58" i="44"/>
  <c r="L68" i="44" s="1"/>
  <c r="K1708" i="57"/>
  <c r="K1718" i="57" s="1"/>
  <c r="D1814" i="57"/>
  <c r="G1718" i="57"/>
  <c r="D2145" i="57"/>
  <c r="K2039" i="57"/>
  <c r="O71" i="44"/>
  <c r="N22" i="44"/>
  <c r="N23" i="44" s="1"/>
  <c r="G1875" i="57"/>
  <c r="D1980" i="57"/>
  <c r="K58" i="43"/>
  <c r="K68" i="43" s="1"/>
  <c r="I1708" i="57"/>
  <c r="N1612" i="57"/>
  <c r="N1868" i="57"/>
  <c r="L18" i="48"/>
  <c r="N1814" i="41"/>
  <c r="I33" i="41" l="1"/>
  <c r="K85" i="43"/>
  <c r="L90" i="44"/>
  <c r="K18" i="43"/>
  <c r="K19" i="43" s="1"/>
  <c r="N1553" i="57"/>
  <c r="N1634" i="57" s="1"/>
  <c r="I1658" i="57"/>
  <c r="G1740" i="57"/>
  <c r="K1740" i="57"/>
  <c r="J33" i="57" s="1"/>
  <c r="M33" i="57" s="1"/>
  <c r="I34" i="57" s="1"/>
  <c r="N1769" i="57"/>
  <c r="I1874" i="57"/>
  <c r="K1723" i="41"/>
  <c r="K1737" i="41" s="1"/>
  <c r="D1829" i="41"/>
  <c r="G1737" i="41"/>
  <c r="G1742" i="41" s="1"/>
  <c r="I1723" i="41"/>
  <c r="N1631" i="41"/>
  <c r="N1636" i="41" s="1"/>
  <c r="N1947" i="41"/>
  <c r="I2053" i="41" s="1"/>
  <c r="G1831" i="57"/>
  <c r="D1841" i="57"/>
  <c r="N1725" i="57"/>
  <c r="I1735" i="57"/>
  <c r="N1708" i="57"/>
  <c r="I1718" i="57"/>
  <c r="N1812" i="57"/>
  <c r="I1876" i="41"/>
  <c r="N1771" i="41"/>
  <c r="G1761" i="57"/>
  <c r="D1765" i="57"/>
  <c r="I1920" i="41"/>
  <c r="G1980" i="57"/>
  <c r="D1981" i="57"/>
  <c r="G1924" i="41"/>
  <c r="N1689" i="41"/>
  <c r="I1720" i="41"/>
  <c r="D1876" i="41"/>
  <c r="G1771" i="41"/>
  <c r="G2132" i="41"/>
  <c r="N1934" i="57"/>
  <c r="N1818" i="41"/>
  <c r="I1924" i="41" s="1"/>
  <c r="G1795" i="41"/>
  <c r="D1826" i="41"/>
  <c r="N16" i="43"/>
  <c r="I1974" i="57"/>
  <c r="N2079" i="57"/>
  <c r="G2040" i="57"/>
  <c r="D1978" i="41"/>
  <c r="G1873" i="41"/>
  <c r="G1918" i="57"/>
  <c r="G2053" i="41"/>
  <c r="G2145" i="57"/>
  <c r="G1814" i="57"/>
  <c r="D1824" i="57"/>
  <c r="G2293" i="41"/>
  <c r="N1827" i="57"/>
  <c r="P14" i="44"/>
  <c r="D2184" i="57"/>
  <c r="I1871" i="41"/>
  <c r="N1767" i="41"/>
  <c r="K18" i="48"/>
  <c r="K90" i="43" l="1"/>
  <c r="N1658" i="57"/>
  <c r="I1659" i="57"/>
  <c r="I1740" i="57" s="1"/>
  <c r="D1846" i="57"/>
  <c r="K1742" i="41"/>
  <c r="J33" i="41" s="1"/>
  <c r="M33" i="41" s="1"/>
  <c r="N1874" i="57"/>
  <c r="N22" i="43" s="1"/>
  <c r="N23" i="43" s="1"/>
  <c r="I1875" i="57"/>
  <c r="I1737" i="41"/>
  <c r="I1742" i="41" s="1"/>
  <c r="N1723" i="41"/>
  <c r="G1829" i="41"/>
  <c r="D1843" i="41"/>
  <c r="D1848" i="41" s="1"/>
  <c r="I13" i="73"/>
  <c r="M75" i="44"/>
  <c r="M85" i="44" s="1"/>
  <c r="K1831" i="57"/>
  <c r="K1841" i="57" s="1"/>
  <c r="D1937" i="57"/>
  <c r="G1841" i="57"/>
  <c r="L75" i="43"/>
  <c r="I1831" i="57"/>
  <c r="N1735" i="57"/>
  <c r="N1871" i="41"/>
  <c r="I1873" i="41"/>
  <c r="D2024" i="57"/>
  <c r="K1918" i="57"/>
  <c r="N56" i="44"/>
  <c r="D2238" i="41"/>
  <c r="K2132" i="41"/>
  <c r="I1795" i="41"/>
  <c r="N1720" i="41"/>
  <c r="G1981" i="57"/>
  <c r="D2086" i="57"/>
  <c r="O22" i="44"/>
  <c r="O23" i="44" s="1"/>
  <c r="G2184" i="57"/>
  <c r="M58" i="44"/>
  <c r="M68" i="44" s="1"/>
  <c r="D1920" i="57"/>
  <c r="K1814" i="57"/>
  <c r="K1824" i="57" s="1"/>
  <c r="G1824" i="57"/>
  <c r="G1978" i="41"/>
  <c r="D1979" i="41"/>
  <c r="P15" i="43"/>
  <c r="I2185" i="57"/>
  <c r="N1974" i="57"/>
  <c r="N1920" i="41"/>
  <c r="D1867" i="57"/>
  <c r="M15" i="44"/>
  <c r="M19" i="44" s="1"/>
  <c r="G1765" i="57"/>
  <c r="M56" i="43"/>
  <c r="I1918" i="57"/>
  <c r="K2053" i="41"/>
  <c r="D2159" i="41"/>
  <c r="D1901" i="41"/>
  <c r="K1795" i="41"/>
  <c r="K1826" i="41" s="1"/>
  <c r="G1826" i="41"/>
  <c r="K2145" i="57"/>
  <c r="P71" i="44"/>
  <c r="D2251" i="57"/>
  <c r="D2030" i="41"/>
  <c r="K1924" i="41"/>
  <c r="N1924" i="41" s="1"/>
  <c r="I2030" i="41" s="1"/>
  <c r="M71" i="43"/>
  <c r="I1933" i="57"/>
  <c r="D2146" i="57"/>
  <c r="O72" i="44"/>
  <c r="K2040" i="57"/>
  <c r="I2040" i="57"/>
  <c r="N72" i="43"/>
  <c r="D1877" i="41"/>
  <c r="G1876" i="41"/>
  <c r="N1876" i="41"/>
  <c r="I1877" i="41"/>
  <c r="I1814" i="57"/>
  <c r="L58" i="43"/>
  <c r="L68" i="43" s="1"/>
  <c r="N1718" i="57"/>
  <c r="I34" i="41" l="1"/>
  <c r="L85" i="43"/>
  <c r="M90" i="44"/>
  <c r="L18" i="43"/>
  <c r="L19" i="43" s="1"/>
  <c r="I1764" i="57"/>
  <c r="N1659" i="57"/>
  <c r="N1740" i="57" s="1"/>
  <c r="K1846" i="57"/>
  <c r="J34" i="57" s="1"/>
  <c r="M34" i="57" s="1"/>
  <c r="I35" i="57" s="1"/>
  <c r="G1846" i="57"/>
  <c r="I1980" i="57"/>
  <c r="N1875" i="57"/>
  <c r="K1829" i="41"/>
  <c r="K1843" i="41" s="1"/>
  <c r="D1935" i="41"/>
  <c r="G1843" i="41"/>
  <c r="G1848" i="41" s="1"/>
  <c r="I1829" i="41"/>
  <c r="N1737" i="41"/>
  <c r="N1742" i="41" s="1"/>
  <c r="G1937" i="57"/>
  <c r="D1947" i="57"/>
  <c r="N1831" i="57"/>
  <c r="I1841" i="57"/>
  <c r="N2040" i="57"/>
  <c r="I2146" i="57" s="1"/>
  <c r="N1877" i="41"/>
  <c r="I1982" i="41"/>
  <c r="D1982" i="41"/>
  <c r="G1877" i="41"/>
  <c r="G2146" i="57"/>
  <c r="N1933" i="57"/>
  <c r="G2030" i="41"/>
  <c r="G1901" i="41"/>
  <c r="D1932" i="41"/>
  <c r="G2159" i="41"/>
  <c r="N1918" i="57"/>
  <c r="G1867" i="57"/>
  <c r="D1871" i="57"/>
  <c r="O16" i="43"/>
  <c r="I2080" i="57"/>
  <c r="G1920" i="57"/>
  <c r="D1930" i="57"/>
  <c r="N1795" i="41"/>
  <c r="I1826" i="41"/>
  <c r="G2238" i="41"/>
  <c r="N1814" i="57"/>
  <c r="I1824" i="57"/>
  <c r="G2251" i="57"/>
  <c r="N2053" i="41"/>
  <c r="I2159" i="41" s="1"/>
  <c r="I2026" i="41"/>
  <c r="D2084" i="41"/>
  <c r="G1979" i="41"/>
  <c r="G2086" i="57"/>
  <c r="D2087" i="57"/>
  <c r="N2185" i="57"/>
  <c r="D2290" i="57"/>
  <c r="Q14" i="44"/>
  <c r="G2024" i="57"/>
  <c r="I1977" i="41"/>
  <c r="N1873" i="41"/>
  <c r="L90" i="43" l="1"/>
  <c r="I1765" i="57"/>
  <c r="I1846" i="57" s="1"/>
  <c r="N1764" i="57"/>
  <c r="D1952" i="57"/>
  <c r="K1848" i="41"/>
  <c r="J34" i="41" s="1"/>
  <c r="M34" i="41" s="1"/>
  <c r="O72" i="43"/>
  <c r="N1980" i="57"/>
  <c r="O22" i="43" s="1"/>
  <c r="O23" i="43" s="1"/>
  <c r="I1981" i="57"/>
  <c r="G1935" i="41"/>
  <c r="D1949" i="41"/>
  <c r="D1954" i="41" s="1"/>
  <c r="I1843" i="41"/>
  <c r="I1848" i="41" s="1"/>
  <c r="N1829" i="41"/>
  <c r="J13" i="73"/>
  <c r="J101" i="73" s="1"/>
  <c r="N75" i="44"/>
  <c r="N85" i="44" s="1"/>
  <c r="D2043" i="57"/>
  <c r="K1937" i="57"/>
  <c r="K1947" i="57" s="1"/>
  <c r="G1947" i="57"/>
  <c r="I1937" i="57"/>
  <c r="M75" i="43"/>
  <c r="N1841" i="57"/>
  <c r="G2087" i="57"/>
  <c r="P22" i="44"/>
  <c r="P23" i="44" s="1"/>
  <c r="D2192" i="57"/>
  <c r="I1983" i="41"/>
  <c r="N1982" i="41"/>
  <c r="D2130" i="57"/>
  <c r="K2024" i="57"/>
  <c r="O56" i="44"/>
  <c r="G2290" i="57"/>
  <c r="G2084" i="41"/>
  <c r="D2085" i="41"/>
  <c r="N2026" i="41"/>
  <c r="K2251" i="57"/>
  <c r="Q71" i="44"/>
  <c r="D2357" i="57"/>
  <c r="I1920" i="57"/>
  <c r="M58" i="43"/>
  <c r="M68" i="43" s="1"/>
  <c r="N1824" i="57"/>
  <c r="I1901" i="41"/>
  <c r="N1826" i="41"/>
  <c r="N2080" i="57"/>
  <c r="N15" i="44"/>
  <c r="N19" i="44" s="1"/>
  <c r="D1973" i="57"/>
  <c r="G1871" i="57"/>
  <c r="D2265" i="41"/>
  <c r="K2159" i="41"/>
  <c r="D2136" i="41"/>
  <c r="K2030" i="41"/>
  <c r="P72" i="44"/>
  <c r="K2146" i="57"/>
  <c r="N2146" i="57" s="1"/>
  <c r="D2252" i="57"/>
  <c r="Q15" i="43"/>
  <c r="I2291" i="57"/>
  <c r="D2344" i="41"/>
  <c r="K2238" i="41"/>
  <c r="I2039" i="57"/>
  <c r="N71" i="43"/>
  <c r="N1977" i="41"/>
  <c r="I1979" i="41"/>
  <c r="K1920" i="57"/>
  <c r="K1930" i="57" s="1"/>
  <c r="N58" i="44"/>
  <c r="N68" i="44" s="1"/>
  <c r="D2026" i="57"/>
  <c r="G1930" i="57"/>
  <c r="N56" i="43"/>
  <c r="I2024" i="57"/>
  <c r="D2007" i="41"/>
  <c r="K1901" i="41"/>
  <c r="K1932" i="41" s="1"/>
  <c r="G1932" i="41"/>
  <c r="G1982" i="41"/>
  <c r="D1983" i="41"/>
  <c r="I35" i="41" l="1"/>
  <c r="M85" i="43"/>
  <c r="N90" i="44"/>
  <c r="I1870" i="57"/>
  <c r="N1765" i="57"/>
  <c r="N1846" i="57" s="1"/>
  <c r="M18" i="43"/>
  <c r="M19" i="43" s="1"/>
  <c r="G1952" i="57"/>
  <c r="K1952" i="57"/>
  <c r="J35" i="57" s="1"/>
  <c r="M35" i="57" s="1"/>
  <c r="I36" i="57" s="1"/>
  <c r="I2086" i="57"/>
  <c r="N1981" i="57"/>
  <c r="D2041" i="41"/>
  <c r="K1935" i="41"/>
  <c r="K1949" i="41" s="1"/>
  <c r="G1949" i="41"/>
  <c r="G1954" i="41" s="1"/>
  <c r="I1935" i="41"/>
  <c r="N1843" i="41"/>
  <c r="N1848" i="41" s="1"/>
  <c r="N2159" i="41"/>
  <c r="I2265" i="41" s="1"/>
  <c r="G2043" i="57"/>
  <c r="D2053" i="57"/>
  <c r="N1937" i="57"/>
  <c r="I1947" i="57"/>
  <c r="G2252" i="57"/>
  <c r="I2132" i="41"/>
  <c r="G2130" i="57"/>
  <c r="N2024" i="57"/>
  <c r="G2026" i="57"/>
  <c r="D2036" i="57"/>
  <c r="N2039" i="57"/>
  <c r="G2344" i="41"/>
  <c r="N2291" i="57"/>
  <c r="G2136" i="41"/>
  <c r="P16" i="43"/>
  <c r="I2186" i="57"/>
  <c r="G2192" i="57"/>
  <c r="D2193" i="57"/>
  <c r="D2088" i="41"/>
  <c r="G1983" i="41"/>
  <c r="G2007" i="41"/>
  <c r="D2038" i="41"/>
  <c r="N2030" i="41"/>
  <c r="I2136" i="41" s="1"/>
  <c r="G2265" i="41"/>
  <c r="G2357" i="57"/>
  <c r="P72" i="43"/>
  <c r="I2252" i="57"/>
  <c r="I2083" i="41"/>
  <c r="N1979" i="41"/>
  <c r="G1973" i="57"/>
  <c r="D1977" i="57"/>
  <c r="N1920" i="57"/>
  <c r="I1930" i="57"/>
  <c r="R14" i="44"/>
  <c r="I2088" i="41"/>
  <c r="N1983" i="41"/>
  <c r="N1901" i="41"/>
  <c r="I1932" i="41"/>
  <c r="D2190" i="41"/>
  <c r="G2085" i="41"/>
  <c r="M90" i="43" l="1"/>
  <c r="N1870" i="57"/>
  <c r="I1871" i="57"/>
  <c r="I1952" i="57" s="1"/>
  <c r="D2058" i="57"/>
  <c r="K1954" i="41"/>
  <c r="J35" i="41" s="1"/>
  <c r="M35" i="41" s="1"/>
  <c r="N2086" i="57"/>
  <c r="P22" i="43" s="1"/>
  <c r="P23" i="43" s="1"/>
  <c r="I2087" i="57"/>
  <c r="I1949" i="41"/>
  <c r="I1954" i="41" s="1"/>
  <c r="N1935" i="41"/>
  <c r="G2041" i="41"/>
  <c r="D2055" i="41"/>
  <c r="D2060" i="41" s="1"/>
  <c r="K13" i="73"/>
  <c r="I2043" i="57"/>
  <c r="N75" i="43"/>
  <c r="N1947" i="57"/>
  <c r="D2149" i="57"/>
  <c r="K2043" i="57"/>
  <c r="K2053" i="57" s="1"/>
  <c r="O75" i="44"/>
  <c r="O85" i="44" s="1"/>
  <c r="G2053" i="57"/>
  <c r="K2265" i="41"/>
  <c r="D2371" i="41"/>
  <c r="D2089" i="41"/>
  <c r="G2088" i="41"/>
  <c r="R15" i="43"/>
  <c r="N2132" i="41"/>
  <c r="N58" i="43"/>
  <c r="N68" i="43" s="1"/>
  <c r="I2026" i="57"/>
  <c r="N1930" i="57"/>
  <c r="N2083" i="41"/>
  <c r="I2085" i="41"/>
  <c r="K2136" i="41"/>
  <c r="N2136" i="41" s="1"/>
  <c r="I2242" i="41" s="1"/>
  <c r="D2242" i="41"/>
  <c r="D2236" i="57"/>
  <c r="K2130" i="57"/>
  <c r="P56" i="44"/>
  <c r="G2190" i="41"/>
  <c r="D2191" i="41"/>
  <c r="I2089" i="41"/>
  <c r="N2088" i="41"/>
  <c r="I2130" i="57"/>
  <c r="O56" i="43"/>
  <c r="D15" i="47"/>
  <c r="S14" i="44"/>
  <c r="R71" i="44"/>
  <c r="K2357" i="57"/>
  <c r="K2007" i="41"/>
  <c r="K2038" i="41" s="1"/>
  <c r="D2113" i="41"/>
  <c r="G2038" i="41"/>
  <c r="G2193" i="57"/>
  <c r="Q22" i="44"/>
  <c r="Q23" i="44" s="1"/>
  <c r="D2298" i="57"/>
  <c r="N2186" i="57"/>
  <c r="K2344" i="41"/>
  <c r="O58" i="44"/>
  <c r="O68" i="44" s="1"/>
  <c r="K2026" i="57"/>
  <c r="K2036" i="57" s="1"/>
  <c r="D2132" i="57"/>
  <c r="G2036" i="57"/>
  <c r="I2007" i="41"/>
  <c r="N1932" i="41"/>
  <c r="D2079" i="57"/>
  <c r="O15" i="44"/>
  <c r="O19" i="44" s="1"/>
  <c r="G1977" i="57"/>
  <c r="I2145" i="57"/>
  <c r="O71" i="43"/>
  <c r="Q72" i="44"/>
  <c r="K2252" i="57"/>
  <c r="D2358" i="57"/>
  <c r="I36" i="41" l="1"/>
  <c r="N85" i="43"/>
  <c r="O90" i="44"/>
  <c r="I1976" i="57"/>
  <c r="N18" i="43"/>
  <c r="N19" i="43" s="1"/>
  <c r="N1871" i="57"/>
  <c r="N1952" i="57" s="1"/>
  <c r="K2058" i="57"/>
  <c r="J36" i="57" s="1"/>
  <c r="L13" i="73" s="1"/>
  <c r="L101" i="73" s="1"/>
  <c r="G2058" i="57"/>
  <c r="N2087" i="57"/>
  <c r="I2192" i="57"/>
  <c r="I2041" i="41"/>
  <c r="N1949" i="41"/>
  <c r="N1954" i="41" s="1"/>
  <c r="D2147" i="41"/>
  <c r="K2041" i="41"/>
  <c r="K2055" i="41" s="1"/>
  <c r="G2055" i="41"/>
  <c r="G2060" i="41" s="1"/>
  <c r="G2149" i="57"/>
  <c r="D2159" i="57"/>
  <c r="N2043" i="57"/>
  <c r="I2053" i="57"/>
  <c r="G2358" i="57"/>
  <c r="N2026" i="57"/>
  <c r="I2036" i="57"/>
  <c r="G19" i="48"/>
  <c r="S15" i="43"/>
  <c r="N2145" i="57"/>
  <c r="N2007" i="41"/>
  <c r="I2038" i="41"/>
  <c r="G2132" i="57"/>
  <c r="D2142" i="57"/>
  <c r="F18" i="48"/>
  <c r="I15" i="47"/>
  <c r="I17" i="130"/>
  <c r="I2238" i="41"/>
  <c r="G2298" i="57"/>
  <c r="D2299" i="57"/>
  <c r="G2113" i="41"/>
  <c r="D2144" i="41"/>
  <c r="D59" i="47"/>
  <c r="S71" i="44"/>
  <c r="F15" i="47"/>
  <c r="H15" i="47" s="1"/>
  <c r="N2130" i="57"/>
  <c r="D2296" i="41"/>
  <c r="G2191" i="41"/>
  <c r="G2236" i="57"/>
  <c r="G2242" i="41"/>
  <c r="I2189" i="41"/>
  <c r="N2085" i="41"/>
  <c r="G2371" i="41"/>
  <c r="G2079" i="57"/>
  <c r="D2083" i="57"/>
  <c r="Q16" i="43"/>
  <c r="I2292" i="57"/>
  <c r="N2252" i="57"/>
  <c r="I2194" i="41"/>
  <c r="N2089" i="41"/>
  <c r="D2194" i="41"/>
  <c r="G2089" i="41"/>
  <c r="N2265" i="41"/>
  <c r="I2371" i="41" s="1"/>
  <c r="N90" i="43" l="1"/>
  <c r="I1977" i="57"/>
  <c r="I2058" i="57" s="1"/>
  <c r="N1976" i="57"/>
  <c r="D2164" i="57"/>
  <c r="K2060" i="41"/>
  <c r="J36" i="41" s="1"/>
  <c r="M36" i="41" s="1"/>
  <c r="I2193" i="57"/>
  <c r="N2192" i="57"/>
  <c r="Q22" i="43" s="1"/>
  <c r="Q23" i="43" s="1"/>
  <c r="N2041" i="41"/>
  <c r="I2055" i="41"/>
  <c r="I2060" i="41" s="1"/>
  <c r="G2147" i="41"/>
  <c r="D2161" i="41"/>
  <c r="D2166" i="41" s="1"/>
  <c r="M36" i="57"/>
  <c r="I37" i="57" s="1"/>
  <c r="I2149" i="57"/>
  <c r="O75" i="43"/>
  <c r="N2053" i="57"/>
  <c r="K2149" i="57"/>
  <c r="K2159" i="57" s="1"/>
  <c r="P75" i="44"/>
  <c r="P85" i="44" s="1"/>
  <c r="D2255" i="57"/>
  <c r="G2159" i="57"/>
  <c r="Q72" i="43"/>
  <c r="I2358" i="57"/>
  <c r="K2242" i="41"/>
  <c r="D2348" i="41"/>
  <c r="K2132" i="57"/>
  <c r="K2142" i="57" s="1"/>
  <c r="P58" i="44"/>
  <c r="P68" i="44" s="1"/>
  <c r="D2238" i="57"/>
  <c r="G2142" i="57"/>
  <c r="I2236" i="57"/>
  <c r="P56" i="43"/>
  <c r="I59" i="47"/>
  <c r="F79" i="48"/>
  <c r="I76" i="130"/>
  <c r="D2219" i="41"/>
  <c r="K2113" i="41"/>
  <c r="K2144" i="41" s="1"/>
  <c r="G2144" i="41"/>
  <c r="N2238" i="41"/>
  <c r="P71" i="43"/>
  <c r="I2251" i="57"/>
  <c r="I19" i="48"/>
  <c r="G2296" i="41"/>
  <c r="G2297" i="41" s="1"/>
  <c r="D2297" i="41"/>
  <c r="P15" i="44"/>
  <c r="P19" i="44" s="1"/>
  <c r="D2185" i="57"/>
  <c r="G2083" i="57"/>
  <c r="N2189" i="41"/>
  <c r="I2191" i="41"/>
  <c r="I2113" i="41"/>
  <c r="N2038" i="41"/>
  <c r="D2195" i="41"/>
  <c r="G2194" i="41"/>
  <c r="K2371" i="41"/>
  <c r="Q56" i="44"/>
  <c r="K2236" i="57"/>
  <c r="D2342" i="57"/>
  <c r="F59" i="47"/>
  <c r="N2194" i="41"/>
  <c r="I2195" i="41"/>
  <c r="N2292" i="57"/>
  <c r="G2299" i="57"/>
  <c r="R22" i="44"/>
  <c r="I2132" i="57"/>
  <c r="O58" i="43"/>
  <c r="O68" i="43" s="1"/>
  <c r="N2036" i="57"/>
  <c r="L19" i="48"/>
  <c r="K2358" i="57"/>
  <c r="R72" i="44"/>
  <c r="I37" i="41" l="1"/>
  <c r="O85" i="43"/>
  <c r="P90" i="44"/>
  <c r="O18" i="43"/>
  <c r="O19" i="43" s="1"/>
  <c r="N1977" i="57"/>
  <c r="N2058" i="57" s="1"/>
  <c r="I2082" i="57"/>
  <c r="K2164" i="57"/>
  <c r="J37" i="57" s="1"/>
  <c r="M37" i="57" s="1"/>
  <c r="I38" i="57" s="1"/>
  <c r="G2164" i="57"/>
  <c r="I2298" i="57"/>
  <c r="N2193" i="57"/>
  <c r="I2147" i="41"/>
  <c r="N2055" i="41"/>
  <c r="N2060" i="41" s="1"/>
  <c r="K2147" i="41"/>
  <c r="K2161" i="41" s="1"/>
  <c r="D2253" i="41"/>
  <c r="G2161" i="41"/>
  <c r="G2166" i="41" s="1"/>
  <c r="G2255" i="57"/>
  <c r="D2265" i="57"/>
  <c r="N2149" i="57"/>
  <c r="I2159" i="57"/>
  <c r="R16" i="43"/>
  <c r="H59" i="47"/>
  <c r="I2295" i="41"/>
  <c r="N2191" i="41"/>
  <c r="K19" i="48"/>
  <c r="N2236" i="57"/>
  <c r="G2238" i="57"/>
  <c r="D2248" i="57"/>
  <c r="D23" i="47"/>
  <c r="R23" i="44"/>
  <c r="S22" i="44"/>
  <c r="N2132" i="57"/>
  <c r="I2142" i="57"/>
  <c r="D2300" i="41"/>
  <c r="G2195" i="41"/>
  <c r="G2219" i="41"/>
  <c r="D2250" i="41"/>
  <c r="N2358" i="57"/>
  <c r="R72" i="43" s="1"/>
  <c r="I2344" i="41"/>
  <c r="N2242" i="41"/>
  <c r="I2348" i="41" s="1"/>
  <c r="N2113" i="41"/>
  <c r="I2144" i="41"/>
  <c r="D60" i="47"/>
  <c r="S72" i="44"/>
  <c r="N2195" i="41"/>
  <c r="I2300" i="41"/>
  <c r="G2342" i="57"/>
  <c r="G2185" i="57"/>
  <c r="D2189" i="57"/>
  <c r="N2251" i="57"/>
  <c r="N2371" i="41"/>
  <c r="G2348" i="41"/>
  <c r="O90" i="43" l="1"/>
  <c r="I2083" i="57"/>
  <c r="I2164" i="57" s="1"/>
  <c r="N2082" i="57"/>
  <c r="D2270" i="57"/>
  <c r="K2166" i="41"/>
  <c r="J37" i="41" s="1"/>
  <c r="M37" i="41" s="1"/>
  <c r="I2299" i="57"/>
  <c r="N2298" i="57"/>
  <c r="G2253" i="41"/>
  <c r="D2267" i="41"/>
  <c r="D2272" i="41" s="1"/>
  <c r="N2147" i="41"/>
  <c r="I2161" i="41"/>
  <c r="I2166" i="41" s="1"/>
  <c r="M13" i="73"/>
  <c r="Q75" i="44"/>
  <c r="Q85" i="44" s="1"/>
  <c r="D2361" i="57"/>
  <c r="K2255" i="57"/>
  <c r="K2265" i="57" s="1"/>
  <c r="G2265" i="57"/>
  <c r="P75" i="43"/>
  <c r="I2255" i="57"/>
  <c r="N2159" i="57"/>
  <c r="F26" i="48"/>
  <c r="F27" i="48" s="1"/>
  <c r="S23" i="44"/>
  <c r="I23" i="47"/>
  <c r="I24" i="47" s="1"/>
  <c r="J18" i="46" s="1"/>
  <c r="G20" i="120" s="1"/>
  <c r="I25" i="130"/>
  <c r="I26" i="130" s="1"/>
  <c r="D2344" i="57"/>
  <c r="K2238" i="57"/>
  <c r="K2248" i="57" s="1"/>
  <c r="Q58" i="44"/>
  <c r="Q68" i="44" s="1"/>
  <c r="G2248" i="57"/>
  <c r="I2219" i="41"/>
  <c r="N2144" i="41"/>
  <c r="N2344" i="41"/>
  <c r="P58" i="43"/>
  <c r="P68" i="43" s="1"/>
  <c r="I2238" i="57"/>
  <c r="N2142" i="57"/>
  <c r="G20" i="48"/>
  <c r="S16" i="43"/>
  <c r="Q15" i="44"/>
  <c r="Q19" i="44" s="1"/>
  <c r="D2291" i="57"/>
  <c r="G2189" i="57"/>
  <c r="N2300" i="41"/>
  <c r="N2301" i="41" s="1"/>
  <c r="I2301" i="41"/>
  <c r="I60" i="47"/>
  <c r="I77" i="130"/>
  <c r="F80" i="48"/>
  <c r="K2219" i="41"/>
  <c r="K2250" i="41" s="1"/>
  <c r="D2325" i="41"/>
  <c r="G2250" i="41"/>
  <c r="D24" i="47"/>
  <c r="F24" i="47" s="1"/>
  <c r="F23" i="47"/>
  <c r="H23" i="47" s="1"/>
  <c r="H24" i="47" s="1"/>
  <c r="E18" i="46" s="1"/>
  <c r="G18" i="46" s="1"/>
  <c r="I18" i="46" s="1"/>
  <c r="I2342" i="57"/>
  <c r="Q56" i="43"/>
  <c r="Q71" i="43"/>
  <c r="I2357" i="57"/>
  <c r="N2295" i="41"/>
  <c r="N2297" i="41" s="1"/>
  <c r="I2297" i="41"/>
  <c r="R56" i="44"/>
  <c r="K2342" i="57"/>
  <c r="K2348" i="41"/>
  <c r="F60" i="47"/>
  <c r="G80" i="48"/>
  <c r="I80" i="48" s="1"/>
  <c r="K80" i="48" s="1"/>
  <c r="S72" i="43"/>
  <c r="L80" i="48" s="1"/>
  <c r="D2301" i="41"/>
  <c r="G2300" i="41"/>
  <c r="G2301" i="41" s="1"/>
  <c r="I38" i="41" l="1"/>
  <c r="P85" i="43"/>
  <c r="Q90" i="44"/>
  <c r="I2188" i="57"/>
  <c r="N2083" i="57"/>
  <c r="N2164" i="57" s="1"/>
  <c r="P18" i="43"/>
  <c r="P19" i="43" s="1"/>
  <c r="G2270" i="57"/>
  <c r="K2270" i="57"/>
  <c r="J38" i="57" s="1"/>
  <c r="M38" i="57" s="1"/>
  <c r="I39" i="57" s="1"/>
  <c r="N2299" i="57"/>
  <c r="R22" i="43"/>
  <c r="D2359" i="41"/>
  <c r="K2253" i="41"/>
  <c r="K2267" i="41" s="1"/>
  <c r="G2267" i="41"/>
  <c r="G2272" i="41" s="1"/>
  <c r="I2253" i="41"/>
  <c r="N2161" i="41"/>
  <c r="N2166" i="41" s="1"/>
  <c r="N2255" i="57"/>
  <c r="I2265" i="57"/>
  <c r="G2361" i="57"/>
  <c r="D2371" i="57"/>
  <c r="H60" i="47"/>
  <c r="N2357" i="57"/>
  <c r="N2238" i="57"/>
  <c r="I2248" i="57"/>
  <c r="N2348" i="41"/>
  <c r="D44" i="47"/>
  <c r="S56" i="44"/>
  <c r="N2342" i="57"/>
  <c r="G2325" i="41"/>
  <c r="D2356" i="41"/>
  <c r="L20" i="48"/>
  <c r="G2291" i="57"/>
  <c r="D2295" i="57"/>
  <c r="I20" i="48"/>
  <c r="N2219" i="41"/>
  <c r="I2250" i="41"/>
  <c r="G2344" i="57"/>
  <c r="D2354" i="57"/>
  <c r="P90" i="43" l="1"/>
  <c r="I2189" i="57"/>
  <c r="I2270" i="57" s="1"/>
  <c r="N2188" i="57"/>
  <c r="D2376" i="57"/>
  <c r="K2272" i="41"/>
  <c r="J38" i="41" s="1"/>
  <c r="M38" i="41" s="1"/>
  <c r="G26" i="48"/>
  <c r="S22" i="43"/>
  <c r="R23" i="43"/>
  <c r="I2267" i="41"/>
  <c r="I2272" i="41" s="1"/>
  <c r="N2253" i="41"/>
  <c r="G2359" i="41"/>
  <c r="D2373" i="41"/>
  <c r="D2378" i="41" s="1"/>
  <c r="N13" i="73"/>
  <c r="N101" i="73" s="1"/>
  <c r="Q75" i="43"/>
  <c r="I2361" i="57"/>
  <c r="N2265" i="57"/>
  <c r="K2361" i="57"/>
  <c r="K2371" i="57" s="1"/>
  <c r="R75" i="44"/>
  <c r="G2371" i="57"/>
  <c r="R15" i="44"/>
  <c r="G2295" i="57"/>
  <c r="I61" i="130"/>
  <c r="I44" i="47"/>
  <c r="F64" i="48"/>
  <c r="I2325" i="41"/>
  <c r="N2250" i="41"/>
  <c r="K2325" i="41"/>
  <c r="K2356" i="41" s="1"/>
  <c r="G2356" i="41"/>
  <c r="K20" i="48"/>
  <c r="F44" i="47"/>
  <c r="K2344" i="57"/>
  <c r="K2354" i="57" s="1"/>
  <c r="R58" i="44"/>
  <c r="G2354" i="57"/>
  <c r="R56" i="43"/>
  <c r="I2344" i="57"/>
  <c r="Q58" i="43"/>
  <c r="Q68" i="43" s="1"/>
  <c r="N2248" i="57"/>
  <c r="R71" i="43"/>
  <c r="I39" i="41" l="1"/>
  <c r="Q85" i="43"/>
  <c r="Q18" i="43"/>
  <c r="Q19" i="43" s="1"/>
  <c r="N2189" i="57"/>
  <c r="N2270" i="57" s="1"/>
  <c r="I2294" i="57"/>
  <c r="K2376" i="57"/>
  <c r="J39" i="57" s="1"/>
  <c r="M39" i="57" s="1"/>
  <c r="M41" i="57" s="1"/>
  <c r="G2376" i="57"/>
  <c r="G27" i="48"/>
  <c r="I26" i="48"/>
  <c r="S23" i="43"/>
  <c r="L26" i="48"/>
  <c r="L27" i="48" s="1"/>
  <c r="K2359" i="41"/>
  <c r="K2373" i="41" s="1"/>
  <c r="G2373" i="41"/>
  <c r="G2378" i="41" s="1"/>
  <c r="I2359" i="41"/>
  <c r="N2267" i="41"/>
  <c r="N2272" i="41" s="1"/>
  <c r="D63" i="47"/>
  <c r="S75" i="44"/>
  <c r="R85" i="44"/>
  <c r="N2361" i="57"/>
  <c r="I2371" i="57"/>
  <c r="D46" i="47"/>
  <c r="S58" i="44"/>
  <c r="R68" i="44"/>
  <c r="G64" i="48"/>
  <c r="S56" i="43"/>
  <c r="N2325" i="41"/>
  <c r="N2356" i="41" s="1"/>
  <c r="I2356" i="41"/>
  <c r="H44" i="47"/>
  <c r="G79" i="48"/>
  <c r="S71" i="43"/>
  <c r="N2344" i="57"/>
  <c r="I2354" i="57"/>
  <c r="D16" i="47"/>
  <c r="S15" i="44"/>
  <c r="R19" i="44"/>
  <c r="Q90" i="43" l="1"/>
  <c r="R90" i="44"/>
  <c r="I2295" i="57"/>
  <c r="I2376" i="57" s="1"/>
  <c r="N2294" i="57"/>
  <c r="K2378" i="41"/>
  <c r="J39" i="41" s="1"/>
  <c r="I27" i="48"/>
  <c r="K26" i="48"/>
  <c r="K27" i="48" s="1"/>
  <c r="I2373" i="41"/>
  <c r="I2378" i="41" s="1"/>
  <c r="N2359" i="41"/>
  <c r="N2373" i="41" s="1"/>
  <c r="N2378" i="41" s="1"/>
  <c r="J43" i="57"/>
  <c r="O13" i="73"/>
  <c r="P13" i="73" s="1"/>
  <c r="L43" i="59"/>
  <c r="N43" i="59" s="1"/>
  <c r="R75" i="43"/>
  <c r="N2371" i="57"/>
  <c r="I80" i="130"/>
  <c r="I90" i="130" s="1"/>
  <c r="I63" i="47"/>
  <c r="I73" i="47" s="1"/>
  <c r="J26" i="46" s="1"/>
  <c r="G19" i="120" s="1"/>
  <c r="F83" i="48"/>
  <c r="F93" i="48" s="1"/>
  <c r="S85" i="44"/>
  <c r="F63" i="47"/>
  <c r="D73" i="47"/>
  <c r="I64" i="48"/>
  <c r="I16" i="47"/>
  <c r="I20" i="47" s="1"/>
  <c r="F19" i="48"/>
  <c r="F23" i="48" s="1"/>
  <c r="I18" i="130"/>
  <c r="I22" i="130" s="1"/>
  <c r="S19" i="44"/>
  <c r="I79" i="48"/>
  <c r="I63" i="130"/>
  <c r="I73" i="130" s="1"/>
  <c r="I46" i="47"/>
  <c r="I56" i="47" s="1"/>
  <c r="F66" i="48"/>
  <c r="F76" i="48" s="1"/>
  <c r="S68" i="44"/>
  <c r="L79" i="48"/>
  <c r="F16" i="47"/>
  <c r="H16" i="47" s="1"/>
  <c r="H20" i="47" s="1"/>
  <c r="D20" i="47"/>
  <c r="L64" i="48"/>
  <c r="F46" i="47"/>
  <c r="D56" i="47"/>
  <c r="R58" i="43"/>
  <c r="N2354" i="57"/>
  <c r="S90" i="44" l="1"/>
  <c r="G169" i="120" s="1"/>
  <c r="R18" i="43"/>
  <c r="N2295" i="57"/>
  <c r="N2376" i="57" s="1"/>
  <c r="J43" i="41"/>
  <c r="M39" i="41"/>
  <c r="I95" i="130"/>
  <c r="F98" i="48"/>
  <c r="D78" i="47"/>
  <c r="J24" i="46"/>
  <c r="G18" i="120" s="1"/>
  <c r="I78" i="47"/>
  <c r="L45" i="59"/>
  <c r="L49" i="59" s="1"/>
  <c r="N49" i="59" s="1"/>
  <c r="E20" i="59" s="1"/>
  <c r="E21" i="59" s="1"/>
  <c r="E22" i="59" s="1"/>
  <c r="E23" i="59" s="1"/>
  <c r="E24" i="59" s="1"/>
  <c r="E25" i="59" s="1"/>
  <c r="E26" i="59" s="1"/>
  <c r="E27" i="59" s="1"/>
  <c r="E28" i="59" s="1"/>
  <c r="E29" i="59" s="1"/>
  <c r="E30" i="59" s="1"/>
  <c r="E31" i="59" s="1"/>
  <c r="H63" i="47"/>
  <c r="H73" i="47" s="1"/>
  <c r="E26" i="46" s="1"/>
  <c r="G26" i="46" s="1"/>
  <c r="I26" i="46" s="1"/>
  <c r="F73" i="47"/>
  <c r="G83" i="48"/>
  <c r="S75" i="43"/>
  <c r="R85" i="43"/>
  <c r="K79" i="48"/>
  <c r="F20" i="47"/>
  <c r="D136" i="71"/>
  <c r="E258" i="74"/>
  <c r="D14" i="136"/>
  <c r="J16" i="46"/>
  <c r="H46" i="47"/>
  <c r="H56" i="47" s="1"/>
  <c r="F56" i="47"/>
  <c r="E16" i="46"/>
  <c r="K64" i="48"/>
  <c r="G66" i="48"/>
  <c r="S58" i="43"/>
  <c r="R68" i="43"/>
  <c r="M41" i="41" l="1"/>
  <c r="S18" i="43"/>
  <c r="G22" i="48"/>
  <c r="R19" i="43"/>
  <c r="R90" i="43" s="1"/>
  <c r="F78" i="47"/>
  <c r="E24" i="46"/>
  <c r="G24" i="46" s="1"/>
  <c r="I24" i="46" s="1"/>
  <c r="H78" i="47"/>
  <c r="N45" i="59"/>
  <c r="L47" i="59"/>
  <c r="N47" i="59" s="1"/>
  <c r="C20" i="59" s="1"/>
  <c r="I96" i="48"/>
  <c r="K96" i="48" s="1"/>
  <c r="L83" i="48"/>
  <c r="L93" i="48" s="1"/>
  <c r="S85" i="43"/>
  <c r="I83" i="48"/>
  <c r="G93" i="48"/>
  <c r="H14" i="136"/>
  <c r="J32" i="46"/>
  <c r="I15" i="45" s="1"/>
  <c r="G17" i="120"/>
  <c r="G24" i="120" s="1"/>
  <c r="S16" i="77"/>
  <c r="O258" i="74"/>
  <c r="E261" i="74"/>
  <c r="O261" i="74" s="1"/>
  <c r="L66" i="48"/>
  <c r="L76" i="48" s="1"/>
  <c r="S68" i="43"/>
  <c r="I66" i="48"/>
  <c r="G76" i="48"/>
  <c r="G16" i="46"/>
  <c r="F136" i="71"/>
  <c r="C21" i="59" l="1"/>
  <c r="C71" i="59"/>
  <c r="G23" i="48"/>
  <c r="G98" i="48" s="1"/>
  <c r="I22" i="48"/>
  <c r="L22" i="48"/>
  <c r="L23" i="48" s="1"/>
  <c r="L98" i="48" s="1"/>
  <c r="I21" i="45" s="1"/>
  <c r="I23" i="45" s="1"/>
  <c r="S19" i="43"/>
  <c r="S90" i="43" s="1"/>
  <c r="E32" i="46"/>
  <c r="K83" i="48"/>
  <c r="K93" i="48" s="1"/>
  <c r="I93" i="48"/>
  <c r="S17" i="77"/>
  <c r="S14" i="77"/>
  <c r="I23" i="69"/>
  <c r="K66" i="48"/>
  <c r="K76" i="48" s="1"/>
  <c r="I76" i="48"/>
  <c r="G32" i="46"/>
  <c r="I16" i="46"/>
  <c r="I32" i="46" s="1"/>
  <c r="H15" i="45" s="1"/>
  <c r="J71" i="59" l="1"/>
  <c r="E71" i="59"/>
  <c r="G71" i="59" s="1"/>
  <c r="H71" i="59" s="1"/>
  <c r="E47" i="62" s="1"/>
  <c r="C22" i="59"/>
  <c r="C72" i="59"/>
  <c r="I23" i="48"/>
  <c r="I98" i="48" s="1"/>
  <c r="K22" i="48"/>
  <c r="K23" i="48" s="1"/>
  <c r="K98" i="48" s="1"/>
  <c r="H21" i="45" s="1"/>
  <c r="H23" i="45" s="1"/>
  <c r="G25" i="120"/>
  <c r="G26" i="120" s="1"/>
  <c r="G35" i="120" s="1"/>
  <c r="G23" i="69"/>
  <c r="M23" i="69"/>
  <c r="J72" i="59" l="1"/>
  <c r="E72" i="59"/>
  <c r="G72" i="59" s="1"/>
  <c r="H72" i="59" s="1"/>
  <c r="E48" i="62" s="1"/>
  <c r="C23" i="59"/>
  <c r="C73" i="59"/>
  <c r="J26" i="108"/>
  <c r="I20" i="68"/>
  <c r="E73" i="59" l="1"/>
  <c r="G73" i="59" s="1"/>
  <c r="H73" i="59" s="1"/>
  <c r="E49" i="62" s="1"/>
  <c r="J73" i="59"/>
  <c r="C24" i="59"/>
  <c r="C74" i="59"/>
  <c r="M20" i="68"/>
  <c r="G20" i="68"/>
  <c r="C25" i="59" l="1"/>
  <c r="C75" i="59"/>
  <c r="E74" i="59"/>
  <c r="G74" i="59" s="1"/>
  <c r="H74" i="59" s="1"/>
  <c r="E50" i="62" s="1"/>
  <c r="J74" i="59"/>
  <c r="E34" i="59"/>
  <c r="J75" i="59" l="1"/>
  <c r="E75" i="59"/>
  <c r="G75" i="59" s="1"/>
  <c r="H75" i="59" s="1"/>
  <c r="E51" i="62" s="1"/>
  <c r="C26" i="59"/>
  <c r="C76" i="59"/>
  <c r="H25" i="23"/>
  <c r="J25" i="23" s="1"/>
  <c r="C32" i="61"/>
  <c r="K25" i="23" s="1"/>
  <c r="H24" i="23"/>
  <c r="B32" i="61"/>
  <c r="K24" i="23" s="1"/>
  <c r="E76" i="59" l="1"/>
  <c r="G76" i="59" s="1"/>
  <c r="H76" i="59" s="1"/>
  <c r="E52" i="62" s="1"/>
  <c r="J76" i="59"/>
  <c r="C27" i="59"/>
  <c r="C77" i="59"/>
  <c r="J24" i="23"/>
  <c r="C28" i="59" l="1"/>
  <c r="C78" i="59"/>
  <c r="E77" i="59"/>
  <c r="G77" i="59" s="1"/>
  <c r="H77" i="59" s="1"/>
  <c r="E53" i="62" s="1"/>
  <c r="J77" i="59"/>
  <c r="I60" i="79"/>
  <c r="E78" i="59" l="1"/>
  <c r="G78" i="59" s="1"/>
  <c r="H78" i="59" s="1"/>
  <c r="E54" i="62" s="1"/>
  <c r="J78" i="59"/>
  <c r="C29" i="59"/>
  <c r="C79" i="59"/>
  <c r="O60" i="79"/>
  <c r="J79" i="59" l="1"/>
  <c r="E79" i="59"/>
  <c r="G79" i="59" s="1"/>
  <c r="H79" i="59" s="1"/>
  <c r="E55" i="62" s="1"/>
  <c r="C30" i="59"/>
  <c r="C80" i="59"/>
  <c r="J80" i="59" l="1"/>
  <c r="E80" i="59"/>
  <c r="G80" i="59" s="1"/>
  <c r="H80" i="59" s="1"/>
  <c r="E56" i="62" s="1"/>
  <c r="C31" i="59"/>
  <c r="C34" i="59" s="1"/>
  <c r="C81" i="59"/>
  <c r="P86" i="72"/>
  <c r="P101" i="72" s="1"/>
  <c r="E15" i="123" s="1"/>
  <c r="E81" i="59" l="1"/>
  <c r="G81" i="59" s="1"/>
  <c r="H81" i="59" s="1"/>
  <c r="E57" i="62" s="1"/>
  <c r="J81" i="59"/>
  <c r="C61" i="59"/>
  <c r="C37" i="62" s="1"/>
  <c r="C82" i="59"/>
  <c r="D117" i="70"/>
  <c r="D94" i="74"/>
  <c r="E82" i="59" l="1"/>
  <c r="G82" i="59" s="1"/>
  <c r="H82" i="59" s="1"/>
  <c r="J82" i="59"/>
  <c r="C83" i="59"/>
  <c r="D120" i="74"/>
  <c r="D192" i="74"/>
  <c r="D218" i="74" s="1"/>
  <c r="F117" i="70"/>
  <c r="F127" i="70" s="1"/>
  <c r="D127" i="70"/>
  <c r="D134" i="70" s="1"/>
  <c r="E58" i="62" l="1"/>
  <c r="E60" i="62" s="1"/>
  <c r="H83" i="59"/>
  <c r="I83" i="59" s="1"/>
  <c r="D32" i="61" s="1"/>
  <c r="H89" i="59"/>
  <c r="F134" i="70"/>
  <c r="E22" i="69"/>
  <c r="I24" i="108"/>
  <c r="I28" i="108" s="1"/>
  <c r="I30" i="108" s="1"/>
  <c r="I38" i="108" s="1"/>
  <c r="D19" i="61" l="1"/>
  <c r="D17" i="61"/>
  <c r="D18" i="61"/>
  <c r="D26" i="61"/>
  <c r="D28" i="61"/>
  <c r="D23" i="61"/>
  <c r="D20" i="61"/>
  <c r="D21" i="61"/>
  <c r="D29" i="61"/>
  <c r="D27" i="61"/>
  <c r="D24" i="61"/>
  <c r="D25" i="61"/>
  <c r="D22" i="61"/>
  <c r="E19" i="68"/>
  <c r="E28" i="21"/>
  <c r="I28" i="21" l="1"/>
  <c r="I30" i="21" s="1"/>
  <c r="E30" i="21"/>
  <c r="H64" i="120"/>
  <c r="E23" i="68"/>
  <c r="I15" i="22" l="1"/>
  <c r="J25" i="1"/>
  <c r="J33" i="1" s="1"/>
  <c r="H102" i="120"/>
  <c r="H103" i="120"/>
  <c r="I25" i="22" l="1"/>
  <c r="L15" i="22"/>
  <c r="L25" i="22" s="1"/>
  <c r="E16" i="123"/>
  <c r="E17" i="64"/>
  <c r="E25" i="64" s="1"/>
  <c r="E31" i="68"/>
  <c r="E17" i="123" l="1"/>
  <c r="E21" i="123" l="1"/>
  <c r="E23" i="123" l="1"/>
  <c r="E25" i="123" l="1"/>
  <c r="E27" i="123" l="1"/>
  <c r="E31" i="123" l="1"/>
  <c r="E36" i="123" l="1"/>
  <c r="E38" i="123" l="1"/>
  <c r="E50" i="123"/>
  <c r="E52" i="123" l="1"/>
  <c r="D138" i="70" l="1"/>
  <c r="E56" i="123"/>
  <c r="E28" i="69" l="1"/>
  <c r="F138" i="70"/>
  <c r="D141" i="70"/>
  <c r="D143" i="70" s="1"/>
  <c r="F143" i="70" l="1"/>
  <c r="I39" i="108"/>
  <c r="I41" i="108" s="1"/>
  <c r="F141" i="70"/>
  <c r="E31" i="69"/>
  <c r="E33" i="69" s="1"/>
  <c r="E25" i="68"/>
  <c r="H66" i="120" l="1"/>
  <c r="H67" i="120" s="1"/>
  <c r="H69" i="120" s="1"/>
  <c r="E27" i="68"/>
  <c r="E29" i="68" l="1"/>
  <c r="H152" i="120"/>
  <c r="H72" i="120"/>
  <c r="H74" i="120" s="1"/>
  <c r="H105" i="120"/>
  <c r="H104" i="120"/>
  <c r="H76" i="120" l="1"/>
  <c r="H150" i="120"/>
  <c r="H151" i="120"/>
  <c r="E33" i="68"/>
  <c r="E19" i="64"/>
  <c r="E21" i="64" l="1"/>
  <c r="E27" i="64"/>
  <c r="E31" i="64" s="1"/>
  <c r="H119" i="120"/>
  <c r="H78" i="120"/>
  <c r="H107" i="120"/>
  <c r="H80" i="120"/>
  <c r="K57" i="127" l="1"/>
  <c r="M57" i="127"/>
  <c r="I57" i="127"/>
  <c r="I21" i="127"/>
  <c r="F12" i="80" s="1"/>
  <c r="G42" i="73" s="1"/>
  <c r="O57" i="127"/>
  <c r="K31" i="127"/>
  <c r="H21" i="80" s="1"/>
  <c r="I50" i="73" s="1"/>
  <c r="K50" i="127"/>
  <c r="H40" i="80" s="1"/>
  <c r="I78" i="73" s="1"/>
  <c r="Q20" i="127"/>
  <c r="N11" i="80" s="1"/>
  <c r="O41" i="73" s="1"/>
  <c r="M36" i="127"/>
  <c r="J26" i="80" s="1"/>
  <c r="K68" i="73" s="1"/>
  <c r="O28" i="127"/>
  <c r="L19" i="80" s="1"/>
  <c r="M49" i="73" s="1"/>
  <c r="I23" i="127"/>
  <c r="F14" i="80" s="1"/>
  <c r="G44" i="73" s="1"/>
  <c r="M55" i="127"/>
  <c r="J43" i="80" s="1"/>
  <c r="K81" i="73" s="1"/>
  <c r="M17" i="127"/>
  <c r="J10" i="80" s="1"/>
  <c r="K37" i="73" s="1"/>
  <c r="K37" i="127"/>
  <c r="H27" i="80" s="1"/>
  <c r="I69" i="73" s="1"/>
  <c r="O25" i="127"/>
  <c r="L16" i="80" s="1"/>
  <c r="M46" i="73" s="1"/>
  <c r="I25" i="127"/>
  <c r="F16" i="80" s="1"/>
  <c r="G46" i="73" s="1"/>
  <c r="K23" i="127"/>
  <c r="H14" i="80" s="1"/>
  <c r="I44" i="73" s="1"/>
  <c r="M24" i="127"/>
  <c r="J15" i="80" s="1"/>
  <c r="K45" i="73" s="1"/>
  <c r="K21" i="127"/>
  <c r="H12" i="80" s="1"/>
  <c r="I42" i="73" s="1"/>
  <c r="M35" i="127"/>
  <c r="J25" i="80" s="1"/>
  <c r="K54" i="73" s="1"/>
  <c r="O50" i="127"/>
  <c r="L40" i="80" s="1"/>
  <c r="M78" i="73" s="1"/>
  <c r="M22" i="127"/>
  <c r="J13" i="80" s="1"/>
  <c r="K43" i="73" s="1"/>
  <c r="O55" i="127"/>
  <c r="L43" i="80" s="1"/>
  <c r="M81" i="73" s="1"/>
  <c r="K51" i="127"/>
  <c r="H41" i="80" s="1"/>
  <c r="I79" i="73" s="1"/>
  <c r="K48" i="127"/>
  <c r="H38" i="80" s="1"/>
  <c r="I76" i="73" s="1"/>
  <c r="M50" i="127"/>
  <c r="J40" i="80" s="1"/>
  <c r="K78" i="73" s="1"/>
  <c r="K24" i="127"/>
  <c r="H15" i="80" s="1"/>
  <c r="I45" i="73" s="1"/>
  <c r="I56" i="127"/>
  <c r="F44" i="80" s="1"/>
  <c r="G82" i="73" s="1"/>
  <c r="K36" i="127"/>
  <c r="H26" i="80" s="1"/>
  <c r="I68" i="73" s="1"/>
  <c r="M48" i="127"/>
  <c r="J38" i="80" s="1"/>
  <c r="K76" i="73" s="1"/>
  <c r="Q51" i="127"/>
  <c r="N41" i="80" s="1"/>
  <c r="O79" i="73" s="1"/>
  <c r="Q61" i="127"/>
  <c r="Q26" i="127"/>
  <c r="N17" i="80" s="1"/>
  <c r="O47" i="73" s="1"/>
  <c r="Q23" i="127"/>
  <c r="N14" i="80" s="1"/>
  <c r="O44" i="73" s="1"/>
  <c r="K20" i="127"/>
  <c r="H11" i="80" s="1"/>
  <c r="I41" i="73" s="1"/>
  <c r="O33" i="127"/>
  <c r="L23" i="80" s="1"/>
  <c r="M52" i="73" s="1"/>
  <c r="I37" i="127"/>
  <c r="F27" i="80" s="1"/>
  <c r="G69" i="73" s="1"/>
  <c r="G57" i="127"/>
  <c r="M25" i="127"/>
  <c r="J16" i="80" s="1"/>
  <c r="K46" i="73" s="1"/>
  <c r="K22" i="127"/>
  <c r="H13" i="80" s="1"/>
  <c r="I43" i="73" s="1"/>
  <c r="I69" i="127"/>
  <c r="F57" i="80" s="1"/>
  <c r="G96" i="73" s="1"/>
  <c r="K68" i="127"/>
  <c r="H56" i="80" s="1"/>
  <c r="I95" i="73" s="1"/>
  <c r="I17" i="127"/>
  <c r="F10" i="80" s="1"/>
  <c r="G37" i="73" s="1"/>
  <c r="K35" i="127"/>
  <c r="H25" i="80" s="1"/>
  <c r="I54" i="73" s="1"/>
  <c r="M23" i="127"/>
  <c r="J14" i="80" s="1"/>
  <c r="K44" i="73" s="1"/>
  <c r="O51" i="127"/>
  <c r="L41" i="80" s="1"/>
  <c r="M79" i="73" s="1"/>
  <c r="I63" i="127"/>
  <c r="F51" i="80" s="1"/>
  <c r="G88" i="73" s="1"/>
  <c r="I45" i="127"/>
  <c r="F34" i="80" s="1"/>
  <c r="G75" i="73" s="1"/>
  <c r="M66" i="127"/>
  <c r="J54" i="80" s="1"/>
  <c r="K92" i="73" s="1"/>
  <c r="I26" i="127"/>
  <c r="F17" i="80" s="1"/>
  <c r="G47" i="73" s="1"/>
  <c r="Q68" i="127"/>
  <c r="N56" i="80" s="1"/>
  <c r="O95" i="73" s="1"/>
  <c r="M69" i="127"/>
  <c r="J57" i="80" s="1"/>
  <c r="K96" i="73" s="1"/>
  <c r="K69" i="127"/>
  <c r="H57" i="80" s="1"/>
  <c r="I96" i="73" s="1"/>
  <c r="M32" i="127"/>
  <c r="J22" i="80" s="1"/>
  <c r="K51" i="73" s="1"/>
  <c r="M56" i="127"/>
  <c r="J44" i="80" s="1"/>
  <c r="K82" i="73" s="1"/>
  <c r="O69" i="127"/>
  <c r="L57" i="80" s="1"/>
  <c r="M96" i="73" s="1"/>
  <c r="G67" i="127"/>
  <c r="D55" i="80" s="1"/>
  <c r="O66" i="127"/>
  <c r="L54" i="80" s="1"/>
  <c r="M92" i="73" s="1"/>
  <c r="M9" i="127"/>
  <c r="J9" i="80" s="1"/>
  <c r="K27" i="73" s="1"/>
  <c r="M61" i="127"/>
  <c r="J45" i="80" s="1"/>
  <c r="K85" i="73" s="1"/>
  <c r="Q64" i="127"/>
  <c r="N52" i="80" s="1"/>
  <c r="O89" i="73" s="1"/>
  <c r="O24" i="127"/>
  <c r="L15" i="80" s="1"/>
  <c r="M45" i="73" s="1"/>
  <c r="M26" i="127"/>
  <c r="J17" i="80" s="1"/>
  <c r="K47" i="73" s="1"/>
  <c r="M67" i="127"/>
  <c r="J55" i="80" s="1"/>
  <c r="K94" i="73" s="1"/>
  <c r="Q9" i="127"/>
  <c r="N9" i="80" s="1"/>
  <c r="O27" i="73" s="1"/>
  <c r="M34" i="127"/>
  <c r="J24" i="80" s="1"/>
  <c r="I35" i="127"/>
  <c r="F25" i="80" s="1"/>
  <c r="G54" i="73" s="1"/>
  <c r="Q50" i="127"/>
  <c r="N40" i="80" s="1"/>
  <c r="O78" i="73" s="1"/>
  <c r="I67" i="127"/>
  <c r="F55" i="80" s="1"/>
  <c r="G94" i="73" s="1"/>
  <c r="Q45" i="127"/>
  <c r="N34" i="80" s="1"/>
  <c r="O75" i="73" s="1"/>
  <c r="K55" i="127"/>
  <c r="H43" i="80" s="1"/>
  <c r="I81" i="73" s="1"/>
  <c r="K25" i="127"/>
  <c r="H16" i="80" s="1"/>
  <c r="I46" i="73" s="1"/>
  <c r="O26" i="127"/>
  <c r="L17" i="80" s="1"/>
  <c r="M47" i="73" s="1"/>
  <c r="O27" i="127"/>
  <c r="L18" i="80" s="1"/>
  <c r="M48" i="73" s="1"/>
  <c r="Q17" i="127"/>
  <c r="N10" i="80" s="1"/>
  <c r="O37" i="73" s="1"/>
  <c r="O65" i="127"/>
  <c r="L53" i="80" s="1"/>
  <c r="M90" i="73" s="1"/>
  <c r="K17" i="127"/>
  <c r="H10" i="80" s="1"/>
  <c r="I37" i="73" s="1"/>
  <c r="O56" i="127"/>
  <c r="L44" i="80" s="1"/>
  <c r="M82" i="73" s="1"/>
  <c r="O35" i="127"/>
  <c r="L25" i="80" s="1"/>
  <c r="M54" i="73" s="1"/>
  <c r="O21" i="127"/>
  <c r="L12" i="80" s="1"/>
  <c r="M42" i="73" s="1"/>
  <c r="I51" i="127"/>
  <c r="F41" i="80" s="1"/>
  <c r="G79" i="73" s="1"/>
  <c r="Q37" i="127"/>
  <c r="N27" i="80" s="1"/>
  <c r="O69" i="73" s="1"/>
  <c r="K63" i="127"/>
  <c r="H51" i="80" s="1"/>
  <c r="I88" i="73" s="1"/>
  <c r="M20" i="127"/>
  <c r="J11" i="80" s="1"/>
  <c r="K41" i="73" s="1"/>
  <c r="Q66" i="127"/>
  <c r="N54" i="80" s="1"/>
  <c r="O92" i="73" s="1"/>
  <c r="I65" i="127"/>
  <c r="F53" i="80" s="1"/>
  <c r="G90" i="73" s="1"/>
  <c r="O63" i="127"/>
  <c r="L51" i="80" s="1"/>
  <c r="M88" i="73" s="1"/>
  <c r="M28" i="127"/>
  <c r="J19" i="80" s="1"/>
  <c r="K49" i="73" s="1"/>
  <c r="Q27" i="127"/>
  <c r="N18" i="80" s="1"/>
  <c r="O48" i="73" s="1"/>
  <c r="G25" i="127"/>
  <c r="D16" i="80" s="1"/>
  <c r="Q25" i="127"/>
  <c r="N16" i="80" s="1"/>
  <c r="O46" i="73" s="1"/>
  <c r="I24" i="127"/>
  <c r="F15" i="80" s="1"/>
  <c r="G45" i="73" s="1"/>
  <c r="Q24" i="127"/>
  <c r="N15" i="80" s="1"/>
  <c r="O45" i="73" s="1"/>
  <c r="Q31" i="127"/>
  <c r="N21" i="80" s="1"/>
  <c r="O50" i="73" s="1"/>
  <c r="M33" i="127"/>
  <c r="J23" i="80" s="1"/>
  <c r="K52" i="73" s="1"/>
  <c r="K27" i="127"/>
  <c r="H18" i="80" s="1"/>
  <c r="I48" i="73" s="1"/>
  <c r="O31" i="127"/>
  <c r="L21" i="80" s="1"/>
  <c r="M50" i="73" s="1"/>
  <c r="O17" i="127"/>
  <c r="L10" i="80" s="1"/>
  <c r="M37" i="73" s="1"/>
  <c r="K28" i="127"/>
  <c r="H19" i="80" s="1"/>
  <c r="I49" i="73" s="1"/>
  <c r="K26" i="127"/>
  <c r="H17" i="80" s="1"/>
  <c r="I47" i="73" s="1"/>
  <c r="M64" i="127"/>
  <c r="J52" i="80" s="1"/>
  <c r="K89" i="73" s="1"/>
  <c r="M51" i="127"/>
  <c r="J41" i="80" s="1"/>
  <c r="K79" i="73" s="1"/>
  <c r="M63" i="127"/>
  <c r="J51" i="80" s="1"/>
  <c r="K88" i="73" s="1"/>
  <c r="G50" i="127"/>
  <c r="D40" i="80" s="1"/>
  <c r="E78" i="73" s="1"/>
  <c r="K65" i="127"/>
  <c r="H53" i="80" s="1"/>
  <c r="I90" i="73" s="1"/>
  <c r="I70" i="127"/>
  <c r="F58" i="80" s="1"/>
  <c r="G99" i="73" s="1"/>
  <c r="Q35" i="127"/>
  <c r="N25" i="80" s="1"/>
  <c r="O54" i="73" s="1"/>
  <c r="Q55" i="127"/>
  <c r="N43" i="80" s="1"/>
  <c r="O81" i="73" s="1"/>
  <c r="I55" i="127"/>
  <c r="F43" i="80" s="1"/>
  <c r="G81" i="73" s="1"/>
  <c r="Q57" i="127"/>
  <c r="K33" i="127"/>
  <c r="H23" i="80" s="1"/>
  <c r="I52" i="73" s="1"/>
  <c r="O34" i="127"/>
  <c r="L24" i="80" s="1"/>
  <c r="M53" i="73" s="1"/>
  <c r="K64" i="127"/>
  <c r="H52" i="80" s="1"/>
  <c r="I89" i="73" s="1"/>
  <c r="K45" i="127"/>
  <c r="H34" i="80" s="1"/>
  <c r="I75" i="73" s="1"/>
  <c r="G21" i="127"/>
  <c r="D12" i="80" s="1"/>
  <c r="E42" i="73" s="1"/>
  <c r="Q21" i="127"/>
  <c r="N12" i="80" s="1"/>
  <c r="O42" i="73" s="1"/>
  <c r="K32" i="127"/>
  <c r="H22" i="80" s="1"/>
  <c r="I51" i="73" s="1"/>
  <c r="M21" i="127"/>
  <c r="J12" i="80" s="1"/>
  <c r="K42" i="73" s="1"/>
  <c r="G35" i="127"/>
  <c r="D25" i="80" s="1"/>
  <c r="M70" i="127"/>
  <c r="J46" i="80" s="1"/>
  <c r="K98" i="73" s="1"/>
  <c r="G63" i="127"/>
  <c r="D51" i="80" s="1"/>
  <c r="E88" i="73" s="1"/>
  <c r="I64" i="127"/>
  <c r="F52" i="80" s="1"/>
  <c r="G89" i="73" s="1"/>
  <c r="G37" i="127"/>
  <c r="D27" i="80" s="1"/>
  <c r="E69" i="73" s="1"/>
  <c r="Q63" i="127"/>
  <c r="N51" i="80" s="1"/>
  <c r="O88" i="73" s="1"/>
  <c r="O22" i="127"/>
  <c r="L13" i="80" s="1"/>
  <c r="M43" i="73" s="1"/>
  <c r="O9" i="127"/>
  <c r="L9" i="80" s="1"/>
  <c r="M27" i="73" s="1"/>
  <c r="O23" i="127"/>
  <c r="L14" i="80" s="1"/>
  <c r="M44" i="73" s="1"/>
  <c r="I36" i="127"/>
  <c r="F26" i="80" s="1"/>
  <c r="G68" i="73" s="1"/>
  <c r="O70" i="127"/>
  <c r="L58" i="80" s="1"/>
  <c r="M99" i="73" s="1"/>
  <c r="K56" i="127"/>
  <c r="H44" i="80" s="1"/>
  <c r="I82" i="73" s="1"/>
  <c r="M45" i="127"/>
  <c r="J34" i="80" s="1"/>
  <c r="K75" i="73" s="1"/>
  <c r="M37" i="127"/>
  <c r="J27" i="80" s="1"/>
  <c r="K69" i="73" s="1"/>
  <c r="I31" i="127"/>
  <c r="F21" i="80" s="1"/>
  <c r="G50" i="73" s="1"/>
  <c r="G48" i="127"/>
  <c r="D38" i="80" s="1"/>
  <c r="G24" i="127"/>
  <c r="D15" i="80" s="1"/>
  <c r="E45" i="73" s="1"/>
  <c r="G33" i="127"/>
  <c r="D23" i="80" s="1"/>
  <c r="E52" i="73" s="1"/>
  <c r="Q22" i="127"/>
  <c r="N13" i="80" s="1"/>
  <c r="O43" i="73" s="1"/>
  <c r="G64" i="127"/>
  <c r="D52" i="80" s="1"/>
  <c r="M27" i="127"/>
  <c r="J18" i="80" s="1"/>
  <c r="K48" i="73" s="1"/>
  <c r="G32" i="127"/>
  <c r="D22" i="80" s="1"/>
  <c r="G22" i="127"/>
  <c r="D13" i="80" s="1"/>
  <c r="E43" i="73" s="1"/>
  <c r="G69" i="127"/>
  <c r="D57" i="80" s="1"/>
  <c r="E96" i="73" s="1"/>
  <c r="O45" i="127"/>
  <c r="L34" i="80" s="1"/>
  <c r="M75" i="73" s="1"/>
  <c r="G23" i="127"/>
  <c r="D14" i="80" s="1"/>
  <c r="K70" i="127"/>
  <c r="H36" i="80" s="1"/>
  <c r="I97" i="73" s="1"/>
  <c r="I32" i="127"/>
  <c r="F22" i="80" s="1"/>
  <c r="G51" i="73" s="1"/>
  <c r="I68" i="127"/>
  <c r="F56" i="80" s="1"/>
  <c r="G95" i="73" s="1"/>
  <c r="Q70" i="127"/>
  <c r="N36" i="80" s="1"/>
  <c r="O97" i="73" s="1"/>
  <c r="G20" i="127"/>
  <c r="D11" i="80" s="1"/>
  <c r="E41" i="73" s="1"/>
  <c r="Q48" i="127"/>
  <c r="N38" i="80" s="1"/>
  <c r="O76" i="73" s="1"/>
  <c r="Q28" i="127"/>
  <c r="N19" i="80" s="1"/>
  <c r="O49" i="73" s="1"/>
  <c r="O67" i="127"/>
  <c r="L55" i="80" s="1"/>
  <c r="M94" i="73" s="1"/>
  <c r="K66" i="127"/>
  <c r="H54" i="80" s="1"/>
  <c r="I92" i="73" s="1"/>
  <c r="I33" i="127"/>
  <c r="F23" i="80" s="1"/>
  <c r="G52" i="73" s="1"/>
  <c r="G45" i="127"/>
  <c r="D34" i="80" s="1"/>
  <c r="E75" i="73" s="1"/>
  <c r="I66" i="127"/>
  <c r="F54" i="80" s="1"/>
  <c r="G92" i="73" s="1"/>
  <c r="K34" i="127"/>
  <c r="H24" i="80" s="1"/>
  <c r="I53" i="73" s="1"/>
  <c r="I22" i="127"/>
  <c r="F13" i="80" s="1"/>
  <c r="G43" i="73" s="1"/>
  <c r="Q36" i="127"/>
  <c r="N26" i="80" s="1"/>
  <c r="O68" i="73" s="1"/>
  <c r="G51" i="127"/>
  <c r="D41" i="80" s="1"/>
  <c r="G61" i="127"/>
  <c r="D45" i="80" s="1"/>
  <c r="E85" i="73" s="1"/>
  <c r="I61" i="127"/>
  <c r="F35" i="80" s="1"/>
  <c r="G84" i="73" s="1"/>
  <c r="G65" i="127"/>
  <c r="D53" i="80" s="1"/>
  <c r="E90" i="73" s="1"/>
  <c r="O68" i="127"/>
  <c r="L56" i="80" s="1"/>
  <c r="M95" i="73" s="1"/>
  <c r="G34" i="127"/>
  <c r="D24" i="80" s="1"/>
  <c r="E53" i="73" s="1"/>
  <c r="O20" i="127"/>
  <c r="L11" i="80" s="1"/>
  <c r="M41" i="73" s="1"/>
  <c r="G68" i="127"/>
  <c r="D56" i="80" s="1"/>
  <c r="I34" i="127"/>
  <c r="F24" i="80" s="1"/>
  <c r="G53" i="73" s="1"/>
  <c r="G70" i="127"/>
  <c r="D58" i="80" s="1"/>
  <c r="I48" i="127"/>
  <c r="F38" i="80" s="1"/>
  <c r="G76" i="73" s="1"/>
  <c r="I28" i="127"/>
  <c r="F19" i="80" s="1"/>
  <c r="G49" i="73" s="1"/>
  <c r="O48" i="127"/>
  <c r="L38" i="80" s="1"/>
  <c r="M76" i="73" s="1"/>
  <c r="K67" i="127"/>
  <c r="H55" i="80" s="1"/>
  <c r="I94" i="73" s="1"/>
  <c r="G36" i="127"/>
  <c r="D26" i="80" s="1"/>
  <c r="E68" i="73" s="1"/>
  <c r="G56" i="127"/>
  <c r="D44" i="80" s="1"/>
  <c r="E82" i="73" s="1"/>
  <c r="O36" i="127"/>
  <c r="L26" i="80" s="1"/>
  <c r="M68" i="73" s="1"/>
  <c r="O32" i="127"/>
  <c r="L22" i="80" s="1"/>
  <c r="M51" i="73" s="1"/>
  <c r="G27" i="127"/>
  <c r="D18" i="80" s="1"/>
  <c r="O37" i="127"/>
  <c r="L27" i="80" s="1"/>
  <c r="M69" i="73" s="1"/>
  <c r="M31" i="127"/>
  <c r="J21" i="80" s="1"/>
  <c r="K50" i="73" s="1"/>
  <c r="I27" i="127"/>
  <c r="F18" i="80" s="1"/>
  <c r="G48" i="73" s="1"/>
  <c r="Q67" i="127"/>
  <c r="N55" i="80" s="1"/>
  <c r="O94" i="73" s="1"/>
  <c r="I50" i="127"/>
  <c r="F40" i="80" s="1"/>
  <c r="Q65" i="127"/>
  <c r="N53" i="80" s="1"/>
  <c r="O90" i="73" s="1"/>
  <c r="G17" i="127"/>
  <c r="D10" i="80" s="1"/>
  <c r="E37" i="73" s="1"/>
  <c r="M68" i="127"/>
  <c r="J56" i="80" s="1"/>
  <c r="K95" i="73" s="1"/>
  <c r="I9" i="127"/>
  <c r="F9" i="80" s="1"/>
  <c r="G27" i="73" s="1"/>
  <c r="G55" i="127"/>
  <c r="D43" i="80" s="1"/>
  <c r="G31" i="127"/>
  <c r="D21" i="80" s="1"/>
  <c r="I20" i="127"/>
  <c r="F11" i="80" s="1"/>
  <c r="G41" i="73" s="1"/>
  <c r="Q33" i="127"/>
  <c r="N23" i="80" s="1"/>
  <c r="O52" i="73" s="1"/>
  <c r="K9" i="127"/>
  <c r="H9" i="80" s="1"/>
  <c r="I27" i="73" s="1"/>
  <c r="O61" i="127"/>
  <c r="G9" i="127"/>
  <c r="D9" i="80" s="1"/>
  <c r="E27" i="73" s="1"/>
  <c r="G66" i="127"/>
  <c r="D54" i="80" s="1"/>
  <c r="E92" i="73" s="1"/>
  <c r="M65" i="127"/>
  <c r="J53" i="80" s="1"/>
  <c r="K90" i="73" s="1"/>
  <c r="O64" i="127"/>
  <c r="L52" i="80" s="1"/>
  <c r="M89" i="73" s="1"/>
  <c r="Q32" i="127"/>
  <c r="N22" i="80" s="1"/>
  <c r="O51" i="73" s="1"/>
  <c r="G26" i="127"/>
  <c r="D17" i="80" s="1"/>
  <c r="G28" i="127"/>
  <c r="D19" i="80" s="1"/>
  <c r="Q34" i="127"/>
  <c r="N24" i="80" s="1"/>
  <c r="O53" i="73" s="1"/>
  <c r="K61" i="127"/>
  <c r="Q69" i="127"/>
  <c r="N57" i="80" s="1"/>
  <c r="O96" i="73" s="1"/>
  <c r="Q56" i="127"/>
  <c r="N44" i="80" s="1"/>
  <c r="O82" i="73" s="1"/>
  <c r="O41" i="80" l="1"/>
  <c r="E51" i="127" s="1"/>
  <c r="V51" i="127" s="1"/>
  <c r="O43" i="80"/>
  <c r="E55" i="127" s="1"/>
  <c r="V55" i="127" s="1"/>
  <c r="H35" i="80"/>
  <c r="I84" i="73" s="1"/>
  <c r="H45" i="80"/>
  <c r="I85" i="73" s="1"/>
  <c r="E79" i="73"/>
  <c r="P79" i="73" s="1"/>
  <c r="D103" i="71" s="1"/>
  <c r="H58" i="80"/>
  <c r="I99" i="73" s="1"/>
  <c r="O56" i="80"/>
  <c r="E68" i="127" s="1"/>
  <c r="V68" i="127" s="1"/>
  <c r="P75" i="73"/>
  <c r="D77" i="136" s="1"/>
  <c r="H77" i="136" s="1"/>
  <c r="O51" i="80"/>
  <c r="E63" i="127" s="1"/>
  <c r="V63" i="127" s="1"/>
  <c r="E81" i="73"/>
  <c r="P81" i="73" s="1"/>
  <c r="E49" i="73"/>
  <c r="P37" i="73"/>
  <c r="K53" i="73"/>
  <c r="P90" i="73"/>
  <c r="G78" i="73"/>
  <c r="P78" i="73" s="1"/>
  <c r="O40" i="80"/>
  <c r="E50" i="127" s="1"/>
  <c r="V50" i="127" s="1"/>
  <c r="E99" i="73"/>
  <c r="P92" i="73"/>
  <c r="P96" i="73"/>
  <c r="E48" i="73"/>
  <c r="P82" i="73"/>
  <c r="O10" i="80"/>
  <c r="E17" i="127" s="1"/>
  <c r="V17" i="127" s="1"/>
  <c r="O34" i="80"/>
  <c r="E45" i="127" s="1"/>
  <c r="V45" i="127" s="1"/>
  <c r="E44" i="73"/>
  <c r="P88" i="73"/>
  <c r="P42" i="73"/>
  <c r="E95" i="73"/>
  <c r="P95" i="73" s="1"/>
  <c r="O53" i="80"/>
  <c r="E65" i="127" s="1"/>
  <c r="V65" i="127" s="1"/>
  <c r="D35" i="80"/>
  <c r="O57" i="80"/>
  <c r="E69" i="127" s="1"/>
  <c r="V69" i="127" s="1"/>
  <c r="E51" i="73"/>
  <c r="O52" i="80"/>
  <c r="E64" i="127" s="1"/>
  <c r="V64" i="127" s="1"/>
  <c r="E89" i="73"/>
  <c r="P89" i="73" s="1"/>
  <c r="J36" i="80"/>
  <c r="K97" i="73" s="1"/>
  <c r="J58" i="80"/>
  <c r="K99" i="73" s="1"/>
  <c r="O12" i="80"/>
  <c r="E21" i="127" s="1"/>
  <c r="V21" i="127" s="1"/>
  <c r="O44" i="80"/>
  <c r="E56" i="127" s="1"/>
  <c r="V56" i="127" s="1"/>
  <c r="E46" i="73"/>
  <c r="H46" i="80"/>
  <c r="I98" i="73" s="1"/>
  <c r="L36" i="80"/>
  <c r="M97" i="73" s="1"/>
  <c r="J35" i="80"/>
  <c r="K84" i="73" s="1"/>
  <c r="E50" i="73"/>
  <c r="D46" i="80"/>
  <c r="D36" i="80"/>
  <c r="N45" i="80"/>
  <c r="O85" i="73" s="1"/>
  <c r="P27" i="73"/>
  <c r="L45" i="80"/>
  <c r="M85" i="73" s="1"/>
  <c r="L35" i="80"/>
  <c r="M84" i="73" s="1"/>
  <c r="F45" i="80"/>
  <c r="G85" i="73" s="1"/>
  <c r="N46" i="80"/>
  <c r="O98" i="73" s="1"/>
  <c r="N58" i="80"/>
  <c r="O99" i="73" s="1"/>
  <c r="E76" i="73"/>
  <c r="P76" i="73" s="1"/>
  <c r="O38" i="80"/>
  <c r="E48" i="127" s="1"/>
  <c r="V48" i="127" s="1"/>
  <c r="E94" i="73"/>
  <c r="E47" i="73"/>
  <c r="O54" i="80"/>
  <c r="E66" i="127" s="1"/>
  <c r="V66" i="127" s="1"/>
  <c r="O9" i="80"/>
  <c r="E9" i="127" s="1"/>
  <c r="L46" i="80"/>
  <c r="M98" i="73" s="1"/>
  <c r="E54" i="73"/>
  <c r="F46" i="80"/>
  <c r="G98" i="73" s="1"/>
  <c r="F36" i="80"/>
  <c r="G97" i="73" s="1"/>
  <c r="N35" i="80"/>
  <c r="O84" i="73" s="1"/>
  <c r="J49" i="80" l="1"/>
  <c r="K86" i="73" s="1"/>
  <c r="H49" i="80"/>
  <c r="I86" i="73" s="1"/>
  <c r="P99" i="73"/>
  <c r="D101" i="136" s="1"/>
  <c r="H101" i="136" s="1"/>
  <c r="D81" i="136"/>
  <c r="H81" i="136" s="1"/>
  <c r="F49" i="80"/>
  <c r="G86" i="73" s="1"/>
  <c r="D94" i="71"/>
  <c r="F94" i="71" s="1"/>
  <c r="O58" i="80"/>
  <c r="D78" i="136"/>
  <c r="H78" i="136" s="1"/>
  <c r="D100" i="71"/>
  <c r="D34" i="71"/>
  <c r="D28" i="136"/>
  <c r="D98" i="136"/>
  <c r="H98" i="136" s="1"/>
  <c r="D130" i="71"/>
  <c r="D92" i="136"/>
  <c r="H92" i="136" s="1"/>
  <c r="D121" i="71"/>
  <c r="F121" i="71" s="1"/>
  <c r="V9" i="127"/>
  <c r="O46" i="80"/>
  <c r="E98" i="73"/>
  <c r="P98" i="73" s="1"/>
  <c r="D120" i="71"/>
  <c r="F120" i="71" s="1"/>
  <c r="D91" i="136"/>
  <c r="H91" i="136" s="1"/>
  <c r="D111" i="71"/>
  <c r="D84" i="136"/>
  <c r="H84" i="136" s="1"/>
  <c r="N49" i="80"/>
  <c r="O86" i="73" s="1"/>
  <c r="D55" i="71"/>
  <c r="F55" i="71" s="1"/>
  <c r="D43" i="136"/>
  <c r="H43" i="136" s="1"/>
  <c r="D80" i="136"/>
  <c r="H80" i="136" s="1"/>
  <c r="D102" i="71"/>
  <c r="D83" i="136"/>
  <c r="H83" i="136" s="1"/>
  <c r="D110" i="71"/>
  <c r="D47" i="71"/>
  <c r="D38" i="136"/>
  <c r="H38" i="136" s="1"/>
  <c r="E84" i="73"/>
  <c r="D126" i="71"/>
  <c r="F126" i="71" s="1"/>
  <c r="D97" i="136"/>
  <c r="H97" i="136" s="1"/>
  <c r="L49" i="80"/>
  <c r="M86" i="73" s="1"/>
  <c r="O36" i="80"/>
  <c r="E97" i="73"/>
  <c r="P97" i="73" s="1"/>
  <c r="D49" i="80"/>
  <c r="D119" i="71"/>
  <c r="F119" i="71" s="1"/>
  <c r="D90" i="136"/>
  <c r="H90" i="136" s="1"/>
  <c r="D123" i="71"/>
  <c r="F123" i="71" s="1"/>
  <c r="D94" i="136"/>
  <c r="H94" i="136" s="1"/>
  <c r="M22" i="90"/>
  <c r="Q22" i="90" s="1"/>
  <c r="F103" i="71"/>
  <c r="E70" i="127" l="1"/>
  <c r="V70" i="127" s="1"/>
  <c r="D131" i="71"/>
  <c r="F131" i="71" s="1"/>
  <c r="E86" i="73"/>
  <c r="H28" i="136"/>
  <c r="D99" i="136"/>
  <c r="H99" i="136" s="1"/>
  <c r="D105" i="71"/>
  <c r="F105" i="71" s="1"/>
  <c r="D51" i="71"/>
  <c r="F47" i="71"/>
  <c r="D100" i="136"/>
  <c r="H100" i="136" s="1"/>
  <c r="D96" i="71"/>
  <c r="F96" i="71" s="1"/>
  <c r="F130" i="71"/>
  <c r="D39" i="71"/>
  <c r="F34" i="71"/>
  <c r="F39" i="71" s="1"/>
  <c r="M19" i="90"/>
  <c r="F100" i="71"/>
  <c r="F102" i="71"/>
  <c r="M21" i="90"/>
  <c r="Q21" i="90" s="1"/>
  <c r="F110" i="71"/>
  <c r="D113" i="71"/>
  <c r="M26" i="90"/>
  <c r="Q26" i="90" s="1"/>
  <c r="F111" i="71"/>
  <c r="M27" i="90"/>
  <c r="Q27" i="90" s="1"/>
  <c r="F113" i="71" l="1"/>
  <c r="I21" i="69" s="1"/>
  <c r="G21" i="69" s="1"/>
  <c r="D132" i="71"/>
  <c r="F132" i="71" s="1"/>
  <c r="Q19" i="90"/>
  <c r="I17" i="69"/>
  <c r="F51" i="71"/>
  <c r="M21" i="69" l="1"/>
  <c r="E26" i="51" s="1"/>
  <c r="I26" i="51" s="1"/>
  <c r="M17" i="69"/>
  <c r="G17" i="69"/>
  <c r="I16" i="69"/>
  <c r="I16" i="51"/>
  <c r="E18" i="51" l="1"/>
  <c r="G16" i="69"/>
  <c r="M16" i="69"/>
  <c r="I18" i="51" l="1"/>
  <c r="I18" i="68"/>
  <c r="J23" i="108"/>
  <c r="G18" i="68" l="1"/>
  <c r="M18" i="68"/>
  <c r="F24" i="127"/>
  <c r="C15" i="80" s="1"/>
  <c r="O15" i="80" s="1"/>
  <c r="E24" i="127" s="1"/>
  <c r="V24" i="127" s="1"/>
  <c r="F31" i="127"/>
  <c r="C21" i="80" s="1"/>
  <c r="F32" i="127"/>
  <c r="C22" i="80" s="1"/>
  <c r="O22" i="80" s="1"/>
  <c r="E32" i="127" s="1"/>
  <c r="V32" i="127" s="1"/>
  <c r="F38" i="127"/>
  <c r="C28" i="80" s="1"/>
  <c r="F35" i="127"/>
  <c r="C25" i="80" s="1"/>
  <c r="F34" i="127"/>
  <c r="C24" i="80" s="1"/>
  <c r="O24" i="80" s="1"/>
  <c r="E34" i="127" s="1"/>
  <c r="V34" i="127" s="1"/>
  <c r="F37" i="127"/>
  <c r="C27" i="80" s="1"/>
  <c r="D69" i="73" s="1"/>
  <c r="P69" i="73" s="1"/>
  <c r="D72" i="71" s="1"/>
  <c r="F72" i="71" s="1"/>
  <c r="E166" i="127" l="1"/>
  <c r="D31" i="81" s="1"/>
  <c r="E31" i="81" s="1"/>
  <c r="F184" i="127"/>
  <c r="F472" i="127" s="1"/>
  <c r="D51" i="73"/>
  <c r="P51" i="73" s="1"/>
  <c r="D52" i="136" s="1"/>
  <c r="H52" i="136" s="1"/>
  <c r="D45" i="73"/>
  <c r="P45" i="73" s="1"/>
  <c r="D46" i="136" s="1"/>
  <c r="H46" i="136" s="1"/>
  <c r="D70" i="73"/>
  <c r="D53" i="73"/>
  <c r="P53" i="73" s="1"/>
  <c r="D54" i="136" s="1"/>
  <c r="H54" i="136" s="1"/>
  <c r="O21" i="80"/>
  <c r="E31" i="127" s="1"/>
  <c r="V31" i="127" s="1"/>
  <c r="D50" i="73"/>
  <c r="P50" i="73" s="1"/>
  <c r="F20" i="127"/>
  <c r="O25" i="80"/>
  <c r="E35" i="127" s="1"/>
  <c r="V35" i="127" s="1"/>
  <c r="D54" i="73"/>
  <c r="P54" i="73" s="1"/>
  <c r="O27" i="80"/>
  <c r="E37" i="127" s="1"/>
  <c r="V37" i="127" s="1"/>
  <c r="D71" i="136"/>
  <c r="H71" i="136" s="1"/>
  <c r="E184" i="127" l="1"/>
  <c r="D49" i="81" s="1"/>
  <c r="E49" i="81" s="1"/>
  <c r="F115" i="74" s="1"/>
  <c r="O115" i="74" s="1"/>
  <c r="F64" i="74"/>
  <c r="G8" i="81"/>
  <c r="J8" i="81" s="1"/>
  <c r="D67" i="71"/>
  <c r="F67" i="71" s="1"/>
  <c r="D69" i="71"/>
  <c r="F69" i="71" s="1"/>
  <c r="F67" i="127"/>
  <c r="C55" i="80" s="1"/>
  <c r="D94" i="73" s="1"/>
  <c r="P94" i="73" s="1"/>
  <c r="D96" i="136" s="1"/>
  <c r="H96" i="136" s="1"/>
  <c r="E185" i="127"/>
  <c r="D58" i="71"/>
  <c r="F58" i="71" s="1"/>
  <c r="D55" i="136"/>
  <c r="H55" i="136" s="1"/>
  <c r="D70" i="71"/>
  <c r="F70" i="71" s="1"/>
  <c r="C11" i="80"/>
  <c r="D51" i="136"/>
  <c r="H51" i="136" s="1"/>
  <c r="D66" i="71"/>
  <c r="F62" i="127"/>
  <c r="C50" i="80" s="1"/>
  <c r="E210" i="127"/>
  <c r="M213" i="74" l="1"/>
  <c r="O64" i="74"/>
  <c r="F125" i="74"/>
  <c r="F120" i="74"/>
  <c r="S26" i="76" s="1"/>
  <c r="D125" i="71"/>
  <c r="F125" i="71" s="1"/>
  <c r="O55" i="80"/>
  <c r="E67" i="127" s="1"/>
  <c r="V67" i="127" s="1"/>
  <c r="D87" i="73"/>
  <c r="O11" i="80"/>
  <c r="E20" i="127" s="1"/>
  <c r="D41" i="73"/>
  <c r="F66" i="71"/>
  <c r="O213" i="74" l="1"/>
  <c r="M162" i="74"/>
  <c r="O125" i="74"/>
  <c r="M223" i="74" s="1"/>
  <c r="O223" i="74" s="1"/>
  <c r="F140" i="74"/>
  <c r="S24" i="76"/>
  <c r="S27" i="76"/>
  <c r="P41" i="73"/>
  <c r="V20" i="127"/>
  <c r="O162" i="74" l="1"/>
  <c r="D54" i="71"/>
  <c r="D42" i="136"/>
  <c r="F54" i="71" l="1"/>
  <c r="H42" i="136"/>
  <c r="F43" i="127"/>
  <c r="C32" i="80" s="1"/>
  <c r="D73" i="73" l="1"/>
  <c r="F22" i="127" l="1"/>
  <c r="C13" i="80" s="1"/>
  <c r="O13" i="80" l="1"/>
  <c r="E22" i="127" s="1"/>
  <c r="D43" i="73"/>
  <c r="V22" i="127" l="1"/>
  <c r="P43" i="73"/>
  <c r="D44" i="136" l="1"/>
  <c r="D56" i="71"/>
  <c r="H44" i="136" l="1"/>
  <c r="F56" i="71"/>
  <c r="F475" i="127"/>
  <c r="F36" i="127"/>
  <c r="C26" i="80" s="1"/>
  <c r="D68" i="73" s="1"/>
  <c r="P68" i="73" s="1"/>
  <c r="F27" i="127"/>
  <c r="C18" i="80" s="1"/>
  <c r="D48" i="73" s="1"/>
  <c r="P48" i="73" s="1"/>
  <c r="F25" i="127"/>
  <c r="C16" i="80" s="1"/>
  <c r="F26" i="127"/>
  <c r="C17" i="80" s="1"/>
  <c r="C23" i="80"/>
  <c r="D52" i="73" s="1"/>
  <c r="F28" i="127"/>
  <c r="C19" i="80" s="1"/>
  <c r="D49" i="73" s="1"/>
  <c r="P49" i="73" s="1"/>
  <c r="F23" i="127"/>
  <c r="P52" i="73" l="1"/>
  <c r="F476" i="127"/>
  <c r="F61" i="127"/>
  <c r="C35" i="80" s="1"/>
  <c r="D84" i="73" s="1"/>
  <c r="P84" i="73" s="1"/>
  <c r="O17" i="80"/>
  <c r="E26" i="127" s="1"/>
  <c r="V26" i="127" s="1"/>
  <c r="D47" i="73"/>
  <c r="P47" i="73" s="1"/>
  <c r="D48" i="136" s="1"/>
  <c r="H48" i="136" s="1"/>
  <c r="O23" i="80"/>
  <c r="O18" i="80"/>
  <c r="E27" i="127" s="1"/>
  <c r="V27" i="127" s="1"/>
  <c r="D49" i="136"/>
  <c r="H49" i="136" s="1"/>
  <c r="D61" i="71"/>
  <c r="F61" i="71" s="1"/>
  <c r="D50" i="136"/>
  <c r="H50" i="136" s="1"/>
  <c r="D62" i="71"/>
  <c r="F62" i="71" s="1"/>
  <c r="D71" i="71"/>
  <c r="F71" i="71" s="1"/>
  <c r="D70" i="136"/>
  <c r="H70" i="136" s="1"/>
  <c r="O19" i="80"/>
  <c r="E28" i="127" s="1"/>
  <c r="V28" i="127" s="1"/>
  <c r="D68" i="71"/>
  <c r="D53" i="136"/>
  <c r="H53" i="136" s="1"/>
  <c r="O26" i="80"/>
  <c r="E36" i="127" s="1"/>
  <c r="V36" i="127" s="1"/>
  <c r="C14" i="80"/>
  <c r="O16" i="80"/>
  <c r="E25" i="127" s="1"/>
  <c r="V25" i="127" s="1"/>
  <c r="D46" i="73"/>
  <c r="P46" i="73" s="1"/>
  <c r="E243" i="127"/>
  <c r="E33" i="127" l="1"/>
  <c r="V33" i="127" s="1"/>
  <c r="O35" i="80"/>
  <c r="F72" i="127"/>
  <c r="F73" i="127" s="1"/>
  <c r="C45" i="80"/>
  <c r="C49" i="80" s="1"/>
  <c r="O49" i="80" s="1"/>
  <c r="D60" i="71"/>
  <c r="F60" i="71" s="1"/>
  <c r="O14" i="80"/>
  <c r="E23" i="127" s="1"/>
  <c r="D44" i="73"/>
  <c r="F68" i="71"/>
  <c r="D86" i="136"/>
  <c r="H86" i="136" s="1"/>
  <c r="D95" i="71"/>
  <c r="D47" i="136"/>
  <c r="H47" i="136" s="1"/>
  <c r="D59" i="71"/>
  <c r="F59" i="71" s="1"/>
  <c r="C60" i="80" l="1"/>
  <c r="D85" i="73"/>
  <c r="P85" i="73" s="1"/>
  <c r="D87" i="136" s="1"/>
  <c r="H87" i="136" s="1"/>
  <c r="D86" i="73"/>
  <c r="P86" i="73" s="1"/>
  <c r="D88" i="136" s="1"/>
  <c r="H88" i="136" s="1"/>
  <c r="O45" i="80"/>
  <c r="E61" i="127" s="1"/>
  <c r="V61" i="127" s="1"/>
  <c r="F95" i="71"/>
  <c r="V23" i="127"/>
  <c r="P44" i="73"/>
  <c r="D117" i="71" l="1"/>
  <c r="D101" i="73"/>
  <c r="D104" i="71"/>
  <c r="F104" i="71" s="1"/>
  <c r="D45" i="136"/>
  <c r="D57" i="71"/>
  <c r="F117" i="71" l="1"/>
  <c r="D63" i="71"/>
  <c r="F57" i="71"/>
  <c r="H45" i="136"/>
  <c r="F63" i="71" l="1"/>
  <c r="E375" i="127"/>
  <c r="D241" i="81" s="1"/>
  <c r="E241" i="81" s="1"/>
  <c r="E374" i="127"/>
  <c r="D240" i="81" s="1"/>
  <c r="E240" i="81" s="1"/>
  <c r="F181" i="74" s="1"/>
  <c r="F185" i="74" l="1"/>
  <c r="L185" i="74" s="1"/>
  <c r="L181" i="74"/>
  <c r="E376" i="127"/>
  <c r="F218" i="74" l="1"/>
  <c r="S125" i="76" s="1"/>
  <c r="S123" i="76" s="1"/>
  <c r="F233" i="74"/>
  <c r="F238" i="74" s="1"/>
  <c r="L218" i="74"/>
  <c r="E81" i="74"/>
  <c r="E86" i="74"/>
  <c r="O86" i="74" s="1"/>
  <c r="I38" i="127"/>
  <c r="F28" i="80" s="1"/>
  <c r="G43" i="127"/>
  <c r="D32" i="80" s="1"/>
  <c r="O43" i="127"/>
  <c r="L32" i="80" s="1"/>
  <c r="M73" i="73" s="1"/>
  <c r="M43" i="127"/>
  <c r="J32" i="80" s="1"/>
  <c r="K73" i="73" s="1"/>
  <c r="O38" i="127"/>
  <c r="L28" i="80" s="1"/>
  <c r="Q49" i="127"/>
  <c r="N39" i="80" s="1"/>
  <c r="O77" i="73" s="1"/>
  <c r="Q60" i="127"/>
  <c r="N48" i="80" s="1"/>
  <c r="O83" i="73" s="1"/>
  <c r="Q42" i="127"/>
  <c r="N31" i="80" s="1"/>
  <c r="O72" i="73" s="1"/>
  <c r="I42" i="127"/>
  <c r="F31" i="80" s="1"/>
  <c r="G72" i="73" s="1"/>
  <c r="I49" i="127"/>
  <c r="F39" i="80" s="1"/>
  <c r="G77" i="73" s="1"/>
  <c r="K38" i="127"/>
  <c r="I43" i="127"/>
  <c r="F32" i="80" s="1"/>
  <c r="G73" i="73" s="1"/>
  <c r="Q38" i="127"/>
  <c r="M38" i="127"/>
  <c r="J28" i="80" s="1"/>
  <c r="G49" i="127"/>
  <c r="D39" i="80" s="1"/>
  <c r="G42" i="127"/>
  <c r="D31" i="80" s="1"/>
  <c r="E72" i="73" s="1"/>
  <c r="O49" i="127"/>
  <c r="L39" i="80" s="1"/>
  <c r="M77" i="73" s="1"/>
  <c r="K43" i="127"/>
  <c r="H32" i="80" s="1"/>
  <c r="I73" i="73" s="1"/>
  <c r="K42" i="127"/>
  <c r="H31" i="80" s="1"/>
  <c r="I72" i="73" s="1"/>
  <c r="M163" i="127"/>
  <c r="K163" i="127"/>
  <c r="K49" i="127"/>
  <c r="H39" i="80" s="1"/>
  <c r="I77" i="73" s="1"/>
  <c r="O60" i="127"/>
  <c r="L48" i="80" s="1"/>
  <c r="M83" i="73" s="1"/>
  <c r="O42" i="127"/>
  <c r="L31" i="80" s="1"/>
  <c r="M72" i="73" s="1"/>
  <c r="Q43" i="127"/>
  <c r="N32" i="80" s="1"/>
  <c r="O73" i="73" s="1"/>
  <c r="G60" i="127"/>
  <c r="D48" i="80" s="1"/>
  <c r="G163" i="127"/>
  <c r="O163" i="127"/>
  <c r="Q163" i="127"/>
  <c r="K60" i="127"/>
  <c r="H48" i="80" s="1"/>
  <c r="I83" i="73" s="1"/>
  <c r="I60" i="127"/>
  <c r="F48" i="80" s="1"/>
  <c r="G83" i="73" s="1"/>
  <c r="G38" i="127"/>
  <c r="D28" i="80" s="1"/>
  <c r="E158" i="127"/>
  <c r="I163" i="127"/>
  <c r="E160" i="127"/>
  <c r="D25" i="81" s="1"/>
  <c r="E25" i="81" s="1"/>
  <c r="E83" i="74" s="1"/>
  <c r="O83" i="74" s="1"/>
  <c r="E159" i="127"/>
  <c r="D24" i="81" s="1"/>
  <c r="E24" i="81" s="1"/>
  <c r="E82" i="74" s="1"/>
  <c r="O82" i="74" s="1"/>
  <c r="M42" i="127"/>
  <c r="J31" i="80" s="1"/>
  <c r="K72" i="73" s="1"/>
  <c r="E161" i="127"/>
  <c r="D26" i="81" s="1"/>
  <c r="E26" i="81" s="1"/>
  <c r="E87" i="74" s="1"/>
  <c r="O87" i="74" s="1"/>
  <c r="M49" i="127"/>
  <c r="J39" i="80" s="1"/>
  <c r="K77" i="73" s="1"/>
  <c r="E162" i="127"/>
  <c r="D27" i="81" s="1"/>
  <c r="E27" i="81" s="1"/>
  <c r="E93" i="74" s="1"/>
  <c r="O93" i="74" s="1"/>
  <c r="M60" i="127"/>
  <c r="J48" i="80" s="1"/>
  <c r="K83" i="73" s="1"/>
  <c r="S126" i="76" l="1"/>
  <c r="L233" i="74"/>
  <c r="M233" i="74" s="1"/>
  <c r="O233" i="74" s="1"/>
  <c r="M181" i="74"/>
  <c r="M185" i="74"/>
  <c r="M191" i="74"/>
  <c r="M180" i="74"/>
  <c r="M184" i="74"/>
  <c r="I472" i="127"/>
  <c r="I476" i="127" s="1"/>
  <c r="K472" i="127"/>
  <c r="K476" i="127" s="1"/>
  <c r="D23" i="81"/>
  <c r="Q472" i="127"/>
  <c r="Q476" i="127" s="1"/>
  <c r="O472" i="127"/>
  <c r="O476" i="127" s="1"/>
  <c r="M472" i="127"/>
  <c r="M476" i="127" s="1"/>
  <c r="G62" i="127"/>
  <c r="D50" i="80" s="1"/>
  <c r="E87" i="73" s="1"/>
  <c r="G472" i="127"/>
  <c r="M62" i="127"/>
  <c r="J50" i="80" s="1"/>
  <c r="K87" i="73" s="1"/>
  <c r="K62" i="127"/>
  <c r="H50" i="80" s="1"/>
  <c r="I87" i="73" s="1"/>
  <c r="I62" i="127"/>
  <c r="F50" i="80" s="1"/>
  <c r="G87" i="73" s="1"/>
  <c r="O81" i="74"/>
  <c r="O39" i="80"/>
  <c r="E49" i="127" s="1"/>
  <c r="V49" i="127" s="1"/>
  <c r="E77" i="73"/>
  <c r="P77" i="73" s="1"/>
  <c r="E83" i="73"/>
  <c r="P83" i="73" s="1"/>
  <c r="O48" i="80"/>
  <c r="E60" i="127" s="1"/>
  <c r="V60" i="127" s="1"/>
  <c r="K70" i="73"/>
  <c r="P72" i="73"/>
  <c r="N28" i="80"/>
  <c r="M70" i="73"/>
  <c r="G70" i="73"/>
  <c r="Q62" i="127"/>
  <c r="N50" i="80" s="1"/>
  <c r="O87" i="73" s="1"/>
  <c r="O62" i="127"/>
  <c r="L50" i="80" s="1"/>
  <c r="M87" i="73" s="1"/>
  <c r="E163" i="127"/>
  <c r="D28" i="81" s="1"/>
  <c r="E73" i="73"/>
  <c r="P73" i="73" s="1"/>
  <c r="O32" i="80"/>
  <c r="E43" i="127" s="1"/>
  <c r="V43" i="127" s="1"/>
  <c r="E70" i="73"/>
  <c r="O31" i="80"/>
  <c r="E42" i="127" s="1"/>
  <c r="V42" i="127" s="1"/>
  <c r="H28" i="80"/>
  <c r="G476" i="127"/>
  <c r="L238" i="74" l="1"/>
  <c r="O184" i="74"/>
  <c r="M179" i="74"/>
  <c r="O180" i="74"/>
  <c r="O185" i="74"/>
  <c r="O191" i="74"/>
  <c r="O181" i="74"/>
  <c r="E23" i="81"/>
  <c r="G24" i="81" s="1"/>
  <c r="J24" i="81" s="1"/>
  <c r="D336" i="81"/>
  <c r="G72" i="127"/>
  <c r="G73" i="127" s="1"/>
  <c r="D60" i="80"/>
  <c r="E80" i="74"/>
  <c r="O80" i="74" s="1"/>
  <c r="E472" i="127"/>
  <c r="O28" i="80"/>
  <c r="E38" i="127" s="1"/>
  <c r="V38" i="127" s="1"/>
  <c r="M72" i="127"/>
  <c r="M73" i="127" s="1"/>
  <c r="K72" i="127"/>
  <c r="K73" i="127" s="1"/>
  <c r="J60" i="80"/>
  <c r="E28" i="81"/>
  <c r="E95" i="74" s="1"/>
  <c r="O95" i="74" s="1"/>
  <c r="I72" i="127"/>
  <c r="I73" i="127" s="1"/>
  <c r="F60" i="80"/>
  <c r="P87" i="73"/>
  <c r="D118" i="71" s="1"/>
  <c r="F118" i="71" s="1"/>
  <c r="M101" i="73"/>
  <c r="L60" i="80"/>
  <c r="O70" i="73"/>
  <c r="N60" i="80"/>
  <c r="D74" i="136"/>
  <c r="H74" i="136" s="1"/>
  <c r="D91" i="71"/>
  <c r="E101" i="73"/>
  <c r="G101" i="73"/>
  <c r="O50" i="80"/>
  <c r="E62" i="127" s="1"/>
  <c r="V62" i="127" s="1"/>
  <c r="K101" i="73"/>
  <c r="D79" i="136"/>
  <c r="H79" i="136" s="1"/>
  <c r="D101" i="71"/>
  <c r="H60" i="80"/>
  <c r="I70" i="73"/>
  <c r="D92" i="71"/>
  <c r="F92" i="71" s="1"/>
  <c r="D75" i="136"/>
  <c r="H75" i="136" s="1"/>
  <c r="O72" i="127"/>
  <c r="O73" i="127" s="1"/>
  <c r="Q72" i="127"/>
  <c r="Q73" i="127" s="1"/>
  <c r="D116" i="71"/>
  <c r="D85" i="136"/>
  <c r="H85" i="136" s="1"/>
  <c r="E164" i="127"/>
  <c r="M193" i="74" l="1"/>
  <c r="O179" i="74"/>
  <c r="M178" i="74"/>
  <c r="E473" i="127"/>
  <c r="E475" i="127" s="1"/>
  <c r="E124" i="74"/>
  <c r="E120" i="74"/>
  <c r="E336" i="81"/>
  <c r="D89" i="136"/>
  <c r="H89" i="136" s="1"/>
  <c r="E72" i="127"/>
  <c r="E73" i="127" s="1"/>
  <c r="V72" i="127"/>
  <c r="I101" i="73"/>
  <c r="P70" i="73"/>
  <c r="O60" i="80"/>
  <c r="D127" i="71"/>
  <c r="F116" i="71"/>
  <c r="F127" i="71" s="1"/>
  <c r="I22" i="69" s="1"/>
  <c r="F101" i="71"/>
  <c r="F106" i="71" s="1"/>
  <c r="I20" i="69" s="1"/>
  <c r="D106" i="71"/>
  <c r="M20" i="90"/>
  <c r="O101" i="73"/>
  <c r="D97" i="71"/>
  <c r="F91" i="71"/>
  <c r="F97" i="71" s="1"/>
  <c r="O178" i="74" l="1"/>
  <c r="O193" i="74"/>
  <c r="E476" i="127"/>
  <c r="O120" i="74"/>
  <c r="M218" i="74" s="1"/>
  <c r="S17" i="76"/>
  <c r="E140" i="74"/>
  <c r="O124" i="74"/>
  <c r="M32" i="90"/>
  <c r="Q20" i="90"/>
  <c r="Q32" i="90" s="1"/>
  <c r="J24" i="108"/>
  <c r="I19" i="69"/>
  <c r="G20" i="69"/>
  <c r="M20" i="69"/>
  <c r="E24" i="51" s="1"/>
  <c r="I24" i="51" s="1"/>
  <c r="G22" i="69"/>
  <c r="M22" i="69"/>
  <c r="E28" i="51" s="1"/>
  <c r="I28" i="51" s="1"/>
  <c r="P101" i="73"/>
  <c r="D72" i="136"/>
  <c r="D73" i="71"/>
  <c r="M222" i="74" l="1"/>
  <c r="O140" i="74"/>
  <c r="S15" i="76"/>
  <c r="S18" i="76"/>
  <c r="O218" i="74"/>
  <c r="F73" i="71"/>
  <c r="D74" i="71"/>
  <c r="D134" i="71" s="1"/>
  <c r="D103" i="136"/>
  <c r="H72" i="136"/>
  <c r="G19" i="69"/>
  <c r="M19" i="69"/>
  <c r="E22" i="51" s="1"/>
  <c r="I22" i="51" s="1"/>
  <c r="O222" i="74" l="1"/>
  <c r="O238" i="74" s="1"/>
  <c r="M238" i="74"/>
  <c r="F74" i="71"/>
  <c r="H103" i="136"/>
  <c r="F134" i="71"/>
  <c r="Q238" i="74" l="1"/>
  <c r="S238" i="74"/>
  <c r="I18" i="69"/>
  <c r="G18" i="69" s="1"/>
  <c r="J25" i="108"/>
  <c r="J28" i="108" l="1"/>
  <c r="J30" i="108" s="1"/>
  <c r="J38" i="108" s="1"/>
  <c r="L24" i="108"/>
  <c r="L25" i="108" s="1"/>
  <c r="L28" i="108" s="1"/>
  <c r="L30" i="108" s="1"/>
  <c r="L38" i="108" s="1"/>
  <c r="L41" i="108" s="1"/>
  <c r="K24" i="108"/>
  <c r="K25" i="108" s="1"/>
  <c r="K28" i="108" s="1"/>
  <c r="K30" i="108" s="1"/>
  <c r="K38" i="108" s="1"/>
  <c r="K41" i="108" s="1"/>
  <c r="M18" i="69"/>
  <c r="I19" i="68" s="1"/>
  <c r="I15" i="123"/>
  <c r="G15" i="123" s="1"/>
  <c r="E20" i="51" l="1"/>
  <c r="E30" i="51" s="1"/>
  <c r="M15" i="123"/>
  <c r="K15" i="123" s="1"/>
  <c r="G19" i="68"/>
  <c r="G64" i="120"/>
  <c r="I23" i="68"/>
  <c r="I20" i="51" l="1"/>
  <c r="I30" i="51" s="1"/>
  <c r="H25" i="45" s="1"/>
  <c r="G102" i="120"/>
  <c r="G103" i="120"/>
  <c r="G23" i="68"/>
  <c r="W12" i="74"/>
  <c r="I25" i="45" l="1"/>
  <c r="I15" i="50"/>
  <c r="L15" i="50" s="1"/>
  <c r="L25" i="50" s="1"/>
  <c r="I25" i="50" l="1"/>
  <c r="C46" i="62"/>
  <c r="C63" i="59"/>
  <c r="G46" i="62" l="1"/>
  <c r="C34" i="62"/>
  <c r="C39" i="62" s="1"/>
  <c r="C48" i="62"/>
  <c r="G48" i="62" s="1"/>
  <c r="C47" i="62" l="1"/>
  <c r="G47" i="62" s="1"/>
  <c r="C49" i="62" l="1"/>
  <c r="G49" i="62" s="1"/>
  <c r="C50" i="62" l="1"/>
  <c r="G50" i="62" s="1"/>
  <c r="C51" i="62" l="1"/>
  <c r="G51" i="62" s="1"/>
  <c r="C52" i="62" l="1"/>
  <c r="G52" i="62" s="1"/>
  <c r="C53" i="62" l="1"/>
  <c r="G53" i="62" s="1"/>
  <c r="C54" i="62" l="1"/>
  <c r="G54" i="62" s="1"/>
  <c r="C55" i="62" l="1"/>
  <c r="G55" i="62" s="1"/>
  <c r="C56" i="62" l="1"/>
  <c r="G56" i="62" s="1"/>
  <c r="C57" i="62" l="1"/>
  <c r="G57" i="62" s="1"/>
  <c r="C58" i="62" l="1"/>
  <c r="G58" i="62" s="1"/>
  <c r="C60" i="62" l="1"/>
  <c r="H85" i="59"/>
  <c r="G60" i="62" l="1"/>
  <c r="H37" i="23" s="1"/>
  <c r="K37" i="23" s="1"/>
  <c r="K38" i="23" s="1"/>
  <c r="K45" i="23" s="1"/>
  <c r="I29" i="45" s="1"/>
  <c r="I33" i="45" s="1"/>
  <c r="C18" i="62" l="1"/>
  <c r="C22" i="62"/>
  <c r="C26" i="62"/>
  <c r="C19" i="62"/>
  <c r="C23" i="62"/>
  <c r="C27" i="62"/>
  <c r="C20" i="62"/>
  <c r="C24" i="62"/>
  <c r="C28" i="62"/>
  <c r="C29" i="62"/>
  <c r="C21" i="62"/>
  <c r="C25" i="62"/>
  <c r="C17" i="62"/>
  <c r="G17" i="64"/>
  <c r="I16" i="123"/>
  <c r="I31" i="68"/>
  <c r="H38" i="23"/>
  <c r="J37" i="23"/>
  <c r="G16" i="123" l="1"/>
  <c r="M16" i="123"/>
  <c r="I17" i="123"/>
  <c r="J38" i="23"/>
  <c r="H45" i="23"/>
  <c r="J45" i="23" s="1"/>
  <c r="H29" i="45" s="1"/>
  <c r="H33" i="45" s="1"/>
  <c r="M31" i="68"/>
  <c r="M29" i="68" s="1"/>
  <c r="G31" i="68"/>
  <c r="G25" i="64"/>
  <c r="I21" i="123" l="1"/>
  <c r="G17" i="123"/>
  <c r="K16" i="123"/>
  <c r="M17" i="123"/>
  <c r="M21" i="123" l="1"/>
  <c r="K17" i="123"/>
  <c r="I23" i="123"/>
  <c r="G21" i="123"/>
  <c r="G23" i="123" l="1"/>
  <c r="I25" i="123"/>
  <c r="M23" i="123"/>
  <c r="K21" i="123"/>
  <c r="K23" i="123" l="1"/>
  <c r="M25" i="123"/>
  <c r="I37" i="123"/>
  <c r="G25" i="123"/>
  <c r="I27" i="123"/>
  <c r="M37" i="123" l="1"/>
  <c r="K25" i="123"/>
  <c r="M27" i="123"/>
  <c r="G37" i="123"/>
  <c r="I54" i="123"/>
  <c r="G27" i="123"/>
  <c r="I31" i="123"/>
  <c r="G31" i="123" l="1"/>
  <c r="I36" i="123"/>
  <c r="M31" i="123"/>
  <c r="K27" i="123"/>
  <c r="I29" i="69"/>
  <c r="G54" i="123"/>
  <c r="D139" i="71"/>
  <c r="F139" i="71" s="1"/>
  <c r="K37" i="123"/>
  <c r="M54" i="123"/>
  <c r="M29" i="69" l="1"/>
  <c r="K54" i="123"/>
  <c r="K31" i="123"/>
  <c r="M36" i="123"/>
  <c r="G36" i="123"/>
  <c r="I50" i="123"/>
  <c r="I52" i="123" s="1"/>
  <c r="I38" i="123"/>
  <c r="G38" i="123" s="1"/>
  <c r="D106" i="136"/>
  <c r="G29" i="69"/>
  <c r="K29" i="69" l="1"/>
  <c r="F106" i="136" s="1"/>
  <c r="H106" i="136"/>
  <c r="I26" i="68"/>
  <c r="G50" i="123"/>
  <c r="M50" i="123"/>
  <c r="K36" i="123"/>
  <c r="M52" i="123" l="1"/>
  <c r="K50" i="123"/>
  <c r="G65" i="120"/>
  <c r="G26" i="68"/>
  <c r="I28" i="69"/>
  <c r="D138" i="71"/>
  <c r="G52" i="123"/>
  <c r="I56" i="123"/>
  <c r="G56" i="123" l="1"/>
  <c r="D141" i="71"/>
  <c r="D143" i="71" s="1"/>
  <c r="F138" i="71"/>
  <c r="F141" i="71" s="1"/>
  <c r="G28" i="69"/>
  <c r="G31" i="69" s="1"/>
  <c r="G33" i="69" s="1"/>
  <c r="I31" i="69"/>
  <c r="I33" i="69" s="1"/>
  <c r="D105" i="136"/>
  <c r="D108" i="136" s="1"/>
  <c r="K52" i="123"/>
  <c r="M28" i="69"/>
  <c r="M56" i="123"/>
  <c r="K56" i="123" l="1"/>
  <c r="F143" i="71"/>
  <c r="J39" i="108"/>
  <c r="J41" i="108" s="1"/>
  <c r="K28" i="69"/>
  <c r="H105" i="136"/>
  <c r="H108" i="136" s="1"/>
  <c r="M31" i="69"/>
  <c r="M33" i="69" s="1"/>
  <c r="I25" i="68"/>
  <c r="K31" i="69" l="1"/>
  <c r="K33" i="69" s="1"/>
  <c r="F105" i="136"/>
  <c r="F108" i="136" s="1"/>
  <c r="G25" i="68"/>
  <c r="G27" i="68" s="1"/>
  <c r="G29" i="68" s="1"/>
  <c r="G66" i="120"/>
  <c r="G67" i="120" s="1"/>
  <c r="G69" i="120" s="1"/>
  <c r="I27" i="68"/>
  <c r="G72" i="120" l="1"/>
  <c r="G74" i="120" s="1"/>
  <c r="G152" i="120"/>
  <c r="G104" i="120"/>
  <c r="G105" i="120"/>
  <c r="I29" i="68"/>
  <c r="I33" i="68" l="1"/>
  <c r="G19" i="64"/>
  <c r="K29" i="68"/>
  <c r="K15" i="68" s="1"/>
  <c r="G150" i="120"/>
  <c r="G151" i="120"/>
  <c r="G76" i="120"/>
  <c r="M15" i="68" l="1"/>
  <c r="K26" i="68"/>
  <c r="M26" i="68" s="1"/>
  <c r="K25" i="68"/>
  <c r="K19" i="68"/>
  <c r="M19" i="68" s="1"/>
  <c r="G33" i="64"/>
  <c r="G37" i="64" s="1"/>
  <c r="G119" i="120"/>
  <c r="G107" i="120"/>
  <c r="G78" i="120"/>
  <c r="G80" i="120"/>
  <c r="G21" i="64"/>
  <c r="G27" i="64"/>
  <c r="G31" i="64" s="1"/>
  <c r="K27" i="68" l="1"/>
  <c r="M25" i="68"/>
  <c r="M27" i="68" s="1"/>
  <c r="K23" i="68"/>
  <c r="M23" i="68"/>
  <c r="H202" i="104" l="1"/>
  <c r="N202" i="104"/>
  <c r="M202" i="104"/>
  <c r="J202" i="104"/>
  <c r="I202" i="104"/>
  <c r="E202" i="104"/>
  <c r="F202" i="104"/>
  <c r="D202" i="104"/>
  <c r="O201" i="104"/>
  <c r="Q30" i="102" s="1"/>
  <c r="C202" i="104"/>
  <c r="O200" i="104"/>
  <c r="P29" i="102" s="1"/>
  <c r="G202" i="104"/>
  <c r="L202" i="104"/>
  <c r="K202" i="104"/>
  <c r="O202" i="104" l="1"/>
  <c r="I19" i="101" s="1"/>
  <c r="P30" i="102"/>
  <c r="Q33" i="102"/>
  <c r="I33" i="101"/>
  <c r="G19" i="101"/>
  <c r="G33" i="101" s="1"/>
  <c r="Q31" i="102"/>
  <c r="Q37" i="102" l="1"/>
  <c r="P31" i="102"/>
</calcChain>
</file>

<file path=xl/comments1.xml><?xml version="1.0" encoding="utf-8"?>
<comments xmlns="http://schemas.openxmlformats.org/spreadsheetml/2006/main">
  <authors>
    <author>Nisource</author>
  </authors>
  <commentList>
    <comment ref="A137" authorId="0" shapeId="0">
      <text>
        <r>
          <rPr>
            <b/>
            <sz val="8"/>
            <color indexed="81"/>
            <rFont val="Tahoma"/>
            <family val="2"/>
          </rPr>
          <t>Nisource:</t>
        </r>
        <r>
          <rPr>
            <sz val="8"/>
            <color indexed="81"/>
            <rFont val="Tahoma"/>
            <family val="2"/>
          </rPr>
          <t xml:space="preserve">
Pull from Mainframe Query</t>
        </r>
      </text>
    </comment>
  </commentList>
</comments>
</file>

<file path=xl/comments2.xml><?xml version="1.0" encoding="utf-8"?>
<comments xmlns="http://schemas.openxmlformats.org/spreadsheetml/2006/main">
  <authors>
    <author>Nisource</author>
  </authors>
  <commentList>
    <comment ref="F25" authorId="0" shapeId="0">
      <text>
        <r>
          <rPr>
            <b/>
            <sz val="8"/>
            <color indexed="81"/>
            <rFont val="Tahoma"/>
            <family val="2"/>
          </rPr>
          <t>Nisource:</t>
        </r>
        <r>
          <rPr>
            <sz val="8"/>
            <color indexed="81"/>
            <rFont val="Tahoma"/>
            <family val="2"/>
          </rPr>
          <t xml:space="preserve">
Also excludes unbilled revenue from per books</t>
        </r>
      </text>
    </comment>
    <comment ref="D228" authorId="0" shapeId="0">
      <text>
        <r>
          <rPr>
            <b/>
            <sz val="9"/>
            <color indexed="81"/>
            <rFont val="Tahoma"/>
            <family val="2"/>
          </rPr>
          <t>Nisource:</t>
        </r>
        <r>
          <rPr>
            <sz val="9"/>
            <color indexed="81"/>
            <rFont val="Tahoma"/>
            <family val="2"/>
          </rPr>
          <t xml:space="preserve">
Isn't this now 86,013?</t>
        </r>
      </text>
    </comment>
  </commentList>
</comments>
</file>

<file path=xl/connections.xml><?xml version="1.0" encoding="utf-8"?>
<connections xmlns="http://schemas.openxmlformats.org/spreadsheetml/2006/main">
  <connection id="1" name="data1" type="6" refreshedVersion="2" background="1" saveData="1">
    <textPr codePage="437" sourceFile="H:\data.txt" delimited="0">
      <textFields count="6">
        <textField type="skip"/>
        <textField type="text" position="1"/>
        <textField type="text" position="5"/>
        <textField type="text" position="9"/>
        <textField type="text" position="14"/>
        <textField position="18"/>
      </textFields>
    </textPr>
  </connection>
  <connection id="2" name="data11" type="6" refreshedVersion="2" background="1" saveData="1">
    <textPr codePage="437" sourceFile="H:\data.txt" delimited="0">
      <textFields count="6">
        <textField type="skip"/>
        <textField type="text" position="1"/>
        <textField type="text" position="5"/>
        <textField type="text" position="9"/>
        <textField type="text" position="14"/>
        <textField position="18"/>
      </textFields>
    </textPr>
  </connection>
</connections>
</file>

<file path=xl/sharedStrings.xml><?xml version="1.0" encoding="utf-8"?>
<sst xmlns="http://schemas.openxmlformats.org/spreadsheetml/2006/main" count="15136" uniqueCount="2427">
  <si>
    <t>COMPUTATION OF FEDERAL AND STATE INCOME TAX</t>
  </si>
  <si>
    <t>SCHEDULE E-1</t>
  </si>
  <si>
    <t>WITNESS:  P.  FISCHER</t>
  </si>
  <si>
    <t>B</t>
  </si>
  <si>
    <t>C=A-B</t>
  </si>
  <si>
    <t>D</t>
  </si>
  <si>
    <t>E</t>
  </si>
  <si>
    <t>F=E*8/12</t>
  </si>
  <si>
    <t>G=F-D</t>
  </si>
  <si>
    <t>C+D+G</t>
  </si>
  <si>
    <t>At  Current  Rates</t>
  </si>
  <si>
    <t>4 MOS.</t>
  </si>
  <si>
    <t>0&amp;12</t>
  </si>
  <si>
    <t>Proforma</t>
  </si>
  <si>
    <t>12 MOS.</t>
  </si>
  <si>
    <t>JAN-AUG</t>
  </si>
  <si>
    <t>ACTUAL</t>
  </si>
  <si>
    <t>8 MOS.</t>
  </si>
  <si>
    <t>6 MOS.</t>
  </si>
  <si>
    <t>Operating Income Before Income Taxes</t>
  </si>
  <si>
    <t>Interest Charges</t>
  </si>
  <si>
    <t>Book Net Income before Income Tax &amp; Credits</t>
  </si>
  <si>
    <t>LN 1 - 2</t>
  </si>
  <si>
    <t>Statutory Adjustments to Taxable Income</t>
  </si>
  <si>
    <t>PG 2</t>
  </si>
  <si>
    <t>State Taxable Income</t>
  </si>
  <si>
    <t>LN 3+4</t>
  </si>
  <si>
    <t xml:space="preserve">State Income Tax </t>
  </si>
  <si>
    <t>LN 5 X Rate</t>
  </si>
  <si>
    <t>Other Adjustments</t>
  </si>
  <si>
    <t>Total State Income Tax</t>
  </si>
  <si>
    <t>LN 6+7</t>
  </si>
  <si>
    <t>Federal Taxable Income</t>
  </si>
  <si>
    <t>LN 5 - 8</t>
  </si>
  <si>
    <t>Federal Income Tax</t>
  </si>
  <si>
    <t>LN 9 x Rate</t>
  </si>
  <si>
    <t>Prior Adjustment to Federal Income Tax</t>
  </si>
  <si>
    <t>Other Adjustments to Federal Income Tax</t>
  </si>
  <si>
    <t>Current Federal Income Tax</t>
  </si>
  <si>
    <t>LN 10+11+12</t>
  </si>
  <si>
    <t>Current State Income Tax</t>
  </si>
  <si>
    <t>Total Current Income Tax</t>
  </si>
  <si>
    <t>LN 13+14</t>
  </si>
  <si>
    <t>Amortization of Excess ADIT-Federal</t>
  </si>
  <si>
    <t>Provision for Deferred Federal Income Tax</t>
  </si>
  <si>
    <t>Deferred Federal Income Tax</t>
  </si>
  <si>
    <t>LN 16+17</t>
  </si>
  <si>
    <t>Amortization of Excess ADIT-State</t>
  </si>
  <si>
    <t>Provision for Deferred State Income Tax</t>
  </si>
  <si>
    <t>Deferred State Income Tax</t>
  </si>
  <si>
    <t>LN 19+20</t>
  </si>
  <si>
    <t>Total Provision for Deferred Income Taxes</t>
  </si>
  <si>
    <t>LN 18+21</t>
  </si>
  <si>
    <t>Total Federal Income Taxes</t>
  </si>
  <si>
    <t>LN 13+18</t>
  </si>
  <si>
    <t>Amortization of Investment Tax Credit</t>
  </si>
  <si>
    <t>Net Federal Income Taxes</t>
  </si>
  <si>
    <t>LN 23+24</t>
  </si>
  <si>
    <t>Net State Income Taxes</t>
  </si>
  <si>
    <t>LN 14+21</t>
  </si>
  <si>
    <t>Total Income Tax Expense</t>
  </si>
  <si>
    <t>LN 25+26</t>
  </si>
  <si>
    <t>Other Reconciling Items-Flow Through</t>
  </si>
  <si>
    <t>Political Action Expense/Penalties</t>
  </si>
  <si>
    <t>Non-Taxable Income/Non-Deductible Expenses</t>
  </si>
  <si>
    <t>AFUDC Equity</t>
  </si>
  <si>
    <t>Excess of Book Over Tax Depreciation</t>
  </si>
  <si>
    <t>Total Other Recon. Items-Flow Thru</t>
  </si>
  <si>
    <t>Other Reconciling Items-Deferred</t>
  </si>
  <si>
    <t>Excess of Tax Accelerated of Tax S/L</t>
  </si>
  <si>
    <t>Loss on Retirement - ACRS property</t>
  </si>
  <si>
    <t>Property Removal Costs</t>
  </si>
  <si>
    <t>Bonus Depreciation</t>
  </si>
  <si>
    <t>263A Mixed Service Costs</t>
  </si>
  <si>
    <t>Legal Liability-Leased Hdqtrs. Bldg.</t>
  </si>
  <si>
    <t>Contributions in Aid of Construction</t>
  </si>
  <si>
    <t>Offsystem Sales</t>
  </si>
  <si>
    <t>Capitalized Interest - Avoided Cost</t>
  </si>
  <si>
    <t>Deferred Gas Purchases</t>
  </si>
  <si>
    <t>Deferred Gas Purchases - Unbilled</t>
  </si>
  <si>
    <t>Section 461(h) - Supplier Refunds</t>
  </si>
  <si>
    <t>LIFO Tax Adjustment</t>
  </si>
  <si>
    <t>OPEB</t>
  </si>
  <si>
    <t>Customer Advances</t>
  </si>
  <si>
    <t>Customer Assistance Plan</t>
  </si>
  <si>
    <t>Retirement Income Plan</t>
  </si>
  <si>
    <t>MF Global Hedging</t>
  </si>
  <si>
    <t>Other</t>
  </si>
  <si>
    <t>Total Other Recon. Items-Deferred</t>
  </si>
  <si>
    <t>Total Other Reconciling Items</t>
  </si>
  <si>
    <t>State Bonus Disallowance</t>
  </si>
  <si>
    <t>Total Other Reconciling Items-State</t>
  </si>
  <si>
    <t>Data:__X___Base Period__X___Forecasted Period</t>
  </si>
  <si>
    <t>Operating (Income) Loss</t>
  </si>
  <si>
    <t>Forecast Period</t>
  </si>
  <si>
    <t>DEPRECIATION AND AMORTIZATION EXPENSE - THE PURPOSE OF THIS ADJUSTMENT IS TO REFLECT THE INCREASED LEVEL OF</t>
  </si>
  <si>
    <t>ADIT-State Non</t>
  </si>
  <si>
    <t>Conform Only</t>
  </si>
  <si>
    <t>Fed Benefit on State</t>
  </si>
  <si>
    <t>Non Conform</t>
  </si>
  <si>
    <t>already included in A/C 2205</t>
  </si>
  <si>
    <t xml:space="preserve">TOTAL PLANT IN SERVICE </t>
  </si>
  <si>
    <t>LN.</t>
  </si>
  <si>
    <t>MAJOR PROPERTY GROUPING</t>
  </si>
  <si>
    <t xml:space="preserve">DATA: ___BASE PERIOD __X__ FORECASTED PERIOD     </t>
  </si>
  <si>
    <t>Data:___X___Base Period___X___Forecasted Period</t>
  </si>
  <si>
    <t>SUB-TOTAL</t>
  </si>
  <si>
    <t>ADJ 4</t>
  </si>
  <si>
    <t>ADJ 5</t>
  </si>
  <si>
    <t>ADJ 6</t>
  </si>
  <si>
    <t>ADJ 7</t>
  </si>
  <si>
    <t>ADJ 8</t>
  </si>
  <si>
    <t>ADJ 9</t>
  </si>
  <si>
    <t>ADJ 10</t>
  </si>
  <si>
    <t>SHEET  3 OF 6</t>
  </si>
  <si>
    <t>MAINTENANCE OF GENERAL PLANT - A&amp;G</t>
  </si>
  <si>
    <t>MATERIALS/SUPPLIES - C.E. 20XX</t>
  </si>
  <si>
    <t>OUTSIDE SERVICES - C.E. 3XXX</t>
  </si>
  <si>
    <t>EMPLOYEE BENEFITS - C.E. 90XX</t>
  </si>
  <si>
    <t>SHEET  4 OF 6</t>
  </si>
  <si>
    <t>GRAND</t>
  </si>
  <si>
    <t>ADJ 11</t>
  </si>
  <si>
    <t>ADJ 12</t>
  </si>
  <si>
    <t>ADJ 13</t>
  </si>
  <si>
    <t>ADJ 14</t>
  </si>
  <si>
    <t>ADJ 15</t>
  </si>
  <si>
    <t>ADJ.</t>
  </si>
  <si>
    <t>OPERATIONS</t>
  </si>
  <si>
    <t>SHEET  5 OF 6</t>
  </si>
  <si>
    <t>SHEET  6 OF 6</t>
  </si>
  <si>
    <t>406 AMORT. - GAS PLANT AQUIST.</t>
  </si>
  <si>
    <t xml:space="preserve">  TOTAL DEPRECIATION AND AMORTIZATION</t>
  </si>
  <si>
    <t>Data:__X_____Base Period___X____Forecasted Period</t>
  </si>
  <si>
    <t>SCHEDULE D-2.1</t>
  </si>
  <si>
    <t>Reference Supporting</t>
  </si>
  <si>
    <t>Purpose and Description</t>
  </si>
  <si>
    <t>Workpapers</t>
  </si>
  <si>
    <t>Amount</t>
  </si>
  <si>
    <t>ADJ1</t>
  </si>
  <si>
    <t>SALE OF GAS-RESIDENTIAL - THE PURPOSE OF THIS ADJUSTMENT IS TO REFLECT THE CHANGE IN REVENUE</t>
  </si>
  <si>
    <t>SALE OF GAS-COMMERCIAL - THE PURPOSE OF THIS ADJUSTMENT IS TO REFLECT THE CHANGE IN REVENUE</t>
  </si>
  <si>
    <t>SALE OF GAS-INDUSTRIAL - THE PURPOSE OF THIS ADJUSTMENT IS TO REFLECT THE CHANGE IN REVENUE</t>
  </si>
  <si>
    <t>SALE OF GAS-OTHER - THE PURPOSE OF THIS ADJUSTMENT IS TO REFLECT THE CHANGE IN REVENUE</t>
  </si>
  <si>
    <t>ADJ2</t>
  </si>
  <si>
    <t>RENTAL FROM GAS PROPERTY - THE PURPOSE OF THIS ADJUSTMENT IS TO REFECT THE CHANGE IN RENTAL REVENUE FROM</t>
  </si>
  <si>
    <t>BASE YEAR TO FORECASTED PERIOD</t>
  </si>
  <si>
    <t>OTHER GAS REVENUE - THE PURPOSE OF THIS ADJUSTMENT IS TO REFELCT THE CHANGE IN OTHER GAS REVENUE</t>
  </si>
  <si>
    <t>AND ALSO TO ELIMINATE UNBILLED REVENUE RECORDED DURING THE BASE PERIOD</t>
  </si>
  <si>
    <t>ADJ3</t>
  </si>
  <si>
    <t>NATURAL GAS FIELD &amp; TRANSMISSION LINE PURCHASES - THE PURPOSE OF THIS ADJUSTMENT IS TO REFLECT THE</t>
  </si>
  <si>
    <t>NORMALIZATION OF GAS COST RECOVERIES DUE TO THE CHANGE FROM BASE YEAR TO FORECASTED VOLUMES</t>
  </si>
  <si>
    <t>NATURAL GAS CITY GATE PURCHASES - THE PURPOSE OF THIS ADJUSTMENT IS TO REFLECT THE</t>
  </si>
  <si>
    <t>OTHER GAS PURCHASES - THE PURPOSE OF THIS ADJUSTMENT IS TO REFLECT THE</t>
  </si>
  <si>
    <t>EXCHANGE GAS - THE PURPOSE OF THIS ADJUSTMENT IS TO REFLECT THE</t>
  </si>
  <si>
    <t>GAS WITHDRAWN FROM STORAGE - THE PURPOSE OF THIS ADJUSTMENT IS TO REFLECT THE</t>
  </si>
  <si>
    <t>GAS USED FOR OTHER UTILITY OPERATIONS - THE PURPOSE OF THIS ADJUSTMENT IS TO REFLECT THE</t>
  </si>
  <si>
    <t>SCHEDULE D-2.2</t>
  </si>
  <si>
    <t>SHEET 1 of 3</t>
  </si>
  <si>
    <t>MATERIALS AND SUPPLIES - THE PURPOSE OF THIS ADJUSTMENT IS TO REFLECT EACH BUDGET SPONSOR'S</t>
  </si>
  <si>
    <t>OUTSIDE SERVICES - THE PURPOSE OF THIS ADJUSTMENT IS TO REFLECT EACH BUDGET SPONSOR'S ESTIMATE OF</t>
  </si>
  <si>
    <t>SHEET 2 of 3</t>
  </si>
  <si>
    <t>EMPLOYEE EXPENSES - THE PURPOSE OF THIS ADJUSTMENT IS TO REFLECT EACH BUDGET SPONSOR'S ESTIMATE OF</t>
  </si>
  <si>
    <t>EXPENSES INCURRED BY EMPLOYEES FOR BUSINESS TRAVEL, MEALS AND MEETINGS; MEMBERSHIP DUES; RELOCATION</t>
  </si>
  <si>
    <t>COMPANY MEMBERSHIPS - THE PURPOSE OF THIS ADJUSTMENT IS TO REFLECT EACH BUDGET SPONSOR'S ESTIMATE</t>
  </si>
  <si>
    <t>UTILITIES/FUEL - THE PURPOSE OF THIS ADJUSTMENT IS TO REFLECT EACH BUDGET SPONSOR'S ESTIMATE OF</t>
  </si>
  <si>
    <t>UNCOLLECTIBLE ACCOUNTS - THE PURPOSE OF THIS ADJUSTMENT IS TO REFLECT AN APPROPRIATE AMOUNT OF</t>
  </si>
  <si>
    <t>EXPENSE AND CORRESPONDING RESERVE ACCRUAL FOR ACCOUNTS RECEIVABLE - UTILITY SERVICE ESTIMATED TO BE</t>
  </si>
  <si>
    <t>SHEET 3 of 3</t>
  </si>
  <si>
    <t>CLEARING ACCOUNTS - THE PURPOSE OF THIS ADJUSTMENT IS TO REFLECT EACH BUDGET SPONSOR'S ESTIMATE OF</t>
  </si>
  <si>
    <t>SCHEDULE D-2.3</t>
  </si>
  <si>
    <t>SHEET 1 of 1</t>
  </si>
  <si>
    <t>TAXES OTHER THAN INCOME TAXES - THE PURPOSE OF THIS ADJUSTMENT IS TO REFLECT AN INCREASED LEVEL OF</t>
  </si>
  <si>
    <t>SCHEDULE D-2.4</t>
  </si>
  <si>
    <t>Determination of FERC Account by Cost Element - Actual Data by FERC</t>
  </si>
  <si>
    <t>Operation</t>
  </si>
  <si>
    <t>Maintenance</t>
  </si>
  <si>
    <t>Actual Per Books</t>
  </si>
  <si>
    <t>Desc</t>
  </si>
  <si>
    <t>Liquefied Petroleum Gas</t>
  </si>
  <si>
    <t>Other Purchased Gas</t>
  </si>
  <si>
    <t>Supervision &amp; Engineering</t>
  </si>
  <si>
    <t>Load Dispatching</t>
  </si>
  <si>
    <t>Mains &amp; Services</t>
  </si>
  <si>
    <t>Meas &amp; Reg Station Equip - General</t>
  </si>
  <si>
    <t>Meas &amp; Reg Station Equip - Ind</t>
  </si>
  <si>
    <t>Meters &amp; House Regulators</t>
  </si>
  <si>
    <t>Customer Installations</t>
  </si>
  <si>
    <t xml:space="preserve">Other   </t>
  </si>
  <si>
    <t>Telecommunication Expense</t>
  </si>
  <si>
    <t>Structures and Improvements</t>
  </si>
  <si>
    <t>Mains</t>
  </si>
  <si>
    <t>Services</t>
  </si>
  <si>
    <t>Other Equipment</t>
  </si>
  <si>
    <t>Supervision - Customer Accounts</t>
  </si>
  <si>
    <t>Meter Reading</t>
  </si>
  <si>
    <t>Billing &amp; Accounting</t>
  </si>
  <si>
    <t>Uncollectible Accounts</t>
  </si>
  <si>
    <t>Miscellaneous</t>
  </si>
  <si>
    <t>Structures &amp; Improvements</t>
  </si>
  <si>
    <t>Supervision - Customer Service</t>
  </si>
  <si>
    <t>Customer Assistance</t>
  </si>
  <si>
    <t>Informational &amp; Instructional</t>
  </si>
  <si>
    <t>Misc Cust Service &amp; Information</t>
  </si>
  <si>
    <t>Supervision - Sales</t>
  </si>
  <si>
    <t>Demonstration</t>
  </si>
  <si>
    <t>Advertising</t>
  </si>
  <si>
    <t>Salaries</t>
  </si>
  <si>
    <t>Outside Services</t>
  </si>
  <si>
    <t>Property Insurance</t>
  </si>
  <si>
    <t>Injuries &amp; Damages</t>
  </si>
  <si>
    <t>Employee Pensions &amp; Benefits</t>
  </si>
  <si>
    <t xml:space="preserve">Regulatory Commission </t>
  </si>
  <si>
    <t>Miscellaneous General</t>
  </si>
  <si>
    <t>Rents - General</t>
  </si>
  <si>
    <t xml:space="preserve">  Customer Accounts Exp -Operation</t>
  </si>
  <si>
    <t xml:space="preserve">  Customer Service &amp; Info. - Operation</t>
  </si>
  <si>
    <t xml:space="preserve">  A &amp; G - Operation</t>
  </si>
  <si>
    <t>935 Allocation</t>
  </si>
  <si>
    <t>check</t>
  </si>
  <si>
    <t>Determination of FERC Account by Cost Element - Test Year Adjustments to Schedule D</t>
  </si>
  <si>
    <t>Cost</t>
  </si>
  <si>
    <t>Element</t>
  </si>
  <si>
    <t>Adjustments</t>
  </si>
  <si>
    <t>Base Period</t>
  </si>
  <si>
    <t>Test Year</t>
  </si>
  <si>
    <t>6010</t>
  </si>
  <si>
    <t>9061</t>
  </si>
  <si>
    <t>SCHEDULE  F</t>
  </si>
  <si>
    <t>JURISDICTIONAL OTHER EXPENSES FOR THE BASE AND FORECASTED PERIOD</t>
  </si>
  <si>
    <t>F-1</t>
  </si>
  <si>
    <t>CHARITABLE CONTRIBUTIONS</t>
  </si>
  <si>
    <t>INITIATION FEES/COUNTRY CLUB EXPENSES</t>
  </si>
  <si>
    <t>EMPLOYEE PARTY, OUTING, AND GIFT EXPENSES</t>
  </si>
  <si>
    <t>F-3</t>
  </si>
  <si>
    <t>CUSTOMER SERVICE AND INFORMATIONAL SALES AND GENERAL ADVERTISING EXPENSES</t>
  </si>
  <si>
    <t>F-4</t>
  </si>
  <si>
    <t>ADVERTISING</t>
  </si>
  <si>
    <t>F-5</t>
  </si>
  <si>
    <t>PROFESSIONAL SERVICE EXPENSES</t>
  </si>
  <si>
    <t>F-6</t>
  </si>
  <si>
    <t>PROJECTED RATE CASE EXPENSES</t>
  </si>
  <si>
    <t>F-7</t>
  </si>
  <si>
    <t>CIVIC, POLITICAL AND RELATED ACTIVITIES</t>
  </si>
  <si>
    <t>EXPENSE REPORTS</t>
  </si>
  <si>
    <t>SCHEDULE F-1</t>
  </si>
  <si>
    <t>TYPE OF FILING:___X____ORIGINAL________UPDATED_______REVISED</t>
  </si>
  <si>
    <t>PAGE 1 OF 1</t>
  </si>
  <si>
    <t xml:space="preserve">WORKPAPER REFERENCE NO(S). </t>
  </si>
  <si>
    <t>SOCIAL ORGANIZATION / SERVICE CLUB</t>
  </si>
  <si>
    <t>JURISDICTIONAL %</t>
  </si>
  <si>
    <t>DATA:___X___BASE PERIOD__X__FORECASTED PERIOD</t>
  </si>
  <si>
    <t>CHARITABLE ORGANIZATION *</t>
  </si>
  <si>
    <t>INITIATION FEES &amp; COUNTRY CLUB EXPENSES</t>
  </si>
  <si>
    <t>DATA:___X___BASE PERIOD___X____FORECASTED PERIOD</t>
  </si>
  <si>
    <t>PAYEE</t>
  </si>
  <si>
    <t>SCHEDULE F-2.3</t>
  </si>
  <si>
    <t>EMPLOYEE</t>
  </si>
  <si>
    <t>EXPENDITURES</t>
  </si>
  <si>
    <t>VARIOUS</t>
  </si>
  <si>
    <t>EMPLOYEE AWARDS</t>
  </si>
  <si>
    <t>EMPLOYEE ACTIVITIES</t>
  </si>
  <si>
    <t>CUSTOMER SERVICE AND INFORMATIONAL SALES AND GENERAL ADVERTISING EXPENSE</t>
  </si>
  <si>
    <t>SCHEDULE F-3</t>
  </si>
  <si>
    <t>DESCRIPTION OF</t>
  </si>
  <si>
    <t>CUSTOMER SERVICE &amp; INFORMATIONAL</t>
  </si>
  <si>
    <t>CUSTOMER ASSISTANCE</t>
  </si>
  <si>
    <t>INFORMATIONAL ADVERTISING</t>
  </si>
  <si>
    <t>MISCELLANEOUS CUST. SERV. &amp; INFO.</t>
  </si>
  <si>
    <t>SALES EXPENSE</t>
  </si>
  <si>
    <t>DEMONSTRATING AND SELLING</t>
  </si>
  <si>
    <t>MISCELLANEOUS SALES EXPENSE</t>
  </si>
  <si>
    <t>GENERAL ADVERTISING EXPENSE</t>
  </si>
  <si>
    <t>SCHEDULE F-4</t>
  </si>
  <si>
    <t>SALES OR</t>
  </si>
  <si>
    <t>INFORMATIONAL OR</t>
  </si>
  <si>
    <t>PROMOTIONAL</t>
  </si>
  <si>
    <t>INSTITUTIONAL</t>
  </si>
  <si>
    <t>CONSERVATION</t>
  </si>
  <si>
    <t>RATE</t>
  </si>
  <si>
    <t>ITEM</t>
  </si>
  <si>
    <t>CASE</t>
  </si>
  <si>
    <t>NEWSPAPER</t>
  </si>
  <si>
    <t>MAGAZINE AND OTHER</t>
  </si>
  <si>
    <t>TELEVISION</t>
  </si>
  <si>
    <t>RADIO</t>
  </si>
  <si>
    <t>DIRECT MAIL</t>
  </si>
  <si>
    <t>SALES AIDS</t>
  </si>
  <si>
    <t>AMERICAN GAS ASSOC.</t>
  </si>
  <si>
    <t xml:space="preserve">     TOTAL</t>
  </si>
  <si>
    <t>AMOUNT ASSIGNED TO KY RETAIL</t>
  </si>
  <si>
    <t>SCHEDULE F-5</t>
  </si>
  <si>
    <t>EXPENSE BREAKDOWN</t>
  </si>
  <si>
    <t>ANNUAL</t>
  </si>
  <si>
    <t>AUDIT</t>
  </si>
  <si>
    <t>LEGAL</t>
  </si>
  <si>
    <t>ENGINEERING</t>
  </si>
  <si>
    <t>ACCOUNTING</t>
  </si>
  <si>
    <t>PROJECTED RATE CASE EXPENSE</t>
  </si>
  <si>
    <t>SCHEDULE F-6</t>
  </si>
  <si>
    <t>CONSULTING</t>
  </si>
  <si>
    <t xml:space="preserve">      Sub-total</t>
  </si>
  <si>
    <t>LEGAL FEES</t>
  </si>
  <si>
    <t>TOTAL PROJECTED RATE CASE EXPENSES</t>
  </si>
  <si>
    <t>THREE (3) YEAR AMORTIZATION OF RATE CASE EXPENSES</t>
  </si>
  <si>
    <t>SCHEDULE F-7</t>
  </si>
  <si>
    <t>CIVIC DUTIES</t>
  </si>
  <si>
    <t>POLITICAL ACTIVITIES</t>
  </si>
  <si>
    <t>SCHEDULE F-8</t>
  </si>
  <si>
    <t>JURISDICTIONAL PAYROLL COST ANALYSIS FOR THE BASE AND FORECASTED PERIOD</t>
  </si>
  <si>
    <t>G-1</t>
  </si>
  <si>
    <t>PAYROLL COSTS</t>
  </si>
  <si>
    <t>G-2</t>
  </si>
  <si>
    <t>PAYROLL ANALYSIS BY EMPLOYEE CLASSIFICATION</t>
  </si>
  <si>
    <t>G-3</t>
  </si>
  <si>
    <t>EXECUTIVE COMPENSATION</t>
  </si>
  <si>
    <t>JURIS.</t>
  </si>
  <si>
    <t>LABOR</t>
  </si>
  <si>
    <t>EMPLOYEE BENEFITS</t>
  </si>
  <si>
    <t>EMPLOYEE INSURANCE PLANS</t>
  </si>
  <si>
    <t>THRIFT PLAN CONTRIBUTIONS</t>
  </si>
  <si>
    <t>TOTAL EMPLOYEE BENEFITS</t>
  </si>
  <si>
    <t>PAYROLL TAXES</t>
  </si>
  <si>
    <t>F.I.C.A.</t>
  </si>
  <si>
    <t>FEDERAL UNEMPLOYMENT</t>
  </si>
  <si>
    <t>STATE UNEMPLOYMENT</t>
  </si>
  <si>
    <t>TOTAL PAYROLL TAXES</t>
  </si>
  <si>
    <t>TOTAL PAYROLL COSTS</t>
  </si>
  <si>
    <t>WORKPAPER REFERENCE NO(S). WPG-2</t>
  </si>
  <si>
    <t>MOST RECENT 5 CALENDAR YEARS</t>
  </si>
  <si>
    <t>% Change</t>
  </si>
  <si>
    <t>Period</t>
  </si>
  <si>
    <t>Employee Hours</t>
  </si>
  <si>
    <t xml:space="preserve">    Straight-Time Hours</t>
  </si>
  <si>
    <t xml:space="preserve">    Overtime Hours</t>
  </si>
  <si>
    <t>Total Employee Hours</t>
  </si>
  <si>
    <t>Ratio of Overtime Hours to Straight-Time Hours</t>
  </si>
  <si>
    <t>Labor Dollars</t>
  </si>
  <si>
    <t>Total Labor Dollars</t>
  </si>
  <si>
    <t>Ratio of Overtime Dollars to Straight-Time Dollars</t>
  </si>
  <si>
    <t>O&amp;M Labor Dollars</t>
  </si>
  <si>
    <t>Ratio of O&amp;M Labor Dollars to Total Labor Dollars</t>
  </si>
  <si>
    <t>Employee Benefits</t>
  </si>
  <si>
    <t>Total Employee Benefits</t>
  </si>
  <si>
    <t>Employee Benefits Expensed</t>
  </si>
  <si>
    <t xml:space="preserve">Ratio of Employee Benefits Expensed </t>
  </si>
  <si>
    <t xml:space="preserve">    to Total Employee Benefits</t>
  </si>
  <si>
    <t>Payroll Taxes</t>
  </si>
  <si>
    <t>Total Payroll Taxes</t>
  </si>
  <si>
    <t>Payroll Taxes Expensed</t>
  </si>
  <si>
    <t>Ratio of Payroll Taxes Expensed</t>
  </si>
  <si>
    <t xml:space="preserve">    to Total Payroll Taxes</t>
  </si>
  <si>
    <t>Employee Levels</t>
  </si>
  <si>
    <t>Average Employee Levels</t>
  </si>
  <si>
    <t>Year-End Employee Levels</t>
  </si>
  <si>
    <t>Gross Payroll</t>
  </si>
  <si>
    <t xml:space="preserve">    Salary</t>
  </si>
  <si>
    <t xml:space="preserve">    Other Allowances and Compensation</t>
  </si>
  <si>
    <t xml:space="preserve">    Total Salary and Compensation</t>
  </si>
  <si>
    <t xml:space="preserve">    Pensions</t>
  </si>
  <si>
    <t xml:space="preserve">    Other Benefits</t>
  </si>
  <si>
    <t xml:space="preserve">    Total Employee Benefits</t>
  </si>
  <si>
    <t xml:space="preserve">    F.I.C.A.</t>
  </si>
  <si>
    <t xml:space="preserve">    Federal Unemployment</t>
  </si>
  <si>
    <t xml:space="preserve">    State Unemployment</t>
  </si>
  <si>
    <t xml:space="preserve">    Total Payroll Taxes</t>
  </si>
  <si>
    <t>Total Compensation</t>
  </si>
  <si>
    <t>PAYROLL ANALYSIS BY EMPLOYEE CLASSIFICATIONS/PAYROLL DISTRIBUTION/TOTAL COMPANY</t>
  </si>
  <si>
    <t>FOR THE MOST RECENT FIVE CALENDAR YEARS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</si>
  <si>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</si>
  <si>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</si>
  <si>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</si>
  <si>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</si>
  <si>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</si>
  <si>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</si>
  <si>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</si>
  <si>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</si>
  <si>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</si>
  <si>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</si>
  <si>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</si>
  <si>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 O T A L   C O M P A N Y</t>
  </si>
  <si>
    <t>STRAIGHT TIME HOURS</t>
  </si>
  <si>
    <t>OVERTIME HOURS</t>
  </si>
  <si>
    <t>L A B O R   D O L L A R S</t>
  </si>
  <si>
    <t>STRAIGHT-TIME DOLLARS</t>
  </si>
  <si>
    <t>OVERTIME DOLLARS</t>
  </si>
  <si>
    <t>TOTAL LABOR DOLLARS</t>
  </si>
  <si>
    <t>AVERAGE EMPLOYEE LEVELS</t>
  </si>
  <si>
    <t>SCHEDULE H</t>
  </si>
  <si>
    <t>COMPUTATION OF GROSS REVENUE CONVERSION FACTOR</t>
  </si>
  <si>
    <t>BASE PERIOD:</t>
  </si>
  <si>
    <t>H-1</t>
  </si>
  <si>
    <t>SCHEDULE H-1</t>
  </si>
  <si>
    <t xml:space="preserve">Workpaper Reference No(s). </t>
  </si>
  <si>
    <t>PERCENTAGE OF</t>
  </si>
  <si>
    <t>INCREMENTAL</t>
  </si>
  <si>
    <t>GROSS REVENUE</t>
  </si>
  <si>
    <t>LESS: UNCOLLECTIBLE ACCOUNTS EXPENSE</t>
  </si>
  <si>
    <t>LESS: PSC FEES</t>
  </si>
  <si>
    <t>NET REVENUES</t>
  </si>
  <si>
    <t>STATE INCOME TAX</t>
  </si>
  <si>
    <t>INCOME BEFORE FEDERAL INCOME TAX</t>
  </si>
  <si>
    <t>FEDERAL INCOME TAX</t>
  </si>
  <si>
    <t>OPERATING INCOME PERCENTAGE</t>
  </si>
  <si>
    <t>(100 % DIVIDED BY INCOME AFTER INCOME TAX)</t>
  </si>
  <si>
    <t xml:space="preserve">                            </t>
  </si>
  <si>
    <t>SCHEDULE I</t>
  </si>
  <si>
    <t>STATISTICAL DATA</t>
  </si>
  <si>
    <t>FORECASTED PERIOD :</t>
  </si>
  <si>
    <t>I-1</t>
  </si>
  <si>
    <t>COMPARATIVE INCOME STATEMENT</t>
  </si>
  <si>
    <t>I-2</t>
  </si>
  <si>
    <t>REVENUE STATISTICS - TOTAL COMPANY</t>
  </si>
  <si>
    <t>I-3</t>
  </si>
  <si>
    <t>SALES STATISTICS - TOTAL COMPANY</t>
  </si>
  <si>
    <t>COMPARATIVE INCOME STATEMENTS</t>
  </si>
  <si>
    <t>SCHEDULE I-1</t>
  </si>
  <si>
    <t>MOST RECENT FIVE CALENDAR YEARS</t>
  </si>
  <si>
    <t>PROJECTED CALENDAR YEARS</t>
  </si>
  <si>
    <t>FORECAST</t>
  </si>
  <si>
    <t>GAS SERVICE</t>
  </si>
  <si>
    <t>TRANSPORTATION</t>
  </si>
  <si>
    <t>OTHER REVENUE</t>
  </si>
  <si>
    <t>TOTAL OPERATING REVENUES</t>
  </si>
  <si>
    <t>GAS PURCHASED</t>
  </si>
  <si>
    <t>OPERATION</t>
  </si>
  <si>
    <t>MAINTENANCE</t>
  </si>
  <si>
    <t>DEPRECIATION &amp; DEPLETION</t>
  </si>
  <si>
    <t>TAXES - OTHER THAN INCOME</t>
  </si>
  <si>
    <t>OPERATING INCOME (LOSS)</t>
  </si>
  <si>
    <t>OTHER INCOME (DEDUCTIONS)</t>
  </si>
  <si>
    <t>INCOME FROM INVESTMENT IN SUBSIDIARY</t>
  </si>
  <si>
    <t>INTEREST INCOME AND OTHER, NET</t>
  </si>
  <si>
    <t xml:space="preserve">INTEREST EXPENSE </t>
  </si>
  <si>
    <t>TOTAL OTHER INCOME</t>
  </si>
  <si>
    <t>INCOME BEFORE INCOME TAXES</t>
  </si>
  <si>
    <t>INCOME TAXES</t>
  </si>
  <si>
    <t>NET INCOME</t>
  </si>
  <si>
    <t>SCHEDULE I-2</t>
  </si>
  <si>
    <t>RESIDENTIAL</t>
  </si>
  <si>
    <t>COMMERCIAL</t>
  </si>
  <si>
    <t>INDUSTRIAL</t>
  </si>
  <si>
    <t>UNBILLED</t>
  </si>
  <si>
    <t>SALES STATISTICS</t>
  </si>
  <si>
    <t>SCHEDULE I-3</t>
  </si>
  <si>
    <t>SALES BY CUSTOMER CLASS</t>
  </si>
  <si>
    <t>AVERAGE SALES PER CLASS</t>
  </si>
  <si>
    <t>SCHEDULE J</t>
  </si>
  <si>
    <t>J-1</t>
  </si>
  <si>
    <t>COST OF CAPITAL SUMMARY</t>
  </si>
  <si>
    <t>J-2</t>
  </si>
  <si>
    <t>EMBEDDED COST OF SHORT-TERM DEBT</t>
  </si>
  <si>
    <t>J-3</t>
  </si>
  <si>
    <t>EMBEDDED COST OF LONG-TERM DEBT</t>
  </si>
  <si>
    <t>J-4</t>
  </si>
  <si>
    <t>EMBEDDED COST OF PREFERRED STOCK</t>
  </si>
  <si>
    <t>SCHEDULE J-1</t>
  </si>
  <si>
    <t>WITNESS: P. R. MOUL</t>
  </si>
  <si>
    <t>WEIGHTED</t>
  </si>
  <si>
    <t>CLASS OF CAPITAL</t>
  </si>
  <si>
    <t>OF TOTAL</t>
  </si>
  <si>
    <t>COST RATE</t>
  </si>
  <si>
    <t>(F=D*E)</t>
  </si>
  <si>
    <t>SHORT-TERM DEBT</t>
  </si>
  <si>
    <t>LONG-TERM DEBT</t>
  </si>
  <si>
    <t>PREFERRED STOCK</t>
  </si>
  <si>
    <t>COMMON EQUITY</t>
  </si>
  <si>
    <t>TOTAL CAPITAL</t>
  </si>
  <si>
    <t>NOTE (1)  SEE ATTACHMENT PRM-5 PAGE 1 OF 1 FROM PAUL MOUL'S TESTIMONY</t>
  </si>
  <si>
    <t>13 MONTH AVERAGE CAPITAL STRUCTURE</t>
  </si>
  <si>
    <t>ANNUALIZED SHORT-TERM DEBT</t>
  </si>
  <si>
    <t>SCHEDULE J-2</t>
  </si>
  <si>
    <t>EFFECTIVE</t>
  </si>
  <si>
    <t>COMPOSITE</t>
  </si>
  <si>
    <t>INTEREST</t>
  </si>
  <si>
    <t>ISSUE</t>
  </si>
  <si>
    <t>OUTSTANDING</t>
  </si>
  <si>
    <t>(E=D/B)</t>
  </si>
  <si>
    <t>ANNUALIZED LONG-TERM DEBT</t>
  </si>
  <si>
    <t>SCHEDULE J-3</t>
  </si>
  <si>
    <t>INSTALLMENT PROMISSORY NOTES</t>
  </si>
  <si>
    <t>TOTAL LONG-TERM DEBT</t>
  </si>
  <si>
    <t>SCHEDULE J-4</t>
  </si>
  <si>
    <t>PREMIUM</t>
  </si>
  <si>
    <t>GAIN OR LOSS</t>
  </si>
  <si>
    <t>DIVIDEND RATE,</t>
  </si>
  <si>
    <t>OR</t>
  </si>
  <si>
    <t>ON REACQUIRED</t>
  </si>
  <si>
    <t xml:space="preserve">ANNUALIZED </t>
  </si>
  <si>
    <t>TYPE, PAR VALUE</t>
  </si>
  <si>
    <t>ISSUED</t>
  </si>
  <si>
    <t>DISCOUNT</t>
  </si>
  <si>
    <t>STOCK</t>
  </si>
  <si>
    <t>PROCEEDS</t>
  </si>
  <si>
    <t>AT ISSUE</t>
  </si>
  <si>
    <t>DIVIDENDS</t>
  </si>
  <si>
    <t>(F=B+C-D+E)</t>
  </si>
  <si>
    <t>(H=GXB)</t>
  </si>
  <si>
    <t>\P</t>
  </si>
  <si>
    <t>{APP1}/PCOLQ~</t>
  </si>
  <si>
    <t>/LML1.0~R1.0~T1.0~B1.0~</t>
  </si>
  <si>
    <t>/PRSPAGE1~G</t>
  </si>
  <si>
    <t>/PRSPAGE2~G</t>
  </si>
  <si>
    <t>SCHEDULE K</t>
  </si>
  <si>
    <t>COMPARATIVE FINANCIAL DATA AND EARNINGS MEASURE FOR THE</t>
  </si>
  <si>
    <t>TEN MOST RECENT CALENDAR YEARS, BASE PERIOD AND FORECASTED PERIOD</t>
  </si>
  <si>
    <t>K</t>
  </si>
  <si>
    <t>COMPARATIVE FINANCIAL DATA</t>
  </si>
  <si>
    <t>MOST RECENT CALENDAR YEARS - AS REPORTED</t>
  </si>
  <si>
    <t>PLANT DATA: ($000)</t>
  </si>
  <si>
    <t xml:space="preserve">  2</t>
  </si>
  <si>
    <t xml:space="preserve">  PLANT IN SERVICE BY FUNCTIONAL CLASS</t>
  </si>
  <si>
    <t xml:space="preserve">  3</t>
  </si>
  <si>
    <t xml:space="preserve">   INTANGIBLE PLANT</t>
  </si>
  <si>
    <t xml:space="preserve">  4</t>
  </si>
  <si>
    <t xml:space="preserve">   DISTRIBUTION PLANT</t>
  </si>
  <si>
    <t xml:space="preserve">  5</t>
  </si>
  <si>
    <t xml:space="preserve">   GENERAL PLANT</t>
  </si>
  <si>
    <t xml:space="preserve">  6</t>
  </si>
  <si>
    <t xml:space="preserve">   PRODUCTION PLANT - LIQUEFIED GAS</t>
  </si>
  <si>
    <t xml:space="preserve">  7</t>
  </si>
  <si>
    <t xml:space="preserve">  8</t>
  </si>
  <si>
    <t xml:space="preserve">   CAPITALIZED LEASES NET</t>
  </si>
  <si>
    <t xml:space="preserve">  9</t>
  </si>
  <si>
    <t xml:space="preserve">   GAS PLANT HELD FOR FUTURE USE</t>
  </si>
  <si>
    <t xml:space="preserve"> 10</t>
  </si>
  <si>
    <t xml:space="preserve">   GAS PLANT ACQUISITION ADJUSTMENTS</t>
  </si>
  <si>
    <t xml:space="preserve"> 11</t>
  </si>
  <si>
    <t xml:space="preserve">    GROSS PLANT</t>
  </si>
  <si>
    <t xml:space="preserve"> 12</t>
  </si>
  <si>
    <t xml:space="preserve">   LESS: ACCUMLATED DEPRECIATION</t>
  </si>
  <si>
    <t xml:space="preserve"> 13</t>
  </si>
  <si>
    <t xml:space="preserve">   NET PLANT IN SERVICE</t>
  </si>
  <si>
    <t xml:space="preserve"> 14</t>
  </si>
  <si>
    <t xml:space="preserve">  CONSTRUCTION WORK IN PROGRESS</t>
  </si>
  <si>
    <t xml:space="preserve"> 15</t>
  </si>
  <si>
    <t xml:space="preserve"> 16</t>
  </si>
  <si>
    <t xml:space="preserve"> 17</t>
  </si>
  <si>
    <t xml:space="preserve"> 18</t>
  </si>
  <si>
    <t xml:space="preserve"> 19</t>
  </si>
  <si>
    <t xml:space="preserve">    TOTAL CWIP</t>
  </si>
  <si>
    <t xml:space="preserve"> 20</t>
  </si>
  <si>
    <t>CAPITAL STRUCTURE:</t>
  </si>
  <si>
    <t xml:space="preserve"> (BASED ON YEAR-END ACCOUNTS)</t>
  </si>
  <si>
    <t xml:space="preserve">  SHORT-TERM DEBT ($000)</t>
  </si>
  <si>
    <t xml:space="preserve">  LONG-TERM DEBT ($000)</t>
  </si>
  <si>
    <t xml:space="preserve">  PREFERRED STOCK ($000)</t>
  </si>
  <si>
    <t>N/A</t>
  </si>
  <si>
    <t xml:space="preserve">  COMMON EQUITY ($000)</t>
  </si>
  <si>
    <t>CONDENSED INCOME STATEMENT DATA: ($000)</t>
  </si>
  <si>
    <t xml:space="preserve">  OPERATING REVENUES </t>
  </si>
  <si>
    <t xml:space="preserve">  OPERATING EXPENSES (EXCLUDING FEDERAL</t>
  </si>
  <si>
    <t xml:space="preserve">  AND STATE TAXES) </t>
  </si>
  <si>
    <t xml:space="preserve">  STATE INCOME TAX (CURRENT)</t>
  </si>
  <si>
    <t xml:space="preserve">  FEDERAL INCOME TAX (CURRENT)</t>
  </si>
  <si>
    <t xml:space="preserve">  FEDERAL AND STATE INCOME TAX NET</t>
  </si>
  <si>
    <t xml:space="preserve">  INVESTMENT TAX CREDITS</t>
  </si>
  <si>
    <t xml:space="preserve">  OPERATING INCOME</t>
  </si>
  <si>
    <t xml:space="preserve">  AFUDC</t>
  </si>
  <si>
    <t xml:space="preserve">  OTHER INCOME NET</t>
  </si>
  <si>
    <t xml:space="preserve">  INCOME AVAILABLE FOR FIXED CHARGES</t>
  </si>
  <si>
    <t xml:space="preserve">  INTEREST CHARGES</t>
  </si>
  <si>
    <t xml:space="preserve">  NET INCOME</t>
  </si>
  <si>
    <t xml:space="preserve">  CUMULATIVE CHANGE IN ACCTG PRIN</t>
  </si>
  <si>
    <t xml:space="preserve">  EARNINGS AVAILABLE FOR COMMON EQUITY</t>
  </si>
  <si>
    <t xml:space="preserve">  AFUDC - % OF NET INCOME</t>
  </si>
  <si>
    <t xml:space="preserve">  AFUDC - % OF EARNINGS AVAILABLE </t>
  </si>
  <si>
    <t xml:space="preserve">   FOR COMMON EQUITY</t>
  </si>
  <si>
    <t>SHEET 3 OF 4</t>
  </si>
  <si>
    <t>COSTS OF CAPITAL</t>
  </si>
  <si>
    <t xml:space="preserve">  EMBEDDED COST OF SHORT-TERM DEBT (%)</t>
  </si>
  <si>
    <t xml:space="preserve">  EMBEDDED COST OF LONG-TERM DEBT (%)</t>
  </si>
  <si>
    <t xml:space="preserve">  EMBEDDED COST OF PREFERRED STOCK (%)</t>
  </si>
  <si>
    <t>FIXED CHARGE COVERAGE:</t>
  </si>
  <si>
    <t xml:space="preserve">  PRE-TAX INTEREST COVERAGE</t>
  </si>
  <si>
    <t xml:space="preserve">  PRE-TAX INTEREST COVERAGE (EXCLUDING AFUDC)</t>
  </si>
  <si>
    <t xml:space="preserve">  AFTER TAX INTEREST COVERAGE</t>
  </si>
  <si>
    <t xml:space="preserve">  AFTER TAX INTEREST COVERAGE (EXCLUDING AFUDC)</t>
  </si>
  <si>
    <t xml:space="preserve">  INDENTURE PROVISION COVERAGE</t>
  </si>
  <si>
    <t xml:space="preserve">  AFTER TAX FIXED CHARGE COVERAGE</t>
  </si>
  <si>
    <t>STOCK AND BOND RATINGS:</t>
  </si>
  <si>
    <t xml:space="preserve">  MOODY'S BOND RATING</t>
  </si>
  <si>
    <t xml:space="preserve">  S&amp;P BOND RATING</t>
  </si>
  <si>
    <t>The stock is not publicly traded.</t>
  </si>
  <si>
    <t xml:space="preserve">  MOODY'S PREFERRED STOCK RATING</t>
  </si>
  <si>
    <t xml:space="preserve">  S&amp;P PREFERRED STOCK RATING</t>
  </si>
  <si>
    <t>COMMON STOCK RELATED DATA:</t>
  </si>
  <si>
    <t xml:space="preserve">  SHARES OUTSTANDING YEAR END (000)</t>
  </si>
  <si>
    <t xml:space="preserve">  SHARES OUTSTANDING - WEIGHTED</t>
  </si>
  <si>
    <t xml:space="preserve">   AVERAGE (MONTHLY) (000)</t>
  </si>
  <si>
    <t xml:space="preserve">  EARNINGS PER SHARE - WEIGHTED AVG. ($)</t>
  </si>
  <si>
    <t xml:space="preserve">  DIVIDENDS PAID PER SHARE ($)</t>
  </si>
  <si>
    <t xml:space="preserve">  DIVIDENDS DECLARED PER SHARE ($)</t>
  </si>
  <si>
    <t xml:space="preserve">   BASIS) (%)</t>
  </si>
  <si>
    <t xml:space="preserve">  MARKET PRICE - HIGH (LOW)</t>
  </si>
  <si>
    <t xml:space="preserve">   1ST QUARTER - HIGH ($)</t>
  </si>
  <si>
    <t xml:space="preserve">   1ST QUARTER - LOW ($)</t>
  </si>
  <si>
    <t xml:space="preserve">   2ND QUARTER - HIGH ($)</t>
  </si>
  <si>
    <t xml:space="preserve">   2ND QUARTER - LOW ($)</t>
  </si>
  <si>
    <t xml:space="preserve">   3RD QUARTER - HIGH ($)</t>
  </si>
  <si>
    <t xml:space="preserve">   3RD QUARTER - LOW ($)</t>
  </si>
  <si>
    <t xml:space="preserve">   4TH QUARTER - HIGH ($)</t>
  </si>
  <si>
    <t xml:space="preserve">   4TH QUARTER - LOW ($)</t>
  </si>
  <si>
    <t xml:space="preserve">  BOOK VALUE PER SHARE (YEAR-END) ($)</t>
  </si>
  <si>
    <t>SHEET 4 OF 4</t>
  </si>
  <si>
    <t>RATE OF RETURN MEARSURES:</t>
  </si>
  <si>
    <t xml:space="preserve">  RETURN ON COMMON EQUITY (AVERAGE)</t>
  </si>
  <si>
    <t xml:space="preserve">  RETURN ON TOTAL CAPITAL (AVERAGE)</t>
  </si>
  <si>
    <t xml:space="preserve">  RETURN ON NET PLANT IN SERVICE (AVERAGE)</t>
  </si>
  <si>
    <t>OTHER FINANCIAL AND OPERATING DATA:</t>
  </si>
  <si>
    <t xml:space="preserve">  MIX OF SALES:</t>
  </si>
  <si>
    <t>(MMcf)</t>
  </si>
  <si>
    <t xml:space="preserve">   RESIDENTIAL</t>
  </si>
  <si>
    <t xml:space="preserve">   COMMERCIAL</t>
  </si>
  <si>
    <t xml:space="preserve">   INDUSTRIAL</t>
  </si>
  <si>
    <t xml:space="preserve">   PUBLIC AUTHORITIES</t>
  </si>
  <si>
    <t xml:space="preserve">  TOTAL MIX OF SALES</t>
  </si>
  <si>
    <t xml:space="preserve">  MIX OF FUEL:</t>
  </si>
  <si>
    <t xml:space="preserve">   COLUMBIA GAS TRANSMISSION CORP.</t>
  </si>
  <si>
    <t xml:space="preserve">   OTHER</t>
  </si>
  <si>
    <t xml:space="preserve">  TOTAL MIX OF FUEL</t>
  </si>
  <si>
    <t>COMPOSITE DEPRECIATION RATE</t>
  </si>
  <si>
    <t>403 - 404</t>
  </si>
  <si>
    <t>DEPRECIATION AND AMORTIZATION EXPENSE</t>
  </si>
  <si>
    <t>403 - 404 DEPRECIATION AND AMORTIZATION EXPENSE</t>
  </si>
  <si>
    <t>COLUMBIA GAS OF KENTUCKY, INC.</t>
  </si>
  <si>
    <t>JURISDICTIONAL RATE BASE SUMMARY</t>
  </si>
  <si>
    <t>SCHEDULE B-1</t>
  </si>
  <si>
    <t>Type of Filing:___X____Original________Updated</t>
  </si>
  <si>
    <t>SHEET 1 OF 2</t>
  </si>
  <si>
    <t xml:space="preserve">13 MONTH </t>
  </si>
  <si>
    <t>SUPPORTING</t>
  </si>
  <si>
    <t>AVERAGE</t>
  </si>
  <si>
    <t>LINE</t>
  </si>
  <si>
    <t>SCHEDULE</t>
  </si>
  <si>
    <t>BASE</t>
  </si>
  <si>
    <t>NO.</t>
  </si>
  <si>
    <t>RATE BASE COMPONENT</t>
  </si>
  <si>
    <t>REFERENCE</t>
  </si>
  <si>
    <t>PERIOD</t>
  </si>
  <si>
    <t>$</t>
  </si>
  <si>
    <t>1</t>
  </si>
  <si>
    <t>PLANT IN SERVICE</t>
  </si>
  <si>
    <t>B-2</t>
  </si>
  <si>
    <t>2</t>
  </si>
  <si>
    <t>PROPERTY HELD FOR FUTURE USE</t>
  </si>
  <si>
    <t>B-2.6</t>
  </si>
  <si>
    <t>3</t>
  </si>
  <si>
    <t>PLANT AQUISITION ADJUSTMENTS</t>
  </si>
  <si>
    <t>B-2.4</t>
  </si>
  <si>
    <t>4</t>
  </si>
  <si>
    <t>ACCUMULATED DEPRECIATION AND AMORTIZATION</t>
  </si>
  <si>
    <t>B-3</t>
  </si>
  <si>
    <t>5</t>
  </si>
  <si>
    <t>NET PLANT IN SERVICE (1 THRU 4)</t>
  </si>
  <si>
    <t>6</t>
  </si>
  <si>
    <t>CONSTRUCTION WORK IN PROGRESS</t>
  </si>
  <si>
    <t>B-4</t>
  </si>
  <si>
    <t>7</t>
  </si>
  <si>
    <t>CASH WORKING CAPITAL ALLOWANCE</t>
  </si>
  <si>
    <t>B-5.2</t>
  </si>
  <si>
    <t>8</t>
  </si>
  <si>
    <t>OTHER WORKING CAPITAL ALLOWANCES</t>
  </si>
  <si>
    <t>B-5.1</t>
  </si>
  <si>
    <t>9</t>
  </si>
  <si>
    <t>B-6</t>
  </si>
  <si>
    <t>10</t>
  </si>
  <si>
    <t>DEFERRED INC. TAXES AND INVESTMENT TAX CREDITS</t>
  </si>
  <si>
    <t>OTHER ITEMS</t>
  </si>
  <si>
    <t>PLANT IN SERVICE BY MAJOR PROPERTY GROUPING</t>
  </si>
  <si>
    <t>SCHEDULE B-2</t>
  </si>
  <si>
    <t>TOTAL</t>
  </si>
  <si>
    <t>JURISDICTIONAL</t>
  </si>
  <si>
    <t>ADJUSTED</t>
  </si>
  <si>
    <t>13 MONTH</t>
  </si>
  <si>
    <t>MAJOR PROPERTY GROUPINGS</t>
  </si>
  <si>
    <t>COMPANY</t>
  </si>
  <si>
    <t>PERCENT</t>
  </si>
  <si>
    <t>ADJUSTMENTS</t>
  </si>
  <si>
    <t>INTANGIBLES</t>
  </si>
  <si>
    <t>PRODUCTION</t>
  </si>
  <si>
    <t xml:space="preserve"> </t>
  </si>
  <si>
    <t>STORAGE AND PROCESSING</t>
  </si>
  <si>
    <t>TRANSMISSION</t>
  </si>
  <si>
    <t>DISTRIBUTION</t>
  </si>
  <si>
    <t>GENERAL</t>
  </si>
  <si>
    <t>COMMON</t>
  </si>
  <si>
    <t>OTHER</t>
  </si>
  <si>
    <t xml:space="preserve">PLANT IN SERVICE BY ACCOUNTS AND SUBACCOUNTS </t>
  </si>
  <si>
    <t xml:space="preserve">DATA: _X_ BASE PERIOD ___ FORECASTED PERIOD     </t>
  </si>
  <si>
    <t>SCHEDULE B-2.1</t>
  </si>
  <si>
    <t>TYPE OF FILING: _X_ ORIGINAL ___ UPDATED ___ REVISED</t>
  </si>
  <si>
    <t>WORKPAPER REFERENCE NO(S).: _______________</t>
  </si>
  <si>
    <t>ACCT.</t>
  </si>
  <si>
    <t>ACCOUNT /</t>
  </si>
  <si>
    <t>SUBACCOUNT TITLES</t>
  </si>
  <si>
    <t>TOTAL COMPANY</t>
  </si>
  <si>
    <t>JURISDICTION</t>
  </si>
  <si>
    <t>INTANGIBLE PLANT</t>
  </si>
  <si>
    <t>ORGANIZATION</t>
  </si>
  <si>
    <t>MISCELLANEOUS INTANGIBLE PLANT</t>
  </si>
  <si>
    <t>MISC INTANGIBLE PLANT-DIS SOFTWARE</t>
  </si>
  <si>
    <t>MISC INTANGIBLE PLANT-FARA SOFTWARE</t>
  </si>
  <si>
    <t>MISC INTANGIBLE PLANT-OTHER SOFTWARE</t>
  </si>
  <si>
    <t>TOTAL INTANGIBLE PLANT</t>
  </si>
  <si>
    <t>PRODUCTION PLANT - LPG</t>
  </si>
  <si>
    <t>LAND</t>
  </si>
  <si>
    <t>TOTAL PRODUCTION PLANT - LPG</t>
  </si>
  <si>
    <t>DISTRIBUTION PLANT</t>
  </si>
  <si>
    <t>LAND-CITY GATE &amp; MAIN LINE IND. M &amp; R</t>
  </si>
  <si>
    <t>LAND-OTHER DISTRIBUTION SYSTEMS</t>
  </si>
  <si>
    <t>LAND RIGHTS-OTHER DISTR SYSTEMS</t>
  </si>
  <si>
    <t>RIGHTS OF WAY</t>
  </si>
  <si>
    <t>STRUC &amp; IMPROV-CITY GATE M &amp; R</t>
  </si>
  <si>
    <t>STRUC &amp; IMPROV-GENERAL M &amp; R</t>
  </si>
  <si>
    <t xml:space="preserve">STRUC &amp; IMPROV-REGULATING </t>
  </si>
  <si>
    <t>STRUC &amp; IMPROV-DISTR. IND. M &amp; R</t>
  </si>
  <si>
    <t>STRUC &amp; IMPROV-OTHER DISTR. SYSTEMS</t>
  </si>
  <si>
    <t>STRUC &amp; IMPROV-OTHER DISTR SYS-ILP</t>
  </si>
  <si>
    <t>STRUC &amp; IMPROV-COMMUNICATIONS</t>
  </si>
  <si>
    <t>MAINS</t>
  </si>
  <si>
    <t>M &amp; R STATION EQUIP-GENERAL</t>
  </si>
  <si>
    <t>M &amp; R STA EQUIP-GENERAL-REGULATING</t>
  </si>
  <si>
    <t>M &amp; R STA EQUIP-GEN-LOCAL GAS PURCH</t>
  </si>
  <si>
    <t>M &amp; R STA EQUIP-CITY GATE CHECK STA</t>
  </si>
  <si>
    <t>SERVICES</t>
  </si>
  <si>
    <t>METERS</t>
  </si>
  <si>
    <t>METER INSTALLATIONS</t>
  </si>
  <si>
    <t>HOUSE REGULATORS</t>
  </si>
  <si>
    <t>HOUSE REGULATOR INSTALLATIONS</t>
  </si>
  <si>
    <t>INDUSTRIAL M &amp; R STATION EQUIPMENT</t>
  </si>
  <si>
    <t>OTHER EQUIP-ODORIZATION</t>
  </si>
  <si>
    <t>OTHER EQUIP-TELEPHONE</t>
  </si>
  <si>
    <t>OTHER EQUIPMENT-RADIO</t>
  </si>
  <si>
    <t>OTHER EQUIP-OTHER COMMUNICATION</t>
  </si>
  <si>
    <t>OTHER EQUIP-TELEMETERING</t>
  </si>
  <si>
    <t>OTHER EQUIP-CUST INFO SERVICE</t>
  </si>
  <si>
    <t>TOTAL DISTRIBUTION PLANT</t>
  </si>
  <si>
    <t>GENERAL PLANT</t>
  </si>
  <si>
    <t>OFFICE FURN &amp; EQUIP-UNSPECIFIED</t>
  </si>
  <si>
    <t xml:space="preserve">OFFICE FURN &amp; EQUIP-DATA HANDLING </t>
  </si>
  <si>
    <t>OFFICE FURN &amp; EQUIP-INFO SYSTEMS</t>
  </si>
  <si>
    <t>TRANS EQUIP-TRAILERS $1,000 or LESS</t>
  </si>
  <si>
    <t>STORES EQUIPMENT</t>
  </si>
  <si>
    <t xml:space="preserve">TOOLS,SHOP, &amp; GAR EQ-GARAGE &amp; SERV </t>
  </si>
  <si>
    <t>TOOLS,SHOP, &amp; GAR EQ-CNG STATIONARY</t>
  </si>
  <si>
    <t>TOOLS,SHOP, &amp; GAR EQ-CNG PORTABLE</t>
  </si>
  <si>
    <t>TOOLS,SHOP, &amp; GAR EQ-SHOP EQUIP</t>
  </si>
  <si>
    <t xml:space="preserve">TOOLS,SHOP, &amp; GAR EQ-TOOLS &amp; OTHER </t>
  </si>
  <si>
    <t>LABORATORY</t>
  </si>
  <si>
    <t>POWER OPERATED EQUIP-GENERAL TOOLS</t>
  </si>
  <si>
    <t>MISCELLANEOUS EQUIPMENT</t>
  </si>
  <si>
    <t>TOTAL GENERAL PLANT</t>
  </si>
  <si>
    <t>TOTAL PLANT IN SERVICE</t>
  </si>
  <si>
    <t xml:space="preserve">PROPOSED ADJUSTMENTS TO PLANT IN SERVICE </t>
  </si>
  <si>
    <t>SCHEDULE B-2.2</t>
  </si>
  <si>
    <t>DESCRIPTION AND</t>
  </si>
  <si>
    <t>ACCOUNT</t>
  </si>
  <si>
    <t>WORKPAPER</t>
  </si>
  <si>
    <t xml:space="preserve">PURPOSE OF </t>
  </si>
  <si>
    <t>TITLE</t>
  </si>
  <si>
    <t>ADJUSTMENT</t>
  </si>
  <si>
    <t>REFERENCE NO.</t>
  </si>
  <si>
    <t>GROSS ADDITIONS, RETIREMENTS, AND TRANSFERS</t>
  </si>
  <si>
    <t>SCHEDULE B-2.3</t>
  </si>
  <si>
    <t>BEGINNING</t>
  </si>
  <si>
    <t>EXPLANATION</t>
  </si>
  <si>
    <t>ENDING</t>
  </si>
  <si>
    <t>ACCOUNT TITLE</t>
  </si>
  <si>
    <t>BALANCE</t>
  </si>
  <si>
    <t>ADDITIONS</t>
  </si>
  <si>
    <t>RETIREMENTS</t>
  </si>
  <si>
    <t>AMOUNT</t>
  </si>
  <si>
    <t>INVOLVED</t>
  </si>
  <si>
    <t xml:space="preserve"> 1</t>
  </si>
  <si>
    <t>TOTAL GAS PLANT IN SERVICE</t>
  </si>
  <si>
    <t>PROPERTY MERGED OR ACQUIRED</t>
  </si>
  <si>
    <t>SCHEDULE B-2.4</t>
  </si>
  <si>
    <t>COMMISSION</t>
  </si>
  <si>
    <t>DESCRIPTION</t>
  </si>
  <si>
    <t>ACQUISITION</t>
  </si>
  <si>
    <t>COST</t>
  </si>
  <si>
    <t>APPROVAL DATE</t>
  </si>
  <si>
    <t>DATE OF</t>
  </si>
  <si>
    <t>OF</t>
  </si>
  <si>
    <t>OF PROPERTY</t>
  </si>
  <si>
    <t>BASIS</t>
  </si>
  <si>
    <t>(DOCKET NO.)</t>
  </si>
  <si>
    <t>TREATMENT</t>
  </si>
  <si>
    <t>NONE</t>
  </si>
  <si>
    <t>LEASED PROPERTY</t>
  </si>
  <si>
    <t>SCHEDULE B-2.5</t>
  </si>
  <si>
    <t>DOLLAR</t>
  </si>
  <si>
    <t>IDENTIFICATION</t>
  </si>
  <si>
    <t>VALUE OF</t>
  </si>
  <si>
    <t>OR REFERENCE</t>
  </si>
  <si>
    <t>DESCRIPTION OF TYPE</t>
  </si>
  <si>
    <t>NAME OF</t>
  </si>
  <si>
    <t>FREQUENCY</t>
  </si>
  <si>
    <t>AMOUNT OF</t>
  </si>
  <si>
    <t>PROPERTY</t>
  </si>
  <si>
    <t>EXPLAIN METHOD OF</t>
  </si>
  <si>
    <t>NUMBER</t>
  </si>
  <si>
    <t>AND USE OF PROPERTY</t>
  </si>
  <si>
    <t>LESSEE</t>
  </si>
  <si>
    <t>OF PAYMENT</t>
  </si>
  <si>
    <t>LEASE PAYMENT</t>
  </si>
  <si>
    <t>CAPITALIZATION</t>
  </si>
  <si>
    <t>COLUMBIA GAS OF KENTUCKY, INC. DOES NOT HAVE ANY CAPITAL LEASES.</t>
  </si>
  <si>
    <t>PROPERTY HELD FOR FUTURE USE INCLUDED IN RATE BASE</t>
  </si>
  <si>
    <t>SCHEDULE B-2.6</t>
  </si>
  <si>
    <t>NET</t>
  </si>
  <si>
    <t>REVENUE REALIZED</t>
  </si>
  <si>
    <t>AND LOCATION</t>
  </si>
  <si>
    <t>ORIGINAL</t>
  </si>
  <si>
    <t>ACCUMULATED</t>
  </si>
  <si>
    <t>DATE</t>
  </si>
  <si>
    <t>DEPRECIATION</t>
  </si>
  <si>
    <t xml:space="preserve">NONE </t>
  </si>
  <si>
    <t>PROPERTY EXCLUDED FROM RATE BASE</t>
  </si>
  <si>
    <t>SCHEDULE B-2.7</t>
  </si>
  <si>
    <t>ACCOUNT TITLE OR</t>
  </si>
  <si>
    <t>REVENUE AND EXPENSE</t>
  </si>
  <si>
    <t>REASONS</t>
  </si>
  <si>
    <t xml:space="preserve">DESCRIPTION OF </t>
  </si>
  <si>
    <t>IN-SERVICE</t>
  </si>
  <si>
    <t>FOR</t>
  </si>
  <si>
    <t>EXCLUDED PROPERTY</t>
  </si>
  <si>
    <t>EXCLUSION</t>
  </si>
  <si>
    <t>ACCUMULATED DEPRECIATION &amp; AMORTIZATION</t>
  </si>
  <si>
    <t>SCHEDULE B-3</t>
  </si>
  <si>
    <t>BASE PERIOD</t>
  </si>
  <si>
    <t>&lt; -------------------------- RESERVE BALANCES -------------------------- &gt;</t>
  </si>
  <si>
    <t>ACCOUNT TITLES</t>
  </si>
  <si>
    <t>INVESTMENT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</si>
  <si>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</si>
  <si>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</si>
  <si>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</si>
  <si>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</si>
  <si>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</si>
  <si>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</si>
  <si>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</si>
  <si>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</si>
  <si>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</si>
  <si>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TOOLS,SHOP, &amp; GAR EQ-UND TANK CLEANUP</t>
  </si>
  <si>
    <t>ADJUSTMENTS TO ACCUMULATED DEPRECIATION &amp; AMORTIZATION</t>
  </si>
  <si>
    <t>SCHEDULE B-3.1</t>
  </si>
  <si>
    <t>DESCRIPTION AND PURPOSE</t>
  </si>
  <si>
    <t>OF ADJUSTMENT</t>
  </si>
  <si>
    <t>EXPENSE</t>
  </si>
  <si>
    <t>(J)</t>
  </si>
  <si>
    <t>Workpaper Reference No(s).  ____________________</t>
  </si>
  <si>
    <t>PROPOSED</t>
  </si>
  <si>
    <t>TRANS EQUIP-TRAILERS OVER $1,000</t>
  </si>
  <si>
    <t>SCHEDULE B-4</t>
  </si>
  <si>
    <t>ACCUMULATED COSTS</t>
  </si>
  <si>
    <t xml:space="preserve">DESCRIPTION </t>
  </si>
  <si>
    <t>CONSTRUCTION</t>
  </si>
  <si>
    <t>%</t>
  </si>
  <si>
    <t>100.00</t>
  </si>
  <si>
    <t>SUBTOTAL</t>
  </si>
  <si>
    <t>(1)</t>
  </si>
  <si>
    <t>100.00%</t>
  </si>
  <si>
    <t>WPB-5.1</t>
  </si>
  <si>
    <t>WORKING CAPITAL COMPONENTS</t>
  </si>
  <si>
    <t>SHEET 1 OF 4</t>
  </si>
  <si>
    <t>Beginning</t>
  </si>
  <si>
    <t>Ending</t>
  </si>
  <si>
    <t>Balance</t>
  </si>
  <si>
    <t>Activity</t>
  </si>
  <si>
    <t>SHEET 2 OF 4</t>
  </si>
  <si>
    <t>PREPAYMENTS</t>
  </si>
  <si>
    <t>1_/  Prepaid PSC Fees have been removed from calculation.</t>
  </si>
  <si>
    <t xml:space="preserve">TOTAL </t>
  </si>
  <si>
    <t>FUEL STOCK</t>
  </si>
  <si>
    <t>MATERIAL &amp; SUPPLIES</t>
  </si>
  <si>
    <t>SCHEDULE B-5.2</t>
  </si>
  <si>
    <t>1 /8 METHOD</t>
  </si>
  <si>
    <t>(2)</t>
  </si>
  <si>
    <t>(3)</t>
  </si>
  <si>
    <t>CASH WORKING CAPITAL</t>
  </si>
  <si>
    <t xml:space="preserve">      PURCHASED GAS EXPENSE</t>
  </si>
  <si>
    <t>12.50%</t>
  </si>
  <si>
    <t xml:space="preserve">      LIQUEFIED PETROLEUM GAS EXPENSE</t>
  </si>
  <si>
    <t xml:space="preserve">      DISTRIBUTION EXPENSE</t>
  </si>
  <si>
    <t xml:space="preserve">      CUSTOMER ACCOUNTING &amp; COLLECTING</t>
  </si>
  <si>
    <t xml:space="preserve">      CUSTOMER SERVICE &amp; INFORMATION</t>
  </si>
  <si>
    <t xml:space="preserve">      SALES EXPENSE</t>
  </si>
  <si>
    <t xml:space="preserve">      A &amp; G EXPENSE</t>
  </si>
  <si>
    <t>TOTAL O &amp; M EXPENSES</t>
  </si>
  <si>
    <t>ALLOWANCE FOR WORKING CAPITAL</t>
  </si>
  <si>
    <t>SCHEDULE B-5</t>
  </si>
  <si>
    <t>DESCRIPTION OF METHODOLOGY</t>
  </si>
  <si>
    <t>WORKING CAPITAL</t>
  </si>
  <si>
    <t>USED TO DETERMINE</t>
  </si>
  <si>
    <t>COMPONENT</t>
  </si>
  <si>
    <t>JURISDICTIONAL REQUIREMENT</t>
  </si>
  <si>
    <t>1 / 8  O &amp; M METHOD</t>
  </si>
  <si>
    <t>13 MONTH AVERAGE BALANCE</t>
  </si>
  <si>
    <t xml:space="preserve">GAS STORED UNDERGROUND </t>
  </si>
  <si>
    <t>TOTAL WORKING CAPITAL REQUIREMENTS</t>
  </si>
  <si>
    <t>DEFERRED CREDITS AND ACCUMULATED DEFERRED INCOME TAXES</t>
  </si>
  <si>
    <t>SCHEDULE B-6</t>
  </si>
  <si>
    <t>13-Month</t>
  </si>
  <si>
    <t>Account 190 - Deferred Income Taxes</t>
  </si>
  <si>
    <t>2851</t>
  </si>
  <si>
    <t>4851</t>
  </si>
  <si>
    <t>2205</t>
  </si>
  <si>
    <t>4205</t>
  </si>
  <si>
    <t>2211</t>
  </si>
  <si>
    <t>4211</t>
  </si>
  <si>
    <t>2231</t>
  </si>
  <si>
    <t>4231</t>
  </si>
  <si>
    <t>2951</t>
  </si>
  <si>
    <t>4951</t>
  </si>
  <si>
    <t>WPB-6</t>
  </si>
  <si>
    <t>REFERENCE: F/S, B-6</t>
  </si>
  <si>
    <t>Account 283</t>
  </si>
  <si>
    <t>Account 252</t>
  </si>
  <si>
    <t>Deferred Income Taxes - Other</t>
  </si>
  <si>
    <t>Sub-Acct. 15560</t>
  </si>
  <si>
    <t>Sub-Acct. 2951</t>
  </si>
  <si>
    <t>Sub-Acct. 4951</t>
  </si>
  <si>
    <t>Contributions</t>
  </si>
  <si>
    <t>Customer</t>
  </si>
  <si>
    <t xml:space="preserve">Legal Liab. - </t>
  </si>
  <si>
    <t>Advances For</t>
  </si>
  <si>
    <t>Lease On G.O.</t>
  </si>
  <si>
    <t>Construction</t>
  </si>
  <si>
    <t>Bldg. - Federal</t>
  </si>
  <si>
    <t>Bldg. - State</t>
  </si>
  <si>
    <t>Average Balance</t>
  </si>
  <si>
    <t>Sub-Acct. 2851</t>
  </si>
  <si>
    <t>Sub-Acct. 4851</t>
  </si>
  <si>
    <t>Sub-Acct. 1938</t>
  </si>
  <si>
    <t>Sub-Acct. 3938</t>
  </si>
  <si>
    <t>In Aid &amp;</t>
  </si>
  <si>
    <t xml:space="preserve"> LIFO Inventory</t>
  </si>
  <si>
    <t>Cust. Advances</t>
  </si>
  <si>
    <t>Evaluation</t>
  </si>
  <si>
    <t>- Federal</t>
  </si>
  <si>
    <t>- State</t>
  </si>
  <si>
    <t>Account 282 - Deferred Income Taxes - Depreciation</t>
  </si>
  <si>
    <t>Sub-Acct. 2205</t>
  </si>
  <si>
    <t>Sub-Acct. 4205</t>
  </si>
  <si>
    <t>Sub-Acct. 2211</t>
  </si>
  <si>
    <t>Sub-Acct. 4211</t>
  </si>
  <si>
    <t>Sub-Acct. 2231</t>
  </si>
  <si>
    <t>Sub-Acct. 4231</t>
  </si>
  <si>
    <t>Sub-Acct. 2232</t>
  </si>
  <si>
    <t>Sub-Acct. 4232</t>
  </si>
  <si>
    <t>Excess</t>
  </si>
  <si>
    <t>Loss On</t>
  </si>
  <si>
    <t>Property</t>
  </si>
  <si>
    <t>Accelerated</t>
  </si>
  <si>
    <t>Retirement Of</t>
  </si>
  <si>
    <t>Removal</t>
  </si>
  <si>
    <t>Depreciation</t>
  </si>
  <si>
    <t>ACRS Property</t>
  </si>
  <si>
    <t>Costs</t>
  </si>
  <si>
    <t>INTANGIBLE</t>
  </si>
  <si>
    <t>WPB-2.1</t>
  </si>
  <si>
    <t xml:space="preserve">WORKING CAPITAL COMPONENTS </t>
  </si>
  <si>
    <t>SCHEDULE B-5.1</t>
  </si>
  <si>
    <t>13 MONTH AVERAGE FOR PERIOD</t>
  </si>
  <si>
    <t>GAS STORED UNDERGROUND</t>
  </si>
  <si>
    <t>CWIP</t>
  </si>
  <si>
    <t>IN SERVICE</t>
  </si>
  <si>
    <t>MISC INTANGIBLE PLANT</t>
  </si>
  <si>
    <t>LAND RIGHTS - OTHER DIST</t>
  </si>
  <si>
    <t>REGULATING STRUCTURES</t>
  </si>
  <si>
    <t>OTHER STRUCTURES</t>
  </si>
  <si>
    <t>M&amp;R EQUIP-GENERAL-REG</t>
  </si>
  <si>
    <t>IND M&amp;R EQUIPMENT</t>
  </si>
  <si>
    <t>OTHER EQ-TELEMETERING</t>
  </si>
  <si>
    <t>OFF FUR &amp; EQ UNSPECIF</t>
  </si>
  <si>
    <t xml:space="preserve">TOTAL OTHER WORKING CAPITAL </t>
  </si>
  <si>
    <t>DATA:__X___BASE PERIOD______FORECASTED PERIOD</t>
  </si>
  <si>
    <t>TYPE OF FILING:___X____ORIGINAL________UPDATED</t>
  </si>
  <si>
    <t>WORKPAPER REFERENCE NO(S).____________________</t>
  </si>
  <si>
    <t>ACCOUNT 252 - CUSTOMER ADVANCES FOR CONSTRUCTION</t>
  </si>
  <si>
    <t>ACCOUNT 190 - DEFERRED INCOME TAXES</t>
  </si>
  <si>
    <t>CONTRIBUTIONS IN AID &amp; CUST. ADVANCES - FED</t>
  </si>
  <si>
    <t xml:space="preserve">       TOTAL ACCOUNT 190</t>
  </si>
  <si>
    <t>SUB</t>
  </si>
  <si>
    <t>ACCT</t>
  </si>
  <si>
    <t>ACCOUNT 282 - DEFERRED INCOME TAXES - DEPRECIATION</t>
  </si>
  <si>
    <t>EXCESS ACCELERATED DEPRECIATION - FED</t>
  </si>
  <si>
    <t>LOSS ON RETIREMENT OF ACRS PROPERTY - FED</t>
  </si>
  <si>
    <t>PROPERTY REMOVAL COSTS - FED</t>
  </si>
  <si>
    <t>PROPERTY REMOVAL COSTS - ST</t>
  </si>
  <si>
    <t>CONTRIBUTIONS IN AID OF CONSTRUCTION - FED</t>
  </si>
  <si>
    <t xml:space="preserve">       TOTAL ACCOUNT 282</t>
  </si>
  <si>
    <t>ACCOUNT 283 - DEFERRED INCOME TAXES - OTHER</t>
  </si>
  <si>
    <t>LEGAL LIABILITY - LEASE ON G.O. BLDG. - FED</t>
  </si>
  <si>
    <t xml:space="preserve">       TOTAL ACCOUNT 283</t>
  </si>
  <si>
    <t xml:space="preserve">       TOTAL ACCUMULATED DEFERRED TAXES</t>
  </si>
  <si>
    <t>WORKPAPER REFERENCE NO(S).</t>
  </si>
  <si>
    <t>WORKPAPER REFERENCE NO(S).: WPB-2.3</t>
  </si>
  <si>
    <t>SHEET 1 OF 10</t>
  </si>
  <si>
    <t>SHEET 2 OF 10</t>
  </si>
  <si>
    <t xml:space="preserve">MAINS </t>
  </si>
  <si>
    <t xml:space="preserve">SERVICES </t>
  </si>
  <si>
    <t>Workpaper Reference No(s).  WPB-4</t>
  </si>
  <si>
    <t>WORKPAPER REFERENCE NO(S). WPB-6</t>
  </si>
  <si>
    <t>(F=D-E)</t>
  </si>
  <si>
    <t>(H=F*G)</t>
  </si>
  <si>
    <t>X:\ERATE\CKY\RATECASE\1994\SCHC\INDEX.WK1</t>
  </si>
  <si>
    <t>SCHEDULE  B</t>
  </si>
  <si>
    <t>JURISDICTIONAL RATE BASE SUMMARY FOR THE BASE AND FORECASTED PERIOD</t>
  </si>
  <si>
    <t>B-1</t>
  </si>
  <si>
    <t>B-2.1</t>
  </si>
  <si>
    <t>B-2.2</t>
  </si>
  <si>
    <t>RATE BASE SUMMARY</t>
  </si>
  <si>
    <t>PLANT IN SERVICE BY MAJOR GROUPING</t>
  </si>
  <si>
    <t>PLANT IN SERVICE BY ACCOUNTS AND SUBACCOUNTS</t>
  </si>
  <si>
    <t>PROPOSED ADJUSTMENTS TO PLANT IN SERVICE</t>
  </si>
  <si>
    <t>B-2.3</t>
  </si>
  <si>
    <t>B-2.5</t>
  </si>
  <si>
    <t>GROSS ADDITIONS, RETIREMENTS AND TRANSFERS</t>
  </si>
  <si>
    <t>B-2.7</t>
  </si>
  <si>
    <t>B-3.1</t>
  </si>
  <si>
    <t>ADJUSTMENTS TO ACCUMULATED DEPRECIATION AND AMORTIZATION</t>
  </si>
  <si>
    <t>B-5</t>
  </si>
  <si>
    <t>CASH WORKING CAPITAL COMPONENTS - 1 / 8 O&amp;M EXPENSES</t>
  </si>
  <si>
    <t>ACCOUNT 101/106 GAS PLANT IN SERVICE - GENERAL</t>
  </si>
  <si>
    <t>ACCOUNT 101/106 GAS PLANT IN SERVICE</t>
  </si>
  <si>
    <t>Organization</t>
  </si>
  <si>
    <t>Miscellaneous Intangible Plant</t>
  </si>
  <si>
    <t>Misc Intangible Plant-Dis Software</t>
  </si>
  <si>
    <t>Misc Intangible Plant-Fara Software</t>
  </si>
  <si>
    <t>Misc Intangible Plant-Other Software</t>
  </si>
  <si>
    <t>Total Intangible Plant</t>
  </si>
  <si>
    <t>Land</t>
  </si>
  <si>
    <t>Total Production Plant - Lpg</t>
  </si>
  <si>
    <t>Distribution Plant</t>
  </si>
  <si>
    <t>Land-City Gate &amp; Main Line Ind. M &amp; R</t>
  </si>
  <si>
    <t>Land-Other Distribution Systems</t>
  </si>
  <si>
    <t>Land Rights-Other Distr Systems</t>
  </si>
  <si>
    <t>Rights Of Way</t>
  </si>
  <si>
    <t>Struc &amp; Improv-City Gate M &amp; R</t>
  </si>
  <si>
    <t>Struc &amp; Improv-General M &amp; R</t>
  </si>
  <si>
    <t xml:space="preserve">Struc &amp; Improv-Regulating </t>
  </si>
  <si>
    <t>Struc &amp; Improv-Distr. Ind. M &amp; R</t>
  </si>
  <si>
    <t>Struc &amp; Improv-Other Distr. Systems</t>
  </si>
  <si>
    <t>Struc &amp; Improv-Other Distr Sys-Ilp</t>
  </si>
  <si>
    <t>Struc &amp; Improv-Communications</t>
  </si>
  <si>
    <t xml:space="preserve">Mains </t>
  </si>
  <si>
    <t>M &amp; R Station Equip-General</t>
  </si>
  <si>
    <t>M &amp; R Sta Equip-General-Regulating</t>
  </si>
  <si>
    <t>M &amp; R Sta Equip-Gen-Local Gas Purch</t>
  </si>
  <si>
    <t>M &amp; R Sta Equip-City Gate Check Sta</t>
  </si>
  <si>
    <t xml:space="preserve">Services </t>
  </si>
  <si>
    <t>Meters</t>
  </si>
  <si>
    <t>Meter Installations</t>
  </si>
  <si>
    <t>House Regulators</t>
  </si>
  <si>
    <t>House Regulator Installations</t>
  </si>
  <si>
    <t>Industrial M &amp; R Station Equipment</t>
  </si>
  <si>
    <t>Other Equip-Odorization</t>
  </si>
  <si>
    <t>Other Equip-Telephone</t>
  </si>
  <si>
    <t>Other Equipment-Radio</t>
  </si>
  <si>
    <t>Other Equip-Other Communication</t>
  </si>
  <si>
    <t>Other Equip-Telemetering</t>
  </si>
  <si>
    <t>Other Equip-Cust Info Service</t>
  </si>
  <si>
    <t>Total Distribution Plant</t>
  </si>
  <si>
    <t>Office Furn &amp; Equip-Unspecified</t>
  </si>
  <si>
    <t xml:space="preserve">Office Furn &amp; Equip-Data Handling </t>
  </si>
  <si>
    <t>Office Furn &amp; Equip-Info Systems</t>
  </si>
  <si>
    <t>Trans Equip-Trailers Over $1,000</t>
  </si>
  <si>
    <t>Trans Equip-Trailers $1,000 Or Less</t>
  </si>
  <si>
    <t>Stores Equipment</t>
  </si>
  <si>
    <t xml:space="preserve">Tools,Shop, &amp; Gar Eq-Garage &amp; Serv </t>
  </si>
  <si>
    <t>Tools,Shop, &amp; Gar Eq-Cng Stationary</t>
  </si>
  <si>
    <t>Tools,Shop, &amp; Gar Eq-Und Tank Cleanup</t>
  </si>
  <si>
    <t>Tools,Shop, &amp; Gar Eq-Shop Equip</t>
  </si>
  <si>
    <t xml:space="preserve">Tools,Shop, &amp; Gar Eq-Tools &amp; Other </t>
  </si>
  <si>
    <t>Laboratory</t>
  </si>
  <si>
    <t>Power Operated Equip-General Tools</t>
  </si>
  <si>
    <t>Miscellaneous Equipment</t>
  </si>
  <si>
    <t>Total General Plant</t>
  </si>
  <si>
    <t>Total Production Plant</t>
  </si>
  <si>
    <t>Line</t>
  </si>
  <si>
    <t>No.</t>
  </si>
  <si>
    <t>Acct.</t>
  </si>
  <si>
    <t>Description</t>
  </si>
  <si>
    <t>Plant</t>
  </si>
  <si>
    <t>Additions</t>
  </si>
  <si>
    <t>Retirements</t>
  </si>
  <si>
    <t>as of</t>
  </si>
  <si>
    <t>Gas Plant in Service</t>
  </si>
  <si>
    <t>Reserve</t>
  </si>
  <si>
    <t>Accrual</t>
  </si>
  <si>
    <t>Rates</t>
  </si>
  <si>
    <t>Cost of</t>
  </si>
  <si>
    <t>Reserve for Depreciation &amp; Amortization</t>
  </si>
  <si>
    <t>Amort.</t>
  </si>
  <si>
    <t>DATA:__X___BASE PERIOD__X___FORECASTED PERIOD</t>
  </si>
  <si>
    <t>Mains:</t>
  </si>
  <si>
    <t>Cast Iron</t>
  </si>
  <si>
    <t>Bare Steel</t>
  </si>
  <si>
    <t>Coated Steel</t>
  </si>
  <si>
    <t>Plastic</t>
  </si>
  <si>
    <t>All Mains Activity</t>
  </si>
  <si>
    <t>Non-Dep.</t>
  </si>
  <si>
    <t xml:space="preserve">DATA: ___ BASE PERIOD __X__ FORECASTED PERIOD     </t>
  </si>
  <si>
    <t>Actual</t>
  </si>
  <si>
    <t>Projected</t>
  </si>
  <si>
    <t>DETAIL OF FORECASTED PLANT, ACCUMULATED RESERVE &amp; DEPRECIATION EXPENSE</t>
  </si>
  <si>
    <t>SHEET 1 OF 44</t>
  </si>
  <si>
    <t>SHEET 2 OF 44</t>
  </si>
  <si>
    <t>DATA:_____BASE PERIOD___X___FORECASTED PERIOD</t>
  </si>
  <si>
    <t>TYPE OF FILING:____X____ORIGINAL________UPDATED</t>
  </si>
  <si>
    <t>SHEET 2 OF 2</t>
  </si>
  <si>
    <t>FORECASTED</t>
  </si>
  <si>
    <t>TEST</t>
  </si>
  <si>
    <t>END OF</t>
  </si>
  <si>
    <t>Meters - AMI</t>
  </si>
  <si>
    <t>END OF PERIOD</t>
  </si>
  <si>
    <t>METERS - AMI</t>
  </si>
  <si>
    <t>DATA:_____BASE PERIOD__X___FORECASTED PERIOD</t>
  </si>
  <si>
    <t xml:space="preserve">DATA: ____ BASE PERIOD __X__ FORECASTED PERIOD     </t>
  </si>
  <si>
    <t>PERIOD TOTAL</t>
  </si>
  <si>
    <t>&lt; --------------------------------- RESERVE BALANCES --------------------------------- &gt;</t>
  </si>
  <si>
    <t>&lt; --------------------------------------------- RESERVE BALANCES ---------------------------------------------- &gt;</t>
  </si>
  <si>
    <t>Columbia Gas of Kentucky, Inc.</t>
  </si>
  <si>
    <t>Account</t>
  </si>
  <si>
    <t>Annual</t>
  </si>
  <si>
    <t>WACOG</t>
  </si>
  <si>
    <t>Month</t>
  </si>
  <si>
    <t>Firm Stor Serv</t>
  </si>
  <si>
    <t>Injection</t>
  </si>
  <si>
    <t>Withdraw</t>
  </si>
  <si>
    <t>Rate/Mcf</t>
  </si>
  <si>
    <t>(Mcf)</t>
  </si>
  <si>
    <t>($/Mcf)</t>
  </si>
  <si>
    <t>YTD adj</t>
  </si>
  <si>
    <t>LIFO adj for Net Gas Withdrawn</t>
  </si>
  <si>
    <t>OTHER WORKING CAPITAL ALLOWANCES (13 MO. AVG)</t>
  </si>
  <si>
    <t>Remaining</t>
  </si>
  <si>
    <t>Gas Plant</t>
  </si>
  <si>
    <t xml:space="preserve">Plant </t>
  </si>
  <si>
    <t>Initial</t>
  </si>
  <si>
    <t>Post Life as of</t>
  </si>
  <si>
    <t>Monthly</t>
  </si>
  <si>
    <t>Life</t>
  </si>
  <si>
    <t>Amortization</t>
  </si>
  <si>
    <t>(4)</t>
  </si>
  <si>
    <t>(5)</t>
  </si>
  <si>
    <t>(6)</t>
  </si>
  <si>
    <t>CIAC: Install Measurement Station</t>
  </si>
  <si>
    <t>CIAC: Install Odorizer</t>
  </si>
  <si>
    <t>CIAC: Install Tap &amp; Inlet</t>
  </si>
  <si>
    <t>GIS Transition Milestone</t>
  </si>
  <si>
    <t>Field Collection System</t>
  </si>
  <si>
    <t>IRTH Ticket Management</t>
  </si>
  <si>
    <t>SCADA System Upgrade</t>
  </si>
  <si>
    <t>Customer Relationship Management</t>
  </si>
  <si>
    <t>NICE Customer Feedback</t>
  </si>
  <si>
    <t>Rugged MDT Replacement</t>
  </si>
  <si>
    <t>Mobile Upgrade Project</t>
  </si>
  <si>
    <t>Call Center VOIP</t>
  </si>
  <si>
    <t>PowerPlant Upgrade</t>
  </si>
  <si>
    <t>Integration Center Callout Automation</t>
  </si>
  <si>
    <t>Enterprise Document Records Mgmt</t>
  </si>
  <si>
    <t>Mobile Web Phase 2</t>
  </si>
  <si>
    <t>Intangible Plant - General</t>
  </si>
  <si>
    <t>Intangible Plant - Misc. Software</t>
  </si>
  <si>
    <t>Subtotal</t>
  </si>
  <si>
    <t>AMORTIZATION OF UTILITY PLANT DETAIL</t>
  </si>
  <si>
    <t>13 Month Average</t>
  </si>
  <si>
    <t>Miscellaneous Deferred Debits</t>
  </si>
  <si>
    <t>Plant Materials &amp; Supplies</t>
  </si>
  <si>
    <t>Account 165</t>
  </si>
  <si>
    <t>Account 154</t>
  </si>
  <si>
    <t>Total Misc. Software</t>
  </si>
  <si>
    <t>Prepayments 1/</t>
  </si>
  <si>
    <t>Mcf</t>
  </si>
  <si>
    <t>TRANSFERS</t>
  </si>
  <si>
    <t>1938 &amp; 1947</t>
  </si>
  <si>
    <t>LIFO INVENTORY  &amp; CAPITALIZED INVENTORY - FED</t>
  </si>
  <si>
    <t>3938 &amp; 3947</t>
  </si>
  <si>
    <t>LIFO INVENTORY  &amp; CAPITALIZED INVENTORY -STATE</t>
  </si>
  <si>
    <t>NET OPERATING LOSS - FED</t>
  </si>
  <si>
    <t>BUILDER INCENTIVES - FED</t>
  </si>
  <si>
    <t>BUILDER INCENTIVES - STATE</t>
  </si>
  <si>
    <t>NON-CONFORMING STATE DEPRECIATION</t>
  </si>
  <si>
    <t>RRA '93 1% OFFSET</t>
  </si>
  <si>
    <t>RRA '93 RATE BASE INCREMENT</t>
  </si>
  <si>
    <t>LOSS ON RETIREMENT OF ACRS PROPERTY - STATE</t>
  </si>
  <si>
    <t>REG. 1.167 NORMALIZATION ADJUSTMENT</t>
  </si>
  <si>
    <t>Linked to Plant data</t>
  </si>
  <si>
    <t>Input tax assumptions</t>
  </si>
  <si>
    <t>ADIT results</t>
  </si>
  <si>
    <t>20 yr</t>
  </si>
  <si>
    <t>3 yr</t>
  </si>
  <si>
    <t>Total</t>
  </si>
  <si>
    <t>Repairs</t>
  </si>
  <si>
    <t>MSC</t>
  </si>
  <si>
    <t>Bonus Basis</t>
  </si>
  <si>
    <t>Bonus Depr</t>
  </si>
  <si>
    <t>Tax Depr Basis</t>
  </si>
  <si>
    <t>Tax Depr</t>
  </si>
  <si>
    <t>Total Federal</t>
  </si>
  <si>
    <t>Deductions</t>
  </si>
  <si>
    <t>State Basis</t>
  </si>
  <si>
    <t>State Depr</t>
  </si>
  <si>
    <t>Pre 2013</t>
  </si>
  <si>
    <t>State Non Conform Depr</t>
  </si>
  <si>
    <t>Total State</t>
  </si>
  <si>
    <t>Fed vs State</t>
  </si>
  <si>
    <t>Book Depreciation</t>
  </si>
  <si>
    <t>Tax vs  Book-Fed Basis</t>
  </si>
  <si>
    <t>ADIT-Fed</t>
  </si>
  <si>
    <t xml:space="preserve">ADIT-State </t>
  </si>
  <si>
    <t>Normalization Adjustment:</t>
  </si>
  <si>
    <t>Calculation of Pro Forma Tax Depreciation</t>
  </si>
  <si>
    <t>Projected Deferred Taxes</t>
  </si>
  <si>
    <t>Increase in Deferred Taxes</t>
  </si>
  <si>
    <t>Per Regulatory</t>
  </si>
  <si>
    <t xml:space="preserve">Per Reg. </t>
  </si>
  <si>
    <t>Difference</t>
  </si>
  <si>
    <t>Adj for</t>
  </si>
  <si>
    <t>Books</t>
  </si>
  <si>
    <t>Sec. 1.167</t>
  </si>
  <si>
    <t>Monthly Spread</t>
  </si>
  <si>
    <t>Balance Deferred Taxes</t>
  </si>
  <si>
    <t>Wtd Avg.</t>
  </si>
  <si>
    <t>Wtd. Avg. vs Reg Sec 1.167</t>
  </si>
  <si>
    <t>13 mo. Average</t>
  </si>
  <si>
    <t>Sub-Acct. 2969</t>
  </si>
  <si>
    <t>Sub-Acct. 1947</t>
  </si>
  <si>
    <t>Sub-Acct. 3947</t>
  </si>
  <si>
    <t>Net Operating</t>
  </si>
  <si>
    <t>Loss</t>
  </si>
  <si>
    <t>Sub-Acct. 4227</t>
  </si>
  <si>
    <t>Sub-Acct. 2953</t>
  </si>
  <si>
    <t>Reg. Sec. 1.167</t>
  </si>
  <si>
    <t xml:space="preserve">Builder </t>
  </si>
  <si>
    <t>Builder</t>
  </si>
  <si>
    <t>Non</t>
  </si>
  <si>
    <t>RRA '93</t>
  </si>
  <si>
    <t>Normalization</t>
  </si>
  <si>
    <t>Incentives</t>
  </si>
  <si>
    <t>Conforming</t>
  </si>
  <si>
    <t>1% Offset</t>
  </si>
  <si>
    <t>Rate Base</t>
  </si>
  <si>
    <t>Adjustment</t>
  </si>
  <si>
    <t>Increment</t>
  </si>
  <si>
    <t>Account 282 - Deferred Income Taxes - Adjustment</t>
  </si>
  <si>
    <t>WITNESS: P. W. FISCHER</t>
  </si>
  <si>
    <t>OVERALL FINANCIAL SUMMARY</t>
  </si>
  <si>
    <t>SCHEDULE  A</t>
  </si>
  <si>
    <t>JURISDICTIONAL OVERALL FINANCIAL SUMMARY FOR THE BASE AND FORECASTED PERIOD</t>
  </si>
  <si>
    <t>BASE PERIOD :</t>
  </si>
  <si>
    <t>FORECASTED PERIOD:</t>
  </si>
  <si>
    <t>A</t>
  </si>
  <si>
    <t>SCHEDULE A</t>
  </si>
  <si>
    <t>DATA:___X___BASE PERIOD___X___FORECASTED PERIOD</t>
  </si>
  <si>
    <t>TYPE OF FILING:___X___ORIGINAL______UPDATED</t>
  </si>
  <si>
    <t>FORECAST PERIOD</t>
  </si>
  <si>
    <t xml:space="preserve">SUPPORTING </t>
  </si>
  <si>
    <t xml:space="preserve">SCHEDULE </t>
  </si>
  <si>
    <t xml:space="preserve">REVENUE </t>
  </si>
  <si>
    <t>REQUIREMENT</t>
  </si>
  <si>
    <t>REVENUE</t>
  </si>
  <si>
    <t>FORECASTED PERIOD</t>
  </si>
  <si>
    <t>RATE BASE</t>
  </si>
  <si>
    <t>ADJUSTED OPERATING INCOME</t>
  </si>
  <si>
    <t>C-1</t>
  </si>
  <si>
    <t>EARNED RATE OF RETURN (2 / 1)</t>
  </si>
  <si>
    <t>REQUIRED RATE OF RETURN</t>
  </si>
  <si>
    <t>J</t>
  </si>
  <si>
    <t>REQUIRED OPERATING INCOME (1 x 4)</t>
  </si>
  <si>
    <t>OPERATING INCOME DEFICIENCY (5 - 2)</t>
  </si>
  <si>
    <t>GROSS REVENUE CONVERSION FACTOR</t>
  </si>
  <si>
    <t>H</t>
  </si>
  <si>
    <t>REVENUE DEFICIENCY (6 x 7)</t>
  </si>
  <si>
    <t>REVENUE INCREASE REQUESTED</t>
  </si>
  <si>
    <t>ADJUSTED OPERATING REVENUES</t>
  </si>
  <si>
    <t>REVENUE REQUIREMENTS (9 + 10)</t>
  </si>
  <si>
    <t>SCHEDULE  C</t>
  </si>
  <si>
    <t>JURISDICTIONAL OPERATING INCOME SUMMARY FOR THE BASE AND FORECASTED PERIOD</t>
  </si>
  <si>
    <t xml:space="preserve">C-1       </t>
  </si>
  <si>
    <t>OPERATING INCOME SUMMARY</t>
  </si>
  <si>
    <t xml:space="preserve">C-2     </t>
  </si>
  <si>
    <t>ADJUSTED OPERATING INCOME STATEMENT</t>
  </si>
  <si>
    <t xml:space="preserve">C-2.1   </t>
  </si>
  <si>
    <t>OPERATING REVENUES AND EXPENSES BY ACCOUNTS - JURISDICTIONAL</t>
  </si>
  <si>
    <t xml:space="preserve">C-2.2    </t>
  </si>
  <si>
    <t>COMPARISON OF TOTAL COMPANY ACCOUNT BALANCES</t>
  </si>
  <si>
    <t>SCHEDULE  D</t>
  </si>
  <si>
    <t>JURISDICTIONAL ADJUSTMENT OF OPERATING INCOME</t>
  </si>
  <si>
    <t>D-1</t>
  </si>
  <si>
    <t>SUMMARY OF ADJUSTMENTS TO OPERATING INCOME</t>
  </si>
  <si>
    <t>D-2.1</t>
  </si>
  <si>
    <t>DETAILED ADJUSTMENTS</t>
  </si>
  <si>
    <t>D-2.2</t>
  </si>
  <si>
    <t>D-2.3</t>
  </si>
  <si>
    <t>D-2.4</t>
  </si>
  <si>
    <t>SCHEDULE C-1</t>
  </si>
  <si>
    <t>SHEET 1 OF 1</t>
  </si>
  <si>
    <t>RETURN AT</t>
  </si>
  <si>
    <t>ADJUSTMENTS AT</t>
  </si>
  <si>
    <t>CURRENT RATES</t>
  </si>
  <si>
    <t>INCREASE</t>
  </si>
  <si>
    <t>PROPOSED RATES</t>
  </si>
  <si>
    <t>OPERATING REVENUES</t>
  </si>
  <si>
    <t>OPERATING EXPENSES</t>
  </si>
  <si>
    <t xml:space="preserve">  GAS SUPPLY EXPENSES</t>
  </si>
  <si>
    <t xml:space="preserve">  OTHER OPERATING EXPENSES</t>
  </si>
  <si>
    <t xml:space="preserve">  DEPRECIATION EXPENSE</t>
  </si>
  <si>
    <t xml:space="preserve">  TAXES OTHER THAN INCOME</t>
  </si>
  <si>
    <t>OPERATING INCOME BEFORE INCOME TAXES</t>
  </si>
  <si>
    <t xml:space="preserve">  FEDERAL INCOME TAXES</t>
  </si>
  <si>
    <t xml:space="preserve">  STATE INCOME TAXES</t>
  </si>
  <si>
    <t>TOTAL INCOME TAXES</t>
  </si>
  <si>
    <t>OPERATING INCOME</t>
  </si>
  <si>
    <t>RATE OF RETURN</t>
  </si>
  <si>
    <t>DATA:__X___BASE PERIOD___X___FORECASTED PERIOD</t>
  </si>
  <si>
    <t>SCHEDULE C-2</t>
  </si>
  <si>
    <t>SCHEDULE D</t>
  </si>
  <si>
    <t xml:space="preserve">FORECASTED </t>
  </si>
  <si>
    <t>REVENUE &amp;</t>
  </si>
  <si>
    <t>2.1 - 2.3</t>
  </si>
  <si>
    <t>MAJOR GROUP CLASSIFICATION</t>
  </si>
  <si>
    <t>EXPENSES</t>
  </si>
  <si>
    <t xml:space="preserve">  1</t>
  </si>
  <si>
    <t>OPERATING REVENUE</t>
  </si>
  <si>
    <t xml:space="preserve">  LIQUEFIED PETROLEUM GAS PRODUCTION EXPENSE</t>
  </si>
  <si>
    <t xml:space="preserve">  DISTR. O&amp;M EXPENSE</t>
  </si>
  <si>
    <t xml:space="preserve">  CUSTOMER ACCTING. &amp; COLL. EXP.</t>
  </si>
  <si>
    <t xml:space="preserve">  CUSTOMER SERV. &amp; INFORM. EXP.</t>
  </si>
  <si>
    <t xml:space="preserve">  SALES EXPENSE</t>
  </si>
  <si>
    <t xml:space="preserve">  ADMIN. &amp; GENERAL EXPENSE</t>
  </si>
  <si>
    <t>TAXES</t>
  </si>
  <si>
    <t xml:space="preserve">  PROPERTY</t>
  </si>
  <si>
    <t xml:space="preserve">  PAYROLL </t>
  </si>
  <si>
    <t xml:space="preserve">  OTHER</t>
  </si>
  <si>
    <t xml:space="preserve">  FEDERAL INCOME</t>
  </si>
  <si>
    <t xml:space="preserve">  STATE INCOME</t>
  </si>
  <si>
    <t>TOTAL OPERATING EXPENSES</t>
  </si>
  <si>
    <t>NET OPERATING INCOME</t>
  </si>
  <si>
    <t xml:space="preserve">OPERATING REVENUE AND EXPENSES BY ACCOUNTS - JURISDICTION </t>
  </si>
  <si>
    <t>SCHEDULE C-2.1A</t>
  </si>
  <si>
    <t>SHEET 1 of  2</t>
  </si>
  <si>
    <t>UNADJUSTED</t>
  </si>
  <si>
    <t>ALLOCATION</t>
  </si>
  <si>
    <t>METHOD/</t>
  </si>
  <si>
    <t>NO. (S)</t>
  </si>
  <si>
    <t>UTILITY</t>
  </si>
  <si>
    <t>PERCENTAGE</t>
  </si>
  <si>
    <t>O P E R A T I N G  R E V E N U E</t>
  </si>
  <si>
    <t xml:space="preserve">  SALES OF GAS</t>
  </si>
  <si>
    <t>480</t>
  </si>
  <si>
    <t xml:space="preserve">    RESIDENTIAL</t>
  </si>
  <si>
    <t>100%</t>
  </si>
  <si>
    <t>481.1</t>
  </si>
  <si>
    <t xml:space="preserve">    COMMERCIAL</t>
  </si>
  <si>
    <t>481.2</t>
  </si>
  <si>
    <t xml:space="preserve">    INDUSTRIAL</t>
  </si>
  <si>
    <t>481.9</t>
  </si>
  <si>
    <t xml:space="preserve">    OTHER</t>
  </si>
  <si>
    <t xml:space="preserve">  TOTAL SALES OF GAS</t>
  </si>
  <si>
    <t xml:space="preserve">  OTHER OPERATING INCOME</t>
  </si>
  <si>
    <t xml:space="preserve">    SALES FOR RESALE</t>
  </si>
  <si>
    <t>487</t>
  </si>
  <si>
    <t xml:space="preserve">    FORFEITED DISCOUNTS</t>
  </si>
  <si>
    <t>488</t>
  </si>
  <si>
    <t xml:space="preserve">    MISC. SERVICE REVENUES</t>
  </si>
  <si>
    <t>489</t>
  </si>
  <si>
    <t xml:space="preserve">    TRANSPORTATION OF GAS OF OTHERS</t>
  </si>
  <si>
    <t>493 - 495</t>
  </si>
  <si>
    <t xml:space="preserve">    OTHER GAS REVENUES (MISC./OFF SYSTEM SALES)</t>
  </si>
  <si>
    <t xml:space="preserve">  TOTAL OTHER OPERATING INCOME</t>
  </si>
  <si>
    <t>T O T A L  O P E R A T I N G  R E V E N U E</t>
  </si>
  <si>
    <t>O P E R A T I N G  E X P E N S E S</t>
  </si>
  <si>
    <t>LIQUEFIED PETROLEUM GAS PRODUCTION EXPENSE</t>
  </si>
  <si>
    <t>717</t>
  </si>
  <si>
    <t>723</t>
  </si>
  <si>
    <t xml:space="preserve">      FUEL FOR LIQUEFIED PETROLEUM GAS PROCESS</t>
  </si>
  <si>
    <t>728</t>
  </si>
  <si>
    <t xml:space="preserve">      LIQUEFIED PETROLEUM GAS </t>
  </si>
  <si>
    <t>741</t>
  </si>
  <si>
    <t xml:space="preserve">      STRUCTURES &amp; IMPROVEMENTS</t>
  </si>
  <si>
    <t>742</t>
  </si>
  <si>
    <t xml:space="preserve">      PRODUCTION EQUIPMENT</t>
  </si>
  <si>
    <t>TOTAL LIQUEFIED PETROLEUM GAS PROD. EXPENSE</t>
  </si>
  <si>
    <t xml:space="preserve">  OPERATION AND MAINTENANCE EXPENSE ACCOUNTS</t>
  </si>
  <si>
    <t xml:space="preserve">    OTHER GAS SUPPLY EXPENSES - OPERATION</t>
  </si>
  <si>
    <t>801-803</t>
  </si>
  <si>
    <t xml:space="preserve">      NATURAL GAS FIELD &amp; TRANSMISSION LINE PURCH</t>
  </si>
  <si>
    <t>804</t>
  </si>
  <si>
    <t xml:space="preserve">      NATURAL GAS CITY GATE PURCHASES</t>
  </si>
  <si>
    <t>805</t>
  </si>
  <si>
    <t xml:space="preserve">      OTHER GAS PURCHASES</t>
  </si>
  <si>
    <t>806</t>
  </si>
  <si>
    <t xml:space="preserve">      EXCHANGE GAS</t>
  </si>
  <si>
    <t>807</t>
  </si>
  <si>
    <t>808</t>
  </si>
  <si>
    <t xml:space="preserve">      GAS WITHDRAWN FROM STORAGE</t>
  </si>
  <si>
    <t>812</t>
  </si>
  <si>
    <t xml:space="preserve">      GAS USED FOR OTHER UTILITY OPERATIONS</t>
  </si>
  <si>
    <t xml:space="preserve">      EXCHANGE FEES</t>
  </si>
  <si>
    <t>TOTAL OTHER GAS SUPPLY EXPENSES - OPERATION</t>
  </si>
  <si>
    <t xml:space="preserve">  DISTRIBUTION EXPENSES - OPERATION</t>
  </si>
  <si>
    <t>870</t>
  </si>
  <si>
    <t xml:space="preserve">    SUPERVISION AND ENGINEERING</t>
  </si>
  <si>
    <t>871</t>
  </si>
  <si>
    <t xml:space="preserve">    DISTRIBUTION LOAD DISPATCHING</t>
  </si>
  <si>
    <t>874</t>
  </si>
  <si>
    <t xml:space="preserve">    MAINS AND SERVICES EXPENSES</t>
  </si>
  <si>
    <t>875</t>
  </si>
  <si>
    <t xml:space="preserve">    MEASURING AND REGULATION STA. EXPENSE - GEN.</t>
  </si>
  <si>
    <t>876</t>
  </si>
  <si>
    <t xml:space="preserve">    MEASURING AND REGULATION STA. EXPENSE - IND.</t>
  </si>
  <si>
    <t>878</t>
  </si>
  <si>
    <t xml:space="preserve">    METERS AND HOUSE REGULATOR EXPENSE</t>
  </si>
  <si>
    <t>879</t>
  </si>
  <si>
    <t xml:space="preserve">    CUSTOMER INSTALLATIONS EXPENSE</t>
  </si>
  <si>
    <t>880</t>
  </si>
  <si>
    <t xml:space="preserve">    OTHER EXPENSE</t>
  </si>
  <si>
    <t>881</t>
  </si>
  <si>
    <t xml:space="preserve">    TELECOMMUNICATION EXPENSE - ENGINEERING</t>
  </si>
  <si>
    <t xml:space="preserve">  TOTAL DISTRIBUTION EXPENSES - OPERATION</t>
  </si>
  <si>
    <t xml:space="preserve">  DISTRIBUTION EXPENSES - MAINTENANCE</t>
  </si>
  <si>
    <t>885</t>
  </si>
  <si>
    <t>886</t>
  </si>
  <si>
    <t xml:space="preserve">    STRUCTURES AND IMPROVEMENTS</t>
  </si>
  <si>
    <t>887</t>
  </si>
  <si>
    <t xml:space="preserve">    MAINS</t>
  </si>
  <si>
    <t>889</t>
  </si>
  <si>
    <t>890</t>
  </si>
  <si>
    <t>892</t>
  </si>
  <si>
    <t xml:space="preserve">    SERVICES</t>
  </si>
  <si>
    <t>893</t>
  </si>
  <si>
    <t xml:space="preserve">    METERS AND HOUSE REGULATORS</t>
  </si>
  <si>
    <t>894</t>
  </si>
  <si>
    <t xml:space="preserve">    OTHER EQUIPMENT</t>
  </si>
  <si>
    <t xml:space="preserve">  TOTAL DISTRIBUTION EXPENSES - MAINTENANCE</t>
  </si>
  <si>
    <t>SHEET 2 of 2</t>
  </si>
  <si>
    <t xml:space="preserve">  CUSTOMER ACCOUNTS EXPENSES - OPERATION</t>
  </si>
  <si>
    <t>901</t>
  </si>
  <si>
    <t xml:space="preserve">    SUPERVISION</t>
  </si>
  <si>
    <t>902</t>
  </si>
  <si>
    <t xml:space="preserve">    METER READING EXPENSES</t>
  </si>
  <si>
    <t>903</t>
  </si>
  <si>
    <t xml:space="preserve">    CUSTOMER RECORDS &amp; COLLECTIONS - UTIL. SERV</t>
  </si>
  <si>
    <t>904</t>
  </si>
  <si>
    <t xml:space="preserve">    UNCOLLECTIBLE ACCOUNTS</t>
  </si>
  <si>
    <t>905</t>
  </si>
  <si>
    <t xml:space="preserve">    MISCELLANEOUS CUSTOMER ACCOUNT EXPENSES</t>
  </si>
  <si>
    <t xml:space="preserve">    OFFICE SUPPLIES AND EXPENSES</t>
  </si>
  <si>
    <t xml:space="preserve">    MAINTENANCE OF GENERAL PLANT</t>
  </si>
  <si>
    <t xml:space="preserve">  TOTAL CUSTOMER ACCOUNTS EXPENSE</t>
  </si>
  <si>
    <t xml:space="preserve">  CUSTOMER SERVICE &amp; INFORMATION - OPERATION</t>
  </si>
  <si>
    <t>907</t>
  </si>
  <si>
    <t>908</t>
  </si>
  <si>
    <t xml:space="preserve">    CUSTOMER ASSISTANCE EXPENSES</t>
  </si>
  <si>
    <t>909</t>
  </si>
  <si>
    <t xml:space="preserve">    INFORMATIONAL AND INSTR. ADVERT. EXPENSES</t>
  </si>
  <si>
    <t>910</t>
  </si>
  <si>
    <t xml:space="preserve">    MISCELLANEOUS CUSTOMER ACCOUNT EXPENSE</t>
  </si>
  <si>
    <t xml:space="preserve">  TOTAL CUST. ACCOUNTS EXPENSES - OPERATION</t>
  </si>
  <si>
    <t xml:space="preserve">  SALES EXPENSES</t>
  </si>
  <si>
    <t>911</t>
  </si>
  <si>
    <t>912</t>
  </si>
  <si>
    <t xml:space="preserve">    DEMONSTRATING AND SELLING EXPENSES</t>
  </si>
  <si>
    <t>913</t>
  </si>
  <si>
    <t xml:space="preserve">    ADVERTISING EXPENSE</t>
  </si>
  <si>
    <t>916</t>
  </si>
  <si>
    <t xml:space="preserve">    MISCELLANEOUS SALES EXPENSE</t>
  </si>
  <si>
    <t xml:space="preserve">  TOTAL SALES EXPENSES</t>
  </si>
  <si>
    <t xml:space="preserve">  ADMINISTRATIVE AND GENERAL EXPENSES - OPERATION</t>
  </si>
  <si>
    <t>920</t>
  </si>
  <si>
    <t xml:space="preserve">    ADMINISTRATIVE AND GENERAL SALARIES</t>
  </si>
  <si>
    <t>921</t>
  </si>
  <si>
    <t>923</t>
  </si>
  <si>
    <t xml:space="preserve">    OUTSIDE SERVICES EMPLOYED</t>
  </si>
  <si>
    <t>924</t>
  </si>
  <si>
    <t xml:space="preserve">    PROPERTY INSURANCE PREMIUMS</t>
  </si>
  <si>
    <t>925</t>
  </si>
  <si>
    <t xml:space="preserve">    INJURIES AND DAMAGES</t>
  </si>
  <si>
    <t>926</t>
  </si>
  <si>
    <t xml:space="preserve">    EMPLOYEE PENSIONS AND BENEFITS</t>
  </si>
  <si>
    <t>927</t>
  </si>
  <si>
    <t xml:space="preserve">    UTILITY AND FUEL</t>
  </si>
  <si>
    <t>928</t>
  </si>
  <si>
    <t xml:space="preserve">    REGULATORY COMMISSION EXPENSE</t>
  </si>
  <si>
    <t>929</t>
  </si>
  <si>
    <t xml:space="preserve">    DUPLICATE CHARGES</t>
  </si>
  <si>
    <t>930</t>
  </si>
  <si>
    <t xml:space="preserve">    GENERAL MISCELLANEOUS GENERAL</t>
  </si>
  <si>
    <t>931</t>
  </si>
  <si>
    <t xml:space="preserve">    RENTS</t>
  </si>
  <si>
    <t xml:space="preserve">  TOTAL ADMIN. AND GENERAL EXP. - OPERATION</t>
  </si>
  <si>
    <t xml:space="preserve">  ADMINISTRATIVE AND GENERAL EXPENSES - MAINTENANCE</t>
  </si>
  <si>
    <t>935</t>
  </si>
  <si>
    <t xml:space="preserve">  TOTAL ADMIN. AND GEN. EXP. - MAINTENANCE</t>
  </si>
  <si>
    <t>TOTAL OPERATION AND MAINT. EXP. ACCOUNTS</t>
  </si>
  <si>
    <t>403-404</t>
  </si>
  <si>
    <t xml:space="preserve">  DEPRECIATION AND AMORTIZATION</t>
  </si>
  <si>
    <t>408</t>
  </si>
  <si>
    <t xml:space="preserve">  TAXES OTHER THAN INCOME TAXES</t>
  </si>
  <si>
    <t>409 - 411</t>
  </si>
  <si>
    <t>T O T A L   O P E R A T I N G   E X P E N S E S</t>
  </si>
  <si>
    <t>N E T   O P E R A T I N G   I N C O M E</t>
  </si>
  <si>
    <t>DATA:______BASE PERIOD___X___FORECASTED PERIOD</t>
  </si>
  <si>
    <t>SCHEDULE C-2.1B</t>
  </si>
  <si>
    <t xml:space="preserve">    REVENUE FROM TRANSPORTATION OF GAS OF OTHERS</t>
  </si>
  <si>
    <t>TOTAL LIQUEFIED PETROLEUM GAS PRODUCTION EXPENSE</t>
  </si>
  <si>
    <t xml:space="preserve">      NATURAL GAS FIELD &amp; TRANSMISSION LINE PURCHASES</t>
  </si>
  <si>
    <t xml:space="preserve">    CUSTOMER RECORDS &amp; COLLECTIONS - UTILITY SERVICES</t>
  </si>
  <si>
    <t xml:space="preserve">  TOTAL CUSTOMER ACCOUNTS EXPENSES - OPERATION</t>
  </si>
  <si>
    <t xml:space="preserve">  TOTAL ADMINISTRATIVE AND GENERAL EXP. - OPERATION</t>
  </si>
  <si>
    <t xml:space="preserve">  TOTAL ADMINISTRATIVE AND GEN. EXP. - MAINTENANCE</t>
  </si>
  <si>
    <t>TOTAL OPERATION AND MAINTENANCE EXPENSE ACCOUNTS</t>
  </si>
  <si>
    <t>COMPARISON OF TOTAL COMPANY ACCOUNT ACTIVITY</t>
  </si>
  <si>
    <t>SCHEDULE C-2.2A</t>
  </si>
  <si>
    <t>SHEET 1 of 2</t>
  </si>
  <si>
    <t>Acct No.</t>
  </si>
  <si>
    <t>Account Description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</si>
  <si>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</si>
  <si>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</si>
  <si>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</si>
  <si>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</si>
  <si>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</si>
  <si>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</si>
  <si>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</si>
  <si>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</si>
  <si>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</si>
  <si>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</si>
  <si>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</si>
  <si>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AMORTIZATION-GAS PLANT ACQUISITION ADJUSTMENTS</t>
  </si>
  <si>
    <t>TAXES OTHER THAN INCOME TAXES - PROPERTY</t>
  </si>
  <si>
    <t>TAXES OTHER THAN INCOME TAXES - PAYROLL</t>
  </si>
  <si>
    <t>TAXES OTHER THAN INCOME TAXES - OTHER</t>
  </si>
  <si>
    <t>RESIDENTIAL REVENUE</t>
  </si>
  <si>
    <t>COMMERCIAL REVENUE</t>
  </si>
  <si>
    <t>INDUSTRIAL REVENUE</t>
  </si>
  <si>
    <t>PUBLIC UTILITIES</t>
  </si>
  <si>
    <t>FORFEITED DISCOUNTS</t>
  </si>
  <si>
    <t>MISCELLANEOUS SERVICE REVENUE</t>
  </si>
  <si>
    <t>TRANSPORTATION REVENUE</t>
  </si>
  <si>
    <t>RENTAL FROM GAS PROPERTY</t>
  </si>
  <si>
    <t>OTHER GAS REVENUE</t>
  </si>
  <si>
    <t>LIQUEFIED PETROLEUM GAS EXPENSES</t>
  </si>
  <si>
    <t>FUEL FOR LIQUEFIED PETROLEUM GAS PROCESS</t>
  </si>
  <si>
    <t xml:space="preserve">LIQUEFIED PETROLEUM GAS </t>
  </si>
  <si>
    <t>STRUCTURES &amp; IMPROVEMENTS</t>
  </si>
  <si>
    <t>PRODUCTION EQUIPMENT</t>
  </si>
  <si>
    <t>801 - 803</t>
  </si>
  <si>
    <t>NATURAL GAS FIELD &amp; TRANSMISSION LINE PURCHASES</t>
  </si>
  <si>
    <t>NATURAL GAS CITY GATE PURCHASES</t>
  </si>
  <si>
    <t>OTHER GAS PURCHASES</t>
  </si>
  <si>
    <t>EXCHANGE GAS</t>
  </si>
  <si>
    <t>PURCHASED GAS EXPENSE - BROKERAGE FEE</t>
  </si>
  <si>
    <t>PURCHASED GAS EXPENSE</t>
  </si>
  <si>
    <t>GAS WITHDRAWN FROM STORAGE</t>
  </si>
  <si>
    <t>TOTAL GAS USED IN OPERATIONS</t>
  </si>
  <si>
    <t>EXCHANGE FEES</t>
  </si>
  <si>
    <t>SUPERVISION AND ENGINEERING</t>
  </si>
  <si>
    <t>DISTRIBUTION LOAD DISPATCHING</t>
  </si>
  <si>
    <t>MAINS AND SERVICES EXPENSES</t>
  </si>
  <si>
    <t>MEASURING AND REGULATION STA. EXPENSE - GEN.</t>
  </si>
  <si>
    <t>MEASURING AND REGULATION STA. EXPENSE - IND.</t>
  </si>
  <si>
    <t>METERS AND HOUSE REGULATOR EXPENSE</t>
  </si>
  <si>
    <t>CUSTOMER INSTALLATIONS EXPENSE</t>
  </si>
  <si>
    <t>OTHER EXPENSE</t>
  </si>
  <si>
    <t>TELECOMMUNICATION EXPENSE - ENGINEERING</t>
  </si>
  <si>
    <t>STRUCTURES AND IMPROVEMENTS</t>
  </si>
  <si>
    <t>METERS AND HOUSE REGULATORS</t>
  </si>
  <si>
    <t>OTHER EQUIPMENT</t>
  </si>
  <si>
    <t>SUPERVISION</t>
  </si>
  <si>
    <t>METER READING EXPENSES</t>
  </si>
  <si>
    <t>CUSTOMER RECORDS &amp; COLLECTIONS - UTILITY SERVICES</t>
  </si>
  <si>
    <t>UNCOLLECTIBLE ACCOUNTS</t>
  </si>
  <si>
    <t>MISCELLANEOUS CUSTOMER ACCOUNT EXPENSES</t>
  </si>
  <si>
    <t>CUSTOMER ASSISTANCE EXPENSES</t>
  </si>
  <si>
    <t>INFORMATIONAL AND INSTR. ADVERT. EXPENSES</t>
  </si>
  <si>
    <t>MISCELLANEOUS CUSTOMER ACCOUNT EXPENSE</t>
  </si>
  <si>
    <t>DEMONSTRATING AND SELLING EXPENSES</t>
  </si>
  <si>
    <t>ADVERTISING EXPENSE</t>
  </si>
  <si>
    <t>OFFICE SUPPLIES ADMINISTRATIVE &amp; GENERAL</t>
  </si>
  <si>
    <t>ADMINISTRATIVE AND GENERAL SALARIES</t>
  </si>
  <si>
    <t>OFFICE SUPPLIES CUSTOMER ACCOUNTS</t>
  </si>
  <si>
    <t>OFFICE SUPPLIES CUSTOMER SERVICE</t>
  </si>
  <si>
    <t>OUTSIDE SERVICES EMPLOYED</t>
  </si>
  <si>
    <t>PROPERTY INSURANCE PREMIUMS</t>
  </si>
  <si>
    <t>INJURIES AND DAMAGES</t>
  </si>
  <si>
    <t>EMPLOYEE PENSIONS AND BENEFITS</t>
  </si>
  <si>
    <t>FRANCHISE REQUIREMENTS</t>
  </si>
  <si>
    <t>REGULATORY COMMISSION EXPENSE</t>
  </si>
  <si>
    <t>DUPLICATE CHARGES</t>
  </si>
  <si>
    <t>MISCELLANEOUS GENERAL</t>
  </si>
  <si>
    <t>RENTS</t>
  </si>
  <si>
    <t>MAINTENANCE OF GENERAL PLANT - ADMINISTRATIVE &amp; GENERAL</t>
  </si>
  <si>
    <t>MAINTENANCE OF GENERAL PLANT - CUSTOMER SERVICE &amp; INFORMATION</t>
  </si>
  <si>
    <t>MAINTENANCE OF GENERAL PLANT - CUSTOMER ACCOUNTS</t>
  </si>
  <si>
    <t>SCHEDULE C-2.2B</t>
  </si>
  <si>
    <t>Forecasted</t>
  </si>
  <si>
    <t>AUG</t>
  </si>
  <si>
    <t>SUMMARY OF UTILITY JURISDICTIONAL ADJUSTMENTS TO</t>
  </si>
  <si>
    <t>OPERATING INCOME BY MAJOR ACCOUNTS</t>
  </si>
  <si>
    <t>Data:___X____Base Period___X____Forecasted Period</t>
  </si>
  <si>
    <t>SCHEDULE D-1</t>
  </si>
  <si>
    <t>Type of Filing:___X_____Original________Updated</t>
  </si>
  <si>
    <t>SHEET  1 OF 6</t>
  </si>
  <si>
    <t>Workpaper Reference No(s).____________________</t>
  </si>
  <si>
    <t xml:space="preserve">ACCOUNT NO. </t>
  </si>
  <si>
    <t>&amp; TITLE</t>
  </si>
  <si>
    <t>ADJ 1</t>
  </si>
  <si>
    <t>ADJ 2</t>
  </si>
  <si>
    <t>ADJ 3</t>
  </si>
  <si>
    <t>ADJUST.</t>
  </si>
  <si>
    <t>SALE OF GAS</t>
  </si>
  <si>
    <t>480 RESIDENTIAL</t>
  </si>
  <si>
    <t>481.1 COMMERCIAL</t>
  </si>
  <si>
    <t>481.2 INDUSTRIAL</t>
  </si>
  <si>
    <t>483 PUBLIC UTILITIES</t>
  </si>
  <si>
    <t xml:space="preserve">  TOTAL SALE OF GAS</t>
  </si>
  <si>
    <t>OTHER OPERATING INCOME</t>
  </si>
  <si>
    <t>487 FORFEITED DISCOUNTS</t>
  </si>
  <si>
    <t>488 MISC. SERVICE REVENUES</t>
  </si>
  <si>
    <t>489 REVENUE FROM TRANSPORTING GAS TO OTHERS</t>
  </si>
  <si>
    <t>493 RENTAL FROM GAS PROPERTY</t>
  </si>
  <si>
    <t>495 OTHER GAS REVENUE</t>
  </si>
  <si>
    <t xml:space="preserve">  TOTAL OPERATING REVENUE</t>
  </si>
  <si>
    <t>OTHER GAS SUPPLY EXPENSES - OPERATION</t>
  </si>
  <si>
    <t>801-803 NATURAL GAS FIELD &amp; TRANS.LINE PURCHASES</t>
  </si>
  <si>
    <t>804 NATURAL GAS CITY GATE PURCHASES</t>
  </si>
  <si>
    <t>805 OTHER GAS PURCHASES</t>
  </si>
  <si>
    <t>806 EXCHANGE GAS</t>
  </si>
  <si>
    <t>807 BROKERAGE FEE</t>
  </si>
  <si>
    <t>808 GAS WITHDRAWN FROM STORAGE</t>
  </si>
  <si>
    <t>812 GAS USED FOR OTHER UTILITY OPERATIONS</t>
  </si>
  <si>
    <t xml:space="preserve">  TOTAL OTHER GAS SUPPLY EXPENSES - OPERATION</t>
  </si>
  <si>
    <t xml:space="preserve">  TOTAL PLANT REVENUE</t>
  </si>
  <si>
    <t>SHEET  2 OF 6</t>
  </si>
  <si>
    <t>Data:__X___Base Period___X___Forecasted Period</t>
  </si>
  <si>
    <t>ACCOUNT 107 CONSTRUCTION WORK IN PROGRESS IN SERVICE</t>
  </si>
  <si>
    <t>SALES REVENUE BY CUSTOMER CLASS</t>
  </si>
  <si>
    <t>NUMBER OF SALES CUSTOMERS BY CLASS</t>
  </si>
  <si>
    <t>AVERAGE SALES REVENUE PER CLASS</t>
  </si>
  <si>
    <t>TOTAL COMPANY REVENUE STATISTICS</t>
  </si>
  <si>
    <t>TRANSPORTATION REVENUE BY CUSTOMER CLASS</t>
  </si>
  <si>
    <t>TOTAL REVENUE</t>
  </si>
  <si>
    <t>TOTAL CUSTOMERS</t>
  </si>
  <si>
    <t>AVERAGE TRANSPORTATION REVENUE PER CLASS</t>
  </si>
  <si>
    <t>[1]</t>
  </si>
  <si>
    <t>Cost Element</t>
  </si>
  <si>
    <t>REGULATORY COMMISSION EXPENSE - THE PURPOSE OF THIS ADJUSTMENT IS TO INCLUDE RATE CASE EXPENSE</t>
  </si>
  <si>
    <t>Columbia Gas of Kentucky, Inc</t>
  </si>
  <si>
    <t>O &amp; M EXPENSES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</si>
  <si>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</si>
  <si>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</si>
  <si>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</si>
  <si>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</si>
  <si>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</si>
  <si>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</si>
  <si>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</si>
  <si>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</si>
  <si>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</si>
  <si>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</si>
  <si>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</si>
  <si>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LIQUEFIED PETROLEUM OPERATIONS</t>
  </si>
  <si>
    <t>LIQUEFIED PETROLEUM GAS EXPENSE</t>
  </si>
  <si>
    <t>LIQUEFIED PETROLEUM GAS</t>
  </si>
  <si>
    <t>LIQUEFIED PETROLEUM MAINTENANCE</t>
  </si>
  <si>
    <t>GAS SUPPLY</t>
  </si>
  <si>
    <t>DISTRIBUTION OPERATIONS</t>
  </si>
  <si>
    <t>SUPERVISION &amp; ENGINEERING</t>
  </si>
  <si>
    <t>LOAD DISPATCHING</t>
  </si>
  <si>
    <t>MAINS &amp; SERVICES</t>
  </si>
  <si>
    <t>M &amp; R - GENERAL</t>
  </si>
  <si>
    <t>M &amp; R - INDUSTRIAL</t>
  </si>
  <si>
    <t>METERS &amp; HOUSE REGULATORS</t>
  </si>
  <si>
    <t xml:space="preserve">CUSTOMER INSTALLATIONS </t>
  </si>
  <si>
    <t>DISTRIBUTION MAINTENANCE</t>
  </si>
  <si>
    <t>CUSTOMER ACCOUNTS</t>
  </si>
  <si>
    <t>METER READING</t>
  </si>
  <si>
    <t>BILLING &amp; ACCOUNTING</t>
  </si>
  <si>
    <t>UNCOLLECTIBLES</t>
  </si>
  <si>
    <t>MISCELLANEOUS</t>
  </si>
  <si>
    <t>INFORMATIONAL &amp; INSTRUCTIONAL EXPENSES</t>
  </si>
  <si>
    <t>OFFICE SUPPLIES &amp; EXPENSES</t>
  </si>
  <si>
    <t>SALES</t>
  </si>
  <si>
    <t>DEMONSTRATION</t>
  </si>
  <si>
    <t xml:space="preserve">ADMINISTRATIVE &amp; GENERAL </t>
  </si>
  <si>
    <t>SALARIES</t>
  </si>
  <si>
    <t>PROPERTY INSURANCE</t>
  </si>
  <si>
    <t>EMPLOYEE PENSIONS &amp; BENEFITS</t>
  </si>
  <si>
    <t>REGULATORY COMMISSION EXPENSES</t>
  </si>
  <si>
    <t>RENTS-GENERAL</t>
  </si>
  <si>
    <t>Forecasted Test Year O&amp;M from Financial Plan</t>
  </si>
  <si>
    <t>Medical</t>
  </si>
  <si>
    <t>Dental</t>
  </si>
  <si>
    <t>Historic Expense by Cost Element by Account</t>
  </si>
  <si>
    <t>QUERY</t>
  </si>
  <si>
    <t>Historic</t>
  </si>
  <si>
    <t>Acct</t>
  </si>
  <si>
    <t>Pct</t>
  </si>
  <si>
    <t>Unadjusted</t>
  </si>
  <si>
    <t>Adjusted</t>
  </si>
  <si>
    <t>Check against FERC Allocation</t>
  </si>
  <si>
    <t>Adjustment per CE</t>
  </si>
  <si>
    <t xml:space="preserve">Total </t>
  </si>
  <si>
    <t>FERC Adjustment</t>
  </si>
  <si>
    <t>CE Adjustment</t>
  </si>
  <si>
    <t>408 - TAXES OTHER THAN INCOME TAXES - PROPERTY</t>
  </si>
  <si>
    <t>408 - TAXES OTHER THAN INCOME TAXES - OTHER</t>
  </si>
  <si>
    <t>408 - TAXES OTHER THAN INCOME TAXES - PAYROLL</t>
  </si>
  <si>
    <t>TOTAL TAXES OTHER THAN INCOME TAXES</t>
  </si>
  <si>
    <t>GPA</t>
  </si>
  <si>
    <t xml:space="preserve">WORKPAPER REFERENCE NO(S).: </t>
  </si>
  <si>
    <t>SHEET 1 OF 45</t>
  </si>
  <si>
    <t>SHEET 2 OF 45</t>
  </si>
  <si>
    <t>SHEET 3 OF 45</t>
  </si>
  <si>
    <t>SHEET 4 OF 45</t>
  </si>
  <si>
    <t>SHEET 5 OF 45</t>
  </si>
  <si>
    <t>SHEET 6 OF 45</t>
  </si>
  <si>
    <t>SHEET 7 OF 45</t>
  </si>
  <si>
    <t>SHEET 8 OF 45</t>
  </si>
  <si>
    <t>SHEET 9 OF 45</t>
  </si>
  <si>
    <t>SHEET 10 OF 45</t>
  </si>
  <si>
    <t>SHEET 11 OF 45</t>
  </si>
  <si>
    <t>SHEET 12 OF 45</t>
  </si>
  <si>
    <t>SHEET 13 OF 45</t>
  </si>
  <si>
    <t>SHEET 14 OF 45</t>
  </si>
  <si>
    <t>SHEET 15 OF 45</t>
  </si>
  <si>
    <t>SHEET 16 OF 45</t>
  </si>
  <si>
    <t>SHEET 17 OF 45</t>
  </si>
  <si>
    <t>SHEET 18 OF 45</t>
  </si>
  <si>
    <t>SHEET 19 OF 45</t>
  </si>
  <si>
    <t>SHEET 20 OF 45</t>
  </si>
  <si>
    <t>SHEET 21 OF 45</t>
  </si>
  <si>
    <t>SHEET 22 OF 45</t>
  </si>
  <si>
    <t>SHEET 23 OF 45</t>
  </si>
  <si>
    <t>SHEET 24 OF 45</t>
  </si>
  <si>
    <t>SHEET 25 OF 45</t>
  </si>
  <si>
    <t>SHEET 26 OF 45</t>
  </si>
  <si>
    <t>SHEET 27 OF 45</t>
  </si>
  <si>
    <t>SHEET 28 OF 45</t>
  </si>
  <si>
    <t>SHEET 29 OF 45</t>
  </si>
  <si>
    <t>SHEET 30 OF 45</t>
  </si>
  <si>
    <t>SHEET 31 OF 45</t>
  </si>
  <si>
    <t>SHEET 32 OF 45</t>
  </si>
  <si>
    <t>SHEET 33 OF 45</t>
  </si>
  <si>
    <t>SHEET 34 OF 45</t>
  </si>
  <si>
    <t>SHEET 35 OF 45</t>
  </si>
  <si>
    <t>SHEET 36 OF 45</t>
  </si>
  <si>
    <t>SHEET 37 OF 45</t>
  </si>
  <si>
    <t>SHEET 38 OF 45</t>
  </si>
  <si>
    <t>SHEET 39 OF 45</t>
  </si>
  <si>
    <t>SHEET 40 OF 45</t>
  </si>
  <si>
    <t>SHEET 41 OF 45</t>
  </si>
  <si>
    <t>SHEET 42 OF 45</t>
  </si>
  <si>
    <t>SHEET 43 OF 45</t>
  </si>
  <si>
    <t>SHEET 44 OF 45</t>
  </si>
  <si>
    <t>SHEET 45 OF 45</t>
  </si>
  <si>
    <t>WORKPAPER REFERENCE NO(S).: WPB-2.2</t>
  </si>
  <si>
    <t>WORKPAPER REFERENCE NO(S).: WPB-2.1, 2.2</t>
  </si>
  <si>
    <t>WPB-2.2</t>
  </si>
  <si>
    <t>WPB-2.2a</t>
  </si>
  <si>
    <t>(7)</t>
  </si>
  <si>
    <t>(8)</t>
  </si>
  <si>
    <t>(9)</t>
  </si>
  <si>
    <t>(10)</t>
  </si>
  <si>
    <t>(11)</t>
  </si>
  <si>
    <t>(12)</t>
  </si>
  <si>
    <t>(13)</t>
  </si>
  <si>
    <t>(14)</t>
  </si>
  <si>
    <t>(15)</t>
  </si>
  <si>
    <t>(16)</t>
  </si>
  <si>
    <t>ACCT. NO.</t>
  </si>
  <si>
    <t>EXPENSES INCURRED</t>
  </si>
  <si>
    <t>WPB-3.1</t>
  </si>
  <si>
    <t>WORKPAPER REFERENCE NO(S).: WPB-3.1</t>
  </si>
  <si>
    <t xml:space="preserve">DATA: __ BASE PERIOD __X__ FORECASTED PERIOD     </t>
  </si>
  <si>
    <t>NOTE: (1) SEE ATTACHMENT PRM-6 PAGE 2 OF 2 FROM PAUL MOUL'S TESTIMONY</t>
  </si>
  <si>
    <t>Weighted Cost of Short-term Debt</t>
  </si>
  <si>
    <t>(D=BxC)</t>
  </si>
  <si>
    <t>DATA:___X___BASE PERIOD______FORECASTED PERIOD</t>
  </si>
  <si>
    <t>WORKPAPER REFERENCE NO(S).: WPB-2.1</t>
  </si>
  <si>
    <t>Calcluation of Gas Storage Balances</t>
  </si>
  <si>
    <t>Per Books (LIFO Method)</t>
  </si>
  <si>
    <t>Account 164</t>
  </si>
  <si>
    <t>WPB-5.3</t>
  </si>
  <si>
    <t>ONLY</t>
  </si>
  <si>
    <t>Kentucky Gas Association</t>
  </si>
  <si>
    <t>Ashland Alliance</t>
  </si>
  <si>
    <t>Kentucky Chamber of Commerce</t>
  </si>
  <si>
    <t>Mt. Sterling Montgomery County Chamber of Commerce</t>
  </si>
  <si>
    <t>Paris Bourbon County Chamber of Commerce</t>
  </si>
  <si>
    <t>Georgetown Scott County Chamber of Commerce</t>
  </si>
  <si>
    <t>Woodford County Chamber of Commerce</t>
  </si>
  <si>
    <t>Commerce Lexington</t>
  </si>
  <si>
    <t>Frankfort Area Chamber of Commerce</t>
  </si>
  <si>
    <t>Winchester Clark County Chamber of Commerce</t>
  </si>
  <si>
    <t>Kentucky Association of Manufacturers</t>
  </si>
  <si>
    <t>Goes to D-1, AdJ 2-4 Column</t>
  </si>
  <si>
    <t>American Gas Association</t>
  </si>
  <si>
    <t>Southern Gas Association</t>
  </si>
  <si>
    <t>Common Ground Alliance</t>
  </si>
  <si>
    <t>CORPORATE DUES AND MEMBERSHIPS</t>
  </si>
  <si>
    <t>COMPARISON OF TOTAL COMPANY ACCOUNT ACTIVITY - ADJUSTED</t>
  </si>
  <si>
    <t>Adj D-2.4</t>
  </si>
  <si>
    <t>Ratemaking</t>
  </si>
  <si>
    <t>OPERATING (INCOME) LOSS</t>
  </si>
  <si>
    <t>NET OPERATING (INCOME) LOSS</t>
  </si>
  <si>
    <t>Data:_______Base Period___X____Forecasted Period</t>
  </si>
  <si>
    <t>At Proposed Rates</t>
  </si>
  <si>
    <t>FORECASTED TEST PERIOD:</t>
  </si>
  <si>
    <t>ASSESSMENT FACTOR.</t>
  </si>
  <si>
    <t>ADJ4</t>
  </si>
  <si>
    <t>REGULATORY COMMISSION EXPENSE - THE PURPOSE OF THIS ADJUSTMENT IS TO REDUCE ANNUAL PSC</t>
  </si>
  <si>
    <t>ASSESSMENT BASED ON FORECASTED TEST PERIOD OPERATING REVENUES AND THE LATEST KNOWN</t>
  </si>
  <si>
    <t>ADJ5</t>
  </si>
  <si>
    <t>ADJ6</t>
  </si>
  <si>
    <t>ADJ7</t>
  </si>
  <si>
    <t>ADJ8</t>
  </si>
  <si>
    <t>TRACKER EXPENSE - THE PURPOSE OF THIS ADJUSTMENT IS TO MATCH TRACKER EXPENSE WITH THE TRACKER</t>
  </si>
  <si>
    <t>REVENUE INCLUDED IN FORECASTED TEST PERIOD OPERATING REVENUES.</t>
  </si>
  <si>
    <t>ADJ9</t>
  </si>
  <si>
    <t>ADJ10</t>
  </si>
  <si>
    <t>UNCOLLECTIBLE ACCOUNTS EXPENSE - THE PURPOSE OF THIS ADJUSTMENT IS TO REDUCE UNCOLLECTIBLE</t>
  </si>
  <si>
    <t>CHARGE-OFF PERCENTAGE.</t>
  </si>
  <si>
    <t>ACCOUNTS EXPENSE BASED ON FORECASTED TEST PERIOD OPERATING REVENUES AND THE CURRENT NET</t>
  </si>
  <si>
    <t>GAS COST REVENUE BY APPLYING THE MOST RECENT EXPERIENCED CHARGE-OFF RATE</t>
  </si>
  <si>
    <t>LARGE VOLUME UNCOLLECTIBLE ACCOUNTS EXPENSE BASED ON A FIVE YEAR AVERAGE OF ACTUAL EXPENSE.</t>
  </si>
  <si>
    <t>LARGE VOLUME UNCOLLECTIBLE ACCOUNTS EXPENSE - THE PURPOSE OF THIS ADJUSTMENT IS TO REDUCE</t>
  </si>
  <si>
    <t>A LEVEL OF EXPENSE IN THE FORECASTED TEST PERIOD BASED ON A FIVE YEAR AVERAGE OF ACTUAL EXPENSE.</t>
  </si>
  <si>
    <t>ASC 712 (FAS 112) POST-EMPLOYMENT BENEFITS EXPENSE - THE PURPOSE OF THIS ADJUSTMENT IS TO INCLUDE</t>
  </si>
  <si>
    <t>ADJ11</t>
  </si>
  <si>
    <t>PROPERTY TAX EXPENSE - THE PURPOSE OF THIS ADJUSTMENT IS TO INCREASE PROPERTY TAX EXPENSE BASED ON</t>
  </si>
  <si>
    <t>NET PLANT ADDITIONS AND GAS STORAGE BALANCE AS INCLUDED IN THIS RATE PROCEEDING.</t>
  </si>
  <si>
    <t>PAYROLL TAX EXPENSE - THE PURPOSE OF THIS ADJUSTMENT IS TO INCREASE PAYROLL TAX EXPENSE BASED ON</t>
  </si>
  <si>
    <t>NET LABOR EXPENSE INCLUDED IN THE FORECASTED TEST PERIOD.</t>
  </si>
  <si>
    <t>AMOUNTS TO BE CLEARED FROM CLEARING ACCOUNTS FOR FLEET USAGE.  THIS INCLUDES COSTS OF MAINTAINING FLEET</t>
  </si>
  <si>
    <t>DONATIONS</t>
  </si>
  <si>
    <t>MISCELLANEOUS REVENUE ADJUSTMENTS - THE PURPOSE OF THIS ADJUSTMENT IS TO REFLECT EACH BUDGET SPONSOR'S</t>
  </si>
  <si>
    <t>ESTIMATE OF AMOUNTS TO BE RECEIVED FOR INSTALLATION WORK ON CUSTOMER PREMISES AND AMOUNTS TO BE</t>
  </si>
  <si>
    <t>ADVERTISING - THE PURPOSE OF THIS ADJUSTMENT IS TO REFLECT EACH BUDGET SPONSOR'S ESTIMATE OF ENERGY</t>
  </si>
  <si>
    <t>CORPORATE INSURANCE - THE PURPOSE OF THIS ADJUSTMENT IS TO REFLECT THE CORPORATE INSURANCE DEPARTMENT'S</t>
  </si>
  <si>
    <t>ESTIMATE OF PREMIUMS FOR PROPERTY, LIABILITY, EXECUTIVE AND DIRECTORS, AND WORKERS' COMPENSATION</t>
  </si>
  <si>
    <t>RELATED TO ANTICIPATED CHARGE OFFS FOR ALL CUSTOMER CLASSES AND ENERGY ASSISTANCE PROGRAM</t>
  </si>
  <si>
    <t>SCHEDULE  G</t>
  </si>
  <si>
    <t>SCHEDULE  E</t>
  </si>
  <si>
    <t>JURISDICTIONAL FEDERAL AND STATE INCOME TAX SUMMARY</t>
  </si>
  <si>
    <t>E-1</t>
  </si>
  <si>
    <t>American Diabetes Association</t>
  </si>
  <si>
    <t>American Red Cross</t>
  </si>
  <si>
    <t>Bluegrass Conservancy</t>
  </si>
  <si>
    <t>Bluegrass Lodge No. 4</t>
  </si>
  <si>
    <t>Bluegrass Tomorrow</t>
  </si>
  <si>
    <t>Salvation Army</t>
  </si>
  <si>
    <t>University of Kentucky</t>
  </si>
  <si>
    <t>Urban League of Lexington-Fayette County</t>
  </si>
  <si>
    <t>Winter Care Energy Fund</t>
  </si>
  <si>
    <t>Budget (not separately identified by organization)</t>
  </si>
  <si>
    <t>FERC</t>
  </si>
  <si>
    <t>Various</t>
  </si>
  <si>
    <t>NUMBER OF TRANSPORTATION CUSTOMERS BY CLASSE</t>
  </si>
  <si>
    <t>MOST RECENT FIVE CALENDAR YEARS [1]</t>
  </si>
  <si>
    <t>ADJ12</t>
  </si>
  <si>
    <t>ADJ13</t>
  </si>
  <si>
    <t>NON-RECOVERABLE MANAGEMENT FEE - THE PURPOSE OF THIS ADJUSTMENT IS TO RECOGNIZE THAT, IN PREVIOUS RATE</t>
  </si>
  <si>
    <t>PROCEEDINGS, THE COMMISSION HAS DECLINED TO PERMIT RECOVERY OF CERTAIN EXPENSES BILLED TO THE COMPANY</t>
  </si>
  <si>
    <t>IN THE MANAGEMENT FEE INCLUDING BUSINESS PROMOTION, LOBBYING, CHARITABLE CONTRIBUTIONS, DEFERRED</t>
  </si>
  <si>
    <t>COMPENSATION, AND OTHER ACTIVITIES.</t>
  </si>
  <si>
    <r>
      <t>Workpaper Reference No(s)._</t>
    </r>
    <r>
      <rPr>
        <u/>
        <sz val="9"/>
        <rFont val="Arial"/>
        <family val="2"/>
      </rPr>
      <t>WPD-2.4</t>
    </r>
    <r>
      <rPr>
        <sz val="9"/>
        <rFont val="Arial"/>
        <family val="2"/>
      </rPr>
      <t>___</t>
    </r>
  </si>
  <si>
    <t>NON-RECOVERABLE LOBBYING EXPENSE - THE PURPOSE OF THIS ADJUSTMENT IS TO RECOGNIZE THAT, IN PREVIOUS RATE</t>
  </si>
  <si>
    <t>Federal Net Operating Loss Carryforward</t>
  </si>
  <si>
    <t>WORKPAPER REFERENCE NO(S). WPB-5.1, WPB-5.3</t>
  </si>
  <si>
    <t>WORKPAPER REFERENCE NO(S). SCH.C-2, C-2.2a</t>
  </si>
  <si>
    <t>WORKPAPER REFERENCE NO(S). SCH.C-2, C-2.2b</t>
  </si>
  <si>
    <t>SCHEDULE G-1</t>
  </si>
  <si>
    <t>SCHEDULE G-2</t>
  </si>
  <si>
    <t>SCHEDULE G-3</t>
  </si>
  <si>
    <t>January</t>
  </si>
  <si>
    <t>WORKPAPER: WPG-2</t>
  </si>
  <si>
    <t>FOR THE BASE PERIOD AND FORECASTED TEST PERIOD</t>
  </si>
  <si>
    <t>PENSION</t>
  </si>
  <si>
    <t>DON'T KNOW WHAT THIS IS - DO NOT FILE - MK</t>
  </si>
  <si>
    <t>PREVIOUS RATE PROCEEDINGS, THE COMMISSION HAS DECLINED TO PERMIT RECOVERY OF CERTAIN MISCELLANEOUS</t>
  </si>
  <si>
    <t>RATE BASE (5 THROUGH 9)</t>
  </si>
  <si>
    <t>COST OF CAPITAL</t>
  </si>
  <si>
    <t>J-1.1/J-1.2</t>
  </si>
  <si>
    <t>AVG. FORECASTED PERIOD CAPITAL STRUCTURE</t>
  </si>
  <si>
    <t>SCHEDULE J-1.1 / J-1.2</t>
  </si>
  <si>
    <t>(J-1.1/J-1.2)</t>
  </si>
  <si>
    <t>BENEFITS EXPENSED</t>
  </si>
  <si>
    <t>PAYROLL TAXES EXPENSED</t>
  </si>
  <si>
    <t>O&amp;M DOLLARS</t>
  </si>
  <si>
    <t>PAGE 3 OF 4</t>
  </si>
  <si>
    <t>PAGE 4 OF 4</t>
  </si>
  <si>
    <t>PAGE 1 OF 4</t>
  </si>
  <si>
    <t>PAGE 2 OF 4</t>
  </si>
  <si>
    <t>TOTAL WORKHOURS</t>
  </si>
  <si>
    <t>W O R K H O U R S</t>
  </si>
  <si>
    <t>Note:  Employee hours are not available for budgeted months</t>
  </si>
  <si>
    <t xml:space="preserve">    Depreciation Study</t>
  </si>
  <si>
    <t xml:space="preserve">    Cost of Capital Study</t>
  </si>
  <si>
    <t>EMPLOYEE AND MISCELLANEOUS EXPENSES</t>
  </si>
  <si>
    <t xml:space="preserve">    (travel, lodging, meals, printing, advertising, etc.)</t>
  </si>
  <si>
    <t xml:space="preserve">    Class Cost of Service/Rate Design Study</t>
  </si>
  <si>
    <t>Commonwealth Fund for KET, Inc.</t>
  </si>
  <si>
    <t>African American Forum Inc.</t>
  </si>
  <si>
    <t>Alpha Beta Lambda Chapter/Ed Foundation</t>
  </si>
  <si>
    <t>PUBLIC AWARENESS/PIPELINE SAFETY</t>
  </si>
  <si>
    <t>TYPE</t>
  </si>
  <si>
    <t>COMMUNITY SUPPORT AND OTHER</t>
  </si>
  <si>
    <t>AUDITING SERVICES</t>
  </si>
  <si>
    <t>CONSULTING SERVICES</t>
  </si>
  <si>
    <t>EMPLOYEE RECOGNITION AND AWARDS</t>
  </si>
  <si>
    <t>INSURANCE.  THE ADJUSTMENT REFLECTS A PROJECTED INCREASE IN EXCESS LIABILITY PREMIUMS DUE TO MARKET</t>
  </si>
  <si>
    <t>CONDITIONS AND PROPERTY PREMIUMS DUE TO RISING PROPERTY VALUES AND HIGHER GLOBAL INSURANCE MARKET</t>
  </si>
  <si>
    <t>PARTICIPANTS. THIS CATEGORY IS FURTHER ADJUSTED ON SCHEDULE D-2.4.</t>
  </si>
  <si>
    <t>PROCEEDINGS, THE COMMISSION HAS DECLINED TO PERMIT RECOVERY OF LOBBYING RELATED EXPENSES INCLUDING</t>
  </si>
  <si>
    <t>LABOR AND EMPLOYEE EXPENSES.</t>
  </si>
  <si>
    <t>EXPENSES. INCLUDED IN THIS ADJUSTMENT ARE EMPLOYEE EXPENSES, MATERIALS AND SUPPLIES, CORPORATE DUES</t>
  </si>
  <si>
    <t>NON-RECOVERABLE NON-LABOR EXPENSE - THE PURPOSE OF THIS ADJUSTMENT IS TO RECOGNIZE THAT, IN</t>
  </si>
  <si>
    <t>AND MEMBERSHIPS AND ADVERTISING EXPENSES.</t>
  </si>
  <si>
    <t>OF AUTOS, TRUCK, AND GENERAL TOOLS AND HOURS OF USAGE. THE ADJUSTMENT REFLECTS INCREASED FUEL AND</t>
  </si>
  <si>
    <t>LEASE COSTS.</t>
  </si>
  <si>
    <t>EMPLOYEE BENEFITS - THE PURPOSE OF THIS ADJUSTMENT IS TO REFLECT THE APPROPRIATE LEVEL OF PENSION, INSURED</t>
  </si>
  <si>
    <t>PLANS (MEDICAL, DENTAL, GROUP LIFE, LONG-TERM DISABILITY, EMPLOYEE ASSISTANCE PLAN, POST-EMPLOYEMENT) AND</t>
  </si>
  <si>
    <t>THRIFT PLAN AND RELATED BENEFITS TRANSFERS ASSOCIATED WITH CAPITALIZED BENEFITS COSTS AND BILLINGS TO AND</t>
  </si>
  <si>
    <t>OF MEMBERSHIPS TO INDUSTRY AND CIVIC ORGANIZATIONS IN THE COMPANY NAME. ORGANIZATIONS INCLUDE THE</t>
  </si>
  <si>
    <t>AMERICAN GAS ASSOCIATION, KENTUCKY GAS ASSOCIATION, SOUTHERN GAS ASSOCIATION, COMMON GROUND</t>
  </si>
  <si>
    <t>NET LABOR - THE PURPOSE OF THIS ADJUSTMENT IS TO REFLECT EACH BUDGET SPONSOR'S ESTIMATE OF EMPLOYEE</t>
  </si>
  <si>
    <t xml:space="preserve">HEADCOUNT, PAYROLL, CHARGES TO BALANCE SHEET, AND CHARGES TO AND FROM AFFILIATES TO ARRIVE AT NET </t>
  </si>
  <si>
    <t>RENTS AND LEASES - THE PURPOSE OF THIS ADJUSTMENT IS TO REFLECT EACH BUDGET SPONSOR'S ESTIMATE OF RENTS</t>
  </si>
  <si>
    <t>AND LEASES RELATED TO BUILDINGS, COMMUNICATIONS EQUIPMENT, OFFICE EQUIPMENT AND FURNITURE, DEDICATED</t>
  </si>
  <si>
    <t>MANAGEMENT FEE - THE PURPOSE OF THIS ADJUSTMENT IS TO REFLECT THE NISOURCE CORPORATE SERVICES COMPANY</t>
  </si>
  <si>
    <t>ESTIMATE OF SERVICES RENDERED TO COLUMBIA GAS OF KENTUCKY, INC. SERVICES INCLUDE FINANCE, INFORMATION</t>
  </si>
  <si>
    <t>TECHNOLOGY, HUMAN RESOURCES, LEGAL AND OTHER CORPORATE FUNCTIONS AND GAS DISTRIBUTION RELATED</t>
  </si>
  <si>
    <t>FUNCTIONS INCLUDING COMMERCIAL OPERATIONS, COMMUNICATIONS, CUSTOMER OPERATIONS, DISTRIBUTION OPERATIONS,</t>
  </si>
  <si>
    <t>FEES PAID TO AUDITORS, FINANCIAL INSTITUTIONS, COLLECTION AGENCIES, BENEFITS ADMINISTRATORS, CONSULTANTS,</t>
  </si>
  <si>
    <t>OUTSIDE CONTRACTORS, TEMPORARY EMPLOYMENT SERVICES, OUTSIDE COUNSEL, CONSERVATION CONSULTANTS, AND</t>
  </si>
  <si>
    <t>Workpaper Reference No(s).__________</t>
  </si>
  <si>
    <t>AT CURRENT RATES DUE TO THE CHANGE IN BILLING DETERMINANTS FROM THE BASE PERIOD TO THE FORECASTED PERIOD</t>
  </si>
  <si>
    <t>FORFEITED DISCOUNTS - THE PURPOSE OF THIS ADJUSTMENT IS TO REFLECT CHANGE FROM THE BASE PERIOD LEVEL TO THE FORECASTED</t>
  </si>
  <si>
    <t>MISC. SERVICE REVENUE - THE PURPOSE OF THIS ADJUSTMENT IS TO REFLECT CHANGE FROM THE BASE PERIOD LEVEL TO THE FORECASTED</t>
  </si>
  <si>
    <t>REVENUE FROM GAS TRANSPORTATION - THE PURPOSE OF THIS ADJUSTMENT IS TO REFLECT THE CHANGE IN REVENUE</t>
  </si>
  <si>
    <t>B-7</t>
  </si>
  <si>
    <t xml:space="preserve">JURISDICTIONAL PERCENTAGE </t>
  </si>
  <si>
    <t>SCHEDULE B-7</t>
  </si>
  <si>
    <t>DESCRIPTION OF FACTORS</t>
  </si>
  <si>
    <t>AND/OR METHOD OF ALLOCATION</t>
  </si>
  <si>
    <t>ALL DATA 100.00% JURISDICTIONAL.</t>
  </si>
  <si>
    <t>DATA:__X__BASE PERIOD___X___FORECASTED PERIOD</t>
  </si>
  <si>
    <t>JURISDICTIONAL PERCENTAGE</t>
  </si>
  <si>
    <t>MISCELLANEOUS AND OTHER EXPENSES - THE PURPOSE OF THIS ADJUSTMENT IS TO REFLECT EACH BUDGET SPONSOR'S</t>
  </si>
  <si>
    <t>WPD-2.4A</t>
  </si>
  <si>
    <t>WPD-2.4B</t>
  </si>
  <si>
    <t>WPD-2.4C</t>
  </si>
  <si>
    <t>WPD-2.4E</t>
  </si>
  <si>
    <t>WPD-2.4D</t>
  </si>
  <si>
    <t>WPD-2.4F</t>
  </si>
  <si>
    <t>WPD-2.4G</t>
  </si>
  <si>
    <t>WPD-2.4H</t>
  </si>
  <si>
    <t>WPD-2.4I</t>
  </si>
  <si>
    <t xml:space="preserve">  DIVIDEND PAYOUT RATIO (DECLARED</t>
  </si>
  <si>
    <t>EMPLOYEE LEVELS (FULL TIME)</t>
  </si>
  <si>
    <t>Base</t>
  </si>
  <si>
    <t>PERIODS DUE TO THE RESOURCE REQUIREMENTS OF PIPELINE SAFETY RELATED TO THE DISTRIBUTION INTEGRITY</t>
  </si>
  <si>
    <t>MANAGEMENT PROGRAM AND FIELD OPERATIONS AND A WAGE GUIDELINE INCREASE OF 3%. THE ADJUSTMENT ALSO</t>
  </si>
  <si>
    <t>THIS CATEGORY IS FURTHER ADJUSTED ON SCHEDULE D-2.4.</t>
  </si>
  <si>
    <t>ADJUSTMENT REFLECTS INCREASED PUBLIC AWARENESS RELATED TO THE DISTRIBUTION INTEGRITY MANAGEMENT</t>
  </si>
  <si>
    <t>EFFICIENCY AND CONSERVATION, PUBLIC AWARENESS, COMMUNITY SUPPORT AND OTHER ADVERTISING. THE</t>
  </si>
  <si>
    <t>Note:  All amounts are 100% jurisdictional.</t>
  </si>
  <si>
    <t>F-2</t>
  </si>
  <si>
    <t>F-8</t>
  </si>
  <si>
    <t>F-9</t>
  </si>
  <si>
    <t>SCHEDULE F-2</t>
  </si>
  <si>
    <t>SCHEDULE F-9</t>
  </si>
  <si>
    <t>Note:  These items are not included in O&amp;M expense and, therefore, are not part of the Revenue Requirement.</t>
  </si>
  <si>
    <t>Chief Executive Officer</t>
  </si>
  <si>
    <t>Chief Operating Officer</t>
  </si>
  <si>
    <t>Chief Regulatory Officer</t>
  </si>
  <si>
    <t>COLUMBIA GAS OF KENTUCKY, INC. HAS NO PREFERRED STOCK OUTSTANDING AT THIS TIME.</t>
  </si>
  <si>
    <t>BASE PERIOD TWELVE MONTHS ENDED AUGUST 31, 2016</t>
  </si>
  <si>
    <t>FORECASTED PERIOD TWELVE MONTHS ENDED DECEMBER 31, 2017</t>
  </si>
  <si>
    <t>FOR THE TWELVE MONTHS ENDED AUGUST 31, 2016</t>
  </si>
  <si>
    <t>FOR THE TWELVE MONTHS ENDED DECEMBER 31, 2017</t>
  </si>
  <si>
    <t>BASE PERIOD: TWELVE MONTHS ENDED AUGUST 31, 2016</t>
  </si>
  <si>
    <t>FORECASTED PERIOD: TWELVE MONTHS ENDED DECEMBER 31, 2017</t>
  </si>
  <si>
    <t>9006</t>
  </si>
  <si>
    <t>9009</t>
  </si>
  <si>
    <t>Group Life - Active</t>
  </si>
  <si>
    <t>9008</t>
  </si>
  <si>
    <t>9010</t>
  </si>
  <si>
    <t>9011</t>
  </si>
  <si>
    <t>9014</t>
  </si>
  <si>
    <t>9016</t>
  </si>
  <si>
    <t>9017</t>
  </si>
  <si>
    <t>9025</t>
  </si>
  <si>
    <t>9035</t>
  </si>
  <si>
    <t>9064</t>
  </si>
  <si>
    <t>9065</t>
  </si>
  <si>
    <t>9013</t>
  </si>
  <si>
    <t>9005</t>
  </si>
  <si>
    <t>7001</t>
  </si>
  <si>
    <t>7033</t>
  </si>
  <si>
    <t>2017</t>
  </si>
  <si>
    <t>3000</t>
  </si>
  <si>
    <t>3001</t>
  </si>
  <si>
    <t>3002</t>
  </si>
  <si>
    <t>3003</t>
  </si>
  <si>
    <t>3015</t>
  </si>
  <si>
    <t>3100</t>
  </si>
  <si>
    <t>3250</t>
  </si>
  <si>
    <t>3251</t>
  </si>
  <si>
    <t>3252</t>
  </si>
  <si>
    <t>4016</t>
  </si>
  <si>
    <t>4018</t>
  </si>
  <si>
    <t>8013</t>
  </si>
  <si>
    <t>6016</t>
  </si>
  <si>
    <t>9220</t>
  </si>
  <si>
    <t>9235</t>
  </si>
  <si>
    <t>3501</t>
  </si>
  <si>
    <t>3300</t>
  </si>
  <si>
    <t>3654</t>
  </si>
  <si>
    <t>3621</t>
  </si>
  <si>
    <t>3638</t>
  </si>
  <si>
    <t>4017</t>
  </si>
  <si>
    <t>AS OF AUGUST 31, 2016</t>
  </si>
  <si>
    <t>AS OF DECEMBER 31, 2017</t>
  </si>
  <si>
    <t>FORECASTED TEST PERIOD 12/31/2016 to 12/31/2017</t>
  </si>
  <si>
    <t>SEPTEMBER 2015 TO AUGUST 2016</t>
  </si>
  <si>
    <t>JANUARY 2017 TO DECEMBER 2017</t>
  </si>
  <si>
    <t>BASE PERIOD 09/30/2015 TO 08/31/2016</t>
  </si>
  <si>
    <t>13 MONTH AVG - FORECAST PERIOD 12/31/2016 TO 12/31/2017</t>
  </si>
  <si>
    <t>FORECAST PERIOD 12/31/2016 TO 12/31/2017</t>
  </si>
  <si>
    <t>FOR THE 12 MONTHS ENDED AUGUST 31, 2016</t>
  </si>
  <si>
    <t>FOR THE FORCASTED PERIOD DECEMBER 31, 2017</t>
  </si>
  <si>
    <t>FOR THE BASE PERIOD AUGUST 31, 2016</t>
  </si>
  <si>
    <t>FOR THE BASE PERIOD 12 MONTHS ENDED AUGUST 31, 2016 AND THE FORECAST PERIOD 12 MONTHS ENDED DECEMBER 31, 2017</t>
  </si>
  <si>
    <t>FORECAST PERIOD: TWELVE MONTHS ENDED DECEMBER 31, 2017</t>
  </si>
  <si>
    <t>For the 12 Months Ending August 31, 2016</t>
  </si>
  <si>
    <t>For the 12 Months Ending December 31, 2017</t>
  </si>
  <si>
    <t>For Twelve Months Ending December 31, 2017</t>
  </si>
  <si>
    <t>For the 12 Months Ended August 31, 2016 and the 12 Months Ending December 31, 2017</t>
  </si>
  <si>
    <t>FOR THE TWELVE MONTHS ENDED AUGUST 31, 2016 AND THE TWELVE MONTHS ENDED DECEMBER 31, 2017</t>
  </si>
  <si>
    <t>FOR THE BASE PERIOD TME AUGUST 31, 2016 AND FORECAST PERIOD TME DECEMBER 31, 2017</t>
  </si>
  <si>
    <t>TME 12/31/17</t>
  </si>
  <si>
    <t>TME 8/31/16</t>
  </si>
  <si>
    <t>FORECASTED PERIOD DECEMBER 31, 2017</t>
  </si>
  <si>
    <t>FORECASTED PERIOD THIRTEEN MONTH AVERAGE DECEMBER 31, 2017</t>
  </si>
  <si>
    <t>AUG 16</t>
  </si>
  <si>
    <t>JAN 17</t>
  </si>
  <si>
    <t>DEC 17</t>
  </si>
  <si>
    <t>3357</t>
  </si>
  <si>
    <t>Net Labor</t>
  </si>
  <si>
    <t>Profit Sharing</t>
  </si>
  <si>
    <t>Pension</t>
  </si>
  <si>
    <t>Long Term Disability</t>
  </si>
  <si>
    <t>OPEB - Medical</t>
  </si>
  <si>
    <t>Other Benefits</t>
  </si>
  <si>
    <t>Post Empl Benefits (FAS112)</t>
  </si>
  <si>
    <t>Post Empl Ret Benefit (FAS106)</t>
  </si>
  <si>
    <t>OPEB - Life</t>
  </si>
  <si>
    <t>Thrift Plan - Employee / 401K</t>
  </si>
  <si>
    <t>Trans-Employee Med Health Ins</t>
  </si>
  <si>
    <t>Trans-Pension (Qualified)</t>
  </si>
  <si>
    <t>Trans-401K Plan</t>
  </si>
  <si>
    <t>Corporate Services - Bill</t>
  </si>
  <si>
    <t>Mgmt Fee Transfers</t>
  </si>
  <si>
    <t>Materials &amp; Supplies</t>
  </si>
  <si>
    <t>Consulting Services</t>
  </si>
  <si>
    <t>Legal Services</t>
  </si>
  <si>
    <t>Auditing Services</t>
  </si>
  <si>
    <t>Other Outside Services</t>
  </si>
  <si>
    <t>Employee Expenses</t>
  </si>
  <si>
    <t>Uncollectible Accts Low Income</t>
  </si>
  <si>
    <t>Uncollectible Accts High Press</t>
  </si>
  <si>
    <t>3351</t>
  </si>
  <si>
    <t>3353</t>
  </si>
  <si>
    <t>Amortization Charges</t>
  </si>
  <si>
    <t>Meter Shop Costs Cleared</t>
  </si>
  <si>
    <t>General Tool Costs Clrd</t>
  </si>
  <si>
    <t>Vehicle Costs Cleared</t>
  </si>
  <si>
    <t>3360</t>
  </si>
  <si>
    <t>Storeroom Costs Cleared</t>
  </si>
  <si>
    <t>Co Dues/Mbrshps-Industry Assns</t>
  </si>
  <si>
    <t>Miscellaneous Revenue Billings</t>
  </si>
  <si>
    <t>Deferrals</t>
  </si>
  <si>
    <t>Insurance</t>
  </si>
  <si>
    <t>Losses/Claims Expense</t>
  </si>
  <si>
    <t>Insurance Affiliated</t>
  </si>
  <si>
    <t>Uncollectible Tracker</t>
  </si>
  <si>
    <t>Misc Revenue Trackers</t>
  </si>
  <si>
    <t>Utilities</t>
  </si>
  <si>
    <t>Leases - Building/Land</t>
  </si>
  <si>
    <t>Leases - Other</t>
  </si>
  <si>
    <t>9192</t>
  </si>
  <si>
    <t>9201</t>
  </si>
  <si>
    <t>Deferred Comp</t>
  </si>
  <si>
    <t>Well Lease &amp; Rental Royalties</t>
  </si>
  <si>
    <t>PENSIONS &amp; BENEFITS</t>
  </si>
  <si>
    <t>SYS SVCES</t>
  </si>
  <si>
    <t>CE Desc</t>
  </si>
  <si>
    <t>932</t>
  </si>
  <si>
    <t>MAINTENANCE - GENERAL PLANT</t>
  </si>
  <si>
    <t>Maintenance General Plant</t>
  </si>
  <si>
    <t>MAINTENANCE OF GENERAL PLANT</t>
  </si>
  <si>
    <t>Budget</t>
  </si>
  <si>
    <t>For Twelve Months Ending August 31, 2016</t>
  </si>
  <si>
    <t>6 Months Actual, 6 Months Forecasted</t>
  </si>
  <si>
    <t>Office Supplies - Customer Accounts</t>
  </si>
  <si>
    <t>Office Supplies - Customer Service</t>
  </si>
  <si>
    <t>Office Supplies - A&amp;G</t>
  </si>
  <si>
    <t>Office Supplies  - Customer Accounts</t>
  </si>
  <si>
    <t>Office Supplies  - Customer Service</t>
  </si>
  <si>
    <t>Office Supplies  - A&amp;G</t>
  </si>
  <si>
    <t>From Base TY Budget Acct 921</t>
  </si>
  <si>
    <t>From Forecast TY Budget Acct 921</t>
  </si>
  <si>
    <t>403 - 405,425</t>
  </si>
  <si>
    <t>867</t>
  </si>
  <si>
    <t>For TME 12/31/2015</t>
  </si>
  <si>
    <t>Difference is actual months</t>
  </si>
  <si>
    <t>Acct 921 TME Dec 31, 2015</t>
  </si>
  <si>
    <t>Acct 935 TME Dec 31, 2015</t>
  </si>
  <si>
    <t xml:space="preserve">January </t>
  </si>
  <si>
    <t>TME 08/16</t>
  </si>
  <si>
    <t>Trans- OPEB Medical</t>
  </si>
  <si>
    <t>Trans- OPEB Life</t>
  </si>
  <si>
    <t>9062</t>
  </si>
  <si>
    <t>9063</t>
  </si>
  <si>
    <t>Benefit Administration</t>
  </si>
  <si>
    <t>3024</t>
  </si>
  <si>
    <t>09/30/2015</t>
  </si>
  <si>
    <t>10/31/2015</t>
  </si>
  <si>
    <t>11/30/2015</t>
  </si>
  <si>
    <t>12/31/2015</t>
  </si>
  <si>
    <t>01/31/2016</t>
  </si>
  <si>
    <t>02/29/2016</t>
  </si>
  <si>
    <t>03/31/2016</t>
  </si>
  <si>
    <t>04/30/2016</t>
  </si>
  <si>
    <t>05/31/2016</t>
  </si>
  <si>
    <t>06/30/2016</t>
  </si>
  <si>
    <t>07/31/2016</t>
  </si>
  <si>
    <t>08/31/2016</t>
  </si>
  <si>
    <t>FROM FEBRUARY 29, 2016 THROUGH DECEMBER 31, 2017</t>
  </si>
  <si>
    <t>12/31/2016</t>
  </si>
  <si>
    <t>01/31/2017</t>
  </si>
  <si>
    <t>02/28/2017</t>
  </si>
  <si>
    <t>03/31/2017</t>
  </si>
  <si>
    <t>04/30/2017</t>
  </si>
  <si>
    <t>05/31/2017</t>
  </si>
  <si>
    <t>06/30/2017</t>
  </si>
  <si>
    <t>07/31/2017</t>
  </si>
  <si>
    <t>08/31/2017</t>
  </si>
  <si>
    <t>09/30/2017</t>
  </si>
  <si>
    <t>10/31/2017</t>
  </si>
  <si>
    <t>11/30/2017</t>
  </si>
  <si>
    <t>12/31/2017</t>
  </si>
  <si>
    <t>OTHER STRUCTURES-LEASED</t>
  </si>
  <si>
    <t>TOOLS &amp; OTHER</t>
  </si>
  <si>
    <t>OFF FUR &amp; EQ INFORM. SYS.</t>
  </si>
  <si>
    <t>1x AutoPay</t>
  </si>
  <si>
    <t>3rd Party Billing System</t>
  </si>
  <si>
    <t>ArcGIS 10.1 Upgrade</t>
  </si>
  <si>
    <t>Cdc Data Warehouse</t>
  </si>
  <si>
    <t>CDC Data Warehousing</t>
  </si>
  <si>
    <t>CGI Process Improvement</t>
  </si>
  <si>
    <t>Computer Software : 121000</t>
  </si>
  <si>
    <t>CRM Enhancements</t>
  </si>
  <si>
    <t>Customer Relationship Mgmt Phase 2</t>
  </si>
  <si>
    <t>DPI for DIMP Enhancements</t>
  </si>
  <si>
    <t>eBill Mobile Enrollment</t>
  </si>
  <si>
    <t>Enterprise Email Management</t>
  </si>
  <si>
    <t>FCS Upgrade</t>
  </si>
  <si>
    <t>FIN- Admin Svcs Central Repository</t>
  </si>
  <si>
    <t>Fiserve, (SFG Billmatrix)</t>
  </si>
  <si>
    <t>Hosting NICE Shared Infrastructure</t>
  </si>
  <si>
    <t>Itron Field Deployment Mgr (FDM)</t>
  </si>
  <si>
    <t>MAOP and BORE Logs</t>
  </si>
  <si>
    <t>McJunkin Warehousing</t>
  </si>
  <si>
    <t>Mdt Upgrade Ventyx Project</t>
  </si>
  <si>
    <t>Meeting Place Replacement</t>
  </si>
  <si>
    <t>Network Express Upgrade</t>
  </si>
  <si>
    <t>Network Voice Over IP (VOIP) 2014</t>
  </si>
  <si>
    <t>Network Wireless Access 2013</t>
  </si>
  <si>
    <t>Network Wireless Access 2014</t>
  </si>
  <si>
    <t>NGD Budget Repository Replacement Project</t>
  </si>
  <si>
    <t>NGD Data Warehouse Ph3 CCBR 1972</t>
  </si>
  <si>
    <t>NGD Data Warehouse Ph4 CCBR 2177</t>
  </si>
  <si>
    <t>NGD Data Warehouse Phase 5 CCBR 2309</t>
  </si>
  <si>
    <t>NICE Phase II</t>
  </si>
  <si>
    <t>NiFast Leak Survey</t>
  </si>
  <si>
    <t>NiFit Transformation</t>
  </si>
  <si>
    <t>Open Text Brava Licenses</t>
  </si>
  <si>
    <t>Oracle Databases Licenses</t>
  </si>
  <si>
    <t>Phase 1 Data Warehouse</t>
  </si>
  <si>
    <t>Phase 1 General Ledger Transformation</t>
  </si>
  <si>
    <t>Right Start</t>
  </si>
  <si>
    <t>Security-Hitachi Identity Manager 2</t>
  </si>
  <si>
    <t>TM1 for Construction Planning</t>
  </si>
  <si>
    <t>TM1 for Ops Planning</t>
  </si>
  <si>
    <t>WIN 7 Image Build for MDTs</t>
  </si>
  <si>
    <t>WIN7 SCADA Workstations</t>
  </si>
  <si>
    <t>WMS Facility Failure Reporting</t>
  </si>
  <si>
    <t>WMSDocs</t>
  </si>
  <si>
    <t>Planning and Budgeting Solution-Apr. 2017</t>
  </si>
  <si>
    <t>Modernize Training and Standards - Dec. 2017</t>
  </si>
  <si>
    <t>Supply Chain Transformation-Dec. 2017</t>
  </si>
  <si>
    <t>Budgeted Items/Projects TBD-Est. Jul. 2017</t>
  </si>
  <si>
    <t>February 2016</t>
  </si>
  <si>
    <t>March 2016</t>
  </si>
  <si>
    <t>February 2017</t>
  </si>
  <si>
    <t>March 2017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</si>
  <si>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</si>
  <si>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</si>
  <si>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</si>
  <si>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</si>
  <si>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</si>
  <si>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</si>
  <si>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</si>
  <si>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</si>
  <si>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</si>
  <si>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</si>
  <si>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</si>
  <si>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</si>
  <si>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</si>
  <si>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</si>
  <si>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</si>
  <si>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</si>
  <si>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</si>
  <si>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</si>
  <si>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</si>
  <si>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ADJ14</t>
  </si>
  <si>
    <t>ADJ15</t>
  </si>
  <si>
    <t>ADJ16</t>
  </si>
  <si>
    <t>ADJ17</t>
  </si>
  <si>
    <t>ADJ18</t>
  </si>
  <si>
    <t>ADJ19</t>
  </si>
  <si>
    <t>ADVANCED WORKFORCE TRAINING EXPENSE - THE PURPOSE OF THIS ADJUSTMENT IS TO INCLUDE COSTS ASSOCIATED</t>
  </si>
  <si>
    <t>WITH ENHANCED OPERATOR QUALIFICATIONS (OQ) REQUIREMENTS FOR GAS FIELD OPERATIONS PERSONNEL</t>
  </si>
  <si>
    <t>INCREMENTAL GAS OPERATIONS O&amp;M EXPENSE ASSOCIATED WITH 2017 CAPITAL SPEND</t>
  </si>
  <si>
    <t xml:space="preserve">CREDIT CARD PAYMENT FEES - EXPENSE ASSOCIATED WITH PROVIDING CUSTOMERS OPPORTUNITY TO PAY BILLS BY </t>
  </si>
  <si>
    <t>CREDIT CARD UTILIZING WEB PORTAL</t>
  </si>
  <si>
    <t xml:space="preserve">GLOBAL POSITIONING SYSTEM (GPS) - EXPENSE ASSOCIATED WITH DETERMINING EXACT LOCATION OF FACILITIES INCLUDING </t>
  </si>
  <si>
    <t>MAINS, SERVICE LINES, TRANSMISSION, METERS, CUSTOMER CONNECTIONS AND CRITICAL VALVES</t>
  </si>
  <si>
    <t>PLANT IN SERVICE BY GAS PLANT ACCOUNT</t>
  </si>
  <si>
    <t>M &amp; R Sta Equip Reg FMV</t>
  </si>
  <si>
    <t>M &amp; R STA EQUIP REG FMV</t>
  </si>
  <si>
    <t>February 29, 2015</t>
  </si>
  <si>
    <t>March 31, 2015</t>
  </si>
  <si>
    <t>April 30, 2015</t>
  </si>
  <si>
    <t>May 31, 2015</t>
  </si>
  <si>
    <t>June 30, 2015</t>
  </si>
  <si>
    <t>July 31, 2015</t>
  </si>
  <si>
    <t>August 31, 2015</t>
  </si>
  <si>
    <t>September 30, 2015</t>
  </si>
  <si>
    <t>October 31,  2015</t>
  </si>
  <si>
    <t>November 30, 2015</t>
  </si>
  <si>
    <t>December 31, 2015</t>
  </si>
  <si>
    <t>January 31, 2016</t>
  </si>
  <si>
    <t>February 29, 2016</t>
  </si>
  <si>
    <t>Feb-15</t>
  </si>
  <si>
    <t>13 Month Avg August 31, 2016</t>
  </si>
  <si>
    <t>13 Month Avg December 31, 2017</t>
  </si>
  <si>
    <t>13 Month Average December 31, 2017</t>
  </si>
  <si>
    <t>Test Year TME December 31, 2017 Depreciation Expense</t>
  </si>
  <si>
    <t>Forecasted Test Period  TME December 31, 2017 Depreciation Expense</t>
  </si>
  <si>
    <t>WITNESS:  J. T. CROOM</t>
  </si>
  <si>
    <t>1003, 9004, 9108</t>
  </si>
  <si>
    <t>SAFE DIGGING IMPACT - COST ASSOCIATED WITH COMPLYING WITH STATE LAW PROHIBITING MECHANICAL DIGGING WITHIN 18 INCHES OF GAS SYSTEM</t>
  </si>
  <si>
    <t>LABOR COSTS ASSOCIATED WITH DAMAGE PREVENTION LEADER AND SYSTEM OPERATIONS MANAGER</t>
  </si>
  <si>
    <t>Deferred Taxes at 12-31-16</t>
  </si>
  <si>
    <t>at 12/2017</t>
  </si>
  <si>
    <t>JAN+FEB</t>
  </si>
  <si>
    <t>2015</t>
  </si>
  <si>
    <t>2016</t>
  </si>
  <si>
    <t>365/365</t>
  </si>
  <si>
    <t>335/365</t>
  </si>
  <si>
    <t>305/365</t>
  </si>
  <si>
    <t>274/365</t>
  </si>
  <si>
    <t>243/365</t>
  </si>
  <si>
    <t>215/365</t>
  </si>
  <si>
    <t>184/365</t>
  </si>
  <si>
    <t>154/365</t>
  </si>
  <si>
    <t>123/365</t>
  </si>
  <si>
    <t>93/365</t>
  </si>
  <si>
    <t>62/365</t>
  </si>
  <si>
    <t>31/365</t>
  </si>
  <si>
    <t>1/365</t>
  </si>
  <si>
    <t>OTHER PLANT</t>
  </si>
  <si>
    <t>WITNESS: J. T. Croom</t>
  </si>
  <si>
    <t>WITNESS:  S. M. KATKO</t>
  </si>
  <si>
    <t>CASE NO. 2016 - 00162</t>
  </si>
  <si>
    <t>WITNESS:  M. J. Bell</t>
  </si>
  <si>
    <t>American Heart Association</t>
  </si>
  <si>
    <t>Big Brothers Big Sisters of the Bluegrass</t>
  </si>
  <si>
    <t>Casa of Lexington</t>
  </si>
  <si>
    <t>Citizens Fire Academy Association</t>
  </si>
  <si>
    <t>Council of State Governments</t>
  </si>
  <si>
    <t>Girls on the Run Central KY</t>
  </si>
  <si>
    <t>Jenny Wiley Theatre</t>
  </si>
  <si>
    <t>Jubilee Jobs of Lexington</t>
  </si>
  <si>
    <t>Lexington Public Library Foundation</t>
  </si>
  <si>
    <t>Lexington Philarmonic Society, Inc.</t>
  </si>
  <si>
    <t>MLK Holiday Planning Committee</t>
  </si>
  <si>
    <t>Montgomery County Council for the Arts</t>
  </si>
  <si>
    <t>Paramount Arts Center, Inc.</t>
  </si>
  <si>
    <t>Reach</t>
  </si>
  <si>
    <t>Shriners Hospitals for Children</t>
  </si>
  <si>
    <t>Stumbo Family Foundation, Inc.</t>
  </si>
  <si>
    <t>Tims Trot for Tots</t>
  </si>
  <si>
    <t>PERIOD LEVEL. THE FORECASTED PERIOD LEVEL IS BASED ON A HISTORIC SEVEN YEAR AVERAGE OF FORFEITED DISCOUNTS.</t>
  </si>
  <si>
    <t>TRAINING FACILITY MAINTENANCE EXPENSE--COST ASSOCIATED WITH MAINTAINING AND OPERATING THE NEWLY BUILT TRAINING FACILITY</t>
  </si>
  <si>
    <t>PROPERTY, PLANT AND EQUIPMENT, CHANGES IN TAXABLE STORAGE GAS AND AN INCREASED LEVEL OF PAYROLL TAXES.</t>
  </si>
  <si>
    <t>AGA Sponsorship</t>
  </si>
  <si>
    <t>Better Business Bureau</t>
  </si>
  <si>
    <t>Downtown Lexington Corporation</t>
  </si>
  <si>
    <t>Kentucky Clean Fuels Coalition</t>
  </si>
  <si>
    <t>KOGA</t>
  </si>
  <si>
    <t>Kentucky Assocation for Economic Development</t>
  </si>
  <si>
    <t>Lexington Strides Ahead Inc</t>
  </si>
  <si>
    <t>SAMS Club Direct</t>
  </si>
  <si>
    <t>Training</t>
  </si>
  <si>
    <t>Chief Financial Officer</t>
  </si>
  <si>
    <t>To Allocate Budgeted Acct 921 and 935 based on historic percentage</t>
  </si>
  <si>
    <t>Pre 2016 Fed Depr</t>
  </si>
  <si>
    <t>EXCESS ACCELERATED DEPRECIATION - STATE</t>
  </si>
  <si>
    <t>PROPERTY REMOVAL COSTS - STATE</t>
  </si>
  <si>
    <t>CONTRIBUTIONS IN AID OF CONSTRUCTION - STATE</t>
  </si>
  <si>
    <t>CONTRIBUTIONS IN AID &amp; CUST. ADVACNES - STATE</t>
  </si>
  <si>
    <t>LEGAL LIABILITY - LEASE ON G.O. BLDG. - STATE</t>
  </si>
  <si>
    <t>CONTRIBUTIONS IN AID &amp; CUST. ADVANCES - STATE</t>
  </si>
  <si>
    <t>OF $219,333 TO RECOVER THE PROJECTED RATE CASE EXPENSE OF $658,000 OVER A THREE YEAR PERIOD.</t>
  </si>
  <si>
    <t>RENTS AND LEASES - C.E. 92xx</t>
  </si>
  <si>
    <t xml:space="preserve">NET LABOR </t>
  </si>
  <si>
    <t>CORPORATE INSURANCE - C.E. 40XX</t>
  </si>
  <si>
    <t>EMPLOYEE EXPENSES - C.E. 31XX</t>
  </si>
  <si>
    <t>COMPANY MEMBERSHIPS - C.E. 35XX</t>
  </si>
  <si>
    <t>UTILITIES/FUEL - C.E. 80XX</t>
  </si>
  <si>
    <t>CLEARING ACCOUNTS - C.E. 33XX</t>
  </si>
  <si>
    <t>UNCOLLECTIBLE ACCOUNTS - C.E. 32XX</t>
  </si>
  <si>
    <t>SYSTEM SERVICES - C.E. 70XX</t>
  </si>
  <si>
    <t>MISC. REVENUE ADJ. - C.E. 60XX</t>
  </si>
  <si>
    <t>MISC. &amp; OTHER EXPENSES - C.E. 36XX</t>
  </si>
  <si>
    <t>ADVERTISING - C.E. 3001</t>
  </si>
  <si>
    <t>Lobbying labor</t>
  </si>
  <si>
    <t>non-recoverable</t>
  </si>
  <si>
    <t>non-recoverable, adj 16, 17, 18</t>
  </si>
  <si>
    <t>adj 4, 5</t>
  </si>
  <si>
    <t>adj 7</t>
  </si>
  <si>
    <t>adj 2, 3, non-recoverable</t>
  </si>
  <si>
    <t>adj 6</t>
  </si>
  <si>
    <t>All Columbia Gas of Kentucky, Inc's. stock is held by NiSource Distribution Group, Inc.</t>
  </si>
  <si>
    <t>DEPRECIABLE PLANT INVESTMENT AND THE DEPRECIATION RATES PER THE DEPRECIATION STUDY FILED IN THIS PROCEEDING.</t>
  </si>
  <si>
    <t>SCHEDULE  L</t>
  </si>
  <si>
    <t>RATES AND TARIFFS</t>
  </si>
  <si>
    <t>COMPANY :</t>
  </si>
  <si>
    <t>CASE NO :</t>
  </si>
  <si>
    <t>FORECASTED TEST PERIOD :</t>
  </si>
  <si>
    <t>L</t>
  </si>
  <si>
    <t>NARRATIVE RATIONALE FOR TARIFF CHANGES</t>
  </si>
  <si>
    <t>L.1</t>
  </si>
  <si>
    <t>NEW OR REVISED PROPOSED TARIFFS</t>
  </si>
  <si>
    <t>L.2</t>
  </si>
  <si>
    <t>REVISED CURRENT TARIFFS - REDLINED</t>
  </si>
  <si>
    <t>COLUMBIA GAS OF KENTUCKY</t>
  </si>
  <si>
    <t>Data:______Historic Period___X__Forecasted Period</t>
  </si>
  <si>
    <t>SCHEDULE L</t>
  </si>
  <si>
    <t>SEE TESTIMONY OF J. M. COOPER</t>
  </si>
  <si>
    <t>WITNESS:  J. M. COOPER</t>
  </si>
  <si>
    <t xml:space="preserve">OTHERS FOR SERVICES RENDERED. THE INCREASE IN EXPENSE PRIMARILY REPRESENTS COSTS ASSOCIATED WITH </t>
  </si>
  <si>
    <t xml:space="preserve">EXPENSES; AND UNIFORMS, SAFETY SHOES AND GLASSES.  THIS INCREASE IS PRIMARILY DRIVEN BY A PROJECTED </t>
  </si>
  <si>
    <t>ALLIANCE, ASHLAND ALLIANCE, COMMERCE LEXINGTON,  KENTUCKY ASSOCIATION OF MANUFACTURERS</t>
  </si>
  <si>
    <t>ROTARY CLUB OF LEXINGTON, KENTUCKY CHAMBER OF COMMERCE, AND VARIOUS LOCAL CHAMBERS</t>
  </si>
  <si>
    <t>RATES DUE TO LARGE GLOBAL CATASTROPHIC LOSSES AS WELL AS UPDATED ACTUARIAL INFORMATION.</t>
  </si>
  <si>
    <t>UNCOLLECTIBLE.  THE FORECASTED PERIOD REFLECTS THE CURRENT CALENDAR YEAR 2016 ESTIMATE OF EXPENSE</t>
  </si>
  <si>
    <t>SHEET 1 OF 3</t>
  </si>
  <si>
    <t>SHEET 2 OF 3</t>
  </si>
  <si>
    <t>SHEET 3 OF 3</t>
  </si>
  <si>
    <t>TELEPHONE LINES AND OTHER MISCELLANEOUS RENTS.</t>
  </si>
  <si>
    <t>FROM AFFILIATES.   THIS COST INCREASE REPRESENTS INCREASED MEDICAL COSTS, A CHANGE IN OPEB METHODOLOGY</t>
  </si>
  <si>
    <t>UNCOLLECTIBLE GAS COST REVENUE - THE PURPOSE OF THIS ADJUSTMENT IS TO INCREASE UNCOLLECTIBLE</t>
  </si>
  <si>
    <t>REFLECTS A DECREASE RELATED TO THE CORPORATE INCENTIVE PLAN AND LONG TERM INCENTIVE PLAN.</t>
  </si>
  <si>
    <t>INCREASE IN HEADCOUNT IN FIELD OPERATIONS AND EXPENSE ASSOCIATED WITH INCREASED TRAINING IN THE COMPANY.</t>
  </si>
  <si>
    <t xml:space="preserve">PROGRAM.  THIS CATEGORY IS FURTHER ADJUSTED ON SCHEDULE D-2.4. </t>
  </si>
  <si>
    <t>ESTIMATE OF EXPENSES FOR PUBLIC SERVICE COMMISSION FEES,  REGULATORY AMORTIZATIONS, REVENUE TRACKERS,</t>
  </si>
  <si>
    <t>UTILITIES USED IN COMPANY OPERATIONS INCLUDING ELECTRICITY, WATER AND SEWER, AND TELEPHONE.</t>
  </si>
  <si>
    <t xml:space="preserve">RECOVERED RELATED TO DAMAGES TO COMPANY FACILITIES. </t>
  </si>
  <si>
    <t>PLEASE SEE THE TESTIMONY OF S. M. KATKO.</t>
  </si>
  <si>
    <t>FOR THE TWELVE MONTHS ENDED NOVEMBER 30, 2014</t>
  </si>
  <si>
    <t>ADJUSTMENTS ARE INCORPORATED INTO SCHEDULE B-2.1.</t>
  </si>
  <si>
    <t>ADJUSTMENTS ARE INCORPORATED INTO SCHEDULE B-3.</t>
  </si>
  <si>
    <t>ESTIMATE OF MATERIALS AND SUPPLIES REQUIRED FOR OPERATING PROJECTS AND ADMINISTRATION.</t>
  </si>
  <si>
    <t xml:space="preserve"> LINE LOCATING, EMERGENCY RESPONSE, CROSS BORE REMEDIATION AND DAMAGE PREVENTION RISK MANAGEMENT</t>
  </si>
  <si>
    <t xml:space="preserve"> RELATED TO THE DISTRIBUTION INTEGRITY MANAGEMENT PROGRAM.  </t>
  </si>
  <si>
    <t>THIS CATEGORY IS FURTHER ADJUSTED ON SCHEDULE D-2.4</t>
  </si>
  <si>
    <t>REGULATORY STRATEGY AND SUPPORT, SALES AND MARKETING, AND SUPPLY OPTIMIZATION. THE INCREASE IS DRIVEN BY</t>
  </si>
  <si>
    <t>HIGHER PROJECTED IT, CAPITAL EXECUTION, COMMERCIAL AND CUSTOMER SERVICE AND GAS OPERATIONS EXPENSE.</t>
  </si>
  <si>
    <t>AND OTHER ITEMS NOT INCLUDED IN OTHER COST ELEMENTS. THIS CATEGORY IS FURTHER ADJUSTED ON SCHEDULE D-2.4</t>
  </si>
  <si>
    <t>AS COLUMBIA TRANSITIONS FROM FAS112 AMORTIZATION AND INCREASED EMPLOYEE HEADCOUNT ASSUMPTIONS</t>
  </si>
  <si>
    <t>OF COMMERCE. THIS CATEGORY IS FURTHER ADJUSTED ON SCHEDULE D-2.4.</t>
  </si>
  <si>
    <t xml:space="preserve">LABOR INCLUDED IN O&amp;M EXPENSE. THE ADJUSTMENT REFLECTS AN INCREASE IN AVERAGE HEADCOUNT OF 8 BETWEEN </t>
  </si>
  <si>
    <t>ADJ 2-10, 13-19</t>
  </si>
  <si>
    <t>ADJ 11, 12</t>
  </si>
  <si>
    <t>[2]</t>
  </si>
  <si>
    <t>Chief Legal Officer</t>
  </si>
  <si>
    <t>[2]  Projected calender years 2018 and 2019 do not reflect what is presented in the current case or subsequent cases, if any.</t>
  </si>
  <si>
    <t>[1]  Unbilled Revenue is not included in the forecasted months of the Base and Forecast Period.  Additionally, the Forecast period does not include the revenue from this case.</t>
  </si>
  <si>
    <t xml:space="preserve">[1]  Unbilled volumes are not included in the forecasted months of the Base and Forecast Period. </t>
  </si>
  <si>
    <t>WITNESS:  J. T. CROOM, BRIAN J. NOEL</t>
  </si>
  <si>
    <t>PERIOD [1]</t>
  </si>
  <si>
    <t>[1]  The Forecast period does not include the revenue from this case.</t>
  </si>
  <si>
    <t>Vice President &amp; General Manager, Operations</t>
  </si>
  <si>
    <t>President, Columbia Gas of Kentucky</t>
  </si>
  <si>
    <t>PAGE 1 OF 3</t>
  </si>
  <si>
    <t>PAGE 2 OF 3</t>
  </si>
  <si>
    <t>PAGE 3 OF 3</t>
  </si>
  <si>
    <t>March Additions</t>
  </si>
  <si>
    <t>April Additions</t>
  </si>
  <si>
    <t>May Additions</t>
  </si>
  <si>
    <t>June Additions</t>
  </si>
  <si>
    <t>July Additions</t>
  </si>
  <si>
    <t>August Additions</t>
  </si>
  <si>
    <t>September Additions</t>
  </si>
  <si>
    <t>October Additions</t>
  </si>
  <si>
    <t>November Additions</t>
  </si>
  <si>
    <t>December Additions</t>
  </si>
  <si>
    <t>AMR DEVICES</t>
  </si>
  <si>
    <t>AS OF JULY 31,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</si>
</sst>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0.00_)"/>
    <numFmt numFmtId="166" formatCode="#,##0.0_);\(#,##0.0\)"/>
    <numFmt numFmtId="167" formatCode=";;;"/>
    <numFmt numFmtId="168" formatCode="_(* #,##0_);_(* \(#,##0\);_(* &quot;-&quot;??_);_(@_)"/>
    <numFmt numFmtId="169" formatCode="#,##0.0000_);\(#,##0.0000\)"/>
    <numFmt numFmtId="170" formatCode="0.00_);\(0.00\)"/>
    <numFmt numFmtId="171" formatCode="_([$€-2]* #,##0.00_);_([$€-2]* \(#,##0.00\);_([$€-2]* &quot;-&quot;??_)"/>
    <numFmt numFmtId="172" formatCode="m/d/yyyy;@"/>
    <numFmt numFmtId="173" formatCode="&quot;$&quot;#,##0.00"/>
    <numFmt numFmtId="174" formatCode="0.0_);\(0.0\)"/>
    <numFmt numFmtId="175" formatCode="0.0"/>
    <numFmt numFmtId="176" formatCode="0.0%"/>
    <numFmt numFmtId="177" formatCode="0.000%"/>
    <numFmt numFmtId="178" formatCode="_(&quot;$&quot;* #,##0_);_(&quot;$&quot;* \(#,##0\);_(&quot;$&quot;* &quot;-&quot;??_);_(@_)"/>
    <numFmt numFmtId="179" formatCode="0.0000"/>
    <numFmt numFmtId="180" formatCode="0.000000_)"/>
    <numFmt numFmtId="181" formatCode="#,##0.0000000_);\(#,##0.0000000\)"/>
    <numFmt numFmtId="182" formatCode="0.000_)"/>
    <numFmt numFmtId="183" formatCode="#,##0.000000_);\(#,##0.000000\)"/>
    <numFmt numFmtId="184" formatCode="#,##0.00000_);\(#,##0.00000\)"/>
    <numFmt numFmtId="185" formatCode="mm/dd/yy_)"/>
    <numFmt numFmtId="186" formatCode="hh:mm:ss_)"/>
    <numFmt numFmtId="187" formatCode="0.0000%"/>
    <numFmt numFmtId="188" formatCode="#,##0.000_);\(#,##0.000\)"/>
    <numFmt numFmtId="189" formatCode="0.000000%"/>
    <numFmt numFmtId="190" formatCode="0.00000"/>
    <numFmt numFmtId="191" formatCode="0_);\(0\)"/>
    <numFmt numFmtId="192" formatCode="_(* #,##0.000_);_(* \(#,##0.000\);_(* &quot;-&quot;??_);_(@_)"/>
    <numFmt numFmtId="193" formatCode="_(* #,##0.000000_);_(* \(#,##0.000000\);_(* &quot;-&quot;??_);_(@_)"/>
    <numFmt numFmtId="194" formatCode="_(* #,##0.0_);_(* \(#,##0.0\);_(* &quot;-&quot;??_);_(@_)"/>
    <numFmt numFmtId="195" formatCode="[$-409]mmm\-yy;@"/>
    <numFmt numFmtId="196" formatCode="[$-409]mmmm\-yy;@"/>
  </numFmts>
  <fonts count="113" x14ac:knownFonts="1">
    <font>
      <sz val="8"/>
      <name val="Helv"/>
    </font>
    <font>
      <sz val="10"/>
      <name val="Arial"/>
      <family val="2"/>
    </font>
    <font>
      <sz val="10"/>
      <name val="Arial"/>
      <family val="2"/>
    </font>
    <font>
      <sz val="7"/>
      <name val="Helv"/>
    </font>
    <font>
      <sz val="10"/>
      <name val="Arial"/>
      <family val="2"/>
    </font>
    <font>
      <sz val="10"/>
      <color indexed="12"/>
      <name val="Arial"/>
      <family val="2"/>
    </font>
    <font>
      <u/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8"/>
      <name val="Helv"/>
    </font>
    <font>
      <sz val="10"/>
      <name val="Helv"/>
    </font>
    <font>
      <sz val="8"/>
      <name val="Arial"/>
      <family val="2"/>
    </font>
    <font>
      <u val="double"/>
      <sz val="10"/>
      <name val="Arial"/>
      <family val="2"/>
    </font>
    <font>
      <b/>
      <u/>
      <sz val="10"/>
      <name val="Arial"/>
      <family val="2"/>
    </font>
    <font>
      <b/>
      <sz val="10"/>
      <color indexed="12"/>
      <name val="Arial"/>
      <family val="2"/>
    </font>
    <font>
      <b/>
      <u val="double"/>
      <sz val="10"/>
      <name val="Arial"/>
      <family val="2"/>
    </font>
    <font>
      <u/>
      <sz val="8"/>
      <name val="Helv"/>
    </font>
    <font>
      <sz val="10"/>
      <color indexed="8"/>
      <name val="MS Sans Serif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b/>
      <sz val="12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2"/>
      <name val="Times New Roman"/>
      <family val="1"/>
    </font>
    <font>
      <b/>
      <sz val="8"/>
      <name val="Arial"/>
      <family val="2"/>
    </font>
    <font>
      <b/>
      <u/>
      <sz val="8"/>
      <color indexed="12"/>
      <name val="Arial"/>
      <family val="2"/>
    </font>
    <font>
      <b/>
      <u/>
      <sz val="8"/>
      <name val="Arial"/>
      <family val="2"/>
    </font>
    <font>
      <u/>
      <sz val="8"/>
      <name val="Arial"/>
      <family val="2"/>
    </font>
    <font>
      <sz val="8"/>
      <color indexed="12"/>
      <name val="Arial"/>
      <family val="2"/>
    </font>
    <font>
      <u val="singleAccounting"/>
      <sz val="8"/>
      <name val="Arial"/>
      <family val="2"/>
    </font>
    <font>
      <sz val="11"/>
      <color indexed="8"/>
      <name val="Calibri"/>
      <family val="2"/>
    </font>
    <font>
      <sz val="9"/>
      <color indexed="12"/>
      <name val="Arial"/>
      <family val="2"/>
    </font>
    <font>
      <sz val="7"/>
      <name val="Times New Roman"/>
      <family val="1"/>
    </font>
    <font>
      <i/>
      <sz val="8"/>
      <name val="Arial"/>
      <family val="2"/>
    </font>
    <font>
      <sz val="7"/>
      <name val="Arial"/>
      <family val="2"/>
    </font>
    <font>
      <strike/>
      <sz val="10"/>
      <name val="Arial"/>
      <family val="2"/>
    </font>
    <font>
      <b/>
      <sz val="7"/>
      <name val="Arial"/>
      <family val="2"/>
    </font>
    <font>
      <u/>
      <sz val="9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 val="double"/>
      <sz val="9"/>
      <name val="Arial"/>
      <family val="2"/>
    </font>
    <font>
      <u/>
      <sz val="9"/>
      <color indexed="12"/>
      <name val="Arial"/>
      <family val="2"/>
    </font>
    <font>
      <u/>
      <sz val="8"/>
      <color indexed="12"/>
      <name val="Arial"/>
      <family val="2"/>
    </font>
    <font>
      <b/>
      <u val="singleAccounting"/>
      <sz val="8"/>
      <name val="Arial"/>
      <family val="2"/>
    </font>
    <font>
      <u val="singleAccounting"/>
      <sz val="10"/>
      <name val="Arial"/>
      <family val="2"/>
    </font>
    <font>
      <sz val="9"/>
      <name val="Helv"/>
    </font>
    <font>
      <sz val="6"/>
      <name val="Helv"/>
    </font>
    <font>
      <sz val="8"/>
      <name val="Times New Roman"/>
      <family val="1"/>
    </font>
    <font>
      <sz val="10"/>
      <name val="Times New Roman"/>
      <family val="1"/>
    </font>
    <font>
      <sz val="10"/>
      <color indexed="8"/>
      <name val="Tahoma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color indexed="10"/>
      <name val="Arial"/>
      <family val="2"/>
    </font>
    <font>
      <sz val="8"/>
      <color indexed="12"/>
      <name val="Helv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sz val="8"/>
      <color indexed="12"/>
      <name val="Arial"/>
      <family val="2"/>
    </font>
    <font>
      <sz val="8"/>
      <color indexed="10"/>
      <name val="Arial"/>
      <family val="2"/>
    </font>
    <font>
      <sz val="10"/>
      <color indexed="8"/>
      <name val="Arial"/>
      <family val="2"/>
    </font>
    <font>
      <sz val="9"/>
      <color indexed="12"/>
      <name val="Arial"/>
      <family val="2"/>
    </font>
    <font>
      <sz val="8"/>
      <color indexed="12"/>
      <name val="Arial"/>
      <family val="2"/>
    </font>
    <font>
      <u/>
      <sz val="8"/>
      <color indexed="12"/>
      <name val="Arial"/>
      <family val="2"/>
    </font>
    <font>
      <u val="singleAccounting"/>
      <sz val="10"/>
      <color indexed="12"/>
      <name val="Arial"/>
      <family val="2"/>
    </font>
    <font>
      <sz val="9"/>
      <color indexed="8"/>
      <name val="Arial"/>
      <family val="2"/>
    </font>
    <font>
      <u val="double"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indexed="8"/>
      <name val="Arial"/>
      <family val="2"/>
    </font>
    <font>
      <b/>
      <u/>
      <sz val="8"/>
      <color indexed="8"/>
      <name val="Arial"/>
      <family val="2"/>
    </font>
    <font>
      <sz val="8"/>
      <color indexed="48"/>
      <name val="Arial"/>
      <family val="2"/>
    </font>
    <font>
      <b/>
      <sz val="8"/>
      <name val="Helv"/>
    </font>
    <font>
      <u val="doubleAccounting"/>
      <sz val="10"/>
      <name val="Arial"/>
      <family val="2"/>
    </font>
    <font>
      <sz val="10"/>
      <name val="Arial Unicode MS"/>
      <family val="2"/>
    </font>
    <font>
      <b/>
      <sz val="10"/>
      <name val="Arial Unicode MS"/>
      <family val="2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8"/>
      <color rgb="FF0000FF"/>
      <name val="Arial"/>
      <family val="2"/>
    </font>
    <font>
      <sz val="8"/>
      <color rgb="FFFF0000"/>
      <name val="Arial"/>
      <family val="2"/>
    </font>
    <font>
      <u val="singleAccounting"/>
      <sz val="8"/>
      <color rgb="FF0000FF"/>
      <name val="Arial"/>
      <family val="2"/>
    </font>
    <font>
      <u/>
      <sz val="8"/>
      <color rgb="FF0000FF"/>
      <name val="Arial"/>
      <family val="2"/>
    </font>
    <font>
      <sz val="9"/>
      <color rgb="FF0000FF"/>
      <name val="Arial"/>
      <family val="2"/>
    </font>
    <font>
      <b/>
      <sz val="8"/>
      <color rgb="FF0000FF"/>
      <name val="Arial"/>
      <family val="2"/>
    </font>
    <font>
      <u val="singleAccounting"/>
      <sz val="10"/>
      <color rgb="FF0000FF"/>
      <name val="Arial"/>
      <family val="2"/>
    </font>
    <font>
      <sz val="10"/>
      <color rgb="FF0000CC"/>
      <name val="Arial"/>
      <family val="2"/>
    </font>
    <font>
      <u/>
      <sz val="9"/>
      <color rgb="FF0000FF"/>
      <name val="Arial"/>
      <family val="2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sz val="12"/>
      <name val="Helv"/>
    </font>
    <font>
      <sz val="8"/>
      <color indexed="12"/>
      <name val="Times New Roman"/>
      <family val="1"/>
    </font>
    <font>
      <u val="singleAccounting"/>
      <sz val="8"/>
      <color indexed="10"/>
      <name val="Arial"/>
      <family val="2"/>
    </font>
    <font>
      <sz val="8"/>
      <color theme="9" tint="-0.499984740745262"/>
      <name val="Arial"/>
      <family val="2"/>
    </font>
    <font>
      <sz val="8"/>
      <color rgb="FFFF0000"/>
      <name val="Helv"/>
    </font>
    <font>
      <b/>
      <sz val="10"/>
      <color rgb="FF0000FF"/>
      <name val="Arial"/>
      <family val="2"/>
    </font>
    <font>
      <sz val="10"/>
      <color theme="1"/>
      <name val="Arial"/>
      <family val="2"/>
    </font>
  </fonts>
  <fills count="20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</borders>
  <cellStyleXfs count="211">
    <xf numFmtId="0" fontId="0" fillId="0" borderId="0"/>
    <xf numFmtId="0" fontId="1" fillId="0" borderId="0"/>
    <xf numFmtId="0" fontId="1" fillId="0" borderId="0"/>
    <xf numFmtId="0" fontId="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" fillId="0" borderId="0"/>
    <xf numFmtId="173" fontId="11" fillId="0" borderId="0" applyFill="0"/>
    <xf numFmtId="173" fontId="11" fillId="0" borderId="0">
      <alignment horizontal="center"/>
    </xf>
    <xf numFmtId="0" fontId="11" fillId="0" borderId="0" applyFill="0">
      <alignment horizontal="center"/>
    </xf>
    <xf numFmtId="173" fontId="18" fillId="0" borderId="1" applyFill="0"/>
    <xf numFmtId="0" fontId="1" fillId="0" borderId="0" applyFont="0" applyAlignment="0"/>
    <xf numFmtId="0" fontId="19" fillId="0" borderId="0" applyFill="0">
      <alignment vertical="top"/>
    </xf>
    <xf numFmtId="0" fontId="18" fillId="0" borderId="0" applyFill="0">
      <alignment horizontal="left" vertical="top"/>
    </xf>
    <xf numFmtId="173" fontId="20" fillId="0" borderId="2" applyFill="0"/>
    <xf numFmtId="0" fontId="1" fillId="0" borderId="0" applyNumberFormat="0" applyFont="0" applyAlignment="0"/>
    <xf numFmtId="0" fontId="19" fillId="0" borderId="0" applyFill="0">
      <alignment wrapText="1"/>
    </xf>
    <xf numFmtId="0" fontId="18" fillId="0" borderId="0" applyFill="0">
      <alignment horizontal="left" vertical="top" wrapText="1"/>
    </xf>
    <xf numFmtId="173" fontId="21" fillId="0" borderId="0" applyFill="0"/>
    <xf numFmtId="0" fontId="22" fillId="0" borderId="0" applyNumberFormat="0" applyFont="0" applyAlignment="0">
      <alignment horizontal="center"/>
    </xf>
    <xf numFmtId="0" fontId="23" fillId="0" borderId="0" applyFill="0">
      <alignment vertical="top" wrapText="1"/>
    </xf>
    <xf numFmtId="0" fontId="20" fillId="0" borderId="0" applyFill="0">
      <alignment horizontal="left" vertical="top" wrapText="1"/>
    </xf>
    <xf numFmtId="173" fontId="1" fillId="0" borderId="0" applyFill="0"/>
    <xf numFmtId="0" fontId="22" fillId="0" borderId="0" applyNumberFormat="0" applyFont="0" applyAlignment="0">
      <alignment horizontal="center"/>
    </xf>
    <xf numFmtId="0" fontId="24" fillId="0" borderId="0" applyFill="0">
      <alignment vertical="center" wrapText="1"/>
    </xf>
    <xf numFmtId="0" fontId="25" fillId="0" borderId="0">
      <alignment horizontal="left" vertical="center" wrapText="1"/>
    </xf>
    <xf numFmtId="173" fontId="26" fillId="0" borderId="0" applyFill="0"/>
    <xf numFmtId="0" fontId="22" fillId="0" borderId="0" applyNumberFormat="0" applyFont="0" applyAlignment="0">
      <alignment horizontal="center"/>
    </xf>
    <xf numFmtId="0" fontId="27" fillId="0" borderId="0" applyFill="0">
      <alignment horizontal="center" vertical="center" wrapText="1"/>
    </xf>
    <xf numFmtId="0" fontId="2" fillId="0" borderId="0" applyFill="0">
      <alignment horizontal="center" vertical="center" wrapText="1"/>
    </xf>
    <xf numFmtId="173" fontId="28" fillId="0" borderId="0" applyFill="0"/>
    <xf numFmtId="0" fontId="22" fillId="0" borderId="0" applyNumberFormat="0" applyFont="0" applyAlignment="0">
      <alignment horizontal="center"/>
    </xf>
    <xf numFmtId="0" fontId="29" fillId="0" borderId="0" applyFill="0">
      <alignment horizontal="center" vertical="center" wrapText="1"/>
    </xf>
    <xf numFmtId="0" fontId="30" fillId="0" borderId="0" applyFill="0">
      <alignment horizontal="center" vertical="center" wrapText="1"/>
    </xf>
    <xf numFmtId="173" fontId="31" fillId="0" borderId="0" applyFill="0"/>
    <xf numFmtId="0" fontId="22" fillId="0" borderId="0" applyNumberFormat="0" applyFont="0" applyAlignment="0">
      <alignment horizontal="center"/>
    </xf>
    <xf numFmtId="0" fontId="32" fillId="0" borderId="0">
      <alignment horizontal="center" wrapText="1"/>
    </xf>
    <xf numFmtId="0" fontId="28" fillId="0" borderId="0" applyFill="0">
      <alignment horizontal="center" wrapTex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" fillId="0" borderId="0"/>
    <xf numFmtId="37" fontId="9" fillId="0" borderId="0"/>
    <xf numFmtId="0" fontId="10" fillId="0" borderId="0"/>
    <xf numFmtId="0" fontId="3" fillId="0" borderId="0"/>
    <xf numFmtId="0" fontId="90" fillId="0" borderId="0"/>
    <xf numFmtId="0" fontId="2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/>
    <xf numFmtId="0" fontId="3" fillId="0" borderId="0"/>
    <xf numFmtId="0" fontId="64" fillId="0" borderId="0"/>
    <xf numFmtId="37" fontId="9" fillId="0" borderId="0" applyFill="0" applyBorder="0"/>
    <xf numFmtId="0" fontId="10" fillId="0" borderId="0"/>
    <xf numFmtId="0" fontId="9" fillId="0" borderId="0"/>
    <xf numFmtId="0" fontId="9" fillId="0" borderId="0"/>
    <xf numFmtId="0" fontId="65" fillId="0" borderId="0"/>
    <xf numFmtId="0" fontId="66" fillId="0" borderId="0"/>
    <xf numFmtId="0" fontId="50" fillId="0" borderId="0"/>
    <xf numFmtId="0" fontId="65" fillId="0" borderId="0"/>
    <xf numFmtId="0" fontId="50" fillId="0" borderId="0"/>
    <xf numFmtId="0" fontId="9" fillId="0" borderId="0" applyFill="0" applyBorder="0"/>
    <xf numFmtId="0" fontId="9" fillId="0" borderId="0" applyFill="0" applyBorder="0"/>
    <xf numFmtId="0" fontId="9" fillId="0" borderId="0"/>
    <xf numFmtId="0" fontId="10" fillId="0" borderId="0"/>
    <xf numFmtId="0" fontId="1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4" fillId="0" borderId="3">
      <alignment horizontal="center"/>
    </xf>
    <xf numFmtId="3" fontId="33" fillId="0" borderId="0" applyFont="0" applyFill="0" applyBorder="0" applyAlignment="0" applyProtection="0"/>
    <xf numFmtId="0" fontId="33" fillId="2" borderId="0" applyNumberFormat="0" applyFont="0" applyBorder="0" applyAlignment="0" applyProtection="0"/>
    <xf numFmtId="39" fontId="11" fillId="3" borderId="0" applyFill="0"/>
    <xf numFmtId="0" fontId="35" fillId="0" borderId="0">
      <alignment horizontal="left" indent="7"/>
    </xf>
    <xf numFmtId="0" fontId="11" fillId="0" borderId="0" applyFill="0">
      <alignment horizontal="left" indent="7"/>
    </xf>
    <xf numFmtId="7" fontId="36" fillId="0" borderId="4" applyFill="0">
      <alignment horizontal="right"/>
    </xf>
    <xf numFmtId="0" fontId="20" fillId="0" borderId="0" applyNumberFormat="0">
      <alignment horizontal="right"/>
    </xf>
    <xf numFmtId="0" fontId="37" fillId="0" borderId="4" applyFont="0" applyFill="0"/>
    <xf numFmtId="0" fontId="20" fillId="0" borderId="4" applyFill="0"/>
    <xf numFmtId="39" fontId="36" fillId="0" borderId="0" applyFill="0"/>
    <xf numFmtId="0" fontId="1" fillId="0" borderId="0" applyNumberFormat="0" applyFont="0" applyBorder="0" applyAlignment="0"/>
    <xf numFmtId="0" fontId="23" fillId="0" borderId="0" applyFill="0">
      <alignment horizontal="left" indent="1"/>
    </xf>
    <xf numFmtId="0" fontId="20" fillId="0" borderId="0" applyFill="0">
      <alignment horizontal="left" indent="1"/>
    </xf>
    <xf numFmtId="39" fontId="26" fillId="0" borderId="0" applyFill="0"/>
    <xf numFmtId="0" fontId="1" fillId="0" borderId="0" applyNumberFormat="0" applyFont="0" applyFill="0" applyBorder="0" applyAlignment="0"/>
    <xf numFmtId="0" fontId="23" fillId="0" borderId="0" applyFill="0">
      <alignment horizontal="left" indent="2"/>
    </xf>
    <xf numFmtId="0" fontId="38" fillId="0" borderId="0" applyFill="0">
      <alignment horizontal="left" indent="2"/>
    </xf>
    <xf numFmtId="39" fontId="26" fillId="0" borderId="0" applyFill="0"/>
    <xf numFmtId="0" fontId="1" fillId="0" borderId="0" applyNumberFormat="0" applyFont="0" applyBorder="0" applyAlignment="0"/>
    <xf numFmtId="0" fontId="39" fillId="0" borderId="0">
      <alignment horizontal="left" indent="3"/>
    </xf>
    <xf numFmtId="0" fontId="40" fillId="0" borderId="0" applyFill="0">
      <alignment horizontal="left" indent="3"/>
    </xf>
    <xf numFmtId="39" fontId="26" fillId="0" borderId="0" applyFill="0"/>
    <xf numFmtId="0" fontId="1" fillId="0" borderId="0" applyNumberFormat="0" applyFont="0" applyBorder="0" applyAlignment="0"/>
    <xf numFmtId="0" fontId="27" fillId="0" borderId="0">
      <alignment horizontal="left" indent="4"/>
    </xf>
    <xf numFmtId="0" fontId="2" fillId="0" borderId="0" applyFill="0">
      <alignment horizontal="left" indent="4"/>
    </xf>
    <xf numFmtId="39" fontId="26" fillId="0" borderId="0" applyFill="0"/>
    <xf numFmtId="0" fontId="1" fillId="0" borderId="0" applyNumberFormat="0" applyFont="0" applyBorder="0" applyAlignment="0"/>
    <xf numFmtId="0" fontId="29" fillId="0" borderId="0">
      <alignment horizontal="left" indent="5"/>
    </xf>
    <xf numFmtId="0" fontId="30" fillId="0" borderId="0" applyFill="0">
      <alignment horizontal="left" indent="5"/>
    </xf>
    <xf numFmtId="39" fontId="31" fillId="0" borderId="0" applyFill="0"/>
    <xf numFmtId="0" fontId="1" fillId="0" borderId="0" applyNumberFormat="0" applyFont="0" applyFill="0" applyBorder="0" applyAlignment="0"/>
    <xf numFmtId="0" fontId="32" fillId="0" borderId="0" applyFill="0">
      <alignment horizontal="left" indent="6"/>
    </xf>
    <xf numFmtId="0" fontId="28" fillId="0" borderId="0" applyFill="0">
      <alignment horizontal="left" indent="6"/>
    </xf>
    <xf numFmtId="0" fontId="4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231">
    <xf numFmtId="0" fontId="0" fillId="0" borderId="0" xfId="0"/>
    <xf numFmtId="0" fontId="4" fillId="0" borderId="0" xfId="0" applyFont="1" applyAlignment="1" applyProtection="1">
      <alignment horizontal="center"/>
    </xf>
    <xf numFmtId="0" fontId="11" fillId="0" borderId="0" xfId="0" applyFont="1"/>
    <xf numFmtId="0" fontId="4" fillId="0" borderId="0" xfId="0" applyFont="1"/>
    <xf numFmtId="0" fontId="4" fillId="0" borderId="0" xfId="0" applyFont="1" applyAlignment="1" applyProtection="1">
      <alignment horizontal="left"/>
    </xf>
    <xf numFmtId="0" fontId="4" fillId="0" borderId="0" xfId="0" applyFont="1" applyAlignment="1" applyProtection="1">
      <alignment horizontal="right"/>
    </xf>
    <xf numFmtId="0" fontId="4" fillId="0" borderId="5" xfId="0" applyFont="1" applyBorder="1" applyAlignment="1" applyProtection="1">
      <alignment horizontal="left"/>
    </xf>
    <xf numFmtId="0" fontId="4" fillId="0" borderId="5" xfId="0" applyFont="1" applyBorder="1"/>
    <xf numFmtId="0" fontId="4" fillId="0" borderId="6" xfId="0" applyFont="1" applyBorder="1"/>
    <xf numFmtId="0" fontId="4" fillId="0" borderId="5" xfId="0" applyFont="1" applyBorder="1" applyAlignment="1" applyProtection="1">
      <alignment horizontal="center"/>
    </xf>
    <xf numFmtId="37" fontId="4" fillId="0" borderId="0" xfId="0" applyNumberFormat="1" applyFont="1" applyFill="1" applyProtection="1"/>
    <xf numFmtId="37" fontId="4" fillId="0" borderId="0" xfId="0" applyNumberFormat="1" applyFont="1" applyProtection="1"/>
    <xf numFmtId="10" fontId="4" fillId="0" borderId="0" xfId="0" applyNumberFormat="1" applyFont="1" applyProtection="1"/>
    <xf numFmtId="37" fontId="4" fillId="0" borderId="5" xfId="0" applyNumberFormat="1" applyFont="1" applyBorder="1" applyProtection="1"/>
    <xf numFmtId="37" fontId="4" fillId="0" borderId="7" xfId="0" applyNumberFormat="1" applyFont="1" applyBorder="1" applyProtection="1"/>
    <xf numFmtId="37" fontId="11" fillId="0" borderId="0" xfId="0" applyNumberFormat="1" applyFont="1" applyProtection="1"/>
    <xf numFmtId="10" fontId="11" fillId="0" borderId="0" xfId="0" applyNumberFormat="1" applyFont="1" applyProtection="1"/>
    <xf numFmtId="0" fontId="4" fillId="0" borderId="0" xfId="148" applyFont="1"/>
    <xf numFmtId="0" fontId="4" fillId="0" borderId="0" xfId="148" applyFont="1" applyAlignment="1" applyProtection="1">
      <alignment horizontal="center"/>
    </xf>
    <xf numFmtId="0" fontId="4" fillId="0" borderId="0" xfId="148" applyFont="1" applyAlignment="1" applyProtection="1">
      <alignment horizontal="left"/>
    </xf>
    <xf numFmtId="0" fontId="4" fillId="0" borderId="8" xfId="148" applyFont="1" applyBorder="1"/>
    <xf numFmtId="0" fontId="4" fillId="0" borderId="8" xfId="148" applyFont="1" applyBorder="1" applyAlignment="1" applyProtection="1">
      <alignment horizontal="center"/>
    </xf>
    <xf numFmtId="0" fontId="4" fillId="0" borderId="5" xfId="148" applyFont="1" applyBorder="1" applyAlignment="1" applyProtection="1">
      <alignment horizontal="center"/>
    </xf>
    <xf numFmtId="0" fontId="4" fillId="0" borderId="5" xfId="148" applyFont="1" applyBorder="1"/>
    <xf numFmtId="0" fontId="4" fillId="0" borderId="0" xfId="148" applyFont="1" applyProtection="1"/>
    <xf numFmtId="39" fontId="4" fillId="0" borderId="0" xfId="148" applyNumberFormat="1" applyFont="1" applyProtection="1"/>
    <xf numFmtId="39" fontId="6" fillId="0" borderId="0" xfId="148" applyNumberFormat="1" applyFont="1" applyAlignment="1" applyProtection="1">
      <alignment horizontal="left"/>
    </xf>
    <xf numFmtId="37" fontId="4" fillId="0" borderId="0" xfId="148" applyNumberFormat="1" applyFont="1" applyProtection="1"/>
    <xf numFmtId="39" fontId="4" fillId="0" borderId="0" xfId="148" applyNumberFormat="1" applyFont="1" applyAlignment="1" applyProtection="1">
      <alignment horizontal="left"/>
    </xf>
    <xf numFmtId="37" fontId="4" fillId="0" borderId="5" xfId="148" applyNumberFormat="1" applyFont="1" applyBorder="1" applyProtection="1"/>
    <xf numFmtId="0" fontId="4" fillId="0" borderId="0" xfId="147" applyFont="1"/>
    <xf numFmtId="0" fontId="4" fillId="0" borderId="0" xfId="147" applyFont="1" applyAlignment="1" applyProtection="1">
      <alignment horizontal="center"/>
    </xf>
    <xf numFmtId="0" fontId="4" fillId="0" borderId="0" xfId="147" applyFont="1" applyAlignment="1" applyProtection="1">
      <alignment horizontal="left"/>
    </xf>
    <xf numFmtId="0" fontId="4" fillId="0" borderId="5" xfId="147" applyFont="1" applyBorder="1" applyAlignment="1" applyProtection="1">
      <alignment horizontal="left"/>
    </xf>
    <xf numFmtId="0" fontId="6" fillId="0" borderId="0" xfId="147" applyFont="1"/>
    <xf numFmtId="0" fontId="4" fillId="0" borderId="5" xfId="147" applyFont="1" applyBorder="1" applyAlignment="1" applyProtection="1">
      <alignment horizontal="center"/>
    </xf>
    <xf numFmtId="0" fontId="6" fillId="0" borderId="0" xfId="147" applyFont="1" applyAlignment="1" applyProtection="1">
      <alignment horizontal="left"/>
    </xf>
    <xf numFmtId="165" fontId="4" fillId="0" borderId="0" xfId="147" applyNumberFormat="1" applyFont="1" applyProtection="1"/>
    <xf numFmtId="37" fontId="4" fillId="0" borderId="0" xfId="147" applyNumberFormat="1" applyFont="1" applyProtection="1"/>
    <xf numFmtId="37" fontId="4" fillId="0" borderId="5" xfId="147" applyNumberFormat="1" applyFont="1" applyBorder="1" applyProtection="1"/>
    <xf numFmtId="37" fontId="12" fillId="0" borderId="0" xfId="147" applyNumberFormat="1" applyFont="1" applyProtection="1"/>
    <xf numFmtId="39" fontId="4" fillId="0" borderId="0" xfId="146" applyNumberFormat="1" applyFont="1" applyFill="1" applyAlignment="1" applyProtection="1">
      <alignment horizontal="left"/>
    </xf>
    <xf numFmtId="0" fontId="4" fillId="0" borderId="0" xfId="145" applyFont="1"/>
    <xf numFmtId="0" fontId="4" fillId="0" borderId="0" xfId="145" applyFont="1" applyAlignment="1" applyProtection="1">
      <alignment horizontal="center"/>
    </xf>
    <xf numFmtId="0" fontId="4" fillId="0" borderId="0" xfId="145" applyFont="1" applyAlignment="1" applyProtection="1">
      <alignment horizontal="left"/>
    </xf>
    <xf numFmtId="0" fontId="4" fillId="0" borderId="5" xfId="145" applyFont="1" applyBorder="1" applyAlignment="1" applyProtection="1">
      <alignment horizontal="left"/>
    </xf>
    <xf numFmtId="0" fontId="4" fillId="0" borderId="5" xfId="145" applyFont="1" applyBorder="1"/>
    <xf numFmtId="0" fontId="4" fillId="0" borderId="5" xfId="145" applyFont="1" applyBorder="1" applyAlignment="1" applyProtection="1">
      <alignment horizontal="center"/>
    </xf>
    <xf numFmtId="0" fontId="4" fillId="0" borderId="0" xfId="145" applyFont="1" applyProtection="1"/>
    <xf numFmtId="39" fontId="4" fillId="0" borderId="0" xfId="145" applyNumberFormat="1" applyFont="1" applyProtection="1"/>
    <xf numFmtId="39" fontId="6" fillId="0" borderId="0" xfId="145" applyNumberFormat="1" applyFont="1" applyAlignment="1" applyProtection="1">
      <alignment horizontal="left"/>
    </xf>
    <xf numFmtId="37" fontId="4" fillId="0" borderId="0" xfId="145" applyNumberFormat="1" applyFont="1" applyProtection="1"/>
    <xf numFmtId="39" fontId="4" fillId="0" borderId="0" xfId="145" applyNumberFormat="1" applyFont="1" applyAlignment="1" applyProtection="1">
      <alignment horizontal="left"/>
    </xf>
    <xf numFmtId="10" fontId="12" fillId="0" borderId="0" xfId="145" applyNumberFormat="1" applyFont="1" applyProtection="1"/>
    <xf numFmtId="37" fontId="4" fillId="0" borderId="5" xfId="145" applyNumberFormat="1" applyFont="1" applyBorder="1" applyProtection="1"/>
    <xf numFmtId="37" fontId="4" fillId="0" borderId="0" xfId="145" applyNumberFormat="1" applyFont="1" applyAlignment="1" applyProtection="1">
      <alignment horizontal="left"/>
    </xf>
    <xf numFmtId="37" fontId="4" fillId="0" borderId="5" xfId="145" applyNumberFormat="1" applyFont="1" applyBorder="1" applyAlignment="1" applyProtection="1">
      <alignment horizontal="left"/>
    </xf>
    <xf numFmtId="37" fontId="12" fillId="0" borderId="0" xfId="145" applyNumberFormat="1" applyFont="1" applyProtection="1"/>
    <xf numFmtId="37" fontId="4" fillId="0" borderId="0" xfId="0" applyNumberFormat="1" applyFont="1" applyAlignment="1" applyProtection="1">
      <alignment horizontal="left"/>
    </xf>
    <xf numFmtId="37" fontId="12" fillId="0" borderId="0" xfId="0" applyNumberFormat="1" applyFont="1" applyProtection="1"/>
    <xf numFmtId="37" fontId="4" fillId="0" borderId="0" xfId="150" applyFont="1"/>
    <xf numFmtId="37" fontId="4" fillId="0" borderId="0" xfId="150" applyFont="1" applyAlignment="1" applyProtection="1">
      <alignment horizontal="center"/>
    </xf>
    <xf numFmtId="37" fontId="4" fillId="0" borderId="0" xfId="150" applyFont="1" applyAlignment="1" applyProtection="1">
      <alignment horizontal="left"/>
    </xf>
    <xf numFmtId="37" fontId="4" fillId="0" borderId="5" xfId="150" applyFont="1" applyBorder="1"/>
    <xf numFmtId="37" fontId="6" fillId="0" borderId="0" xfId="150" applyFont="1"/>
    <xf numFmtId="37" fontId="4" fillId="0" borderId="5" xfId="150" applyFont="1" applyBorder="1" applyAlignment="1" applyProtection="1">
      <alignment horizontal="center"/>
    </xf>
    <xf numFmtId="37" fontId="4" fillId="0" borderId="0" xfId="150" applyFont="1" applyProtection="1"/>
    <xf numFmtId="37" fontId="4" fillId="0" borderId="0" xfId="150" applyNumberFormat="1" applyFont="1" applyProtection="1"/>
    <xf numFmtId="37" fontId="4" fillId="0" borderId="0" xfId="150" applyFont="1" applyBorder="1"/>
    <xf numFmtId="0" fontId="4" fillId="0" borderId="0" xfId="165" applyFont="1"/>
    <xf numFmtId="0" fontId="4" fillId="0" borderId="0" xfId="165" applyFont="1" applyBorder="1"/>
    <xf numFmtId="0" fontId="8" fillId="0" borderId="0" xfId="165" applyFont="1"/>
    <xf numFmtId="0" fontId="8" fillId="0" borderId="0" xfId="165" applyFont="1" applyAlignment="1" applyProtection="1">
      <alignment horizontal="center"/>
    </xf>
    <xf numFmtId="49" fontId="14" fillId="0" borderId="0" xfId="165" applyNumberFormat="1" applyFont="1" applyAlignment="1" applyProtection="1">
      <alignment horizontal="left"/>
    </xf>
    <xf numFmtId="37" fontId="15" fillId="0" borderId="0" xfId="165" applyNumberFormat="1" applyFont="1" applyFill="1" applyProtection="1"/>
    <xf numFmtId="0" fontId="4" fillId="0" borderId="0" xfId="165" quotePrefix="1" applyFont="1"/>
    <xf numFmtId="0" fontId="5" fillId="0" borderId="0" xfId="0" applyFont="1"/>
    <xf numFmtId="0" fontId="6" fillId="0" borderId="0" xfId="0" applyFont="1"/>
    <xf numFmtId="0" fontId="4" fillId="0" borderId="0" xfId="0" applyFont="1" applyProtection="1"/>
    <xf numFmtId="0" fontId="6" fillId="0" borderId="0" xfId="0" applyFont="1" applyAlignment="1" applyProtection="1">
      <alignment horizontal="left"/>
    </xf>
    <xf numFmtId="37" fontId="4" fillId="0" borderId="6" xfId="0" applyNumberFormat="1" applyFont="1" applyBorder="1" applyProtection="1"/>
    <xf numFmtId="37" fontId="4" fillId="0" borderId="0" xfId="0" applyNumberFormat="1" applyFont="1" applyBorder="1" applyProtection="1"/>
    <xf numFmtId="0" fontId="4" fillId="0" borderId="0" xfId="0" applyFont="1" applyBorder="1"/>
    <xf numFmtId="0" fontId="4" fillId="0" borderId="0" xfId="0" applyFont="1" applyBorder="1" applyAlignment="1" applyProtection="1">
      <alignment horizontal="left"/>
    </xf>
    <xf numFmtId="0" fontId="4" fillId="0" borderId="0" xfId="166" applyFont="1"/>
    <xf numFmtId="0" fontId="4" fillId="0" borderId="0" xfId="166" quotePrefix="1" applyFont="1" applyBorder="1" applyAlignment="1" applyProtection="1">
      <alignment horizontal="center"/>
    </xf>
    <xf numFmtId="164" fontId="4" fillId="0" borderId="0" xfId="166" applyNumberFormat="1" applyFont="1" applyAlignment="1" applyProtection="1">
      <alignment horizontal="left"/>
    </xf>
    <xf numFmtId="0" fontId="4" fillId="0" borderId="6" xfId="166" applyFont="1" applyBorder="1"/>
    <xf numFmtId="0" fontId="4" fillId="0" borderId="0" xfId="166" applyFont="1" applyBorder="1"/>
    <xf numFmtId="0" fontId="8" fillId="0" borderId="0" xfId="166" applyFont="1" applyBorder="1" applyAlignment="1">
      <alignment horizontal="center"/>
    </xf>
    <xf numFmtId="0" fontId="8" fillId="0" borderId="0" xfId="166" applyFont="1" applyAlignment="1">
      <alignment horizontal="center"/>
    </xf>
    <xf numFmtId="0" fontId="8" fillId="0" borderId="6" xfId="166" applyFont="1" applyBorder="1" applyAlignment="1">
      <alignment horizontal="center"/>
    </xf>
    <xf numFmtId="0" fontId="8" fillId="0" borderId="0" xfId="166" applyFont="1"/>
    <xf numFmtId="0" fontId="8" fillId="0" borderId="0" xfId="166" applyFont="1" applyAlignment="1" applyProtection="1">
      <alignment horizontal="center"/>
    </xf>
    <xf numFmtId="0" fontId="13" fillId="0" borderId="0" xfId="166" applyFont="1" applyAlignment="1" applyProtection="1">
      <alignment horizontal="center"/>
    </xf>
    <xf numFmtId="37" fontId="4" fillId="0" borderId="0" xfId="166" applyNumberFormat="1" applyFont="1" applyProtection="1"/>
    <xf numFmtId="5" fontId="4" fillId="0" borderId="0" xfId="166" applyNumberFormat="1" applyFont="1" applyProtection="1"/>
    <xf numFmtId="37" fontId="4" fillId="0" borderId="0" xfId="166" applyNumberFormat="1" applyFont="1"/>
    <xf numFmtId="0" fontId="4" fillId="0" borderId="0" xfId="166" quotePrefix="1" applyFont="1" applyAlignment="1" applyProtection="1">
      <alignment horizontal="left"/>
    </xf>
    <xf numFmtId="0" fontId="8" fillId="0" borderId="0" xfId="166" applyFont="1" applyAlignment="1" applyProtection="1">
      <alignment horizontal="left"/>
    </xf>
    <xf numFmtId="5" fontId="8" fillId="0" borderId="0" xfId="166" applyNumberFormat="1" applyFont="1" applyProtection="1"/>
    <xf numFmtId="37" fontId="8" fillId="0" borderId="0" xfId="166" applyNumberFormat="1" applyFont="1" applyProtection="1"/>
    <xf numFmtId="0" fontId="8" fillId="0" borderId="6" xfId="166" quotePrefix="1" applyFont="1" applyBorder="1" applyAlignment="1">
      <alignment horizontal="center"/>
    </xf>
    <xf numFmtId="37" fontId="4" fillId="0" borderId="6" xfId="145" applyNumberFormat="1" applyFont="1" applyBorder="1" applyProtection="1"/>
    <xf numFmtId="0" fontId="4" fillId="0" borderId="0" xfId="145" applyFont="1" applyBorder="1"/>
    <xf numFmtId="0" fontId="4" fillId="0" borderId="0" xfId="145" applyFont="1" applyBorder="1" applyAlignment="1" applyProtection="1">
      <alignment horizontal="left"/>
    </xf>
    <xf numFmtId="0" fontId="4" fillId="0" borderId="0" xfId="145" applyFont="1" applyBorder="1" applyAlignment="1" applyProtection="1">
      <alignment horizontal="center"/>
    </xf>
    <xf numFmtId="37" fontId="4" fillId="0" borderId="0" xfId="145" applyNumberFormat="1" applyFont="1" applyBorder="1" applyProtection="1"/>
    <xf numFmtId="37" fontId="4" fillId="0" borderId="0" xfId="145" applyNumberFormat="1" applyFont="1" applyBorder="1" applyAlignment="1" applyProtection="1">
      <alignment horizontal="left"/>
    </xf>
    <xf numFmtId="39" fontId="6" fillId="0" borderId="0" xfId="145" applyNumberFormat="1" applyFont="1" applyBorder="1" applyAlignment="1" applyProtection="1">
      <alignment horizontal="left"/>
    </xf>
    <xf numFmtId="39" fontId="4" fillId="0" borderId="0" xfId="145" applyNumberFormat="1" applyFont="1" applyBorder="1" applyAlignment="1" applyProtection="1">
      <alignment horizontal="left"/>
    </xf>
    <xf numFmtId="0" fontId="4" fillId="0" borderId="6" xfId="145" applyFont="1" applyBorder="1" applyAlignment="1" applyProtection="1">
      <alignment horizontal="center"/>
    </xf>
    <xf numFmtId="0" fontId="4" fillId="0" borderId="6" xfId="145" applyFont="1" applyBorder="1"/>
    <xf numFmtId="17" fontId="4" fillId="0" borderId="6" xfId="145" applyNumberFormat="1" applyFont="1" applyFill="1" applyBorder="1" applyAlignment="1" applyProtection="1">
      <alignment horizontal="center"/>
    </xf>
    <xf numFmtId="0" fontId="4" fillId="0" borderId="6" xfId="145" applyFont="1" applyBorder="1" applyAlignment="1">
      <alignment horizontal="center"/>
    </xf>
    <xf numFmtId="0" fontId="4" fillId="0" borderId="6" xfId="145" applyFont="1" applyBorder="1" applyAlignment="1" applyProtection="1">
      <alignment horizontal="left"/>
    </xf>
    <xf numFmtId="37" fontId="4" fillId="0" borderId="0" xfId="145" applyNumberFormat="1" applyFont="1"/>
    <xf numFmtId="37" fontId="4" fillId="0" borderId="6" xfId="145" applyNumberFormat="1" applyFont="1" applyBorder="1"/>
    <xf numFmtId="37" fontId="4" fillId="0" borderId="7" xfId="145" applyNumberFormat="1" applyFont="1" applyBorder="1" applyProtection="1"/>
    <xf numFmtId="2" fontId="4" fillId="0" borderId="0" xfId="145" applyNumberFormat="1" applyFont="1"/>
    <xf numFmtId="2" fontId="4" fillId="0" borderId="5" xfId="145" applyNumberFormat="1" applyFont="1" applyBorder="1"/>
    <xf numFmtId="2" fontId="4" fillId="0" borderId="0" xfId="145" applyNumberFormat="1" applyFont="1" applyAlignment="1" applyProtection="1">
      <alignment horizontal="center"/>
    </xf>
    <xf numFmtId="2" fontId="4" fillId="0" borderId="6" xfId="145" applyNumberFormat="1" applyFont="1" applyBorder="1" applyAlignment="1" applyProtection="1">
      <alignment horizontal="center"/>
    </xf>
    <xf numFmtId="2" fontId="4" fillId="0" borderId="0" xfId="145" applyNumberFormat="1" applyFont="1" applyProtection="1"/>
    <xf numFmtId="0" fontId="5" fillId="0" borderId="0" xfId="145" applyFont="1" applyAlignment="1" applyProtection="1"/>
    <xf numFmtId="37" fontId="4" fillId="0" borderId="6" xfId="148" applyNumberFormat="1" applyFont="1" applyBorder="1" applyProtection="1"/>
    <xf numFmtId="37" fontId="4" fillId="0" borderId="6" xfId="147" applyNumberFormat="1" applyFont="1" applyBorder="1" applyProtection="1"/>
    <xf numFmtId="0" fontId="4" fillId="0" borderId="0" xfId="147" applyFont="1" applyAlignment="1">
      <alignment horizontal="center"/>
    </xf>
    <xf numFmtId="10" fontId="4" fillId="0" borderId="0" xfId="0" applyNumberFormat="1" applyFont="1" applyFill="1" applyProtection="1"/>
    <xf numFmtId="0" fontId="4" fillId="0" borderId="0" xfId="0" applyFont="1" applyFill="1"/>
    <xf numFmtId="37" fontId="4" fillId="0" borderId="0" xfId="0" applyNumberFormat="1" applyFont="1"/>
    <xf numFmtId="37" fontId="4" fillId="0" borderId="0" xfId="150" applyFont="1" applyAlignment="1" applyProtection="1">
      <alignment horizontal="right"/>
    </xf>
    <xf numFmtId="37" fontId="4" fillId="0" borderId="0" xfId="150" applyFont="1" applyAlignment="1">
      <alignment horizontal="center"/>
    </xf>
    <xf numFmtId="37" fontId="4" fillId="0" borderId="5" xfId="150" quotePrefix="1" applyFont="1" applyBorder="1" applyAlignment="1" applyProtection="1">
      <alignment horizontal="center"/>
    </xf>
    <xf numFmtId="37" fontId="9" fillId="0" borderId="0" xfId="150" applyFont="1"/>
    <xf numFmtId="37" fontId="4" fillId="0" borderId="0" xfId="150" applyFont="1" applyAlignment="1">
      <alignment horizontal="right"/>
    </xf>
    <xf numFmtId="170" fontId="4" fillId="0" borderId="0" xfId="150" applyNumberFormat="1" applyFont="1" applyProtection="1"/>
    <xf numFmtId="37" fontId="4" fillId="0" borderId="6" xfId="150" applyNumberFormat="1" applyFont="1" applyBorder="1" applyProtection="1"/>
    <xf numFmtId="37" fontId="4" fillId="0" borderId="0" xfId="150" applyNumberFormat="1" applyFont="1" applyFill="1" applyProtection="1"/>
    <xf numFmtId="37" fontId="5" fillId="0" borderId="0" xfId="150" applyFont="1" applyFill="1" applyProtection="1"/>
    <xf numFmtId="2" fontId="4" fillId="0" borderId="0" xfId="150" applyNumberFormat="1" applyFont="1" applyProtection="1"/>
    <xf numFmtId="37" fontId="4" fillId="0" borderId="7" xfId="150" applyFont="1" applyBorder="1" applyProtection="1"/>
    <xf numFmtId="0" fontId="4" fillId="0" borderId="0" xfId="151" applyFont="1" applyAlignment="1">
      <alignment horizontal="right"/>
    </xf>
    <xf numFmtId="0" fontId="4" fillId="0" borderId="0" xfId="151" applyFont="1"/>
    <xf numFmtId="0" fontId="4" fillId="0" borderId="0" xfId="151" applyFont="1" applyBorder="1"/>
    <xf numFmtId="0" fontId="9" fillId="0" borderId="0" xfId="151" applyFont="1" applyBorder="1"/>
    <xf numFmtId="37" fontId="9" fillId="0" borderId="0" xfId="150" applyFont="1" applyBorder="1"/>
    <xf numFmtId="0" fontId="4" fillId="0" borderId="0" xfId="0" applyFont="1" applyAlignment="1">
      <alignment horizontal="center"/>
    </xf>
    <xf numFmtId="0" fontId="4" fillId="0" borderId="0" xfId="0" quotePrefix="1" applyFont="1" applyAlignment="1" applyProtection="1">
      <alignment horizontal="center"/>
    </xf>
    <xf numFmtId="0" fontId="4" fillId="0" borderId="0" xfId="145" applyFont="1" applyAlignment="1" applyProtection="1">
      <alignment horizontal="right"/>
    </xf>
    <xf numFmtId="37" fontId="5" fillId="3" borderId="0" xfId="166" applyNumberFormat="1" applyFont="1" applyFill="1" applyProtection="1"/>
    <xf numFmtId="5" fontId="5" fillId="3" borderId="0" xfId="166" applyNumberFormat="1" applyFont="1" applyFill="1" applyProtection="1"/>
    <xf numFmtId="37" fontId="5" fillId="3" borderId="0" xfId="166" applyNumberFormat="1" applyFont="1" applyFill="1"/>
    <xf numFmtId="5" fontId="5" fillId="3" borderId="0" xfId="166" applyNumberFormat="1" applyFont="1" applyFill="1" applyBorder="1" applyProtection="1"/>
    <xf numFmtId="0" fontId="4" fillId="0" borderId="0" xfId="148" applyFont="1" applyAlignment="1" applyProtection="1">
      <alignment horizontal="right"/>
    </xf>
    <xf numFmtId="0" fontId="4" fillId="0" borderId="0" xfId="147" applyFont="1" applyAlignment="1" applyProtection="1">
      <alignment horizontal="right"/>
    </xf>
    <xf numFmtId="0" fontId="4" fillId="0" borderId="6" xfId="0" applyFont="1" applyBorder="1" applyAlignment="1" applyProtection="1">
      <alignment horizontal="left"/>
    </xf>
    <xf numFmtId="0" fontId="4" fillId="0" borderId="0" xfId="166" applyFont="1" applyAlignment="1" applyProtection="1">
      <alignment horizontal="right"/>
    </xf>
    <xf numFmtId="0" fontId="4" fillId="0" borderId="6" xfId="166" applyFont="1" applyBorder="1" applyAlignment="1" applyProtection="1">
      <alignment horizontal="right"/>
    </xf>
    <xf numFmtId="0" fontId="4" fillId="0" borderId="0" xfId="0" applyFont="1" applyFill="1" applyAlignment="1" applyProtection="1">
      <alignment horizontal="center"/>
    </xf>
    <xf numFmtId="0" fontId="4" fillId="0" borderId="0" xfId="0" applyFont="1" applyFill="1" applyAlignment="1" applyProtection="1">
      <alignment horizontal="left"/>
    </xf>
    <xf numFmtId="0" fontId="4" fillId="0" borderId="0" xfId="145" applyFont="1" applyFill="1"/>
    <xf numFmtId="37" fontId="4" fillId="0" borderId="0" xfId="145" applyNumberFormat="1" applyFont="1" applyFill="1" applyProtection="1"/>
    <xf numFmtId="37" fontId="5" fillId="0" borderId="0" xfId="145" applyNumberFormat="1" applyFont="1" applyFill="1" applyProtection="1"/>
    <xf numFmtId="0" fontId="4" fillId="0" borderId="0" xfId="0" applyFont="1" applyFill="1" applyAlignment="1" applyProtection="1">
      <alignment horizontal="right"/>
    </xf>
    <xf numFmtId="0" fontId="4" fillId="0" borderId="5" xfId="0" applyFont="1" applyFill="1" applyBorder="1" applyAlignment="1" applyProtection="1">
      <alignment horizontal="left"/>
    </xf>
    <xf numFmtId="0" fontId="4" fillId="0" borderId="5" xfId="0" applyFont="1" applyFill="1" applyBorder="1"/>
    <xf numFmtId="0" fontId="4" fillId="0" borderId="5" xfId="0" applyFont="1" applyFill="1" applyBorder="1" applyAlignment="1" applyProtection="1">
      <alignment horizontal="center"/>
    </xf>
    <xf numFmtId="0" fontId="6" fillId="0" borderId="0" xfId="0" applyFont="1" applyFill="1"/>
    <xf numFmtId="0" fontId="6" fillId="0" borderId="0" xfId="0" applyFont="1" applyFill="1" applyAlignment="1" applyProtection="1">
      <alignment horizontal="center"/>
    </xf>
    <xf numFmtId="0" fontId="4" fillId="0" borderId="0" xfId="147" applyFont="1" applyFill="1" applyAlignment="1" applyProtection="1">
      <alignment horizontal="center"/>
    </xf>
    <xf numFmtId="0" fontId="4" fillId="0" borderId="0" xfId="147" applyFont="1" applyFill="1"/>
    <xf numFmtId="0" fontId="4" fillId="0" borderId="5" xfId="147" applyFont="1" applyFill="1" applyBorder="1" applyAlignment="1" applyProtection="1">
      <alignment horizontal="center"/>
    </xf>
    <xf numFmtId="37" fontId="4" fillId="0" borderId="0" xfId="147" applyNumberFormat="1" applyFont="1" applyFill="1" applyProtection="1"/>
    <xf numFmtId="37" fontId="12" fillId="0" borderId="0" xfId="147" applyNumberFormat="1" applyFont="1" applyFill="1" applyProtection="1"/>
    <xf numFmtId="37" fontId="4" fillId="0" borderId="0" xfId="147" applyNumberFormat="1" applyFont="1" applyFill="1"/>
    <xf numFmtId="37" fontId="4" fillId="0" borderId="0" xfId="147" applyNumberFormat="1" applyFont="1" applyFill="1" applyBorder="1" applyProtection="1"/>
    <xf numFmtId="37" fontId="4" fillId="0" borderId="0" xfId="145" applyNumberFormat="1" applyFont="1" applyFill="1" applyBorder="1" applyProtection="1"/>
    <xf numFmtId="39" fontId="4" fillId="0" borderId="0" xfId="145" applyNumberFormat="1" applyFont="1" applyFill="1" applyAlignment="1" applyProtection="1">
      <alignment horizontal="left"/>
    </xf>
    <xf numFmtId="39" fontId="4" fillId="0" borderId="0" xfId="145" applyNumberFormat="1" applyFont="1" applyFill="1" applyProtection="1"/>
    <xf numFmtId="37" fontId="4" fillId="0" borderId="0" xfId="145" applyNumberFormat="1" applyFont="1" applyFill="1" applyBorder="1" applyAlignment="1" applyProtection="1">
      <alignment horizontal="left"/>
    </xf>
    <xf numFmtId="37" fontId="5" fillId="0" borderId="0" xfId="147" applyNumberFormat="1" applyFont="1" applyFill="1" applyProtection="1"/>
    <xf numFmtId="0" fontId="4" fillId="0" borderId="0" xfId="149" applyFont="1" applyFill="1"/>
    <xf numFmtId="0" fontId="4" fillId="0" borderId="0" xfId="149" applyFont="1" applyFill="1" applyAlignment="1" applyProtection="1">
      <alignment horizontal="center"/>
    </xf>
    <xf numFmtId="0" fontId="4" fillId="0" borderId="0" xfId="149" applyFont="1" applyFill="1" applyAlignment="1" applyProtection="1">
      <alignment horizontal="left"/>
    </xf>
    <xf numFmtId="0" fontId="4" fillId="0" borderId="0" xfId="149" applyFont="1" applyFill="1" applyAlignment="1" applyProtection="1">
      <alignment horizontal="right"/>
    </xf>
    <xf numFmtId="0" fontId="4" fillId="0" borderId="8" xfId="149" applyFont="1" applyFill="1" applyBorder="1"/>
    <xf numFmtId="0" fontId="4" fillId="0" borderId="8" xfId="149" applyFont="1" applyFill="1" applyBorder="1" applyAlignment="1" applyProtection="1">
      <alignment horizontal="center"/>
    </xf>
    <xf numFmtId="0" fontId="4" fillId="0" borderId="5" xfId="149" applyFont="1" applyFill="1" applyBorder="1" applyAlignment="1" applyProtection="1">
      <alignment horizontal="center"/>
    </xf>
    <xf numFmtId="0" fontId="4" fillId="0" borderId="5" xfId="149" applyFont="1" applyFill="1" applyBorder="1"/>
    <xf numFmtId="0" fontId="4" fillId="0" borderId="0" xfId="149" applyFont="1" applyFill="1" applyProtection="1"/>
    <xf numFmtId="39" fontId="4" fillId="0" borderId="0" xfId="149" applyNumberFormat="1" applyFont="1" applyFill="1" applyProtection="1"/>
    <xf numFmtId="39" fontId="6" fillId="0" borderId="0" xfId="149" applyNumberFormat="1" applyFont="1" applyFill="1" applyProtection="1"/>
    <xf numFmtId="0" fontId="68" fillId="0" borderId="0" xfId="0" applyFont="1" applyAlignment="1" applyProtection="1">
      <alignment horizontal="center"/>
    </xf>
    <xf numFmtId="0" fontId="68" fillId="0" borderId="0" xfId="0" applyFont="1"/>
    <xf numFmtId="0" fontId="2" fillId="0" borderId="5" xfId="0" applyFont="1" applyBorder="1" applyAlignment="1" applyProtection="1">
      <alignment horizontal="right"/>
    </xf>
    <xf numFmtId="0" fontId="2" fillId="0" borderId="0" xfId="145" applyFont="1" applyBorder="1" applyAlignment="1" applyProtection="1">
      <alignment horizontal="right"/>
    </xf>
    <xf numFmtId="0" fontId="4" fillId="0" borderId="2" xfId="145" applyFont="1" applyBorder="1" applyAlignment="1" applyProtection="1">
      <alignment horizontal="left"/>
    </xf>
    <xf numFmtId="0" fontId="4" fillId="0" borderId="2" xfId="145" applyFont="1" applyBorder="1"/>
    <xf numFmtId="0" fontId="2" fillId="0" borderId="0" xfId="145" applyFont="1" applyAlignment="1">
      <alignment horizontal="center"/>
    </xf>
    <xf numFmtId="0" fontId="5" fillId="0" borderId="0" xfId="146" applyFont="1" applyFill="1" applyBorder="1" applyAlignment="1" applyProtection="1">
      <alignment horizontal="left"/>
    </xf>
    <xf numFmtId="0" fontId="4" fillId="0" borderId="0" xfId="147" applyFont="1" applyBorder="1"/>
    <xf numFmtId="0" fontId="4" fillId="0" borderId="0" xfId="147" applyFont="1" applyFill="1" applyBorder="1"/>
    <xf numFmtId="0" fontId="4" fillId="0" borderId="0" xfId="147" applyFont="1" applyBorder="1" applyAlignment="1" applyProtection="1">
      <alignment horizontal="left"/>
    </xf>
    <xf numFmtId="0" fontId="2" fillId="0" borderId="0" xfId="147" applyFont="1" applyBorder="1" applyAlignment="1" applyProtection="1">
      <alignment horizontal="right"/>
    </xf>
    <xf numFmtId="0" fontId="4" fillId="0" borderId="2" xfId="147" applyFont="1" applyBorder="1" applyAlignment="1">
      <alignment horizontal="center"/>
    </xf>
    <xf numFmtId="0" fontId="4" fillId="0" borderId="2" xfId="147" applyFont="1" applyBorder="1"/>
    <xf numFmtId="0" fontId="4" fillId="0" borderId="2" xfId="147" applyFont="1" applyFill="1" applyBorder="1"/>
    <xf numFmtId="0" fontId="2" fillId="0" borderId="2" xfId="147" applyFont="1" applyBorder="1" applyAlignment="1">
      <alignment horizontal="center"/>
    </xf>
    <xf numFmtId="0" fontId="4" fillId="0" borderId="0" xfId="0" applyFont="1" applyFill="1" applyBorder="1" applyAlignment="1" applyProtection="1">
      <alignment horizontal="left"/>
    </xf>
    <xf numFmtId="0" fontId="4" fillId="0" borderId="0" xfId="0" applyFont="1" applyFill="1" applyBorder="1"/>
    <xf numFmtId="0" fontId="2" fillId="0" borderId="0" xfId="0" applyFont="1" applyFill="1" applyBorder="1" applyAlignment="1" applyProtection="1">
      <alignment horizontal="right"/>
    </xf>
    <xf numFmtId="0" fontId="4" fillId="0" borderId="0" xfId="0" applyFont="1" applyFill="1" applyAlignment="1" applyProtection="1"/>
    <xf numFmtId="0" fontId="5" fillId="0" borderId="0" xfId="0" applyFont="1" applyFill="1" applyAlignment="1" applyProtection="1"/>
    <xf numFmtId="0" fontId="4" fillId="0" borderId="2" xfId="0" applyFont="1" applyFill="1" applyBorder="1"/>
    <xf numFmtId="0" fontId="4" fillId="0" borderId="2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right"/>
    </xf>
    <xf numFmtId="0" fontId="6" fillId="0" borderId="2" xfId="0" applyFont="1" applyFill="1" applyBorder="1"/>
    <xf numFmtId="0" fontId="2" fillId="0" borderId="0" xfId="148" applyFont="1" applyAlignment="1" applyProtection="1">
      <alignment horizontal="right"/>
    </xf>
    <xf numFmtId="0" fontId="2" fillId="0" borderId="0" xfId="149" applyFont="1" applyFill="1" applyAlignment="1" applyProtection="1">
      <alignment horizontal="right"/>
    </xf>
    <xf numFmtId="0" fontId="4" fillId="0" borderId="0" xfId="144" applyFont="1" applyBorder="1" applyAlignment="1" applyProtection="1">
      <alignment horizontal="left"/>
    </xf>
    <xf numFmtId="37" fontId="4" fillId="0" borderId="2" xfId="150" applyFont="1" applyBorder="1"/>
    <xf numFmtId="37" fontId="6" fillId="0" borderId="2" xfId="150" applyFont="1" applyBorder="1"/>
    <xf numFmtId="37" fontId="6" fillId="0" borderId="2" xfId="150" applyFont="1" applyBorder="1" applyAlignment="1" applyProtection="1">
      <alignment horizontal="center"/>
    </xf>
    <xf numFmtId="37" fontId="9" fillId="0" borderId="2" xfId="150" applyFont="1" applyBorder="1"/>
    <xf numFmtId="0" fontId="2" fillId="0" borderId="0" xfId="144" applyFont="1" applyAlignment="1" applyProtection="1">
      <alignment horizontal="left"/>
    </xf>
    <xf numFmtId="0" fontId="11" fillId="0" borderId="0" xfId="0" applyFont="1" applyBorder="1"/>
    <xf numFmtId="0" fontId="2" fillId="0" borderId="0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0" fontId="4" fillId="0" borderId="2" xfId="0" applyFont="1" applyBorder="1"/>
    <xf numFmtId="0" fontId="4" fillId="0" borderId="2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Alignment="1" applyProtection="1"/>
    <xf numFmtId="0" fontId="5" fillId="0" borderId="0" xfId="0" applyFont="1" applyAlignment="1" applyProtection="1"/>
    <xf numFmtId="0" fontId="4" fillId="0" borderId="9" xfId="0" applyFont="1" applyBorder="1"/>
    <xf numFmtId="0" fontId="4" fillId="0" borderId="9" xfId="0" applyFont="1" applyBorder="1" applyAlignment="1" applyProtection="1">
      <alignment horizontal="center"/>
    </xf>
    <xf numFmtId="0" fontId="4" fillId="0" borderId="0" xfId="165" applyFont="1" applyBorder="1" applyAlignment="1" applyProtection="1">
      <alignment horizontal="right"/>
    </xf>
    <xf numFmtId="0" fontId="5" fillId="0" borderId="0" xfId="0" applyFont="1" applyBorder="1" applyAlignment="1" applyProtection="1">
      <alignment horizontal="left"/>
    </xf>
    <xf numFmtId="0" fontId="8" fillId="0" borderId="0" xfId="166" applyFont="1" applyBorder="1" applyAlignment="1"/>
    <xf numFmtId="0" fontId="5" fillId="0" borderId="0" xfId="166" applyFont="1" applyAlignment="1" applyProtection="1"/>
    <xf numFmtId="167" fontId="2" fillId="0" borderId="0" xfId="164" applyNumberFormat="1" applyFont="1" applyAlignment="1" applyProtection="1">
      <alignment horizontal="left"/>
    </xf>
    <xf numFmtId="0" fontId="2" fillId="0" borderId="0" xfId="164" applyFont="1"/>
    <xf numFmtId="0" fontId="2" fillId="0" borderId="0" xfId="164" applyFont="1" applyAlignment="1" applyProtection="1">
      <alignment horizontal="left"/>
    </xf>
    <xf numFmtId="0" fontId="6" fillId="0" borderId="0" xfId="164" applyFont="1" applyBorder="1" applyAlignment="1" applyProtection="1">
      <alignment horizontal="left"/>
    </xf>
    <xf numFmtId="0" fontId="6" fillId="0" borderId="0" xfId="164" applyFont="1" applyBorder="1"/>
    <xf numFmtId="0" fontId="6" fillId="0" borderId="0" xfId="164" applyFont="1" applyBorder="1" applyAlignment="1" applyProtection="1">
      <alignment horizontal="center"/>
    </xf>
    <xf numFmtId="0" fontId="2" fillId="0" borderId="0" xfId="164" applyFont="1" applyFill="1" applyAlignment="1" applyProtection="1">
      <alignment horizontal="left"/>
    </xf>
    <xf numFmtId="0" fontId="2" fillId="0" borderId="0" xfId="164" applyFont="1" applyFill="1"/>
    <xf numFmtId="0" fontId="2" fillId="0" borderId="0" xfId="164" applyFont="1" applyBorder="1"/>
    <xf numFmtId="0" fontId="2" fillId="0" borderId="5" xfId="0" applyFont="1" applyFill="1" applyBorder="1" applyAlignment="1" applyProtection="1">
      <alignment horizontal="right"/>
    </xf>
    <xf numFmtId="0" fontId="2" fillId="0" borderId="0" xfId="166" applyFont="1" applyAlignment="1" applyProtection="1">
      <alignment horizontal="right"/>
    </xf>
    <xf numFmtId="39" fontId="2" fillId="0" borderId="0" xfId="145" applyNumberFormat="1" applyFont="1" applyAlignment="1" applyProtection="1">
      <alignment horizontal="left"/>
    </xf>
    <xf numFmtId="2" fontId="4" fillId="0" borderId="0" xfId="147" applyNumberFormat="1" applyFont="1"/>
    <xf numFmtId="2" fontId="4" fillId="0" borderId="0" xfId="145" applyNumberFormat="1" applyFont="1" applyAlignment="1" applyProtection="1">
      <alignment horizontal="right"/>
    </xf>
    <xf numFmtId="2" fontId="4" fillId="0" borderId="0" xfId="147" applyNumberFormat="1" applyFont="1" applyAlignment="1">
      <alignment horizontal="right"/>
    </xf>
    <xf numFmtId="2" fontId="4" fillId="0" borderId="0" xfId="147" applyNumberFormat="1" applyFont="1" applyAlignment="1" applyProtection="1">
      <alignment horizontal="right"/>
    </xf>
    <xf numFmtId="39" fontId="2" fillId="0" borderId="0" xfId="146" applyNumberFormat="1" applyFont="1" applyFill="1" applyAlignment="1" applyProtection="1">
      <alignment horizontal="left"/>
    </xf>
    <xf numFmtId="37" fontId="2" fillId="0" borderId="0" xfId="147" applyNumberFormat="1" applyFont="1" applyFill="1" applyProtection="1"/>
    <xf numFmtId="37" fontId="68" fillId="0" borderId="0" xfId="147" applyNumberFormat="1" applyFont="1" applyFill="1" applyBorder="1" applyProtection="1"/>
    <xf numFmtId="37" fontId="68" fillId="0" borderId="0" xfId="147" applyNumberFormat="1" applyFont="1" applyFill="1" applyProtection="1"/>
    <xf numFmtId="37" fontId="6" fillId="0" borderId="0" xfId="147" applyNumberFormat="1" applyFont="1" applyFill="1" applyProtection="1"/>
    <xf numFmtId="0" fontId="2" fillId="0" borderId="0" xfId="147" applyFont="1" applyAlignment="1" applyProtection="1">
      <alignment horizontal="center"/>
    </xf>
    <xf numFmtId="0" fontId="2" fillId="0" borderId="0" xfId="147" applyFont="1" applyAlignment="1">
      <alignment horizontal="center"/>
    </xf>
    <xf numFmtId="37" fontId="69" fillId="0" borderId="0" xfId="147" applyNumberFormat="1" applyFont="1" applyFill="1" applyBorder="1" applyProtection="1"/>
    <xf numFmtId="37" fontId="4" fillId="0" borderId="0" xfId="147" applyNumberFormat="1" applyFont="1" applyBorder="1" applyProtection="1"/>
    <xf numFmtId="37" fontId="6" fillId="0" borderId="0" xfId="147" applyNumberFormat="1" applyFont="1" applyFill="1" applyBorder="1" applyProtection="1"/>
    <xf numFmtId="37" fontId="69" fillId="0" borderId="0" xfId="147" applyNumberFormat="1" applyFont="1" applyFill="1" applyProtection="1"/>
    <xf numFmtId="0" fontId="2" fillId="0" borderId="0" xfId="147" applyFont="1" applyBorder="1" applyAlignment="1" applyProtection="1">
      <alignment horizontal="center"/>
    </xf>
    <xf numFmtId="0" fontId="4" fillId="0" borderId="0" xfId="147" applyFont="1" applyBorder="1" applyAlignment="1" applyProtection="1">
      <alignment horizontal="center"/>
    </xf>
    <xf numFmtId="0" fontId="6" fillId="0" borderId="0" xfId="147" applyFont="1" applyBorder="1" applyAlignment="1" applyProtection="1"/>
    <xf numFmtId="0" fontId="4" fillId="0" borderId="0" xfId="147" applyFont="1" applyBorder="1" applyAlignment="1">
      <alignment horizontal="center"/>
    </xf>
    <xf numFmtId="0" fontId="2" fillId="0" borderId="0" xfId="147" applyFont="1" applyBorder="1" applyAlignment="1">
      <alignment horizontal="center"/>
    </xf>
    <xf numFmtId="0" fontId="6" fillId="0" borderId="0" xfId="147" applyFont="1" applyBorder="1" applyAlignment="1" applyProtection="1">
      <alignment horizontal="center"/>
    </xf>
    <xf numFmtId="0" fontId="6" fillId="0" borderId="0" xfId="147" applyFont="1" applyBorder="1" applyAlignment="1" applyProtection="1">
      <alignment horizontal="left"/>
    </xf>
    <xf numFmtId="172" fontId="6" fillId="0" borderId="0" xfId="147" applyNumberFormat="1" applyFont="1" applyBorder="1" applyAlignment="1" applyProtection="1">
      <alignment horizontal="center"/>
    </xf>
    <xf numFmtId="0" fontId="6" fillId="0" borderId="0" xfId="147" applyFont="1" applyFill="1" applyBorder="1" applyAlignment="1" applyProtection="1">
      <alignment horizontal="center"/>
    </xf>
    <xf numFmtId="0" fontId="6" fillId="0" borderId="0" xfId="147" applyFont="1" applyAlignment="1" applyProtection="1">
      <alignment horizontal="center"/>
    </xf>
    <xf numFmtId="168" fontId="4" fillId="0" borderId="0" xfId="38" applyNumberFormat="1" applyFont="1"/>
    <xf numFmtId="168" fontId="4" fillId="0" borderId="0" xfId="147" applyNumberFormat="1" applyFont="1"/>
    <xf numFmtId="10" fontId="4" fillId="0" borderId="0" xfId="167" applyNumberFormat="1" applyFont="1"/>
    <xf numFmtId="10" fontId="6" fillId="0" borderId="0" xfId="167" applyNumberFormat="1" applyFont="1"/>
    <xf numFmtId="37" fontId="5" fillId="0" borderId="6" xfId="145" applyNumberFormat="1" applyFont="1" applyFill="1" applyBorder="1" applyProtection="1"/>
    <xf numFmtId="37" fontId="5" fillId="0" borderId="0" xfId="145" applyNumberFormat="1" applyFont="1" applyFill="1" applyBorder="1" applyProtection="1"/>
    <xf numFmtId="39" fontId="5" fillId="0" borderId="0" xfId="145" applyNumberFormat="1" applyFont="1" applyFill="1" applyProtection="1"/>
    <xf numFmtId="39" fontId="4" fillId="0" borderId="0" xfId="145" applyNumberFormat="1" applyFont="1" applyFill="1" applyBorder="1" applyProtection="1"/>
    <xf numFmtId="0" fontId="2" fillId="0" borderId="0" xfId="0" applyFont="1" applyAlignment="1" applyProtection="1">
      <alignment horizontal="left"/>
    </xf>
    <xf numFmtId="39" fontId="2" fillId="0" borderId="0" xfId="145" applyNumberFormat="1" applyFont="1" applyAlignment="1" applyProtection="1">
      <alignment horizontal="left" indent="1"/>
    </xf>
    <xf numFmtId="0" fontId="2" fillId="0" borderId="0" xfId="145" applyFont="1" applyAlignment="1" applyProtection="1">
      <alignment horizontal="left"/>
    </xf>
    <xf numFmtId="0" fontId="4" fillId="0" borderId="0" xfId="145" applyFont="1" applyAlignment="1">
      <alignment horizontal="center"/>
    </xf>
    <xf numFmtId="0" fontId="2" fillId="0" borderId="0" xfId="145" applyFont="1" applyFill="1" applyAlignment="1">
      <alignment horizontal="center"/>
    </xf>
    <xf numFmtId="0" fontId="2" fillId="0" borderId="0" xfId="145" applyFont="1" applyFill="1" applyBorder="1" applyAlignment="1">
      <alignment horizontal="center"/>
    </xf>
    <xf numFmtId="0" fontId="68" fillId="0" borderId="6" xfId="145" quotePrefix="1" applyFont="1" applyFill="1" applyBorder="1" applyAlignment="1" applyProtection="1">
      <alignment horizontal="center"/>
    </xf>
    <xf numFmtId="37" fontId="4" fillId="0" borderId="0" xfId="147" applyNumberFormat="1" applyFont="1"/>
    <xf numFmtId="0" fontId="70" fillId="0" borderId="0" xfId="147" applyFont="1"/>
    <xf numFmtId="37" fontId="70" fillId="0" borderId="0" xfId="147" applyNumberFormat="1" applyFont="1"/>
    <xf numFmtId="37" fontId="6" fillId="0" borderId="0" xfId="147" applyNumberFormat="1" applyFont="1" applyProtection="1"/>
    <xf numFmtId="37" fontId="2" fillId="0" borderId="0" xfId="147" applyNumberFormat="1" applyFont="1" applyFill="1" applyAlignment="1" applyProtection="1">
      <alignment horizontal="right"/>
    </xf>
    <xf numFmtId="37" fontId="6" fillId="0" borderId="0" xfId="147" applyNumberFormat="1" applyFont="1" applyFill="1" applyAlignment="1" applyProtection="1">
      <alignment horizontal="right"/>
    </xf>
    <xf numFmtId="172" fontId="69" fillId="0" borderId="0" xfId="147" applyNumberFormat="1" applyFont="1" applyBorder="1" applyAlignment="1" applyProtection="1">
      <alignment horizontal="center"/>
    </xf>
    <xf numFmtId="0" fontId="2" fillId="4" borderId="0" xfId="147" applyFont="1" applyFill="1" applyAlignment="1" applyProtection="1">
      <alignment horizontal="right"/>
    </xf>
    <xf numFmtId="0" fontId="2" fillId="0" borderId="0" xfId="148" applyFont="1" applyAlignment="1" applyProtection="1">
      <alignment horizontal="center"/>
    </xf>
    <xf numFmtId="37" fontId="2" fillId="0" borderId="0" xfId="145" applyNumberFormat="1" applyFont="1" applyFill="1" applyProtection="1"/>
    <xf numFmtId="37" fontId="2" fillId="0" borderId="6" xfId="145" applyNumberFormat="1" applyFont="1" applyFill="1" applyBorder="1" applyProtection="1"/>
    <xf numFmtId="37" fontId="2" fillId="0" borderId="0" xfId="145" applyNumberFormat="1" applyFont="1" applyFill="1" applyBorder="1" applyProtection="1"/>
    <xf numFmtId="0" fontId="4" fillId="0" borderId="0" xfId="145" quotePrefix="1" applyFont="1" applyAlignment="1">
      <alignment horizontal="center"/>
    </xf>
    <xf numFmtId="0" fontId="2" fillId="0" borderId="0" xfId="0" applyFont="1"/>
    <xf numFmtId="0" fontId="2" fillId="0" borderId="0" xfId="0" applyFont="1" applyAlignment="1" applyProtection="1">
      <alignment horizontal="right"/>
    </xf>
    <xf numFmtId="0" fontId="2" fillId="0" borderId="5" xfId="0" applyFont="1" applyBorder="1" applyAlignment="1" applyProtection="1">
      <alignment horizontal="left"/>
    </xf>
    <xf numFmtId="0" fontId="2" fillId="0" borderId="5" xfId="0" applyFont="1" applyBorder="1"/>
    <xf numFmtId="0" fontId="2" fillId="0" borderId="0" xfId="0" applyFont="1" applyAlignment="1" applyProtection="1">
      <alignment horizontal="center"/>
    </xf>
    <xf numFmtId="0" fontId="2" fillId="0" borderId="5" xfId="0" applyFont="1" applyBorder="1" applyAlignment="1" applyProtection="1">
      <alignment horizontal="center"/>
    </xf>
    <xf numFmtId="37" fontId="2" fillId="0" borderId="0" xfId="0" applyNumberFormat="1" applyFont="1" applyProtection="1"/>
    <xf numFmtId="37" fontId="2" fillId="0" borderId="5" xfId="0" applyNumberFormat="1" applyFont="1" applyBorder="1" applyProtection="1"/>
    <xf numFmtId="37" fontId="2" fillId="0" borderId="0" xfId="0" applyNumberFormat="1" applyFont="1" applyFill="1" applyProtection="1"/>
    <xf numFmtId="0" fontId="2" fillId="0" borderId="0" xfId="0" applyFont="1" applyAlignment="1">
      <alignment horizontal="center"/>
    </xf>
    <xf numFmtId="10" fontId="2" fillId="0" borderId="0" xfId="0" applyNumberFormat="1" applyFont="1" applyProtection="1"/>
    <xf numFmtId="37" fontId="2" fillId="0" borderId="0" xfId="0" applyNumberFormat="1" applyFont="1" applyAlignment="1" applyProtection="1">
      <alignment horizontal="left"/>
    </xf>
    <xf numFmtId="37" fontId="2" fillId="0" borderId="0" xfId="0" applyNumberFormat="1" applyFont="1"/>
    <xf numFmtId="39" fontId="2" fillId="0" borderId="0" xfId="145" applyNumberFormat="1" applyFont="1" applyFill="1" applyAlignment="1" applyProtection="1">
      <alignment horizontal="left"/>
    </xf>
    <xf numFmtId="0" fontId="2" fillId="0" borderId="2" xfId="145" applyFont="1" applyBorder="1" applyAlignment="1">
      <alignment horizontal="center"/>
    </xf>
    <xf numFmtId="0" fontId="2" fillId="0" borderId="0" xfId="145" quotePrefix="1" applyFont="1" applyAlignment="1">
      <alignment horizontal="center"/>
    </xf>
    <xf numFmtId="0" fontId="2" fillId="0" borderId="6" xfId="145" applyFont="1" applyBorder="1" applyAlignment="1">
      <alignment horizontal="center"/>
    </xf>
    <xf numFmtId="39" fontId="2" fillId="0" borderId="0" xfId="148" applyNumberFormat="1" applyFont="1" applyAlignment="1" applyProtection="1">
      <alignment horizontal="left"/>
    </xf>
    <xf numFmtId="9" fontId="12" fillId="0" borderId="0" xfId="167" applyFont="1" applyAlignment="1" applyProtection="1">
      <alignment horizontal="center"/>
    </xf>
    <xf numFmtId="0" fontId="2" fillId="0" borderId="0" xfId="148" applyFont="1" applyAlignment="1" applyProtection="1">
      <alignment horizontal="left"/>
    </xf>
    <xf numFmtId="0" fontId="2" fillId="0" borderId="8" xfId="148" applyFont="1" applyBorder="1" applyAlignment="1" applyProtection="1">
      <alignment horizontal="center"/>
    </xf>
    <xf numFmtId="0" fontId="4" fillId="0" borderId="0" xfId="148" applyFont="1" applyAlignment="1">
      <alignment horizontal="center"/>
    </xf>
    <xf numFmtId="0" fontId="2" fillId="0" borderId="0" xfId="148" applyFont="1" applyAlignment="1">
      <alignment horizontal="center"/>
    </xf>
    <xf numFmtId="0" fontId="2" fillId="0" borderId="5" xfId="148" applyFont="1" applyBorder="1" applyAlignment="1" applyProtection="1">
      <alignment horizontal="center"/>
    </xf>
    <xf numFmtId="0" fontId="4" fillId="0" borderId="0" xfId="148" applyFont="1" applyBorder="1"/>
    <xf numFmtId="0" fontId="2" fillId="0" borderId="0" xfId="148" applyFont="1" applyBorder="1" applyAlignment="1" applyProtection="1">
      <alignment horizontal="center"/>
    </xf>
    <xf numFmtId="0" fontId="4" fillId="0" borderId="6" xfId="148" applyFont="1" applyBorder="1"/>
    <xf numFmtId="0" fontId="2" fillId="0" borderId="0" xfId="138" applyFont="1" applyAlignment="1">
      <alignment horizontal="center"/>
    </xf>
    <xf numFmtId="0" fontId="2" fillId="0" borderId="0" xfId="138" applyFont="1"/>
    <xf numFmtId="37" fontId="2" fillId="0" borderId="0" xfId="138" applyNumberFormat="1" applyFont="1"/>
    <xf numFmtId="37" fontId="2" fillId="0" borderId="0" xfId="138" applyNumberFormat="1" applyFont="1" applyBorder="1"/>
    <xf numFmtId="0" fontId="6" fillId="0" borderId="0" xfId="138" applyFont="1"/>
    <xf numFmtId="0" fontId="2" fillId="0" borderId="0" xfId="138" applyFont="1" applyBorder="1"/>
    <xf numFmtId="43" fontId="2" fillId="0" borderId="0" xfId="67" applyFont="1"/>
    <xf numFmtId="2" fontId="2" fillId="0" borderId="0" xfId="138" applyNumberFormat="1" applyFont="1" applyFill="1" applyAlignment="1">
      <alignment horizontal="center"/>
    </xf>
    <xf numFmtId="37" fontId="2" fillId="0" borderId="0" xfId="138" applyNumberFormat="1" applyFont="1" applyAlignment="1">
      <alignment horizontal="center"/>
    </xf>
    <xf numFmtId="37" fontId="2" fillId="0" borderId="0" xfId="138" applyNumberFormat="1" applyFont="1" applyBorder="1" applyAlignment="1">
      <alignment horizontal="center"/>
    </xf>
    <xf numFmtId="37" fontId="2" fillId="0" borderId="0" xfId="138" applyNumberFormat="1" applyFont="1" applyFill="1"/>
    <xf numFmtId="0" fontId="0" fillId="0" borderId="0" xfId="0" applyFont="1"/>
    <xf numFmtId="0" fontId="6" fillId="0" borderId="0" xfId="138" applyFont="1" applyAlignment="1">
      <alignment horizontal="center"/>
    </xf>
    <xf numFmtId="0" fontId="6" fillId="0" borderId="0" xfId="138" applyFont="1" applyFill="1" applyAlignment="1">
      <alignment horizontal="center"/>
    </xf>
    <xf numFmtId="37" fontId="6" fillId="0" borderId="0" xfId="138" applyNumberFormat="1" applyFont="1" applyAlignment="1">
      <alignment horizontal="center"/>
    </xf>
    <xf numFmtId="0" fontId="2" fillId="0" borderId="0" xfId="138" quotePrefix="1" applyFont="1" applyAlignment="1">
      <alignment horizontal="center"/>
    </xf>
    <xf numFmtId="0" fontId="2" fillId="0" borderId="0" xfId="138" applyFont="1" applyAlignment="1">
      <alignment horizontal="left" indent="1"/>
    </xf>
    <xf numFmtId="0" fontId="2" fillId="0" borderId="0" xfId="138" applyFont="1" applyFill="1" applyAlignment="1">
      <alignment horizontal="left" indent="1"/>
    </xf>
    <xf numFmtId="175" fontId="4" fillId="0" borderId="0" xfId="147" applyNumberFormat="1" applyFont="1" applyFill="1" applyBorder="1" applyAlignment="1">
      <alignment horizontal="right"/>
    </xf>
    <xf numFmtId="174" fontId="2" fillId="0" borderId="0" xfId="138" applyNumberFormat="1" applyFont="1" applyBorder="1" applyAlignment="1">
      <alignment horizontal="right"/>
    </xf>
    <xf numFmtId="175" fontId="2" fillId="0" borderId="0" xfId="147" applyNumberFormat="1" applyFont="1" applyFill="1" applyBorder="1" applyAlignment="1">
      <alignment horizontal="right"/>
    </xf>
    <xf numFmtId="174" fontId="2" fillId="0" borderId="0" xfId="138" applyNumberFormat="1" applyFont="1" applyFill="1" applyBorder="1" applyAlignment="1">
      <alignment horizontal="right"/>
    </xf>
    <xf numFmtId="37" fontId="68" fillId="0" borderId="0" xfId="138" applyNumberFormat="1" applyFont="1"/>
    <xf numFmtId="37" fontId="69" fillId="0" borderId="0" xfId="138" applyNumberFormat="1" applyFont="1"/>
    <xf numFmtId="37" fontId="68" fillId="0" borderId="0" xfId="138" applyNumberFormat="1" applyFont="1" applyFill="1"/>
    <xf numFmtId="0" fontId="2" fillId="0" borderId="0" xfId="138" quotePrefix="1" applyFont="1" applyAlignment="1">
      <alignment horizontal="left" indent="1"/>
    </xf>
    <xf numFmtId="0" fontId="2" fillId="0" borderId="0" xfId="138" applyFont="1" applyFill="1" applyAlignment="1">
      <alignment horizontal="left"/>
    </xf>
    <xf numFmtId="37" fontId="69" fillId="0" borderId="0" xfId="138" applyNumberFormat="1" applyFont="1" applyFill="1"/>
    <xf numFmtId="174" fontId="0" fillId="0" borderId="0" xfId="0" applyNumberFormat="1"/>
    <xf numFmtId="10" fontId="68" fillId="0" borderId="0" xfId="167" applyNumberFormat="1" applyFont="1" applyFill="1" applyAlignment="1" applyProtection="1">
      <alignment horizontal="right"/>
    </xf>
    <xf numFmtId="0" fontId="2" fillId="0" borderId="0" xfId="165" applyFont="1" applyAlignment="1" applyProtection="1">
      <alignment horizontal="left"/>
    </xf>
    <xf numFmtId="49" fontId="5" fillId="0" borderId="0" xfId="165" applyNumberFormat="1" applyFont="1" applyAlignment="1" applyProtection="1">
      <alignment horizontal="left"/>
    </xf>
    <xf numFmtId="37" fontId="5" fillId="0" borderId="0" xfId="38" applyNumberFormat="1" applyFont="1" applyFill="1"/>
    <xf numFmtId="0" fontId="2" fillId="0" borderId="2" xfId="165" applyFont="1" applyBorder="1" applyAlignment="1" applyProtection="1">
      <alignment horizontal="center"/>
    </xf>
    <xf numFmtId="0" fontId="2" fillId="0" borderId="0" xfId="165" applyFont="1" applyBorder="1" applyAlignment="1" applyProtection="1">
      <alignment horizontal="center"/>
    </xf>
    <xf numFmtId="0" fontId="2" fillId="0" borderId="6" xfId="165" applyFont="1" applyFill="1" applyBorder="1" applyAlignment="1" applyProtection="1">
      <alignment horizontal="center"/>
    </xf>
    <xf numFmtId="0" fontId="2" fillId="0" borderId="0" xfId="165" applyFont="1" applyAlignment="1">
      <alignment horizontal="center"/>
    </xf>
    <xf numFmtId="37" fontId="5" fillId="0" borderId="0" xfId="165" applyNumberFormat="1" applyFont="1" applyFill="1" applyProtection="1"/>
    <xf numFmtId="0" fontId="2" fillId="0" borderId="6" xfId="165" applyFont="1" applyBorder="1" applyAlignment="1" applyProtection="1">
      <alignment horizontal="center"/>
    </xf>
    <xf numFmtId="175" fontId="68" fillId="0" borderId="0" xfId="147" applyNumberFormat="1" applyFont="1" applyFill="1" applyBorder="1" applyAlignment="1">
      <alignment horizontal="right"/>
    </xf>
    <xf numFmtId="174" fontId="68" fillId="0" borderId="0" xfId="138" applyNumberFormat="1" applyFont="1" applyBorder="1" applyAlignment="1">
      <alignment horizontal="right"/>
    </xf>
    <xf numFmtId="174" fontId="68" fillId="0" borderId="0" xfId="138" applyNumberFormat="1" applyFont="1" applyFill="1" applyBorder="1" applyAlignment="1">
      <alignment horizontal="right"/>
    </xf>
    <xf numFmtId="0" fontId="71" fillId="0" borderId="0" xfId="0" applyFont="1"/>
    <xf numFmtId="0" fontId="68" fillId="0" borderId="0" xfId="147" applyFont="1" applyFill="1" applyAlignment="1" applyProtection="1">
      <alignment horizontal="center"/>
    </xf>
    <xf numFmtId="175" fontId="4" fillId="0" borderId="0" xfId="147" applyNumberFormat="1" applyFont="1"/>
    <xf numFmtId="0" fontId="6" fillId="0" borderId="0" xfId="147" applyFont="1" applyAlignment="1">
      <alignment horizontal="center"/>
    </xf>
    <xf numFmtId="0" fontId="2" fillId="0" borderId="0" xfId="147" applyFont="1"/>
    <xf numFmtId="0" fontId="72" fillId="0" borderId="0" xfId="147" applyFont="1"/>
    <xf numFmtId="10" fontId="8" fillId="0" borderId="0" xfId="147" applyNumberFormat="1" applyFont="1"/>
    <xf numFmtId="10" fontId="73" fillId="0" borderId="0" xfId="167" applyNumberFormat="1" applyFont="1"/>
    <xf numFmtId="37" fontId="2" fillId="0" borderId="0" xfId="147" applyNumberFormat="1" applyFont="1" applyFill="1" applyBorder="1" applyProtection="1"/>
    <xf numFmtId="0" fontId="4" fillId="5" borderId="0" xfId="147" applyFont="1" applyFill="1"/>
    <xf numFmtId="0" fontId="68" fillId="5" borderId="0" xfId="147" applyFont="1" applyFill="1" applyAlignment="1" applyProtection="1">
      <alignment horizontal="center"/>
    </xf>
    <xf numFmtId="0" fontId="2" fillId="5" borderId="0" xfId="0" applyFont="1" applyFill="1" applyAlignment="1" applyProtection="1">
      <alignment horizontal="left"/>
    </xf>
    <xf numFmtId="0" fontId="4" fillId="5" borderId="0" xfId="147" applyFont="1" applyFill="1" applyAlignment="1" applyProtection="1">
      <alignment horizontal="left"/>
    </xf>
    <xf numFmtId="0" fontId="4" fillId="5" borderId="0" xfId="147" applyFont="1" applyFill="1" applyAlignment="1" applyProtection="1">
      <alignment horizontal="right"/>
    </xf>
    <xf numFmtId="0" fontId="4" fillId="5" borderId="0" xfId="0" applyFont="1" applyFill="1" applyAlignment="1" applyProtection="1">
      <alignment horizontal="left"/>
    </xf>
    <xf numFmtId="0" fontId="2" fillId="5" borderId="0" xfId="147" applyFont="1" applyFill="1" applyAlignment="1" applyProtection="1">
      <alignment horizontal="right"/>
    </xf>
    <xf numFmtId="0" fontId="5" fillId="5" borderId="0" xfId="146" applyFont="1" applyFill="1" applyBorder="1" applyAlignment="1" applyProtection="1">
      <alignment horizontal="left"/>
    </xf>
    <xf numFmtId="0" fontId="4" fillId="5" borderId="0" xfId="147" applyFont="1" applyFill="1" applyBorder="1"/>
    <xf numFmtId="0" fontId="4" fillId="5" borderId="0" xfId="147" applyFont="1" applyFill="1" applyBorder="1" applyAlignment="1" applyProtection="1">
      <alignment horizontal="left"/>
    </xf>
    <xf numFmtId="0" fontId="2" fillId="5" borderId="0" xfId="147" applyFont="1" applyFill="1" applyBorder="1" applyAlignment="1" applyProtection="1">
      <alignment horizontal="right"/>
    </xf>
    <xf numFmtId="0" fontId="4" fillId="5" borderId="0" xfId="147" applyFont="1" applyFill="1" applyBorder="1" applyAlignment="1">
      <alignment horizontal="center"/>
    </xf>
    <xf numFmtId="0" fontId="6" fillId="5" borderId="0" xfId="147" applyFont="1" applyFill="1" applyBorder="1" applyAlignment="1" applyProtection="1"/>
    <xf numFmtId="0" fontId="2" fillId="5" borderId="0" xfId="147" applyFont="1" applyFill="1" applyBorder="1" applyAlignment="1">
      <alignment horizontal="center"/>
    </xf>
    <xf numFmtId="0" fontId="2" fillId="5" borderId="0" xfId="147" applyFont="1" applyFill="1" applyAlignment="1" applyProtection="1">
      <alignment horizontal="center"/>
    </xf>
    <xf numFmtId="0" fontId="4" fillId="5" borderId="0" xfId="147" applyFont="1" applyFill="1" applyBorder="1" applyAlignment="1" applyProtection="1">
      <alignment horizontal="center"/>
    </xf>
    <xf numFmtId="0" fontId="2" fillId="5" borderId="0" xfId="147" applyFont="1" applyFill="1" applyAlignment="1">
      <alignment horizontal="center"/>
    </xf>
    <xf numFmtId="0" fontId="6" fillId="5" borderId="0" xfId="147" applyFont="1" applyFill="1" applyBorder="1" applyAlignment="1" applyProtection="1">
      <alignment horizontal="center"/>
    </xf>
    <xf numFmtId="0" fontId="6" fillId="5" borderId="0" xfId="147" applyFont="1" applyFill="1" applyBorder="1" applyAlignment="1" applyProtection="1">
      <alignment horizontal="left"/>
    </xf>
    <xf numFmtId="0" fontId="6" fillId="5" borderId="0" xfId="147" applyFont="1" applyFill="1" applyAlignment="1" applyProtection="1">
      <alignment horizontal="center"/>
    </xf>
    <xf numFmtId="0" fontId="6" fillId="5" borderId="0" xfId="147" applyFont="1" applyFill="1" applyAlignment="1">
      <alignment horizontal="center"/>
    </xf>
    <xf numFmtId="172" fontId="6" fillId="5" borderId="0" xfId="147" applyNumberFormat="1" applyFont="1" applyFill="1" applyBorder="1" applyAlignment="1" applyProtection="1">
      <alignment horizontal="center"/>
    </xf>
    <xf numFmtId="0" fontId="4" fillId="5" borderId="0" xfId="147" applyFont="1" applyFill="1" applyAlignment="1">
      <alignment horizontal="center"/>
    </xf>
    <xf numFmtId="0" fontId="2" fillId="5" borderId="0" xfId="147" applyFont="1" applyFill="1" applyBorder="1" applyAlignment="1" applyProtection="1">
      <alignment horizontal="center"/>
    </xf>
    <xf numFmtId="0" fontId="2" fillId="5" borderId="0" xfId="147" applyFont="1" applyFill="1"/>
    <xf numFmtId="37" fontId="4" fillId="5" borderId="0" xfId="147" applyNumberFormat="1" applyFont="1" applyFill="1"/>
    <xf numFmtId="172" fontId="69" fillId="5" borderId="0" xfId="147" applyNumberFormat="1" applyFont="1" applyFill="1" applyBorder="1" applyAlignment="1" applyProtection="1">
      <alignment horizontal="center"/>
    </xf>
    <xf numFmtId="0" fontId="4" fillId="5" borderId="0" xfId="147" applyFont="1" applyFill="1" applyAlignment="1" applyProtection="1">
      <alignment horizontal="center"/>
    </xf>
    <xf numFmtId="0" fontId="6" fillId="5" borderId="0" xfId="147" applyFont="1" applyFill="1" applyAlignment="1" applyProtection="1">
      <alignment horizontal="left"/>
    </xf>
    <xf numFmtId="0" fontId="6" fillId="5" borderId="0" xfId="147" applyFont="1" applyFill="1"/>
    <xf numFmtId="2" fontId="4" fillId="5" borderId="0" xfId="145" applyNumberFormat="1" applyFont="1" applyFill="1" applyAlignment="1" applyProtection="1">
      <alignment horizontal="right"/>
    </xf>
    <xf numFmtId="39" fontId="4" fillId="5" borderId="0" xfId="145" applyNumberFormat="1" applyFont="1" applyFill="1" applyAlignment="1" applyProtection="1">
      <alignment horizontal="left"/>
    </xf>
    <xf numFmtId="37" fontId="2" fillId="5" borderId="0" xfId="147" applyNumberFormat="1" applyFont="1" applyFill="1" applyProtection="1"/>
    <xf numFmtId="37" fontId="68" fillId="5" borderId="0" xfId="147" applyNumberFormat="1" applyFont="1" applyFill="1" applyBorder="1" applyProtection="1"/>
    <xf numFmtId="37" fontId="68" fillId="5" borderId="0" xfId="147" applyNumberFormat="1" applyFont="1" applyFill="1" applyProtection="1"/>
    <xf numFmtId="37" fontId="4" fillId="5" borderId="0" xfId="147" applyNumberFormat="1" applyFont="1" applyFill="1" applyProtection="1"/>
    <xf numFmtId="37" fontId="2" fillId="5" borderId="0" xfId="147" applyNumberFormat="1" applyFont="1" applyFill="1" applyAlignment="1" applyProtection="1">
      <alignment horizontal="right"/>
    </xf>
    <xf numFmtId="175" fontId="4" fillId="5" borderId="0" xfId="147" applyNumberFormat="1" applyFont="1" applyFill="1"/>
    <xf numFmtId="37" fontId="6" fillId="5" borderId="0" xfId="147" applyNumberFormat="1" applyFont="1" applyFill="1" applyProtection="1"/>
    <xf numFmtId="37" fontId="69" fillId="5" borderId="0" xfId="147" applyNumberFormat="1" applyFont="1" applyFill="1" applyBorder="1" applyProtection="1"/>
    <xf numFmtId="37" fontId="6" fillId="5" borderId="0" xfId="147" applyNumberFormat="1" applyFont="1" applyFill="1"/>
    <xf numFmtId="37" fontId="4" fillId="5" borderId="0" xfId="147" applyNumberFormat="1" applyFont="1" applyFill="1" applyBorder="1" applyAlignment="1" applyProtection="1">
      <alignment horizontal="right"/>
    </xf>
    <xf numFmtId="2" fontId="4" fillId="5" borderId="0" xfId="147" applyNumberFormat="1" applyFont="1" applyFill="1" applyAlignment="1">
      <alignment horizontal="right"/>
    </xf>
    <xf numFmtId="2" fontId="4" fillId="5" borderId="0" xfId="147" applyNumberFormat="1" applyFont="1" applyFill="1" applyAlignment="1" applyProtection="1">
      <alignment horizontal="right"/>
    </xf>
    <xf numFmtId="39" fontId="4" fillId="5" borderId="0" xfId="146" applyNumberFormat="1" applyFont="1" applyFill="1" applyAlignment="1" applyProtection="1">
      <alignment horizontal="left"/>
    </xf>
    <xf numFmtId="37" fontId="6" fillId="5" borderId="0" xfId="147" applyNumberFormat="1" applyFont="1" applyFill="1" applyBorder="1" applyProtection="1"/>
    <xf numFmtId="37" fontId="2" fillId="5" borderId="0" xfId="147" applyNumberFormat="1" applyFont="1" applyFill="1" applyBorder="1" applyAlignment="1" applyProtection="1">
      <alignment horizontal="right"/>
    </xf>
    <xf numFmtId="37" fontId="69" fillId="5" borderId="0" xfId="147" applyNumberFormat="1" applyFont="1" applyFill="1" applyProtection="1"/>
    <xf numFmtId="39" fontId="2" fillId="5" borderId="0" xfId="146" applyNumberFormat="1" applyFont="1" applyFill="1" applyAlignment="1" applyProtection="1">
      <alignment horizontal="left"/>
    </xf>
    <xf numFmtId="37" fontId="4" fillId="5" borderId="0" xfId="147" applyNumberFormat="1" applyFont="1" applyFill="1" applyAlignment="1" applyProtection="1">
      <alignment horizontal="right"/>
    </xf>
    <xf numFmtId="10" fontId="68" fillId="5" borderId="0" xfId="167" applyNumberFormat="1" applyFont="1" applyFill="1" applyAlignment="1" applyProtection="1">
      <alignment horizontal="right"/>
    </xf>
    <xf numFmtId="168" fontId="4" fillId="5" borderId="0" xfId="38" applyNumberFormat="1" applyFont="1" applyFill="1"/>
    <xf numFmtId="10" fontId="4" fillId="5" borderId="0" xfId="167" applyNumberFormat="1" applyFont="1" applyFill="1"/>
    <xf numFmtId="10" fontId="6" fillId="5" borderId="0" xfId="167" applyNumberFormat="1" applyFont="1" applyFill="1"/>
    <xf numFmtId="168" fontId="4" fillId="5" borderId="0" xfId="147" applyNumberFormat="1" applyFont="1" applyFill="1"/>
    <xf numFmtId="39" fontId="2" fillId="5" borderId="0" xfId="145" applyNumberFormat="1" applyFont="1" applyFill="1" applyAlignment="1" applyProtection="1">
      <alignment horizontal="left"/>
    </xf>
    <xf numFmtId="37" fontId="5" fillId="5" borderId="0" xfId="147" applyNumberFormat="1" applyFont="1" applyFill="1" applyProtection="1"/>
    <xf numFmtId="39" fontId="2" fillId="5" borderId="0" xfId="145" applyNumberFormat="1" applyFont="1" applyFill="1" applyAlignment="1" applyProtection="1">
      <alignment horizontal="left" indent="1"/>
    </xf>
    <xf numFmtId="0" fontId="70" fillId="5" borderId="0" xfId="147" applyFont="1" applyFill="1"/>
    <xf numFmtId="10" fontId="2" fillId="5" borderId="0" xfId="167" applyNumberFormat="1" applyFont="1" applyFill="1" applyAlignment="1" applyProtection="1">
      <alignment horizontal="right"/>
    </xf>
    <xf numFmtId="37" fontId="70" fillId="5" borderId="0" xfId="147" applyNumberFormat="1" applyFont="1" applyFill="1"/>
    <xf numFmtId="39" fontId="4" fillId="5" borderId="0" xfId="145" applyNumberFormat="1" applyFont="1" applyFill="1" applyProtection="1"/>
    <xf numFmtId="0" fontId="4" fillId="5" borderId="0" xfId="0" applyFont="1" applyFill="1" applyBorder="1" applyAlignment="1" applyProtection="1">
      <alignment horizontal="left"/>
    </xf>
    <xf numFmtId="2" fontId="4" fillId="5" borderId="0" xfId="145" applyNumberFormat="1" applyFont="1" applyFill="1" applyProtection="1"/>
    <xf numFmtId="37" fontId="4" fillId="5" borderId="0" xfId="147" applyNumberFormat="1" applyFont="1" applyFill="1" applyBorder="1" applyProtection="1"/>
    <xf numFmtId="2" fontId="4" fillId="5" borderId="0" xfId="147" applyNumberFormat="1" applyFont="1" applyFill="1"/>
    <xf numFmtId="37" fontId="6" fillId="5" borderId="0" xfId="147" applyNumberFormat="1" applyFont="1" applyFill="1" applyAlignment="1" applyProtection="1">
      <alignment horizontal="right"/>
    </xf>
    <xf numFmtId="37" fontId="12" fillId="5" borderId="0" xfId="147" applyNumberFormat="1" applyFont="1" applyFill="1" applyProtection="1"/>
    <xf numFmtId="37" fontId="12" fillId="5" borderId="0" xfId="147" applyNumberFormat="1" applyFont="1" applyFill="1" applyAlignment="1" applyProtection="1">
      <alignment horizontal="right"/>
    </xf>
    <xf numFmtId="37" fontId="68" fillId="5" borderId="0" xfId="147" applyNumberFormat="1" applyFont="1" applyFill="1" applyAlignment="1" applyProtection="1">
      <alignment horizontal="right"/>
    </xf>
    <xf numFmtId="37" fontId="5" fillId="0" borderId="0" xfId="166" applyNumberFormat="1" applyFont="1" applyFill="1" applyProtection="1"/>
    <xf numFmtId="37" fontId="5" fillId="0" borderId="0" xfId="166" applyNumberFormat="1" applyFont="1" applyFill="1" applyBorder="1" applyProtection="1"/>
    <xf numFmtId="37" fontId="5" fillId="0" borderId="6" xfId="166" applyNumberFormat="1" applyFont="1" applyFill="1" applyBorder="1"/>
    <xf numFmtId="0" fontId="6" fillId="0" borderId="2" xfId="147" applyFont="1" applyBorder="1" applyAlignment="1" applyProtection="1">
      <alignment horizontal="center"/>
    </xf>
    <xf numFmtId="0" fontId="42" fillId="0" borderId="0" xfId="138" applyFont="1" applyAlignment="1">
      <alignment horizontal="center"/>
    </xf>
    <xf numFmtId="0" fontId="11" fillId="0" borderId="0" xfId="138" applyFont="1"/>
    <xf numFmtId="0" fontId="43" fillId="0" borderId="0" xfId="138" applyFont="1" applyAlignment="1">
      <alignment horizontal="center"/>
    </xf>
    <xf numFmtId="0" fontId="42" fillId="0" borderId="0" xfId="138" applyFont="1"/>
    <xf numFmtId="0" fontId="42" fillId="0" borderId="0" xfId="138" applyFont="1" applyFill="1" applyBorder="1" applyAlignment="1">
      <alignment horizontal="center"/>
    </xf>
    <xf numFmtId="0" fontId="42" fillId="0" borderId="0" xfId="138" applyFont="1" applyFill="1" applyAlignment="1">
      <alignment horizontal="center"/>
    </xf>
    <xf numFmtId="0" fontId="44" fillId="0" borderId="0" xfId="138" applyFont="1" applyAlignment="1">
      <alignment horizontal="center"/>
    </xf>
    <xf numFmtId="0" fontId="44" fillId="0" borderId="0" xfId="138" applyFont="1" applyFill="1" applyAlignment="1">
      <alignment horizontal="center"/>
    </xf>
    <xf numFmtId="0" fontId="45" fillId="0" borderId="0" xfId="0" applyFont="1" applyBorder="1" applyAlignment="1">
      <alignment horizontal="center"/>
    </xf>
    <xf numFmtId="0" fontId="11" fillId="0" borderId="0" xfId="138" applyFont="1" applyAlignment="1">
      <alignment horizontal="center"/>
    </xf>
    <xf numFmtId="0" fontId="42" fillId="0" borderId="0" xfId="138" quotePrefix="1" applyFont="1" applyAlignment="1">
      <alignment horizontal="center"/>
    </xf>
    <xf numFmtId="168" fontId="74" fillId="0" borderId="0" xfId="38" applyNumberFormat="1" applyFont="1" applyBorder="1"/>
    <xf numFmtId="0" fontId="74" fillId="0" borderId="0" xfId="0" applyFont="1" applyBorder="1"/>
    <xf numFmtId="17" fontId="46" fillId="0" borderId="0" xfId="138" quotePrefix="1" applyNumberFormat="1" applyFont="1" applyFill="1" applyAlignment="1">
      <alignment horizontal="left" vertical="center"/>
    </xf>
    <xf numFmtId="37" fontId="11" fillId="0" borderId="0" xfId="138" applyNumberFormat="1" applyFont="1" applyFill="1" applyBorder="1" applyAlignment="1">
      <alignment horizontal="right"/>
    </xf>
    <xf numFmtId="37" fontId="46" fillId="0" borderId="0" xfId="38" applyNumberFormat="1" applyFont="1" applyFill="1" applyAlignment="1">
      <alignment horizontal="right"/>
    </xf>
    <xf numFmtId="37" fontId="11" fillId="0" borderId="0" xfId="138" applyNumberFormat="1" applyFont="1" applyAlignment="1">
      <alignment horizontal="right"/>
    </xf>
    <xf numFmtId="39" fontId="11" fillId="0" borderId="0" xfId="138" applyNumberFormat="1" applyFont="1" applyAlignment="1">
      <alignment horizontal="right"/>
    </xf>
    <xf numFmtId="37" fontId="74" fillId="0" borderId="0" xfId="138" applyNumberFormat="1" applyFont="1" applyAlignment="1">
      <alignment horizontal="right"/>
    </xf>
    <xf numFmtId="37" fontId="74" fillId="0" borderId="0" xfId="138" applyNumberFormat="1" applyFont="1"/>
    <xf numFmtId="169" fontId="46" fillId="0" borderId="0" xfId="138" applyNumberFormat="1" applyFont="1" applyFill="1"/>
    <xf numFmtId="37" fontId="11" fillId="0" borderId="0" xfId="138" applyNumberFormat="1" applyFont="1"/>
    <xf numFmtId="17" fontId="11" fillId="0" borderId="0" xfId="138" quotePrefix="1" applyNumberFormat="1" applyFont="1" applyFill="1" applyAlignment="1">
      <alignment horizontal="left" vertical="center"/>
    </xf>
    <xf numFmtId="37" fontId="11" fillId="0" borderId="0" xfId="38" applyNumberFormat="1" applyFont="1" applyFill="1" applyAlignment="1">
      <alignment horizontal="right"/>
    </xf>
    <xf numFmtId="169" fontId="11" fillId="0" borderId="0" xfId="138" applyNumberFormat="1" applyFont="1" applyFill="1"/>
    <xf numFmtId="168" fontId="11" fillId="0" borderId="0" xfId="0" applyNumberFormat="1" applyFont="1" applyBorder="1"/>
    <xf numFmtId="179" fontId="11" fillId="0" borderId="0" xfId="0" applyNumberFormat="1" applyFont="1" applyBorder="1"/>
    <xf numFmtId="17" fontId="75" fillId="0" borderId="0" xfId="138" quotePrefix="1" applyNumberFormat="1" applyFont="1" applyFill="1" applyAlignment="1">
      <alignment horizontal="left" vertical="center"/>
    </xf>
    <xf numFmtId="37" fontId="75" fillId="0" borderId="0" xfId="138" applyNumberFormat="1" applyFont="1" applyAlignment="1">
      <alignment horizontal="right"/>
    </xf>
    <xf numFmtId="37" fontId="75" fillId="0" borderId="0" xfId="138" applyNumberFormat="1" applyFont="1"/>
    <xf numFmtId="0" fontId="75" fillId="0" borderId="0" xfId="0" applyFont="1" applyBorder="1"/>
    <xf numFmtId="39" fontId="11" fillId="0" borderId="0" xfId="138" applyNumberFormat="1" applyFont="1" applyFill="1" applyBorder="1" applyAlignment="1">
      <alignment horizontal="right"/>
    </xf>
    <xf numFmtId="39" fontId="11" fillId="0" borderId="0" xfId="138" applyNumberFormat="1" applyFont="1"/>
    <xf numFmtId="37" fontId="46" fillId="0" borderId="0" xfId="138" applyNumberFormat="1" applyFont="1" applyFill="1" applyAlignment="1">
      <alignment horizontal="right"/>
    </xf>
    <xf numFmtId="17" fontId="42" fillId="0" borderId="0" xfId="138" applyNumberFormat="1" applyFont="1"/>
    <xf numFmtId="37" fontId="42" fillId="0" borderId="0" xfId="138" applyNumberFormat="1" applyFont="1"/>
    <xf numFmtId="168" fontId="42" fillId="0" borderId="0" xfId="38" applyNumberFormat="1" applyFont="1"/>
    <xf numFmtId="17" fontId="11" fillId="0" borderId="0" xfId="138" applyNumberFormat="1" applyFont="1"/>
    <xf numFmtId="168" fontId="11" fillId="0" borderId="0" xfId="38" applyNumberFormat="1" applyFont="1"/>
    <xf numFmtId="0" fontId="2" fillId="0" borderId="0" xfId="0" applyFont="1" applyFill="1" applyAlignment="1" applyProtection="1">
      <alignment horizontal="center"/>
    </xf>
    <xf numFmtId="37" fontId="5" fillId="0" borderId="5" xfId="147" applyNumberFormat="1" applyFont="1" applyFill="1" applyBorder="1" applyProtection="1"/>
    <xf numFmtId="37" fontId="5" fillId="0" borderId="6" xfId="147" applyNumberFormat="1" applyFont="1" applyFill="1" applyBorder="1" applyProtection="1"/>
    <xf numFmtId="0" fontId="2" fillId="0" borderId="5" xfId="147" applyFont="1" applyBorder="1" applyAlignment="1" applyProtection="1">
      <alignment horizontal="center"/>
    </xf>
    <xf numFmtId="168" fontId="4" fillId="0" borderId="0" xfId="38" applyNumberFormat="1" applyFont="1" applyAlignment="1" applyProtection="1">
      <alignment horizontal="left"/>
    </xf>
    <xf numFmtId="168" fontId="2" fillId="0" borderId="0" xfId="38" applyNumberFormat="1" applyFont="1"/>
    <xf numFmtId="168" fontId="4" fillId="0" borderId="0" xfId="38" applyNumberFormat="1" applyFont="1" applyProtection="1"/>
    <xf numFmtId="168" fontId="68" fillId="0" borderId="0" xfId="38" applyNumberFormat="1" applyFont="1"/>
    <xf numFmtId="0" fontId="2" fillId="0" borderId="0" xfId="0" quotePrefix="1" applyFont="1" applyAlignment="1" applyProtection="1">
      <alignment horizontal="center"/>
    </xf>
    <xf numFmtId="37" fontId="68" fillId="0" borderId="0" xfId="0" applyNumberFormat="1" applyFont="1" applyFill="1" applyProtection="1"/>
    <xf numFmtId="37" fontId="68" fillId="0" borderId="0" xfId="0" applyNumberFormat="1" applyFont="1" applyFill="1" applyBorder="1" applyProtection="1"/>
    <xf numFmtId="37" fontId="68" fillId="0" borderId="6" xfId="0" applyNumberFormat="1" applyFont="1" applyFill="1" applyBorder="1" applyProtection="1"/>
    <xf numFmtId="0" fontId="2" fillId="0" borderId="0" xfId="0" applyFont="1" applyFill="1" applyAlignment="1" applyProtection="1">
      <alignment horizontal="left"/>
    </xf>
    <xf numFmtId="0" fontId="2" fillId="0" borderId="0" xfId="0" applyFont="1" applyFill="1"/>
    <xf numFmtId="37" fontId="68" fillId="0" borderId="5" xfId="0" applyNumberFormat="1" applyFont="1" applyFill="1" applyBorder="1" applyProtection="1"/>
    <xf numFmtId="37" fontId="12" fillId="0" borderId="0" xfId="0" applyNumberFormat="1" applyFont="1" applyFill="1" applyProtection="1"/>
    <xf numFmtId="0" fontId="2" fillId="0" borderId="0" xfId="166" applyFont="1"/>
    <xf numFmtId="0" fontId="0" fillId="3" borderId="0" xfId="0" applyFill="1"/>
    <xf numFmtId="0" fontId="0" fillId="6" borderId="0" xfId="0" applyFill="1"/>
    <xf numFmtId="0" fontId="0" fillId="7" borderId="0" xfId="0" applyFill="1"/>
    <xf numFmtId="37" fontId="2" fillId="4" borderId="0" xfId="0" applyNumberFormat="1" applyFont="1" applyFill="1"/>
    <xf numFmtId="168" fontId="2" fillId="4" borderId="0" xfId="38" applyNumberFormat="1" applyFont="1" applyFill="1"/>
    <xf numFmtId="168" fontId="2" fillId="0" borderId="0" xfId="0" applyNumberFormat="1" applyFont="1"/>
    <xf numFmtId="0" fontId="2" fillId="8" borderId="6" xfId="0" applyFont="1" applyFill="1" applyBorder="1"/>
    <xf numFmtId="168" fontId="2" fillId="0" borderId="10" xfId="0" applyNumberFormat="1" applyFont="1" applyBorder="1"/>
    <xf numFmtId="0" fontId="2" fillId="0" borderId="0" xfId="166" quotePrefix="1" applyFont="1" applyAlignment="1" applyProtection="1">
      <alignment horizontal="left"/>
    </xf>
    <xf numFmtId="5" fontId="2" fillId="0" borderId="0" xfId="166" applyNumberFormat="1" applyFont="1" applyProtection="1"/>
    <xf numFmtId="37" fontId="2" fillId="0" borderId="0" xfId="166" applyNumberFormat="1" applyFont="1" applyProtection="1"/>
    <xf numFmtId="168" fontId="2" fillId="8" borderId="0" xfId="38" applyNumberFormat="1" applyFont="1" applyFill="1"/>
    <xf numFmtId="168" fontId="2" fillId="7" borderId="0" xfId="0" applyNumberFormat="1" applyFont="1" applyFill="1"/>
    <xf numFmtId="0" fontId="2" fillId="0" borderId="0" xfId="166" quotePrefix="1" applyFont="1" applyBorder="1" applyAlignment="1" applyProtection="1">
      <alignment horizontal="center"/>
    </xf>
    <xf numFmtId="164" fontId="2" fillId="0" borderId="0" xfId="166" applyNumberFormat="1" applyFont="1" applyAlignment="1" applyProtection="1">
      <alignment horizontal="left"/>
    </xf>
    <xf numFmtId="0" fontId="2" fillId="0" borderId="0" xfId="166" applyFont="1" applyBorder="1"/>
    <xf numFmtId="0" fontId="2" fillId="0" borderId="6" xfId="166" applyFont="1" applyBorder="1"/>
    <xf numFmtId="0" fontId="2" fillId="0" borderId="6" xfId="166" applyFont="1" applyBorder="1" applyAlignment="1" applyProtection="1">
      <alignment horizontal="right"/>
    </xf>
    <xf numFmtId="0" fontId="2" fillId="0" borderId="0" xfId="166" applyFont="1" applyAlignment="1" applyProtection="1"/>
    <xf numFmtId="0" fontId="2" fillId="0" borderId="0" xfId="166" quotePrefix="1" applyFont="1" applyBorder="1" applyAlignment="1" applyProtection="1"/>
    <xf numFmtId="37" fontId="2" fillId="0" borderId="0" xfId="166" applyNumberFormat="1" applyFont="1"/>
    <xf numFmtId="37" fontId="2" fillId="0" borderId="0" xfId="166" applyNumberFormat="1" applyFont="1" applyFill="1" applyProtection="1"/>
    <xf numFmtId="37" fontId="2" fillId="0" borderId="6" xfId="166" applyNumberFormat="1" applyFont="1" applyFill="1" applyBorder="1" applyProtection="1"/>
    <xf numFmtId="168" fontId="2" fillId="0" borderId="0" xfId="38" applyNumberFormat="1" applyFont="1" applyFill="1" applyProtection="1"/>
    <xf numFmtId="37" fontId="5" fillId="0" borderId="0" xfId="166" applyNumberFormat="1" applyFont="1" applyFill="1"/>
    <xf numFmtId="37" fontId="5" fillId="0" borderId="0" xfId="166" applyNumberFormat="1" applyFont="1" applyFill="1" applyBorder="1"/>
    <xf numFmtId="37" fontId="5" fillId="0" borderId="6" xfId="166" applyNumberFormat="1" applyFont="1" applyFill="1" applyBorder="1" applyProtection="1"/>
    <xf numFmtId="49" fontId="5" fillId="0" borderId="0" xfId="166" applyNumberFormat="1" applyFont="1" applyFill="1" applyAlignment="1" applyProtection="1">
      <alignment horizontal="left"/>
    </xf>
    <xf numFmtId="0" fontId="8" fillId="0" borderId="0" xfId="166" applyFont="1" applyFill="1" applyBorder="1" applyAlignment="1">
      <alignment horizontal="center"/>
    </xf>
    <xf numFmtId="0" fontId="2" fillId="0" borderId="0" xfId="166" applyFont="1" applyFill="1" applyBorder="1"/>
    <xf numFmtId="0" fontId="8" fillId="0" borderId="0" xfId="166" quotePrefix="1" applyFont="1" applyFill="1" applyBorder="1" applyAlignment="1">
      <alignment horizontal="center"/>
    </xf>
    <xf numFmtId="0" fontId="8" fillId="0" borderId="0" xfId="166" applyFont="1" applyFill="1" applyBorder="1" applyAlignment="1" applyProtection="1">
      <alignment horizontal="center"/>
    </xf>
    <xf numFmtId="0" fontId="13" fillId="0" borderId="0" xfId="166" applyFont="1" applyFill="1" applyBorder="1" applyAlignment="1" applyProtection="1">
      <alignment horizontal="center"/>
    </xf>
    <xf numFmtId="5" fontId="5" fillId="0" borderId="0" xfId="166" applyNumberFormat="1" applyFont="1" applyFill="1" applyProtection="1"/>
    <xf numFmtId="5" fontId="5" fillId="0" borderId="0" xfId="166" applyNumberFormat="1" applyFont="1" applyFill="1" applyBorder="1" applyProtection="1"/>
    <xf numFmtId="5" fontId="2" fillId="0" borderId="0" xfId="166" applyNumberFormat="1" applyFont="1" applyFill="1" applyProtection="1"/>
    <xf numFmtId="0" fontId="2" fillId="0" borderId="0" xfId="166" applyFont="1" applyFill="1"/>
    <xf numFmtId="37" fontId="4" fillId="0" borderId="6" xfId="0" applyNumberFormat="1" applyFont="1" applyFill="1" applyBorder="1" applyProtection="1"/>
    <xf numFmtId="37" fontId="2" fillId="0" borderId="6" xfId="0" applyNumberFormat="1" applyFont="1" applyBorder="1" applyProtection="1"/>
    <xf numFmtId="0" fontId="2" fillId="0" borderId="6" xfId="0" applyFont="1" applyFill="1" applyBorder="1" applyAlignment="1" applyProtection="1">
      <alignment horizontal="right"/>
    </xf>
    <xf numFmtId="37" fontId="5" fillId="0" borderId="0" xfId="0" applyNumberFormat="1" applyFont="1" applyFill="1" applyProtection="1"/>
    <xf numFmtId="37" fontId="5" fillId="0" borderId="5" xfId="0" applyNumberFormat="1" applyFont="1" applyFill="1" applyBorder="1" applyProtection="1"/>
    <xf numFmtId="0" fontId="42" fillId="0" borderId="0" xfId="0" applyFont="1" applyBorder="1" applyAlignment="1">
      <alignment horizontal="center"/>
    </xf>
    <xf numFmtId="37" fontId="11" fillId="0" borderId="0" xfId="38" applyNumberFormat="1" applyFont="1" applyFill="1" applyBorder="1" applyAlignment="1">
      <alignment horizontal="right"/>
    </xf>
    <xf numFmtId="14" fontId="6" fillId="0" borderId="0" xfId="138" applyNumberFormat="1" applyFont="1" applyFill="1" applyBorder="1" applyAlignment="1">
      <alignment horizontal="center"/>
    </xf>
    <xf numFmtId="14" fontId="2" fillId="0" borderId="0" xfId="138" applyNumberFormat="1" applyFont="1" applyFill="1" applyBorder="1" applyAlignment="1">
      <alignment horizontal="center"/>
    </xf>
    <xf numFmtId="14" fontId="76" fillId="0" borderId="0" xfId="0" applyNumberFormat="1" applyFont="1" applyFill="1" applyAlignment="1">
      <alignment horizontal="center"/>
    </xf>
    <xf numFmtId="0" fontId="2" fillId="0" borderId="0" xfId="164" applyFont="1" applyAlignment="1" applyProtection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/>
    <xf numFmtId="0" fontId="0" fillId="0" borderId="0" xfId="0" applyBorder="1"/>
    <xf numFmtId="37" fontId="5" fillId="0" borderId="0" xfId="0" applyNumberFormat="1" applyFont="1" applyFill="1"/>
    <xf numFmtId="0" fontId="5" fillId="0" borderId="0" xfId="0" applyFont="1" applyFill="1"/>
    <xf numFmtId="37" fontId="2" fillId="0" borderId="0" xfId="0" applyNumberFormat="1" applyFont="1" applyFill="1"/>
    <xf numFmtId="0" fontId="2" fillId="0" borderId="0" xfId="0" applyFont="1" applyAlignment="1">
      <alignment horizontal="right"/>
    </xf>
    <xf numFmtId="0" fontId="2" fillId="0" borderId="6" xfId="0" applyFont="1" applyBorder="1"/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2" fillId="0" borderId="6" xfId="0" applyFont="1" applyBorder="1" applyAlignment="1">
      <alignment horizontal="center"/>
    </xf>
    <xf numFmtId="10" fontId="2" fillId="0" borderId="0" xfId="0" applyNumberFormat="1" applyFont="1"/>
    <xf numFmtId="0" fontId="9" fillId="0" borderId="0" xfId="164" applyFont="1"/>
    <xf numFmtId="0" fontId="9" fillId="0" borderId="0" xfId="164" applyFont="1" applyBorder="1"/>
    <xf numFmtId="0" fontId="9" fillId="0" borderId="0" xfId="164" applyFont="1" applyAlignment="1"/>
    <xf numFmtId="0" fontId="49" fillId="0" borderId="0" xfId="164" applyFont="1" applyAlignment="1"/>
    <xf numFmtId="0" fontId="11" fillId="0" borderId="0" xfId="164" applyFont="1"/>
    <xf numFmtId="0" fontId="2" fillId="0" borderId="0" xfId="164" applyFont="1" applyAlignment="1" applyProtection="1">
      <alignment horizontal="right"/>
    </xf>
    <xf numFmtId="0" fontId="2" fillId="0" borderId="5" xfId="164" applyFont="1" applyBorder="1" applyAlignment="1" applyProtection="1">
      <alignment horizontal="left"/>
    </xf>
    <xf numFmtId="0" fontId="2" fillId="0" borderId="5" xfId="164" applyFont="1" applyBorder="1"/>
    <xf numFmtId="0" fontId="2" fillId="0" borderId="6" xfId="164" applyFont="1" applyBorder="1"/>
    <xf numFmtId="0" fontId="11" fillId="0" borderId="6" xfId="164" applyFont="1" applyFill="1" applyBorder="1"/>
    <xf numFmtId="0" fontId="2" fillId="0" borderId="6" xfId="164" applyFont="1" applyFill="1" applyBorder="1"/>
    <xf numFmtId="0" fontId="2" fillId="0" borderId="0" xfId="164" applyFont="1" applyAlignment="1">
      <alignment horizontal="center"/>
    </xf>
    <xf numFmtId="0" fontId="9" fillId="0" borderId="0" xfId="164" applyFont="1" applyAlignment="1">
      <alignment horizontal="center"/>
    </xf>
    <xf numFmtId="0" fontId="2" fillId="0" borderId="5" xfId="164" applyFont="1" applyBorder="1" applyAlignment="1" applyProtection="1">
      <alignment horizontal="center"/>
    </xf>
    <xf numFmtId="0" fontId="2" fillId="0" borderId="5" xfId="164" applyFont="1" applyBorder="1" applyAlignment="1">
      <alignment horizontal="center"/>
    </xf>
    <xf numFmtId="37" fontId="2" fillId="0" borderId="0" xfId="164" applyNumberFormat="1" applyFont="1" applyFill="1" applyProtection="1"/>
    <xf numFmtId="37" fontId="2" fillId="0" borderId="0" xfId="164" applyNumberFormat="1" applyFont="1" applyAlignment="1" applyProtection="1">
      <alignment horizontal="left"/>
    </xf>
    <xf numFmtId="37" fontId="2" fillId="0" borderId="0" xfId="164" applyNumberFormat="1" applyFont="1"/>
    <xf numFmtId="37" fontId="2" fillId="0" borderId="0" xfId="164" applyNumberFormat="1" applyFont="1" applyProtection="1"/>
    <xf numFmtId="37" fontId="9" fillId="0" borderId="0" xfId="164" applyNumberFormat="1" applyFont="1" applyProtection="1"/>
    <xf numFmtId="37" fontId="5" fillId="0" borderId="0" xfId="164" applyNumberFormat="1" applyFont="1" applyFill="1" applyProtection="1"/>
    <xf numFmtId="37" fontId="5" fillId="0" borderId="0" xfId="164" applyNumberFormat="1" applyFont="1" applyProtection="1"/>
    <xf numFmtId="37" fontId="27" fillId="0" borderId="0" xfId="164" applyNumberFormat="1" applyFont="1" applyAlignment="1">
      <alignment horizontal="right"/>
    </xf>
    <xf numFmtId="37" fontId="2" fillId="0" borderId="6" xfId="164" applyNumberFormat="1" applyFont="1" applyFill="1" applyBorder="1" applyProtection="1"/>
    <xf numFmtId="37" fontId="2" fillId="0" borderId="6" xfId="164" applyNumberFormat="1" applyFont="1" applyBorder="1" applyProtection="1"/>
    <xf numFmtId="37" fontId="2" fillId="0" borderId="5" xfId="164" applyNumberFormat="1" applyFont="1" applyFill="1" applyBorder="1" applyProtection="1"/>
    <xf numFmtId="37" fontId="2" fillId="0" borderId="7" xfId="164" applyNumberFormat="1" applyFont="1" applyFill="1" applyBorder="1" applyProtection="1"/>
    <xf numFmtId="37" fontId="2" fillId="0" borderId="7" xfId="164" applyNumberFormat="1" applyFont="1" applyBorder="1" applyProtection="1"/>
    <xf numFmtId="37" fontId="2" fillId="0" borderId="0" xfId="164" applyNumberFormat="1" applyFont="1" applyBorder="1" applyProtection="1"/>
    <xf numFmtId="10" fontId="2" fillId="0" borderId="7" xfId="164" applyNumberFormat="1" applyFont="1" applyBorder="1" applyProtection="1"/>
    <xf numFmtId="10" fontId="2" fillId="0" borderId="0" xfId="164" applyNumberFormat="1" applyFont="1" applyBorder="1" applyProtection="1"/>
    <xf numFmtId="10" fontId="2" fillId="0" borderId="0" xfId="164" applyNumberFormat="1" applyFont="1" applyProtection="1"/>
    <xf numFmtId="0" fontId="51" fillId="0" borderId="0" xfId="164" applyFont="1"/>
    <xf numFmtId="37" fontId="51" fillId="0" borderId="0" xfId="164" applyNumberFormat="1" applyFont="1" applyProtection="1"/>
    <xf numFmtId="37" fontId="11" fillId="0" borderId="0" xfId="164" applyNumberFormat="1" applyFont="1" applyProtection="1"/>
    <xf numFmtId="10" fontId="11" fillId="0" borderId="0" xfId="167" applyNumberFormat="1" applyFont="1"/>
    <xf numFmtId="10" fontId="11" fillId="0" borderId="0" xfId="167" applyNumberFormat="1" applyFont="1" applyProtection="1"/>
    <xf numFmtId="0" fontId="51" fillId="0" borderId="0" xfId="164" applyFont="1" applyAlignment="1" applyProtection="1">
      <alignment horizontal="left"/>
    </xf>
    <xf numFmtId="37" fontId="11" fillId="0" borderId="0" xfId="164" applyNumberFormat="1" applyFont="1" applyAlignment="1" applyProtection="1">
      <alignment horizontal="left"/>
    </xf>
    <xf numFmtId="0" fontId="51" fillId="0" borderId="0" xfId="164" quotePrefix="1" applyFont="1"/>
    <xf numFmtId="0" fontId="2" fillId="0" borderId="0" xfId="164" applyFont="1" applyAlignment="1" applyProtection="1">
      <alignment horizontal="center"/>
      <protection locked="0"/>
    </xf>
    <xf numFmtId="0" fontId="3" fillId="0" borderId="0" xfId="164" applyFont="1"/>
    <xf numFmtId="0" fontId="2" fillId="0" borderId="0" xfId="164" applyFont="1" applyProtection="1">
      <protection locked="0"/>
    </xf>
    <xf numFmtId="0" fontId="52" fillId="0" borderId="0" xfId="164" applyFont="1"/>
    <xf numFmtId="0" fontId="2" fillId="0" borderId="0" xfId="164" applyFont="1" applyAlignment="1" applyProtection="1">
      <alignment horizontal="right"/>
      <protection locked="0"/>
    </xf>
    <xf numFmtId="0" fontId="52" fillId="0" borderId="6" xfId="164" applyFont="1" applyBorder="1"/>
    <xf numFmtId="0" fontId="2" fillId="0" borderId="6" xfId="164" applyFont="1" applyBorder="1" applyAlignment="1" applyProtection="1">
      <alignment horizontal="right"/>
    </xf>
    <xf numFmtId="0" fontId="2" fillId="0" borderId="2" xfId="164" applyFont="1" applyBorder="1" applyAlignment="1" applyProtection="1">
      <alignment horizontal="center"/>
    </xf>
    <xf numFmtId="0" fontId="2" fillId="0" borderId="5" xfId="164" applyFont="1" applyBorder="1" applyAlignment="1" applyProtection="1">
      <alignment horizontal="center"/>
      <protection locked="0"/>
    </xf>
    <xf numFmtId="0" fontId="6" fillId="0" borderId="0" xfId="164" applyFont="1"/>
    <xf numFmtId="0" fontId="53" fillId="0" borderId="0" xfId="164" applyFont="1" applyFill="1" applyAlignment="1" applyProtection="1">
      <alignment horizontal="center"/>
    </xf>
    <xf numFmtId="37" fontId="2" fillId="0" borderId="0" xfId="164" applyNumberFormat="1" applyFont="1" applyFill="1" applyProtection="1">
      <protection locked="0"/>
    </xf>
    <xf numFmtId="37" fontId="5" fillId="0" borderId="0" xfId="164" applyNumberFormat="1" applyFont="1" applyFill="1"/>
    <xf numFmtId="37" fontId="9" fillId="0" borderId="0" xfId="164" applyNumberFormat="1" applyFont="1"/>
    <xf numFmtId="37" fontId="9" fillId="0" borderId="0" xfId="164" applyNumberFormat="1" applyFont="1" applyProtection="1">
      <protection locked="0"/>
    </xf>
    <xf numFmtId="10" fontId="9" fillId="0" borderId="0" xfId="164" applyNumberFormat="1" applyFont="1" applyProtection="1"/>
    <xf numFmtId="0" fontId="2" fillId="0" borderId="0" xfId="164" applyFont="1" applyAlignment="1">
      <alignment horizontal="right"/>
    </xf>
    <xf numFmtId="0" fontId="6" fillId="0" borderId="0" xfId="164" applyFont="1" applyProtection="1">
      <protection locked="0"/>
    </xf>
    <xf numFmtId="37" fontId="5" fillId="0" borderId="0" xfId="164" applyNumberFormat="1" applyFont="1" applyFill="1" applyProtection="1">
      <protection locked="0"/>
    </xf>
    <xf numFmtId="10" fontId="3" fillId="0" borderId="0" xfId="164" applyNumberFormat="1" applyFont="1" applyProtection="1"/>
    <xf numFmtId="37" fontId="3" fillId="0" borderId="0" xfId="164" applyNumberFormat="1" applyFont="1" applyProtection="1">
      <protection locked="0"/>
    </xf>
    <xf numFmtId="0" fontId="2" fillId="0" borderId="0" xfId="164" applyFont="1" applyAlignment="1" applyProtection="1">
      <alignment horizontal="left"/>
      <protection locked="0"/>
    </xf>
    <xf numFmtId="37" fontId="2" fillId="0" borderId="0" xfId="164" applyNumberFormat="1" applyFont="1" applyAlignment="1" applyProtection="1">
      <alignment horizontal="left"/>
      <protection locked="0"/>
    </xf>
    <xf numFmtId="177" fontId="3" fillId="0" borderId="0" xfId="164" applyNumberFormat="1" applyFont="1" applyProtection="1"/>
    <xf numFmtId="37" fontId="2" fillId="0" borderId="0" xfId="164" applyNumberFormat="1" applyFont="1" applyFill="1" applyAlignment="1" applyProtection="1">
      <alignment horizontal="left"/>
    </xf>
    <xf numFmtId="37" fontId="2" fillId="0" borderId="0" xfId="164" applyNumberFormat="1" applyFont="1" applyFill="1"/>
    <xf numFmtId="37" fontId="2" fillId="0" borderId="0" xfId="164" applyNumberFormat="1" applyFont="1" applyFill="1" applyAlignment="1" applyProtection="1">
      <alignment horizontal="left"/>
      <protection locked="0"/>
    </xf>
    <xf numFmtId="37" fontId="3" fillId="0" borderId="0" xfId="164" applyNumberFormat="1" applyFont="1" applyProtection="1"/>
    <xf numFmtId="37" fontId="2" fillId="0" borderId="6" xfId="164" applyNumberFormat="1" applyFont="1" applyFill="1" applyBorder="1" applyProtection="1">
      <protection locked="0"/>
    </xf>
    <xf numFmtId="37" fontId="2" fillId="0" borderId="0" xfId="164" applyNumberFormat="1" applyFont="1" applyProtection="1">
      <protection locked="0"/>
    </xf>
    <xf numFmtId="37" fontId="53" fillId="0" borderId="0" xfId="164" applyNumberFormat="1" applyFont="1" applyFill="1" applyProtection="1"/>
    <xf numFmtId="0" fontId="11" fillId="0" borderId="0" xfId="164" applyFont="1" applyAlignment="1" applyProtection="1">
      <alignment horizontal="right"/>
      <protection locked="0"/>
    </xf>
    <xf numFmtId="10" fontId="11" fillId="0" borderId="0" xfId="164" applyNumberFormat="1" applyFont="1" applyProtection="1"/>
    <xf numFmtId="0" fontId="11" fillId="0" borderId="0" xfId="164" applyFont="1" applyProtection="1">
      <protection locked="0"/>
    </xf>
    <xf numFmtId="37" fontId="52" fillId="0" borderId="0" xfId="164" applyNumberFormat="1" applyFont="1"/>
    <xf numFmtId="169" fontId="11" fillId="0" borderId="0" xfId="164" applyNumberFormat="1" applyFont="1" applyProtection="1"/>
    <xf numFmtId="181" fontId="11" fillId="0" borderId="0" xfId="164" applyNumberFormat="1" applyFont="1" applyProtection="1"/>
    <xf numFmtId="43" fontId="52" fillId="0" borderId="0" xfId="38" applyFont="1"/>
    <xf numFmtId="37" fontId="52" fillId="0" borderId="0" xfId="164" applyNumberFormat="1" applyFont="1" applyProtection="1"/>
    <xf numFmtId="10" fontId="52" fillId="0" borderId="0" xfId="164" applyNumberFormat="1" applyFont="1" applyProtection="1"/>
    <xf numFmtId="177" fontId="9" fillId="0" borderId="0" xfId="164" applyNumberFormat="1" applyFont="1" applyProtection="1"/>
    <xf numFmtId="0" fontId="52" fillId="0" borderId="0" xfId="164" applyFont="1" applyProtection="1">
      <protection locked="0"/>
    </xf>
    <xf numFmtId="0" fontId="3" fillId="0" borderId="0" xfId="164" applyFont="1" applyProtection="1">
      <protection locked="0"/>
    </xf>
    <xf numFmtId="37" fontId="52" fillId="0" borderId="0" xfId="164" applyNumberFormat="1" applyFont="1" applyProtection="1">
      <protection locked="0"/>
    </xf>
    <xf numFmtId="177" fontId="52" fillId="0" borderId="0" xfId="164" applyNumberFormat="1" applyFont="1" applyProtection="1"/>
    <xf numFmtId="0" fontId="52" fillId="0" borderId="0" xfId="164" applyFont="1" applyAlignment="1" applyProtection="1">
      <alignment horizontal="left"/>
    </xf>
    <xf numFmtId="0" fontId="2" fillId="0" borderId="0" xfId="138"/>
    <xf numFmtId="0" fontId="11" fillId="0" borderId="6" xfId="164" applyFont="1" applyBorder="1"/>
    <xf numFmtId="0" fontId="6" fillId="0" borderId="0" xfId="164" applyFont="1" applyAlignment="1" applyProtection="1">
      <alignment horizontal="left"/>
      <protection locked="0"/>
    </xf>
    <xf numFmtId="9" fontId="2" fillId="0" borderId="0" xfId="164" applyNumberFormat="1" applyFont="1" applyAlignment="1" applyProtection="1">
      <alignment horizontal="center"/>
    </xf>
    <xf numFmtId="37" fontId="2" fillId="0" borderId="5" xfId="164" applyNumberFormat="1" applyFont="1" applyBorder="1" applyProtection="1">
      <protection locked="0"/>
    </xf>
    <xf numFmtId="9" fontId="2" fillId="0" borderId="0" xfId="164" applyNumberFormat="1" applyFont="1" applyAlignment="1">
      <alignment horizontal="center"/>
    </xf>
    <xf numFmtId="9" fontId="2" fillId="0" borderId="0" xfId="164" applyNumberFormat="1" applyFont="1" applyAlignment="1" applyProtection="1">
      <alignment horizontal="center"/>
      <protection locked="0"/>
    </xf>
    <xf numFmtId="0" fontId="6" fillId="0" borderId="0" xfId="164" applyFont="1" applyAlignment="1" applyProtection="1">
      <alignment horizontal="left"/>
    </xf>
    <xf numFmtId="9" fontId="2" fillId="0" borderId="0" xfId="164" applyNumberFormat="1" applyFont="1" applyBorder="1" applyAlignment="1" applyProtection="1">
      <alignment horizontal="center"/>
    </xf>
    <xf numFmtId="37" fontId="2" fillId="0" borderId="0" xfId="164" applyNumberFormat="1" applyFont="1" applyBorder="1" applyProtection="1">
      <protection locked="0"/>
    </xf>
    <xf numFmtId="0" fontId="2" fillId="0" borderId="0" xfId="164" quotePrefix="1" applyFont="1" applyAlignment="1" applyProtection="1">
      <alignment horizontal="left"/>
      <protection locked="0"/>
    </xf>
    <xf numFmtId="37" fontId="2" fillId="0" borderId="6" xfId="164" applyNumberFormat="1" applyFont="1" applyBorder="1" applyProtection="1">
      <protection locked="0"/>
    </xf>
    <xf numFmtId="37" fontId="2" fillId="0" borderId="5" xfId="164" applyNumberFormat="1" applyFont="1" applyFill="1" applyBorder="1" applyProtection="1">
      <protection locked="0"/>
    </xf>
    <xf numFmtId="9" fontId="2" fillId="0" borderId="0" xfId="164" applyNumberFormat="1" applyFont="1" applyAlignment="1" applyProtection="1">
      <alignment horizontal="left"/>
    </xf>
    <xf numFmtId="0" fontId="2" fillId="0" borderId="0" xfId="164" applyFont="1" applyAlignment="1"/>
    <xf numFmtId="0" fontId="2" fillId="0" borderId="6" xfId="164" applyFont="1" applyBorder="1" applyAlignment="1" applyProtection="1">
      <alignment horizontal="center"/>
      <protection locked="0"/>
    </xf>
    <xf numFmtId="182" fontId="2" fillId="0" borderId="0" xfId="164" applyNumberFormat="1" applyFont="1" applyProtection="1">
      <protection locked="0"/>
    </xf>
    <xf numFmtId="37" fontId="2" fillId="0" borderId="0" xfId="164" applyNumberFormat="1" applyFont="1" applyFill="1" applyBorder="1" applyProtection="1">
      <protection locked="0"/>
    </xf>
    <xf numFmtId="165" fontId="2" fillId="0" borderId="0" xfId="164" applyNumberFormat="1" applyFont="1" applyAlignment="1" applyProtection="1">
      <alignment horizontal="center"/>
    </xf>
    <xf numFmtId="182" fontId="2" fillId="0" borderId="0" xfId="164" applyNumberFormat="1" applyFont="1" applyAlignment="1" applyProtection="1">
      <alignment horizontal="center"/>
      <protection locked="0"/>
    </xf>
    <xf numFmtId="182" fontId="2" fillId="0" borderId="0" xfId="164" applyNumberFormat="1" applyFont="1" applyAlignment="1" applyProtection="1">
      <alignment horizontal="center"/>
    </xf>
    <xf numFmtId="37" fontId="2" fillId="0" borderId="7" xfId="164" applyNumberFormat="1" applyFont="1" applyBorder="1" applyProtection="1">
      <protection locked="0"/>
    </xf>
    <xf numFmtId="0" fontId="11" fillId="0" borderId="0" xfId="164" applyFont="1" applyAlignment="1">
      <alignment horizontal="center"/>
    </xf>
    <xf numFmtId="37" fontId="11" fillId="0" borderId="0" xfId="164" applyNumberFormat="1" applyFont="1"/>
    <xf numFmtId="0" fontId="26" fillId="0" borderId="0" xfId="138" applyFont="1"/>
    <xf numFmtId="0" fontId="26" fillId="0" borderId="0" xfId="164" applyFont="1" applyAlignment="1" applyProtection="1">
      <alignment horizontal="center"/>
      <protection locked="0"/>
    </xf>
    <xf numFmtId="0" fontId="26" fillId="0" borderId="0" xfId="164" applyFont="1" applyAlignment="1"/>
    <xf numFmtId="0" fontId="26" fillId="0" borderId="0" xfId="164" applyFont="1"/>
    <xf numFmtId="0" fontId="26" fillId="0" borderId="0" xfId="164" applyFont="1" applyProtection="1">
      <protection locked="0"/>
    </xf>
    <xf numFmtId="0" fontId="55" fillId="0" borderId="0" xfId="164" applyFont="1"/>
    <xf numFmtId="0" fontId="26" fillId="0" borderId="0" xfId="138" applyFont="1" applyFill="1"/>
    <xf numFmtId="0" fontId="26" fillId="0" borderId="0" xfId="164" applyFont="1" applyAlignment="1" applyProtection="1">
      <alignment horizontal="left"/>
    </xf>
    <xf numFmtId="0" fontId="26" fillId="0" borderId="0" xfId="164" applyFont="1" applyAlignment="1" applyProtection="1">
      <alignment horizontal="left"/>
      <protection locked="0"/>
    </xf>
    <xf numFmtId="0" fontId="26" fillId="0" borderId="0" xfId="164" applyFont="1" applyAlignment="1" applyProtection="1">
      <alignment horizontal="right"/>
      <protection locked="0"/>
    </xf>
    <xf numFmtId="0" fontId="26" fillId="0" borderId="0" xfId="138" applyFont="1" applyFill="1" applyAlignment="1">
      <alignment wrapText="1"/>
    </xf>
    <xf numFmtId="0" fontId="26" fillId="0" borderId="5" xfId="164" applyFont="1" applyBorder="1" applyAlignment="1" applyProtection="1">
      <alignment horizontal="left"/>
    </xf>
    <xf numFmtId="0" fontId="26" fillId="0" borderId="5" xfId="164" applyFont="1" applyBorder="1"/>
    <xf numFmtId="0" fontId="26" fillId="0" borderId="5" xfId="164" applyFont="1" applyBorder="1" applyAlignment="1" applyProtection="1">
      <alignment horizontal="left"/>
      <protection locked="0"/>
    </xf>
    <xf numFmtId="0" fontId="26" fillId="0" borderId="6" xfId="164" applyFont="1" applyBorder="1" applyAlignment="1" applyProtection="1">
      <alignment horizontal="right"/>
    </xf>
    <xf numFmtId="0" fontId="26" fillId="0" borderId="8" xfId="164" applyFont="1" applyBorder="1" applyAlignment="1" applyProtection="1">
      <alignment horizontal="center"/>
      <protection locked="0"/>
    </xf>
    <xf numFmtId="0" fontId="26" fillId="0" borderId="8" xfId="164" applyFont="1" applyBorder="1" applyAlignment="1" applyProtection="1">
      <protection locked="0"/>
    </xf>
    <xf numFmtId="0" fontId="77" fillId="0" borderId="0" xfId="164" applyFont="1" applyAlignment="1" applyProtection="1">
      <alignment horizontal="center"/>
      <protection locked="0"/>
    </xf>
    <xf numFmtId="0" fontId="77" fillId="0" borderId="0" xfId="164" applyFont="1" applyFill="1" applyAlignment="1">
      <alignment horizontal="center"/>
    </xf>
    <xf numFmtId="0" fontId="26" fillId="0" borderId="5" xfId="164" applyFont="1" applyBorder="1" applyAlignment="1" applyProtection="1">
      <alignment horizontal="center"/>
      <protection locked="0"/>
    </xf>
    <xf numFmtId="49" fontId="77" fillId="0" borderId="5" xfId="164" applyNumberFormat="1" applyFont="1" applyFill="1" applyBorder="1" applyAlignment="1" applyProtection="1">
      <alignment horizontal="center"/>
    </xf>
    <xf numFmtId="0" fontId="26" fillId="0" borderId="5" xfId="164" applyFont="1" applyBorder="1" applyAlignment="1" applyProtection="1">
      <alignment horizontal="center"/>
    </xf>
    <xf numFmtId="0" fontId="26" fillId="0" borderId="0" xfId="164" applyFont="1" applyAlignment="1">
      <alignment horizontal="center"/>
    </xf>
    <xf numFmtId="0" fontId="26" fillId="0" borderId="0" xfId="164" applyFont="1" applyAlignment="1" applyProtection="1">
      <alignment horizontal="center"/>
    </xf>
    <xf numFmtId="0" fontId="26" fillId="0" borderId="0" xfId="138" applyFont="1" applyAlignment="1">
      <alignment horizontal="center"/>
    </xf>
    <xf numFmtId="37" fontId="49" fillId="0" borderId="0" xfId="164" applyNumberFormat="1" applyFont="1" applyFill="1" applyProtection="1"/>
    <xf numFmtId="37" fontId="26" fillId="0" borderId="0" xfId="164" applyNumberFormat="1" applyFont="1" applyFill="1" applyProtection="1"/>
    <xf numFmtId="0" fontId="26" fillId="0" borderId="0" xfId="164" applyFont="1" applyAlignment="1" applyProtection="1">
      <alignment horizontal="left" wrapText="1"/>
    </xf>
    <xf numFmtId="0" fontId="26" fillId="0" borderId="0" xfId="164" applyFont="1" applyFill="1" applyAlignment="1" applyProtection="1">
      <alignment horizontal="left"/>
    </xf>
    <xf numFmtId="0" fontId="26" fillId="0" borderId="0" xfId="164" applyFont="1" applyFill="1" applyAlignment="1" applyProtection="1">
      <alignment horizontal="center"/>
    </xf>
    <xf numFmtId="37" fontId="77" fillId="0" borderId="0" xfId="164" applyNumberFormat="1" applyFont="1" applyFill="1" applyProtection="1"/>
    <xf numFmtId="49" fontId="26" fillId="0" borderId="5" xfId="164" applyNumberFormat="1" applyFont="1" applyBorder="1" applyAlignment="1" applyProtection="1">
      <alignment horizontal="center"/>
    </xf>
    <xf numFmtId="37" fontId="26" fillId="0" borderId="10" xfId="164" applyNumberFormat="1" applyFont="1" applyFill="1" applyBorder="1" applyProtection="1"/>
    <xf numFmtId="166" fontId="26" fillId="0" borderId="0" xfId="164" applyNumberFormat="1" applyFont="1" applyProtection="1"/>
    <xf numFmtId="0" fontId="36" fillId="0" borderId="0" xfId="164" applyFont="1"/>
    <xf numFmtId="37" fontId="26" fillId="0" borderId="0" xfId="164" applyNumberFormat="1" applyFont="1"/>
    <xf numFmtId="37" fontId="26" fillId="0" borderId="0" xfId="138" applyNumberFormat="1" applyFont="1"/>
    <xf numFmtId="0" fontId="78" fillId="0" borderId="0" xfId="138" applyFont="1" applyFill="1"/>
    <xf numFmtId="168" fontId="78" fillId="0" borderId="0" xfId="38" applyNumberFormat="1" applyFont="1"/>
    <xf numFmtId="0" fontId="78" fillId="0" borderId="0" xfId="138" applyFont="1"/>
    <xf numFmtId="0" fontId="26" fillId="0" borderId="0" xfId="161" applyFont="1"/>
    <xf numFmtId="0" fontId="26" fillId="0" borderId="0" xfId="161" applyFont="1" applyFill="1" applyAlignment="1" applyProtection="1">
      <alignment horizontal="center"/>
      <protection locked="0"/>
    </xf>
    <xf numFmtId="0" fontId="26" fillId="0" borderId="0" xfId="161" applyFont="1" applyAlignment="1" applyProtection="1">
      <alignment horizontal="left"/>
    </xf>
    <xf numFmtId="49" fontId="26" fillId="0" borderId="0" xfId="161" applyNumberFormat="1" applyFont="1"/>
    <xf numFmtId="0" fontId="26" fillId="0" borderId="5" xfId="161" applyFont="1" applyBorder="1" applyAlignment="1" applyProtection="1">
      <alignment horizontal="left"/>
    </xf>
    <xf numFmtId="49" fontId="26" fillId="0" borderId="5" xfId="161" applyNumberFormat="1" applyFont="1" applyBorder="1"/>
    <xf numFmtId="0" fontId="26" fillId="0" borderId="5" xfId="161" applyFont="1" applyBorder="1"/>
    <xf numFmtId="0" fontId="26" fillId="0" borderId="0" xfId="161" applyFont="1" applyFill="1"/>
    <xf numFmtId="0" fontId="26" fillId="0" borderId="0" xfId="161" applyFont="1" applyAlignment="1" applyProtection="1">
      <alignment horizontal="center"/>
    </xf>
    <xf numFmtId="49" fontId="26" fillId="0" borderId="0" xfId="161" applyNumberFormat="1" applyFont="1" applyAlignment="1" applyProtection="1">
      <alignment horizontal="left"/>
      <protection locked="0"/>
    </xf>
    <xf numFmtId="0" fontId="26" fillId="0" borderId="0" xfId="161" applyFont="1" applyFill="1" applyAlignment="1" applyProtection="1">
      <alignment horizontal="center"/>
    </xf>
    <xf numFmtId="0" fontId="26" fillId="0" borderId="8" xfId="161" applyFont="1" applyFill="1" applyBorder="1" applyAlignment="1" applyProtection="1">
      <alignment horizontal="center"/>
    </xf>
    <xf numFmtId="0" fontId="26" fillId="0" borderId="5" xfId="161" applyFont="1" applyBorder="1" applyAlignment="1" applyProtection="1">
      <alignment horizontal="center"/>
    </xf>
    <xf numFmtId="49" fontId="26" fillId="0" borderId="5" xfId="161" applyNumberFormat="1" applyFont="1" applyBorder="1" applyAlignment="1" applyProtection="1">
      <alignment horizontal="left"/>
      <protection locked="0"/>
    </xf>
    <xf numFmtId="0" fontId="26" fillId="0" borderId="5" xfId="161" applyFont="1" applyFill="1" applyBorder="1" applyAlignment="1" applyProtection="1">
      <alignment horizontal="center"/>
    </xf>
    <xf numFmtId="37" fontId="26" fillId="0" borderId="0" xfId="161" applyNumberFormat="1" applyFont="1" applyProtection="1"/>
    <xf numFmtId="0" fontId="26" fillId="0" borderId="0" xfId="161" applyFont="1" applyAlignment="1">
      <alignment horizontal="center"/>
    </xf>
    <xf numFmtId="49" fontId="26" fillId="0" borderId="0" xfId="161" applyNumberFormat="1" applyFont="1" applyAlignment="1" applyProtection="1">
      <alignment horizontal="left"/>
    </xf>
    <xf numFmtId="37" fontId="26" fillId="0" borderId="0" xfId="161" applyNumberFormat="1" applyFont="1" applyFill="1" applyProtection="1"/>
    <xf numFmtId="37" fontId="26" fillId="0" borderId="5" xfId="161" applyNumberFormat="1" applyFont="1" applyFill="1" applyBorder="1" applyProtection="1"/>
    <xf numFmtId="37" fontId="26" fillId="0" borderId="5" xfId="161" applyNumberFormat="1" applyFont="1" applyBorder="1" applyProtection="1"/>
    <xf numFmtId="37" fontId="49" fillId="0" borderId="0" xfId="161" applyNumberFormat="1" applyFont="1" applyFill="1" applyProtection="1"/>
    <xf numFmtId="37" fontId="26" fillId="0" borderId="0" xfId="161" applyNumberFormat="1" applyFont="1" applyFill="1" applyBorder="1" applyProtection="1"/>
    <xf numFmtId="37" fontId="49" fillId="0" borderId="0" xfId="161" applyNumberFormat="1" applyFont="1" applyFill="1" applyBorder="1" applyProtection="1"/>
    <xf numFmtId="37" fontId="58" fillId="0" borderId="0" xfId="161" applyNumberFormat="1" applyFont="1" applyFill="1" applyProtection="1"/>
    <xf numFmtId="37" fontId="58" fillId="0" borderId="0" xfId="161" applyNumberFormat="1" applyFont="1" applyProtection="1"/>
    <xf numFmtId="37" fontId="49" fillId="0" borderId="5" xfId="161" applyNumberFormat="1" applyFont="1" applyFill="1" applyBorder="1" applyProtection="1"/>
    <xf numFmtId="183" fontId="26" fillId="0" borderId="0" xfId="161" applyNumberFormat="1" applyFont="1" applyProtection="1"/>
    <xf numFmtId="184" fontId="26" fillId="0" borderId="0" xfId="161" applyNumberFormat="1" applyFont="1" applyProtection="1"/>
    <xf numFmtId="49" fontId="49" fillId="0" borderId="0" xfId="161" applyNumberFormat="1" applyFont="1" applyAlignment="1" applyProtection="1">
      <alignment horizontal="left"/>
      <protection locked="0"/>
    </xf>
    <xf numFmtId="49" fontId="49" fillId="0" borderId="5" xfId="161" applyNumberFormat="1" applyFont="1" applyBorder="1" applyAlignment="1" applyProtection="1">
      <alignment horizontal="left"/>
      <protection locked="0"/>
    </xf>
    <xf numFmtId="0" fontId="77" fillId="0" borderId="0" xfId="161" applyFont="1"/>
    <xf numFmtId="49" fontId="49" fillId="0" borderId="0" xfId="161" quotePrefix="1" applyNumberFormat="1" applyFont="1" applyAlignment="1" applyProtection="1">
      <alignment horizontal="left"/>
      <protection locked="0"/>
    </xf>
    <xf numFmtId="39" fontId="26" fillId="0" borderId="0" xfId="161" applyNumberFormat="1" applyFont="1"/>
    <xf numFmtId="37" fontId="26" fillId="0" borderId="0" xfId="161" applyNumberFormat="1" applyFont="1"/>
    <xf numFmtId="0" fontId="26" fillId="0" borderId="8" xfId="161" applyFont="1" applyFill="1" applyBorder="1"/>
    <xf numFmtId="0" fontId="26" fillId="0" borderId="5" xfId="161" applyFont="1" applyFill="1" applyBorder="1"/>
    <xf numFmtId="0" fontId="26" fillId="0" borderId="0" xfId="161" applyFont="1" applyProtection="1"/>
    <xf numFmtId="37" fontId="49" fillId="0" borderId="0" xfId="161" applyNumberFormat="1" applyFont="1" applyProtection="1">
      <protection locked="0"/>
    </xf>
    <xf numFmtId="49" fontId="49" fillId="0" borderId="0" xfId="161" applyNumberFormat="1" applyFont="1" applyProtection="1">
      <protection locked="0"/>
    </xf>
    <xf numFmtId="37" fontId="26" fillId="0" borderId="5" xfId="161" applyNumberFormat="1" applyFont="1" applyFill="1" applyBorder="1" applyProtection="1">
      <protection locked="0"/>
    </xf>
    <xf numFmtId="37" fontId="58" fillId="0" borderId="0" xfId="161" applyNumberFormat="1" applyFont="1" applyFill="1" applyProtection="1">
      <protection locked="0"/>
    </xf>
    <xf numFmtId="182" fontId="26" fillId="0" borderId="0" xfId="161" applyNumberFormat="1" applyFont="1" applyProtection="1"/>
    <xf numFmtId="0" fontId="49" fillId="0" borderId="0" xfId="161" applyFont="1" applyFill="1" applyProtection="1">
      <protection locked="0"/>
    </xf>
    <xf numFmtId="0" fontId="26" fillId="0" borderId="0" xfId="161" applyFont="1" applyFill="1" applyAlignment="1" applyProtection="1">
      <alignment horizontal="left"/>
    </xf>
    <xf numFmtId="0" fontId="49" fillId="0" borderId="0" xfId="161" applyFont="1" applyFill="1" applyAlignment="1" applyProtection="1">
      <alignment horizontal="right"/>
      <protection locked="0"/>
    </xf>
    <xf numFmtId="0" fontId="26" fillId="0" borderId="0" xfId="161" applyFont="1" applyFill="1" applyAlignment="1" applyProtection="1">
      <alignment horizontal="right"/>
      <protection locked="0"/>
    </xf>
    <xf numFmtId="0" fontId="26" fillId="0" borderId="0" xfId="161" applyFont="1" applyFill="1" applyBorder="1"/>
    <xf numFmtId="0" fontId="49" fillId="0" borderId="5" xfId="161" applyFont="1" applyFill="1" applyBorder="1" applyAlignment="1" applyProtection="1">
      <alignment horizontal="left"/>
      <protection locked="0"/>
    </xf>
    <xf numFmtId="0" fontId="49" fillId="0" borderId="5" xfId="161" applyFont="1" applyFill="1" applyBorder="1" applyProtection="1">
      <protection locked="0"/>
    </xf>
    <xf numFmtId="0" fontId="59" fillId="0" borderId="0" xfId="161" applyFont="1" applyFill="1" applyAlignment="1" applyProtection="1">
      <alignment horizontal="left"/>
    </xf>
    <xf numFmtId="0" fontId="49" fillId="0" borderId="0" xfId="161" applyFont="1" applyFill="1"/>
    <xf numFmtId="0" fontId="49" fillId="0" borderId="0" xfId="161" applyFont="1" applyFill="1" applyAlignment="1" applyProtection="1">
      <alignment horizontal="left"/>
    </xf>
    <xf numFmtId="5" fontId="26" fillId="0" borderId="0" xfId="161" applyNumberFormat="1" applyFont="1" applyFill="1" applyProtection="1"/>
    <xf numFmtId="5" fontId="26" fillId="0" borderId="4" xfId="161" applyNumberFormat="1" applyFont="1" applyFill="1" applyBorder="1" applyProtection="1"/>
    <xf numFmtId="176" fontId="26" fillId="0" borderId="0" xfId="161" applyNumberFormat="1" applyFont="1" applyFill="1" applyProtection="1"/>
    <xf numFmtId="5" fontId="26" fillId="0" borderId="0" xfId="161" applyNumberFormat="1" applyFont="1" applyFill="1"/>
    <xf numFmtId="37" fontId="26" fillId="0" borderId="0" xfId="161" applyNumberFormat="1" applyFont="1" applyFill="1"/>
    <xf numFmtId="166" fontId="26" fillId="0" borderId="0" xfId="161" applyNumberFormat="1" applyFont="1" applyFill="1" applyProtection="1"/>
    <xf numFmtId="37" fontId="49" fillId="0" borderId="0" xfId="161" applyNumberFormat="1" applyFont="1" applyFill="1" applyProtection="1">
      <protection locked="0"/>
    </xf>
    <xf numFmtId="165" fontId="26" fillId="0" borderId="0" xfId="161" applyNumberFormat="1" applyFont="1" applyFill="1" applyProtection="1"/>
    <xf numFmtId="185" fontId="26" fillId="0" borderId="0" xfId="161" applyNumberFormat="1" applyFont="1" applyFill="1" applyProtection="1"/>
    <xf numFmtId="186" fontId="26" fillId="0" borderId="0" xfId="161" applyNumberFormat="1" applyFont="1" applyFill="1" applyProtection="1"/>
    <xf numFmtId="0" fontId="55" fillId="0" borderId="0" xfId="161" applyFont="1" applyFill="1"/>
    <xf numFmtId="182" fontId="26" fillId="0" borderId="0" xfId="161" applyNumberFormat="1" applyFont="1" applyFill="1" applyProtection="1"/>
    <xf numFmtId="182" fontId="49" fillId="0" borderId="0" xfId="161" applyNumberFormat="1" applyFont="1" applyFill="1" applyProtection="1">
      <protection locked="0"/>
    </xf>
    <xf numFmtId="165" fontId="49" fillId="0" borderId="0" xfId="161" applyNumberFormat="1" applyFont="1" applyFill="1" applyProtection="1">
      <protection locked="0"/>
    </xf>
    <xf numFmtId="0" fontId="49" fillId="0" borderId="0" xfId="161" applyFont="1" applyFill="1" applyBorder="1" applyProtection="1">
      <protection locked="0"/>
    </xf>
    <xf numFmtId="166" fontId="26" fillId="0" borderId="0" xfId="161" applyNumberFormat="1" applyFont="1" applyFill="1" applyBorder="1" applyProtection="1"/>
    <xf numFmtId="37" fontId="49" fillId="0" borderId="0" xfId="161" applyNumberFormat="1" applyFont="1" applyFill="1" applyBorder="1" applyProtection="1">
      <protection locked="0"/>
    </xf>
    <xf numFmtId="165" fontId="49" fillId="0" borderId="0" xfId="161" applyNumberFormat="1" applyFont="1" applyFill="1" applyBorder="1" applyProtection="1">
      <protection locked="0"/>
    </xf>
    <xf numFmtId="165" fontId="26" fillId="0" borderId="0" xfId="161" applyNumberFormat="1" applyFont="1" applyFill="1" applyBorder="1" applyProtection="1"/>
    <xf numFmtId="185" fontId="26" fillId="0" borderId="0" xfId="161" applyNumberFormat="1" applyFont="1" applyFill="1" applyBorder="1" applyProtection="1"/>
    <xf numFmtId="186" fontId="26" fillId="0" borderId="0" xfId="161" applyNumberFormat="1" applyFont="1" applyFill="1" applyBorder="1" applyProtection="1"/>
    <xf numFmtId="0" fontId="55" fillId="0" borderId="0" xfId="161" applyFont="1" applyFill="1" applyBorder="1"/>
    <xf numFmtId="182" fontId="26" fillId="0" borderId="0" xfId="161" applyNumberFormat="1" applyFont="1" applyFill="1" applyBorder="1" applyProtection="1"/>
    <xf numFmtId="182" fontId="49" fillId="0" borderId="0" xfId="161" applyNumberFormat="1" applyFont="1" applyFill="1" applyBorder="1" applyProtection="1">
      <protection locked="0"/>
    </xf>
    <xf numFmtId="5" fontId="26" fillId="0" borderId="0" xfId="161" applyNumberFormat="1" applyFont="1" applyFill="1" applyBorder="1"/>
    <xf numFmtId="37" fontId="55" fillId="0" borderId="0" xfId="161" applyNumberFormat="1" applyFont="1" applyFill="1" applyBorder="1"/>
    <xf numFmtId="0" fontId="11" fillId="0" borderId="0" xfId="138" applyFont="1" applyFill="1"/>
    <xf numFmtId="0" fontId="46" fillId="0" borderId="0" xfId="138" applyFont="1"/>
    <xf numFmtId="0" fontId="11" fillId="9" borderId="11" xfId="138" applyFont="1" applyFill="1" applyBorder="1"/>
    <xf numFmtId="0" fontId="11" fillId="9" borderId="12" xfId="138" applyFont="1" applyFill="1" applyBorder="1"/>
    <xf numFmtId="0" fontId="11" fillId="6" borderId="13" xfId="138" applyFont="1" applyFill="1" applyBorder="1"/>
    <xf numFmtId="0" fontId="11" fillId="6" borderId="14" xfId="138" applyFont="1" applyFill="1" applyBorder="1"/>
    <xf numFmtId="0" fontId="45" fillId="0" borderId="0" xfId="138" applyFont="1" applyAlignment="1">
      <alignment horizontal="center"/>
    </xf>
    <xf numFmtId="39" fontId="45" fillId="0" borderId="0" xfId="138" applyNumberFormat="1" applyFont="1" applyAlignment="1">
      <alignment horizontal="center"/>
    </xf>
    <xf numFmtId="0" fontId="11" fillId="9" borderId="0" xfId="138" applyFont="1" applyFill="1"/>
    <xf numFmtId="0" fontId="11" fillId="6" borderId="0" xfId="138" applyFont="1" applyFill="1"/>
    <xf numFmtId="39" fontId="11" fillId="0" borderId="16" xfId="138" applyNumberFormat="1" applyFont="1" applyBorder="1"/>
    <xf numFmtId="39" fontId="11" fillId="0" borderId="18" xfId="138" applyNumberFormat="1" applyFont="1" applyBorder="1"/>
    <xf numFmtId="39" fontId="11" fillId="0" borderId="0" xfId="138" applyNumberFormat="1" applyFont="1" applyBorder="1"/>
    <xf numFmtId="39" fontId="11" fillId="0" borderId="0" xfId="138" applyNumberFormat="1" applyFont="1" applyFill="1" applyBorder="1"/>
    <xf numFmtId="0" fontId="11" fillId="0" borderId="0" xfId="138" applyFont="1" applyBorder="1"/>
    <xf numFmtId="187" fontId="11" fillId="0" borderId="0" xfId="138" applyNumberFormat="1" applyFont="1" applyBorder="1"/>
    <xf numFmtId="187" fontId="11" fillId="0" borderId="0" xfId="138" applyNumberFormat="1" applyFont="1" applyFill="1" applyBorder="1"/>
    <xf numFmtId="39" fontId="11" fillId="5" borderId="18" xfId="138" applyNumberFormat="1" applyFont="1" applyFill="1" applyBorder="1"/>
    <xf numFmtId="39" fontId="11" fillId="5" borderId="0" xfId="138" applyNumberFormat="1" applyFont="1" applyFill="1" applyBorder="1"/>
    <xf numFmtId="0" fontId="11" fillId="0" borderId="18" xfId="138" applyFont="1" applyBorder="1"/>
    <xf numFmtId="0" fontId="11" fillId="0" borderId="0" xfId="138" applyFont="1" applyFill="1" applyBorder="1"/>
    <xf numFmtId="0" fontId="11" fillId="0" borderId="20" xfId="138" applyFont="1" applyBorder="1"/>
    <xf numFmtId="0" fontId="11" fillId="0" borderId="3" xfId="138" applyFont="1" applyBorder="1"/>
    <xf numFmtId="0" fontId="11" fillId="0" borderId="0" xfId="138" applyNumberFormat="1" applyFont="1" applyAlignment="1">
      <alignment horizontal="center"/>
    </xf>
    <xf numFmtId="0" fontId="11" fillId="0" borderId="0" xfId="138" applyNumberFormat="1" applyFont="1" applyFill="1" applyAlignment="1">
      <alignment horizontal="center"/>
    </xf>
    <xf numFmtId="168" fontId="11" fillId="0" borderId="0" xfId="38" applyNumberFormat="1" applyFont="1" applyAlignment="1">
      <alignment horizontal="center"/>
    </xf>
    <xf numFmtId="0" fontId="45" fillId="0" borderId="0" xfId="138" applyNumberFormat="1" applyFont="1" applyAlignment="1">
      <alignment horizontal="center"/>
    </xf>
    <xf numFmtId="0" fontId="45" fillId="0" borderId="0" xfId="138" applyNumberFormat="1" applyFont="1" applyFill="1" applyAlignment="1">
      <alignment horizontal="center"/>
    </xf>
    <xf numFmtId="168" fontId="44" fillId="0" borderId="0" xfId="38" applyNumberFormat="1" applyFont="1" applyAlignment="1">
      <alignment horizontal="center"/>
    </xf>
    <xf numFmtId="0" fontId="11" fillId="0" borderId="0" xfId="139" applyNumberFormat="1" applyFont="1" applyFill="1" applyBorder="1" applyAlignment="1">
      <alignment horizontal="center"/>
    </xf>
    <xf numFmtId="0" fontId="11" fillId="0" borderId="0" xfId="139" quotePrefix="1" applyNumberFormat="1" applyFont="1" applyFill="1" applyBorder="1" applyAlignment="1">
      <alignment horizontal="center"/>
    </xf>
    <xf numFmtId="168" fontId="0" fillId="0" borderId="0" xfId="38" applyNumberFormat="1" applyFont="1"/>
    <xf numFmtId="168" fontId="11" fillId="0" borderId="0" xfId="38" applyNumberFormat="1" applyFont="1" applyFill="1" applyBorder="1"/>
    <xf numFmtId="168" fontId="11" fillId="0" borderId="0" xfId="38" applyNumberFormat="1" applyFont="1" applyAlignment="1">
      <alignment vertical="center"/>
    </xf>
    <xf numFmtId="0" fontId="9" fillId="0" borderId="0" xfId="164"/>
    <xf numFmtId="0" fontId="2" fillId="0" borderId="0" xfId="164" applyFont="1" applyAlignment="1">
      <alignment horizontal="left"/>
    </xf>
    <xf numFmtId="0" fontId="2" fillId="0" borderId="0" xfId="164" applyFont="1" applyFill="1" applyAlignment="1"/>
    <xf numFmtId="0" fontId="5" fillId="0" borderId="0" xfId="138" applyFont="1" applyAlignment="1">
      <alignment horizontal="center"/>
    </xf>
    <xf numFmtId="0" fontId="5" fillId="0" borderId="0" xfId="138" applyFont="1"/>
    <xf numFmtId="0" fontId="5" fillId="0" borderId="0" xfId="138" applyFont="1" applyAlignment="1">
      <alignment horizontal="right"/>
    </xf>
    <xf numFmtId="0" fontId="2" fillId="0" borderId="0" xfId="138" applyFont="1" applyAlignment="1">
      <alignment horizontal="right"/>
    </xf>
    <xf numFmtId="0" fontId="2" fillId="0" borderId="6" xfId="138" applyBorder="1"/>
    <xf numFmtId="0" fontId="5" fillId="0" borderId="6" xfId="138" applyFont="1" applyBorder="1"/>
    <xf numFmtId="0" fontId="2" fillId="0" borderId="0" xfId="138" applyBorder="1"/>
    <xf numFmtId="0" fontId="2" fillId="0" borderId="6" xfId="138" applyFont="1" applyBorder="1" applyAlignment="1">
      <alignment horizontal="center"/>
    </xf>
    <xf numFmtId="0" fontId="2" fillId="0" borderId="6" xfId="138" applyBorder="1" applyAlignment="1">
      <alignment horizontal="center"/>
    </xf>
    <xf numFmtId="0" fontId="2" fillId="0" borderId="0" xfId="138" applyAlignment="1">
      <alignment horizontal="center"/>
    </xf>
    <xf numFmtId="178" fontId="68" fillId="0" borderId="0" xfId="136" applyNumberFormat="1" applyFont="1"/>
    <xf numFmtId="9" fontId="6" fillId="0" borderId="0" xfId="138" applyNumberFormat="1" applyFont="1" applyAlignment="1">
      <alignment horizontal="center"/>
    </xf>
    <xf numFmtId="178" fontId="0" fillId="0" borderId="0" xfId="136" applyNumberFormat="1" applyFont="1"/>
    <xf numFmtId="168" fontId="2" fillId="0" borderId="0" xfId="138" applyNumberFormat="1"/>
    <xf numFmtId="37" fontId="2" fillId="0" borderId="0" xfId="138" applyNumberFormat="1"/>
    <xf numFmtId="178" fontId="0" fillId="0" borderId="10" xfId="136" applyNumberFormat="1" applyFont="1" applyBorder="1"/>
    <xf numFmtId="0" fontId="2" fillId="0" borderId="0" xfId="138" applyAlignment="1">
      <alignment horizontal="left"/>
    </xf>
    <xf numFmtId="0" fontId="2" fillId="0" borderId="0" xfId="138" quotePrefix="1"/>
    <xf numFmtId="9" fontId="2" fillId="0" borderId="0" xfId="138" applyNumberFormat="1" applyFont="1" applyAlignment="1">
      <alignment horizontal="center"/>
    </xf>
    <xf numFmtId="0" fontId="2" fillId="0" borderId="0" xfId="138" applyFont="1" applyAlignment="1"/>
    <xf numFmtId="0" fontId="5" fillId="0" borderId="0" xfId="138" applyFont="1" applyAlignment="1"/>
    <xf numFmtId="0" fontId="2" fillId="0" borderId="2" xfId="138" applyBorder="1" applyAlignment="1">
      <alignment horizontal="center"/>
    </xf>
    <xf numFmtId="0" fontId="2" fillId="0" borderId="2" xfId="138" applyBorder="1"/>
    <xf numFmtId="0" fontId="2" fillId="0" borderId="0" xfId="138" applyBorder="1" applyAlignment="1">
      <alignment horizontal="center"/>
    </xf>
    <xf numFmtId="0" fontId="2" fillId="0" borderId="6" xfId="138" quotePrefix="1" applyBorder="1" applyAlignment="1">
      <alignment horizontal="center"/>
    </xf>
    <xf numFmtId="0" fontId="2" fillId="0" borderId="6" xfId="138" quotePrefix="1" applyBorder="1"/>
    <xf numFmtId="37" fontId="6" fillId="0" borderId="0" xfId="138" applyNumberFormat="1" applyFont="1"/>
    <xf numFmtId="168" fontId="62" fillId="0" borderId="0" xfId="38" applyNumberFormat="1" applyFont="1"/>
    <xf numFmtId="178" fontId="0" fillId="0" borderId="7" xfId="136" applyNumberFormat="1" applyFont="1" applyBorder="1"/>
    <xf numFmtId="0" fontId="5" fillId="0" borderId="0" xfId="138" applyFont="1" applyBorder="1"/>
    <xf numFmtId="0" fontId="5" fillId="0" borderId="0" xfId="138" applyFont="1" applyBorder="1" applyAlignment="1">
      <alignment horizontal="left"/>
    </xf>
    <xf numFmtId="0" fontId="2" fillId="0" borderId="0" xfId="138" applyFont="1" applyBorder="1" applyAlignment="1">
      <alignment horizontal="right"/>
    </xf>
    <xf numFmtId="44" fontId="68" fillId="0" borderId="0" xfId="136" applyFont="1"/>
    <xf numFmtId="44" fontId="0" fillId="0" borderId="0" xfId="136" applyFont="1"/>
    <xf numFmtId="0" fontId="5" fillId="0" borderId="6" xfId="138" applyFont="1" applyBorder="1" applyAlignment="1">
      <alignment horizontal="left"/>
    </xf>
    <xf numFmtId="0" fontId="2" fillId="0" borderId="0" xfId="138" applyFont="1" applyFill="1" applyBorder="1" applyAlignment="1">
      <alignment horizontal="center"/>
    </xf>
    <xf numFmtId="0" fontId="2" fillId="0" borderId="6" xfId="138" applyFont="1" applyFill="1" applyBorder="1" applyAlignment="1">
      <alignment horizontal="center"/>
    </xf>
    <xf numFmtId="0" fontId="2" fillId="0" borderId="6" xfId="138" applyFont="1" applyBorder="1"/>
    <xf numFmtId="0" fontId="2" fillId="0" borderId="0" xfId="138" applyFill="1" applyAlignment="1">
      <alignment vertical="top" wrapText="1"/>
    </xf>
    <xf numFmtId="0" fontId="5" fillId="0" borderId="0" xfId="138" applyFont="1" applyAlignment="1">
      <alignment horizontal="left"/>
    </xf>
    <xf numFmtId="168" fontId="80" fillId="0" borderId="0" xfId="38" applyNumberFormat="1" applyFont="1"/>
    <xf numFmtId="0" fontId="2" fillId="0" borderId="0" xfId="138" applyFont="1" applyFill="1" applyAlignment="1"/>
    <xf numFmtId="0" fontId="2" fillId="0" borderId="0" xfId="138" applyFill="1"/>
    <xf numFmtId="0" fontId="5" fillId="0" borderId="0" xfId="138" applyFont="1" applyFill="1" applyAlignment="1"/>
    <xf numFmtId="0" fontId="2" fillId="0" borderId="0" xfId="138" applyFill="1" applyBorder="1"/>
    <xf numFmtId="0" fontId="5" fillId="0" borderId="0" xfId="138" applyFont="1" applyFill="1"/>
    <xf numFmtId="0" fontId="5" fillId="0" borderId="0" xfId="138" applyFont="1" applyFill="1" applyAlignment="1">
      <alignment horizontal="left"/>
    </xf>
    <xf numFmtId="0" fontId="5" fillId="0" borderId="0" xfId="138" applyFont="1" applyFill="1" applyAlignment="1">
      <alignment horizontal="right"/>
    </xf>
    <xf numFmtId="0" fontId="5" fillId="0" borderId="0" xfId="138" applyFont="1" applyFill="1" applyBorder="1" applyAlignment="1">
      <alignment horizontal="left"/>
    </xf>
    <xf numFmtId="0" fontId="2" fillId="0" borderId="0" xfId="138" applyFont="1" applyFill="1" applyBorder="1" applyAlignment="1">
      <alignment horizontal="right"/>
    </xf>
    <xf numFmtId="0" fontId="5" fillId="0" borderId="6" xfId="138" applyFont="1" applyFill="1" applyBorder="1"/>
    <xf numFmtId="0" fontId="2" fillId="0" borderId="6" xfId="138" applyFill="1" applyBorder="1"/>
    <xf numFmtId="0" fontId="2" fillId="0" borderId="0" xfId="138" applyFill="1" applyAlignment="1">
      <alignment horizontal="center"/>
    </xf>
    <xf numFmtId="0" fontId="2" fillId="0" borderId="6" xfId="138" applyFill="1" applyBorder="1" applyAlignment="1">
      <alignment horizontal="center"/>
    </xf>
    <xf numFmtId="0" fontId="2" fillId="0" borderId="6" xfId="138" quotePrefix="1" applyFill="1" applyBorder="1" applyAlignment="1">
      <alignment horizontal="center"/>
    </xf>
    <xf numFmtId="37" fontId="2" fillId="0" borderId="0" xfId="138" applyNumberFormat="1" applyFill="1"/>
    <xf numFmtId="178" fontId="68" fillId="0" borderId="0" xfId="136" applyNumberFormat="1" applyFont="1" applyFill="1"/>
    <xf numFmtId="0" fontId="2" fillId="0" borderId="0" xfId="138" applyFont="1" applyFill="1"/>
    <xf numFmtId="178" fontId="0" fillId="0" borderId="10" xfId="136" applyNumberFormat="1" applyFont="1" applyFill="1" applyBorder="1"/>
    <xf numFmtId="37" fontId="2" fillId="0" borderId="0" xfId="138" applyNumberFormat="1" applyFill="1" applyBorder="1"/>
    <xf numFmtId="0" fontId="45" fillId="0" borderId="0" xfId="164" applyFont="1" applyBorder="1"/>
    <xf numFmtId="0" fontId="2" fillId="0" borderId="2" xfId="138" applyFont="1" applyBorder="1" applyAlignment="1">
      <alignment horizontal="center"/>
    </xf>
    <xf numFmtId="0" fontId="2" fillId="0" borderId="2" xfId="138" applyFont="1" applyBorder="1" applyAlignment="1"/>
    <xf numFmtId="0" fontId="2" fillId="0" borderId="0" xfId="138" applyFont="1" applyFill="1" applyAlignment="1">
      <alignment vertical="top"/>
    </xf>
    <xf numFmtId="178" fontId="2" fillId="0" borderId="0" xfId="136" applyNumberFormat="1" applyFont="1"/>
    <xf numFmtId="0" fontId="2" fillId="0" borderId="0" xfId="138" applyFont="1" applyBorder="1" applyAlignment="1">
      <alignment horizontal="center"/>
    </xf>
    <xf numFmtId="0" fontId="6" fillId="0" borderId="0" xfId="138" applyFont="1" applyFill="1"/>
    <xf numFmtId="9" fontId="6" fillId="0" borderId="0" xfId="138" applyNumberFormat="1" applyFont="1" applyFill="1" applyBorder="1" applyAlignment="1">
      <alignment horizontal="center"/>
    </xf>
    <xf numFmtId="178" fontId="2" fillId="0" borderId="0" xfId="136" applyNumberFormat="1" applyFont="1" applyFill="1" applyBorder="1"/>
    <xf numFmtId="0" fontId="2" fillId="0" borderId="0" xfId="138" applyFont="1" applyFill="1" applyBorder="1"/>
    <xf numFmtId="168" fontId="2" fillId="0" borderId="0" xfId="38" applyNumberFormat="1" applyFont="1" applyFill="1" applyBorder="1"/>
    <xf numFmtId="168" fontId="62" fillId="0" borderId="0" xfId="38" applyNumberFormat="1" applyFont="1" applyFill="1" applyBorder="1"/>
    <xf numFmtId="10" fontId="2" fillId="0" borderId="7" xfId="167" applyNumberFormat="1" applyFont="1" applyFill="1" applyBorder="1"/>
    <xf numFmtId="168" fontId="80" fillId="0" borderId="0" xfId="38" applyNumberFormat="1" applyFont="1" applyFill="1" applyBorder="1"/>
    <xf numFmtId="37" fontId="2" fillId="0" borderId="0" xfId="138" applyNumberFormat="1" applyFont="1" applyFill="1" applyBorder="1"/>
    <xf numFmtId="10" fontId="2" fillId="0" borderId="0" xfId="167" applyNumberFormat="1" applyFont="1" applyFill="1" applyBorder="1"/>
    <xf numFmtId="0" fontId="2" fillId="0" borderId="0" xfId="162" applyFont="1" applyAlignment="1">
      <alignment horizontal="center"/>
    </xf>
    <xf numFmtId="0" fontId="2" fillId="0" borderId="0" xfId="162" applyFont="1"/>
    <xf numFmtId="0" fontId="2" fillId="0" borderId="0" xfId="162" applyFont="1" applyBorder="1"/>
    <xf numFmtId="37" fontId="2" fillId="0" borderId="0" xfId="162" applyNumberFormat="1" applyFont="1" applyBorder="1"/>
    <xf numFmtId="0" fontId="26" fillId="0" borderId="0" xfId="154" applyFont="1"/>
    <xf numFmtId="0" fontId="63" fillId="0" borderId="0" xfId="154" applyFont="1"/>
    <xf numFmtId="0" fontId="2" fillId="0" borderId="0" xfId="154" applyFont="1"/>
    <xf numFmtId="0" fontId="2" fillId="0" borderId="0" xfId="154" applyFont="1" applyAlignment="1" applyProtection="1">
      <alignment horizontal="left"/>
    </xf>
    <xf numFmtId="0" fontId="2" fillId="0" borderId="0" xfId="154" applyFont="1" applyAlignment="1" applyProtection="1">
      <alignment horizontal="right"/>
    </xf>
    <xf numFmtId="0" fontId="2" fillId="0" borderId="0" xfId="154" applyFont="1" applyFill="1" applyBorder="1" applyAlignment="1" applyProtection="1">
      <alignment horizontal="left"/>
    </xf>
    <xf numFmtId="0" fontId="2" fillId="0" borderId="0" xfId="154" applyFont="1" applyFill="1" applyBorder="1"/>
    <xf numFmtId="0" fontId="26" fillId="0" borderId="0" xfId="154" applyFont="1" applyFill="1" applyBorder="1"/>
    <xf numFmtId="0" fontId="2" fillId="0" borderId="0" xfId="154" applyFont="1" applyFill="1" applyBorder="1" applyAlignment="1" applyProtection="1">
      <alignment horizontal="right"/>
    </xf>
    <xf numFmtId="0" fontId="63" fillId="0" borderId="0" xfId="154" applyFont="1" applyBorder="1"/>
    <xf numFmtId="0" fontId="68" fillId="0" borderId="0" xfId="154" applyFont="1" applyFill="1" applyBorder="1" applyAlignment="1" applyProtection="1">
      <alignment horizontal="right"/>
    </xf>
    <xf numFmtId="0" fontId="2" fillId="0" borderId="2" xfId="154" applyFont="1" applyFill="1" applyBorder="1" applyAlignment="1" applyProtection="1">
      <alignment horizontal="left"/>
    </xf>
    <xf numFmtId="0" fontId="2" fillId="0" borderId="2" xfId="154" applyFont="1" applyFill="1" applyBorder="1"/>
    <xf numFmtId="0" fontId="26" fillId="0" borderId="2" xfId="154" applyFont="1" applyFill="1" applyBorder="1"/>
    <xf numFmtId="0" fontId="2" fillId="0" borderId="2" xfId="154" applyFont="1" applyFill="1" applyBorder="1" applyAlignment="1" applyProtection="1">
      <alignment horizontal="center"/>
    </xf>
    <xf numFmtId="0" fontId="26" fillId="0" borderId="0" xfId="154" applyFont="1" applyBorder="1"/>
    <xf numFmtId="0" fontId="2" fillId="0" borderId="0" xfId="154" applyFont="1" applyBorder="1" applyAlignment="1">
      <alignment horizontal="center"/>
    </xf>
    <xf numFmtId="0" fontId="2" fillId="0" borderId="0" xfId="154" applyFont="1" applyBorder="1" applyAlignment="1" applyProtection="1">
      <alignment horizontal="center"/>
    </xf>
    <xf numFmtId="0" fontId="26" fillId="0" borderId="0" xfId="154" applyFont="1" applyAlignment="1">
      <alignment horizontal="center"/>
    </xf>
    <xf numFmtId="0" fontId="63" fillId="0" borderId="0" xfId="154" applyFont="1" applyAlignment="1">
      <alignment horizontal="center"/>
    </xf>
    <xf numFmtId="0" fontId="2" fillId="0" borderId="0" xfId="154" applyFont="1" applyAlignment="1" applyProtection="1">
      <alignment horizontal="center"/>
    </xf>
    <xf numFmtId="0" fontId="2" fillId="0" borderId="0" xfId="154" applyFont="1" applyAlignment="1">
      <alignment horizontal="center"/>
    </xf>
    <xf numFmtId="0" fontId="2" fillId="0" borderId="6" xfId="154" applyFont="1" applyBorder="1" applyAlignment="1" applyProtection="1">
      <alignment horizontal="center"/>
    </xf>
    <xf numFmtId="37" fontId="2" fillId="0" borderId="6" xfId="154" applyNumberFormat="1" applyFont="1" applyBorder="1" applyAlignment="1" applyProtection="1">
      <alignment horizontal="center"/>
    </xf>
    <xf numFmtId="0" fontId="2" fillId="0" borderId="6" xfId="154" applyFont="1" applyBorder="1" applyAlignment="1">
      <alignment horizontal="center"/>
    </xf>
    <xf numFmtId="0" fontId="6" fillId="0" borderId="6" xfId="154" applyFont="1" applyBorder="1" applyAlignment="1">
      <alignment horizontal="center"/>
    </xf>
    <xf numFmtId="0" fontId="2" fillId="0" borderId="0" xfId="154" applyFont="1" applyAlignment="1">
      <alignment horizontal="right"/>
    </xf>
    <xf numFmtId="189" fontId="2" fillId="0" borderId="0" xfId="154" applyNumberFormat="1" applyFont="1" applyProtection="1"/>
    <xf numFmtId="10" fontId="2" fillId="0" borderId="0" xfId="154" applyNumberFormat="1" applyFont="1" applyProtection="1"/>
    <xf numFmtId="189" fontId="2" fillId="0" borderId="5" xfId="154" applyNumberFormat="1" applyFont="1" applyBorder="1" applyProtection="1"/>
    <xf numFmtId="10" fontId="2" fillId="0" borderId="0" xfId="167" applyNumberFormat="1" applyFont="1"/>
    <xf numFmtId="180" fontId="12" fillId="0" borderId="0" xfId="154" applyNumberFormat="1" applyFont="1" applyProtection="1"/>
    <xf numFmtId="0" fontId="26" fillId="0" borderId="0" xfId="154" applyFont="1" applyAlignment="1" applyProtection="1">
      <alignment horizontal="left"/>
    </xf>
    <xf numFmtId="0" fontId="2" fillId="0" borderId="0" xfId="156" applyFont="1"/>
    <xf numFmtId="0" fontId="9" fillId="0" borderId="0" xfId="156"/>
    <xf numFmtId="0" fontId="2" fillId="0" borderId="0" xfId="156" applyFont="1" applyBorder="1"/>
    <xf numFmtId="0" fontId="2" fillId="0" borderId="0" xfId="156" applyFont="1" applyBorder="1" applyAlignment="1" applyProtection="1">
      <alignment horizontal="center"/>
    </xf>
    <xf numFmtId="0" fontId="5" fillId="0" borderId="0" xfId="152" applyFont="1" applyAlignment="1" applyProtection="1">
      <protection locked="0"/>
    </xf>
    <xf numFmtId="0" fontId="2" fillId="0" borderId="0" xfId="152" applyFont="1" applyAlignment="1" applyProtection="1">
      <alignment horizontal="left"/>
    </xf>
    <xf numFmtId="0" fontId="2" fillId="0" borderId="0" xfId="152" applyFont="1"/>
    <xf numFmtId="0" fontId="2" fillId="0" borderId="0" xfId="152" applyFont="1" applyAlignment="1" applyProtection="1">
      <alignment horizontal="right"/>
      <protection locked="0"/>
    </xf>
    <xf numFmtId="0" fontId="52" fillId="0" borderId="0" xfId="152" applyFont="1"/>
    <xf numFmtId="0" fontId="2" fillId="0" borderId="0" xfId="152" applyFont="1" applyBorder="1"/>
    <xf numFmtId="0" fontId="52" fillId="0" borderId="0" xfId="152" applyFont="1" applyBorder="1"/>
    <xf numFmtId="0" fontId="2" fillId="0" borderId="5" xfId="152" applyFont="1" applyBorder="1" applyAlignment="1" applyProtection="1">
      <alignment horizontal="left"/>
    </xf>
    <xf numFmtId="0" fontId="2" fillId="0" borderId="5" xfId="152" applyFont="1" applyBorder="1"/>
    <xf numFmtId="0" fontId="2" fillId="0" borderId="0" xfId="152" applyFont="1" applyBorder="1" applyAlignment="1" applyProtection="1">
      <alignment horizontal="left"/>
    </xf>
    <xf numFmtId="0" fontId="2" fillId="0" borderId="0" xfId="152" applyFont="1" applyBorder="1" applyAlignment="1">
      <alignment horizontal="right"/>
    </xf>
    <xf numFmtId="0" fontId="2" fillId="0" borderId="0" xfId="152" applyFont="1" applyBorder="1" applyAlignment="1" applyProtection="1">
      <alignment horizontal="center"/>
    </xf>
    <xf numFmtId="0" fontId="2" fillId="0" borderId="0" xfId="152" applyFont="1" applyBorder="1" applyAlignment="1">
      <alignment horizontal="center"/>
    </xf>
    <xf numFmtId="0" fontId="2" fillId="0" borderId="6" xfId="152" applyFont="1" applyBorder="1" applyAlignment="1" applyProtection="1">
      <alignment horizontal="center"/>
    </xf>
    <xf numFmtId="0" fontId="2" fillId="0" borderId="6" xfId="152" applyFont="1" applyBorder="1"/>
    <xf numFmtId="0" fontId="2" fillId="0" borderId="6" xfId="152" applyFont="1" applyBorder="1" applyAlignment="1">
      <alignment horizontal="center"/>
    </xf>
    <xf numFmtId="14" fontId="2" fillId="0" borderId="6" xfId="152" applyNumberFormat="1" applyFont="1" applyBorder="1" applyAlignment="1">
      <alignment horizontal="center"/>
    </xf>
    <xf numFmtId="37" fontId="5" fillId="0" borderId="0" xfId="138" applyNumberFormat="1" applyFont="1"/>
    <xf numFmtId="37" fontId="2" fillId="0" borderId="0" xfId="138" applyNumberFormat="1" applyBorder="1"/>
    <xf numFmtId="37" fontId="2" fillId="0" borderId="7" xfId="138" applyNumberFormat="1" applyBorder="1"/>
    <xf numFmtId="0" fontId="2" fillId="0" borderId="0" xfId="152" applyFont="1" applyAlignment="1" applyProtection="1">
      <protection locked="0"/>
    </xf>
    <xf numFmtId="0" fontId="2" fillId="0" borderId="5" xfId="152" applyFont="1" applyBorder="1" applyAlignment="1">
      <alignment horizontal="right"/>
    </xf>
    <xf numFmtId="37" fontId="2" fillId="0" borderId="0" xfId="138" applyNumberFormat="1" applyAlignment="1">
      <alignment horizontal="center"/>
    </xf>
    <xf numFmtId="0" fontId="5" fillId="0" borderId="0" xfId="152" applyFont="1" applyBorder="1" applyAlignment="1" applyProtection="1">
      <protection locked="0"/>
    </xf>
    <xf numFmtId="14" fontId="2" fillId="0" borderId="0" xfId="152" applyNumberFormat="1" applyFont="1" applyBorder="1" applyAlignment="1">
      <alignment horizontal="center"/>
    </xf>
    <xf numFmtId="37" fontId="5" fillId="0" borderId="0" xfId="138" applyNumberFormat="1" applyFont="1" applyBorder="1"/>
    <xf numFmtId="0" fontId="2" fillId="0" borderId="0" xfId="163" applyFont="1"/>
    <xf numFmtId="0" fontId="11" fillId="0" borderId="0" xfId="163" applyFont="1"/>
    <xf numFmtId="0" fontId="9" fillId="0" borderId="0" xfId="163"/>
    <xf numFmtId="0" fontId="2" fillId="0" borderId="0" xfId="163" applyFont="1" applyAlignment="1">
      <alignment horizontal="center"/>
    </xf>
    <xf numFmtId="0" fontId="5" fillId="0" borderId="0" xfId="163" applyFont="1"/>
    <xf numFmtId="0" fontId="6" fillId="0" borderId="0" xfId="163" applyFont="1" applyBorder="1"/>
    <xf numFmtId="0" fontId="45" fillId="0" borderId="0" xfId="163" applyFont="1" applyBorder="1"/>
    <xf numFmtId="0" fontId="16" fillId="0" borderId="0" xfId="163" applyFont="1" applyBorder="1"/>
    <xf numFmtId="0" fontId="2" fillId="0" borderId="0" xfId="163" applyFont="1" applyAlignment="1" applyProtection="1">
      <alignment horizontal="left"/>
    </xf>
    <xf numFmtId="0" fontId="2" fillId="0" borderId="0" xfId="163" applyFont="1" applyAlignment="1">
      <alignment horizontal="right"/>
    </xf>
    <xf numFmtId="0" fontId="2" fillId="0" borderId="5" xfId="163" applyFont="1" applyBorder="1" applyAlignment="1" applyProtection="1">
      <alignment horizontal="left"/>
    </xf>
    <xf numFmtId="0" fontId="2" fillId="0" borderId="5" xfId="163" applyFont="1" applyBorder="1"/>
    <xf numFmtId="0" fontId="11" fillId="0" borderId="6" xfId="163" applyFont="1" applyBorder="1"/>
    <xf numFmtId="0" fontId="2" fillId="0" borderId="5" xfId="163" applyFont="1" applyBorder="1" applyAlignment="1">
      <alignment horizontal="right"/>
    </xf>
    <xf numFmtId="0" fontId="9" fillId="0" borderId="0" xfId="163" applyAlignment="1">
      <alignment horizontal="center"/>
    </xf>
    <xf numFmtId="0" fontId="2" fillId="0" borderId="5" xfId="163" applyFont="1" applyBorder="1" applyAlignment="1">
      <alignment horizontal="center"/>
    </xf>
    <xf numFmtId="0" fontId="2" fillId="0" borderId="0" xfId="163" applyFont="1" applyBorder="1" applyAlignment="1">
      <alignment horizontal="center"/>
    </xf>
    <xf numFmtId="0" fontId="2" fillId="0" borderId="0" xfId="163" quotePrefix="1" applyFont="1" applyAlignment="1">
      <alignment horizontal="center"/>
    </xf>
    <xf numFmtId="6" fontId="2" fillId="0" borderId="0" xfId="163" applyNumberFormat="1" applyFont="1" applyAlignment="1">
      <alignment horizontal="center"/>
    </xf>
    <xf numFmtId="0" fontId="2" fillId="0" borderId="0" xfId="163" applyFont="1" applyFill="1"/>
    <xf numFmtId="37" fontId="2" fillId="0" borderId="0" xfId="163" applyNumberFormat="1" applyFont="1" applyFill="1"/>
    <xf numFmtId="0" fontId="9" fillId="0" borderId="0" xfId="163" applyFill="1"/>
    <xf numFmtId="10" fontId="2" fillId="0" borderId="0" xfId="163" applyNumberFormat="1" applyFont="1"/>
    <xf numFmtId="37" fontId="2" fillId="0" borderId="0" xfId="163" applyNumberFormat="1" applyFont="1"/>
    <xf numFmtId="0" fontId="11" fillId="0" borderId="0" xfId="163" applyFont="1" applyAlignment="1">
      <alignment horizontal="right"/>
    </xf>
    <xf numFmtId="0" fontId="2" fillId="0" borderId="0" xfId="158" applyFont="1"/>
    <xf numFmtId="0" fontId="2" fillId="0" borderId="0" xfId="158" applyFont="1" applyAlignment="1" applyProtection="1">
      <alignment horizontal="center"/>
    </xf>
    <xf numFmtId="0" fontId="2" fillId="0" borderId="5" xfId="158" applyFont="1" applyBorder="1"/>
    <xf numFmtId="0" fontId="2" fillId="0" borderId="5" xfId="158" applyFont="1" applyBorder="1" applyAlignment="1" applyProtection="1">
      <alignment horizontal="center"/>
    </xf>
    <xf numFmtId="37" fontId="2" fillId="0" borderId="0" xfId="158" applyNumberFormat="1" applyFont="1" applyProtection="1"/>
    <xf numFmtId="0" fontId="2" fillId="0" borderId="0" xfId="158" applyFont="1" applyBorder="1"/>
    <xf numFmtId="0" fontId="2" fillId="0" borderId="0" xfId="158" applyFont="1" applyBorder="1" applyAlignment="1" applyProtection="1">
      <alignment horizontal="center"/>
    </xf>
    <xf numFmtId="186" fontId="2" fillId="0" borderId="0" xfId="158" applyNumberFormat="1" applyFont="1" applyBorder="1" applyProtection="1"/>
    <xf numFmtId="0" fontId="2" fillId="0" borderId="0" xfId="158" applyFont="1" applyBorder="1" applyAlignment="1" applyProtection="1">
      <alignment horizontal="left"/>
    </xf>
    <xf numFmtId="37" fontId="2" fillId="0" borderId="0" xfId="158" applyNumberFormat="1" applyFont="1" applyBorder="1" applyProtection="1"/>
    <xf numFmtId="177" fontId="2" fillId="0" borderId="0" xfId="158" applyNumberFormat="1" applyFont="1" applyBorder="1" applyProtection="1"/>
    <xf numFmtId="165" fontId="2" fillId="0" borderId="0" xfId="158" applyNumberFormat="1" applyFont="1" applyBorder="1" applyProtection="1"/>
    <xf numFmtId="10" fontId="2" fillId="0" borderId="0" xfId="158" applyNumberFormat="1" applyFont="1" applyBorder="1" applyProtection="1"/>
    <xf numFmtId="37" fontId="12" fillId="0" borderId="0" xfId="158" applyNumberFormat="1" applyFont="1" applyBorder="1" applyProtection="1"/>
    <xf numFmtId="10" fontId="12" fillId="0" borderId="0" xfId="158" applyNumberFormat="1" applyFont="1" applyBorder="1" applyProtection="1"/>
    <xf numFmtId="0" fontId="2" fillId="0" borderId="0" xfId="159" applyFont="1"/>
    <xf numFmtId="0" fontId="2" fillId="0" borderId="0" xfId="159" applyFont="1" applyAlignment="1" applyProtection="1">
      <alignment horizontal="center"/>
    </xf>
    <xf numFmtId="0" fontId="2" fillId="0" borderId="5" xfId="159" applyFont="1" applyBorder="1"/>
    <xf numFmtId="0" fontId="2" fillId="0" borderId="5" xfId="159" applyFont="1" applyBorder="1" applyAlignment="1" applyProtection="1">
      <alignment horizontal="center"/>
    </xf>
    <xf numFmtId="37" fontId="2" fillId="0" borderId="0" xfId="159" applyNumberFormat="1" applyFont="1" applyProtection="1"/>
    <xf numFmtId="177" fontId="2" fillId="0" borderId="0" xfId="159" applyNumberFormat="1" applyFont="1" applyProtection="1"/>
    <xf numFmtId="165" fontId="2" fillId="0" borderId="0" xfId="159" applyNumberFormat="1" applyFont="1" applyProtection="1"/>
    <xf numFmtId="0" fontId="2" fillId="0" borderId="0" xfId="159" applyFont="1" applyBorder="1"/>
    <xf numFmtId="37" fontId="2" fillId="0" borderId="0" xfId="159" applyNumberFormat="1" applyFont="1" applyBorder="1" applyProtection="1"/>
    <xf numFmtId="165" fontId="2" fillId="0" borderId="0" xfId="159" applyNumberFormat="1" applyFont="1" applyBorder="1" applyProtection="1"/>
    <xf numFmtId="0" fontId="2" fillId="0" borderId="0" xfId="159" applyFont="1" applyBorder="1" applyAlignment="1" applyProtection="1">
      <alignment horizontal="center"/>
    </xf>
    <xf numFmtId="186" fontId="2" fillId="0" borderId="0" xfId="159" applyNumberFormat="1" applyFont="1" applyBorder="1" applyProtection="1"/>
    <xf numFmtId="0" fontId="2" fillId="0" borderId="0" xfId="159" applyFont="1" applyBorder="1" applyAlignment="1" applyProtection="1">
      <alignment horizontal="left"/>
    </xf>
    <xf numFmtId="177" fontId="2" fillId="0" borderId="0" xfId="159" applyNumberFormat="1" applyFont="1" applyBorder="1" applyProtection="1"/>
    <xf numFmtId="10" fontId="2" fillId="0" borderId="0" xfId="159" applyNumberFormat="1" applyFont="1" applyBorder="1" applyProtection="1"/>
    <xf numFmtId="186" fontId="2" fillId="0" borderId="0" xfId="159" applyNumberFormat="1" applyFont="1" applyBorder="1" applyAlignment="1" applyProtection="1">
      <alignment horizontal="center"/>
    </xf>
    <xf numFmtId="37" fontId="12" fillId="0" borderId="0" xfId="159" applyNumberFormat="1" applyFont="1" applyBorder="1" applyProtection="1"/>
    <xf numFmtId="10" fontId="12" fillId="0" borderId="0" xfId="159" applyNumberFormat="1" applyFont="1" applyBorder="1" applyProtection="1"/>
    <xf numFmtId="0" fontId="2" fillId="0" borderId="0" xfId="160" applyFont="1"/>
    <xf numFmtId="0" fontId="2" fillId="0" borderId="0" xfId="160" applyFont="1" applyAlignment="1" applyProtection="1">
      <alignment horizontal="center"/>
    </xf>
    <xf numFmtId="0" fontId="2" fillId="0" borderId="0" xfId="160" applyFont="1" applyAlignment="1" applyProtection="1">
      <alignment horizontal="left"/>
    </xf>
    <xf numFmtId="0" fontId="2" fillId="0" borderId="5" xfId="160" applyFont="1" applyBorder="1"/>
    <xf numFmtId="0" fontId="6" fillId="0" borderId="0" xfId="160" applyFont="1"/>
    <xf numFmtId="0" fontId="2" fillId="0" borderId="5" xfId="160" applyFont="1" applyBorder="1" applyAlignment="1" applyProtection="1">
      <alignment horizontal="center"/>
    </xf>
    <xf numFmtId="37" fontId="2" fillId="0" borderId="0" xfId="160" applyNumberFormat="1" applyFont="1" applyProtection="1"/>
    <xf numFmtId="165" fontId="2" fillId="0" borderId="0" xfId="160" applyNumberFormat="1" applyFont="1" applyProtection="1"/>
    <xf numFmtId="186" fontId="2" fillId="0" borderId="0" xfId="160" applyNumberFormat="1" applyFont="1" applyProtection="1"/>
    <xf numFmtId="0" fontId="2" fillId="0" borderId="0" xfId="155" applyFont="1" applyAlignment="1">
      <alignment horizontal="left"/>
    </xf>
    <xf numFmtId="0" fontId="2" fillId="0" borderId="0" xfId="155" applyFont="1"/>
    <xf numFmtId="0" fontId="2" fillId="0" borderId="0" xfId="155" applyFont="1" applyAlignment="1" applyProtection="1">
      <alignment horizontal="center"/>
    </xf>
    <xf numFmtId="0" fontId="2" fillId="0" borderId="0" xfId="155" applyFont="1" applyAlignment="1" applyProtection="1">
      <alignment horizontal="left"/>
    </xf>
    <xf numFmtId="0" fontId="2" fillId="0" borderId="0" xfId="155" applyFont="1" applyAlignment="1"/>
    <xf numFmtId="0" fontId="26" fillId="0" borderId="0" xfId="141" applyFont="1"/>
    <xf numFmtId="186" fontId="26" fillId="0" borderId="0" xfId="141" applyNumberFormat="1" applyFont="1" applyProtection="1"/>
    <xf numFmtId="0" fontId="26" fillId="0" borderId="0" xfId="141" applyFont="1" applyAlignment="1" applyProtection="1">
      <alignment horizontal="left"/>
    </xf>
    <xf numFmtId="0" fontId="26" fillId="0" borderId="0" xfId="141" applyFont="1" applyAlignment="1" applyProtection="1">
      <alignment horizontal="right"/>
    </xf>
    <xf numFmtId="0" fontId="26" fillId="0" borderId="5" xfId="141" applyFont="1" applyBorder="1" applyAlignment="1" applyProtection="1">
      <alignment horizontal="left"/>
    </xf>
    <xf numFmtId="0" fontId="26" fillId="0" borderId="5" xfId="141" applyFont="1" applyBorder="1"/>
    <xf numFmtId="0" fontId="26" fillId="0" borderId="5" xfId="141" applyFont="1" applyBorder="1" applyAlignment="1" applyProtection="1">
      <alignment horizontal="right"/>
    </xf>
    <xf numFmtId="0" fontId="26" fillId="0" borderId="0" xfId="141" applyFont="1" applyAlignment="1" applyProtection="1">
      <alignment horizontal="center"/>
    </xf>
    <xf numFmtId="0" fontId="26" fillId="0" borderId="5" xfId="141" applyFont="1" applyBorder="1" applyAlignment="1" applyProtection="1">
      <alignment horizontal="center"/>
    </xf>
    <xf numFmtId="0" fontId="55" fillId="0" borderId="0" xfId="141" applyFont="1" applyAlignment="1" applyProtection="1">
      <alignment horizontal="left"/>
    </xf>
    <xf numFmtId="0" fontId="55" fillId="0" borderId="0" xfId="141" applyFont="1"/>
    <xf numFmtId="37" fontId="26" fillId="0" borderId="0" xfId="141" applyNumberFormat="1" applyFont="1" applyProtection="1"/>
    <xf numFmtId="37" fontId="49" fillId="0" borderId="0" xfId="141" applyNumberFormat="1" applyFont="1" applyFill="1" applyProtection="1"/>
    <xf numFmtId="37" fontId="49" fillId="0" borderId="5" xfId="141" applyNumberFormat="1" applyFont="1" applyFill="1" applyBorder="1" applyProtection="1"/>
    <xf numFmtId="37" fontId="26" fillId="0" borderId="0" xfId="141" applyNumberFormat="1" applyFont="1" applyFill="1" applyProtection="1"/>
    <xf numFmtId="37" fontId="58" fillId="0" borderId="0" xfId="141" applyNumberFormat="1" applyFont="1" applyProtection="1"/>
    <xf numFmtId="165" fontId="26" fillId="0" borderId="0" xfId="141" applyNumberFormat="1" applyFont="1" applyProtection="1"/>
    <xf numFmtId="37" fontId="26" fillId="0" borderId="0" xfId="141" applyNumberFormat="1" applyFont="1" applyFill="1" applyAlignment="1" applyProtection="1">
      <alignment horizontal="right"/>
    </xf>
    <xf numFmtId="37" fontId="26" fillId="0" borderId="5" xfId="141" applyNumberFormat="1" applyFont="1" applyBorder="1" applyAlignment="1" applyProtection="1">
      <alignment horizontal="right"/>
    </xf>
    <xf numFmtId="37" fontId="26" fillId="0" borderId="5" xfId="141" applyNumberFormat="1" applyFont="1" applyFill="1" applyBorder="1" applyAlignment="1" applyProtection="1">
      <alignment horizontal="right"/>
    </xf>
    <xf numFmtId="10" fontId="26" fillId="0" borderId="0" xfId="141" applyNumberFormat="1" applyFont="1" applyProtection="1"/>
    <xf numFmtId="37" fontId="49" fillId="0" borderId="0" xfId="141" applyNumberFormat="1" applyFont="1" applyFill="1" applyAlignment="1" applyProtection="1">
      <alignment horizontal="right"/>
    </xf>
    <xf numFmtId="37" fontId="49" fillId="0" borderId="0" xfId="141" applyNumberFormat="1" applyFont="1" applyProtection="1"/>
    <xf numFmtId="39" fontId="81" fillId="0" borderId="0" xfId="141" applyNumberFormat="1" applyFont="1" applyFill="1" applyProtection="1"/>
    <xf numFmtId="39" fontId="26" fillId="0" borderId="0" xfId="141" applyNumberFormat="1" applyFont="1" applyFill="1" applyProtection="1"/>
    <xf numFmtId="37" fontId="55" fillId="0" borderId="0" xfId="164" applyNumberFormat="1" applyFont="1"/>
    <xf numFmtId="0" fontId="68" fillId="0" borderId="0" xfId="164" applyFont="1"/>
    <xf numFmtId="37" fontId="2" fillId="0" borderId="6" xfId="0" applyNumberFormat="1" applyFont="1" applyFill="1" applyBorder="1" applyProtection="1"/>
    <xf numFmtId="168" fontId="2" fillId="0" borderId="0" xfId="166" applyNumberFormat="1" applyFont="1"/>
    <xf numFmtId="5" fontId="2" fillId="0" borderId="0" xfId="166" applyNumberFormat="1" applyFont="1" applyFill="1" applyBorder="1" applyProtection="1"/>
    <xf numFmtId="37" fontId="2" fillId="0" borderId="0" xfId="166" applyNumberFormat="1" applyFont="1" applyFill="1"/>
    <xf numFmtId="37" fontId="2" fillId="0" borderId="0" xfId="153" applyFont="1" applyAlignment="1">
      <alignment horizontal="center"/>
    </xf>
    <xf numFmtId="37" fontId="9" fillId="0" borderId="0" xfId="153"/>
    <xf numFmtId="37" fontId="2" fillId="0" borderId="0" xfId="153" applyFont="1"/>
    <xf numFmtId="37" fontId="11" fillId="0" borderId="0" xfId="153" applyFont="1"/>
    <xf numFmtId="37" fontId="2" fillId="0" borderId="5" xfId="153" applyFont="1" applyBorder="1"/>
    <xf numFmtId="37" fontId="9" fillId="0" borderId="0" xfId="153" applyBorder="1"/>
    <xf numFmtId="37" fontId="9" fillId="0" borderId="0" xfId="153" applyAlignment="1">
      <alignment horizontal="center"/>
    </xf>
    <xf numFmtId="37" fontId="2" fillId="0" borderId="5" xfId="153" applyFont="1" applyBorder="1" applyAlignment="1">
      <alignment horizontal="center"/>
    </xf>
    <xf numFmtId="37" fontId="2" fillId="0" borderId="6" xfId="153" applyFont="1" applyBorder="1" applyAlignment="1">
      <alignment horizontal="center"/>
    </xf>
    <xf numFmtId="37" fontId="5" fillId="0" borderId="0" xfId="153" applyFont="1" applyFill="1"/>
    <xf numFmtId="37" fontId="5" fillId="0" borderId="6" xfId="153" applyFont="1" applyFill="1" applyBorder="1"/>
    <xf numFmtId="37" fontId="2" fillId="0" borderId="6" xfId="153" applyFont="1" applyBorder="1"/>
    <xf numFmtId="37" fontId="2" fillId="0" borderId="0" xfId="153" applyFont="1" applyFill="1"/>
    <xf numFmtId="37" fontId="2" fillId="0" borderId="6" xfId="153" applyFont="1" applyFill="1" applyBorder="1"/>
    <xf numFmtId="37" fontId="11" fillId="0" borderId="0" xfId="153" applyFont="1" applyBorder="1"/>
    <xf numFmtId="37" fontId="10" fillId="0" borderId="0" xfId="153" applyFont="1"/>
    <xf numFmtId="37" fontId="2" fillId="0" borderId="0" xfId="153" applyFont="1" applyFill="1" applyAlignment="1">
      <alignment horizontal="center"/>
    </xf>
    <xf numFmtId="37" fontId="2" fillId="0" borderId="5" xfId="153" applyFont="1" applyFill="1" applyBorder="1" applyAlignment="1">
      <alignment horizontal="center"/>
    </xf>
    <xf numFmtId="37" fontId="2" fillId="0" borderId="0" xfId="0" applyNumberFormat="1" applyFont="1" applyFill="1" applyBorder="1" applyProtection="1"/>
    <xf numFmtId="37" fontId="2" fillId="0" borderId="5" xfId="0" applyNumberFormat="1" applyFont="1" applyFill="1" applyBorder="1" applyProtection="1"/>
    <xf numFmtId="10" fontId="2" fillId="0" borderId="7" xfId="164" applyNumberFormat="1" applyFont="1" applyFill="1" applyBorder="1" applyProtection="1"/>
    <xf numFmtId="37" fontId="2" fillId="0" borderId="0" xfId="38" applyNumberFormat="1" applyFont="1" applyFill="1"/>
    <xf numFmtId="0" fontId="5" fillId="0" borderId="0" xfId="0" applyFont="1" applyFill="1" applyAlignment="1">
      <alignment horizontal="center"/>
    </xf>
    <xf numFmtId="0" fontId="4" fillId="0" borderId="0" xfId="145" applyFont="1" applyFill="1" applyAlignment="1" applyProtection="1">
      <alignment horizontal="center"/>
    </xf>
    <xf numFmtId="37" fontId="11" fillId="0" borderId="0" xfId="138" applyNumberFormat="1" applyFont="1" applyFill="1"/>
    <xf numFmtId="37" fontId="11" fillId="0" borderId="0" xfId="139" applyNumberFormat="1" applyFont="1" applyFill="1" applyBorder="1" applyAlignment="1">
      <alignment horizontal="center"/>
    </xf>
    <xf numFmtId="37" fontId="11" fillId="0" borderId="0" xfId="139" quotePrefix="1" applyNumberFormat="1" applyFont="1" applyFill="1" applyBorder="1" applyAlignment="1">
      <alignment horizontal="center"/>
    </xf>
    <xf numFmtId="37" fontId="11" fillId="0" borderId="0" xfId="139" applyFont="1" applyFill="1" applyAlignment="1">
      <alignment vertical="center"/>
    </xf>
    <xf numFmtId="49" fontId="11" fillId="0" borderId="0" xfId="139" applyNumberFormat="1" applyFont="1" applyFill="1" applyBorder="1" applyAlignment="1">
      <alignment horizontal="center"/>
    </xf>
    <xf numFmtId="37" fontId="5" fillId="0" borderId="6" xfId="0" applyNumberFormat="1" applyFont="1" applyFill="1" applyBorder="1" applyProtection="1"/>
    <xf numFmtId="37" fontId="2" fillId="0" borderId="0" xfId="0" applyNumberFormat="1" applyFont="1" applyFill="1" applyAlignment="1" applyProtection="1">
      <alignment horizontal="left"/>
    </xf>
    <xf numFmtId="0" fontId="4" fillId="0" borderId="0" xfId="145" applyFont="1" applyFill="1" applyBorder="1"/>
    <xf numFmtId="0" fontId="4" fillId="0" borderId="2" xfId="145" applyFont="1" applyFill="1" applyBorder="1"/>
    <xf numFmtId="0" fontId="4" fillId="0" borderId="5" xfId="145" applyFont="1" applyFill="1" applyBorder="1" applyAlignment="1" applyProtection="1">
      <alignment horizontal="center"/>
    </xf>
    <xf numFmtId="37" fontId="4" fillId="0" borderId="0" xfId="0" applyNumberFormat="1" applyFont="1" applyFill="1" applyAlignment="1" applyProtection="1">
      <alignment horizontal="left"/>
    </xf>
    <xf numFmtId="37" fontId="68" fillId="0" borderId="0" xfId="0" applyNumberFormat="1" applyFont="1" applyFill="1" applyAlignment="1" applyProtection="1">
      <alignment horizontal="left"/>
    </xf>
    <xf numFmtId="0" fontId="2" fillId="0" borderId="0" xfId="145" applyFont="1" applyAlignment="1" applyProtection="1">
      <alignment horizontal="right"/>
    </xf>
    <xf numFmtId="37" fontId="68" fillId="0" borderId="0" xfId="145" applyNumberFormat="1" applyFont="1" applyFill="1" applyProtection="1"/>
    <xf numFmtId="37" fontId="68" fillId="0" borderId="5" xfId="145" applyNumberFormat="1" applyFont="1" applyFill="1" applyBorder="1" applyProtection="1"/>
    <xf numFmtId="37" fontId="68" fillId="0" borderId="6" xfId="145" applyNumberFormat="1" applyFont="1" applyFill="1" applyBorder="1" applyProtection="1"/>
    <xf numFmtId="9" fontId="12" fillId="0" borderId="0" xfId="145" applyNumberFormat="1" applyFont="1" applyProtection="1"/>
    <xf numFmtId="0" fontId="2" fillId="0" borderId="0" xfId="145" applyFont="1" applyAlignment="1" applyProtection="1">
      <alignment horizontal="center"/>
    </xf>
    <xf numFmtId="0" fontId="2" fillId="0" borderId="5" xfId="145" applyFont="1" applyBorder="1" applyAlignment="1" applyProtection="1">
      <alignment horizontal="center"/>
    </xf>
    <xf numFmtId="0" fontId="4" fillId="0" borderId="0" xfId="145" applyFont="1" applyFill="1" applyAlignment="1" applyProtection="1">
      <alignment horizontal="right"/>
    </xf>
    <xf numFmtId="0" fontId="2" fillId="0" borderId="0" xfId="145" applyFont="1" applyFill="1" applyAlignment="1" applyProtection="1">
      <alignment horizontal="right"/>
    </xf>
    <xf numFmtId="37" fontId="68" fillId="0" borderId="6" xfId="147" applyNumberFormat="1" applyFont="1" applyFill="1" applyBorder="1" applyProtection="1"/>
    <xf numFmtId="37" fontId="68" fillId="0" borderId="0" xfId="147" applyNumberFormat="1" applyFont="1" applyFill="1"/>
    <xf numFmtId="37" fontId="68" fillId="0" borderId="6" xfId="147" applyNumberFormat="1" applyFont="1" applyFill="1" applyBorder="1"/>
    <xf numFmtId="10" fontId="9" fillId="0" borderId="0" xfId="167" applyNumberFormat="1" applyFont="1" applyProtection="1"/>
    <xf numFmtId="0" fontId="11" fillId="0" borderId="0" xfId="154" applyFont="1"/>
    <xf numFmtId="189" fontId="11" fillId="0" borderId="0" xfId="167" applyNumberFormat="1" applyFont="1"/>
    <xf numFmtId="189" fontId="11" fillId="0" borderId="0" xfId="154" applyNumberFormat="1" applyFont="1"/>
    <xf numFmtId="189" fontId="11" fillId="0" borderId="0" xfId="154" applyNumberFormat="1" applyFont="1" applyProtection="1"/>
    <xf numFmtId="180" fontId="82" fillId="0" borderId="0" xfId="154" applyNumberFormat="1" applyFont="1" applyProtection="1"/>
    <xf numFmtId="0" fontId="11" fillId="0" borderId="0" xfId="154" applyFont="1" applyAlignment="1">
      <alignment horizontal="center"/>
    </xf>
    <xf numFmtId="37" fontId="0" fillId="0" borderId="0" xfId="0" applyNumberFormat="1"/>
    <xf numFmtId="37" fontId="2" fillId="0" borderId="0" xfId="150" applyFont="1" applyProtection="1"/>
    <xf numFmtId="37" fontId="2" fillId="0" borderId="6" xfId="150" applyFont="1" applyBorder="1" applyProtection="1"/>
    <xf numFmtId="0" fontId="0" fillId="0" borderId="0" xfId="164" applyFont="1"/>
    <xf numFmtId="37" fontId="49" fillId="0" borderId="0" xfId="0" applyNumberFormat="1" applyFont="1" applyFill="1" applyProtection="1"/>
    <xf numFmtId="0" fontId="26" fillId="0" borderId="0" xfId="141" applyFont="1" applyFill="1" applyAlignment="1">
      <alignment vertical="top" wrapText="1"/>
    </xf>
    <xf numFmtId="0" fontId="26" fillId="0" borderId="0" xfId="141" applyFont="1" applyFill="1"/>
    <xf numFmtId="37" fontId="26" fillId="0" borderId="5" xfId="141" applyNumberFormat="1" applyFont="1" applyFill="1" applyBorder="1" applyProtection="1"/>
    <xf numFmtId="37" fontId="46" fillId="0" borderId="0" xfId="138" applyNumberFormat="1" applyFont="1" applyFill="1"/>
    <xf numFmtId="37" fontId="11" fillId="0" borderId="0" xfId="138" applyNumberFormat="1" applyFont="1" applyFill="1" applyAlignment="1">
      <alignment horizontal="right"/>
    </xf>
    <xf numFmtId="37" fontId="74" fillId="0" borderId="0" xfId="138" applyNumberFormat="1" applyFont="1" applyFill="1"/>
    <xf numFmtId="37" fontId="11" fillId="0" borderId="0" xfId="138" applyNumberFormat="1" applyFont="1" applyBorder="1"/>
    <xf numFmtId="37" fontId="11" fillId="0" borderId="0" xfId="138" applyNumberFormat="1" applyFont="1" applyFill="1" applyBorder="1"/>
    <xf numFmtId="37" fontId="46" fillId="0" borderId="0" xfId="138" applyNumberFormat="1" applyFont="1" applyFill="1" applyBorder="1"/>
    <xf numFmtId="37" fontId="60" fillId="0" borderId="0" xfId="138" applyNumberFormat="1" applyFont="1" applyFill="1" applyBorder="1"/>
    <xf numFmtId="39" fontId="26" fillId="0" borderId="0" xfId="141" applyNumberFormat="1" applyFont="1" applyFill="1" applyAlignment="1" applyProtection="1">
      <alignment horizontal="right"/>
    </xf>
    <xf numFmtId="37" fontId="26" fillId="0" borderId="0" xfId="141" applyNumberFormat="1" applyFont="1" applyFill="1" applyProtection="1">
      <protection locked="0"/>
    </xf>
    <xf numFmtId="37" fontId="55" fillId="0" borderId="0" xfId="141" applyNumberFormat="1" applyFont="1" applyFill="1" applyProtection="1"/>
    <xf numFmtId="37" fontId="26" fillId="0" borderId="5" xfId="141" applyNumberFormat="1" applyFont="1" applyFill="1" applyBorder="1" applyProtection="1">
      <protection locked="0"/>
    </xf>
    <xf numFmtId="0" fontId="36" fillId="0" borderId="0" xfId="141" applyFont="1" applyFill="1" applyAlignment="1">
      <alignment vertical="top" wrapText="1"/>
    </xf>
    <xf numFmtId="37" fontId="2" fillId="0" borderId="6" xfId="138" applyNumberFormat="1" applyFont="1" applyFill="1" applyBorder="1"/>
    <xf numFmtId="0" fontId="2" fillId="0" borderId="0" xfId="156" applyFont="1" applyFill="1"/>
    <xf numFmtId="0" fontId="2" fillId="0" borderId="0" xfId="156" applyFont="1" applyFill="1" applyAlignment="1" applyProtection="1">
      <alignment horizontal="left"/>
    </xf>
    <xf numFmtId="0" fontId="2" fillId="0" borderId="0" xfId="156" applyFont="1" applyFill="1" applyBorder="1" applyAlignment="1" applyProtection="1">
      <alignment horizontal="center"/>
    </xf>
    <xf numFmtId="0" fontId="2" fillId="0" borderId="0" xfId="156" applyFont="1" applyFill="1" applyBorder="1"/>
    <xf numFmtId="0" fontId="2" fillId="0" borderId="0" xfId="156" applyFont="1" applyFill="1" applyBorder="1" applyAlignment="1" applyProtection="1"/>
    <xf numFmtId="0" fontId="9" fillId="0" borderId="0" xfId="156" applyFill="1"/>
    <xf numFmtId="0" fontId="11" fillId="0" borderId="0" xfId="163" applyFont="1" applyFill="1"/>
    <xf numFmtId="37" fontId="8" fillId="0" borderId="0" xfId="138" applyNumberFormat="1" applyFont="1"/>
    <xf numFmtId="5" fontId="2" fillId="0" borderId="0" xfId="138" applyNumberFormat="1" applyFont="1" applyFill="1"/>
    <xf numFmtId="5" fontId="2" fillId="0" borderId="0" xfId="138" applyNumberFormat="1"/>
    <xf numFmtId="0" fontId="2" fillId="0" borderId="0" xfId="138" applyFill="1" applyAlignment="1"/>
    <xf numFmtId="0" fontId="2" fillId="0" borderId="0" xfId="152" applyFont="1" applyBorder="1" applyAlignment="1" applyProtection="1">
      <protection locked="0"/>
    </xf>
    <xf numFmtId="37" fontId="26" fillId="0" borderId="6" xfId="161" applyNumberFormat="1" applyFont="1" applyFill="1" applyBorder="1" applyProtection="1"/>
    <xf numFmtId="37" fontId="42" fillId="12" borderId="0" xfId="139" applyFont="1" applyFill="1" applyAlignment="1">
      <alignment vertical="center"/>
    </xf>
    <xf numFmtId="37" fontId="11" fillId="12" borderId="0" xfId="139" applyFont="1" applyFill="1" applyAlignment="1">
      <alignment vertical="center"/>
    </xf>
    <xf numFmtId="37" fontId="42" fillId="12" borderId="0" xfId="139" applyFont="1" applyFill="1" applyAlignment="1">
      <alignment horizontal="center" vertical="center"/>
    </xf>
    <xf numFmtId="39" fontId="11" fillId="12" borderId="0" xfId="139" applyNumberFormat="1" applyFont="1" applyFill="1" applyAlignment="1" applyProtection="1">
      <alignment vertical="center"/>
    </xf>
    <xf numFmtId="37" fontId="46" fillId="12" borderId="0" xfId="139" applyFont="1" applyFill="1" applyAlignment="1" applyProtection="1">
      <alignment vertical="center"/>
      <protection locked="0"/>
    </xf>
    <xf numFmtId="37" fontId="85" fillId="12" borderId="0" xfId="139" applyFont="1" applyFill="1" applyAlignment="1">
      <alignment vertical="center"/>
    </xf>
    <xf numFmtId="37" fontId="85" fillId="12" borderId="0" xfId="139" applyFont="1" applyFill="1" applyAlignment="1" applyProtection="1">
      <alignment vertical="center"/>
      <protection locked="0"/>
    </xf>
    <xf numFmtId="37" fontId="85" fillId="12" borderId="0" xfId="139" applyFont="1" applyFill="1" applyBorder="1" applyAlignment="1" applyProtection="1">
      <alignment vertical="center"/>
      <protection locked="0"/>
    </xf>
    <xf numFmtId="37" fontId="46" fillId="12" borderId="0" xfId="139" applyFont="1" applyFill="1" applyAlignment="1">
      <alignment vertical="center"/>
    </xf>
    <xf numFmtId="37" fontId="44" fillId="12" borderId="0" xfId="139" applyFont="1" applyFill="1" applyAlignment="1">
      <alignment horizontal="center" vertical="center"/>
    </xf>
    <xf numFmtId="37" fontId="86" fillId="12" borderId="0" xfId="139" applyFont="1" applyFill="1" applyAlignment="1" applyProtection="1">
      <alignment horizontal="center" vertical="center"/>
      <protection locked="0"/>
    </xf>
    <xf numFmtId="41" fontId="61" fillId="12" borderId="0" xfId="139" applyNumberFormat="1" applyFont="1" applyFill="1" applyAlignment="1">
      <alignment horizontal="center"/>
    </xf>
    <xf numFmtId="191" fontId="11" fillId="12" borderId="0" xfId="139" applyNumberFormat="1" applyFont="1" applyFill="1" applyAlignment="1" applyProtection="1">
      <alignment horizontal="center" vertical="center"/>
      <protection locked="0"/>
    </xf>
    <xf numFmtId="37" fontId="11" fillId="12" borderId="0" xfId="139" applyFont="1" applyFill="1" applyAlignment="1" applyProtection="1">
      <alignment vertical="center"/>
      <protection locked="0"/>
    </xf>
    <xf numFmtId="37" fontId="46" fillId="12" borderId="0" xfId="139" applyFont="1" applyFill="1" applyAlignment="1" applyProtection="1">
      <alignment horizontal="center" vertical="center"/>
      <protection locked="0"/>
    </xf>
    <xf numFmtId="37" fontId="85" fillId="12" borderId="0" xfId="139" applyFont="1" applyFill="1" applyAlignment="1" applyProtection="1">
      <alignment horizontal="center" vertical="center"/>
      <protection locked="0"/>
    </xf>
    <xf numFmtId="191" fontId="11" fillId="12" borderId="0" xfId="139" applyNumberFormat="1" applyFont="1" applyFill="1" applyAlignment="1" applyProtection="1">
      <alignment horizontal="left" vertical="center"/>
      <protection locked="0"/>
    </xf>
    <xf numFmtId="37" fontId="75" fillId="12" borderId="0" xfId="139" applyFont="1" applyFill="1" applyAlignment="1" applyProtection="1">
      <alignment vertical="center"/>
      <protection locked="0"/>
    </xf>
    <xf numFmtId="191" fontId="11" fillId="12" borderId="0" xfId="139" applyNumberFormat="1" applyFont="1" applyFill="1" applyAlignment="1">
      <alignment vertical="center"/>
    </xf>
    <xf numFmtId="37" fontId="11" fillId="12" borderId="0" xfId="139" applyFont="1" applyFill="1" applyAlignment="1">
      <alignment horizontal="center" vertical="center"/>
    </xf>
    <xf numFmtId="37" fontId="11" fillId="12" borderId="0" xfId="139" applyFont="1" applyFill="1" applyBorder="1" applyAlignment="1">
      <alignment vertical="center"/>
    </xf>
    <xf numFmtId="37" fontId="87" fillId="12" borderId="0" xfId="139" applyFont="1" applyFill="1" applyAlignment="1" applyProtection="1">
      <alignment horizontal="center" vertical="center"/>
      <protection locked="0"/>
    </xf>
    <xf numFmtId="191" fontId="11" fillId="12" borderId="0" xfId="139" applyNumberFormat="1" applyFont="1" applyFill="1" applyAlignment="1" applyProtection="1">
      <alignment vertical="center"/>
      <protection locked="0"/>
    </xf>
    <xf numFmtId="37" fontId="95" fillId="12" borderId="0" xfId="139" applyFont="1" applyFill="1" applyBorder="1" applyAlignment="1">
      <alignment vertical="center"/>
    </xf>
    <xf numFmtId="37" fontId="95" fillId="12" borderId="0" xfId="139" applyFont="1" applyFill="1" applyAlignment="1" applyProtection="1">
      <alignment vertical="center"/>
      <protection locked="0"/>
    </xf>
    <xf numFmtId="37" fontId="95" fillId="12" borderId="0" xfId="139" applyFont="1" applyFill="1" applyAlignment="1">
      <alignment vertical="center"/>
    </xf>
    <xf numFmtId="37" fontId="75" fillId="12" borderId="0" xfId="139" applyFont="1" applyFill="1" applyBorder="1" applyAlignment="1">
      <alignment vertical="center"/>
    </xf>
    <xf numFmtId="37" fontId="85" fillId="12" borderId="0" xfId="139" applyFont="1" applyFill="1" applyAlignment="1">
      <alignment horizontal="center" vertical="center"/>
    </xf>
    <xf numFmtId="37" fontId="75" fillId="12" borderId="0" xfId="139" applyFont="1" applyFill="1" applyAlignment="1">
      <alignment horizontal="center" vertical="center"/>
    </xf>
    <xf numFmtId="37" fontId="44" fillId="12" borderId="0" xfId="139" applyFont="1" applyFill="1" applyAlignment="1">
      <alignment horizontal="center"/>
    </xf>
    <xf numFmtId="37" fontId="44" fillId="12" borderId="0" xfId="139" applyFont="1" applyFill="1" applyAlignment="1"/>
    <xf numFmtId="37" fontId="85" fillId="12" borderId="0" xfId="139" applyFont="1" applyFill="1" applyBorder="1" applyAlignment="1">
      <alignment vertical="center"/>
    </xf>
    <xf numFmtId="49" fontId="85" fillId="12" borderId="0" xfId="139" applyNumberFormat="1" applyFont="1" applyFill="1" applyAlignment="1">
      <alignment horizontal="center"/>
    </xf>
    <xf numFmtId="37" fontId="85" fillId="12" borderId="0" xfId="139" applyFont="1" applyFill="1" applyAlignment="1">
      <alignment horizontal="right" vertical="center"/>
    </xf>
    <xf numFmtId="37" fontId="42" fillId="12" borderId="0" xfId="139" applyFont="1" applyFill="1" applyBorder="1" applyAlignment="1">
      <alignment vertical="center"/>
    </xf>
    <xf numFmtId="37" fontId="42" fillId="12" borderId="0" xfId="139" applyFont="1" applyFill="1" applyBorder="1" applyAlignment="1">
      <alignment horizontal="center" vertical="center"/>
    </xf>
    <xf numFmtId="37" fontId="45" fillId="12" borderId="0" xfId="139" applyFont="1" applyFill="1" applyBorder="1" applyAlignment="1">
      <alignment horizontal="center"/>
    </xf>
    <xf numFmtId="37" fontId="45" fillId="12" borderId="0" xfId="139" applyFont="1" applyFill="1" applyBorder="1" applyAlignment="1">
      <alignment horizontal="center" vertical="center"/>
    </xf>
    <xf numFmtId="37" fontId="11" fillId="12" borderId="0" xfId="139" applyFont="1" applyFill="1" applyAlignment="1">
      <alignment horizontal="right" vertical="center"/>
    </xf>
    <xf numFmtId="49" fontId="11" fillId="12" borderId="0" xfId="139" applyNumberFormat="1" applyFont="1" applyFill="1" applyBorder="1" applyAlignment="1">
      <alignment horizontal="center"/>
    </xf>
    <xf numFmtId="37" fontId="11" fillId="12" borderId="0" xfId="139" applyNumberFormat="1" applyFont="1" applyFill="1" applyBorder="1" applyAlignment="1">
      <alignment horizontal="center"/>
    </xf>
    <xf numFmtId="41" fontId="11" fillId="12" borderId="0" xfId="139" applyNumberFormat="1" applyFont="1" applyFill="1" applyBorder="1"/>
    <xf numFmtId="177" fontId="11" fillId="12" borderId="0" xfId="139" applyNumberFormat="1" applyFont="1" applyFill="1" applyBorder="1" applyAlignment="1">
      <alignment vertical="center"/>
    </xf>
    <xf numFmtId="177" fontId="45" fillId="12" borderId="0" xfId="139" applyNumberFormat="1" applyFont="1" applyFill="1" applyBorder="1" applyAlignment="1">
      <alignment vertical="center"/>
    </xf>
    <xf numFmtId="37" fontId="45" fillId="12" borderId="0" xfId="139" applyFont="1" applyFill="1" applyBorder="1" applyAlignment="1">
      <alignment vertical="center"/>
    </xf>
    <xf numFmtId="37" fontId="45" fillId="12" borderId="0" xfId="139" applyFont="1" applyFill="1" applyAlignment="1">
      <alignment vertical="center"/>
    </xf>
    <xf numFmtId="10" fontId="11" fillId="12" borderId="0" xfId="139" applyNumberFormat="1" applyFont="1" applyFill="1" applyBorder="1" applyAlignment="1">
      <alignment vertical="center"/>
    </xf>
    <xf numFmtId="37" fontId="47" fillId="12" borderId="0" xfId="139" applyFont="1" applyFill="1" applyBorder="1" applyAlignment="1">
      <alignment vertical="center"/>
    </xf>
    <xf numFmtId="37" fontId="11" fillId="12" borderId="0" xfId="139" applyNumberFormat="1" applyFont="1" applyFill="1" applyBorder="1"/>
    <xf numFmtId="37" fontId="42" fillId="12" borderId="0" xfId="139" applyNumberFormat="1" applyFont="1" applyFill="1" applyAlignment="1">
      <alignment vertical="center"/>
    </xf>
    <xf numFmtId="37" fontId="11" fillId="12" borderId="0" xfId="139" applyNumberFormat="1" applyFont="1" applyFill="1" applyAlignment="1">
      <alignment vertical="center"/>
    </xf>
    <xf numFmtId="10" fontId="11" fillId="12" borderId="0" xfId="139" applyNumberFormat="1" applyFont="1" applyFill="1" applyAlignment="1">
      <alignment vertical="center"/>
    </xf>
    <xf numFmtId="41" fontId="95" fillId="12" borderId="0" xfId="139" applyNumberFormat="1" applyFont="1" applyFill="1" applyAlignment="1">
      <alignment horizontal="center"/>
    </xf>
    <xf numFmtId="41" fontId="95" fillId="12" borderId="0" xfId="139" applyNumberFormat="1" applyFont="1" applyFill="1" applyBorder="1" applyAlignment="1">
      <alignment horizontal="center"/>
    </xf>
    <xf numFmtId="37" fontId="42" fillId="12" borderId="0" xfId="139" applyFont="1" applyFill="1" applyAlignment="1">
      <alignment horizontal="center"/>
    </xf>
    <xf numFmtId="5" fontId="55" fillId="0" borderId="0" xfId="161" applyNumberFormat="1" applyFont="1" applyFill="1" applyBorder="1"/>
    <xf numFmtId="37" fontId="26" fillId="0" borderId="0" xfId="161" applyNumberFormat="1" applyFont="1" applyFill="1" applyBorder="1"/>
    <xf numFmtId="0" fontId="26" fillId="0" borderId="0" xfId="161" applyFont="1" applyFill="1" applyBorder="1" applyAlignment="1">
      <alignment horizontal="right"/>
    </xf>
    <xf numFmtId="0" fontId="36" fillId="0" borderId="0" xfId="161" applyFont="1" applyFill="1" applyBorder="1"/>
    <xf numFmtId="37" fontId="42" fillId="13" borderId="0" xfId="139" applyFont="1" applyFill="1" applyAlignment="1">
      <alignment vertical="center"/>
    </xf>
    <xf numFmtId="0" fontId="2" fillId="0" borderId="0" xfId="164" applyFont="1" applyFill="1" applyAlignment="1" applyProtection="1">
      <alignment horizontal="center"/>
    </xf>
    <xf numFmtId="37" fontId="11" fillId="0" borderId="0" xfId="154" applyNumberFormat="1" applyFont="1" applyFill="1"/>
    <xf numFmtId="168" fontId="11" fillId="0" borderId="0" xfId="38" applyNumberFormat="1" applyFont="1" applyFill="1"/>
    <xf numFmtId="0" fontId="11" fillId="0" borderId="0" xfId="154" applyFont="1" applyFill="1"/>
    <xf numFmtId="0" fontId="2" fillId="0" borderId="5" xfId="164" applyFont="1" applyFill="1" applyBorder="1"/>
    <xf numFmtId="0" fontId="2" fillId="0" borderId="0" xfId="164" applyFont="1" applyFill="1" applyAlignment="1">
      <alignment horizontal="center"/>
    </xf>
    <xf numFmtId="0" fontId="2" fillId="0" borderId="6" xfId="164" applyFont="1" applyFill="1" applyBorder="1" applyAlignment="1">
      <alignment horizontal="center"/>
    </xf>
    <xf numFmtId="0" fontId="42" fillId="0" borderId="0" xfId="164" applyFont="1" applyFill="1"/>
    <xf numFmtId="0" fontId="54" fillId="0" borderId="0" xfId="164" applyFont="1" applyFill="1"/>
    <xf numFmtId="37" fontId="42" fillId="0" borderId="0" xfId="164" applyNumberFormat="1" applyFont="1" applyFill="1" applyProtection="1"/>
    <xf numFmtId="189" fontId="11" fillId="0" borderId="0" xfId="38" applyNumberFormat="1" applyFont="1"/>
    <xf numFmtId="193" fontId="11" fillId="0" borderId="0" xfId="38" applyNumberFormat="1" applyFont="1"/>
    <xf numFmtId="37" fontId="26" fillId="0" borderId="0" xfId="161" applyNumberFormat="1" applyFont="1" applyFill="1" applyBorder="1" applyProtection="1">
      <protection locked="0"/>
    </xf>
    <xf numFmtId="37" fontId="26" fillId="0" borderId="0" xfId="161" applyNumberFormat="1" applyFont="1" applyFill="1" applyProtection="1">
      <protection locked="0"/>
    </xf>
    <xf numFmtId="0" fontId="2" fillId="0" borderId="0" xfId="138" applyFont="1" applyFill="1" applyAlignment="1">
      <alignment horizontal="center"/>
    </xf>
    <xf numFmtId="37" fontId="2" fillId="0" borderId="0" xfId="150" applyFont="1" applyAlignment="1" applyProtection="1">
      <alignment horizontal="center"/>
    </xf>
    <xf numFmtId="37" fontId="2" fillId="0" borderId="0" xfId="150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right"/>
    </xf>
    <xf numFmtId="37" fontId="2" fillId="0" borderId="6" xfId="147" applyNumberFormat="1" applyFont="1" applyFill="1" applyBorder="1" applyProtection="1"/>
    <xf numFmtId="37" fontId="2" fillId="0" borderId="0" xfId="147" applyNumberFormat="1" applyFont="1" applyFill="1"/>
    <xf numFmtId="37" fontId="2" fillId="0" borderId="6" xfId="147" applyNumberFormat="1" applyFont="1" applyFill="1" applyBorder="1"/>
    <xf numFmtId="0" fontId="2" fillId="0" borderId="0" xfId="147" quotePrefix="1" applyFont="1" applyAlignment="1" applyProtection="1">
      <alignment horizontal="center"/>
    </xf>
    <xf numFmtId="0" fontId="2" fillId="0" borderId="0" xfId="147" applyFont="1" applyFill="1" applyAlignment="1" applyProtection="1">
      <alignment horizontal="right"/>
    </xf>
    <xf numFmtId="0" fontId="92" fillId="0" borderId="0" xfId="147" applyFont="1" applyFill="1" applyAlignment="1" applyProtection="1">
      <alignment horizontal="right"/>
    </xf>
    <xf numFmtId="0" fontId="4" fillId="0" borderId="0" xfId="147" applyFont="1" applyFill="1" applyAlignment="1" applyProtection="1">
      <alignment horizontal="right"/>
    </xf>
    <xf numFmtId="0" fontId="2" fillId="0" borderId="0" xfId="147" applyFont="1" applyAlignment="1">
      <alignment horizontal="right"/>
    </xf>
    <xf numFmtId="1" fontId="4" fillId="0" borderId="0" xfId="147" applyNumberFormat="1" applyFont="1"/>
    <xf numFmtId="0" fontId="2" fillId="0" borderId="0" xfId="146" applyFont="1" applyFill="1" applyBorder="1" applyAlignment="1" applyProtection="1">
      <alignment horizontal="left"/>
    </xf>
    <xf numFmtId="0" fontId="92" fillId="0" borderId="0" xfId="0" applyFont="1" applyAlignment="1" applyProtection="1">
      <alignment horizontal="left"/>
    </xf>
    <xf numFmtId="0" fontId="92" fillId="0" borderId="0" xfId="147" applyFont="1" applyBorder="1" applyAlignment="1" applyProtection="1">
      <alignment horizontal="right"/>
    </xf>
    <xf numFmtId="37" fontId="68" fillId="0" borderId="6" xfId="138" applyNumberFormat="1" applyFont="1" applyFill="1" applyBorder="1"/>
    <xf numFmtId="37" fontId="2" fillId="0" borderId="7" xfId="138" applyNumberFormat="1" applyFont="1" applyFill="1" applyBorder="1"/>
    <xf numFmtId="0" fontId="88" fillId="0" borderId="0" xfId="0" applyFont="1"/>
    <xf numFmtId="37" fontId="8" fillId="0" borderId="0" xfId="138" applyNumberFormat="1" applyFont="1" applyFill="1"/>
    <xf numFmtId="0" fontId="2" fillId="0" borderId="5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92" fillId="0" borderId="0" xfId="145" applyFont="1" applyAlignment="1" applyProtection="1">
      <alignment horizontal="right"/>
    </xf>
    <xf numFmtId="0" fontId="92" fillId="0" borderId="0" xfId="145" applyFont="1" applyFill="1" applyAlignment="1" applyProtection="1">
      <alignment horizontal="right"/>
    </xf>
    <xf numFmtId="0" fontId="2" fillId="0" borderId="0" xfId="148" applyFont="1" applyFill="1" applyAlignment="1" applyProtection="1">
      <alignment horizontal="right"/>
    </xf>
    <xf numFmtId="0" fontId="4" fillId="0" borderId="0" xfId="148" applyFont="1" applyFill="1" applyAlignment="1" applyProtection="1">
      <alignment horizontal="left"/>
    </xf>
    <xf numFmtId="0" fontId="92" fillId="0" borderId="0" xfId="148" applyFont="1" applyAlignment="1" applyProtection="1">
      <alignment horizontal="left"/>
    </xf>
    <xf numFmtId="0" fontId="92" fillId="0" borderId="6" xfId="148" applyFont="1" applyBorder="1" applyAlignment="1" applyProtection="1">
      <alignment horizontal="left"/>
    </xf>
    <xf numFmtId="0" fontId="2" fillId="0" borderId="6" xfId="145" applyFont="1" applyFill="1" applyBorder="1" applyAlignment="1" applyProtection="1">
      <alignment horizontal="right"/>
    </xf>
    <xf numFmtId="0" fontId="2" fillId="0" borderId="8" xfId="149" applyFont="1" applyFill="1" applyBorder="1" applyAlignment="1" applyProtection="1">
      <alignment horizontal="center"/>
    </xf>
    <xf numFmtId="0" fontId="2" fillId="0" borderId="0" xfId="149" applyFont="1" applyFill="1" applyAlignment="1" applyProtection="1">
      <alignment horizontal="left"/>
    </xf>
    <xf numFmtId="0" fontId="2" fillId="0" borderId="0" xfId="158" applyFont="1" applyAlignment="1">
      <alignment horizontal="center"/>
    </xf>
    <xf numFmtId="0" fontId="5" fillId="0" borderId="0" xfId="163" applyFont="1" applyFill="1" applyAlignment="1">
      <alignment horizontal="center"/>
    </xf>
    <xf numFmtId="37" fontId="5" fillId="0" borderId="0" xfId="163" applyNumberFormat="1" applyFont="1" applyFill="1"/>
    <xf numFmtId="10" fontId="2" fillId="0" borderId="0" xfId="163" applyNumberFormat="1" applyFont="1" applyFill="1"/>
    <xf numFmtId="0" fontId="68" fillId="0" borderId="0" xfId="163" applyFont="1" applyFill="1"/>
    <xf numFmtId="0" fontId="2" fillId="0" borderId="0" xfId="163" applyFont="1" applyFill="1" applyAlignment="1">
      <alignment horizontal="center"/>
    </xf>
    <xf numFmtId="10" fontId="2" fillId="0" borderId="6" xfId="163" applyNumberFormat="1" applyFont="1" applyFill="1" applyBorder="1"/>
    <xf numFmtId="0" fontId="5" fillId="0" borderId="0" xfId="157" applyFont="1" applyFill="1" applyAlignment="1" applyProtection="1">
      <alignment horizontal="center"/>
    </xf>
    <xf numFmtId="0" fontId="2" fillId="0" borderId="0" xfId="160" applyFont="1" applyFill="1"/>
    <xf numFmtId="37" fontId="2" fillId="0" borderId="0" xfId="160" applyNumberFormat="1" applyFont="1" applyFill="1" applyProtection="1"/>
    <xf numFmtId="165" fontId="2" fillId="0" borderId="0" xfId="160" applyNumberFormat="1" applyFont="1" applyFill="1" applyProtection="1"/>
    <xf numFmtId="37" fontId="2" fillId="0" borderId="0" xfId="160" applyNumberFormat="1" applyFont="1" applyFill="1" applyAlignment="1" applyProtection="1">
      <alignment horizontal="center"/>
    </xf>
    <xf numFmtId="0" fontId="2" fillId="0" borderId="0" xfId="159" applyFont="1" applyFill="1"/>
    <xf numFmtId="37" fontId="5" fillId="0" borderId="0" xfId="159" applyNumberFormat="1" applyFont="1" applyFill="1" applyProtection="1"/>
    <xf numFmtId="0" fontId="5" fillId="0" borderId="0" xfId="159" applyFont="1" applyFill="1"/>
    <xf numFmtId="0" fontId="2" fillId="0" borderId="0" xfId="159" applyFont="1" applyFill="1" applyAlignment="1" applyProtection="1">
      <alignment horizontal="left"/>
    </xf>
    <xf numFmtId="37" fontId="12" fillId="0" borderId="0" xfId="159" applyNumberFormat="1" applyFont="1" applyFill="1" applyProtection="1"/>
    <xf numFmtId="10" fontId="12" fillId="0" borderId="0" xfId="159" applyNumberFormat="1" applyFont="1" applyFill="1" applyProtection="1"/>
    <xf numFmtId="37" fontId="2" fillId="0" borderId="0" xfId="159" applyNumberFormat="1" applyFont="1" applyFill="1" applyProtection="1"/>
    <xf numFmtId="165" fontId="2" fillId="0" borderId="0" xfId="159" applyNumberFormat="1" applyFont="1" applyFill="1" applyProtection="1"/>
    <xf numFmtId="10" fontId="2" fillId="0" borderId="0" xfId="159" applyNumberFormat="1" applyFont="1" applyFill="1" applyProtection="1"/>
    <xf numFmtId="0" fontId="92" fillId="0" borderId="0" xfId="160" applyFont="1" applyFill="1" applyAlignment="1" applyProtection="1">
      <alignment horizontal="center"/>
    </xf>
    <xf numFmtId="0" fontId="2" fillId="0" borderId="0" xfId="158" applyFont="1" applyFill="1" applyAlignment="1" applyProtection="1">
      <alignment horizontal="left"/>
    </xf>
    <xf numFmtId="0" fontId="2" fillId="0" borderId="0" xfId="158" applyFont="1" applyFill="1"/>
    <xf numFmtId="37" fontId="2" fillId="0" borderId="0" xfId="158" applyNumberFormat="1" applyFont="1" applyFill="1" applyProtection="1"/>
    <xf numFmtId="165" fontId="2" fillId="0" borderId="0" xfId="158" applyNumberFormat="1" applyFont="1" applyFill="1" applyProtection="1"/>
    <xf numFmtId="10" fontId="2" fillId="0" borderId="0" xfId="158" applyNumberFormat="1" applyFont="1" applyFill="1" applyProtection="1"/>
    <xf numFmtId="0" fontId="2" fillId="0" borderId="0" xfId="158" applyFont="1" applyFill="1" applyBorder="1"/>
    <xf numFmtId="0" fontId="2" fillId="0" borderId="0" xfId="158" applyFont="1" applyFill="1" applyBorder="1" applyAlignment="1" applyProtection="1">
      <alignment horizontal="center"/>
    </xf>
    <xf numFmtId="0" fontId="2" fillId="0" borderId="0" xfId="147" applyFont="1" applyFill="1" applyAlignment="1" applyProtection="1">
      <alignment horizontal="center"/>
    </xf>
    <xf numFmtId="0" fontId="2" fillId="0" borderId="0" xfId="158" applyFont="1" applyFill="1" applyBorder="1" applyAlignment="1" applyProtection="1">
      <alignment horizontal="left"/>
    </xf>
    <xf numFmtId="178" fontId="2" fillId="0" borderId="6" xfId="136" applyNumberFormat="1" applyFont="1" applyFill="1" applyBorder="1"/>
    <xf numFmtId="37" fontId="2" fillId="0" borderId="0" xfId="158" applyNumberFormat="1" applyFont="1" applyFill="1"/>
    <xf numFmtId="0" fontId="2" fillId="0" borderId="0" xfId="158" quotePrefix="1" applyFont="1"/>
    <xf numFmtId="178" fontId="2" fillId="0" borderId="7" xfId="136" applyNumberFormat="1" applyFont="1" applyFill="1" applyBorder="1"/>
    <xf numFmtId="0" fontId="2" fillId="0" borderId="0" xfId="158" quotePrefix="1" applyFont="1" applyAlignment="1" applyProtection="1">
      <alignment horizontal="center"/>
    </xf>
    <xf numFmtId="0" fontId="2" fillId="0" borderId="0" xfId="158" applyFont="1" applyAlignment="1"/>
    <xf numFmtId="0" fontId="5" fillId="0" borderId="0" xfId="158" applyFont="1" applyFill="1" applyAlignment="1" applyProtection="1"/>
    <xf numFmtId="0" fontId="5" fillId="0" borderId="0" xfId="157" applyFont="1" applyFill="1" applyAlignment="1" applyProtection="1"/>
    <xf numFmtId="0" fontId="2" fillId="0" borderId="0" xfId="158" applyFont="1" applyAlignment="1" applyProtection="1">
      <alignment horizontal="right"/>
    </xf>
    <xf numFmtId="0" fontId="2" fillId="0" borderId="5" xfId="158" applyFont="1" applyBorder="1" applyAlignment="1" applyProtection="1">
      <alignment horizontal="right"/>
    </xf>
    <xf numFmtId="0" fontId="2" fillId="0" borderId="0" xfId="159" applyFont="1" applyAlignment="1" applyProtection="1">
      <alignment horizontal="right"/>
    </xf>
    <xf numFmtId="0" fontId="2" fillId="0" borderId="5" xfId="159" applyFont="1" applyBorder="1" applyAlignment="1" applyProtection="1">
      <alignment horizontal="right"/>
    </xf>
    <xf numFmtId="0" fontId="2" fillId="0" borderId="0" xfId="160" applyFont="1" applyAlignment="1" applyProtection="1">
      <alignment horizontal="right"/>
    </xf>
    <xf numFmtId="0" fontId="2" fillId="0" borderId="5" xfId="160" applyFont="1" applyBorder="1" applyAlignment="1" applyProtection="1">
      <alignment horizontal="right"/>
    </xf>
    <xf numFmtId="0" fontId="5" fillId="0" borderId="0" xfId="163" applyFont="1" applyFill="1"/>
    <xf numFmtId="37" fontId="6" fillId="0" borderId="0" xfId="159" applyNumberFormat="1" applyFont="1" applyFill="1" applyProtection="1"/>
    <xf numFmtId="37" fontId="6" fillId="0" borderId="0" xfId="0" applyNumberFormat="1" applyFont="1" applyBorder="1" applyProtection="1"/>
    <xf numFmtId="0" fontId="6" fillId="0" borderId="0" xfId="147" applyFont="1" applyFill="1" applyAlignment="1" applyProtection="1">
      <alignment horizontal="center"/>
    </xf>
    <xf numFmtId="0" fontId="2" fillId="0" borderId="0" xfId="147" applyFont="1" applyFill="1" applyBorder="1" applyAlignment="1" applyProtection="1">
      <alignment horizontal="center"/>
    </xf>
    <xf numFmtId="0" fontId="92" fillId="0" borderId="6" xfId="145" applyFont="1" applyFill="1" applyBorder="1" applyAlignment="1" applyProtection="1">
      <alignment horizontal="right"/>
    </xf>
    <xf numFmtId="0" fontId="4" fillId="0" borderId="6" xfId="145" applyFont="1" applyFill="1" applyBorder="1"/>
    <xf numFmtId="0" fontId="4" fillId="0" borderId="0" xfId="145" applyFont="1" applyFill="1" applyAlignment="1">
      <alignment horizontal="center"/>
    </xf>
    <xf numFmtId="37" fontId="4" fillId="0" borderId="7" xfId="145" applyNumberFormat="1" applyFont="1" applyFill="1" applyBorder="1" applyProtection="1"/>
    <xf numFmtId="168" fontId="4" fillId="0" borderId="0" xfId="38" applyNumberFormat="1" applyFont="1" applyFill="1"/>
    <xf numFmtId="37" fontId="92" fillId="0" borderId="0" xfId="147" applyNumberFormat="1" applyFont="1" applyFill="1" applyProtection="1"/>
    <xf numFmtId="0" fontId="2" fillId="0" borderId="5" xfId="0" applyFont="1" applyFill="1" applyBorder="1"/>
    <xf numFmtId="0" fontId="2" fillId="0" borderId="0" xfId="145" applyFont="1" applyFill="1" applyBorder="1" applyAlignment="1" applyProtection="1">
      <alignment horizontal="left"/>
    </xf>
    <xf numFmtId="0" fontId="5" fillId="0" borderId="0" xfId="148" applyFont="1" applyFill="1" applyAlignment="1" applyProtection="1">
      <alignment horizontal="right"/>
    </xf>
    <xf numFmtId="168" fontId="11" fillId="0" borderId="0" xfId="38" applyNumberFormat="1" applyFont="1" applyBorder="1"/>
    <xf numFmtId="168" fontId="47" fillId="0" borderId="0" xfId="38" applyNumberFormat="1" applyFont="1" applyBorder="1"/>
    <xf numFmtId="168" fontId="42" fillId="0" borderId="0" xfId="38" applyNumberFormat="1" applyFont="1" applyBorder="1" applyAlignment="1">
      <alignment horizontal="center"/>
    </xf>
    <xf numFmtId="168" fontId="45" fillId="0" borderId="0" xfId="38" applyNumberFormat="1" applyFont="1" applyBorder="1" applyAlignment="1">
      <alignment horizontal="center"/>
    </xf>
    <xf numFmtId="168" fontId="97" fillId="0" borderId="0" xfId="38" applyNumberFormat="1" applyFont="1" applyBorder="1"/>
    <xf numFmtId="0" fontId="11" fillId="0" borderId="0" xfId="138" applyFont="1" applyAlignment="1"/>
    <xf numFmtId="0" fontId="44" fillId="0" borderId="0" xfId="138" applyFont="1" applyFill="1" applyBorder="1" applyAlignment="1">
      <alignment horizontal="center"/>
    </xf>
    <xf numFmtId="0" fontId="42" fillId="0" borderId="0" xfId="138" applyFont="1" applyBorder="1" applyAlignment="1">
      <alignment horizontal="center"/>
    </xf>
    <xf numFmtId="37" fontId="46" fillId="0" borderId="0" xfId="38" applyNumberFormat="1" applyFont="1" applyFill="1" applyBorder="1" applyAlignment="1">
      <alignment horizontal="right"/>
    </xf>
    <xf numFmtId="37" fontId="46" fillId="0" borderId="0" xfId="138" applyNumberFormat="1" applyFont="1" applyFill="1" applyBorder="1" applyAlignment="1">
      <alignment horizontal="right"/>
    </xf>
    <xf numFmtId="2" fontId="42" fillId="0" borderId="0" xfId="138" applyNumberFormat="1" applyFont="1" applyFill="1" applyBorder="1" applyAlignment="1">
      <alignment horizontal="center"/>
    </xf>
    <xf numFmtId="37" fontId="46" fillId="0" borderId="0" xfId="138" applyNumberFormat="1" applyFont="1" applyFill="1" applyBorder="1" applyProtection="1"/>
    <xf numFmtId="37" fontId="11" fillId="0" borderId="0" xfId="138" applyNumberFormat="1" applyFont="1" applyFill="1" applyBorder="1" applyProtection="1"/>
    <xf numFmtId="37" fontId="75" fillId="0" borderId="0" xfId="138" applyNumberFormat="1" applyFont="1" applyFill="1" applyBorder="1" applyProtection="1"/>
    <xf numFmtId="0" fontId="11" fillId="0" borderId="6" xfId="138" applyFont="1" applyBorder="1"/>
    <xf numFmtId="0" fontId="11" fillId="0" borderId="0" xfId="138" applyFont="1" applyAlignment="1">
      <alignment horizontal="right"/>
    </xf>
    <xf numFmtId="0" fontId="11" fillId="0" borderId="6" xfId="138" applyFont="1" applyBorder="1" applyAlignment="1"/>
    <xf numFmtId="0" fontId="11" fillId="0" borderId="6" xfId="138" applyFont="1" applyBorder="1" applyAlignment="1">
      <alignment horizontal="right"/>
    </xf>
    <xf numFmtId="0" fontId="2" fillId="0" borderId="0" xfId="138" applyFill="1" applyAlignment="1">
      <alignment vertical="top"/>
    </xf>
    <xf numFmtId="0" fontId="2" fillId="0" borderId="0" xfId="147" applyFont="1" applyFill="1" applyBorder="1" applyAlignment="1" applyProtection="1">
      <alignment horizontal="right"/>
    </xf>
    <xf numFmtId="0" fontId="2" fillId="0" borderId="0" xfId="147" applyFont="1" applyFill="1" applyBorder="1" applyAlignment="1">
      <alignment horizontal="center"/>
    </xf>
    <xf numFmtId="37" fontId="4" fillId="0" borderId="0" xfId="147" applyNumberFormat="1" applyFont="1" applyFill="1" applyBorder="1" applyAlignment="1" applyProtection="1">
      <alignment horizontal="right"/>
    </xf>
    <xf numFmtId="37" fontId="2" fillId="0" borderId="0" xfId="147" applyNumberFormat="1" applyFont="1" applyFill="1" applyBorder="1" applyAlignment="1" applyProtection="1">
      <alignment horizontal="right"/>
    </xf>
    <xf numFmtId="37" fontId="4" fillId="0" borderId="0" xfId="147" applyNumberFormat="1" applyFont="1" applyFill="1" applyAlignment="1" applyProtection="1">
      <alignment horizontal="right"/>
    </xf>
    <xf numFmtId="10" fontId="2" fillId="0" borderId="0" xfId="167" applyNumberFormat="1" applyFont="1" applyFill="1" applyAlignment="1" applyProtection="1">
      <alignment horizontal="right"/>
    </xf>
    <xf numFmtId="37" fontId="12" fillId="0" borderId="0" xfId="147" applyNumberFormat="1" applyFont="1" applyFill="1" applyAlignment="1" applyProtection="1">
      <alignment horizontal="right"/>
    </xf>
    <xf numFmtId="37" fontId="68" fillId="0" borderId="0" xfId="147" applyNumberFormat="1" applyFont="1" applyFill="1" applyAlignment="1" applyProtection="1">
      <alignment horizontal="right"/>
    </xf>
    <xf numFmtId="178" fontId="2" fillId="0" borderId="0" xfId="136" applyNumberFormat="1"/>
    <xf numFmtId="168" fontId="5" fillId="0" borderId="0" xfId="38" applyNumberFormat="1" applyFont="1"/>
    <xf numFmtId="168" fontId="2" fillId="0" borderId="0" xfId="138" applyNumberFormat="1" applyFont="1"/>
    <xf numFmtId="178" fontId="2" fillId="0" borderId="10" xfId="136" applyNumberFormat="1" applyFont="1" applyBorder="1"/>
    <xf numFmtId="9" fontId="6" fillId="0" borderId="0" xfId="138" applyNumberFormat="1" applyFont="1" applyFill="1" applyAlignment="1">
      <alignment horizontal="center"/>
    </xf>
    <xf numFmtId="178" fontId="2" fillId="0" borderId="0" xfId="136" applyNumberFormat="1" applyFill="1"/>
    <xf numFmtId="168" fontId="68" fillId="0" borderId="0" xfId="38" applyNumberFormat="1" applyFont="1" applyFill="1"/>
    <xf numFmtId="168" fontId="2" fillId="0" borderId="0" xfId="138" applyNumberFormat="1" applyFill="1"/>
    <xf numFmtId="168" fontId="5" fillId="0" borderId="0" xfId="38" applyNumberFormat="1" applyFont="1" applyFill="1"/>
    <xf numFmtId="168" fontId="2" fillId="0" borderId="0" xfId="138" applyNumberFormat="1" applyFont="1" applyFill="1"/>
    <xf numFmtId="178" fontId="2" fillId="0" borderId="10" xfId="136" applyNumberFormat="1" applyFont="1" applyFill="1" applyBorder="1"/>
    <xf numFmtId="0" fontId="49" fillId="0" borderId="0" xfId="164" applyFont="1" applyAlignment="1" applyProtection="1">
      <alignment horizontal="center"/>
      <protection locked="0"/>
    </xf>
    <xf numFmtId="49" fontId="49" fillId="0" borderId="5" xfId="164" applyNumberFormat="1" applyFont="1" applyFill="1" applyBorder="1" applyAlignment="1" applyProtection="1">
      <alignment horizontal="center"/>
    </xf>
    <xf numFmtId="0" fontId="26" fillId="0" borderId="0" xfId="164" applyFont="1" applyBorder="1" applyAlignment="1" applyProtection="1">
      <alignment horizontal="center"/>
      <protection locked="0"/>
    </xf>
    <xf numFmtId="0" fontId="26" fillId="0" borderId="0" xfId="164" applyFont="1" applyBorder="1" applyAlignment="1" applyProtection="1">
      <protection locked="0"/>
    </xf>
    <xf numFmtId="37" fontId="99" fillId="0" borderId="0" xfId="164" applyNumberFormat="1" applyFont="1" applyFill="1" applyProtection="1"/>
    <xf numFmtId="37" fontId="26" fillId="0" borderId="0" xfId="164" applyNumberFormat="1" applyFont="1" applyBorder="1"/>
    <xf numFmtId="37" fontId="55" fillId="0" borderId="0" xfId="164" applyNumberFormat="1" applyFont="1" applyBorder="1"/>
    <xf numFmtId="0" fontId="26" fillId="0" borderId="0" xfId="164" applyFont="1" applyBorder="1"/>
    <xf numFmtId="0" fontId="26" fillId="0" borderId="0" xfId="138" applyFont="1" applyBorder="1"/>
    <xf numFmtId="37" fontId="26" fillId="0" borderId="0" xfId="138" applyNumberFormat="1" applyFont="1" applyBorder="1"/>
    <xf numFmtId="37" fontId="11" fillId="11" borderId="0" xfId="164" applyNumberFormat="1" applyFont="1" applyFill="1"/>
    <xf numFmtId="0" fontId="11" fillId="11" borderId="0" xfId="164" applyFont="1" applyFill="1" applyAlignment="1">
      <alignment horizontal="right"/>
    </xf>
    <xf numFmtId="41" fontId="11" fillId="12" borderId="0" xfId="139" applyNumberFormat="1" applyFont="1" applyFill="1" applyAlignment="1">
      <alignment horizontal="center"/>
    </xf>
    <xf numFmtId="37" fontId="2" fillId="0" borderId="7" xfId="138" applyNumberFormat="1" applyFill="1" applyBorder="1"/>
    <xf numFmtId="37" fontId="2" fillId="0" borderId="0" xfId="153" applyFont="1" applyBorder="1" applyAlignment="1">
      <alignment horizontal="center"/>
    </xf>
    <xf numFmtId="37" fontId="5" fillId="0" borderId="0" xfId="153" applyFont="1" applyFill="1" applyBorder="1"/>
    <xf numFmtId="37" fontId="2" fillId="0" borderId="0" xfId="153" applyFont="1" applyFill="1" applyBorder="1"/>
    <xf numFmtId="37" fontId="2" fillId="0" borderId="0" xfId="153" applyFont="1" applyFill="1" applyBorder="1" applyAlignment="1">
      <alignment horizontal="center"/>
    </xf>
    <xf numFmtId="0" fontId="11" fillId="0" borderId="0" xfId="164" applyFont="1" applyAlignment="1">
      <alignment horizontal="right"/>
    </xf>
    <xf numFmtId="37" fontId="2" fillId="0" borderId="6" xfId="164" applyNumberFormat="1" applyFont="1" applyFill="1" applyBorder="1"/>
    <xf numFmtId="37" fontId="11" fillId="0" borderId="0" xfId="153" applyFont="1" applyAlignment="1">
      <alignment horizontal="center"/>
    </xf>
    <xf numFmtId="37" fontId="11" fillId="0" borderId="0" xfId="153" applyFont="1" applyBorder="1" applyAlignment="1">
      <alignment horizontal="center"/>
    </xf>
    <xf numFmtId="37" fontId="9" fillId="0" borderId="0" xfId="153" applyBorder="1" applyAlignment="1">
      <alignment horizontal="center"/>
    </xf>
    <xf numFmtId="168" fontId="26" fillId="0" borderId="0" xfId="38" applyNumberFormat="1" applyFont="1" applyFill="1"/>
    <xf numFmtId="5" fontId="26" fillId="0" borderId="0" xfId="161" applyNumberFormat="1" applyFont="1" applyFill="1" applyBorder="1" applyProtection="1"/>
    <xf numFmtId="0" fontId="55" fillId="0" borderId="0" xfId="161" applyFont="1" applyFill="1" applyAlignment="1" applyProtection="1">
      <alignment horizontal="left"/>
    </xf>
    <xf numFmtId="37" fontId="26" fillId="0" borderId="4" xfId="161" applyNumberFormat="1" applyFont="1" applyFill="1" applyBorder="1" applyProtection="1"/>
    <xf numFmtId="0" fontId="26" fillId="0" borderId="0" xfId="161" applyFont="1" applyFill="1" applyProtection="1">
      <protection locked="0"/>
    </xf>
    <xf numFmtId="0" fontId="26" fillId="0" borderId="0" xfId="161" applyFont="1" applyFill="1" applyBorder="1" applyProtection="1">
      <protection locked="0"/>
    </xf>
    <xf numFmtId="0" fontId="5" fillId="0" borderId="0" xfId="138" applyFont="1" applyFill="1" applyAlignment="1">
      <alignment horizontal="center"/>
    </xf>
    <xf numFmtId="0" fontId="4" fillId="0" borderId="0" xfId="0" applyFont="1" applyFill="1" applyProtection="1"/>
    <xf numFmtId="37" fontId="2" fillId="0" borderId="0" xfId="150" applyFont="1" applyBorder="1" applyAlignment="1" applyProtection="1">
      <alignment horizontal="right"/>
    </xf>
    <xf numFmtId="37" fontId="5" fillId="0" borderId="5" xfId="164" applyNumberFormat="1" applyFont="1" applyFill="1" applyBorder="1" applyProtection="1">
      <protection locked="0"/>
    </xf>
    <xf numFmtId="49" fontId="26" fillId="0" borderId="0" xfId="161" applyNumberFormat="1" applyFont="1" applyFill="1" applyAlignment="1" applyProtection="1">
      <alignment horizontal="left"/>
    </xf>
    <xf numFmtId="49" fontId="26" fillId="0" borderId="0" xfId="161" applyNumberFormat="1" applyFont="1" applyFill="1"/>
    <xf numFmtId="49" fontId="49" fillId="0" borderId="0" xfId="161" applyNumberFormat="1" applyFont="1" applyFill="1" applyProtection="1">
      <protection locked="0"/>
    </xf>
    <xf numFmtId="10" fontId="49" fillId="0" borderId="0" xfId="161" applyNumberFormat="1" applyFont="1" applyFill="1" applyProtection="1">
      <protection locked="0"/>
    </xf>
    <xf numFmtId="0" fontId="26" fillId="0" borderId="0" xfId="161" applyFont="1" applyFill="1" applyAlignment="1" applyProtection="1">
      <alignment horizontal="right"/>
    </xf>
    <xf numFmtId="49" fontId="26" fillId="0" borderId="5" xfId="161" applyNumberFormat="1" applyFont="1" applyFill="1" applyBorder="1"/>
    <xf numFmtId="0" fontId="26" fillId="0" borderId="5" xfId="161" applyFont="1" applyFill="1" applyBorder="1" applyAlignment="1" applyProtection="1">
      <alignment horizontal="right"/>
    </xf>
    <xf numFmtId="49" fontId="26" fillId="0" borderId="0" xfId="161" applyNumberFormat="1" applyFont="1" applyFill="1" applyAlignment="1" applyProtection="1">
      <alignment horizontal="left"/>
      <protection locked="0"/>
    </xf>
    <xf numFmtId="49" fontId="26" fillId="0" borderId="5" xfId="161" applyNumberFormat="1" applyFont="1" applyFill="1" applyBorder="1" applyAlignment="1" applyProtection="1">
      <alignment horizontal="left"/>
      <protection locked="0"/>
    </xf>
    <xf numFmtId="0" fontId="99" fillId="0" borderId="0" xfId="164" quotePrefix="1" applyFont="1" applyFill="1" applyAlignment="1" applyProtection="1">
      <alignment horizontal="left"/>
    </xf>
    <xf numFmtId="0" fontId="58" fillId="0" borderId="0" xfId="161" applyFont="1" applyFill="1"/>
    <xf numFmtId="37" fontId="58" fillId="0" borderId="0" xfId="161" applyNumberFormat="1" applyFont="1" applyFill="1"/>
    <xf numFmtId="37" fontId="11" fillId="0" borderId="0" xfId="153" applyFont="1" applyFill="1"/>
    <xf numFmtId="37" fontId="9" fillId="0" borderId="0" xfId="153" applyFill="1"/>
    <xf numFmtId="37" fontId="2" fillId="0" borderId="0" xfId="153" applyFont="1" applyFill="1" applyAlignment="1">
      <alignment horizontal="right"/>
    </xf>
    <xf numFmtId="37" fontId="2" fillId="0" borderId="5" xfId="153" applyFont="1" applyFill="1" applyBorder="1"/>
    <xf numFmtId="37" fontId="2" fillId="0" borderId="0" xfId="153" applyFont="1" applyFill="1" applyBorder="1" applyAlignment="1">
      <alignment horizontal="right"/>
    </xf>
    <xf numFmtId="37" fontId="2" fillId="0" borderId="4" xfId="153" applyFont="1" applyFill="1" applyBorder="1" applyAlignment="1">
      <alignment horizontal="center"/>
    </xf>
    <xf numFmtId="37" fontId="2" fillId="0" borderId="6" xfId="153" applyFont="1" applyFill="1" applyBorder="1" applyAlignment="1">
      <alignment horizontal="center"/>
    </xf>
    <xf numFmtId="169" fontId="2" fillId="0" borderId="0" xfId="153" applyNumberFormat="1" applyFont="1" applyFill="1"/>
    <xf numFmtId="10" fontId="2" fillId="0" borderId="0" xfId="167" applyNumberFormat="1" applyFont="1" applyFill="1"/>
    <xf numFmtId="9" fontId="2" fillId="0" borderId="0" xfId="167" applyFont="1" applyFill="1"/>
    <xf numFmtId="37" fontId="9" fillId="0" borderId="0" xfId="153" applyFill="1" applyAlignment="1">
      <alignment horizontal="center"/>
    </xf>
    <xf numFmtId="37" fontId="11" fillId="0" borderId="6" xfId="153" applyFont="1" applyFill="1" applyBorder="1"/>
    <xf numFmtId="37" fontId="2" fillId="0" borderId="6" xfId="153" applyFont="1" applyFill="1" applyBorder="1" applyAlignment="1">
      <alignment horizontal="right"/>
    </xf>
    <xf numFmtId="37" fontId="11" fillId="0" borderId="0" xfId="153" applyFont="1" applyFill="1" applyBorder="1"/>
    <xf numFmtId="37" fontId="9" fillId="0" borderId="0" xfId="153" applyFill="1" applyBorder="1"/>
    <xf numFmtId="0" fontId="6" fillId="0" borderId="0" xfId="156" applyFont="1" applyFill="1" applyBorder="1" applyAlignment="1" applyProtection="1">
      <alignment horizontal="center"/>
    </xf>
    <xf numFmtId="0" fontId="6" fillId="0" borderId="0" xfId="156" applyFont="1" applyFill="1" applyBorder="1"/>
    <xf numFmtId="0" fontId="6" fillId="0" borderId="0" xfId="156" applyFont="1" applyFill="1" applyBorder="1" applyAlignment="1" applyProtection="1">
      <alignment horizontal="left"/>
    </xf>
    <xf numFmtId="0" fontId="6" fillId="0" borderId="0" xfId="155" applyFont="1" applyBorder="1" applyAlignment="1">
      <alignment horizontal="left"/>
    </xf>
    <xf numFmtId="0" fontId="6" fillId="0" borderId="0" xfId="155" applyFont="1" applyBorder="1"/>
    <xf numFmtId="0" fontId="6" fillId="0" borderId="0" xfId="155" applyFont="1" applyBorder="1" applyAlignment="1" applyProtection="1">
      <alignment horizontal="left"/>
    </xf>
    <xf numFmtId="0" fontId="6" fillId="0" borderId="0" xfId="155" applyFont="1" applyBorder="1" applyAlignment="1" applyProtection="1">
      <alignment horizontal="center"/>
    </xf>
    <xf numFmtId="178" fontId="2" fillId="0" borderId="0" xfId="136" applyNumberFormat="1" applyFont="1" applyFill="1"/>
    <xf numFmtId="178" fontId="5" fillId="0" borderId="0" xfId="136" applyNumberFormat="1" applyFont="1"/>
    <xf numFmtId="178" fontId="2" fillId="0" borderId="0" xfId="138" applyNumberFormat="1" applyFont="1"/>
    <xf numFmtId="10" fontId="2" fillId="0" borderId="0" xfId="162" applyNumberFormat="1" applyFont="1" applyFill="1" applyBorder="1"/>
    <xf numFmtId="37" fontId="2" fillId="0" borderId="0" xfId="162" applyNumberFormat="1" applyFont="1" applyFill="1" applyBorder="1"/>
    <xf numFmtId="0" fontId="2" fillId="0" borderId="0" xfId="162" applyFont="1" applyFill="1"/>
    <xf numFmtId="10" fontId="2" fillId="0" borderId="0" xfId="162" applyNumberFormat="1" applyFont="1" applyFill="1"/>
    <xf numFmtId="0" fontId="2" fillId="0" borderId="0" xfId="162" applyFont="1" applyFill="1" applyBorder="1"/>
    <xf numFmtId="0" fontId="2" fillId="0" borderId="0" xfId="162" applyFont="1" applyFill="1" applyAlignment="1">
      <alignment horizontal="center"/>
    </xf>
    <xf numFmtId="37" fontId="2" fillId="0" borderId="6" xfId="162" applyNumberFormat="1" applyFont="1" applyFill="1" applyBorder="1"/>
    <xf numFmtId="178" fontId="5" fillId="0" borderId="0" xfId="136" applyNumberFormat="1" applyFont="1" applyFill="1" applyBorder="1"/>
    <xf numFmtId="168" fontId="5" fillId="0" borderId="0" xfId="38" applyNumberFormat="1" applyFont="1" applyFill="1" applyBorder="1"/>
    <xf numFmtId="0" fontId="2" fillId="0" borderId="0" xfId="138" applyFont="1" applyFill="1" applyAlignment="1">
      <alignment vertical="top" wrapText="1"/>
    </xf>
    <xf numFmtId="5" fontId="2" fillId="0" borderId="0" xfId="138" applyNumberFormat="1" applyFill="1"/>
    <xf numFmtId="37" fontId="2" fillId="0" borderId="2" xfId="138" applyNumberFormat="1" applyFill="1" applyBorder="1"/>
    <xf numFmtId="37" fontId="2" fillId="0" borderId="7" xfId="0" applyNumberFormat="1" applyFont="1" applyBorder="1"/>
    <xf numFmtId="0" fontId="2" fillId="0" borderId="0" xfId="0" applyFont="1" applyFill="1" applyBorder="1" applyAlignment="1" applyProtection="1">
      <alignment horizontal="left"/>
    </xf>
    <xf numFmtId="0" fontId="4" fillId="0" borderId="0" xfId="165" applyFont="1" applyFill="1" applyAlignment="1" applyProtection="1">
      <alignment horizontal="right"/>
    </xf>
    <xf numFmtId="0" fontId="2" fillId="0" borderId="0" xfId="165" applyFont="1" applyFill="1" applyAlignment="1" applyProtection="1">
      <alignment horizontal="right"/>
    </xf>
    <xf numFmtId="0" fontId="4" fillId="0" borderId="0" xfId="165" applyFont="1" applyFill="1" applyBorder="1" applyAlignment="1" applyProtection="1">
      <alignment horizontal="right"/>
    </xf>
    <xf numFmtId="0" fontId="4" fillId="0" borderId="0" xfId="165" applyFont="1" applyAlignment="1">
      <alignment horizontal="center"/>
    </xf>
    <xf numFmtId="0" fontId="2" fillId="0" borderId="0" xfId="138" applyFont="1" applyFill="1" applyAlignment="1">
      <alignment horizontal="left" vertical="top"/>
    </xf>
    <xf numFmtId="0" fontId="68" fillId="0" borderId="0" xfId="138" applyFont="1" applyFill="1" applyAlignment="1">
      <alignment horizontal="left"/>
    </xf>
    <xf numFmtId="0" fontId="68" fillId="0" borderId="0" xfId="138" applyFont="1" applyFill="1"/>
    <xf numFmtId="0" fontId="68" fillId="0" borderId="0" xfId="138" applyFont="1" applyFill="1" applyAlignment="1">
      <alignment horizontal="center"/>
    </xf>
    <xf numFmtId="0" fontId="2" fillId="11" borderId="0" xfId="138" applyFill="1"/>
    <xf numFmtId="37" fontId="2" fillId="11" borderId="0" xfId="138" applyNumberFormat="1" applyFill="1" applyBorder="1"/>
    <xf numFmtId="37" fontId="11" fillId="0" borderId="0" xfId="38" applyNumberFormat="1" applyFont="1"/>
    <xf numFmtId="37" fontId="46" fillId="0" borderId="0" xfId="164" applyNumberFormat="1" applyFont="1"/>
    <xf numFmtId="37" fontId="11" fillId="0" borderId="0" xfId="164" applyNumberFormat="1" applyFont="1" applyProtection="1">
      <protection locked="0"/>
    </xf>
    <xf numFmtId="37" fontId="82" fillId="0" borderId="0" xfId="164" applyNumberFormat="1" applyFont="1" applyProtection="1"/>
    <xf numFmtId="37" fontId="94" fillId="0" borderId="0" xfId="161" applyNumberFormat="1" applyFont="1" applyFill="1" applyProtection="1"/>
    <xf numFmtId="0" fontId="2" fillId="0" borderId="0" xfId="159" applyFont="1" applyAlignment="1">
      <alignment horizontal="center"/>
    </xf>
    <xf numFmtId="37" fontId="2" fillId="0" borderId="0" xfId="153" quotePrefix="1" applyFont="1" applyFill="1" applyAlignment="1">
      <alignment horizontal="center"/>
    </xf>
    <xf numFmtId="0" fontId="11" fillId="0" borderId="0" xfId="163" applyFont="1" applyBorder="1"/>
    <xf numFmtId="0" fontId="2" fillId="0" borderId="0" xfId="163" applyFont="1" applyBorder="1" applyAlignment="1" applyProtection="1">
      <alignment horizontal="left"/>
    </xf>
    <xf numFmtId="0" fontId="2" fillId="0" borderId="0" xfId="163" applyFont="1" applyBorder="1"/>
    <xf numFmtId="0" fontId="2" fillId="0" borderId="0" xfId="163" applyFont="1" applyBorder="1" applyAlignment="1">
      <alignment horizontal="right"/>
    </xf>
    <xf numFmtId="1" fontId="2" fillId="0" borderId="0" xfId="159" applyNumberFormat="1" applyFont="1" applyFill="1" applyAlignment="1" applyProtection="1">
      <alignment horizontal="center"/>
    </xf>
    <xf numFmtId="1" fontId="2" fillId="0" borderId="0" xfId="159" applyNumberFormat="1" applyFont="1" applyFill="1" applyAlignment="1">
      <alignment horizontal="center"/>
    </xf>
    <xf numFmtId="37" fontId="92" fillId="0" borderId="0" xfId="162" applyNumberFormat="1" applyFont="1" applyFill="1" applyBorder="1"/>
    <xf numFmtId="0" fontId="8" fillId="0" borderId="0" xfId="162" applyFont="1" applyFill="1"/>
    <xf numFmtId="37" fontId="2" fillId="0" borderId="0" xfId="162" applyNumberFormat="1" applyFont="1" applyFill="1" applyBorder="1" applyAlignment="1">
      <alignment horizontal="right"/>
    </xf>
    <xf numFmtId="168" fontId="2" fillId="0" borderId="0" xfId="38" applyNumberFormat="1" applyFont="1" applyFill="1" applyBorder="1" applyAlignment="1">
      <alignment horizontal="right"/>
    </xf>
    <xf numFmtId="168" fontId="62" fillId="0" borderId="0" xfId="38" applyNumberFormat="1" applyFont="1" applyFill="1" applyBorder="1" applyAlignment="1">
      <alignment horizontal="right"/>
    </xf>
    <xf numFmtId="43" fontId="2" fillId="0" borderId="7" xfId="38" applyFont="1" applyFill="1" applyBorder="1" applyAlignment="1">
      <alignment horizontal="right"/>
    </xf>
    <xf numFmtId="37" fontId="2" fillId="0" borderId="6" xfId="162" applyNumberFormat="1" applyFont="1" applyFill="1" applyBorder="1" applyAlignment="1">
      <alignment horizontal="right"/>
    </xf>
    <xf numFmtId="178" fontId="2" fillId="0" borderId="0" xfId="136" applyNumberFormat="1" applyFont="1" applyBorder="1"/>
    <xf numFmtId="0" fontId="11" fillId="0" borderId="0" xfId="0" applyFont="1" applyBorder="1" applyAlignment="1">
      <alignment horizontal="center"/>
    </xf>
    <xf numFmtId="37" fontId="11" fillId="0" borderId="0" xfId="0" applyNumberFormat="1" applyFont="1" applyBorder="1"/>
    <xf numFmtId="10" fontId="11" fillId="0" borderId="0" xfId="0" applyNumberFormat="1" applyFont="1" applyBorder="1"/>
    <xf numFmtId="190" fontId="11" fillId="0" borderId="0" xfId="0" applyNumberFormat="1" applyFont="1" applyBorder="1"/>
    <xf numFmtId="0" fontId="0" fillId="0" borderId="0" xfId="0" applyFont="1" applyBorder="1"/>
    <xf numFmtId="0" fontId="6" fillId="0" borderId="0" xfId="138" applyFont="1" applyBorder="1" applyAlignment="1">
      <alignment horizontal="center"/>
    </xf>
    <xf numFmtId="178" fontId="0" fillId="0" borderId="0" xfId="136" applyNumberFormat="1" applyFont="1" applyBorder="1"/>
    <xf numFmtId="178" fontId="9" fillId="0" borderId="0" xfId="136" applyNumberFormat="1" applyFont="1"/>
    <xf numFmtId="178" fontId="89" fillId="0" borderId="0" xfId="136" applyNumberFormat="1" applyFont="1"/>
    <xf numFmtId="0" fontId="2" fillId="0" borderId="0" xfId="138" applyFont="1" applyAlignment="1">
      <alignment horizontal="left"/>
    </xf>
    <xf numFmtId="9" fontId="6" fillId="0" borderId="0" xfId="138" applyNumberFormat="1" applyFont="1" applyBorder="1" applyAlignment="1">
      <alignment horizontal="center"/>
    </xf>
    <xf numFmtId="168" fontId="2" fillId="0" borderId="0" xfId="138" applyNumberFormat="1" applyBorder="1"/>
    <xf numFmtId="0" fontId="2" fillId="0" borderId="6" xfId="138" applyFont="1" applyBorder="1" applyAlignment="1">
      <alignment horizontal="right"/>
    </xf>
    <xf numFmtId="0" fontId="2" fillId="0" borderId="0" xfId="138" applyFont="1" applyBorder="1" applyAlignment="1">
      <alignment horizontal="left"/>
    </xf>
    <xf numFmtId="0" fontId="12" fillId="0" borderId="0" xfId="138" applyFont="1" applyBorder="1" applyAlignment="1">
      <alignment horizontal="left"/>
    </xf>
    <xf numFmtId="168" fontId="2" fillId="0" borderId="0" xfId="38" applyNumberFormat="1" applyFont="1" applyBorder="1"/>
    <xf numFmtId="44" fontId="2" fillId="0" borderId="0" xfId="136" applyFont="1" applyBorder="1"/>
    <xf numFmtId="178" fontId="9" fillId="0" borderId="0" xfId="136" applyNumberFormat="1" applyFont="1" applyBorder="1"/>
    <xf numFmtId="178" fontId="89" fillId="0" borderId="0" xfId="136" applyNumberFormat="1" applyFont="1" applyBorder="1"/>
    <xf numFmtId="5" fontId="2" fillId="0" borderId="10" xfId="136" applyNumberFormat="1" applyFont="1" applyBorder="1"/>
    <xf numFmtId="176" fontId="2" fillId="0" borderId="0" xfId="167" applyNumberFormat="1" applyFont="1"/>
    <xf numFmtId="0" fontId="77" fillId="0" borderId="0" xfId="161" applyFont="1" applyFill="1" applyAlignment="1" applyProtection="1">
      <alignment horizontal="left"/>
    </xf>
    <xf numFmtId="176" fontId="2" fillId="0" borderId="0" xfId="167" applyNumberFormat="1" applyFont="1" applyFill="1" applyBorder="1"/>
    <xf numFmtId="37" fontId="5" fillId="0" borderId="0" xfId="162" applyNumberFormat="1" applyFont="1" applyFill="1" applyBorder="1"/>
    <xf numFmtId="37" fontId="5" fillId="0" borderId="6" xfId="162" applyNumberFormat="1" applyFont="1" applyFill="1" applyBorder="1"/>
    <xf numFmtId="37" fontId="2" fillId="0" borderId="0" xfId="162" applyNumberFormat="1" applyFont="1"/>
    <xf numFmtId="192" fontId="2" fillId="0" borderId="0" xfId="38" applyNumberFormat="1" applyFont="1" applyBorder="1"/>
    <xf numFmtId="165" fontId="49" fillId="0" borderId="0" xfId="161" applyNumberFormat="1" applyFont="1" applyFill="1" applyProtection="1"/>
    <xf numFmtId="10" fontId="26" fillId="0" borderId="0" xfId="141" applyNumberFormat="1" applyFont="1" applyFill="1" applyProtection="1"/>
    <xf numFmtId="0" fontId="55" fillId="0" borderId="0" xfId="141" applyFont="1" applyFill="1"/>
    <xf numFmtId="0" fontId="26" fillId="0" borderId="0" xfId="141" applyFont="1" applyAlignment="1">
      <alignment horizontal="center"/>
    </xf>
    <xf numFmtId="176" fontId="2" fillId="0" borderId="0" xfId="167" applyNumberFormat="1" applyFont="1" applyFill="1"/>
    <xf numFmtId="190" fontId="2" fillId="0" borderId="0" xfId="162" applyNumberFormat="1" applyFont="1" applyFill="1" applyBorder="1"/>
    <xf numFmtId="168" fontId="2" fillId="0" borderId="0" xfId="38" applyNumberFormat="1" applyFont="1" applyFill="1"/>
    <xf numFmtId="184" fontId="2" fillId="0" borderId="0" xfId="0" applyNumberFormat="1" applyFont="1"/>
    <xf numFmtId="37" fontId="2" fillId="0" borderId="0" xfId="153" applyFont="1" applyAlignment="1">
      <alignment horizontal="left"/>
    </xf>
    <xf numFmtId="37" fontId="2" fillId="0" borderId="5" xfId="153" applyFont="1" applyBorder="1" applyAlignment="1">
      <alignment horizontal="left"/>
    </xf>
    <xf numFmtId="37" fontId="2" fillId="0" borderId="6" xfId="153" applyFont="1" applyBorder="1" applyAlignment="1">
      <alignment horizontal="left"/>
    </xf>
    <xf numFmtId="0" fontId="26" fillId="0" borderId="0" xfId="164" applyFont="1" applyFill="1" applyAlignment="1" applyProtection="1">
      <alignment horizontal="right"/>
      <protection locked="0"/>
    </xf>
    <xf numFmtId="0" fontId="26" fillId="0" borderId="0" xfId="141" applyFont="1" applyBorder="1" applyAlignment="1" applyProtection="1">
      <alignment horizontal="center"/>
    </xf>
    <xf numFmtId="0" fontId="26" fillId="0" borderId="0" xfId="141" applyFont="1" applyBorder="1"/>
    <xf numFmtId="37" fontId="49" fillId="0" borderId="5" xfId="0" applyNumberFormat="1" applyFont="1" applyFill="1" applyBorder="1" applyProtection="1"/>
    <xf numFmtId="37" fontId="49" fillId="0" borderId="0" xfId="141" applyNumberFormat="1" applyFont="1" applyFill="1" applyProtection="1">
      <protection locked="0"/>
    </xf>
    <xf numFmtId="37" fontId="49" fillId="0" borderId="5" xfId="141" applyNumberFormat="1" applyFont="1" applyFill="1" applyBorder="1" applyProtection="1">
      <protection locked="0"/>
    </xf>
    <xf numFmtId="37" fontId="99" fillId="0" borderId="0" xfId="141" applyNumberFormat="1" applyFont="1" applyFill="1" applyProtection="1">
      <protection locked="0"/>
    </xf>
    <xf numFmtId="37" fontId="99" fillId="0" borderId="5" xfId="141" applyNumberFormat="1" applyFont="1" applyFill="1" applyBorder="1" applyProtection="1">
      <protection locked="0"/>
    </xf>
    <xf numFmtId="10" fontId="49" fillId="0" borderId="0" xfId="0" applyNumberFormat="1" applyFont="1" applyFill="1" applyProtection="1"/>
    <xf numFmtId="39" fontId="99" fillId="0" borderId="0" xfId="141" applyNumberFormat="1" applyFont="1" applyFill="1" applyAlignment="1" applyProtection="1">
      <alignment horizontal="right"/>
    </xf>
    <xf numFmtId="39" fontId="99" fillId="0" borderId="0" xfId="141" applyNumberFormat="1" applyFont="1" applyFill="1" applyProtection="1"/>
    <xf numFmtId="37" fontId="99" fillId="0" borderId="0" xfId="141" applyNumberFormat="1" applyFont="1" applyFill="1" applyProtection="1"/>
    <xf numFmtId="37" fontId="103" fillId="0" borderId="0" xfId="141" applyNumberFormat="1" applyFont="1" applyFill="1" applyProtection="1"/>
    <xf numFmtId="37" fontId="59" fillId="0" borderId="0" xfId="141" applyNumberFormat="1" applyFont="1" applyFill="1" applyProtection="1"/>
    <xf numFmtId="10" fontId="49" fillId="0" borderId="0" xfId="141" applyNumberFormat="1" applyFont="1" applyFill="1" applyProtection="1"/>
    <xf numFmtId="37" fontId="49" fillId="0" borderId="0" xfId="0" applyNumberFormat="1" applyFont="1" applyFill="1" applyBorder="1" applyProtection="1"/>
    <xf numFmtId="0" fontId="99" fillId="0" borderId="0" xfId="141" applyFont="1" applyBorder="1"/>
    <xf numFmtId="37" fontId="99" fillId="0" borderId="0" xfId="141" applyNumberFormat="1" applyFont="1" applyBorder="1" applyProtection="1"/>
    <xf numFmtId="37" fontId="26" fillId="0" borderId="0" xfId="141" applyNumberFormat="1" applyFont="1" applyBorder="1" applyProtection="1"/>
    <xf numFmtId="37" fontId="26" fillId="0" borderId="0" xfId="141" applyNumberFormat="1" applyFont="1" applyFill="1" applyBorder="1" applyProtection="1"/>
    <xf numFmtId="37" fontId="99" fillId="0" borderId="0" xfId="141" applyNumberFormat="1" applyFont="1" applyBorder="1" applyAlignment="1" applyProtection="1">
      <alignment horizontal="right"/>
    </xf>
    <xf numFmtId="0" fontId="26" fillId="0" borderId="0" xfId="141" applyFont="1" applyFill="1" applyBorder="1"/>
    <xf numFmtId="37" fontId="5" fillId="0" borderId="0" xfId="138" applyNumberFormat="1" applyFont="1" applyFill="1"/>
    <xf numFmtId="37" fontId="5" fillId="0" borderId="6" xfId="138" applyNumberFormat="1" applyFont="1" applyFill="1" applyBorder="1"/>
    <xf numFmtId="0" fontId="5" fillId="0" borderId="0" xfId="152" applyFont="1" applyFill="1" applyAlignment="1" applyProtection="1">
      <protection locked="0"/>
    </xf>
    <xf numFmtId="0" fontId="2" fillId="0" borderId="0" xfId="152" applyFont="1" applyFill="1"/>
    <xf numFmtId="0" fontId="2" fillId="0" borderId="5" xfId="152" applyFont="1" applyFill="1" applyBorder="1"/>
    <xf numFmtId="0" fontId="2" fillId="0" borderId="0" xfId="152" applyFont="1" applyFill="1" applyBorder="1"/>
    <xf numFmtId="0" fontId="2" fillId="0" borderId="0" xfId="152" applyFont="1" applyFill="1" applyBorder="1" applyAlignment="1">
      <alignment horizontal="center"/>
    </xf>
    <xf numFmtId="0" fontId="2" fillId="0" borderId="6" xfId="152" applyFont="1" applyFill="1" applyBorder="1" applyAlignment="1">
      <alignment horizontal="center"/>
    </xf>
    <xf numFmtId="5" fontId="5" fillId="0" borderId="0" xfId="138" applyNumberFormat="1" applyFont="1" applyFill="1"/>
    <xf numFmtId="37" fontId="92" fillId="0" borderId="0" xfId="138" applyNumberFormat="1" applyFont="1" applyFill="1"/>
    <xf numFmtId="37" fontId="92" fillId="0" borderId="6" xfId="138" applyNumberFormat="1" applyFont="1" applyFill="1" applyBorder="1"/>
    <xf numFmtId="5" fontId="92" fillId="0" borderId="0" xfId="138" applyNumberFormat="1" applyFont="1" applyFill="1"/>
    <xf numFmtId="37" fontId="5" fillId="0" borderId="0" xfId="138" applyNumberFormat="1" applyFont="1" applyFill="1" applyBorder="1"/>
    <xf numFmtId="37" fontId="95" fillId="0" borderId="0" xfId="139" applyFont="1" applyFill="1" applyBorder="1" applyAlignment="1">
      <alignment vertical="center"/>
    </xf>
    <xf numFmtId="188" fontId="2" fillId="0" borderId="0" xfId="162" applyNumberFormat="1" applyFont="1" applyFill="1" applyBorder="1"/>
    <xf numFmtId="37" fontId="42" fillId="11" borderId="0" xfId="139" applyFont="1" applyFill="1" applyAlignment="1">
      <alignment vertical="center"/>
    </xf>
    <xf numFmtId="37" fontId="42" fillId="17" borderId="0" xfId="139" applyFont="1" applyFill="1" applyAlignment="1">
      <alignment horizontal="center" vertical="center"/>
    </xf>
    <xf numFmtId="41" fontId="47" fillId="12" borderId="0" xfId="139" applyNumberFormat="1" applyFont="1" applyFill="1" applyAlignment="1">
      <alignment horizontal="center"/>
    </xf>
    <xf numFmtId="2" fontId="11" fillId="12" borderId="0" xfId="139" applyNumberFormat="1" applyFont="1" applyFill="1" applyBorder="1" applyAlignment="1">
      <alignment horizontal="center"/>
    </xf>
    <xf numFmtId="177" fontId="47" fillId="12" borderId="0" xfId="139" applyNumberFormat="1" applyFont="1" applyFill="1" applyBorder="1" applyAlignment="1">
      <alignment vertical="center"/>
    </xf>
    <xf numFmtId="41" fontId="95" fillId="0" borderId="0" xfId="139" applyNumberFormat="1" applyFont="1" applyFill="1" applyBorder="1"/>
    <xf numFmtId="37" fontId="11" fillId="0" borderId="0" xfId="139" applyNumberFormat="1" applyFont="1" applyFill="1" applyBorder="1"/>
    <xf numFmtId="177" fontId="11" fillId="0" borderId="0" xfId="139" applyNumberFormat="1" applyFont="1" applyFill="1" applyBorder="1" applyAlignment="1">
      <alignment vertical="center"/>
    </xf>
    <xf numFmtId="37" fontId="11" fillId="0" borderId="0" xfId="139" applyFont="1" applyFill="1" applyBorder="1" applyAlignment="1">
      <alignment vertical="center"/>
    </xf>
    <xf numFmtId="37" fontId="11" fillId="0" borderId="0" xfId="139" applyNumberFormat="1" applyFont="1" applyFill="1" applyBorder="1" applyAlignment="1">
      <alignment horizontal="right"/>
    </xf>
    <xf numFmtId="41" fontId="11" fillId="0" borderId="0" xfId="139" applyNumberFormat="1" applyFont="1" applyFill="1" applyBorder="1" applyAlignment="1">
      <alignment horizontal="right"/>
    </xf>
    <xf numFmtId="0" fontId="2" fillId="0" borderId="0" xfId="164" applyFont="1" applyAlignment="1" applyProtection="1">
      <alignment horizontal="center"/>
      <protection locked="0"/>
    </xf>
    <xf numFmtId="0" fontId="26" fillId="0" borderId="0" xfId="164" applyFont="1" applyAlignment="1" applyProtection="1">
      <alignment horizontal="center"/>
      <protection locked="0"/>
    </xf>
    <xf numFmtId="37" fontId="44" fillId="12" borderId="0" xfId="139" applyFont="1" applyFill="1" applyAlignment="1">
      <alignment horizontal="center"/>
    </xf>
    <xf numFmtId="37" fontId="44" fillId="12" borderId="0" xfId="139" applyFont="1" applyFill="1" applyAlignment="1">
      <alignment horizontal="center"/>
    </xf>
    <xf numFmtId="2" fontId="11" fillId="0" borderId="0" xfId="139" applyNumberFormat="1" applyFont="1" applyFill="1" applyBorder="1" applyAlignment="1">
      <alignment horizontal="center"/>
    </xf>
    <xf numFmtId="41" fontId="11" fillId="0" borderId="0" xfId="139" applyNumberFormat="1" applyFont="1" applyFill="1" applyBorder="1"/>
    <xf numFmtId="0" fontId="49" fillId="0" borderId="0" xfId="161" applyFont="1"/>
    <xf numFmtId="0" fontId="2" fillId="0" borderId="0" xfId="138" applyNumberFormat="1" applyFill="1" applyAlignment="1">
      <alignment horizontal="center"/>
    </xf>
    <xf numFmtId="37" fontId="42" fillId="0" borderId="0" xfId="139" applyFont="1" applyFill="1" applyBorder="1" applyAlignment="1">
      <alignment horizontal="center" vertical="center"/>
    </xf>
    <xf numFmtId="37" fontId="45" fillId="0" borderId="0" xfId="139" applyFont="1" applyFill="1" applyBorder="1" applyAlignment="1">
      <alignment horizontal="center"/>
    </xf>
    <xf numFmtId="41" fontId="47" fillId="0" borderId="0" xfId="139" applyNumberFormat="1" applyFont="1" applyFill="1" applyBorder="1"/>
    <xf numFmtId="168" fontId="42" fillId="0" borderId="0" xfId="38" applyNumberFormat="1" applyFont="1" applyFill="1"/>
    <xf numFmtId="168" fontId="45" fillId="0" borderId="22" xfId="38" applyNumberFormat="1" applyFont="1" applyFill="1" applyBorder="1" applyAlignment="1">
      <alignment horizontal="center"/>
    </xf>
    <xf numFmtId="168" fontId="61" fillId="0" borderId="23" xfId="38" applyNumberFormat="1" applyFont="1" applyFill="1" applyBorder="1" applyAlignment="1">
      <alignment horizontal="center"/>
    </xf>
    <xf numFmtId="0" fontId="11" fillId="0" borderId="0" xfId="138" applyNumberFormat="1" applyFont="1" applyAlignment="1">
      <alignment horizontal="left"/>
    </xf>
    <xf numFmtId="0" fontId="46" fillId="0" borderId="0" xfId="138" applyNumberFormat="1" applyFont="1" applyAlignment="1">
      <alignment horizontal="left"/>
    </xf>
    <xf numFmtId="0" fontId="11" fillId="0" borderId="0" xfId="138" applyNumberFormat="1" applyFont="1" applyFill="1" applyAlignment="1">
      <alignment horizontal="left"/>
    </xf>
    <xf numFmtId="0" fontId="11" fillId="0" borderId="0" xfId="139" applyNumberFormat="1" applyFont="1" applyFill="1" applyBorder="1" applyAlignment="1">
      <alignment horizontal="left"/>
    </xf>
    <xf numFmtId="0" fontId="11" fillId="0" borderId="0" xfId="139" quotePrefix="1" applyNumberFormat="1" applyFont="1" applyFill="1" applyBorder="1" applyAlignment="1">
      <alignment horizontal="left"/>
    </xf>
    <xf numFmtId="0" fontId="11" fillId="0" borderId="0" xfId="139" applyNumberFormat="1" applyFont="1" applyFill="1" applyAlignment="1">
      <alignment horizontal="left" vertical="center"/>
    </xf>
    <xf numFmtId="0" fontId="2" fillId="0" borderId="0" xfId="138" applyNumberFormat="1" applyAlignment="1">
      <alignment horizontal="left"/>
    </xf>
    <xf numFmtId="49" fontId="85" fillId="0" borderId="0" xfId="139" applyNumberFormat="1" applyFont="1" applyFill="1" applyAlignment="1">
      <alignment horizontal="center"/>
    </xf>
    <xf numFmtId="49" fontId="85" fillId="0" borderId="0" xfId="139" applyNumberFormat="1" applyFont="1" applyFill="1" applyBorder="1" applyAlignment="1">
      <alignment horizontal="center"/>
    </xf>
    <xf numFmtId="37" fontId="8" fillId="0" borderId="0" xfId="139" applyFont="1" applyFill="1" applyAlignment="1">
      <alignment vertical="top"/>
    </xf>
    <xf numFmtId="0" fontId="96" fillId="0" borderId="0" xfId="138" applyFont="1"/>
    <xf numFmtId="17" fontId="61" fillId="12" borderId="0" xfId="139" applyNumberFormat="1" applyFont="1" applyFill="1" applyAlignment="1">
      <alignment horizontal="center"/>
    </xf>
    <xf numFmtId="168" fontId="61" fillId="0" borderId="0" xfId="38" applyNumberFormat="1" applyFont="1" applyFill="1"/>
    <xf numFmtId="0" fontId="26" fillId="0" borderId="0" xfId="161" applyFont="1" applyAlignment="1">
      <alignment horizontal="left"/>
    </xf>
    <xf numFmtId="37" fontId="11" fillId="0" borderId="0" xfId="138" applyNumberFormat="1" applyFont="1" applyBorder="1" applyAlignment="1">
      <alignment horizontal="right"/>
    </xf>
    <xf numFmtId="37" fontId="45" fillId="0" borderId="0" xfId="138" applyNumberFormat="1" applyFont="1" applyBorder="1" applyAlignment="1">
      <alignment horizontal="right"/>
    </xf>
    <xf numFmtId="39" fontId="11" fillId="0" borderId="0" xfId="138" applyNumberFormat="1" applyFont="1" applyBorder="1" applyAlignment="1">
      <alignment horizontal="right"/>
    </xf>
    <xf numFmtId="0" fontId="11" fillId="0" borderId="15" xfId="138" applyFont="1" applyBorder="1"/>
    <xf numFmtId="0" fontId="11" fillId="0" borderId="16" xfId="138" applyFont="1" applyBorder="1"/>
    <xf numFmtId="37" fontId="11" fillId="0" borderId="16" xfId="138" applyNumberFormat="1" applyFont="1" applyBorder="1"/>
    <xf numFmtId="39" fontId="11" fillId="0" borderId="16" xfId="138" applyNumberFormat="1" applyFont="1" applyBorder="1" applyAlignment="1">
      <alignment horizontal="right"/>
    </xf>
    <xf numFmtId="0" fontId="11" fillId="0" borderId="17" xfId="138" applyFont="1" applyBorder="1"/>
    <xf numFmtId="0" fontId="11" fillId="5" borderId="18" xfId="138" applyFont="1" applyFill="1" applyBorder="1"/>
    <xf numFmtId="0" fontId="11" fillId="0" borderId="19" xfId="138" applyFont="1" applyBorder="1"/>
    <xf numFmtId="39" fontId="11" fillId="0" borderId="3" xfId="138" applyNumberFormat="1" applyFont="1" applyBorder="1" applyAlignment="1">
      <alignment horizontal="right"/>
    </xf>
    <xf numFmtId="0" fontId="11" fillId="0" borderId="21" xfId="138" applyFont="1" applyBorder="1"/>
    <xf numFmtId="37" fontId="11" fillId="14" borderId="0" xfId="138" applyNumberFormat="1" applyFont="1" applyFill="1" applyBorder="1"/>
    <xf numFmtId="37" fontId="45" fillId="14" borderId="0" xfId="138" applyNumberFormat="1" applyFont="1" applyFill="1" applyBorder="1"/>
    <xf numFmtId="37" fontId="45" fillId="0" borderId="0" xfId="138" applyNumberFormat="1" applyFont="1" applyFill="1" applyBorder="1"/>
    <xf numFmtId="37" fontId="6" fillId="0" borderId="0" xfId="164" applyNumberFormat="1" applyFont="1" applyFill="1" applyProtection="1">
      <protection locked="0"/>
    </xf>
    <xf numFmtId="37" fontId="95" fillId="0" borderId="0" xfId="138" applyNumberFormat="1" applyFont="1" applyFill="1"/>
    <xf numFmtId="37" fontId="95" fillId="0" borderId="0" xfId="138" applyNumberFormat="1" applyFont="1" applyFill="1" applyBorder="1"/>
    <xf numFmtId="41" fontId="97" fillId="0" borderId="0" xfId="139" applyNumberFormat="1" applyFont="1" applyFill="1" applyBorder="1"/>
    <xf numFmtId="41" fontId="98" fillId="0" borderId="0" xfId="139" applyNumberFormat="1" applyFont="1" applyFill="1" applyBorder="1"/>
    <xf numFmtId="37" fontId="42" fillId="10" borderId="0" xfId="139" applyNumberFormat="1" applyFont="1" applyFill="1" applyAlignment="1">
      <alignment vertical="center"/>
    </xf>
    <xf numFmtId="37" fontId="42" fillId="0" borderId="0" xfId="139" applyNumberFormat="1" applyFont="1" applyFill="1" applyBorder="1" applyAlignment="1">
      <alignment horizontal="center"/>
    </xf>
    <xf numFmtId="37" fontId="42" fillId="0" borderId="0" xfId="139" applyFont="1" applyFill="1" applyAlignment="1">
      <alignment vertical="center"/>
    </xf>
    <xf numFmtId="37" fontId="11" fillId="0" borderId="0" xfId="139" applyNumberFormat="1" applyFont="1" applyFill="1" applyAlignment="1">
      <alignment vertical="center"/>
    </xf>
    <xf numFmtId="37" fontId="100" fillId="0" borderId="0" xfId="139" applyFont="1" applyFill="1" applyBorder="1" applyAlignment="1">
      <alignment vertical="center"/>
    </xf>
    <xf numFmtId="39" fontId="46" fillId="0" borderId="18" xfId="138" applyNumberFormat="1" applyFont="1" applyFill="1" applyBorder="1"/>
    <xf numFmtId="37" fontId="42" fillId="0" borderId="0" xfId="139" applyFont="1" applyFill="1" applyBorder="1" applyAlignment="1">
      <alignment vertical="center"/>
    </xf>
    <xf numFmtId="0" fontId="11" fillId="0" borderId="0" xfId="139" applyNumberFormat="1" applyFont="1" applyFill="1" applyAlignment="1">
      <alignment horizontal="center" vertical="center"/>
    </xf>
    <xf numFmtId="0" fontId="46" fillId="0" borderId="0" xfId="138" applyNumberFormat="1" applyFont="1" applyFill="1" applyAlignment="1">
      <alignment horizontal="left"/>
    </xf>
    <xf numFmtId="168" fontId="11" fillId="0" borderId="23" xfId="38" applyNumberFormat="1" applyFont="1" applyFill="1" applyBorder="1"/>
    <xf numFmtId="37" fontId="85" fillId="0" borderId="0" xfId="139" applyFont="1" applyFill="1" applyAlignment="1" applyProtection="1">
      <alignment vertical="center"/>
      <protection locked="0"/>
    </xf>
    <xf numFmtId="0" fontId="49" fillId="0" borderId="0" xfId="161" applyNumberFormat="1" applyFont="1" applyAlignment="1" applyProtection="1">
      <alignment horizontal="left"/>
      <protection locked="0"/>
    </xf>
    <xf numFmtId="168" fontId="11" fillId="0" borderId="0" xfId="138" applyNumberFormat="1" applyFont="1" applyFill="1"/>
    <xf numFmtId="168" fontId="11" fillId="0" borderId="0" xfId="138" applyNumberFormat="1" applyFont="1"/>
    <xf numFmtId="17" fontId="79" fillId="0" borderId="0" xfId="138" applyNumberFormat="1" applyFont="1" applyFill="1" applyAlignment="1">
      <alignment horizontal="center"/>
    </xf>
    <xf numFmtId="0" fontId="46" fillId="0" borderId="0" xfId="138" applyFont="1" applyFill="1"/>
    <xf numFmtId="37" fontId="11" fillId="0" borderId="0" xfId="139" applyFont="1" applyFill="1" applyAlignment="1" applyProtection="1">
      <alignment vertical="center"/>
      <protection locked="0"/>
    </xf>
    <xf numFmtId="37" fontId="42" fillId="0" borderId="0" xfId="139" applyNumberFormat="1" applyFont="1" applyFill="1" applyAlignment="1">
      <alignment vertical="center"/>
    </xf>
    <xf numFmtId="37" fontId="11" fillId="0" borderId="0" xfId="139" applyNumberFormat="1" applyFont="1" applyFill="1" applyBorder="1" applyAlignment="1">
      <alignment horizontal="left"/>
    </xf>
    <xf numFmtId="0" fontId="11" fillId="0" borderId="0" xfId="139" applyNumberFormat="1" applyFont="1" applyFill="1" applyBorder="1" applyAlignment="1"/>
    <xf numFmtId="2" fontId="11" fillId="0" borderId="0" xfId="139" applyNumberFormat="1" applyFont="1" applyFill="1" applyBorder="1" applyAlignment="1"/>
    <xf numFmtId="0" fontId="105" fillId="0" borderId="0" xfId="162" applyFont="1" applyAlignment="1">
      <alignment horizontal="center"/>
    </xf>
    <xf numFmtId="0" fontId="105" fillId="0" borderId="0" xfId="162" applyFont="1"/>
    <xf numFmtId="0" fontId="105" fillId="0" borderId="0" xfId="162" applyFont="1" applyBorder="1"/>
    <xf numFmtId="37" fontId="105" fillId="0" borderId="0" xfId="162" applyNumberFormat="1" applyFont="1" applyBorder="1"/>
    <xf numFmtId="176" fontId="105" fillId="0" borderId="0" xfId="167" applyNumberFormat="1" applyFont="1" applyBorder="1"/>
    <xf numFmtId="37" fontId="2" fillId="0" borderId="0" xfId="162" applyNumberFormat="1" applyFont="1" applyFill="1"/>
    <xf numFmtId="43" fontId="90" fillId="0" borderId="0" xfId="87" applyFont="1" applyFill="1" applyBorder="1"/>
    <xf numFmtId="43" fontId="2" fillId="0" borderId="0" xfId="162" applyNumberFormat="1" applyFont="1" applyFill="1" applyBorder="1"/>
    <xf numFmtId="2" fontId="2" fillId="0" borderId="0" xfId="162" applyNumberFormat="1" applyFont="1" applyFill="1" applyBorder="1"/>
    <xf numFmtId="43" fontId="2" fillId="0" borderId="0" xfId="38" applyFont="1" applyFill="1" applyBorder="1"/>
    <xf numFmtId="0" fontId="2" fillId="0" borderId="0" xfId="162" quotePrefix="1" applyFont="1" applyFill="1" applyBorder="1"/>
    <xf numFmtId="168" fontId="92" fillId="0" borderId="0" xfId="38" applyNumberFormat="1" applyFont="1" applyFill="1" applyBorder="1"/>
    <xf numFmtId="43" fontId="0" fillId="0" borderId="0" xfId="38" applyFont="1"/>
    <xf numFmtId="0" fontId="5" fillId="0" borderId="6" xfId="145" quotePrefix="1" applyFont="1" applyFill="1" applyBorder="1" applyAlignment="1" applyProtection="1">
      <alignment horizontal="center"/>
    </xf>
    <xf numFmtId="0" fontId="93" fillId="0" borderId="0" xfId="145" applyFont="1"/>
    <xf numFmtId="43" fontId="0" fillId="0" borderId="0" xfId="38" applyNumberFormat="1" applyFont="1"/>
    <xf numFmtId="37" fontId="7" fillId="5" borderId="0" xfId="147" applyNumberFormat="1" applyFont="1" applyFill="1" applyProtection="1"/>
    <xf numFmtId="0" fontId="2" fillId="0" borderId="0" xfId="138" applyFont="1" applyAlignment="1">
      <alignment horizontal="center"/>
    </xf>
    <xf numFmtId="0" fontId="26" fillId="0" borderId="0" xfId="161" applyFont="1" applyFill="1" applyAlignment="1" applyProtection="1">
      <alignment horizontal="center"/>
      <protection locked="0"/>
    </xf>
    <xf numFmtId="0" fontId="26" fillId="0" borderId="8" xfId="161" applyFont="1" applyFill="1" applyBorder="1" applyAlignment="1" applyProtection="1">
      <alignment horizontal="center"/>
    </xf>
    <xf numFmtId="0" fontId="26" fillId="0" borderId="5" xfId="161" applyFont="1" applyFill="1" applyBorder="1" applyAlignment="1" applyProtection="1">
      <alignment horizontal="center"/>
    </xf>
    <xf numFmtId="0" fontId="1" fillId="0" borderId="0" xfId="145" applyFont="1"/>
    <xf numFmtId="37" fontId="1" fillId="0" borderId="7" xfId="145" applyNumberFormat="1" applyFont="1" applyBorder="1" applyProtection="1"/>
    <xf numFmtId="37" fontId="1" fillId="0" borderId="10" xfId="145" applyNumberFormat="1" applyFont="1" applyBorder="1" applyProtection="1"/>
    <xf numFmtId="37" fontId="92" fillId="0" borderId="0" xfId="150" applyFont="1" applyFill="1" applyProtection="1"/>
    <xf numFmtId="37" fontId="92" fillId="0" borderId="6" xfId="150" applyFont="1" applyFill="1" applyBorder="1" applyProtection="1"/>
    <xf numFmtId="37" fontId="93" fillId="0" borderId="0" xfId="150" applyFont="1" applyBorder="1"/>
    <xf numFmtId="37" fontId="5" fillId="0" borderId="0" xfId="150" applyNumberFormat="1" applyFont="1" applyFill="1" applyProtection="1"/>
    <xf numFmtId="37" fontId="5" fillId="0" borderId="6" xfId="150" applyNumberFormat="1" applyFont="1" applyFill="1" applyBorder="1" applyProtection="1"/>
    <xf numFmtId="37" fontId="4" fillId="0" borderId="0" xfId="150" applyFont="1" applyFill="1" applyAlignment="1" applyProtection="1">
      <alignment horizontal="right"/>
    </xf>
    <xf numFmtId="37" fontId="4" fillId="0" borderId="0" xfId="150" applyFont="1" applyFill="1"/>
    <xf numFmtId="2" fontId="4" fillId="0" borderId="0" xfId="150" applyNumberFormat="1" applyFont="1" applyFill="1" applyProtection="1"/>
    <xf numFmtId="37" fontId="1" fillId="0" borderId="0" xfId="150" applyFont="1" applyFill="1" applyAlignment="1" applyProtection="1">
      <alignment horizontal="left"/>
    </xf>
    <xf numFmtId="37" fontId="2" fillId="0" borderId="0" xfId="150" applyFont="1" applyFill="1" applyProtection="1"/>
    <xf numFmtId="37" fontId="5" fillId="0" borderId="6" xfId="150" applyFont="1" applyFill="1" applyBorder="1" applyProtection="1"/>
    <xf numFmtId="170" fontId="4" fillId="0" borderId="0" xfId="150" applyNumberFormat="1" applyFont="1" applyFill="1" applyProtection="1"/>
    <xf numFmtId="0" fontId="1" fillId="0" borderId="0" xfId="138" applyFont="1" applyAlignment="1">
      <alignment horizontal="center"/>
    </xf>
    <xf numFmtId="0" fontId="10" fillId="0" borderId="0" xfId="140"/>
    <xf numFmtId="0" fontId="1" fillId="0" borderId="0" xfId="138" applyFont="1"/>
    <xf numFmtId="37" fontId="1" fillId="0" borderId="0" xfId="138" applyNumberFormat="1" applyFont="1"/>
    <xf numFmtId="0" fontId="1" fillId="0" borderId="0" xfId="138" applyFont="1" applyFill="1" applyBorder="1"/>
    <xf numFmtId="0" fontId="10" fillId="0" borderId="0" xfId="140" applyFill="1"/>
    <xf numFmtId="37" fontId="1" fillId="0" borderId="0" xfId="138" applyNumberFormat="1" applyFont="1" applyFill="1" applyBorder="1"/>
    <xf numFmtId="43" fontId="1" fillId="0" borderId="0" xfId="67" applyFont="1" applyFill="1"/>
    <xf numFmtId="0" fontId="1" fillId="0" borderId="0" xfId="138" quotePrefix="1" applyFont="1" applyFill="1" applyAlignment="1">
      <alignment horizontal="left" indent="1"/>
    </xf>
    <xf numFmtId="2" fontId="1" fillId="0" borderId="0" xfId="138" applyNumberFormat="1" applyFont="1" applyFill="1" applyAlignment="1">
      <alignment horizontal="center"/>
    </xf>
    <xf numFmtId="0" fontId="5" fillId="0" borderId="0" xfId="147" applyFont="1" applyFill="1" applyBorder="1" applyAlignment="1">
      <alignment horizontal="right"/>
    </xf>
    <xf numFmtId="0" fontId="5" fillId="0" borderId="0" xfId="138" applyFont="1" applyFill="1" applyBorder="1" applyAlignment="1">
      <alignment horizontal="right"/>
    </xf>
    <xf numFmtId="37" fontId="7" fillId="0" borderId="0" xfId="138" applyNumberFormat="1" applyFont="1" applyFill="1"/>
    <xf numFmtId="0" fontId="1" fillId="0" borderId="0" xfId="138" applyFont="1" applyFill="1" applyAlignment="1">
      <alignment horizontal="left" indent="1"/>
    </xf>
    <xf numFmtId="37" fontId="1" fillId="0" borderId="0" xfId="138" applyNumberFormat="1" applyFont="1" applyFill="1"/>
    <xf numFmtId="175" fontId="1" fillId="0" borderId="0" xfId="147" applyNumberFormat="1" applyFont="1" applyFill="1" applyBorder="1" applyAlignment="1">
      <alignment horizontal="right"/>
    </xf>
    <xf numFmtId="174" fontId="1" fillId="0" borderId="0" xfId="138" applyNumberFormat="1" applyFont="1" applyFill="1" applyBorder="1" applyAlignment="1">
      <alignment horizontal="right"/>
    </xf>
    <xf numFmtId="0" fontId="1" fillId="0" borderId="0" xfId="138" applyFont="1" applyFill="1"/>
    <xf numFmtId="37" fontId="1" fillId="0" borderId="0" xfId="138" applyNumberFormat="1" applyFont="1" applyFill="1" applyBorder="1" applyAlignment="1">
      <alignment horizontal="center"/>
    </xf>
    <xf numFmtId="194" fontId="5" fillId="0" borderId="0" xfId="38" applyNumberFormat="1" applyFont="1" applyFill="1" applyBorder="1" applyAlignment="1">
      <alignment horizontal="right"/>
    </xf>
    <xf numFmtId="0" fontId="1" fillId="0" borderId="0" xfId="0" applyFont="1" applyFill="1" applyAlignment="1">
      <alignment horizontal="left" indent="1"/>
    </xf>
    <xf numFmtId="174" fontId="5" fillId="0" borderId="0" xfId="138" applyNumberFormat="1" applyFont="1" applyFill="1" applyBorder="1" applyAlignment="1">
      <alignment horizontal="right"/>
    </xf>
    <xf numFmtId="14" fontId="76" fillId="0" borderId="0" xfId="140" applyNumberFormat="1" applyFont="1" applyFill="1" applyAlignment="1">
      <alignment horizontal="center"/>
    </xf>
    <xf numFmtId="37" fontId="1" fillId="0" borderId="0" xfId="138" applyNumberFormat="1" applyFont="1" applyFill="1" applyAlignment="1">
      <alignment horizontal="center"/>
    </xf>
    <xf numFmtId="0" fontId="1" fillId="0" borderId="0" xfId="138" applyFont="1" applyFill="1" applyAlignment="1">
      <alignment horizontal="center"/>
    </xf>
    <xf numFmtId="37" fontId="6" fillId="0" borderId="0" xfId="138" applyNumberFormat="1" applyFont="1" applyFill="1" applyAlignment="1">
      <alignment horizontal="center"/>
    </xf>
    <xf numFmtId="0" fontId="1" fillId="0" borderId="0" xfId="138" quotePrefix="1" applyFont="1" applyAlignment="1">
      <alignment horizontal="center"/>
    </xf>
    <xf numFmtId="0" fontId="1" fillId="0" borderId="0" xfId="138" quotePrefix="1" applyFont="1" applyFill="1" applyAlignment="1">
      <alignment horizontal="center"/>
    </xf>
    <xf numFmtId="168" fontId="106" fillId="0" borderId="0" xfId="38" applyNumberFormat="1" applyFont="1" applyFill="1"/>
    <xf numFmtId="43" fontId="10" fillId="0" borderId="0" xfId="140" applyNumberFormat="1" applyFill="1"/>
    <xf numFmtId="0" fontId="1" fillId="0" borderId="0" xfId="138" applyFont="1" applyAlignment="1">
      <alignment horizontal="left" indent="1"/>
    </xf>
    <xf numFmtId="0" fontId="8" fillId="0" borderId="0" xfId="138" applyFont="1" applyFill="1" applyAlignment="1">
      <alignment horizontal="left" indent="1"/>
    </xf>
    <xf numFmtId="2" fontId="8" fillId="0" borderId="0" xfId="138" applyNumberFormat="1" applyFont="1" applyFill="1" applyAlignment="1">
      <alignment horizontal="center"/>
    </xf>
    <xf numFmtId="37" fontId="14" fillId="0" borderId="0" xfId="138" applyNumberFormat="1" applyFont="1" applyFill="1"/>
    <xf numFmtId="174" fontId="8" fillId="0" borderId="0" xfId="138" applyNumberFormat="1" applyFont="1" applyFill="1" applyBorder="1" applyAlignment="1">
      <alignment horizontal="right"/>
    </xf>
    <xf numFmtId="37" fontId="68" fillId="0" borderId="0" xfId="138" applyNumberFormat="1" applyFont="1" applyFill="1" applyBorder="1"/>
    <xf numFmtId="37" fontId="2" fillId="0" borderId="2" xfId="138" applyNumberFormat="1" applyFont="1" applyFill="1" applyBorder="1"/>
    <xf numFmtId="0" fontId="10" fillId="0" borderId="0" xfId="140" applyFont="1"/>
    <xf numFmtId="37" fontId="1" fillId="0" borderId="6" xfId="138" applyNumberFormat="1" applyFont="1" applyFill="1" applyBorder="1"/>
    <xf numFmtId="0" fontId="1" fillId="0" borderId="0" xfId="147" applyFont="1"/>
    <xf numFmtId="0" fontId="4" fillId="5" borderId="0" xfId="147" applyFont="1" applyFill="1" applyAlignment="1" applyProtection="1">
      <alignment horizontal="center"/>
    </xf>
    <xf numFmtId="0" fontId="4" fillId="0" borderId="0" xfId="147" applyFont="1" applyAlignment="1">
      <alignment horizontal="center"/>
    </xf>
    <xf numFmtId="0" fontId="1" fillId="0" borderId="5" xfId="0" applyFont="1" applyFill="1" applyBorder="1" applyAlignment="1" applyProtection="1">
      <alignment horizontal="center"/>
    </xf>
    <xf numFmtId="39" fontId="1" fillId="5" borderId="0" xfId="145" applyNumberFormat="1" applyFont="1" applyFill="1" applyAlignment="1" applyProtection="1">
      <alignment horizontal="left"/>
    </xf>
    <xf numFmtId="39" fontId="1" fillId="0" borderId="0" xfId="145" applyNumberFormat="1" applyFont="1" applyAlignment="1" applyProtection="1">
      <alignment horizontal="left"/>
    </xf>
    <xf numFmtId="0" fontId="4" fillId="0" borderId="0" xfId="145" applyFont="1" applyFill="1" applyProtection="1"/>
    <xf numFmtId="2" fontId="4" fillId="0" borderId="0" xfId="145" applyNumberFormat="1" applyFont="1" applyFill="1" applyProtection="1"/>
    <xf numFmtId="37" fontId="68" fillId="0" borderId="0" xfId="145" applyNumberFormat="1" applyFont="1" applyFill="1" applyBorder="1" applyProtection="1"/>
    <xf numFmtId="39" fontId="1" fillId="0" borderId="0" xfId="148" applyNumberFormat="1" applyFont="1" applyAlignment="1" applyProtection="1">
      <alignment horizontal="left"/>
    </xf>
    <xf numFmtId="0" fontId="93" fillId="0" borderId="0" xfId="165" applyFont="1"/>
    <xf numFmtId="2" fontId="4" fillId="0" borderId="0" xfId="145" applyNumberFormat="1" applyFont="1" applyFill="1"/>
    <xf numFmtId="195" fontId="46" fillId="0" borderId="0" xfId="138" quotePrefix="1" applyNumberFormat="1" applyFont="1" applyFill="1" applyAlignment="1">
      <alignment horizontal="left" vertical="center"/>
    </xf>
    <xf numFmtId="37" fontId="107" fillId="0" borderId="0" xfId="38" applyNumberFormat="1" applyFont="1" applyFill="1" applyAlignment="1">
      <alignment horizontal="right"/>
    </xf>
    <xf numFmtId="37" fontId="65" fillId="0" borderId="0" xfId="0" applyNumberFormat="1" applyFont="1" applyFill="1" applyBorder="1" applyAlignment="1">
      <alignment horizontal="right"/>
    </xf>
    <xf numFmtId="169" fontId="107" fillId="0" borderId="0" xfId="0" applyNumberFormat="1" applyFont="1" applyFill="1"/>
    <xf numFmtId="169" fontId="65" fillId="0" borderId="0" xfId="0" applyNumberFormat="1" applyFont="1" applyFill="1"/>
    <xf numFmtId="168" fontId="95" fillId="0" borderId="0" xfId="38" applyNumberFormat="1" applyFont="1" applyBorder="1"/>
    <xf numFmtId="0" fontId="46" fillId="0" borderId="0" xfId="0" applyFont="1" applyBorder="1"/>
    <xf numFmtId="37" fontId="65" fillId="0" borderId="0" xfId="0" applyNumberFormat="1" applyFont="1" applyFill="1" applyAlignment="1">
      <alignment horizontal="right"/>
    </xf>
    <xf numFmtId="168" fontId="108" fillId="0" borderId="0" xfId="38" applyNumberFormat="1" applyFont="1" applyBorder="1"/>
    <xf numFmtId="179" fontId="74" fillId="0" borderId="0" xfId="0" applyNumberFormat="1" applyFont="1" applyBorder="1"/>
    <xf numFmtId="189" fontId="68" fillId="0" borderId="0" xfId="154" applyNumberFormat="1" applyFont="1" applyFill="1" applyProtection="1"/>
    <xf numFmtId="0" fontId="2" fillId="0" borderId="0" xfId="154" applyFont="1" applyFill="1"/>
    <xf numFmtId="37" fontId="109" fillId="0" borderId="0" xfId="138" applyNumberFormat="1" applyFont="1" applyFill="1" applyBorder="1" applyAlignment="1">
      <alignment horizontal="right"/>
    </xf>
    <xf numFmtId="0" fontId="1" fillId="5" borderId="0" xfId="147" quotePrefix="1" applyFont="1" applyFill="1"/>
    <xf numFmtId="0" fontId="1" fillId="5" borderId="0" xfId="147" applyFont="1" applyFill="1"/>
    <xf numFmtId="0" fontId="1" fillId="0" borderId="0" xfId="147" quotePrefix="1" applyFont="1"/>
    <xf numFmtId="0" fontId="4" fillId="0" borderId="0" xfId="145" applyFont="1" applyFill="1" applyAlignment="1" applyProtection="1">
      <alignment horizontal="center"/>
    </xf>
    <xf numFmtId="0" fontId="5" fillId="0" borderId="0" xfId="145" applyFont="1" applyFill="1" applyAlignment="1" applyProtection="1">
      <alignment horizontal="center"/>
    </xf>
    <xf numFmtId="0" fontId="68" fillId="0" borderId="0" xfId="145" applyFont="1" applyFill="1" applyAlignment="1" applyProtection="1">
      <alignment horizontal="center"/>
    </xf>
    <xf numFmtId="0" fontId="5" fillId="0" borderId="0" xfId="145" quotePrefix="1" applyFont="1" applyFill="1" applyBorder="1" applyAlignment="1" applyProtection="1">
      <alignment horizontal="center"/>
    </xf>
    <xf numFmtId="17" fontId="4" fillId="0" borderId="0" xfId="145" applyNumberFormat="1" applyFont="1" applyFill="1" applyBorder="1" applyAlignment="1" applyProtection="1">
      <alignment horizontal="center"/>
    </xf>
    <xf numFmtId="0" fontId="2" fillId="0" borderId="0" xfId="145" applyFont="1" applyFill="1" applyBorder="1" applyAlignment="1" applyProtection="1">
      <alignment horizontal="right"/>
    </xf>
    <xf numFmtId="37" fontId="1" fillId="0" borderId="0" xfId="145" applyNumberFormat="1" applyFont="1" applyFill="1" applyBorder="1" applyProtection="1"/>
    <xf numFmtId="43" fontId="4" fillId="0" borderId="0" xfId="38" applyFont="1"/>
    <xf numFmtId="43" fontId="4" fillId="0" borderId="0" xfId="147" applyNumberFormat="1" applyFont="1"/>
    <xf numFmtId="49" fontId="49" fillId="0" borderId="6" xfId="164" applyNumberFormat="1" applyFont="1" applyFill="1" applyBorder="1" applyAlignment="1">
      <alignment horizontal="center"/>
    </xf>
    <xf numFmtId="0" fontId="26" fillId="0" borderId="5" xfId="164" applyFont="1" applyFill="1" applyBorder="1" applyAlignment="1" applyProtection="1">
      <alignment horizontal="center"/>
      <protection locked="0"/>
    </xf>
    <xf numFmtId="0" fontId="26" fillId="0" borderId="5" xfId="164" applyFont="1" applyFill="1" applyBorder="1" applyAlignment="1" applyProtection="1">
      <alignment horizontal="center"/>
    </xf>
    <xf numFmtId="37" fontId="44" fillId="0" borderId="0" xfId="139" applyFont="1" applyFill="1" applyAlignment="1"/>
    <xf numFmtId="0" fontId="63" fillId="0" borderId="0" xfId="154" applyFont="1" applyFill="1"/>
    <xf numFmtId="189" fontId="102" fillId="0" borderId="5" xfId="154" applyNumberFormat="1" applyFont="1" applyFill="1" applyBorder="1" applyProtection="1"/>
    <xf numFmtId="0" fontId="96" fillId="0" borderId="0" xfId="0" applyFont="1" applyBorder="1"/>
    <xf numFmtId="10" fontId="96" fillId="0" borderId="0" xfId="167" applyNumberFormat="1" applyFont="1" applyBorder="1"/>
    <xf numFmtId="37" fontId="96" fillId="0" borderId="0" xfId="0" applyNumberFormat="1" applyFont="1" applyFill="1" applyBorder="1"/>
    <xf numFmtId="37" fontId="96" fillId="0" borderId="0" xfId="0" applyNumberFormat="1" applyFont="1" applyBorder="1"/>
    <xf numFmtId="0" fontId="26" fillId="12" borderId="0" xfId="161" applyFont="1" applyFill="1"/>
    <xf numFmtId="37" fontId="26" fillId="12" borderId="0" xfId="161" applyNumberFormat="1" applyFont="1" applyFill="1" applyProtection="1"/>
    <xf numFmtId="0" fontId="1" fillId="0" borderId="0" xfId="166" applyFont="1"/>
    <xf numFmtId="168" fontId="1" fillId="0" borderId="0" xfId="38" applyNumberFormat="1" applyFont="1"/>
    <xf numFmtId="37" fontId="1" fillId="15" borderId="0" xfId="153" applyFont="1" applyFill="1" applyAlignment="1">
      <alignment horizontal="center"/>
    </xf>
    <xf numFmtId="37" fontId="2" fillId="15" borderId="0" xfId="153" applyFont="1" applyFill="1" applyAlignment="1">
      <alignment horizontal="center"/>
    </xf>
    <xf numFmtId="37" fontId="1" fillId="15" borderId="0" xfId="153" quotePrefix="1" applyFont="1" applyFill="1" applyAlignment="1">
      <alignment horizontal="center"/>
    </xf>
    <xf numFmtId="37" fontId="1" fillId="15" borderId="0" xfId="153" applyFont="1" applyFill="1"/>
    <xf numFmtId="37" fontId="2" fillId="15" borderId="0" xfId="153" applyFont="1" applyFill="1"/>
    <xf numFmtId="37" fontId="1" fillId="15" borderId="6" xfId="153" applyFont="1" applyFill="1" applyBorder="1"/>
    <xf numFmtId="37" fontId="2" fillId="15" borderId="6" xfId="153" applyFont="1" applyFill="1" applyBorder="1"/>
    <xf numFmtId="37" fontId="1" fillId="15" borderId="0" xfId="153" applyFont="1" applyFill="1" applyBorder="1"/>
    <xf numFmtId="37" fontId="2" fillId="15" borderId="0" xfId="153" applyFont="1" applyFill="1" applyBorder="1"/>
    <xf numFmtId="37" fontId="2" fillId="15" borderId="5" xfId="153" applyFont="1" applyFill="1" applyBorder="1"/>
    <xf numFmtId="37" fontId="9" fillId="15" borderId="0" xfId="153" applyFill="1"/>
    <xf numFmtId="168" fontId="1" fillId="0" borderId="0" xfId="38" quotePrefix="1" applyNumberFormat="1" applyFont="1" applyFill="1" applyAlignment="1">
      <alignment horizontal="center"/>
    </xf>
    <xf numFmtId="168" fontId="1" fillId="0" borderId="0" xfId="0" applyNumberFormat="1" applyFont="1"/>
    <xf numFmtId="168" fontId="2" fillId="0" borderId="6" xfId="38" applyNumberFormat="1" applyFont="1" applyBorder="1"/>
    <xf numFmtId="168" fontId="8" fillId="0" borderId="0" xfId="38" applyNumberFormat="1" applyFont="1" applyFill="1"/>
    <xf numFmtId="0" fontId="1" fillId="0" borderId="0" xfId="0" applyFont="1" applyAlignment="1" applyProtection="1">
      <alignment horizontal="left"/>
    </xf>
    <xf numFmtId="10" fontId="5" fillId="0" borderId="0" xfId="163" applyNumberFormat="1" applyFont="1" applyFill="1"/>
    <xf numFmtId="37" fontId="5" fillId="0" borderId="5" xfId="163" applyNumberFormat="1" applyFont="1" applyFill="1" applyBorder="1"/>
    <xf numFmtId="0" fontId="92" fillId="0" borderId="5" xfId="163" applyFont="1" applyFill="1" applyBorder="1" applyAlignment="1">
      <alignment horizontal="right"/>
    </xf>
    <xf numFmtId="177" fontId="5" fillId="0" borderId="0" xfId="159" applyNumberFormat="1" applyFont="1" applyFill="1" applyProtection="1"/>
    <xf numFmtId="37" fontId="7" fillId="0" borderId="0" xfId="159" applyNumberFormat="1" applyFont="1" applyFill="1" applyBorder="1" applyProtection="1"/>
    <xf numFmtId="0" fontId="1" fillId="0" borderId="0" xfId="158" applyFont="1" applyFill="1" applyBorder="1"/>
    <xf numFmtId="0" fontId="1" fillId="0" borderId="0" xfId="158" applyFont="1" applyFill="1"/>
    <xf numFmtId="10" fontId="68" fillId="0" borderId="0" xfId="163" applyNumberFormat="1" applyFont="1" applyFill="1"/>
    <xf numFmtId="10" fontId="2" fillId="0" borderId="0" xfId="0" applyNumberFormat="1" applyFont="1" applyFill="1"/>
    <xf numFmtId="37" fontId="93" fillId="0" borderId="0" xfId="159" applyNumberFormat="1" applyFont="1" applyFill="1" applyProtection="1"/>
    <xf numFmtId="0" fontId="93" fillId="0" borderId="0" xfId="159" applyFont="1" applyFill="1"/>
    <xf numFmtId="0" fontId="2" fillId="5" borderId="0" xfId="147" applyFont="1" applyFill="1" applyAlignment="1" applyProtection="1">
      <alignment horizontal="center"/>
    </xf>
    <xf numFmtId="14" fontId="92" fillId="0" borderId="6" xfId="152" applyNumberFormat="1" applyFont="1" applyFill="1" applyBorder="1" applyAlignment="1">
      <alignment horizontal="center"/>
    </xf>
    <xf numFmtId="0" fontId="2" fillId="0" borderId="0" xfId="152" applyFont="1" applyFill="1" applyAlignment="1" applyProtection="1">
      <alignment horizontal="left"/>
    </xf>
    <xf numFmtId="0" fontId="2" fillId="0" borderId="0" xfId="152" applyFont="1" applyFill="1" applyAlignment="1" applyProtection="1">
      <alignment horizontal="right"/>
      <protection locked="0"/>
    </xf>
    <xf numFmtId="0" fontId="1" fillId="0" borderId="0" xfId="152" applyFont="1" applyBorder="1" applyAlignment="1" applyProtection="1">
      <protection locked="0"/>
    </xf>
    <xf numFmtId="0" fontId="4" fillId="0" borderId="0" xfId="147" applyFont="1" applyFill="1" applyAlignment="1" applyProtection="1">
      <alignment horizontal="center"/>
    </xf>
    <xf numFmtId="0" fontId="4" fillId="0" borderId="0" xfId="147" applyFont="1" applyAlignment="1">
      <alignment horizontal="center"/>
    </xf>
    <xf numFmtId="178" fontId="5" fillId="0" borderId="0" xfId="136" applyNumberFormat="1" applyFont="1" applyFill="1"/>
    <xf numFmtId="0" fontId="93" fillId="0" borderId="0" xfId="145" applyFont="1" applyFill="1"/>
    <xf numFmtId="0" fontId="5" fillId="0" borderId="5" xfId="0" applyFont="1" applyFill="1" applyBorder="1" applyAlignment="1" applyProtection="1">
      <alignment horizontal="right"/>
    </xf>
    <xf numFmtId="39" fontId="26" fillId="0" borderId="0" xfId="0" applyNumberFormat="1" applyFont="1" applyFill="1" applyProtection="1"/>
    <xf numFmtId="37" fontId="26" fillId="0" borderId="0" xfId="0" applyNumberFormat="1" applyFont="1" applyFill="1" applyAlignment="1" applyProtection="1">
      <alignment horizontal="right"/>
    </xf>
    <xf numFmtId="176" fontId="26" fillId="0" borderId="0" xfId="0" applyNumberFormat="1" applyFont="1" applyFill="1" applyProtection="1"/>
    <xf numFmtId="39" fontId="92" fillId="0" borderId="0" xfId="162" applyNumberFormat="1" applyFont="1" applyFill="1" applyBorder="1"/>
    <xf numFmtId="0" fontId="26" fillId="0" borderId="6" xfId="164" applyFont="1" applyBorder="1" applyAlignment="1" applyProtection="1">
      <alignment horizontal="right"/>
      <protection locked="0"/>
    </xf>
    <xf numFmtId="0" fontId="26" fillId="0" borderId="5" xfId="141" applyFont="1" applyFill="1" applyBorder="1" applyAlignment="1" applyProtection="1">
      <alignment horizontal="right"/>
    </xf>
    <xf numFmtId="0" fontId="77" fillId="0" borderId="5" xfId="141" applyFont="1" applyFill="1" applyBorder="1"/>
    <xf numFmtId="0" fontId="26" fillId="0" borderId="5" xfId="141" applyFont="1" applyFill="1" applyBorder="1"/>
    <xf numFmtId="37" fontId="5" fillId="0" borderId="0" xfId="162" applyNumberFormat="1" applyFont="1" applyFill="1" applyBorder="1" applyAlignment="1">
      <alignment horizontal="right"/>
    </xf>
    <xf numFmtId="37" fontId="5" fillId="0" borderId="6" xfId="162" applyNumberFormat="1" applyFont="1" applyFill="1" applyBorder="1" applyAlignment="1">
      <alignment horizontal="right"/>
    </xf>
    <xf numFmtId="0" fontId="2" fillId="0" borderId="0" xfId="138" applyFont="1" applyAlignment="1">
      <alignment horizontal="center"/>
    </xf>
    <xf numFmtId="168" fontId="1" fillId="0" borderId="0" xfId="38" applyNumberFormat="1" applyFont="1" applyFill="1"/>
    <xf numFmtId="178" fontId="1" fillId="0" borderId="0" xfId="136" applyNumberFormat="1" applyFont="1" applyFill="1"/>
    <xf numFmtId="0" fontId="93" fillId="0" borderId="0" xfId="138" applyFont="1" applyFill="1" applyAlignment="1">
      <alignment horizontal="left" vertical="top"/>
    </xf>
    <xf numFmtId="0" fontId="93" fillId="0" borderId="0" xfId="138" applyFont="1" applyFill="1"/>
    <xf numFmtId="0" fontId="93" fillId="0" borderId="0" xfId="138" applyFont="1"/>
    <xf numFmtId="0" fontId="93" fillId="0" borderId="0" xfId="138" applyFont="1" applyFill="1" applyAlignment="1">
      <alignment vertical="top"/>
    </xf>
    <xf numFmtId="168" fontId="93" fillId="0" borderId="0" xfId="38" applyNumberFormat="1" applyFont="1" applyFill="1" applyAlignment="1">
      <alignment vertical="top"/>
    </xf>
    <xf numFmtId="0" fontId="111" fillId="0" borderId="0" xfId="162" applyFont="1" applyFill="1" applyBorder="1"/>
    <xf numFmtId="0" fontId="105" fillId="0" borderId="0" xfId="162" applyFont="1" applyFill="1"/>
    <xf numFmtId="168" fontId="92" fillId="0" borderId="0" xfId="38" applyNumberFormat="1" applyFont="1" applyFill="1"/>
    <xf numFmtId="178" fontId="92" fillId="0" borderId="0" xfId="136" applyNumberFormat="1" applyFont="1" applyFill="1"/>
    <xf numFmtId="37" fontId="4" fillId="0" borderId="5" xfId="0" applyNumberFormat="1" applyFont="1" applyFill="1" applyBorder="1" applyProtection="1"/>
    <xf numFmtId="37" fontId="92" fillId="0" borderId="0" xfId="158" applyNumberFormat="1" applyFont="1" applyFill="1" applyBorder="1" applyProtection="1"/>
    <xf numFmtId="37" fontId="92" fillId="0" borderId="6" xfId="158" applyNumberFormat="1" applyFont="1" applyFill="1" applyBorder="1" applyProtection="1"/>
    <xf numFmtId="10" fontId="92" fillId="0" borderId="7" xfId="158" applyNumberFormat="1" applyFont="1" applyFill="1" applyBorder="1"/>
    <xf numFmtId="0" fontId="1" fillId="0" borderId="0" xfId="158" applyFont="1"/>
    <xf numFmtId="0" fontId="2" fillId="0" borderId="0" xfId="138" applyFont="1" applyAlignment="1">
      <alignment horizontal="center"/>
    </xf>
    <xf numFmtId="0" fontId="2" fillId="0" borderId="0" xfId="138" applyFill="1" applyAlignment="1">
      <alignment wrapText="1"/>
    </xf>
    <xf numFmtId="178" fontId="92" fillId="0" borderId="0" xfId="136" applyNumberFormat="1" applyFont="1" applyFill="1" applyBorder="1"/>
    <xf numFmtId="168" fontId="101" fillId="0" borderId="0" xfId="38" applyNumberFormat="1" applyFont="1" applyFill="1" applyBorder="1"/>
    <xf numFmtId="168" fontId="2" fillId="0" borderId="0" xfId="38" applyNumberFormat="1"/>
    <xf numFmtId="0" fontId="5" fillId="0" borderId="0" xfId="0" applyFont="1" applyFill="1" applyAlignment="1">
      <alignment horizontal="center"/>
    </xf>
    <xf numFmtId="0" fontId="2" fillId="0" borderId="0" xfId="0" applyFont="1" applyFill="1" applyAlignment="1" applyProtection="1">
      <alignment horizontal="center"/>
    </xf>
    <xf numFmtId="168" fontId="101" fillId="0" borderId="0" xfId="38" applyNumberFormat="1" applyFont="1" applyFill="1"/>
    <xf numFmtId="37" fontId="100" fillId="0" borderId="0" xfId="139" applyFont="1" applyFill="1" applyAlignment="1">
      <alignment vertical="center"/>
    </xf>
    <xf numFmtId="0" fontId="5" fillId="0" borderId="0" xfId="164" applyFont="1" applyFill="1" applyAlignment="1" applyProtection="1">
      <alignment horizontal="left"/>
    </xf>
    <xf numFmtId="0" fontId="92" fillId="0" borderId="0" xfId="164" applyFont="1" applyFill="1" applyAlignment="1" applyProtection="1">
      <alignment horizontal="left"/>
    </xf>
    <xf numFmtId="0" fontId="6" fillId="0" borderId="0" xfId="164" applyFont="1" applyFill="1" applyBorder="1" applyAlignment="1" applyProtection="1">
      <alignment horizontal="center"/>
    </xf>
    <xf numFmtId="0" fontId="92" fillId="0" borderId="6" xfId="0" applyFont="1" applyFill="1" applyBorder="1" applyAlignment="1">
      <alignment horizontal="right"/>
    </xf>
    <xf numFmtId="0" fontId="0" fillId="0" borderId="0" xfId="0" applyFill="1"/>
    <xf numFmtId="0" fontId="0" fillId="0" borderId="0" xfId="0" applyFill="1" applyAlignment="1">
      <alignment horizontal="right"/>
    </xf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right"/>
    </xf>
    <xf numFmtId="0" fontId="2" fillId="0" borderId="6" xfId="0" applyFont="1" applyFill="1" applyBorder="1" applyAlignment="1" applyProtection="1">
      <alignment horizontal="left"/>
    </xf>
    <xf numFmtId="10" fontId="2" fillId="0" borderId="0" xfId="0" applyNumberFormat="1" applyFont="1" applyFill="1" applyProtection="1"/>
    <xf numFmtId="0" fontId="5" fillId="0" borderId="6" xfId="164" applyFont="1" applyFill="1" applyBorder="1" applyAlignment="1" applyProtection="1">
      <alignment horizontal="right"/>
    </xf>
    <xf numFmtId="37" fontId="26" fillId="0" borderId="0" xfId="0" applyNumberFormat="1" applyFont="1" applyFill="1" applyProtection="1">
      <protection locked="0"/>
    </xf>
    <xf numFmtId="37" fontId="26" fillId="0" borderId="5" xfId="0" applyNumberFormat="1" applyFont="1" applyFill="1" applyBorder="1" applyProtection="1">
      <protection locked="0"/>
    </xf>
    <xf numFmtId="37" fontId="58" fillId="0" borderId="0" xfId="141" applyNumberFormat="1" applyFont="1" applyFill="1" applyProtection="1"/>
    <xf numFmtId="10" fontId="26" fillId="0" borderId="0" xfId="0" applyNumberFormat="1" applyFont="1" applyFill="1" applyProtection="1"/>
    <xf numFmtId="0" fontId="0" fillId="0" borderId="0" xfId="163" applyFont="1"/>
    <xf numFmtId="10" fontId="1" fillId="0" borderId="0" xfId="163" applyNumberFormat="1" applyFont="1" applyFill="1"/>
    <xf numFmtId="10" fontId="1" fillId="0" borderId="6" xfId="163" applyNumberFormat="1" applyFont="1" applyFill="1" applyBorder="1"/>
    <xf numFmtId="0" fontId="1" fillId="0" borderId="0" xfId="163" applyFont="1"/>
    <xf numFmtId="6" fontId="2" fillId="0" borderId="0" xfId="163" applyNumberFormat="1" applyFont="1" applyFill="1" applyAlignment="1">
      <alignment horizontal="center"/>
    </xf>
    <xf numFmtId="0" fontId="2" fillId="0" borderId="0" xfId="158" applyFont="1" applyFill="1" applyAlignment="1"/>
    <xf numFmtId="196" fontId="5" fillId="4" borderId="0" xfId="166" applyNumberFormat="1" applyFont="1" applyFill="1" applyAlignment="1" applyProtection="1">
      <alignment horizontal="left"/>
    </xf>
    <xf numFmtId="5" fontId="1" fillId="0" borderId="0" xfId="166" applyNumberFormat="1" applyFont="1" applyProtection="1"/>
    <xf numFmtId="5" fontId="1" fillId="14" borderId="0" xfId="166" applyNumberFormat="1" applyFont="1" applyFill="1" applyProtection="1"/>
    <xf numFmtId="0" fontId="1" fillId="0" borderId="0" xfId="0" applyFont="1"/>
    <xf numFmtId="168" fontId="1" fillId="18" borderId="0" xfId="38" applyNumberFormat="1" applyFont="1" applyFill="1"/>
    <xf numFmtId="0" fontId="1" fillId="0" borderId="0" xfId="0" applyFont="1" applyAlignment="1">
      <alignment horizontal="center"/>
    </xf>
    <xf numFmtId="0" fontId="1" fillId="0" borderId="0" xfId="166" quotePrefix="1" applyFont="1"/>
    <xf numFmtId="0" fontId="1" fillId="0" borderId="0" xfId="0" applyFont="1" applyFill="1" applyAlignment="1" applyProtection="1">
      <alignment horizontal="left"/>
    </xf>
    <xf numFmtId="37" fontId="49" fillId="0" borderId="6" xfId="164" applyNumberFormat="1" applyFont="1" applyFill="1" applyBorder="1" applyProtection="1"/>
    <xf numFmtId="0" fontId="1" fillId="0" borderId="0" xfId="163" quotePrefix="1" applyFont="1" applyFill="1" applyAlignment="1">
      <alignment horizontal="center"/>
    </xf>
    <xf numFmtId="37" fontId="95" fillId="0" borderId="0" xfId="139" applyFont="1" applyFill="1" applyAlignment="1">
      <alignment vertical="center"/>
    </xf>
    <xf numFmtId="37" fontId="46" fillId="0" borderId="0" xfId="139" applyFont="1" applyFill="1" applyAlignment="1" applyProtection="1">
      <alignment vertical="center"/>
      <protection locked="0"/>
    </xf>
    <xf numFmtId="41" fontId="95" fillId="0" borderId="0" xfId="139" applyNumberFormat="1" applyFont="1" applyFill="1"/>
    <xf numFmtId="41" fontId="96" fillId="0" borderId="0" xfId="139" applyNumberFormat="1" applyFont="1" applyFill="1"/>
    <xf numFmtId="41" fontId="95" fillId="0" borderId="0" xfId="139" applyNumberFormat="1" applyFont="1" applyFill="1" applyBorder="1" applyAlignment="1">
      <alignment vertical="center"/>
    </xf>
    <xf numFmtId="41" fontId="97" fillId="0" borderId="0" xfId="139" applyNumberFormat="1" applyFont="1" applyFill="1"/>
    <xf numFmtId="44" fontId="26" fillId="0" borderId="0" xfId="136" applyFont="1" applyFill="1" applyBorder="1"/>
    <xf numFmtId="37" fontId="94" fillId="16" borderId="0" xfId="161" applyNumberFormat="1" applyFont="1" applyFill="1" applyProtection="1"/>
    <xf numFmtId="0" fontId="2" fillId="0" borderId="0" xfId="164" applyFont="1" applyFill="1" applyAlignment="1" applyProtection="1">
      <alignment horizontal="center"/>
    </xf>
    <xf numFmtId="37" fontId="4" fillId="0" borderId="0" xfId="145" applyNumberFormat="1" applyFont="1" applyFill="1"/>
    <xf numFmtId="0" fontId="2" fillId="0" borderId="0" xfId="164" applyFont="1" applyFill="1" applyAlignment="1" applyProtection="1">
      <alignment horizontal="center"/>
      <protection locked="0"/>
    </xf>
    <xf numFmtId="0" fontId="2" fillId="0" borderId="0" xfId="164" applyFont="1" applyFill="1" applyBorder="1"/>
    <xf numFmtId="0" fontId="2" fillId="0" borderId="5" xfId="164" applyFont="1" applyFill="1" applyBorder="1" applyAlignment="1" applyProtection="1">
      <alignment horizontal="center"/>
    </xf>
    <xf numFmtId="0" fontId="2" fillId="0" borderId="5" xfId="164" applyFont="1" applyFill="1" applyBorder="1" applyAlignment="1" applyProtection="1">
      <alignment horizontal="center"/>
      <protection locked="0"/>
    </xf>
    <xf numFmtId="0" fontId="6" fillId="0" borderId="0" xfId="164" applyFont="1" applyFill="1"/>
    <xf numFmtId="37" fontId="1" fillId="0" borderId="0" xfId="164" applyNumberFormat="1" applyFont="1" applyFill="1" applyProtection="1">
      <protection locked="0"/>
    </xf>
    <xf numFmtId="37" fontId="92" fillId="0" borderId="0" xfId="164" applyNumberFormat="1" applyFont="1" applyFill="1"/>
    <xf numFmtId="37" fontId="5" fillId="0" borderId="6" xfId="164" applyNumberFormat="1" applyFont="1" applyFill="1" applyBorder="1"/>
    <xf numFmtId="0" fontId="2" fillId="0" borderId="0" xfId="164" applyFont="1" applyFill="1" applyProtection="1">
      <protection locked="0"/>
    </xf>
    <xf numFmtId="0" fontId="11" fillId="0" borderId="0" xfId="164" applyFont="1" applyFill="1"/>
    <xf numFmtId="0" fontId="9" fillId="0" borderId="0" xfId="164" applyFont="1" applyFill="1"/>
    <xf numFmtId="0" fontId="2" fillId="0" borderId="6" xfId="138" applyFont="1" applyFill="1" applyBorder="1"/>
    <xf numFmtId="178" fontId="2" fillId="0" borderId="0" xfId="138" applyNumberFormat="1" applyFont="1" applyFill="1" applyAlignment="1">
      <alignment horizontal="center"/>
    </xf>
    <xf numFmtId="168" fontId="62" fillId="0" borderId="0" xfId="38" applyNumberFormat="1" applyFont="1" applyFill="1"/>
    <xf numFmtId="178" fontId="2" fillId="0" borderId="0" xfId="138" applyNumberFormat="1" applyFont="1" applyFill="1"/>
    <xf numFmtId="0" fontId="2" fillId="0" borderId="0" xfId="162" applyFont="1" applyFill="1" applyAlignment="1">
      <alignment horizontal="right"/>
    </xf>
    <xf numFmtId="0" fontId="8" fillId="0" borderId="0" xfId="162" applyFont="1" applyFill="1" applyAlignment="1">
      <alignment horizontal="center"/>
    </xf>
    <xf numFmtId="9" fontId="92" fillId="0" borderId="0" xfId="167" applyFont="1" applyFill="1" applyBorder="1"/>
    <xf numFmtId="39" fontId="2" fillId="0" borderId="0" xfId="162" applyNumberFormat="1" applyFont="1" applyFill="1" applyBorder="1"/>
    <xf numFmtId="49" fontId="8" fillId="0" borderId="0" xfId="162" applyNumberFormat="1" applyFont="1" applyFill="1" applyAlignment="1">
      <alignment horizontal="center"/>
    </xf>
    <xf numFmtId="37" fontId="92" fillId="0" borderId="6" xfId="162" applyNumberFormat="1" applyFont="1" applyFill="1" applyBorder="1"/>
    <xf numFmtId="192" fontId="92" fillId="0" borderId="0" xfId="38" applyNumberFormat="1" applyFont="1" applyFill="1" applyBorder="1"/>
    <xf numFmtId="168" fontId="2" fillId="0" borderId="0" xfId="162" applyNumberFormat="1" applyFont="1" applyFill="1"/>
    <xf numFmtId="37" fontId="49" fillId="0" borderId="0" xfId="141" applyNumberFormat="1" applyFont="1" applyFill="1" applyAlignment="1" applyProtection="1">
      <alignment horizontal="left"/>
    </xf>
    <xf numFmtId="37" fontId="77" fillId="0" borderId="0" xfId="141" applyNumberFormat="1" applyFont="1" applyFill="1" applyProtection="1"/>
    <xf numFmtId="37" fontId="77" fillId="0" borderId="0" xfId="141" applyNumberFormat="1" applyFont="1" applyFill="1" applyAlignment="1" applyProtection="1">
      <alignment horizontal="left"/>
    </xf>
    <xf numFmtId="0" fontId="6" fillId="0" borderId="0" xfId="0" applyFont="1" applyFill="1" applyBorder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6" fillId="0" borderId="0" xfId="0" applyFont="1" applyBorder="1" applyAlignment="1" applyProtection="1">
      <alignment horizontal="left"/>
    </xf>
    <xf numFmtId="0" fontId="6" fillId="0" borderId="0" xfId="0" applyFont="1" applyBorder="1"/>
    <xf numFmtId="0" fontId="45" fillId="0" borderId="0" xfId="0" applyFont="1" applyBorder="1"/>
    <xf numFmtId="0" fontId="1" fillId="0" borderId="0" xfId="0" applyFont="1" applyAlignment="1">
      <alignment horizontal="left"/>
    </xf>
    <xf numFmtId="0" fontId="11" fillId="0" borderId="0" xfId="0" applyFont="1" applyAlignment="1" applyProtection="1">
      <alignment horizontal="left"/>
    </xf>
    <xf numFmtId="0" fontId="1" fillId="0" borderId="0" xfId="0" applyFont="1" applyFill="1"/>
    <xf numFmtId="0" fontId="1" fillId="0" borderId="0" xfId="0" applyFont="1" applyFill="1" applyAlignment="1" applyProtection="1">
      <alignment horizontal="center"/>
    </xf>
    <xf numFmtId="0" fontId="11" fillId="0" borderId="0" xfId="0" applyFont="1" applyFill="1"/>
    <xf numFmtId="0" fontId="1" fillId="0" borderId="0" xfId="0" applyFont="1" applyFill="1" applyAlignment="1" applyProtection="1">
      <alignment horizontal="right"/>
    </xf>
    <xf numFmtId="0" fontId="1" fillId="0" borderId="5" xfId="0" applyFont="1" applyFill="1" applyBorder="1" applyAlignment="1" applyProtection="1">
      <alignment horizontal="left"/>
    </xf>
    <xf numFmtId="0" fontId="1" fillId="0" borderId="5" xfId="0" applyFont="1" applyFill="1" applyBorder="1"/>
    <xf numFmtId="0" fontId="1" fillId="0" borderId="6" xfId="0" applyFont="1" applyFill="1" applyBorder="1"/>
    <xf numFmtId="0" fontId="11" fillId="0" borderId="6" xfId="0" applyFont="1" applyFill="1" applyBorder="1"/>
    <xf numFmtId="0" fontId="1" fillId="0" borderId="6" xfId="0" applyFont="1" applyFill="1" applyBorder="1" applyAlignment="1" applyProtection="1">
      <alignment horizontal="right"/>
    </xf>
    <xf numFmtId="168" fontId="2" fillId="19" borderId="0" xfId="38" applyNumberFormat="1" applyFill="1"/>
    <xf numFmtId="0" fontId="49" fillId="12" borderId="0" xfId="161" applyFont="1" applyFill="1" applyAlignment="1" applyProtection="1">
      <alignment horizontal="left"/>
    </xf>
    <xf numFmtId="165" fontId="26" fillId="12" borderId="0" xfId="161" applyNumberFormat="1" applyFont="1" applyFill="1" applyProtection="1"/>
    <xf numFmtId="0" fontId="59" fillId="12" borderId="0" xfId="161" applyFont="1" applyFill="1" applyAlignment="1" applyProtection="1">
      <alignment horizontal="left"/>
    </xf>
    <xf numFmtId="0" fontId="49" fillId="12" borderId="0" xfId="161" applyFont="1" applyFill="1" applyProtection="1">
      <protection locked="0"/>
    </xf>
    <xf numFmtId="0" fontId="1" fillId="0" borderId="0" xfId="166" applyFont="1" applyAlignment="1" applyProtection="1">
      <alignment horizontal="right"/>
    </xf>
    <xf numFmtId="168" fontId="2" fillId="0" borderId="6" xfId="38" applyNumberFormat="1" applyFont="1" applyFill="1" applyBorder="1" applyProtection="1"/>
    <xf numFmtId="0" fontId="49" fillId="12" borderId="0" xfId="161" applyFont="1" applyFill="1"/>
    <xf numFmtId="0" fontId="49" fillId="12" borderId="5" xfId="161" applyFont="1" applyFill="1" applyBorder="1" applyAlignment="1" applyProtection="1">
      <alignment horizontal="left"/>
      <protection locked="0"/>
    </xf>
    <xf numFmtId="0" fontId="26" fillId="12" borderId="5" xfId="161" applyFont="1" applyFill="1" applyBorder="1"/>
    <xf numFmtId="0" fontId="49" fillId="12" borderId="5" xfId="161" applyFont="1" applyFill="1" applyBorder="1" applyProtection="1">
      <protection locked="0"/>
    </xf>
    <xf numFmtId="39" fontId="112" fillId="0" borderId="0" xfId="149" applyNumberFormat="1" applyFont="1" applyFill="1" applyProtection="1"/>
    <xf numFmtId="0" fontId="112" fillId="0" borderId="0" xfId="149" applyFont="1" applyFill="1"/>
    <xf numFmtId="0" fontId="112" fillId="0" borderId="0" xfId="149" applyFont="1" applyFill="1" applyAlignment="1" applyProtection="1">
      <alignment horizontal="center"/>
    </xf>
    <xf numFmtId="0" fontId="26" fillId="0" borderId="5" xfId="161" applyFont="1" applyFill="1" applyBorder="1" applyAlignment="1" applyProtection="1">
      <alignment horizontal="left"/>
      <protection locked="0"/>
    </xf>
    <xf numFmtId="0" fontId="26" fillId="0" borderId="5" xfId="161" applyFont="1" applyFill="1" applyBorder="1" applyProtection="1">
      <protection locked="0"/>
    </xf>
    <xf numFmtId="0" fontId="2" fillId="0" borderId="0" xfId="152" applyFont="1" applyBorder="1" applyAlignment="1">
      <alignment horizontal="center"/>
    </xf>
    <xf numFmtId="37" fontId="1" fillId="0" borderId="0" xfId="138" applyNumberFormat="1" applyFont="1" applyAlignment="1">
      <alignment horizontal="center"/>
    </xf>
    <xf numFmtId="0" fontId="1" fillId="0" borderId="0" xfId="152" applyFont="1" applyBorder="1" applyAlignment="1">
      <alignment horizontal="center"/>
    </xf>
    <xf numFmtId="0" fontId="1" fillId="0" borderId="0" xfId="152" applyFont="1" applyBorder="1" applyAlignment="1" applyProtection="1">
      <alignment horizontal="left"/>
    </xf>
    <xf numFmtId="0" fontId="1" fillId="0" borderId="5" xfId="152" applyFont="1" applyFill="1" applyBorder="1" applyAlignment="1">
      <alignment horizontal="right"/>
    </xf>
    <xf numFmtId="0" fontId="1" fillId="0" borderId="0" xfId="207"/>
    <xf numFmtId="0" fontId="5" fillId="0" borderId="0" xfId="207" applyFont="1" applyAlignment="1">
      <alignment horizontal="center"/>
    </xf>
    <xf numFmtId="0" fontId="5" fillId="0" borderId="0" xfId="207" applyFont="1"/>
    <xf numFmtId="0" fontId="5" fillId="0" borderId="0" xfId="207" applyFont="1" applyAlignment="1">
      <alignment horizontal="right"/>
    </xf>
    <xf numFmtId="0" fontId="1" fillId="0" borderId="0" xfId="207" applyFont="1" applyAlignment="1">
      <alignment horizontal="right"/>
    </xf>
    <xf numFmtId="0" fontId="1" fillId="0" borderId="6" xfId="207" applyBorder="1"/>
    <xf numFmtId="0" fontId="1" fillId="0" borderId="0" xfId="207" applyFont="1" applyFill="1" applyAlignment="1">
      <alignment horizontal="left" vertical="top"/>
    </xf>
    <xf numFmtId="0" fontId="1" fillId="0" borderId="0" xfId="207" applyFont="1" applyAlignment="1">
      <alignment horizontal="center"/>
    </xf>
    <xf numFmtId="0" fontId="1" fillId="0" borderId="0" xfId="207" applyBorder="1"/>
    <xf numFmtId="0" fontId="1" fillId="0" borderId="0" xfId="207" applyFont="1"/>
    <xf numFmtId="0" fontId="1" fillId="0" borderId="0" xfId="207" applyFont="1" applyBorder="1" applyAlignment="1">
      <alignment horizontal="center"/>
    </xf>
    <xf numFmtId="0" fontId="1" fillId="0" borderId="0" xfId="207" applyFont="1" applyBorder="1"/>
    <xf numFmtId="0" fontId="1" fillId="0" borderId="2" xfId="207" applyFont="1" applyBorder="1" applyAlignment="1">
      <alignment horizontal="center"/>
    </xf>
    <xf numFmtId="0" fontId="1" fillId="0" borderId="6" xfId="207" applyFont="1" applyBorder="1" applyAlignment="1">
      <alignment horizontal="center"/>
    </xf>
    <xf numFmtId="0" fontId="1" fillId="0" borderId="6" xfId="207" applyFont="1" applyBorder="1"/>
    <xf numFmtId="0" fontId="1" fillId="0" borderId="0" xfId="207" applyAlignment="1">
      <alignment horizontal="center"/>
    </xf>
    <xf numFmtId="0" fontId="6" fillId="0" borderId="0" xfId="207" applyFont="1" applyFill="1"/>
    <xf numFmtId="178" fontId="5" fillId="0" borderId="0" xfId="208" applyNumberFormat="1" applyFont="1" applyFill="1" applyBorder="1"/>
    <xf numFmtId="0" fontId="1" fillId="0" borderId="0" xfId="207" applyFill="1" applyBorder="1"/>
    <xf numFmtId="9" fontId="6" fillId="0" borderId="0" xfId="207" applyNumberFormat="1" applyFont="1" applyFill="1" applyBorder="1" applyAlignment="1">
      <alignment horizontal="center"/>
    </xf>
    <xf numFmtId="178" fontId="0" fillId="0" borderId="0" xfId="208" applyNumberFormat="1" applyFont="1" applyFill="1" applyBorder="1"/>
    <xf numFmtId="0" fontId="1" fillId="0" borderId="0" xfId="207" applyFont="1" applyFill="1"/>
    <xf numFmtId="178" fontId="92" fillId="0" borderId="0" xfId="208" applyNumberFormat="1" applyFont="1" applyFill="1" applyBorder="1"/>
    <xf numFmtId="10" fontId="1" fillId="0" borderId="0" xfId="209" applyNumberFormat="1" applyFont="1" applyFill="1" applyBorder="1"/>
    <xf numFmtId="178" fontId="1" fillId="0" borderId="0" xfId="208" applyNumberFormat="1" applyFont="1" applyFill="1" applyBorder="1"/>
    <xf numFmtId="44" fontId="1" fillId="0" borderId="0" xfId="208" applyNumberFormat="1" applyFont="1" applyFill="1" applyBorder="1"/>
    <xf numFmtId="0" fontId="1" fillId="0" borderId="0" xfId="207" applyFill="1"/>
    <xf numFmtId="168" fontId="101" fillId="0" borderId="0" xfId="210" applyNumberFormat="1" applyFont="1" applyFill="1" applyBorder="1"/>
    <xf numFmtId="168" fontId="62" fillId="0" borderId="0" xfId="210" applyNumberFormat="1" applyFont="1" applyFill="1" applyBorder="1"/>
    <xf numFmtId="178" fontId="101" fillId="0" borderId="0" xfId="208" applyNumberFormat="1" applyFont="1" applyFill="1" applyBorder="1"/>
    <xf numFmtId="0" fontId="1" fillId="0" borderId="0" xfId="207" applyFill="1" applyAlignment="1">
      <alignment horizontal="left" vertical="top"/>
    </xf>
    <xf numFmtId="178" fontId="1" fillId="0" borderId="0" xfId="209" applyNumberFormat="1" applyFont="1" applyFill="1" applyBorder="1"/>
    <xf numFmtId="0" fontId="1" fillId="0" borderId="0" xfId="207" applyFont="1" applyFill="1" applyBorder="1"/>
    <xf numFmtId="9" fontId="1" fillId="0" borderId="0" xfId="209" applyFont="1" applyFill="1" applyBorder="1"/>
    <xf numFmtId="0" fontId="6" fillId="0" borderId="0" xfId="207" applyFont="1"/>
    <xf numFmtId="10" fontId="5" fillId="0" borderId="0" xfId="209" applyNumberFormat="1" applyFont="1" applyFill="1" applyBorder="1"/>
    <xf numFmtId="10" fontId="1" fillId="0" borderId="0" xfId="209" applyNumberFormat="1"/>
    <xf numFmtId="168" fontId="92" fillId="0" borderId="0" xfId="210" applyNumberFormat="1" applyFont="1" applyFill="1" applyBorder="1"/>
    <xf numFmtId="168" fontId="1" fillId="0" borderId="0" xfId="210" applyNumberFormat="1" applyFont="1" applyFill="1" applyBorder="1"/>
    <xf numFmtId="178" fontId="62" fillId="0" borderId="0" xfId="209" applyNumberFormat="1" applyFont="1" applyFill="1" applyBorder="1"/>
    <xf numFmtId="178" fontId="1" fillId="0" borderId="6" xfId="207" applyNumberFormat="1" applyFont="1" applyFill="1" applyBorder="1"/>
    <xf numFmtId="178" fontId="1" fillId="0" borderId="6" xfId="209" applyNumberFormat="1" applyFont="1" applyFill="1" applyBorder="1"/>
    <xf numFmtId="178" fontId="1" fillId="0" borderId="0" xfId="207" applyNumberFormat="1"/>
    <xf numFmtId="0" fontId="6" fillId="0" borderId="0" xfId="207" applyFont="1" applyFill="1" applyBorder="1"/>
    <xf numFmtId="178" fontId="89" fillId="0" borderId="0" xfId="207" applyNumberFormat="1" applyFont="1" applyFill="1" applyBorder="1"/>
    <xf numFmtId="178" fontId="1" fillId="0" borderId="0" xfId="207" applyNumberFormat="1" applyFont="1" applyFill="1" applyBorder="1"/>
    <xf numFmtId="0" fontId="8" fillId="0" borderId="0" xfId="207" applyFont="1" applyBorder="1"/>
    <xf numFmtId="0" fontId="8" fillId="0" borderId="0" xfId="207" applyFont="1"/>
    <xf numFmtId="37" fontId="2" fillId="0" borderId="0" xfId="164" applyNumberFormat="1" applyFont="1" applyBorder="1"/>
    <xf numFmtId="0" fontId="11" fillId="0" borderId="0" xfId="164" applyFont="1" applyBorder="1"/>
    <xf numFmtId="0" fontId="70" fillId="0" borderId="0" xfId="164" applyFont="1" applyBorder="1"/>
    <xf numFmtId="0" fontId="36" fillId="0" borderId="0" xfId="164" applyFont="1" applyBorder="1"/>
    <xf numFmtId="37" fontId="26" fillId="0" borderId="0" xfId="138" applyNumberFormat="1" applyFont="1" applyFill="1"/>
    <xf numFmtId="41" fontId="11" fillId="0" borderId="0" xfId="139" applyNumberFormat="1" applyFont="1" applyFill="1" applyAlignment="1">
      <alignment horizontal="center"/>
    </xf>
    <xf numFmtId="41" fontId="95" fillId="0" borderId="0" xfId="139" applyNumberFormat="1" applyFont="1" applyFill="1" applyAlignment="1">
      <alignment horizontal="center"/>
    </xf>
    <xf numFmtId="41" fontId="95" fillId="0" borderId="0" xfId="139" applyNumberFormat="1" applyFont="1" applyFill="1" applyBorder="1" applyAlignment="1">
      <alignment horizontal="center"/>
    </xf>
    <xf numFmtId="41" fontId="47" fillId="0" borderId="0" xfId="139" applyNumberFormat="1" applyFont="1" applyFill="1" applyAlignment="1">
      <alignment horizontal="center"/>
    </xf>
    <xf numFmtId="37" fontId="75" fillId="0" borderId="0" xfId="139" applyFont="1" applyFill="1" applyAlignment="1">
      <alignment horizontal="center" vertical="center"/>
    </xf>
    <xf numFmtId="17" fontId="61" fillId="0" borderId="0" xfId="139" applyNumberFormat="1" applyFont="1" applyFill="1" applyAlignment="1">
      <alignment horizontal="center"/>
    </xf>
    <xf numFmtId="37" fontId="47" fillId="0" borderId="0" xfId="139" applyFont="1" applyFill="1" applyBorder="1" applyAlignment="1">
      <alignment vertical="center"/>
    </xf>
    <xf numFmtId="37" fontId="45" fillId="0" borderId="0" xfId="139" applyFont="1" applyFill="1" applyBorder="1" applyAlignment="1">
      <alignment vertical="center"/>
    </xf>
    <xf numFmtId="37" fontId="45" fillId="0" borderId="0" xfId="139" applyFont="1" applyFill="1" applyAlignment="1">
      <alignment vertical="center"/>
    </xf>
    <xf numFmtId="10" fontId="11" fillId="0" borderId="0" xfId="139" applyNumberFormat="1" applyFont="1" applyFill="1" applyBorder="1" applyAlignment="1">
      <alignment vertical="center"/>
    </xf>
    <xf numFmtId="37" fontId="75" fillId="0" borderId="0" xfId="139" applyFont="1" applyFill="1" applyBorder="1" applyAlignment="1">
      <alignment vertical="center"/>
    </xf>
    <xf numFmtId="37" fontId="85" fillId="0" borderId="0" xfId="139" applyFont="1" applyFill="1" applyBorder="1" applyAlignment="1">
      <alignment vertical="center"/>
    </xf>
    <xf numFmtId="37" fontId="104" fillId="0" borderId="0" xfId="139" applyFont="1" applyFill="1" applyAlignment="1">
      <alignment vertical="center"/>
    </xf>
    <xf numFmtId="37" fontId="42" fillId="0" borderId="0" xfId="139" applyFont="1" applyFill="1" applyAlignment="1">
      <alignment horizontal="center" vertical="center"/>
    </xf>
    <xf numFmtId="37" fontId="44" fillId="0" borderId="0" xfId="139" applyFont="1" applyFill="1" applyAlignment="1">
      <alignment horizontal="center" vertical="center"/>
    </xf>
    <xf numFmtId="37" fontId="46" fillId="0" borderId="0" xfId="139" applyFont="1" applyFill="1" applyAlignment="1" applyProtection="1">
      <alignment horizontal="center" vertical="center"/>
      <protection locked="0"/>
    </xf>
    <xf numFmtId="37" fontId="85" fillId="0" borderId="0" xfId="139" applyFont="1" applyFill="1" applyAlignment="1" applyProtection="1">
      <alignment horizontal="center" vertical="center"/>
      <protection locked="0"/>
    </xf>
    <xf numFmtId="37" fontId="11" fillId="0" borderId="0" xfId="139" applyFont="1" applyFill="1" applyAlignment="1">
      <alignment horizontal="center" vertical="center"/>
    </xf>
    <xf numFmtId="37" fontId="87" fillId="0" borderId="0" xfId="139" applyFont="1" applyFill="1" applyAlignment="1" applyProtection="1">
      <alignment horizontal="center" vertical="center"/>
      <protection locked="0"/>
    </xf>
    <xf numFmtId="37" fontId="42" fillId="0" borderId="0" xfId="139" applyFont="1" applyFill="1" applyAlignment="1">
      <alignment horizontal="center"/>
    </xf>
    <xf numFmtId="49" fontId="85" fillId="0" borderId="0" xfId="139" quotePrefix="1" applyNumberFormat="1" applyFont="1" applyFill="1" applyAlignment="1">
      <alignment horizontal="center"/>
    </xf>
    <xf numFmtId="168" fontId="11" fillId="0" borderId="0" xfId="38" applyNumberFormat="1" applyFont="1" applyFill="1" applyAlignment="1">
      <alignment vertical="center"/>
    </xf>
    <xf numFmtId="168" fontId="42" fillId="0" borderId="0" xfId="38" applyNumberFormat="1" applyFont="1" applyFill="1" applyAlignment="1">
      <alignment vertical="center"/>
    </xf>
    <xf numFmtId="0" fontId="105" fillId="0" borderId="0" xfId="162" applyFont="1" applyFill="1" applyBorder="1"/>
    <xf numFmtId="176" fontId="105" fillId="0" borderId="0" xfId="167" applyNumberFormat="1" applyFont="1" applyFill="1" applyBorder="1"/>
    <xf numFmtId="0" fontId="110" fillId="0" borderId="0" xfId="163" applyFont="1" applyFill="1"/>
    <xf numFmtId="0" fontId="0" fillId="0" borderId="0" xfId="163" applyFont="1" applyFill="1"/>
    <xf numFmtId="2" fontId="26" fillId="0" borderId="0" xfId="141" applyNumberFormat="1" applyFont="1" applyFill="1"/>
    <xf numFmtId="37" fontId="92" fillId="0" borderId="0" xfId="145" applyNumberFormat="1" applyFont="1" applyFill="1" applyProtection="1"/>
    <xf numFmtId="37" fontId="92" fillId="0" borderId="6" xfId="145" applyNumberFormat="1" applyFont="1" applyFill="1" applyBorder="1" applyProtection="1"/>
    <xf numFmtId="37" fontId="92" fillId="0" borderId="0" xfId="145" applyNumberFormat="1" applyFont="1" applyFill="1" applyBorder="1" applyProtection="1"/>
    <xf numFmtId="37" fontId="95" fillId="0" borderId="0" xfId="138" applyNumberFormat="1" applyFont="1" applyAlignment="1">
      <alignment horizontal="right"/>
    </xf>
    <xf numFmtId="37" fontId="95" fillId="0" borderId="0" xfId="138" applyNumberFormat="1" applyFont="1"/>
    <xf numFmtId="17" fontId="95" fillId="0" borderId="0" xfId="138" quotePrefix="1" applyNumberFormat="1" applyFont="1" applyFill="1" applyAlignment="1">
      <alignment horizontal="left" vertical="center"/>
    </xf>
    <xf numFmtId="37" fontId="95" fillId="0" borderId="0" xfId="138" applyNumberFormat="1" applyFont="1" applyFill="1" applyBorder="1" applyProtection="1"/>
    <xf numFmtId="0" fontId="11" fillId="0" borderId="0" xfId="164" applyFont="1" applyFill="1" applyAlignment="1">
      <alignment horizontal="right"/>
    </xf>
    <xf numFmtId="37" fontId="2" fillId="0" borderId="0" xfId="164" applyNumberFormat="1" applyFont="1" applyFill="1" applyBorder="1"/>
    <xf numFmtId="0" fontId="92" fillId="0" borderId="0" xfId="162" applyFont="1" applyFill="1" applyAlignment="1">
      <alignment horizontal="center"/>
    </xf>
    <xf numFmtId="0" fontId="1" fillId="0" borderId="0" xfId="138" applyFont="1" applyFill="1" applyAlignment="1">
      <alignment wrapText="1"/>
    </xf>
    <xf numFmtId="0" fontId="2" fillId="0" borderId="0" xfId="138" applyFill="1" applyBorder="1" applyAlignment="1">
      <alignment vertical="top" wrapText="1"/>
    </xf>
    <xf numFmtId="9" fontId="99" fillId="0" borderId="0" xfId="141" applyNumberFormat="1" applyFont="1" applyFill="1" applyAlignment="1" applyProtection="1">
      <alignment horizontal="right"/>
    </xf>
    <xf numFmtId="9" fontId="99" fillId="0" borderId="0" xfId="141" applyNumberFormat="1" applyFont="1" applyFill="1" applyProtection="1"/>
    <xf numFmtId="0" fontId="2" fillId="0" borderId="0" xfId="138" applyFont="1" applyAlignment="1">
      <alignment horizontal="center"/>
    </xf>
    <xf numFmtId="37" fontId="92" fillId="0" borderId="0" xfId="150" applyFont="1" applyFill="1" applyBorder="1" applyProtection="1"/>
    <xf numFmtId="37" fontId="4" fillId="0" borderId="0" xfId="150" applyNumberFormat="1" applyFont="1" applyFill="1" applyBorder="1" applyProtection="1"/>
    <xf numFmtId="37" fontId="5" fillId="0" borderId="0" xfId="150" applyFont="1" applyFill="1" applyBorder="1" applyProtection="1"/>
    <xf numFmtId="37" fontId="2" fillId="0" borderId="0" xfId="150" applyFont="1" applyFill="1" applyBorder="1" applyProtection="1"/>
    <xf numFmtId="37" fontId="4" fillId="0" borderId="0" xfId="150" applyFont="1" applyFill="1" applyBorder="1"/>
    <xf numFmtId="37" fontId="1" fillId="0" borderId="0" xfId="150" applyFont="1" applyAlignment="1" applyProtection="1">
      <alignment horizontal="left"/>
    </xf>
    <xf numFmtId="43" fontId="4" fillId="0" borderId="0" xfId="38" applyFont="1" applyProtection="1"/>
    <xf numFmtId="168" fontId="1" fillId="0" borderId="0" xfId="210" applyNumberFormat="1" applyFont="1" applyProtection="1"/>
    <xf numFmtId="0" fontId="2" fillId="0" borderId="0" xfId="138" applyFont="1" applyAlignment="1">
      <alignment horizontal="center"/>
    </xf>
    <xf numFmtId="170" fontId="0" fillId="0" borderId="0" xfId="0" applyNumberFormat="1"/>
    <xf numFmtId="0" fontId="2" fillId="0" borderId="0" xfId="164" applyFont="1" applyAlignment="1" applyProtection="1">
      <alignment horizontal="center"/>
    </xf>
    <xf numFmtId="0" fontId="68" fillId="0" borderId="0" xfId="164" applyFont="1" applyAlignment="1" applyProtection="1">
      <alignment horizontal="center"/>
    </xf>
    <xf numFmtId="0" fontId="5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5" fillId="0" borderId="0" xfId="0" applyFont="1" applyAlignment="1" applyProtection="1">
      <alignment horizontal="center"/>
    </xf>
    <xf numFmtId="0" fontId="5" fillId="0" borderId="0" xfId="0" applyFont="1" applyFill="1" applyAlignment="1" applyProtection="1">
      <alignment horizontal="center"/>
    </xf>
    <xf numFmtId="0" fontId="2" fillId="0" borderId="0" xfId="0" applyFont="1" applyFill="1" applyAlignment="1" applyProtection="1">
      <alignment horizontal="center"/>
    </xf>
    <xf numFmtId="0" fontId="4" fillId="0" borderId="0" xfId="0" applyFont="1" applyAlignment="1" applyProtection="1">
      <alignment horizontal="center"/>
    </xf>
    <xf numFmtId="0" fontId="4" fillId="0" borderId="0" xfId="145" applyFont="1" applyAlignment="1" applyProtection="1">
      <alignment horizontal="center"/>
    </xf>
    <xf numFmtId="0" fontId="5" fillId="0" borderId="0" xfId="145" applyFont="1" applyAlignment="1" applyProtection="1">
      <alignment horizontal="center"/>
    </xf>
    <xf numFmtId="0" fontId="4" fillId="0" borderId="0" xfId="145" applyFont="1" applyFill="1" applyAlignment="1" applyProtection="1">
      <alignment horizontal="center"/>
    </xf>
    <xf numFmtId="0" fontId="5" fillId="0" borderId="0" xfId="145" applyFont="1" applyFill="1" applyAlignment="1" applyProtection="1">
      <alignment horizontal="center"/>
    </xf>
    <xf numFmtId="0" fontId="68" fillId="0" borderId="0" xfId="145" quotePrefix="1" applyFont="1" applyFill="1" applyAlignment="1" applyProtection="1">
      <alignment horizontal="center"/>
    </xf>
    <xf numFmtId="0" fontId="68" fillId="0" borderId="0" xfId="145" applyFont="1" applyFill="1" applyAlignment="1" applyProtection="1">
      <alignment horizontal="center"/>
    </xf>
    <xf numFmtId="0" fontId="2" fillId="0" borderId="0" xfId="145" quotePrefix="1" applyFont="1" applyFill="1" applyAlignment="1" applyProtection="1">
      <alignment horizontal="center"/>
    </xf>
    <xf numFmtId="0" fontId="2" fillId="0" borderId="0" xfId="145" applyFont="1" applyFill="1" applyAlignment="1" applyProtection="1">
      <alignment horizontal="center"/>
    </xf>
    <xf numFmtId="0" fontId="5" fillId="0" borderId="0" xfId="145" quotePrefix="1" applyFont="1" applyFill="1" applyAlignment="1" applyProtection="1">
      <alignment horizontal="center"/>
    </xf>
    <xf numFmtId="0" fontId="4" fillId="5" borderId="0" xfId="147" applyFont="1" applyFill="1" applyAlignment="1" applyProtection="1">
      <alignment horizontal="center"/>
    </xf>
    <xf numFmtId="0" fontId="2" fillId="5" borderId="0" xfId="147" applyFont="1" applyFill="1" applyAlignment="1" applyProtection="1">
      <alignment horizontal="center"/>
    </xf>
    <xf numFmtId="0" fontId="2" fillId="5" borderId="6" xfId="147" applyFont="1" applyFill="1" applyBorder="1" applyAlignment="1">
      <alignment horizontal="center"/>
    </xf>
    <xf numFmtId="0" fontId="2" fillId="5" borderId="6" xfId="147" applyFont="1" applyFill="1" applyBorder="1" applyAlignment="1" applyProtection="1">
      <alignment horizontal="center"/>
    </xf>
    <xf numFmtId="0" fontId="4" fillId="5" borderId="6" xfId="147" applyFont="1" applyFill="1" applyBorder="1" applyAlignment="1" applyProtection="1">
      <alignment horizontal="center"/>
    </xf>
    <xf numFmtId="0" fontId="68" fillId="5" borderId="0" xfId="147" applyFont="1" applyFill="1" applyAlignment="1" applyProtection="1">
      <alignment horizontal="center"/>
    </xf>
    <xf numFmtId="0" fontId="4" fillId="0" borderId="0" xfId="147" applyFont="1" applyFill="1" applyAlignment="1" applyProtection="1">
      <alignment horizontal="center"/>
    </xf>
    <xf numFmtId="0" fontId="2" fillId="0" borderId="0" xfId="147" applyFont="1" applyFill="1" applyAlignment="1" applyProtection="1">
      <alignment horizontal="center"/>
    </xf>
    <xf numFmtId="0" fontId="5" fillId="0" borderId="0" xfId="147" applyFont="1" applyFill="1" applyAlignment="1" applyProtection="1">
      <alignment horizontal="center"/>
    </xf>
    <xf numFmtId="0" fontId="2" fillId="0" borderId="6" xfId="147" applyFont="1" applyBorder="1" applyAlignment="1">
      <alignment horizontal="center"/>
    </xf>
    <xf numFmtId="0" fontId="2" fillId="0" borderId="6" xfId="147" applyFont="1" applyBorder="1" applyAlignment="1" applyProtection="1">
      <alignment horizontal="center"/>
    </xf>
    <xf numFmtId="0" fontId="4" fillId="0" borderId="6" xfId="147" applyFont="1" applyBorder="1" applyAlignment="1" applyProtection="1">
      <alignment horizontal="center"/>
    </xf>
    <xf numFmtId="0" fontId="68" fillId="0" borderId="0" xfId="147" applyFont="1" applyFill="1" applyAlignment="1" applyProtection="1">
      <alignment horizontal="center"/>
    </xf>
    <xf numFmtId="0" fontId="4" fillId="0" borderId="0" xfId="147" applyFont="1" applyAlignment="1">
      <alignment horizontal="center"/>
    </xf>
    <xf numFmtId="0" fontId="112" fillId="0" borderId="0" xfId="0" applyFont="1" applyFill="1" applyAlignment="1" applyProtection="1">
      <alignment horizontal="center"/>
    </xf>
    <xf numFmtId="0" fontId="4" fillId="0" borderId="0" xfId="0" applyFont="1" applyFill="1" applyAlignment="1" applyProtection="1">
      <alignment horizontal="center"/>
    </xf>
    <xf numFmtId="168" fontId="2" fillId="0" borderId="0" xfId="38" quotePrefix="1" applyNumberFormat="1" applyFont="1" applyFill="1" applyAlignment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4" fillId="0" borderId="0" xfId="148" applyFont="1" applyAlignment="1" applyProtection="1">
      <alignment horizontal="center"/>
    </xf>
    <xf numFmtId="0" fontId="2" fillId="0" borderId="0" xfId="148" applyFont="1" applyAlignment="1" applyProtection="1">
      <alignment horizontal="center"/>
    </xf>
    <xf numFmtId="0" fontId="5" fillId="0" borderId="0" xfId="148" applyFont="1" applyAlignment="1" applyProtection="1">
      <alignment horizontal="center"/>
    </xf>
    <xf numFmtId="0" fontId="2" fillId="0" borderId="0" xfId="148" applyFont="1" applyBorder="1" applyAlignment="1" applyProtection="1">
      <alignment horizontal="center"/>
    </xf>
    <xf numFmtId="0" fontId="4" fillId="0" borderId="0" xfId="148" applyFont="1" applyBorder="1" applyAlignment="1" applyProtection="1">
      <alignment horizontal="center"/>
    </xf>
    <xf numFmtId="0" fontId="2" fillId="0" borderId="0" xfId="148" applyFont="1" applyFill="1" applyAlignment="1" applyProtection="1">
      <alignment horizontal="center"/>
    </xf>
    <xf numFmtId="0" fontId="4" fillId="0" borderId="0" xfId="149" applyFont="1" applyFill="1" applyAlignment="1" applyProtection="1">
      <alignment horizontal="center"/>
    </xf>
    <xf numFmtId="0" fontId="5" fillId="0" borderId="0" xfId="149" applyFont="1" applyFill="1" applyAlignment="1" applyProtection="1">
      <alignment horizontal="center"/>
    </xf>
    <xf numFmtId="0" fontId="92" fillId="0" borderId="0" xfId="149" applyFont="1" applyFill="1" applyAlignment="1" applyProtection="1">
      <alignment horizontal="center"/>
    </xf>
    <xf numFmtId="0" fontId="4" fillId="0" borderId="0" xfId="151" applyFont="1" applyAlignment="1" applyProtection="1">
      <alignment horizontal="center"/>
    </xf>
    <xf numFmtId="37" fontId="4" fillId="0" borderId="0" xfId="150" applyFont="1" applyAlignment="1" applyProtection="1">
      <alignment horizontal="center"/>
    </xf>
    <xf numFmtId="37" fontId="5" fillId="0" borderId="0" xfId="150" applyFont="1" applyAlignment="1" applyProtection="1">
      <alignment horizontal="center"/>
    </xf>
    <xf numFmtId="37" fontId="68" fillId="0" borderId="0" xfId="150" applyFont="1" applyAlignment="1" applyProtection="1">
      <alignment horizontal="center"/>
    </xf>
    <xf numFmtId="37" fontId="92" fillId="0" borderId="0" xfId="150" quotePrefix="1" applyFont="1" applyFill="1" applyAlignment="1" applyProtection="1">
      <alignment horizontal="center"/>
    </xf>
    <xf numFmtId="37" fontId="92" fillId="0" borderId="0" xfId="150" applyFont="1" applyFill="1" applyAlignment="1" applyProtection="1">
      <alignment horizontal="center"/>
    </xf>
    <xf numFmtId="0" fontId="4" fillId="0" borderId="0" xfId="165" applyFont="1" applyAlignment="1" applyProtection="1">
      <alignment horizontal="center"/>
    </xf>
    <xf numFmtId="0" fontId="5" fillId="0" borderId="0" xfId="165" applyFont="1" applyAlignment="1" applyProtection="1">
      <alignment horizontal="center"/>
    </xf>
    <xf numFmtId="0" fontId="42" fillId="0" borderId="0" xfId="138" applyFont="1" applyAlignment="1">
      <alignment horizontal="center"/>
    </xf>
    <xf numFmtId="0" fontId="8" fillId="0" borderId="0" xfId="166" applyFont="1" applyBorder="1" applyAlignment="1">
      <alignment horizontal="center"/>
    </xf>
    <xf numFmtId="0" fontId="8" fillId="0" borderId="6" xfId="166" applyFont="1" applyBorder="1" applyAlignment="1">
      <alignment horizontal="center"/>
    </xf>
    <xf numFmtId="0" fontId="4" fillId="0" borderId="0" xfId="166" applyFont="1" applyAlignment="1" applyProtection="1">
      <alignment horizontal="center"/>
    </xf>
    <xf numFmtId="0" fontId="5" fillId="0" borderId="0" xfId="166" applyFont="1" applyAlignment="1" applyProtection="1">
      <alignment horizontal="center"/>
    </xf>
    <xf numFmtId="0" fontId="4" fillId="0" borderId="0" xfId="166" quotePrefix="1" applyFont="1" applyBorder="1" applyAlignment="1" applyProtection="1">
      <alignment horizontal="center"/>
    </xf>
    <xf numFmtId="0" fontId="8" fillId="0" borderId="2" xfId="166" applyFont="1" applyBorder="1" applyAlignment="1">
      <alignment horizontal="center"/>
    </xf>
    <xf numFmtId="0" fontId="2" fillId="0" borderId="0" xfId="166" applyFont="1" applyAlignment="1" applyProtection="1">
      <alignment horizontal="center"/>
    </xf>
    <xf numFmtId="0" fontId="1" fillId="0" borderId="0" xfId="166" applyFont="1" applyAlignment="1" applyProtection="1">
      <alignment horizontal="center"/>
    </xf>
    <xf numFmtId="0" fontId="68" fillId="0" borderId="0" xfId="166" quotePrefix="1" applyFont="1" applyFill="1" applyBorder="1" applyAlignment="1" applyProtection="1">
      <alignment horizontal="center"/>
    </xf>
    <xf numFmtId="0" fontId="8" fillId="0" borderId="4" xfId="166" applyFont="1" applyBorder="1" applyAlignment="1">
      <alignment horizontal="center"/>
    </xf>
    <xf numFmtId="0" fontId="2" fillId="0" borderId="0" xfId="166" quotePrefix="1" applyFont="1" applyBorder="1" applyAlignment="1" applyProtection="1">
      <alignment horizontal="center"/>
    </xf>
    <xf numFmtId="0" fontId="5" fillId="0" borderId="0" xfId="166" quotePrefix="1" applyFont="1" applyFill="1" applyBorder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92" fillId="0" borderId="0" xfId="0" applyFont="1" applyFill="1" applyAlignment="1" applyProtection="1">
      <alignment horizontal="center"/>
    </xf>
    <xf numFmtId="0" fontId="5" fillId="0" borderId="0" xfId="164" applyFont="1" applyAlignment="1" applyProtection="1">
      <alignment horizontal="center"/>
    </xf>
    <xf numFmtId="0" fontId="2" fillId="0" borderId="0" xfId="164" applyFont="1" applyFill="1" applyAlignment="1" applyProtection="1">
      <alignment horizontal="center"/>
    </xf>
    <xf numFmtId="0" fontId="5" fillId="0" borderId="0" xfId="164" applyFont="1" applyFill="1" applyAlignment="1" applyProtection="1">
      <alignment horizontal="center"/>
      <protection locked="0"/>
    </xf>
    <xf numFmtId="0" fontId="2" fillId="0" borderId="0" xfId="164" applyFont="1" applyAlignment="1" applyProtection="1">
      <alignment horizontal="center"/>
      <protection locked="0"/>
    </xf>
    <xf numFmtId="0" fontId="5" fillId="0" borderId="0" xfId="164" applyFont="1" applyAlignment="1" applyProtection="1">
      <alignment horizontal="center"/>
      <protection locked="0"/>
    </xf>
    <xf numFmtId="0" fontId="2" fillId="0" borderId="0" xfId="164" applyFont="1" applyAlignment="1"/>
    <xf numFmtId="0" fontId="2" fillId="0" borderId="0" xfId="164" applyFont="1" applyAlignment="1">
      <alignment horizontal="center"/>
    </xf>
    <xf numFmtId="0" fontId="5" fillId="0" borderId="0" xfId="164" applyFont="1" applyAlignment="1">
      <alignment horizontal="center"/>
    </xf>
    <xf numFmtId="0" fontId="68" fillId="0" borderId="0" xfId="164" applyFont="1" applyFill="1" applyAlignment="1">
      <alignment horizontal="center"/>
    </xf>
    <xf numFmtId="0" fontId="26" fillId="0" borderId="0" xfId="164" applyFont="1" applyAlignment="1" applyProtection="1">
      <alignment horizontal="center"/>
      <protection locked="0"/>
    </xf>
    <xf numFmtId="0" fontId="26" fillId="0" borderId="0" xfId="164" applyFont="1" applyAlignment="1"/>
    <xf numFmtId="0" fontId="49" fillId="0" borderId="0" xfId="164" applyFont="1" applyAlignment="1" applyProtection="1">
      <alignment horizontal="center"/>
      <protection locked="0"/>
    </xf>
    <xf numFmtId="0" fontId="49" fillId="0" borderId="0" xfId="164" applyFont="1" applyAlignment="1"/>
    <xf numFmtId="0" fontId="99" fillId="0" borderId="0" xfId="164" applyFont="1" applyFill="1" applyAlignment="1" applyProtection="1">
      <alignment horizontal="center"/>
      <protection locked="0"/>
    </xf>
    <xf numFmtId="0" fontId="99" fillId="0" borderId="0" xfId="164" applyFont="1" applyFill="1" applyAlignment="1"/>
    <xf numFmtId="0" fontId="49" fillId="0" borderId="0" xfId="164" applyFont="1" applyFill="1" applyAlignment="1" applyProtection="1">
      <alignment horizontal="center"/>
      <protection locked="0"/>
    </xf>
    <xf numFmtId="0" fontId="77" fillId="0" borderId="0" xfId="164" applyFont="1" applyFill="1" applyAlignment="1" applyProtection="1">
      <alignment horizontal="center"/>
      <protection locked="0"/>
    </xf>
    <xf numFmtId="0" fontId="77" fillId="0" borderId="0" xfId="164" applyFont="1" applyFill="1" applyAlignment="1"/>
    <xf numFmtId="0" fontId="96" fillId="0" borderId="25" xfId="138" applyFont="1" applyBorder="1" applyAlignment="1">
      <alignment horizontal="center"/>
    </xf>
    <xf numFmtId="0" fontId="96" fillId="0" borderId="4" xfId="138" applyFont="1" applyBorder="1" applyAlignment="1">
      <alignment horizontal="center"/>
    </xf>
    <xf numFmtId="0" fontId="96" fillId="0" borderId="26" xfId="138" applyFont="1" applyBorder="1" applyAlignment="1">
      <alignment horizontal="center"/>
    </xf>
    <xf numFmtId="0" fontId="11" fillId="0" borderId="18" xfId="138" applyFont="1" applyBorder="1" applyAlignment="1">
      <alignment horizontal="left" vertical="top" wrapText="1"/>
    </xf>
    <xf numFmtId="0" fontId="11" fillId="0" borderId="0" xfId="138" applyFont="1" applyBorder="1" applyAlignment="1">
      <alignment horizontal="left" vertical="top" wrapText="1"/>
    </xf>
    <xf numFmtId="37" fontId="8" fillId="0" borderId="0" xfId="139" applyFont="1" applyFill="1" applyAlignment="1">
      <alignment horizontal="center" vertical="top" wrapText="1"/>
    </xf>
    <xf numFmtId="37" fontId="42" fillId="12" borderId="25" xfId="139" applyFont="1" applyFill="1" applyBorder="1" applyAlignment="1">
      <alignment horizontal="center" vertical="center"/>
    </xf>
    <xf numFmtId="37" fontId="42" fillId="12" borderId="4" xfId="139" applyFont="1" applyFill="1" applyBorder="1" applyAlignment="1">
      <alignment horizontal="center" vertical="center"/>
    </xf>
    <xf numFmtId="37" fontId="42" fillId="12" borderId="26" xfId="139" applyFont="1" applyFill="1" applyBorder="1" applyAlignment="1">
      <alignment horizontal="center" vertical="center"/>
    </xf>
    <xf numFmtId="37" fontId="42" fillId="0" borderId="25" xfId="139" applyFont="1" applyFill="1" applyBorder="1" applyAlignment="1">
      <alignment horizontal="center" vertical="center"/>
    </xf>
    <xf numFmtId="37" fontId="42" fillId="0" borderId="4" xfId="139" applyFont="1" applyFill="1" applyBorder="1" applyAlignment="1">
      <alignment horizontal="center" vertical="center"/>
    </xf>
    <xf numFmtId="37" fontId="42" fillId="0" borderId="26" xfId="139" applyFont="1" applyFill="1" applyBorder="1" applyAlignment="1">
      <alignment horizontal="center" vertical="center"/>
    </xf>
    <xf numFmtId="37" fontId="44" fillId="12" borderId="0" xfId="139" applyFont="1" applyFill="1" applyAlignment="1">
      <alignment horizontal="center"/>
    </xf>
    <xf numFmtId="37" fontId="8" fillId="0" borderId="0" xfId="139" applyFont="1" applyFill="1" applyAlignment="1">
      <alignment horizontal="left" vertical="top" wrapText="1"/>
    </xf>
    <xf numFmtId="0" fontId="26" fillId="0" borderId="0" xfId="161" applyFont="1" applyAlignment="1" applyProtection="1">
      <alignment horizontal="center"/>
      <protection locked="0"/>
    </xf>
    <xf numFmtId="0" fontId="49" fillId="0" borderId="0" xfId="161" applyFont="1" applyAlignment="1" applyProtection="1">
      <alignment horizontal="center"/>
      <protection locked="0"/>
    </xf>
    <xf numFmtId="0" fontId="26" fillId="0" borderId="0" xfId="161" applyFont="1" applyFill="1" applyAlignment="1">
      <alignment horizontal="left" wrapText="1"/>
    </xf>
    <xf numFmtId="0" fontId="99" fillId="0" borderId="0" xfId="161" applyFont="1" applyFill="1" applyAlignment="1" applyProtection="1">
      <alignment horizontal="center"/>
      <protection locked="0"/>
    </xf>
    <xf numFmtId="0" fontId="26" fillId="0" borderId="0" xfId="161" applyFont="1" applyFill="1" applyAlignment="1" applyProtection="1">
      <alignment horizontal="center"/>
      <protection locked="0"/>
    </xf>
    <xf numFmtId="0" fontId="49" fillId="0" borderId="0" xfId="161" applyFont="1" applyFill="1" applyAlignment="1" applyProtection="1">
      <alignment horizontal="center"/>
      <protection locked="0"/>
    </xf>
    <xf numFmtId="0" fontId="26" fillId="0" borderId="8" xfId="161" applyFont="1" applyFill="1" applyBorder="1" applyAlignment="1" applyProtection="1">
      <alignment horizontal="center"/>
    </xf>
    <xf numFmtId="0" fontId="26" fillId="0" borderId="5" xfId="161" applyFont="1" applyFill="1" applyBorder="1" applyAlignment="1" applyProtection="1">
      <alignment horizontal="center"/>
    </xf>
    <xf numFmtId="0" fontId="26" fillId="12" borderId="0" xfId="161" applyFont="1" applyFill="1" applyAlignment="1" applyProtection="1">
      <alignment horizontal="left" wrapText="1"/>
    </xf>
    <xf numFmtId="37" fontId="2" fillId="0" borderId="0" xfId="153" applyFont="1" applyAlignment="1">
      <alignment horizontal="center"/>
    </xf>
    <xf numFmtId="37" fontId="68" fillId="0" borderId="0" xfId="153" applyFont="1" applyAlignment="1">
      <alignment horizontal="center"/>
    </xf>
    <xf numFmtId="37" fontId="92" fillId="0" borderId="0" xfId="153" applyFont="1" applyFill="1" applyAlignment="1">
      <alignment horizontal="center"/>
    </xf>
    <xf numFmtId="37" fontId="2" fillId="0" borderId="24" xfId="153" applyFont="1" applyFill="1" applyBorder="1" applyAlignment="1">
      <alignment horizontal="center"/>
    </xf>
    <xf numFmtId="0" fontId="1" fillId="0" borderId="0" xfId="138" applyFont="1" applyFill="1" applyAlignment="1">
      <alignment horizontal="left" vertical="top" wrapText="1"/>
    </xf>
    <xf numFmtId="0" fontId="5" fillId="0" borderId="0" xfId="138" applyFont="1" applyFill="1" applyAlignment="1">
      <alignment horizontal="center"/>
    </xf>
    <xf numFmtId="0" fontId="2" fillId="0" borderId="6" xfId="138" applyFont="1" applyBorder="1" applyAlignment="1">
      <alignment horizontal="center"/>
    </xf>
    <xf numFmtId="0" fontId="2" fillId="0" borderId="6" xfId="138" applyBorder="1" applyAlignment="1">
      <alignment horizontal="center"/>
    </xf>
    <xf numFmtId="0" fontId="2" fillId="0" borderId="0" xfId="138" applyFont="1" applyAlignment="1">
      <alignment horizontal="center"/>
    </xf>
    <xf numFmtId="0" fontId="2" fillId="0" borderId="0" xfId="138" applyFont="1" applyFill="1" applyAlignment="1">
      <alignment horizontal="center"/>
    </xf>
    <xf numFmtId="0" fontId="5" fillId="0" borderId="0" xfId="138" applyFont="1" applyAlignment="1">
      <alignment horizontal="center"/>
    </xf>
    <xf numFmtId="0" fontId="2" fillId="0" borderId="4" xfId="138" applyFont="1" applyBorder="1" applyAlignment="1">
      <alignment horizontal="center"/>
    </xf>
    <xf numFmtId="0" fontId="7" fillId="0" borderId="2" xfId="138" applyFont="1" applyFill="1" applyBorder="1" applyAlignment="1">
      <alignment horizontal="center"/>
    </xf>
    <xf numFmtId="0" fontId="2" fillId="0" borderId="0" xfId="138" applyNumberFormat="1" applyFont="1" applyFill="1" applyAlignment="1">
      <alignment horizontal="center"/>
    </xf>
    <xf numFmtId="0" fontId="1" fillId="0" borderId="0" xfId="207" applyFont="1" applyAlignment="1">
      <alignment horizontal="center"/>
    </xf>
    <xf numFmtId="0" fontId="5" fillId="0" borderId="0" xfId="207" applyFont="1" applyAlignment="1">
      <alignment horizontal="center"/>
    </xf>
    <xf numFmtId="0" fontId="1" fillId="0" borderId="0" xfId="207" applyFont="1" applyFill="1" applyAlignment="1">
      <alignment horizontal="center"/>
    </xf>
    <xf numFmtId="0" fontId="1" fillId="0" borderId="0" xfId="207" applyNumberFormat="1" applyFont="1" applyFill="1" applyAlignment="1">
      <alignment horizontal="center"/>
    </xf>
    <xf numFmtId="37" fontId="8" fillId="0" borderId="0" xfId="162" applyNumberFormat="1" applyFont="1" applyFill="1" applyBorder="1" applyAlignment="1">
      <alignment horizontal="left" vertical="top" wrapText="1"/>
    </xf>
    <xf numFmtId="0" fontId="2" fillId="0" borderId="0" xfId="162" applyFont="1" applyFill="1" applyAlignment="1">
      <alignment horizontal="center"/>
    </xf>
    <xf numFmtId="0" fontId="11" fillId="0" borderId="0" xfId="154" applyFont="1" applyAlignment="1">
      <alignment horizontal="center"/>
    </xf>
    <xf numFmtId="0" fontId="2" fillId="0" borderId="0" xfId="154" applyFont="1" applyFill="1" applyAlignment="1" applyProtection="1">
      <alignment horizontal="center"/>
    </xf>
    <xf numFmtId="0" fontId="5" fillId="0" borderId="0" xfId="154" applyFont="1" applyAlignment="1" applyProtection="1">
      <alignment horizontal="center"/>
    </xf>
    <xf numFmtId="0" fontId="5" fillId="0" borderId="0" xfId="154" applyFont="1" applyFill="1" applyAlignment="1" applyProtection="1">
      <alignment horizontal="center"/>
    </xf>
    <xf numFmtId="0" fontId="68" fillId="0" borderId="0" xfId="154" applyFont="1" applyFill="1" applyAlignment="1" applyProtection="1">
      <alignment horizontal="center"/>
    </xf>
    <xf numFmtId="0" fontId="2" fillId="0" borderId="0" xfId="156" applyFont="1" applyAlignment="1" applyProtection="1">
      <alignment horizontal="center"/>
    </xf>
    <xf numFmtId="0" fontId="2" fillId="0" borderId="0" xfId="156" applyFont="1" applyFill="1" applyAlignment="1" applyProtection="1">
      <alignment horizontal="center"/>
    </xf>
    <xf numFmtId="0" fontId="2" fillId="0" borderId="0" xfId="138" applyFill="1" applyAlignment="1">
      <alignment horizontal="left"/>
    </xf>
    <xf numFmtId="0" fontId="5" fillId="0" borderId="0" xfId="152" applyFont="1" applyFill="1" applyAlignment="1" applyProtection="1">
      <alignment horizontal="center"/>
      <protection locked="0"/>
    </xf>
    <xf numFmtId="0" fontId="2" fillId="0" borderId="27" xfId="138" applyFont="1" applyBorder="1" applyAlignment="1">
      <alignment horizontal="center"/>
    </xf>
    <xf numFmtId="0" fontId="2" fillId="0" borderId="27" xfId="152" applyFont="1" applyBorder="1" applyAlignment="1">
      <alignment horizontal="center"/>
    </xf>
    <xf numFmtId="0" fontId="5" fillId="0" borderId="0" xfId="152" applyFont="1" applyAlignment="1" applyProtection="1">
      <alignment horizontal="center"/>
      <protection locked="0"/>
    </xf>
    <xf numFmtId="0" fontId="2" fillId="0" borderId="0" xfId="152" applyFont="1" applyFill="1" applyAlignment="1" applyProtection="1">
      <alignment horizontal="center"/>
      <protection locked="0"/>
    </xf>
    <xf numFmtId="0" fontId="2" fillId="0" borderId="0" xfId="138" applyFont="1" applyBorder="1" applyAlignment="1">
      <alignment horizontal="center"/>
    </xf>
    <xf numFmtId="0" fontId="2" fillId="0" borderId="0" xfId="152" applyFont="1" applyBorder="1" applyAlignment="1">
      <alignment horizontal="center"/>
    </xf>
    <xf numFmtId="0" fontId="2" fillId="0" borderId="0" xfId="152" applyFont="1" applyAlignment="1" applyProtection="1">
      <alignment horizontal="center"/>
      <protection locked="0"/>
    </xf>
    <xf numFmtId="0" fontId="2" fillId="0" borderId="0" xfId="163" applyFont="1" applyAlignment="1">
      <alignment horizontal="center"/>
    </xf>
    <xf numFmtId="0" fontId="5" fillId="0" borderId="0" xfId="163" applyFont="1" applyAlignment="1">
      <alignment horizontal="center"/>
    </xf>
    <xf numFmtId="0" fontId="5" fillId="0" borderId="0" xfId="163" applyFont="1" applyFill="1" applyAlignment="1">
      <alignment horizontal="center"/>
    </xf>
    <xf numFmtId="0" fontId="2" fillId="0" borderId="0" xfId="158" applyFont="1" applyAlignment="1">
      <alignment horizontal="center"/>
    </xf>
    <xf numFmtId="0" fontId="5" fillId="0" borderId="0" xfId="158" applyFont="1" applyFill="1" applyAlignment="1" applyProtection="1">
      <alignment horizontal="center"/>
    </xf>
    <xf numFmtId="0" fontId="5" fillId="0" borderId="0" xfId="157" applyFont="1" applyFill="1" applyAlignment="1" applyProtection="1">
      <alignment horizontal="center"/>
    </xf>
    <xf numFmtId="0" fontId="2" fillId="0" borderId="0" xfId="159" applyFont="1" applyAlignment="1">
      <alignment horizontal="center"/>
    </xf>
    <xf numFmtId="0" fontId="5" fillId="0" borderId="0" xfId="159" applyFont="1" applyAlignment="1" applyProtection="1">
      <alignment horizontal="center"/>
    </xf>
    <xf numFmtId="0" fontId="2" fillId="0" borderId="0" xfId="160" applyFont="1" applyAlignment="1">
      <alignment horizontal="center"/>
    </xf>
    <xf numFmtId="0" fontId="92" fillId="0" borderId="0" xfId="160" applyFont="1" applyFill="1" applyAlignment="1" applyProtection="1">
      <alignment horizontal="center"/>
    </xf>
    <xf numFmtId="0" fontId="2" fillId="0" borderId="0" xfId="155" applyFont="1" applyAlignment="1" applyProtection="1">
      <alignment horizontal="center"/>
    </xf>
    <xf numFmtId="0" fontId="26" fillId="0" borderId="0" xfId="141" applyFont="1" applyAlignment="1" applyProtection="1">
      <alignment horizontal="center"/>
    </xf>
    <xf numFmtId="37" fontId="26" fillId="0" borderId="0" xfId="141" applyNumberFormat="1" applyFont="1" applyFill="1" applyAlignment="1" applyProtection="1">
      <alignment horizontal="left"/>
    </xf>
    <xf numFmtId="37" fontId="26" fillId="0" borderId="0" xfId="141" applyNumberFormat="1" applyFont="1" applyFill="1" applyAlignment="1" applyProtection="1">
      <alignment horizontal="left" wrapText="1"/>
    </xf>
    <xf numFmtId="0" fontId="49" fillId="0" borderId="0" xfId="141" applyFont="1" applyAlignment="1" applyProtection="1">
      <alignment horizontal="center"/>
    </xf>
    <xf numFmtId="0" fontId="26" fillId="0" borderId="0" xfId="141" applyFont="1" applyFill="1" applyAlignment="1" applyProtection="1">
      <alignment horizontal="center"/>
    </xf>
    <xf numFmtId="0" fontId="49" fillId="0" borderId="0" xfId="0" applyFont="1" applyFill="1" applyAlignment="1" applyProtection="1">
      <alignment horizontal="center"/>
    </xf>
    <xf numFmtId="0" fontId="104" fillId="0" borderId="0" xfId="141" applyFont="1" applyFill="1" applyAlignment="1">
      <alignment horizontal="left" vertical="top" wrapText="1"/>
    </xf>
    <xf numFmtId="0" fontId="36" fillId="0" borderId="0" xfId="141" applyFont="1" applyFill="1" applyAlignment="1">
      <alignment horizontal="left" vertical="top" wrapText="1"/>
    </xf>
    <xf numFmtId="0" fontId="26" fillId="0" borderId="0" xfId="141" applyFont="1" applyFill="1" applyAlignment="1">
      <alignment horizontal="left"/>
    </xf>
    <xf numFmtId="0" fontId="1" fillId="0" borderId="0" xfId="0" applyFont="1" applyAlignment="1" applyProtection="1">
      <alignment horizontal="center"/>
    </xf>
    <xf numFmtId="0" fontId="1" fillId="0" borderId="0" xfId="0" applyFont="1" applyFill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1" fontId="5" fillId="0" borderId="0" xfId="147" applyNumberFormat="1" applyFont="1" applyFill="1" applyAlignment="1" applyProtection="1">
      <alignment horizontal="right"/>
    </xf>
    <xf numFmtId="0" fontId="4" fillId="0" borderId="0" xfId="147" applyFont="1" applyAlignment="1">
      <alignment horizontal="right"/>
    </xf>
    <xf numFmtId="0" fontId="2" fillId="0" borderId="0" xfId="147" applyFont="1" applyAlignment="1" applyProtection="1">
      <alignment horizontal="right"/>
    </xf>
    <xf numFmtId="172" fontId="6" fillId="0" borderId="0" xfId="147" applyNumberFormat="1" applyFont="1" applyBorder="1" applyAlignment="1" applyProtection="1">
      <alignment horizontal="right"/>
    </xf>
    <xf numFmtId="37" fontId="4" fillId="0" borderId="0" xfId="147" applyNumberFormat="1" applyFont="1" applyAlignment="1">
      <alignment horizontal="right"/>
    </xf>
    <xf numFmtId="37" fontId="6" fillId="0" borderId="0" xfId="147" applyNumberFormat="1" applyFont="1" applyAlignment="1">
      <alignment horizontal="right"/>
    </xf>
    <xf numFmtId="0" fontId="4" fillId="0" borderId="0" xfId="147" applyFont="1" applyFill="1" applyAlignment="1">
      <alignment horizontal="right"/>
    </xf>
    <xf numFmtId="37" fontId="12" fillId="0" borderId="0" xfId="147" applyNumberFormat="1" applyFont="1" applyAlignment="1" applyProtection="1">
      <alignment horizontal="right"/>
    </xf>
  </cellXfs>
  <cellStyles count="211">
    <cellStyle name="%" xfId="1"/>
    <cellStyle name="_Ebill Paper Bill ARC Recovery" xfId="2"/>
    <cellStyle name="_MTC Resource Unit Baseline by state 050920 v2" xfId="3"/>
    <cellStyle name="_Term for Change of Control" xfId="4"/>
    <cellStyle name="_Term for Convenience" xfId="5"/>
    <cellStyle name="_Transformation Projects Cap vs Exp Master" xfId="6"/>
    <cellStyle name="C00A" xfId="7"/>
    <cellStyle name="C00B" xfId="8"/>
    <cellStyle name="C00L" xfId="9"/>
    <cellStyle name="C01A" xfId="10"/>
    <cellStyle name="C01B" xfId="11"/>
    <cellStyle name="C01H" xfId="12"/>
    <cellStyle name="C01L" xfId="13"/>
    <cellStyle name="C02A" xfId="14"/>
    <cellStyle name="C02B" xfId="15"/>
    <cellStyle name="C02H" xfId="16"/>
    <cellStyle name="C02L" xfId="17"/>
    <cellStyle name="C03A" xfId="18"/>
    <cellStyle name="C03B" xfId="19"/>
    <cellStyle name="C03H" xfId="20"/>
    <cellStyle name="C03L" xfId="21"/>
    <cellStyle name="C04A" xfId="22"/>
    <cellStyle name="C04B" xfId="23"/>
    <cellStyle name="C04H" xfId="24"/>
    <cellStyle name="C04L" xfId="25"/>
    <cellStyle name="C05A" xfId="26"/>
    <cellStyle name="C05B" xfId="27"/>
    <cellStyle name="C05H" xfId="28"/>
    <cellStyle name="C05L" xfId="29"/>
    <cellStyle name="C06A" xfId="30"/>
    <cellStyle name="C06B" xfId="31"/>
    <cellStyle name="C06H" xfId="32"/>
    <cellStyle name="C06L" xfId="33"/>
    <cellStyle name="C07A" xfId="34"/>
    <cellStyle name="C07B" xfId="35"/>
    <cellStyle name="C07H" xfId="36"/>
    <cellStyle name="C07L" xfId="37"/>
    <cellStyle name="Comma" xfId="38" builtinId="3"/>
    <cellStyle name="Comma 10" xfId="39"/>
    <cellStyle name="Comma 100" xfId="40"/>
    <cellStyle name="Comma 101" xfId="41"/>
    <cellStyle name="Comma 102" xfId="42"/>
    <cellStyle name="Comma 103" xfId="43"/>
    <cellStyle name="Comma 104" xfId="44"/>
    <cellStyle name="Comma 105" xfId="45"/>
    <cellStyle name="Comma 106" xfId="46"/>
    <cellStyle name="Comma 11" xfId="47"/>
    <cellStyle name="Comma 12" xfId="48"/>
    <cellStyle name="Comma 13" xfId="49"/>
    <cellStyle name="Comma 14" xfId="50"/>
    <cellStyle name="Comma 16" xfId="51"/>
    <cellStyle name="Comma 17" xfId="52"/>
    <cellStyle name="Comma 18" xfId="53"/>
    <cellStyle name="Comma 19" xfId="54"/>
    <cellStyle name="Comma 2" xfId="55"/>
    <cellStyle name="Comma 2 2" xfId="56"/>
    <cellStyle name="Comma 2 3" xfId="57"/>
    <cellStyle name="Comma 2 4" xfId="210"/>
    <cellStyle name="Comma 20" xfId="58"/>
    <cellStyle name="Comma 21" xfId="59"/>
    <cellStyle name="Comma 22" xfId="60"/>
    <cellStyle name="Comma 24" xfId="61"/>
    <cellStyle name="Comma 25" xfId="62"/>
    <cellStyle name="Comma 26" xfId="63"/>
    <cellStyle name="Comma 27" xfId="64"/>
    <cellStyle name="Comma 28" xfId="65"/>
    <cellStyle name="Comma 29" xfId="66"/>
    <cellStyle name="Comma 3" xfId="67"/>
    <cellStyle name="Comma 3 2" xfId="68"/>
    <cellStyle name="Comma 30" xfId="69"/>
    <cellStyle name="Comma 31" xfId="70"/>
    <cellStyle name="Comma 33" xfId="71"/>
    <cellStyle name="Comma 34" xfId="72"/>
    <cellStyle name="Comma 35" xfId="73"/>
    <cellStyle name="Comma 36" xfId="74"/>
    <cellStyle name="Comma 37" xfId="75"/>
    <cellStyle name="Comma 38" xfId="76"/>
    <cellStyle name="Comma 39" xfId="77"/>
    <cellStyle name="Comma 4" xfId="78"/>
    <cellStyle name="Comma 40" xfId="79"/>
    <cellStyle name="Comma 41" xfId="80"/>
    <cellStyle name="Comma 43" xfId="81"/>
    <cellStyle name="Comma 44" xfId="82"/>
    <cellStyle name="Comma 45" xfId="83"/>
    <cellStyle name="Comma 46" xfId="84"/>
    <cellStyle name="Comma 48" xfId="85"/>
    <cellStyle name="Comma 49" xfId="86"/>
    <cellStyle name="Comma 5" xfId="87"/>
    <cellStyle name="Comma 51" xfId="88"/>
    <cellStyle name="Comma 52" xfId="89"/>
    <cellStyle name="Comma 53" xfId="90"/>
    <cellStyle name="Comma 54" xfId="91"/>
    <cellStyle name="Comma 55" xfId="92"/>
    <cellStyle name="Comma 56" xfId="93"/>
    <cellStyle name="Comma 57" xfId="94"/>
    <cellStyle name="Comma 58" xfId="95"/>
    <cellStyle name="Comma 59" xfId="96"/>
    <cellStyle name="Comma 60" xfId="97"/>
    <cellStyle name="Comma 61" xfId="98"/>
    <cellStyle name="Comma 62" xfId="99"/>
    <cellStyle name="Comma 63" xfId="100"/>
    <cellStyle name="Comma 64" xfId="101"/>
    <cellStyle name="Comma 65" xfId="102"/>
    <cellStyle name="Comma 66" xfId="103"/>
    <cellStyle name="Comma 67" xfId="104"/>
    <cellStyle name="Comma 68" xfId="105"/>
    <cellStyle name="Comma 7" xfId="106"/>
    <cellStyle name="Comma 70" xfId="107"/>
    <cellStyle name="Comma 72" xfId="108"/>
    <cellStyle name="Comma 73" xfId="109"/>
    <cellStyle name="Comma 74" xfId="110"/>
    <cellStyle name="Comma 75" xfId="111"/>
    <cellStyle name="Comma 76" xfId="112"/>
    <cellStyle name="Comma 77" xfId="113"/>
    <cellStyle name="Comma 78" xfId="114"/>
    <cellStyle name="Comma 79" xfId="115"/>
    <cellStyle name="Comma 8" xfId="116"/>
    <cellStyle name="Comma 80" xfId="117"/>
    <cellStyle name="Comma 81" xfId="118"/>
    <cellStyle name="Comma 82" xfId="119"/>
    <cellStyle name="Comma 83" xfId="120"/>
    <cellStyle name="Comma 84" xfId="121"/>
    <cellStyle name="Comma 85" xfId="122"/>
    <cellStyle name="Comma 86" xfId="123"/>
    <cellStyle name="Comma 87" xfId="124"/>
    <cellStyle name="Comma 88" xfId="125"/>
    <cellStyle name="Comma 89" xfId="126"/>
    <cellStyle name="Comma 9" xfId="127"/>
    <cellStyle name="Comma 91" xfId="128"/>
    <cellStyle name="Comma 92" xfId="129"/>
    <cellStyle name="Comma 93" xfId="130"/>
    <cellStyle name="Comma 94" xfId="131"/>
    <cellStyle name="Comma 95" xfId="132"/>
    <cellStyle name="Comma 96" xfId="133"/>
    <cellStyle name="Comma 98" xfId="134"/>
    <cellStyle name="Comma 99" xfId="135"/>
    <cellStyle name="Currency" xfId="136" builtinId="4"/>
    <cellStyle name="Currency 2" xfId="208"/>
    <cellStyle name="Euro" xfId="137"/>
    <cellStyle name="Normal" xfId="0" builtinId="0"/>
    <cellStyle name="Normal 2" xfId="138"/>
    <cellStyle name="Normal 2 2" xfId="139"/>
    <cellStyle name="Normal 2 3" xfId="207"/>
    <cellStyle name="Normal 3" xfId="140"/>
    <cellStyle name="Normal 4" xfId="141"/>
    <cellStyle name="Normal 5" xfId="142"/>
    <cellStyle name="Normal 6" xfId="143"/>
    <cellStyle name="Normal_B-1" xfId="144"/>
    <cellStyle name="Normal_B2x1" xfId="145"/>
    <cellStyle name="Normal_B2x1a" xfId="146"/>
    <cellStyle name="Normal_B-2x3" xfId="147"/>
    <cellStyle name="Normal_B-3" xfId="148"/>
    <cellStyle name="Normal_B-3x1" xfId="149"/>
    <cellStyle name="Normal_B-4" xfId="150"/>
    <cellStyle name="Normal_B-4 CWIP" xfId="151"/>
    <cellStyle name="Normal_B-8 Comparative" xfId="152"/>
    <cellStyle name="Normal_E-1 Income Taxes" xfId="153"/>
    <cellStyle name="Normal_H-1 GR Conversion Factor" xfId="154"/>
    <cellStyle name="Normal_Index" xfId="155"/>
    <cellStyle name="Normal_Index-I" xfId="156"/>
    <cellStyle name="Normal_J-1x2" xfId="157"/>
    <cellStyle name="Normal_J-2" xfId="158"/>
    <cellStyle name="Normal_J-3" xfId="159"/>
    <cellStyle name="Normal_J-4" xfId="160"/>
    <cellStyle name="Normal_Schedule D Adjustments" xfId="161"/>
    <cellStyle name="Normal_Schedule G" xfId="162"/>
    <cellStyle name="Normal_Schedule J" xfId="163"/>
    <cellStyle name="Normal_Schedules A thru L Cost of Servive June 30, 2009" xfId="164"/>
    <cellStyle name="Normal_WPB-5.1 Working Capital Componets" xfId="165"/>
    <cellStyle name="Normal_WPB-6 - Deferred Credits &amp; Accumulated Deferred Income Taxes" xfId="166"/>
    <cellStyle name="Percent" xfId="167" builtinId="5"/>
    <cellStyle name="Percent 2" xfId="168"/>
    <cellStyle name="Percent 2 2" xfId="209"/>
    <cellStyle name="PSChar" xfId="169"/>
    <cellStyle name="PSDate" xfId="170"/>
    <cellStyle name="PSDec" xfId="171"/>
    <cellStyle name="PSHeading" xfId="172"/>
    <cellStyle name="PSInt" xfId="173"/>
    <cellStyle name="PSSpacer" xfId="174"/>
    <cellStyle name="R00A" xfId="175"/>
    <cellStyle name="R00B" xfId="176"/>
    <cellStyle name="R00L" xfId="177"/>
    <cellStyle name="R01A" xfId="178"/>
    <cellStyle name="R01B" xfId="179"/>
    <cellStyle name="R01H" xfId="180"/>
    <cellStyle name="R01L" xfId="181"/>
    <cellStyle name="R02A" xfId="182"/>
    <cellStyle name="R02B" xfId="183"/>
    <cellStyle name="R02H" xfId="184"/>
    <cellStyle name="R02L" xfId="185"/>
    <cellStyle name="R03A" xfId="186"/>
    <cellStyle name="R03B" xfId="187"/>
    <cellStyle name="R03H" xfId="188"/>
    <cellStyle name="R03L" xfId="189"/>
    <cellStyle name="R04A" xfId="190"/>
    <cellStyle name="R04B" xfId="191"/>
    <cellStyle name="R04H" xfId="192"/>
    <cellStyle name="R04L" xfId="193"/>
    <cellStyle name="R05A" xfId="194"/>
    <cellStyle name="R05B" xfId="195"/>
    <cellStyle name="R05H" xfId="196"/>
    <cellStyle name="R05L" xfId="197"/>
    <cellStyle name="R06A" xfId="198"/>
    <cellStyle name="R06B" xfId="199"/>
    <cellStyle name="R06H" xfId="200"/>
    <cellStyle name="R06L" xfId="201"/>
    <cellStyle name="R07A" xfId="202"/>
    <cellStyle name="R07B" xfId="203"/>
    <cellStyle name="R07H" xfId="204"/>
    <cellStyle name="R07L" xfId="205"/>
    <cellStyle name="Style 1" xfId="206"/>
  </cellStyles>
  <dxfs count="0"/>
  <tableStyles count="0" defaultTableStyle="TableStyleMedium2" defaultPivotStyle="PivotStyleLight16"/>
  <colors>
    <mruColors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0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5.xml"/><Relationship Id="rId133" Type="http://schemas.openxmlformats.org/officeDocument/2006/relationships/externalLink" Target="externalLinks/externalLink26.xml"/><Relationship Id="rId138" Type="http://schemas.openxmlformats.org/officeDocument/2006/relationships/externalLink" Target="externalLinks/externalLink3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externalLink" Target="externalLinks/externalLink16.xml"/><Relationship Id="rId128" Type="http://schemas.openxmlformats.org/officeDocument/2006/relationships/externalLink" Target="externalLinks/externalLink21.xml"/><Relationship Id="rId14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6.xml"/><Relationship Id="rId118" Type="http://schemas.openxmlformats.org/officeDocument/2006/relationships/externalLink" Target="externalLinks/externalLink11.xml"/><Relationship Id="rId134" Type="http://schemas.openxmlformats.org/officeDocument/2006/relationships/externalLink" Target="externalLinks/externalLink27.xml"/><Relationship Id="rId139" Type="http://schemas.openxmlformats.org/officeDocument/2006/relationships/externalLink" Target="externalLinks/externalLink3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externalLink" Target="externalLinks/externalLink1.xml"/><Relationship Id="rId116" Type="http://schemas.openxmlformats.org/officeDocument/2006/relationships/externalLink" Target="externalLinks/externalLink9.xml"/><Relationship Id="rId124" Type="http://schemas.openxmlformats.org/officeDocument/2006/relationships/externalLink" Target="externalLinks/externalLink17.xml"/><Relationship Id="rId129" Type="http://schemas.openxmlformats.org/officeDocument/2006/relationships/externalLink" Target="externalLinks/externalLink22.xml"/><Relationship Id="rId137" Type="http://schemas.openxmlformats.org/officeDocument/2006/relationships/externalLink" Target="externalLinks/externalLink3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externalLink" Target="externalLinks/externalLink4.xml"/><Relationship Id="rId132" Type="http://schemas.openxmlformats.org/officeDocument/2006/relationships/externalLink" Target="externalLinks/externalLink25.xml"/><Relationship Id="rId140" Type="http://schemas.openxmlformats.org/officeDocument/2006/relationships/externalLink" Target="externalLinks/externalLink33.xml"/><Relationship Id="rId14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7.xml"/><Relationship Id="rId119" Type="http://schemas.openxmlformats.org/officeDocument/2006/relationships/externalLink" Target="externalLinks/externalLink12.xml"/><Relationship Id="rId127" Type="http://schemas.openxmlformats.org/officeDocument/2006/relationships/externalLink" Target="externalLinks/externalLink20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15.xml"/><Relationship Id="rId130" Type="http://schemas.openxmlformats.org/officeDocument/2006/relationships/externalLink" Target="externalLinks/externalLink23.xml"/><Relationship Id="rId135" Type="http://schemas.openxmlformats.org/officeDocument/2006/relationships/externalLink" Target="externalLinks/externalLink28.xml"/><Relationship Id="rId14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2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13.xml"/><Relationship Id="rId125" Type="http://schemas.openxmlformats.org/officeDocument/2006/relationships/externalLink" Target="externalLinks/externalLink18.xml"/><Relationship Id="rId141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3.xml"/><Relationship Id="rId115" Type="http://schemas.openxmlformats.org/officeDocument/2006/relationships/externalLink" Target="externalLinks/externalLink8.xml"/><Relationship Id="rId131" Type="http://schemas.openxmlformats.org/officeDocument/2006/relationships/externalLink" Target="externalLinks/externalLink24.xml"/><Relationship Id="rId136" Type="http://schemas.openxmlformats.org/officeDocument/2006/relationships/externalLink" Target="externalLinks/externalLink29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externalLink" Target="externalLinks/externalLink1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14.xml"/><Relationship Id="rId142" Type="http://schemas.openxmlformats.org/officeDocument/2006/relationships/connections" Target="connection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wnhamfpp032\ratecomm\Documents%20and%20Settings\Catharine%20Lacy\My%20Documents\Work%20Projects\Columbia3\TS1&amp;TS2\DataFarm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Models\IT\IT%20Financial%20Model%20Tool\2006-08-08%20Nisource%20-%20IT%20Financial%20Management%20Tool_Amendment%203%20Update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loyd%20Spann\My%20Documents\Excel\2004\BCBSRI\Governance%20Financial%20Management\Service%20Credits\BCBSRI%20Service%20Level%20Credit%20Tracking%20Draft_v11_LDS_0128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MD\Rate%20Case\2008\Class%20Cost%20of%20Service\Sep%2012.%202008\Demand.Commodity%20Stud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rate\CMD\ratecase\1995\EXH10.WK1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yorConsolidated\Accounts\Blue%20Cross\Financials\2003\05\PYR_SVC_BLUERI_AP%20IMAG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CKY\Rate%20Case%20-%202016\Schedules\Schedule%20M%20(Revenues)\Sch%20M%20-%20Revenue%20and%20Rate%20Design%20(Forecasted)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CKY\Rate%20Case%20-%202016\Schedules\(Working)%20-%20CKY%20Cost%20of%20Service%20Schedules%20A%20-%20K%20(Base%20Period%20TME%208-31-16,%20Forecast%20Period%20TME%2012-31-17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at65791\Local%20Settings\Temporary%20Internet%20Files\Content.Outlook\PQT8T9TM\Schedule%20C%20&amp;%20D%20-%20Operating%20Income\Sch%20C%20&amp;%20D%20-%20Operating%20Income%20Forecaste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Models\IT\IT%20Financial%20Model%20Tool\Financial%20Models\Nisource%20-%20Customer%20Contact%20Center%20Financial%20Management%20Tool%20v1%20(10.18.05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BMS%20People%20Analysis2.pp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tes\data\Schedule%20E%20-%20Income%20Taxes\E-1%20Income%20Tax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wnhamfpp032\ratecomm\Documents%20and%20Settings\Catharine%20Lacy\My%20Documents\Work%20Projects\Columbia3\PGA-ACA\(WORKINGCOPY)PGA-EffectiveNovember29,2005\(WORKINGCOPY)PGA-EffectiveNovember29,20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pgbmk001\Data1\Documents%20and%20Settings\MMeade\Desktop\BT%20quote%20template-%20May%202004%20V1.02%20-%20TEST%20FIL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KY\Rate%20Case%20-%202009\Rate%20Case%20Schedules\Base\Schedule%20C%20-%20Operating%20Income\Operating%20Incom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%20Return%20on%20Rate%20Base\2003\2003%203rd%20Qtr\NH%20Return%20on%20Rate%20Base%20ReportFiled%20-%2009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KY\Ratecase%20-%202007\Schedules\Workpapers\Payroll%20Tax%20Adjustmen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ourcing%20Initiative\ADM%20Support\APR04IMSS,%20v2.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taylor\LOCALS~1\Temp\notesC9812B\CMD%20-%20Cost%20of%20Service%2011-30-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arlouJ\Local%20Settings\Temporary%20Internet%20Files\OLK8\208522\0901Wellpoin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CKY/Rate%20Case%20-%202009/Rate%20Case%20Schedules/Historic/Schedules%20A%20-%20L%20-%20Cost%20of%20Service%20and%20Rate%20Base/As%20Filed/CKY%20Cost%20of%20Service%20Schedules%20A%20thru%20L%20December%2031,%20200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tes\data\Schedule%20B%20-%20Rate%20Base%20&amp;%20Balance%20Sheet\B-2%20Plant%20&amp;%20Propert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121726\AppData\Local\Temp\notesC9812B\CMD%202013%20Rate%20Case%20-%20Cost%20of%20Servic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pgbmk001\Data1\DOCUME~1\npatel\LOCALS~1\Temp\IPBS%20Quotation%20Tool%20v2.1%20-%20November%20Issue%2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erler\My%20Documents\Cendant\Denver%20Resource%20Baselines\Asset%20Tracking%2010_16_01.Lee1%20Rev%20P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701433~1\LOCALS~1\Temp\PB06BaseSept2004BMSGlobalOutsourceallocations_MA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parkegj\LOCALS~1\Temp\d.My%20Documents.Notes.Data\2004%20GIS\Submitted%20Files\20458p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gv\RATECASE\2006%20Rate%20Case%20TME%2012-31-05,%20Proforma%209-30-06\Revenue\TS1&amp;TS2splitworksheet-2005-(4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MD\Rate%20Case\2016\Cost%20of%20Service\CMD%202016%20Rate%20Case%20-%20Cost%20of%20Service%20model%20(WORKING)%20Updated%20for%2012-31-15%20Plant%20Data%2001-14-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wnhamfpp032\ratecomm\Cgv\RATECASE\2006%20Rate%20Case%20TME%2012-31-05,%20Proforma%209-30-06\Revenue\TS1&amp;TS2splitworksheet-2005-(4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PA\Rate%20Case\2008\Forecasted\Adjustments%20-%20O&amp;M%20Expense\Projected%20CAP%20for%20PA%20rate%20case%20test%20year%209-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PA\Rate%20Case\2016\Revenue\CPA%202016%20Rate%20Case%20Exh%20003%20Sch%2001%20Thru%2010%20and%20pgs%2006-10%20(Draft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Models\IT\IT%20Financial%20Model%20Tool\Nisource%20-%20MTC%20Financial%20Management%20Tool%20v20%20(11.1.05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B"/>
      <sheetName val="PGA 95 B&amp;B Monica"/>
      <sheetName val="Demand Data"/>
      <sheetName val="Demand Summary"/>
      <sheetName val="ACAvsCGVStorage&amp;Peaking"/>
      <sheetName val="TRANSPORTS-revised"/>
      <sheetName val="TS1&amp;TS2data"/>
      <sheetName val="B&amp;B Tol LVTS"/>
      <sheetName val="B&amp;B Tol TS1"/>
      <sheetName val="B&amp;B Tol TS2"/>
      <sheetName val="B&amp;B Tol All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enu"/>
      <sheetName val="Financials Menu"/>
      <sheetName val="A (Input) Inv MO Service Charge"/>
      <sheetName val="B (Input) MO Volumes"/>
      <sheetName val="C (Input) MO ARC - RRC Charges"/>
      <sheetName val="D (Output)- Volume Analysis"/>
      <sheetName val="E (Calc) -MO ARC-RRC Charge"/>
      <sheetName val="F (Valid) - MO Service Charge"/>
      <sheetName val="G (Valid) - MO ARC-RRC Charge"/>
      <sheetName val="H (Ref) - Mnthly Svc Fees"/>
      <sheetName val="I (Ref) - Mnthly Baseline Units"/>
      <sheetName val="J (Ref) - ARC RRC Rates"/>
      <sheetName val="K Graph (Input)"/>
      <sheetName val="L Graph (Data)"/>
      <sheetName val="M Graph (Baseline)"/>
      <sheetName val="N Graph (RU)"/>
      <sheetName val="New Graph"/>
      <sheetName val="O Graph (Charges)"/>
      <sheetName val="SLA Menu"/>
      <sheetName val="K (Input) SLA Achieved"/>
      <sheetName val="L (Output) Service Credit"/>
      <sheetName val="M (Output) Srvice Credt True Up"/>
      <sheetName val="N (Valid) Service Credit Sum"/>
      <sheetName val="O (Ref) At Risk"/>
      <sheetName val="P (Ref) Pool Allocation"/>
      <sheetName val="Q (Ref) SLA Consolidation"/>
      <sheetName val="R (Ref) SLA Updated"/>
      <sheetName val="(Ref) IT Tower (Original)"/>
      <sheetName val="(Ref) Invoice Detail "/>
      <sheetName val="Rate Schedu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LCs Due &amp; Recd"/>
      <sheetName val="1 - Totals"/>
      <sheetName val="2 - All Towers"/>
      <sheetName val="3-Pie Chart"/>
      <sheetName val="4-Indiv Towers"/>
      <sheetName val="% Invoice"/>
      <sheetName val="DSUM Explanation"/>
      <sheetName val="DB Functions"/>
      <sheetName val="Membership"/>
      <sheetName val="Infrastructure"/>
      <sheetName val="Blue Card"/>
      <sheetName val="FEP"/>
      <sheetName val="Basic Claims"/>
      <sheetName val="Applications"/>
      <sheetName val="Claims"/>
      <sheetName val="Mo1"/>
      <sheetName val="Mo2"/>
      <sheetName val="Mo3"/>
      <sheetName val="Mo4"/>
      <sheetName val="Mo5"/>
      <sheetName val="Mo6"/>
      <sheetName val="Mo7"/>
      <sheetName val="Mo8"/>
      <sheetName val="Mo9"/>
      <sheetName val="Mo10"/>
      <sheetName val="Mo11"/>
      <sheetName val="Mo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Plant"/>
      <sheetName val="Revenue"/>
      <sheetName val="O&amp;M"/>
      <sheetName val="Rate Base &amp; Taxes"/>
      <sheetName val="VLOOKUP"/>
      <sheetName val="Allocations"/>
      <sheetName val="Allocations II"/>
      <sheetName val="Title Page"/>
      <sheetName val="ROR @ Proforma - 1"/>
      <sheetName val="ROR @ Current - 2"/>
      <sheetName val="Gross Plant - 3"/>
      <sheetName val="Depr. Reserve - 4"/>
      <sheetName val="Depr. Expense - 5"/>
      <sheetName val="Operating Rev - 6"/>
      <sheetName val="Dist O&amp;M Expense - 7"/>
      <sheetName val="O&amp;M Expense - 8"/>
      <sheetName val="Taxes Other Than Inc - 9"/>
      <sheetName val="Rate Base - 10"/>
      <sheetName val="Income Tax - 11"/>
      <sheetName val="Allocation Factors - 12"/>
      <sheetName val="Allocation Factors - 13"/>
      <sheetName val="Customer Charge a1"/>
      <sheetName val="Cust-Based Gas Plant a2"/>
      <sheetName val="Customer Charge b1"/>
      <sheetName val="Cust-Based Gas Plant b2"/>
      <sheetName val="Conversion Factors"/>
      <sheetName val="A&amp;E"/>
      <sheetName val="Metri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1</v>
          </cell>
          <cell r="B2" t="str">
            <v>DESIGN DAY</v>
          </cell>
          <cell r="C2" t="str">
            <v>NON-COINCIDENT PEAK</v>
          </cell>
          <cell r="D2" t="str">
            <v>11c</v>
          </cell>
          <cell r="E2">
            <v>61900</v>
          </cell>
          <cell r="F2">
            <v>30100</v>
          </cell>
          <cell r="G2">
            <v>21100</v>
          </cell>
          <cell r="H2">
            <v>600</v>
          </cell>
          <cell r="I2">
            <v>10100.000000000002</v>
          </cell>
          <cell r="N2">
            <v>0.48626817447495962</v>
          </cell>
          <cell r="O2">
            <v>0.34087237479806137</v>
          </cell>
          <cell r="P2">
            <v>9.6930533117932146E-3</v>
          </cell>
          <cell r="Q2">
            <v>0.16316639741518582</v>
          </cell>
          <cell r="S2">
            <v>1</v>
          </cell>
        </row>
        <row r="3">
          <cell r="A3">
            <v>2</v>
          </cell>
          <cell r="B3" t="str">
            <v>THROUGHPUT EXCL. TRANSPORTATION</v>
          </cell>
          <cell r="E3">
            <v>3653023.1999999997</v>
          </cell>
          <cell r="F3">
            <v>2196082</v>
          </cell>
          <cell r="G3">
            <v>1401215.8</v>
          </cell>
          <cell r="H3">
            <v>55725.4</v>
          </cell>
          <cell r="I3">
            <v>0</v>
          </cell>
          <cell r="N3">
            <v>0.60116836925645589</v>
          </cell>
          <cell r="O3">
            <v>0.38357703285322692</v>
          </cell>
          <cell r="P3">
            <v>1.5254597890317259E-2</v>
          </cell>
          <cell r="Q3">
            <v>0</v>
          </cell>
          <cell r="S3">
            <v>1</v>
          </cell>
        </row>
        <row r="4">
          <cell r="A4">
            <v>3</v>
          </cell>
          <cell r="B4" t="str">
            <v>TOTAL THROUGHPUT</v>
          </cell>
          <cell r="E4">
            <v>5959250</v>
          </cell>
          <cell r="F4">
            <v>2269801</v>
          </cell>
          <cell r="G4">
            <v>1467726.7</v>
          </cell>
          <cell r="H4">
            <v>55725.4</v>
          </cell>
          <cell r="I4">
            <v>2165996.9000000004</v>
          </cell>
          <cell r="N4">
            <v>0.38088702437387256</v>
          </cell>
          <cell r="O4">
            <v>0.24629386248269497</v>
          </cell>
          <cell r="P4">
            <v>9.3510760582288036E-3</v>
          </cell>
          <cell r="Q4">
            <v>0.36346803708520375</v>
          </cell>
          <cell r="S4">
            <v>1</v>
          </cell>
        </row>
        <row r="5">
          <cell r="A5">
            <v>4</v>
          </cell>
          <cell r="B5" t="str">
            <v>DIRECT ASSIGNMENT - GAS PURCHASE EXPENSE</v>
          </cell>
          <cell r="E5">
            <v>52718497</v>
          </cell>
          <cell r="F5">
            <v>31699928</v>
          </cell>
          <cell r="G5">
            <v>20272155</v>
          </cell>
          <cell r="H5">
            <v>746414</v>
          </cell>
          <cell r="I5">
            <v>0</v>
          </cell>
          <cell r="N5">
            <v>0.60130561005940664</v>
          </cell>
          <cell r="O5">
            <v>0.3845359058700023</v>
          </cell>
          <cell r="P5">
            <v>1.4158484070591011E-2</v>
          </cell>
          <cell r="Q5">
            <v>0</v>
          </cell>
          <cell r="S5">
            <v>1</v>
          </cell>
        </row>
        <row r="6">
          <cell r="A6">
            <v>5</v>
          </cell>
          <cell r="B6" t="str">
            <v>COMPOSITE ALLOCATORS #1 &amp; #3</v>
          </cell>
          <cell r="C6" t="str">
            <v>DEMAND/COMMODITY</v>
          </cell>
          <cell r="D6" t="str">
            <v>11b</v>
          </cell>
          <cell r="E6">
            <v>1.0000000000000002</v>
          </cell>
          <cell r="F6">
            <v>0.43357759942441609</v>
          </cell>
          <cell r="G6">
            <v>0.29358311864037817</v>
          </cell>
          <cell r="H6">
            <v>9.5220646850110099E-3</v>
          </cell>
          <cell r="I6">
            <v>0.2633172172501948</v>
          </cell>
          <cell r="N6">
            <v>0.43357759942441598</v>
          </cell>
          <cell r="O6">
            <v>0.29358311864037812</v>
          </cell>
          <cell r="P6">
            <v>9.5220646850110082E-3</v>
          </cell>
          <cell r="Q6">
            <v>0.26331721725019475</v>
          </cell>
          <cell r="S6">
            <v>1</v>
          </cell>
        </row>
        <row r="7">
          <cell r="A7">
            <v>6</v>
          </cell>
          <cell r="B7" t="str">
            <v>AVERAGE NO. OF CUSTOMERS</v>
          </cell>
          <cell r="E7">
            <v>32348.833333333332</v>
          </cell>
          <cell r="F7">
            <v>28628.833333333332</v>
          </cell>
          <cell r="G7">
            <v>3600.333333333333</v>
          </cell>
          <cell r="H7">
            <v>27</v>
          </cell>
          <cell r="I7">
            <v>92.666666666666671</v>
          </cell>
          <cell r="N7">
            <v>0.88500358075767804</v>
          </cell>
          <cell r="O7">
            <v>0.11129716166992111</v>
          </cell>
          <cell r="P7">
            <v>8.3465142998459508E-4</v>
          </cell>
          <cell r="Q7">
            <v>2.8646061424162646E-3</v>
          </cell>
          <cell r="S7">
            <v>1</v>
          </cell>
        </row>
        <row r="8">
          <cell r="A8">
            <v>7</v>
          </cell>
          <cell r="B8" t="str">
            <v>DIRECT ASSIGNMENT - CONSUMPTION TAX</v>
          </cell>
          <cell r="E8">
            <v>208890</v>
          </cell>
          <cell r="F8">
            <v>94651</v>
          </cell>
          <cell r="G8">
            <v>61203</v>
          </cell>
          <cell r="H8">
            <v>2324</v>
          </cell>
          <cell r="I8">
            <v>50712</v>
          </cell>
          <cell r="N8">
            <v>0.4531140791804299</v>
          </cell>
          <cell r="O8">
            <v>0.29299152664081574</v>
          </cell>
          <cell r="P8">
            <v>1.1125472736847145E-2</v>
          </cell>
          <cell r="Q8">
            <v>0.24276892144190723</v>
          </cell>
          <cell r="S8">
            <v>1</v>
          </cell>
        </row>
        <row r="9">
          <cell r="A9">
            <v>8</v>
          </cell>
          <cell r="B9" t="str">
            <v>CURRENT REVENUE EXCL FORFEITED DIS &amp; OTHER</v>
          </cell>
          <cell r="E9">
            <v>69810883</v>
          </cell>
          <cell r="F9">
            <v>41382846.399999999</v>
          </cell>
          <cell r="G9">
            <v>25296454</v>
          </cell>
          <cell r="H9">
            <v>835580.7</v>
          </cell>
          <cell r="I9">
            <v>2296001.9</v>
          </cell>
          <cell r="N9">
            <v>0.59278503037986208</v>
          </cell>
          <cell r="O9">
            <v>0.36235688352487966</v>
          </cell>
          <cell r="P9">
            <v>1.1969203999324862E-2</v>
          </cell>
          <cell r="Q9">
            <v>3.2888882095933381E-2</v>
          </cell>
          <cell r="S9">
            <v>1</v>
          </cell>
        </row>
        <row r="10">
          <cell r="A10">
            <v>9</v>
          </cell>
          <cell r="B10" t="str">
            <v>DIRECT ASSIGNMENT - CUSTOMER DEPOSITS</v>
          </cell>
          <cell r="E10">
            <v>341775</v>
          </cell>
          <cell r="F10">
            <v>223584</v>
          </cell>
          <cell r="G10">
            <v>118191</v>
          </cell>
          <cell r="H10">
            <v>0</v>
          </cell>
          <cell r="I10">
            <v>0</v>
          </cell>
          <cell r="N10">
            <v>0.6541847706824665</v>
          </cell>
          <cell r="O10">
            <v>0.34581522931753345</v>
          </cell>
          <cell r="P10">
            <v>0</v>
          </cell>
          <cell r="Q10">
            <v>0</v>
          </cell>
          <cell r="S10">
            <v>1</v>
          </cell>
        </row>
        <row r="11">
          <cell r="A11">
            <v>10</v>
          </cell>
          <cell r="B11" t="str">
            <v>DIRECT ASSIGNMENT - FRANCHISE TAX BASED ON GROSS RECEIPTS</v>
          </cell>
          <cell r="E11">
            <v>326619.34039999999</v>
          </cell>
          <cell r="F11">
            <v>183990.008</v>
          </cell>
          <cell r="G11">
            <v>94900.96639999999</v>
          </cell>
          <cell r="H11">
            <v>1789.9260000000011</v>
          </cell>
          <cell r="I11">
            <v>45938.44</v>
          </cell>
          <cell r="N11">
            <v>0.56331632956784949</v>
          </cell>
          <cell r="O11">
            <v>0.29055525702727186</v>
          </cell>
          <cell r="P11">
            <v>5.480159251463607E-3</v>
          </cell>
          <cell r="Q11">
            <v>0.14064825415341511</v>
          </cell>
          <cell r="S11">
            <v>1</v>
          </cell>
        </row>
        <row r="12">
          <cell r="A12">
            <v>11</v>
          </cell>
          <cell r="B12" t="str">
            <v>DIST. PLANT EXCL ACCTS 375.70, 375.71, &amp; 387</v>
          </cell>
          <cell r="E12">
            <v>100881778.80000001</v>
          </cell>
          <cell r="F12">
            <v>59268813.399999999</v>
          </cell>
          <cell r="G12">
            <v>24033605</v>
          </cell>
          <cell r="H12">
            <v>798509.4</v>
          </cell>
          <cell r="I12">
            <v>16780851</v>
          </cell>
          <cell r="N12">
            <v>0.58750761639028504</v>
          </cell>
          <cell r="O12">
            <v>0.23823534126660342</v>
          </cell>
          <cell r="P12">
            <v>7.9152985752071209E-3</v>
          </cell>
          <cell r="Q12">
            <v>0.16634174376790428</v>
          </cell>
          <cell r="S12">
            <v>1</v>
          </cell>
        </row>
        <row r="13">
          <cell r="A13">
            <v>12</v>
          </cell>
          <cell r="B13" t="str">
            <v>GROSS PLANT</v>
          </cell>
          <cell r="E13">
            <v>107211465.59999999</v>
          </cell>
          <cell r="F13">
            <v>62654477.600000001</v>
          </cell>
          <cell r="G13">
            <v>25879233</v>
          </cell>
          <cell r="H13">
            <v>854459.6</v>
          </cell>
          <cell r="I13">
            <v>17823295.400000002</v>
          </cell>
          <cell r="N13">
            <v>0.58440090571805414</v>
          </cell>
          <cell r="O13">
            <v>0.24138493821690654</v>
          </cell>
          <cell r="P13">
            <v>7.9698528064893834E-3</v>
          </cell>
          <cell r="Q13">
            <v>0.16624430325855002</v>
          </cell>
          <cell r="S13">
            <v>1</v>
          </cell>
        </row>
        <row r="14">
          <cell r="A14">
            <v>13</v>
          </cell>
          <cell r="B14" t="str">
            <v>DIRECT PLANT - MAINS</v>
          </cell>
          <cell r="E14">
            <v>58076733</v>
          </cell>
          <cell r="F14">
            <v>25180770.5</v>
          </cell>
          <cell r="G14">
            <v>17050348.399999999</v>
          </cell>
          <cell r="H14">
            <v>553010.4</v>
          </cell>
          <cell r="I14">
            <v>15292603.699999999</v>
          </cell>
          <cell r="N14">
            <v>0.43357759982814459</v>
          </cell>
          <cell r="O14">
            <v>0.29358311873362436</v>
          </cell>
          <cell r="P14">
            <v>9.522064541750308E-3</v>
          </cell>
          <cell r="Q14">
            <v>0.26331721689648074</v>
          </cell>
          <cell r="S14">
            <v>1</v>
          </cell>
        </row>
        <row r="15">
          <cell r="A15">
            <v>14</v>
          </cell>
          <cell r="B15" t="str">
            <v>COMPOSITE DIRECT PLANT - ACCTS 376 &amp; 380</v>
          </cell>
          <cell r="E15">
            <v>90324477</v>
          </cell>
          <cell r="F15">
            <v>53337142.399999999</v>
          </cell>
          <cell r="G15">
            <v>20690703.099999998</v>
          </cell>
          <cell r="H15">
            <v>617441.5</v>
          </cell>
          <cell r="I15">
            <v>15679190</v>
          </cell>
          <cell r="N15">
            <v>0.59050596440209668</v>
          </cell>
          <cell r="O15">
            <v>0.229070832040356</v>
          </cell>
          <cell r="P15">
            <v>6.8358159438886099E-3</v>
          </cell>
          <cell r="Q15">
            <v>0.17358738761365869</v>
          </cell>
          <cell r="S15">
            <v>1</v>
          </cell>
        </row>
        <row r="16">
          <cell r="A16">
            <v>15</v>
          </cell>
          <cell r="B16" t="str">
            <v>DIRECT ASSIGNMENT - SERVICES</v>
          </cell>
          <cell r="E16">
            <v>1.0009999999999999</v>
          </cell>
          <cell r="F16">
            <v>0.874</v>
          </cell>
          <cell r="G16">
            <v>0.113</v>
          </cell>
          <cell r="H16">
            <v>2E-3</v>
          </cell>
          <cell r="I16">
            <v>1.2E-2</v>
          </cell>
          <cell r="N16">
            <v>0.8731268731268732</v>
          </cell>
          <cell r="O16">
            <v>0.11288711288711291</v>
          </cell>
          <cell r="P16">
            <v>1.9980019980019984E-3</v>
          </cell>
          <cell r="Q16">
            <v>1.198801198801199E-2</v>
          </cell>
          <cell r="S16">
            <v>1</v>
          </cell>
        </row>
        <row r="17">
          <cell r="A17">
            <v>16</v>
          </cell>
          <cell r="B17" t="str">
            <v>DIRECT ASSIGNMENT - METERS</v>
          </cell>
          <cell r="E17">
            <v>1</v>
          </cell>
          <cell r="F17">
            <v>0.63100000000000001</v>
          </cell>
          <cell r="G17">
            <v>0.32100000000000001</v>
          </cell>
          <cell r="H17">
            <v>7.0000000000000001E-3</v>
          </cell>
          <cell r="I17">
            <v>4.1000000000000002E-2</v>
          </cell>
          <cell r="N17">
            <v>0.63100000000000001</v>
          </cell>
          <cell r="O17">
            <v>0.32100000000000001</v>
          </cell>
          <cell r="P17">
            <v>7.0000000000000001E-3</v>
          </cell>
          <cell r="Q17">
            <v>4.1000000000000002E-2</v>
          </cell>
          <cell r="S17">
            <v>1</v>
          </cell>
        </row>
        <row r="18">
          <cell r="A18">
            <v>17</v>
          </cell>
          <cell r="B18" t="str">
            <v>DIRECT ASSIGNMENT - IND M &amp; R</v>
          </cell>
          <cell r="E18">
            <v>1</v>
          </cell>
          <cell r="F18">
            <v>0</v>
          </cell>
          <cell r="G18">
            <v>0.32900000000000001</v>
          </cell>
          <cell r="H18">
            <v>0.184</v>
          </cell>
          <cell r="I18">
            <v>0.48699999999999999</v>
          </cell>
          <cell r="N18">
            <v>0</v>
          </cell>
          <cell r="O18">
            <v>0.32900000000000001</v>
          </cell>
          <cell r="P18">
            <v>0.184</v>
          </cell>
          <cell r="Q18">
            <v>0.48699999999999999</v>
          </cell>
          <cell r="S18">
            <v>1</v>
          </cell>
        </row>
        <row r="19">
          <cell r="A19">
            <v>18</v>
          </cell>
          <cell r="B19" t="str">
            <v>OTHER DISTRIBUTION O &amp; M EXPENSE</v>
          </cell>
          <cell r="E19">
            <v>1930041.3091895485</v>
          </cell>
          <cell r="F19">
            <v>1079046.1000000001</v>
          </cell>
          <cell r="G19">
            <v>533901.98</v>
          </cell>
          <cell r="H19">
            <v>21657.47</v>
          </cell>
          <cell r="I19">
            <v>295435.88000000006</v>
          </cell>
          <cell r="N19">
            <v>0.55907927714412842</v>
          </cell>
          <cell r="O19">
            <v>0.27662722940587886</v>
          </cell>
          <cell r="P19">
            <v>1.1221246870148223E-2</v>
          </cell>
          <cell r="Q19">
            <v>0.15307230917459366</v>
          </cell>
          <cell r="S19">
            <v>1</v>
          </cell>
        </row>
        <row r="20">
          <cell r="A20">
            <v>19</v>
          </cell>
          <cell r="B20" t="str">
            <v xml:space="preserve">O &amp; M EXCL GAS PUR, UNCOLLECTIBLES, &amp; A &amp; G </v>
          </cell>
          <cell r="E20">
            <v>3632896.7122915387</v>
          </cell>
          <cell r="F20">
            <v>2260664.3000000003</v>
          </cell>
          <cell r="G20">
            <v>897361.89000000025</v>
          </cell>
          <cell r="H20">
            <v>33336.47</v>
          </cell>
          <cell r="I20">
            <v>441533.77000000008</v>
          </cell>
          <cell r="N20">
            <v>0.6222759629667618</v>
          </cell>
          <cell r="O20">
            <v>0.24701002012082177</v>
          </cell>
          <cell r="P20">
            <v>9.176277951203354E-3</v>
          </cell>
          <cell r="Q20">
            <v>0.12153766125695653</v>
          </cell>
          <cell r="S20">
            <v>1</v>
          </cell>
        </row>
        <row r="21">
          <cell r="A21">
            <v>20</v>
          </cell>
          <cell r="B21" t="str">
            <v>MINIMUM SYSTEM MAINS</v>
          </cell>
          <cell r="C21" t="str">
            <v>CUSTOMER/DEMAND</v>
          </cell>
          <cell r="D21" t="str">
            <v>11a</v>
          </cell>
          <cell r="E21">
            <v>1</v>
          </cell>
          <cell r="F21">
            <v>0.75</v>
          </cell>
          <cell r="G21">
            <v>0.189</v>
          </cell>
          <cell r="H21">
            <v>3.8999999999999998E-3</v>
          </cell>
          <cell r="I21">
            <v>5.7099999999999998E-2</v>
          </cell>
          <cell r="N21">
            <v>0.75</v>
          </cell>
          <cell r="O21">
            <v>0.189</v>
          </cell>
          <cell r="P21">
            <v>3.8999999999999998E-3</v>
          </cell>
          <cell r="Q21">
            <v>5.7099999999999998E-2</v>
          </cell>
          <cell r="S21">
            <v>1</v>
          </cell>
        </row>
        <row r="22">
          <cell r="A22">
            <v>21</v>
          </cell>
          <cell r="B22" t="str">
            <v>DIRECT ASSIGNMENT - CUR REV BILLED THROUGH DIS</v>
          </cell>
          <cell r="E22">
            <v>64496162</v>
          </cell>
          <cell r="F22">
            <v>41364041</v>
          </cell>
          <cell r="G22">
            <v>23132121</v>
          </cell>
          <cell r="H22">
            <v>0</v>
          </cell>
          <cell r="I22">
            <v>0</v>
          </cell>
          <cell r="N22">
            <v>0.64134112352297801</v>
          </cell>
          <cell r="O22">
            <v>0.35865887647702199</v>
          </cell>
          <cell r="P22">
            <v>0</v>
          </cell>
          <cell r="Q22">
            <v>0</v>
          </cell>
          <cell r="S22">
            <v>1</v>
          </cell>
        </row>
        <row r="23">
          <cell r="A23">
            <v>22</v>
          </cell>
          <cell r="B23" t="str">
            <v>NOT USED</v>
          </cell>
          <cell r="C23" t="str">
            <v>AVERAGE &amp; EXCESS</v>
          </cell>
          <cell r="D23" t="str">
            <v>11d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S23" t="e">
            <v>#DIV/0!</v>
          </cell>
        </row>
        <row r="24">
          <cell r="A24">
            <v>23</v>
          </cell>
          <cell r="B24" t="str">
            <v>NOT USED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S24" t="e">
            <v>#DIV/0!</v>
          </cell>
        </row>
        <row r="25">
          <cell r="A25">
            <v>24</v>
          </cell>
          <cell r="B25" t="str">
            <v>NOT USED</v>
          </cell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S25" t="e">
            <v>#DIV/0!</v>
          </cell>
        </row>
        <row r="26">
          <cell r="A26">
            <v>25</v>
          </cell>
          <cell r="B26" t="str">
            <v>NOT USED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S26" t="e">
            <v>#DIV/0!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10"/>
    </sheetNames>
    <sheetDataSet>
      <sheetData sheetId="0" refreshError="1">
        <row r="1">
          <cell r="H1" t="str">
            <v>Exhibit No. 10</v>
          </cell>
        </row>
        <row r="2">
          <cell r="H2" t="str">
            <v>Sheet 1 of</v>
          </cell>
        </row>
        <row r="3">
          <cell r="H3" t="str">
            <v>14 Sheets</v>
          </cell>
        </row>
        <row r="4">
          <cell r="H4" t="str">
            <v>Witness:  R.D. Gibbons</v>
          </cell>
        </row>
        <row r="5">
          <cell r="D5" t="str">
            <v>COLUMBIA GAS OF MARYLAND, INC.</v>
          </cell>
        </row>
        <row r="7">
          <cell r="D7" t="str">
            <v>SUMMARY OF CASH WORKING CAPITAL ALLOWANCE</v>
          </cell>
        </row>
        <row r="9">
          <cell r="D9" t="str">
            <v>FOR THE TWELVE MONTHS ENDED SEPTEMBER 30, 1996</v>
          </cell>
        </row>
        <row r="11">
          <cell r="A11" t="str">
            <v>Line</v>
          </cell>
          <cell r="H11" t="str">
            <v>Pro Forma</v>
          </cell>
        </row>
        <row r="12">
          <cell r="A12" t="str">
            <v>No.</v>
          </cell>
          <cell r="D12" t="str">
            <v>Description</v>
          </cell>
          <cell r="H12" t="str">
            <v>at Proposed Rates</v>
          </cell>
        </row>
        <row r="15">
          <cell r="A15" t="str">
            <v>1</v>
          </cell>
          <cell r="C15" t="str">
            <v>(1) Cash working capital allowance resulting from</v>
          </cell>
        </row>
        <row r="16">
          <cell r="A16" t="str">
            <v>2</v>
          </cell>
          <cell r="C16" t="str">
            <v xml:space="preserve">    the lag in the collection of revenue being</v>
          </cell>
        </row>
        <row r="17">
          <cell r="A17" t="str">
            <v>3</v>
          </cell>
          <cell r="C17" t="str">
            <v xml:space="preserve">    greater than the lag in the payment of expenses</v>
          </cell>
          <cell r="H17">
            <v>966607</v>
          </cell>
        </row>
        <row r="19">
          <cell r="A19" t="str">
            <v>4</v>
          </cell>
          <cell r="C19" t="str">
            <v>(2) Minimum bank balances to compensate banking</v>
          </cell>
        </row>
        <row r="20">
          <cell r="A20" t="str">
            <v>5</v>
          </cell>
          <cell r="C20" t="str">
            <v xml:space="preserve">    institutions for banking services:</v>
          </cell>
        </row>
        <row r="22">
          <cell r="A22" t="str">
            <v>6</v>
          </cell>
          <cell r="C22" t="str">
            <v xml:space="preserve">      General Fund (average daily balance)</v>
          </cell>
          <cell r="H22">
            <v>22002</v>
          </cell>
        </row>
        <row r="23">
          <cell r="A23" t="str">
            <v>7</v>
          </cell>
          <cell r="C23" t="str">
            <v xml:space="preserve">      Local Offices Working Fund</v>
          </cell>
          <cell r="H23">
            <v>980</v>
          </cell>
        </row>
        <row r="25">
          <cell r="A25" t="str">
            <v>8</v>
          </cell>
          <cell r="C25" t="str">
            <v xml:space="preserve">      Total Minimum Bank Balances</v>
          </cell>
          <cell r="H25">
            <v>22982</v>
          </cell>
        </row>
        <row r="28">
          <cell r="A28" t="str">
            <v>9</v>
          </cell>
          <cell r="C28" t="str">
            <v>TOTAL CASH WORKING CAPITAL ALLOWANCE</v>
          </cell>
          <cell r="H28">
            <v>989589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"/>
      <sheetName val="EX"/>
      <sheetName val="END FXrates"/>
      <sheetName val="AVG FXrat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M"/>
      <sheetName val="Sch D-2.1 Output"/>
      <sheetName val="Input"/>
      <sheetName val="A"/>
      <sheetName val="B"/>
      <sheetName val="C"/>
      <sheetName val="D pg 1"/>
      <sheetName val="D pg 2"/>
      <sheetName val="Sch M"/>
      <sheetName val="Sch M 2.1"/>
      <sheetName val="Sch M 2.2"/>
      <sheetName val="Sch M 2.3"/>
      <sheetName val="Rate Design MPB-1"/>
      <sheetName val="Late Payment MPB-2"/>
      <sheetName val="MPB-3"/>
      <sheetName val="MPB-4"/>
      <sheetName val="Macros"/>
    </sheetNames>
    <sheetDataSet>
      <sheetData sheetId="0"/>
      <sheetData sheetId="1"/>
      <sheetData sheetId="2">
        <row r="8">
          <cell r="B8" t="str">
            <v>Witness:  M. J. Bell</v>
          </cell>
        </row>
        <row r="10">
          <cell r="C10">
            <v>2.8155000000000001</v>
          </cell>
        </row>
        <row r="11">
          <cell r="C11">
            <v>2.2090999999999998</v>
          </cell>
        </row>
        <row r="14">
          <cell r="C14" t="str">
            <v>March 1, 2016</v>
          </cell>
        </row>
      </sheetData>
      <sheetData sheetId="3"/>
      <sheetData sheetId="4">
        <row r="1">
          <cell r="A1" t="str">
            <v>Columbia Gas of Kentucky, Inc.</v>
          </cell>
        </row>
        <row r="3">
          <cell r="A3" t="str">
            <v>For the 12 Months Ended December 31, 2017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A"/>
      <sheetName val="A- Financial Summary"/>
      <sheetName val="Index B"/>
      <sheetName val="B-1 p.1 Summary (Base)"/>
      <sheetName val="B-1 p.2 Summary (Forecast)"/>
      <sheetName val="B-2 p.1 Grouping (Base)"/>
      <sheetName val="B-2 p.2 Grouping (Forecast)"/>
      <sheetName val="B-2.1 Base Period GPA"/>
      <sheetName val="B-2.1 Forecast Period GPA"/>
      <sheetName val="WPB-2.1 Base Period"/>
      <sheetName val="WPB-2.1 13 mo avg"/>
      <sheetName val="Plant input detail "/>
      <sheetName val="Intangible Amort."/>
      <sheetName val="WPB2.2 Plant detail-w slippage"/>
      <sheetName val="WPB2.2a Intan Amort. w slippage"/>
      <sheetName val="B-2.2 Proposed Adj (Base)"/>
      <sheetName val="B-2.2 Proposed Adj (Forecast)"/>
      <sheetName val="B-2.3 Base Adds, Ret, Transfers"/>
      <sheetName val="B-2.3 Forecast Adds, Ret, Trans"/>
      <sheetName val="B-2.4 PP&amp;E Acquired (base)"/>
      <sheetName val="B-2.4 PP&amp;E Acquired (forecast)"/>
      <sheetName val="B-2.5 Leased Property (base)"/>
      <sheetName val="B-2.5 Leased Prop (forecast)"/>
      <sheetName val="B-2.6 Property Held (base)"/>
      <sheetName val="B-2.6 Property Held (forecast)"/>
      <sheetName val="B-2.7 PP&amp;E Excluded (base)"/>
      <sheetName val="B-2.7 PP&amp;E Excluded (forecast)"/>
      <sheetName val="B-3 Accum Dep&amp; Amort (Base)"/>
      <sheetName val="B-3 Accum Dep&amp;A (Forecast)"/>
      <sheetName val="WPB-3.1 AD&amp;A (Base)"/>
      <sheetName val="WPB-3.1 AD&amp;A (Forecast)"/>
      <sheetName val="B-3.1 Adj.  AD&amp;A (base)"/>
      <sheetName val="B-3.1 Adj.  AD&amp;A (Forecast)"/>
      <sheetName val="B-4 CWIP (In Service)"/>
      <sheetName val="B-5 Working Capital (Base)"/>
      <sheetName val="B-5 Working Capital (Forecast)"/>
      <sheetName val="B-5.1 Working Cap. (Base)"/>
      <sheetName val="B-5.1 Working Cap. (Forecast)"/>
      <sheetName val="WPB-5.1 M&amp;S and Prepayments"/>
      <sheetName val="WPB 5.3 Storage"/>
      <sheetName val="B-5.2 CWC (Base)"/>
      <sheetName val="B-5.2 CWC (Forecast)"/>
      <sheetName val="B-6 Def. Cr. &amp; ADIT (Base)"/>
      <sheetName val="B-6 Def. Cr. &amp; ADIT (Forecast)"/>
      <sheetName val="ADIT Calc-Do not print"/>
      <sheetName val="DNF - WPB-6 Acct. (forecast)"/>
      <sheetName val="WPB-6 Acct. 282 (forecast)"/>
      <sheetName val="WPB-6 Acct. 190 (forecast)"/>
      <sheetName val="WPB-6 Acct. 282 Adj (forecast)"/>
      <sheetName val="B-7 Juris Factor"/>
      <sheetName val="Operating Income Sum Index C"/>
      <sheetName val="Operating Income Summary C-1"/>
      <sheetName val="Adj Operating Income Sum C-2"/>
      <sheetName val="Oper Rev&amp;Exp by Accts C2.1A"/>
      <sheetName val="Oper Rev&amp;Exp by Accts C2.1B"/>
      <sheetName val="Total Co Accts Activ C2.2A"/>
      <sheetName val="Total Co Accts Activ C2.2B"/>
      <sheetName val="Adjusted Forecast Period"/>
      <sheetName val="Input O&amp;M FERC 8-16"/>
      <sheetName val="Input O&amp;M FERC 12-17"/>
      <sheetName val="Base TY Budget"/>
      <sheetName val="Forecast TY Budget &amp; D-2.4 Adj"/>
      <sheetName val="O&amp;M by CE Desc Variance"/>
      <sheetName val="Operating Income Sum Index D"/>
      <sheetName val="D-1"/>
      <sheetName val="D-2.1"/>
      <sheetName val="D-2.2"/>
      <sheetName val="D-2.3"/>
      <sheetName val="D-2.4"/>
      <sheetName val="Sch E Index"/>
      <sheetName val="E-1.1 Fed &amp; State Income Taxes"/>
      <sheetName val="Sch F Index"/>
      <sheetName val="F-1 Corp Due &amp; Memberships"/>
      <sheetName val="F-2 Charitable Contributions"/>
      <sheetName val="F-3 Country Club Dues"/>
      <sheetName val="F-4 Emp Recog &amp; Activities"/>
      <sheetName val="Party, Outing, Gift DO NOT USE"/>
      <sheetName val="Adv OLD FORMAT DO NOT USE"/>
      <sheetName val="F-5 Cust. Serv.&amp;Sales Expense"/>
      <sheetName val="F-6  Advertising"/>
      <sheetName val="Prof Serv OLD FORMAT DO NOT USE"/>
      <sheetName val="F-7 Professional Services Exp"/>
      <sheetName val="F-8 Rate Case Expense"/>
      <sheetName val="F-9 Civic,Political Activities"/>
      <sheetName val="Expense Reports"/>
      <sheetName val="Sch G Index"/>
      <sheetName val="G-1 Payroll Cost"/>
      <sheetName val="G-2 Payroll Analysis"/>
      <sheetName val="G-3 Executive Comp"/>
      <sheetName val="WPG-2"/>
      <sheetName val="Gross Conversion Factor Index H"/>
      <sheetName val="Gross Conversion Factor H-1"/>
      <sheetName val="INDEX - I"/>
      <sheetName val="I-1 Comp Income Statement"/>
      <sheetName val="I-2 Revenue Stats"/>
      <sheetName val="I-3 Sales Stats"/>
      <sheetName val="Cost of Capital Index J"/>
      <sheetName val="J-1 Cost of Capital Summary"/>
      <sheetName val="J-1 Base Period Cost of Capital"/>
      <sheetName val="J-1.1, J-1.2 13 MO AVG WACC"/>
      <sheetName val="J-2"/>
      <sheetName val="J-3"/>
      <sheetName val="J-4"/>
      <sheetName val="SCH K INDEX"/>
      <sheetName val="K - Comparative Financial Data"/>
      <sheetName val="SCH L - Tariff"/>
      <sheetName val="Sch. L"/>
      <sheetName val="SCH M"/>
    </sheetNames>
    <sheetDataSet>
      <sheetData sheetId="0" refreshError="1">
        <row r="10">
          <cell r="A10" t="str">
            <v>COLUMBIA GAS OF KENTUCKY, INC.</v>
          </cell>
        </row>
        <row r="16">
          <cell r="C16" t="str">
            <v>FOR THE TWELVE MONTHS ENDED AUGUST 31, 2016</v>
          </cell>
        </row>
        <row r="18">
          <cell r="C18" t="str">
            <v>FOR THE TWELVE MONTHS ENDED DECEMBER 31, 2017</v>
          </cell>
        </row>
      </sheetData>
      <sheetData sheetId="1" refreshError="1"/>
      <sheetData sheetId="2" refreshError="1"/>
      <sheetData sheetId="3" refreshError="1">
        <row r="2">
          <cell r="A2" t="str">
            <v>CASE NO. 2016 - 00162</v>
          </cell>
        </row>
        <row r="4">
          <cell r="A4" t="str">
            <v>AS OF AUGUST 31, 2016</v>
          </cell>
        </row>
        <row r="8">
          <cell r="J8" t="str">
            <v>WITNESS:  S. M. KATKO</v>
          </cell>
        </row>
      </sheetData>
      <sheetData sheetId="4" refreshError="1">
        <row r="4">
          <cell r="A4" t="str">
            <v>AS OF DECEMBER 31, 2017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>
        <row r="9">
          <cell r="M9" t="str">
            <v>WITNESS:  J. T. CROOM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>
        <row r="7">
          <cell r="A7" t="str">
            <v>BASE PERIOD: TWELVE MONTHS ENDED AUGUST 31, 2016</v>
          </cell>
        </row>
        <row r="8">
          <cell r="A8" t="str">
            <v>FORECASTED PERIOD: TWELVE MONTHS ENDED DECEMBER 31, 2017</v>
          </cell>
        </row>
      </sheetData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ting Income Sum Index C"/>
      <sheetName val="Operating Income Sum Index D"/>
      <sheetName val="Operating Income Summary C-1"/>
      <sheetName val="Adj Operating Income Sum C-2"/>
      <sheetName val="Oper Rev&amp;Exp by Accts C2.1A"/>
      <sheetName val="Oper Rev&amp;Exp by Accts C2.1B"/>
      <sheetName val="Total Co Accts Activ C2.2A"/>
      <sheetName val="Total Co Accts Activ C2.2B"/>
      <sheetName val="Input O&amp;M FERC 7-13"/>
      <sheetName val="Input O&amp;M FERC 11-14"/>
      <sheetName val="DO NOT USE - Accts Activ C2.2A"/>
      <sheetName val="DO NOT USE - Accts Activ C2.2B"/>
      <sheetName val="D-1"/>
      <sheetName val="D-2.1"/>
      <sheetName val="D-2.2"/>
      <sheetName val="D-2.3"/>
      <sheetName val="D-2.4"/>
      <sheetName val="Input O&amp;M CE Adjustments"/>
    </sheetNames>
    <sheetDataSet>
      <sheetData sheetId="0" refreshError="1"/>
      <sheetData sheetId="1" refreshError="1"/>
      <sheetData sheetId="2" refreshError="1">
        <row r="1">
          <cell r="A1" t="str">
            <v>COLUMBIA GAS OF KENTUCKY, INC.</v>
          </cell>
        </row>
        <row r="4">
          <cell r="A4" t="str">
            <v>FOR THE BASE PERIOD 12 MONTHS ENDED JULY 31, 2013 AND THE FORECAST PERIOD 12 MONTHS ENDED NOVEMBER 30, 2014</v>
          </cell>
        </row>
        <row r="9">
          <cell r="M9" t="str">
            <v>WITNESS:  S. M. KATKO</v>
          </cell>
        </row>
      </sheetData>
      <sheetData sheetId="3" refreshError="1"/>
      <sheetData sheetId="4" refreshError="1">
        <row r="4">
          <cell r="A4" t="str">
            <v>FOR THE TWELVE MONTHS ENDED JULY 31, 2013</v>
          </cell>
        </row>
      </sheetData>
      <sheetData sheetId="5" refreshError="1">
        <row r="4">
          <cell r="A4" t="str">
            <v>FOR THE TWELVE MONTHS ENDED NOVEMBER 30, 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enu"/>
      <sheetName val="Financials Menu"/>
      <sheetName val="A (Input) Inv MO Service Charge"/>
      <sheetName val="B (Input) MO Volumes"/>
      <sheetName val="C (Input) MO ARC - RRC Charges"/>
      <sheetName val="D (Output)- Volume Analysis"/>
      <sheetName val="E (Calc) -MO ARC-RRC Charge"/>
      <sheetName val="F (Valid) - MO Service Charge"/>
      <sheetName val="G (Valid) - MO ARC-RRC Charge"/>
      <sheetName val="H (Ref) - Mnthly Svc Fees"/>
      <sheetName val="I (Ref) - Mnthly Baseline Units"/>
      <sheetName val="I(a) (Ref) Mnth Baseline %"/>
      <sheetName val="J (Ref) - ARC RRC Rates"/>
      <sheetName val="K Graph (Input)"/>
      <sheetName val="L Graph (Data)"/>
      <sheetName val="M Graph (Baseline)"/>
      <sheetName val="N Graph (RU)"/>
      <sheetName val="O Graph (Charges)"/>
      <sheetName val="SLA Menu"/>
      <sheetName val="K (Input) SLA Achieved"/>
      <sheetName val="L (Output) Service Credit"/>
      <sheetName val="M (Output) Srvice Credt True Up"/>
      <sheetName val="N (Valid) Service Credit Sum"/>
      <sheetName val="O (Ref) At Risk"/>
      <sheetName val="P (Ref) Pool Allocation"/>
      <sheetName val="(Ref) Invoice Detail "/>
      <sheetName val="Rate Schedu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MS List"/>
      <sheetName val="Assumptions"/>
      <sheetName val="Analysi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-1.1"/>
      <sheetName val="E-2"/>
    </sheetNames>
    <sheetDataSet>
      <sheetData sheetId="0"/>
      <sheetData sheetId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Sources"/>
      <sheetName val="Input"/>
      <sheetName val="Cover"/>
      <sheetName val="Table of Contents"/>
      <sheetName val="Sheet 1- Summary"/>
      <sheetName val="Pg. 2 - Composite"/>
      <sheetName val="Pg. 3 - Daily Demand"/>
      <sheetName val="Pg. 4 - Ann. Demand"/>
      <sheetName val="Pg. 5 - Commodity"/>
      <sheetName val="Pg. 6 - Comm. Rates &amp; Vol."/>
      <sheetName val="Pg. 7 - TCO&amp;CGT Rates"/>
      <sheetName val="Pg. 8 - Transco Rates"/>
      <sheetName val="Pg. 9 - Sales"/>
      <sheetName val="Pg. 10 - Banking"/>
      <sheetName val="Pg. 11 - Misc."/>
      <sheetName val="Pg. 12 PDS"/>
      <sheetName val="Pg. 13 - Balancing Charge"/>
      <sheetName val="Pg. 14 - Variable Storage"/>
      <sheetName val="Pg. 15 - Total Gas Cost"/>
      <sheetName val="Pg 16- Comm. Actual"/>
      <sheetName val="Pg. 17 - Dem Actual"/>
      <sheetName val="Pg. 18 - Alloc"/>
      <sheetName val="Pg. 19 - EBS"/>
      <sheetName val="Pg. 20 - SIS"/>
      <sheetName val="Tabs"/>
    </sheetNames>
    <sheetDataSet>
      <sheetData sheetId="0"/>
      <sheetData sheetId="1">
        <row r="11">
          <cell r="B11">
            <v>1.0379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uter Configuration"/>
      <sheetName val="Location"/>
      <sheetName val="BT Order Form - Equipment"/>
      <sheetName val="BT Order Form - Services"/>
      <sheetName val="Maint Countries"/>
      <sheetName val="Clarification"/>
      <sheetName val="Cisco Price List"/>
      <sheetName val="Baseline Support"/>
      <sheetName val="Getronics in-Country Ent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ting Income Sum Index C"/>
      <sheetName val="Operating Income Summary C-1"/>
      <sheetName val="Adj Operating Income Sum C-2"/>
      <sheetName val="Oper Rev&amp;Exp by Accts C2.1p1-2"/>
      <sheetName val="Total Co Accts Activ C2.2p1-10"/>
    </sheetNames>
    <sheetDataSet>
      <sheetData sheetId="0" refreshError="1"/>
      <sheetData sheetId="1">
        <row r="4">
          <cell r="A4" t="str">
            <v>FOR THE TWELVE MONTHS ENDED JUNE 30, 2009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B"/>
      <sheetName val="526849-48"/>
      <sheetName val="106200"/>
      <sheetName val="Input"/>
      <sheetName val="Weather"/>
      <sheetName val="Calculations"/>
      <sheetName val="Cash Working Cap"/>
      <sheetName val="Debt and Equity"/>
      <sheetName val="issue nxt qtr"/>
      <sheetName val="NH Return on Rate Base ReportFi"/>
      <sheetName val="#REF"/>
    </sheetNames>
    <sheetDataSet>
      <sheetData sheetId="0" refreshError="1">
        <row r="2">
          <cell r="B2" t="str">
            <v>New Hampshire Division</v>
          </cell>
        </row>
        <row r="3">
          <cell r="B3" t="str">
            <v>Historical Rates of Return - Normalized</v>
          </cell>
        </row>
        <row r="4">
          <cell r="B4" t="str">
            <v>12 Months Ending  09/30/03</v>
          </cell>
        </row>
        <row r="7">
          <cell r="B7" t="str">
            <v>Cost of Service :</v>
          </cell>
          <cell r="D7" t="str">
            <v>Actuals</v>
          </cell>
          <cell r="E7" t="str">
            <v>Per Settlement</v>
          </cell>
        </row>
        <row r="9">
          <cell r="B9" t="str">
            <v xml:space="preserve">Revenues </v>
          </cell>
          <cell r="D9">
            <v>55676556.019999996</v>
          </cell>
          <cell r="E9">
            <v>47746999</v>
          </cell>
        </row>
        <row r="10">
          <cell r="B10" t="str">
            <v>Weather Adjustment ( After Tax )</v>
          </cell>
          <cell r="D10">
            <v>-579544.02674999996</v>
          </cell>
        </row>
        <row r="11">
          <cell r="B11" t="str">
            <v>Gas Costs</v>
          </cell>
          <cell r="D11">
            <v>-35263858.420000002</v>
          </cell>
          <cell r="E11">
            <v>-28866180</v>
          </cell>
        </row>
        <row r="12">
          <cell r="B12" t="str">
            <v>Normalized Revenues</v>
          </cell>
          <cell r="D12">
            <v>19833153.573249996</v>
          </cell>
          <cell r="E12">
            <v>18880819</v>
          </cell>
        </row>
        <row r="13">
          <cell r="F13">
            <v>513401</v>
          </cell>
        </row>
        <row r="14">
          <cell r="B14" t="str">
            <v>O&amp;M:</v>
          </cell>
        </row>
        <row r="15">
          <cell r="B15" t="str">
            <v>Other Production</v>
          </cell>
          <cell r="D15">
            <v>87642.079999999987</v>
          </cell>
          <cell r="E15">
            <v>94112</v>
          </cell>
        </row>
        <row r="16">
          <cell r="B16" t="str">
            <v>Distribution</v>
          </cell>
          <cell r="D16">
            <v>1613597.9500000002</v>
          </cell>
          <cell r="E16">
            <v>2435651</v>
          </cell>
        </row>
        <row r="17">
          <cell r="B17" t="str">
            <v>Customer Accounting</v>
          </cell>
          <cell r="D17">
            <v>1375486.29</v>
          </cell>
          <cell r="E17">
            <v>651787</v>
          </cell>
        </row>
        <row r="18">
          <cell r="B18" t="str">
            <v>Sales &amp; New Business</v>
          </cell>
          <cell r="D18">
            <v>786319.4</v>
          </cell>
          <cell r="E18">
            <v>362580</v>
          </cell>
        </row>
        <row r="19">
          <cell r="B19" t="str">
            <v>Admin. &amp; General</v>
          </cell>
          <cell r="D19">
            <v>5400521.0600000005</v>
          </cell>
          <cell r="E19">
            <v>4185559</v>
          </cell>
          <cell r="F19" t="str">
            <v>(a)</v>
          </cell>
        </row>
        <row r="20">
          <cell r="B20" t="str">
            <v>Subtotal O&amp;M</v>
          </cell>
          <cell r="D20">
            <v>9263566.7800000012</v>
          </cell>
          <cell r="E20">
            <v>7729689</v>
          </cell>
        </row>
        <row r="21">
          <cell r="F21" t="str">
            <v>523722</v>
          </cell>
        </row>
        <row r="22">
          <cell r="B22" t="str">
            <v>Federal &amp; State Income Tax</v>
          </cell>
          <cell r="D22">
            <v>2728469.0292175002</v>
          </cell>
          <cell r="E22">
            <v>2072231</v>
          </cell>
        </row>
        <row r="23">
          <cell r="B23" t="str">
            <v>Property Tax</v>
          </cell>
          <cell r="D23">
            <v>1325069.69</v>
          </cell>
          <cell r="E23">
            <v>1415023</v>
          </cell>
        </row>
        <row r="24">
          <cell r="B24" t="str">
            <v>Other Tax</v>
          </cell>
          <cell r="C24" t="str">
            <v>?</v>
          </cell>
          <cell r="D24">
            <v>198077.43999999994</v>
          </cell>
          <cell r="E24">
            <v>388546</v>
          </cell>
          <cell r="F24" t="str">
            <v>523603</v>
          </cell>
        </row>
        <row r="25">
          <cell r="B25" t="str">
            <v>Depreciation</v>
          </cell>
          <cell r="D25">
            <v>2980385.88</v>
          </cell>
          <cell r="E25">
            <v>2869213</v>
          </cell>
          <cell r="F25" t="str">
            <v>523611</v>
          </cell>
          <cell r="G25" t="str">
            <v>Pension &amp; Benefit Reserves</v>
          </cell>
        </row>
        <row r="26">
          <cell r="B26" t="str">
            <v>Amortization</v>
          </cell>
          <cell r="D26">
            <v>414129.72</v>
          </cell>
          <cell r="E26">
            <v>164759</v>
          </cell>
          <cell r="F26" t="str">
            <v>(a)</v>
          </cell>
        </row>
        <row r="27">
          <cell r="B27" t="str">
            <v>Operating Rents</v>
          </cell>
          <cell r="D27">
            <v>-404214.45</v>
          </cell>
          <cell r="E27">
            <v>-400982</v>
          </cell>
          <cell r="F27" t="str">
            <v>526300</v>
          </cell>
          <cell r="G27" t="str">
            <v>Total Rate Base</v>
          </cell>
        </row>
        <row r="28">
          <cell r="B28" t="str">
            <v>Interest on Customer Deposits</v>
          </cell>
          <cell r="D28">
            <v>19051.25</v>
          </cell>
          <cell r="E28">
            <v>18676</v>
          </cell>
        </row>
        <row r="29">
          <cell r="G29" t="str">
            <v>Utility Operating Income</v>
          </cell>
        </row>
        <row r="30">
          <cell r="B30" t="str">
            <v xml:space="preserve">     Subtotal Operating Expenses</v>
          </cell>
          <cell r="D30">
            <v>16524535.339217499</v>
          </cell>
          <cell r="E30">
            <v>14257155</v>
          </cell>
        </row>
        <row r="33">
          <cell r="G33" t="str">
            <v>Return on Rate Base</v>
          </cell>
        </row>
        <row r="35">
          <cell r="B35" t="str">
            <v>Total Operating Expenses</v>
          </cell>
          <cell r="D35">
            <v>16524535.339217499</v>
          </cell>
          <cell r="E35">
            <v>14257155</v>
          </cell>
          <cell r="G35" t="str">
            <v>Return on Common Equity</v>
          </cell>
        </row>
        <row r="37">
          <cell r="B37" t="str">
            <v>Utility Operating Income</v>
          </cell>
          <cell r="D37">
            <v>3308618.2340324968</v>
          </cell>
          <cell r="E37">
            <v>4623664</v>
          </cell>
        </row>
        <row r="40">
          <cell r="A40" t="str">
            <v xml:space="preserve"> </v>
          </cell>
          <cell r="B40" t="str">
            <v>Return Surplus (Deficiency)</v>
          </cell>
          <cell r="D40">
            <v>-1117794.9672567276</v>
          </cell>
        </row>
        <row r="41">
          <cell r="B41" t="str">
            <v>Revenue Surplus (Deficiency)</v>
          </cell>
          <cell r="D41">
            <v>-1879436.683071421</v>
          </cell>
        </row>
        <row r="45">
          <cell r="B45" t="str">
            <v>Notes:</v>
          </cell>
        </row>
        <row r="47">
          <cell r="B47" t="str">
            <v>Northern's last rate case, D601-182, was settled.  The per</v>
          </cell>
          <cell r="G47" t="str">
            <v>Debt</v>
          </cell>
        </row>
        <row r="48">
          <cell r="B48" t="str">
            <v>settlement numbers are from the Staff's schedules.</v>
          </cell>
          <cell r="G48" t="str">
            <v>Preferred Stock</v>
          </cell>
        </row>
        <row r="49">
          <cell r="G49" t="str">
            <v>Common Equity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2">
          <cell r="A2" t="str">
            <v>CASE NO. 2002-00145</v>
          </cell>
        </row>
        <row r="3">
          <cell r="A3" t="str">
            <v>ADJUSTMENT TO PAYROLL TAXES</v>
          </cell>
        </row>
        <row r="4">
          <cell r="A4" t="str">
            <v>FOR THE TWELVE MONTHS ENDED DECEMBER 31, 2001</v>
          </cell>
        </row>
        <row r="6">
          <cell r="F6" t="str">
            <v>WPD-2.10</v>
          </cell>
        </row>
        <row r="7">
          <cell r="F7" t="str">
            <v>SHEET 1 OF 1</v>
          </cell>
        </row>
        <row r="8">
          <cell r="F8" t="str">
            <v>REFERENCE: WPD-2.4</v>
          </cell>
        </row>
        <row r="11">
          <cell r="A11" t="str">
            <v>LINE</v>
          </cell>
          <cell r="E11" t="str">
            <v xml:space="preserve">TAXABLE @ </v>
          </cell>
          <cell r="G11" t="str">
            <v xml:space="preserve">TAXABLE @ </v>
          </cell>
        </row>
        <row r="12">
          <cell r="A12" t="str">
            <v>NO.</v>
          </cell>
          <cell r="C12" t="str">
            <v>DESCRIPTION</v>
          </cell>
          <cell r="E12" t="str">
            <v>OASDI &amp; HI</v>
          </cell>
          <cell r="G12" t="str">
            <v>HI ONLY</v>
          </cell>
        </row>
        <row r="13">
          <cell r="E13" t="str">
            <v>(1)</v>
          </cell>
          <cell r="G13" t="str">
            <v>(2)</v>
          </cell>
        </row>
        <row r="14">
          <cell r="E14" t="str">
            <v>$</v>
          </cell>
        </row>
        <row r="15">
          <cell r="A15">
            <v>1</v>
          </cell>
          <cell r="C15" t="str">
            <v>O&amp;M PAYROLL ADJUSTMENT [1]</v>
          </cell>
          <cell r="E15">
            <v>129205</v>
          </cell>
        </row>
        <row r="17">
          <cell r="A17">
            <v>2</v>
          </cell>
          <cell r="C17" t="str">
            <v>TAX RATE</v>
          </cell>
          <cell r="E17">
            <v>7.6499999999999999E-2</v>
          </cell>
        </row>
        <row r="19">
          <cell r="A19">
            <v>3</v>
          </cell>
          <cell r="C19" t="str">
            <v>SUBTOTAL</v>
          </cell>
          <cell r="E19">
            <v>9884</v>
          </cell>
        </row>
        <row r="21">
          <cell r="A21">
            <v>4</v>
          </cell>
          <cell r="C21" t="str">
            <v>INCREASE IN MAXIMUM SUBJECT TO SOCIAL SECURITY</v>
          </cell>
          <cell r="E21">
            <v>4500</v>
          </cell>
        </row>
        <row r="22">
          <cell r="A22">
            <v>5</v>
          </cell>
          <cell r="C22" t="str">
            <v>($84,900 - $80,400)</v>
          </cell>
        </row>
        <row r="24">
          <cell r="A24">
            <v>6</v>
          </cell>
          <cell r="C24" t="str">
            <v>NUMBER OF EMPLOYEES</v>
          </cell>
          <cell r="E24">
            <v>4</v>
          </cell>
        </row>
        <row r="26">
          <cell r="A26">
            <v>7</v>
          </cell>
          <cell r="C26" t="str">
            <v>INCREASE IN BASE</v>
          </cell>
          <cell r="E26">
            <v>18000</v>
          </cell>
        </row>
        <row r="28">
          <cell r="A28">
            <v>8</v>
          </cell>
          <cell r="C28" t="str">
            <v>TAX RATE</v>
          </cell>
          <cell r="E28">
            <v>6.2E-2</v>
          </cell>
        </row>
        <row r="30">
          <cell r="A30">
            <v>9</v>
          </cell>
          <cell r="C30" t="str">
            <v>SUBTOTAL</v>
          </cell>
          <cell r="E30">
            <v>1116</v>
          </cell>
        </row>
        <row r="32">
          <cell r="A32">
            <v>10</v>
          </cell>
          <cell r="C32" t="str">
            <v>TOTAL FICA ADJUSTMENT</v>
          </cell>
          <cell r="E32">
            <v>11000</v>
          </cell>
        </row>
        <row r="35">
          <cell r="C35" t="str">
            <v>NOTES:</v>
          </cell>
        </row>
        <row r="36">
          <cell r="C36" t="str">
            <v>[1]  SEE SHEET 1 OF WPD-2.4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"/>
      <sheetName val="Instructions"/>
      <sheetName val="Reconciliation"/>
      <sheetName val="US Detail"/>
      <sheetName val="AS"/>
      <sheetName val="Client Svcs"/>
      <sheetName val="GNS"/>
      <sheetName val="Tech Svcs"/>
      <sheetName val="Client Mgmt"/>
      <sheetName val="HQ"/>
      <sheetName val="INTL Other"/>
      <sheetName val="Total"/>
      <sheetName val="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ing Sheet"/>
      <sheetName val="Index"/>
      <sheetName val="Rev Def Sum"/>
      <sheetName val="Rev Requirement"/>
      <sheetName val="Gross Conversion Factor"/>
      <sheetName val="Proforma Adjustments"/>
      <sheetName val="Revenue  Sheet 1"/>
      <sheetName val="Summary Sheet 2"/>
      <sheetName val="Per Books Purchase Gas Exp"/>
      <sheetName val="Annualized Purchase Gas Exp "/>
      <sheetName val="Unadj. Rev 2-A"/>
      <sheetName val="Bills 2-B"/>
      <sheetName val="Mcf 2-C"/>
      <sheetName val="Norm 2-D"/>
      <sheetName val="Adj. Exhibt 2-E"/>
      <sheetName val="Adj to OGDR 2-F"/>
      <sheetName val="O&amp;M Expenses"/>
      <sheetName val="O&amp;M Adjustment Summary"/>
      <sheetName val="Labor Adj. Summary"/>
      <sheetName val="Wage Increase"/>
      <sheetName val="Gross Payroll Summary"/>
      <sheetName val="O&amp;M Percentage"/>
      <sheetName val="Incentive"/>
      <sheetName val="Profit Sharing"/>
      <sheetName val="Pensions &amp; Benefits Adj "/>
      <sheetName val="NCSC Test Year Adj"/>
      <sheetName val="Incentive Comp"/>
      <sheetName val="IBM IT"/>
      <sheetName val="NCSC Labor &amp; Benefits"/>
      <sheetName val="Lobbying Adj"/>
      <sheetName val="Lease Expense"/>
      <sheetName val="Corporate Insurance"/>
      <sheetName val="Fuel Used in Co Operations"/>
      <sheetName val="Uncollectible Adj."/>
      <sheetName val="Rate Case Expense Adj"/>
      <sheetName val="DSM Surcharge Adjustment"/>
      <sheetName val="PSC &amp; PC Fees Adj"/>
      <sheetName val="Injuries&amp; Damages Adj"/>
      <sheetName val="Meter Reading Costs"/>
      <sheetName val="Depreciation Expense Summary"/>
      <sheetName val="Taxes Other than Income Sum"/>
      <sheetName val="Payroll Taxes Adj"/>
      <sheetName val="Property Tax Adj"/>
      <sheetName val="Gross Receipts Tax Adj"/>
      <sheetName val="Inc Tax"/>
      <sheetName val="Statutory Adj"/>
      <sheetName val="Interest on Cust Deposits"/>
      <sheetName val="AFUDC"/>
      <sheetName val="Rate Base"/>
      <sheetName val="In Ser Acct 101 Sum"/>
      <sheetName val="106 "/>
      <sheetName val="107 "/>
      <sheetName val="Depreciation Reserve "/>
      <sheetName val="Material &amp; Supplies"/>
      <sheetName val="Def Tx CIAC"/>
      <sheetName val="Def Tx Inv"/>
      <sheetName val="Customer Deposits"/>
      <sheetName val="Cust Adv  Const"/>
      <sheetName val="Def Inc Taxes"/>
      <sheetName val="Def Tx Hdqts Bldg"/>
      <sheetName val="Lead Lag"/>
      <sheetName val="Cost of Capital"/>
      <sheetName val="Annualized Labor 6-30-08 Wpap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oice"/>
      <sheetName val="Remit"/>
      <sheetName val="August Timesheets"/>
      <sheetName val="September Timesheets"/>
      <sheetName val="September Travel Detail"/>
      <sheetName val="HWS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chedule M Input"/>
      <sheetName val="Fin Sum Index A"/>
      <sheetName val="Overall Fin Sum Sch-A"/>
      <sheetName val="Rate Base Index B"/>
      <sheetName val="Rate Base Summary Sch B-1"/>
      <sheetName val="Plant in Service B-2"/>
      <sheetName val="PP&amp;E  by Accounts B-2.1"/>
      <sheetName val="PP&amp;E by Accts by Type B-2.1a"/>
      <sheetName val="Adj to PP&amp;E B-2.2"/>
      <sheetName val="PP&amp;E Add. Retire. Trans. B-2.3"/>
      <sheetName val="PP&amp;E Prop Merged Acquired B-2.4"/>
      <sheetName val="Leased Property B-2.5"/>
      <sheetName val="Property for Future Use B-2.6"/>
      <sheetName val="Property Excluded B-2.7"/>
      <sheetName val="Accum Depr &amp; Amort Summary B-3"/>
      <sheetName val="Adj. to Accum Dep &amp; Amort B-3.1"/>
      <sheetName val="Dep Accur Rates &amp; Acc Bal B-3.2"/>
      <sheetName val="CWIP B-4"/>
      <sheetName val="Allowance for Work Capital B-5"/>
      <sheetName val="WC Comp 13 Mon Avg Bal B-5.1"/>
      <sheetName val="WC Comp 1-8 O&amp;M Exp  B-5.2"/>
      <sheetName val="Def Cr &amp; Accum Def Inc Tax B-6"/>
      <sheetName val="B-7"/>
      <sheetName val="B-7.1"/>
      <sheetName val="B-7.2"/>
      <sheetName val="Comparative Bal Sheets B-8"/>
      <sheetName val="Operating Income Sum Index C"/>
      <sheetName val="Operating Income Summary C-1"/>
      <sheetName val="Adj Operating Income Sum C-2"/>
      <sheetName val="Oper Rev&amp;Exp by Accts C2.1p1-2"/>
      <sheetName val="Total Co Accts Activ C2.2p1-11"/>
      <sheetName val="Adj to Operating Income Index D"/>
      <sheetName val="Sum Adj  Oper Inc D-1, Sht 1-2"/>
      <sheetName val="Ann of Sales Rev D-2.1, Sht 1-6"/>
      <sheetName val="Labor Adj D-2.2"/>
      <sheetName val="Bonus Accrual-Incen Comp  D-2.3"/>
      <sheetName val="Benefits Adj D-2.4"/>
      <sheetName val="Postage D-2.5"/>
      <sheetName val="Depr Exp Adj D-2.6"/>
      <sheetName val="Depr Exp Adj D-2.6 p2"/>
      <sheetName val="Rate Case Expense D-2.7"/>
      <sheetName val="NCSC D-2.8 p1"/>
      <sheetName val="NCSC D-2.8 p2 "/>
      <sheetName val="NCSC D-2.8 p3"/>
      <sheetName val="NCSC D-2.8 p4"/>
      <sheetName val="NCSC D-2.8 p5"/>
      <sheetName val="NCSC D-2.8 p6"/>
      <sheetName val="Corporate Insurance  D-2.9"/>
      <sheetName val="Payroll Tax Adj D-2.10"/>
      <sheetName val="Property Tax Adj D-2.11"/>
      <sheetName val="Out-of-Period D-2.12"/>
      <sheetName val="Non-Recoverable D-2.13"/>
      <sheetName val="D-3"/>
      <sheetName val="D-4"/>
      <sheetName val="D-5"/>
      <sheetName val="Income Taxes Index E"/>
      <sheetName val="Fed &amp; State Income Taxes E-1.1"/>
      <sheetName val="Develop Fed &amp; State Inc Tax E-2"/>
      <sheetName val="Other Expenses Index F"/>
      <sheetName val="Payroll Cost Analysis Index G"/>
      <sheetName val="Gross Conversion Factor Index H"/>
      <sheetName val="Gross Conversion Factor H-1"/>
      <sheetName val="Statisical Data Index I"/>
      <sheetName val="Cost of Capital Index J"/>
      <sheetName val="Cost of Capital Summary J-1"/>
      <sheetName val="Avg Base Period  Cap Str J-1.1"/>
      <sheetName val="Embedded Cost of STD J-2"/>
      <sheetName val="Embedded Cost of LTD J-3"/>
      <sheetName val="Embedded Cost of Pre Stock J-4"/>
      <sheetName val="Financial Data Index K"/>
      <sheetName val="Rates &amp; Tariffs Index L"/>
      <sheetName val="Sch. L"/>
      <sheetName val="WPB-5.1 MIS WC"/>
      <sheetName val="WPB-6 Acct. 101, 252, 255, 283"/>
      <sheetName val="Acct. 282 pg 1"/>
      <sheetName val="Acct. 282 pg 2"/>
      <sheetName val="Acct. 1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2"/>
      <sheetName val="B2.1"/>
      <sheetName val="B-2.1a"/>
      <sheetName val="B-2.2"/>
      <sheetName val="B-2.3"/>
      <sheetName val="B-2.4"/>
      <sheetName val="B-2.5"/>
      <sheetName val="B-2.6"/>
      <sheetName val="B-2.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ing Sheet"/>
      <sheetName val="Index"/>
      <sheetName val="Rev Def Sum"/>
      <sheetName val="Rev Requirement"/>
      <sheetName val="Gross Conversion Factor"/>
      <sheetName val="Proforma Adjustments"/>
      <sheetName val="Revenue  Sheet 1"/>
      <sheetName val="Summary Sheet 2"/>
      <sheetName val="Per Books Purchase Gas Exp"/>
      <sheetName val="Annualized Purchase Gas Exp "/>
      <sheetName val="Uncollectible Surcharge Calc"/>
      <sheetName val="Unadj. Rev 2-A"/>
      <sheetName val="Bills 2-B"/>
      <sheetName val="DTH 2-C"/>
      <sheetName val="Norm 2-D"/>
      <sheetName val="Adj. Rev 2-E"/>
      <sheetName val="Adj to OGDR 2-F"/>
      <sheetName val="O&amp;M Expenses"/>
      <sheetName val="O&amp;M Adjustment Summary"/>
      <sheetName val="Labor Adj. Summary"/>
      <sheetName val="Wage Increase"/>
      <sheetName val="Gross Payroll Summary"/>
      <sheetName val="O&amp;M Percentage"/>
      <sheetName val="new positions"/>
      <sheetName val="Incentive"/>
      <sheetName val="Profit Sharing"/>
      <sheetName val="Pensions &amp; Benefits Adj "/>
      <sheetName val="NCSC Test Year Adj"/>
      <sheetName val="Incentive Comp"/>
      <sheetName val="IBM IT"/>
      <sheetName val="NCSC Labor &amp; Benefits"/>
      <sheetName val="Outside Svcs &amp; Company Mem"/>
      <sheetName val="Lease Expense"/>
      <sheetName val="Corporate Insurance"/>
      <sheetName val="Fuel Used in Co Operations"/>
      <sheetName val="Uncollectible Adj."/>
      <sheetName val="Rate Case Expense Adj"/>
      <sheetName val="DSM Surcharge Adjustment"/>
      <sheetName val="PSC &amp; PC Fees Adj"/>
      <sheetName val="Injuries&amp; Damages Adj"/>
      <sheetName val="GTI Funding "/>
      <sheetName val="Choice Costs"/>
      <sheetName val="Postage Costs "/>
      <sheetName val="Customer Education "/>
      <sheetName val="Depreciation Expense Summary"/>
      <sheetName val="Taxes Other than Income Sum"/>
      <sheetName val="Payroll Taxes Adj"/>
      <sheetName val="Property Tax Adj"/>
      <sheetName val="Gross Receipts Tax Adj"/>
      <sheetName val="Inc Tax"/>
      <sheetName val="Statutory Adj"/>
      <sheetName val="Interest on Cust Deposits"/>
      <sheetName val="AFUDC"/>
      <sheetName val="Rate Base"/>
      <sheetName val="Customer Deposits"/>
      <sheetName val="Lead Lag"/>
      <sheetName val="Cost of Capital"/>
      <sheetName val="Round Robin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Data, Margins, Discounts"/>
      <sheetName val="Price Workout Sheet"/>
      <sheetName val="Customer Issue"/>
      <sheetName val="Deal Summary"/>
      <sheetName val="Product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pe Details"/>
      <sheetName val="Count of Nodes by Type"/>
      <sheetName val="Complete Listing incl LCN"/>
      <sheetName val="LCN Nod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 Summary"/>
      <sheetName val="Sheet3"/>
      <sheetName val="P&amp;L"/>
      <sheetName val="BT Summary ASC 101504"/>
      <sheetName val="Signed off PB Finsumm"/>
      <sheetName val="Finsumm"/>
      <sheetName val="Equipt"/>
      <sheetName val="Price Summ"/>
      <sheetName val="Revised Position"/>
      <sheetName val="Bus Case 101304"/>
      <sheetName val="CAPEX Normalization - BT Ca (3)"/>
      <sheetName val="CAPEX Normalization - BT Case"/>
      <sheetName val="BT Summary ASC 101304 (2)"/>
      <sheetName val="I. Summary ASC 101304"/>
      <sheetName val="Roll-Forward"/>
      <sheetName val="Normalization Change"/>
      <sheetName val="Bus Case 091004"/>
      <sheetName val="I. Summary ASC 090104 (2)"/>
      <sheetName val="CAPEX Normalization - BT Ca (2)"/>
      <sheetName val="Original Technology"/>
      <sheetName val="BT Yr 1 Base Case Review"/>
      <sheetName val="BT 7 Year Base Case Review"/>
      <sheetName val="Consider Revised Target"/>
      <sheetName val="BT Pricing Initiatives"/>
      <sheetName val="BMS Actions"/>
      <sheetName val="BMS Scars"/>
      <sheetName val="D - Global Remote Access"/>
      <sheetName val="Dial Internet User"/>
      <sheetName val="Managed Broadband User"/>
      <sheetName val="MPLS"/>
      <sheetName val="Nwks"/>
      <sheetName val="Bus Case Total"/>
      <sheetName val="Pay1"/>
      <sheetName val="Pay2"/>
      <sheetName val="Pay3"/>
      <sheetName val="I. Summary ASC 101304 (2)"/>
      <sheetName val="Base Inputs"/>
      <sheetName val="Sheet1"/>
      <sheetName val="XI. Resource Baselines"/>
      <sheetName val="Revised Bus Case (2)"/>
      <sheetName val="I. Summary ASC 101204"/>
      <sheetName val="I. Summary ASC 090104"/>
      <sheetName val="Voice Transport 2003"/>
      <sheetName val="BMS - Base Case Control Sheet"/>
      <sheetName val="Refresh&amp;Depn (2)"/>
      <sheetName val="In Scope Business Case"/>
      <sheetName val="Original Fin summ incremental"/>
      <sheetName val="Voice Reconciliation"/>
      <sheetName val="Voice"/>
      <sheetName val="PB Reconciliation"/>
      <sheetName val="Sheet2"/>
      <sheetName val="Revised Bus Case"/>
      <sheetName val="Original Buy Back"/>
      <sheetName val="Future State Savings Initiative"/>
      <sheetName val="New Wan Summary"/>
      <sheetName val="MPLS Transport future"/>
      <sheetName val="New Lan Summary"/>
      <sheetName val="New Remote Access"/>
      <sheetName val="New Internet Infrastructue"/>
      <sheetName val="New Jersey Man"/>
      <sheetName val="New Global Enterprise Service"/>
      <sheetName val="Product Summary"/>
      <sheetName val="Roll Out"/>
      <sheetName val="N Business Partner Connectivity"/>
      <sheetName val="New Voice Support"/>
      <sheetName val="Wireless Support Services"/>
      <sheetName val="E Bonding Mgmt"/>
      <sheetName val="Volumetrics"/>
      <sheetName val="MPLS Savings"/>
      <sheetName val="Assumptions"/>
      <sheetName val="Peer Review"/>
      <sheetName val="FX Rates"/>
      <sheetName val="Access savings"/>
      <sheetName val="Error Checks"/>
      <sheetName val="Resource"/>
      <sheetName val="Resource Costs"/>
      <sheetName val="BMS Salary Costs"/>
      <sheetName val="Tech Des Res"/>
      <sheetName val="Transition res"/>
      <sheetName val="HR Costs"/>
      <sheetName val="MPLS P&amp;L"/>
      <sheetName val="Wan circuit costs"/>
      <sheetName val="Management Links"/>
      <sheetName val="Voice IP cards"/>
      <sheetName val="Rolloutdetail"/>
      <sheetName val="Voice refresh"/>
      <sheetName val="Parallel Run costs"/>
      <sheetName val="site type"/>
      <sheetName val="Refresh&amp;Depn"/>
      <sheetName val="Misc."/>
      <sheetName val="Voice Commun"/>
      <sheetName val="Price Pres"/>
      <sheetName val="3rd party contracts"/>
      <sheetName val="Original Asset Depreciation"/>
      <sheetName val="FB BT"/>
      <sheetName val="Signed off PB FB BT"/>
      <sheetName val="FB BTGsol"/>
      <sheetName val="FB BTGsol VA"/>
      <sheetName val="Names"/>
      <sheetName val="IPR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w to"/>
      <sheetName val="Rating Tables"/>
      <sheetName val="Hourly"/>
      <sheetName val="Contractor"/>
      <sheetName val="Consulting"/>
      <sheetName val="Outside Purchased Services"/>
      <sheetName val="Expense Worksheet"/>
      <sheetName val="BUDGET SUMMARY"/>
      <sheetName val="xref acct"/>
      <sheetName val="Headcount"/>
      <sheetName val="Print File"/>
      <sheetName val="Chart of Accounts"/>
      <sheetName val="Module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>
        <row r="3">
          <cell r="A3" t="str">
            <v>Acct</v>
          </cell>
          <cell r="B3" t="str">
            <v>ACCOUNTS</v>
          </cell>
          <cell r="C3" t="str">
            <v>Classification</v>
          </cell>
        </row>
        <row r="4">
          <cell r="A4">
            <v>601000</v>
          </cell>
          <cell r="B4" t="str">
            <v>601000  SALARIES-EXEMPT</v>
          </cell>
          <cell r="C4" t="str">
            <v>SALARIES AND BENEFITS</v>
          </cell>
        </row>
        <row r="5">
          <cell r="A5">
            <v>601001</v>
          </cell>
          <cell r="B5" t="str">
            <v>601001  SALARIES-NON-EXEMPT</v>
          </cell>
          <cell r="C5" t="str">
            <v>SALARIES AND BENEFITS</v>
          </cell>
        </row>
        <row r="6">
          <cell r="A6">
            <v>601005</v>
          </cell>
          <cell r="B6" t="str">
            <v>601005  SALARIES-OVERTIME</v>
          </cell>
          <cell r="C6" t="str">
            <v>SALARIES AND BENEFITS</v>
          </cell>
        </row>
        <row r="7">
          <cell r="A7">
            <v>601007</v>
          </cell>
          <cell r="B7" t="str">
            <v>601007  SAL-SHIFT DIFF</v>
          </cell>
          <cell r="C7" t="str">
            <v>SALARIES AND BENEFITS</v>
          </cell>
        </row>
        <row r="8">
          <cell r="A8">
            <v>601010</v>
          </cell>
          <cell r="B8" t="str">
            <v>601010  SAL-TEMP LABOR</v>
          </cell>
          <cell r="C8" t="str">
            <v>SALARIES AND BENEFITS</v>
          </cell>
        </row>
        <row r="9">
          <cell r="A9">
            <v>601012</v>
          </cell>
          <cell r="B9" t="str">
            <v>601012  SALARIES-EXEMPT FLEX</v>
          </cell>
          <cell r="C9" t="str">
            <v>SALARIES AND BENEFITS</v>
          </cell>
        </row>
        <row r="10">
          <cell r="A10">
            <v>601055</v>
          </cell>
          <cell r="B10" t="str">
            <v>601055  SAL-OTHER PAID TIME</v>
          </cell>
          <cell r="C10" t="str">
            <v>SALARIES AND BENEFITS</v>
          </cell>
        </row>
        <row r="11">
          <cell r="A11">
            <v>601056</v>
          </cell>
          <cell r="B11" t="str">
            <v>601056  SAL-GAIN SHARING</v>
          </cell>
          <cell r="C11" t="str">
            <v>SALARIES AND BENEFITS</v>
          </cell>
        </row>
        <row r="12">
          <cell r="A12">
            <v>601061</v>
          </cell>
          <cell r="B12" t="str">
            <v>601061  EXEMPT/PER FRINGE</v>
          </cell>
          <cell r="C12" t="str">
            <v>SALARIES AND BENEFITS</v>
          </cell>
        </row>
        <row r="13">
          <cell r="A13">
            <v>601062</v>
          </cell>
          <cell r="B13" t="str">
            <v>601062  NON-EX/PER FRINGE</v>
          </cell>
          <cell r="C13" t="str">
            <v>SALARIES AND BENEFITS</v>
          </cell>
        </row>
        <row r="14">
          <cell r="A14">
            <v>601069</v>
          </cell>
          <cell r="B14" t="str">
            <v>601069  TEMP/PER FRINGE</v>
          </cell>
          <cell r="C14" t="str">
            <v>SALARIES AND BENEFITS</v>
          </cell>
        </row>
        <row r="15">
          <cell r="A15">
            <v>601070</v>
          </cell>
          <cell r="B15" t="str">
            <v>601070  TEMP FRINGE % OF SAL</v>
          </cell>
          <cell r="C15" t="str">
            <v>SALARIES AND BENEFITS</v>
          </cell>
        </row>
        <row r="16">
          <cell r="A16">
            <v>601071</v>
          </cell>
          <cell r="B16" t="str">
            <v>601071  EXEMPT FRINGE % OF S</v>
          </cell>
          <cell r="C16" t="str">
            <v>SALARIES AND BENEFITS</v>
          </cell>
        </row>
        <row r="17">
          <cell r="A17">
            <v>601072</v>
          </cell>
          <cell r="B17" t="str">
            <v>601072  NON-EX FRINGE % OF S</v>
          </cell>
          <cell r="C17" t="str">
            <v>SALARIES AND BENEFITS</v>
          </cell>
        </row>
        <row r="18">
          <cell r="A18">
            <v>601161</v>
          </cell>
          <cell r="B18" t="str">
            <v>601161  WELLNESS PROGRAM</v>
          </cell>
          <cell r="C18" t="str">
            <v>SALARIES AND BENEFITS</v>
          </cell>
        </row>
        <row r="19">
          <cell r="A19">
            <v>602000</v>
          </cell>
          <cell r="B19" t="str">
            <v>602000  HRLY-SALARIES</v>
          </cell>
          <cell r="C19" t="str">
            <v>SALARIES AND BENEFITS</v>
          </cell>
        </row>
        <row r="20">
          <cell r="A20">
            <v>603002</v>
          </cell>
          <cell r="B20" t="str">
            <v>603002  SAFETY PROGRAM</v>
          </cell>
          <cell r="C20" t="str">
            <v>SALARIES AND BENEFITS</v>
          </cell>
        </row>
        <row r="21">
          <cell r="A21">
            <v>603010</v>
          </cell>
          <cell r="B21" t="str">
            <v>603010  EMPL REWARD AND REC</v>
          </cell>
          <cell r="C21" t="str">
            <v>SALARIES AND BENEFITS</v>
          </cell>
        </row>
        <row r="22">
          <cell r="A22">
            <v>603024</v>
          </cell>
          <cell r="B22" t="str">
            <v>603024  EMPLOYEE PROGRAMS</v>
          </cell>
          <cell r="C22" t="str">
            <v>SALARIES AND BENEFITS</v>
          </cell>
        </row>
        <row r="23">
          <cell r="A23">
            <v>603025</v>
          </cell>
          <cell r="B23" t="str">
            <v>603025  EMPLOYEE RELATIONS</v>
          </cell>
          <cell r="C23" t="str">
            <v>SALARIES AND BENEFITS</v>
          </cell>
        </row>
        <row r="24">
          <cell r="A24">
            <v>603028</v>
          </cell>
          <cell r="B24" t="str">
            <v>603028  SPOT AWARDS</v>
          </cell>
          <cell r="C24" t="str">
            <v>SALARIES AND BENEFITS</v>
          </cell>
        </row>
        <row r="25">
          <cell r="A25">
            <v>603115</v>
          </cell>
          <cell r="B25" t="str">
            <v>603115  PROD INTL CONS CLEAR</v>
          </cell>
          <cell r="C25" t="str">
            <v>SALARIES AND BENEFITS</v>
          </cell>
        </row>
        <row r="26">
          <cell r="A26">
            <v>602014</v>
          </cell>
          <cell r="B26" t="str">
            <v>602014  HOURLY-CAPITALIZED LABOR</v>
          </cell>
          <cell r="C26" t="str">
            <v>SALARIES AND BENEFITS</v>
          </cell>
        </row>
        <row r="27">
          <cell r="A27">
            <v>601901</v>
          </cell>
          <cell r="B27" t="str">
            <v>601901  ACTUAL DIRECT LABOR</v>
          </cell>
          <cell r="C27" t="str">
            <v>SALARIES AND BENEFITS</v>
          </cell>
        </row>
        <row r="28">
          <cell r="A28" t="e">
            <v>#VALUE!</v>
          </cell>
          <cell r="B28" t="str">
            <v>SALARIES AND BENEFITS</v>
          </cell>
          <cell r="C28" t="str">
            <v>SALARIES AND BENEFITS</v>
          </cell>
        </row>
        <row r="29">
          <cell r="A29">
            <v>601130</v>
          </cell>
          <cell r="B29" t="str">
            <v>601130  PROF&amp;CIVIC DUES/FEES</v>
          </cell>
          <cell r="C29" t="str">
            <v>EDUCATION AND TRAINING</v>
          </cell>
        </row>
        <row r="30">
          <cell r="A30">
            <v>601165</v>
          </cell>
          <cell r="B30" t="str">
            <v>601165  SAL-EXT SEMINARS</v>
          </cell>
          <cell r="C30" t="str">
            <v>EDUCATION AND TRAINING</v>
          </cell>
        </row>
        <row r="31">
          <cell r="A31">
            <v>601170</v>
          </cell>
          <cell r="B31" t="str">
            <v>601170  SAL-EDUC BENEFIT</v>
          </cell>
          <cell r="C31" t="str">
            <v>EDUCATION AND TRAINING</v>
          </cell>
        </row>
        <row r="32">
          <cell r="A32">
            <v>604105</v>
          </cell>
          <cell r="B32" t="str">
            <v>604105  SAL-INTERNAL TRAING</v>
          </cell>
          <cell r="C32" t="str">
            <v>EDUCATION AND TRAINING</v>
          </cell>
        </row>
        <row r="33">
          <cell r="A33">
            <v>604135</v>
          </cell>
          <cell r="B33" t="str">
            <v>604135  TRAINING MATERIAL</v>
          </cell>
          <cell r="C33" t="str">
            <v>EDUCATION AND TRAINING</v>
          </cell>
        </row>
        <row r="34">
          <cell r="A34">
            <v>604140</v>
          </cell>
          <cell r="B34" t="str">
            <v>604140  TRAINING-OTHER</v>
          </cell>
          <cell r="C34" t="str">
            <v>EDUCATION AND TRAINING</v>
          </cell>
        </row>
        <row r="35">
          <cell r="A35">
            <v>604142</v>
          </cell>
          <cell r="B35" t="str">
            <v>604142  TRAINING DEVELOPMENT</v>
          </cell>
          <cell r="C35" t="str">
            <v>EDUCATION AND TRAINING</v>
          </cell>
        </row>
        <row r="36">
          <cell r="A36">
            <v>604230</v>
          </cell>
          <cell r="B36" t="str">
            <v>604230  DEALR TRAIN-OTHER</v>
          </cell>
          <cell r="C36" t="str">
            <v>EDUCATION AND TRAINING</v>
          </cell>
        </row>
        <row r="37">
          <cell r="A37">
            <v>610400</v>
          </cell>
          <cell r="B37" t="str">
            <v>610400  SUBSCRIPT-TRADE</v>
          </cell>
          <cell r="C37" t="str">
            <v>EDUCATION AND TRAINING</v>
          </cell>
        </row>
        <row r="38">
          <cell r="A38" t="e">
            <v>#VALUE!</v>
          </cell>
          <cell r="B38" t="str">
            <v>EDUCATION AND TRAINING</v>
          </cell>
          <cell r="C38" t="str">
            <v>EDUCATION AND TRAINING</v>
          </cell>
        </row>
        <row r="39">
          <cell r="A39">
            <v>605000</v>
          </cell>
          <cell r="B39" t="str">
            <v>605000  TRAVEL EXPENSE</v>
          </cell>
          <cell r="C39" t="str">
            <v>TRAVEL EXPENSE</v>
          </cell>
        </row>
        <row r="40">
          <cell r="A40">
            <v>605100</v>
          </cell>
          <cell r="B40" t="str">
            <v>605100  TRAVEL INTERNATIONAL</v>
          </cell>
          <cell r="C40" t="str">
            <v>TRAVEL EXPENSE</v>
          </cell>
        </row>
        <row r="41">
          <cell r="A41">
            <v>605500</v>
          </cell>
          <cell r="B41" t="str">
            <v>605500  TRAVEL-MEAL COST</v>
          </cell>
          <cell r="C41" t="str">
            <v>TRAVEL EXPENSE</v>
          </cell>
        </row>
        <row r="42">
          <cell r="A42">
            <v>605600</v>
          </cell>
          <cell r="B42" t="str">
            <v>605600  TRAVEL-MEAL COST INT</v>
          </cell>
          <cell r="C42" t="str">
            <v>TRAVEL EXPENSE</v>
          </cell>
        </row>
        <row r="43">
          <cell r="A43">
            <v>606230</v>
          </cell>
          <cell r="B43" t="str">
            <v>606230  OWNED AUTO-REPAIRS</v>
          </cell>
          <cell r="C43" t="str">
            <v>TRAVEL EXPENSE</v>
          </cell>
        </row>
        <row r="44">
          <cell r="A44">
            <v>606100</v>
          </cell>
          <cell r="B44" t="str">
            <v>606100  LEASED AUTO-CAR</v>
          </cell>
          <cell r="C44" t="str">
            <v>TRAVEL EXPENSE</v>
          </cell>
        </row>
        <row r="45">
          <cell r="A45" t="e">
            <v>#VALUE!</v>
          </cell>
          <cell r="B45" t="str">
            <v>TRAVEL EXPENSE</v>
          </cell>
          <cell r="C45" t="str">
            <v>TRAVEL EXPENSE</v>
          </cell>
        </row>
        <row r="46">
          <cell r="A46">
            <v>603031</v>
          </cell>
          <cell r="B46" t="str">
            <v>603031  TRANSF MOVING &amp; LIVI</v>
          </cell>
          <cell r="C46" t="str">
            <v>RECRUITING &amp; RELOCATION</v>
          </cell>
        </row>
        <row r="47">
          <cell r="A47">
            <v>603032</v>
          </cell>
          <cell r="B47" t="str">
            <v>603032  RECRUIT/EMPLOYMENT</v>
          </cell>
          <cell r="C47" t="str">
            <v>RECRUITING &amp; RELOCATION</v>
          </cell>
        </row>
        <row r="48">
          <cell r="A48">
            <v>603035</v>
          </cell>
          <cell r="B48" t="str">
            <v>603035  FOREIGN ALLOWANCE</v>
          </cell>
          <cell r="C48" t="str">
            <v>RECRUITING &amp; RELOCATION</v>
          </cell>
        </row>
        <row r="49">
          <cell r="A49">
            <v>603036</v>
          </cell>
          <cell r="B49" t="str">
            <v>603036  EXPAT FOREIGN TAXES</v>
          </cell>
          <cell r="C49" t="str">
            <v>RECRUITING &amp; RELOCATION</v>
          </cell>
        </row>
        <row r="50">
          <cell r="A50">
            <v>603047</v>
          </cell>
          <cell r="B50" t="str">
            <v>603047  VISA-HR SERVICES</v>
          </cell>
          <cell r="C50" t="str">
            <v>RECRUITING &amp; RELOCATION</v>
          </cell>
        </row>
        <row r="51">
          <cell r="A51" t="e">
            <v>#VALUE!</v>
          </cell>
          <cell r="B51" t="str">
            <v>RECRUITING &amp; RELOCATION</v>
          </cell>
          <cell r="C51" t="str">
            <v>RECRUITING &amp; RELOCATION</v>
          </cell>
        </row>
        <row r="52">
          <cell r="A52" t="e">
            <v>#VALUE!</v>
          </cell>
          <cell r="B52" t="str">
            <v>WHIRLPOOL PERSONNEL</v>
          </cell>
          <cell r="C52" t="str">
            <v>WHIRLPOOL PERSONNEL</v>
          </cell>
        </row>
        <row r="53">
          <cell r="A53">
            <v>613000</v>
          </cell>
          <cell r="B53" t="str">
            <v>613000  OUTSIDE SVCS CONSULT</v>
          </cell>
          <cell r="C53" t="str">
            <v>CONSULTING</v>
          </cell>
        </row>
        <row r="54">
          <cell r="A54">
            <v>613010</v>
          </cell>
          <cell r="B54" t="str">
            <v>613010  CONSULTANT LIVING EX</v>
          </cell>
          <cell r="C54" t="str">
            <v>CONSULTING</v>
          </cell>
        </row>
        <row r="55">
          <cell r="A55">
            <v>613040</v>
          </cell>
          <cell r="B55" t="str">
            <v>613040  IT CONSULTING</v>
          </cell>
          <cell r="C55" t="str">
            <v>CONSULTING</v>
          </cell>
        </row>
        <row r="56">
          <cell r="A56" t="e">
            <v>#VALUE!</v>
          </cell>
          <cell r="B56" t="str">
            <v>CONSULTING</v>
          </cell>
          <cell r="C56" t="str">
            <v>CONSULTING</v>
          </cell>
        </row>
        <row r="57">
          <cell r="A57">
            <v>603003</v>
          </cell>
          <cell r="B57" t="str">
            <v>603003  CONTRACT WAGES &amp; BEN</v>
          </cell>
          <cell r="C57" t="str">
            <v>CONTRACTING</v>
          </cell>
        </row>
        <row r="58">
          <cell r="A58">
            <v>613120</v>
          </cell>
          <cell r="B58" t="str">
            <v>613120  OUTSIDE PURCHASE SVC</v>
          </cell>
          <cell r="C58" t="str">
            <v>CONTRACTING</v>
          </cell>
        </row>
        <row r="59">
          <cell r="A59" t="e">
            <v>#VALUE!</v>
          </cell>
          <cell r="B59" t="str">
            <v>CONTRACTING</v>
          </cell>
          <cell r="C59" t="str">
            <v>CONTRACTING</v>
          </cell>
        </row>
        <row r="60">
          <cell r="A60">
            <v>613050</v>
          </cell>
          <cell r="B60" t="str">
            <v>613050  OUTSOURCED SERVICES</v>
          </cell>
          <cell r="C60" t="str">
            <v>OUTSOURCE</v>
          </cell>
        </row>
        <row r="61">
          <cell r="A61" t="e">
            <v>#VALUE!</v>
          </cell>
          <cell r="B61" t="str">
            <v>OUTSOURCE</v>
          </cell>
          <cell r="C61" t="str">
            <v>OUTSOURCE</v>
          </cell>
        </row>
        <row r="62">
          <cell r="A62" t="e">
            <v>#VALUE!</v>
          </cell>
          <cell r="B62" t="str">
            <v>OUTSIDE PERSONNEL</v>
          </cell>
          <cell r="C62" t="str">
            <v>OUTSIDE PERSONNEL</v>
          </cell>
        </row>
        <row r="63">
          <cell r="A63">
            <v>609210</v>
          </cell>
          <cell r="B63" t="str">
            <v>609210  MAINT-HARDWARE</v>
          </cell>
          <cell r="C63" t="str">
            <v>HW MAINTENANCE</v>
          </cell>
        </row>
        <row r="64">
          <cell r="A64">
            <v>609230</v>
          </cell>
          <cell r="B64" t="str">
            <v>609230  MAINT-OFFICE EQUIP</v>
          </cell>
          <cell r="C64" t="str">
            <v>HW MAINTENANCE</v>
          </cell>
        </row>
        <row r="65">
          <cell r="A65">
            <v>609244</v>
          </cell>
          <cell r="B65" t="str">
            <v>609244  PURCH MAINT M&amp;E</v>
          </cell>
          <cell r="C65" t="str">
            <v>HW MAINTENANCE</v>
          </cell>
        </row>
        <row r="66">
          <cell r="A66" t="e">
            <v>#VALUE!</v>
          </cell>
          <cell r="B66" t="str">
            <v>HW MAINTENANCE</v>
          </cell>
          <cell r="C66" t="str">
            <v>HW MAINTENANCE</v>
          </cell>
        </row>
        <row r="67">
          <cell r="A67">
            <v>607500</v>
          </cell>
          <cell r="B67" t="str">
            <v>607500  PROPERTY-EQUIPMENT</v>
          </cell>
          <cell r="C67" t="str">
            <v>HARWARE RENT &amp; LEASING</v>
          </cell>
        </row>
        <row r="68">
          <cell r="A68">
            <v>608110</v>
          </cell>
          <cell r="B68" t="str">
            <v>608110  RENTAL-HARDWARE</v>
          </cell>
          <cell r="C68" t="str">
            <v>HARWARE RENT &amp; LEASING</v>
          </cell>
        </row>
        <row r="69">
          <cell r="A69">
            <v>608131</v>
          </cell>
          <cell r="B69" t="str">
            <v>608131  RENTAL-COMM EQUIP</v>
          </cell>
          <cell r="C69" t="str">
            <v>HARWARE RENT &amp; LEASING</v>
          </cell>
        </row>
        <row r="70">
          <cell r="A70">
            <v>608210</v>
          </cell>
          <cell r="B70" t="str">
            <v>608210  LEASED-HARDWARE</v>
          </cell>
          <cell r="C70" t="str">
            <v>HARWARE RENT &amp; LEASING</v>
          </cell>
        </row>
        <row r="71">
          <cell r="A71">
            <v>608215</v>
          </cell>
          <cell r="B71" t="str">
            <v>608215  LEASED-PC EQUIP</v>
          </cell>
          <cell r="C71" t="str">
            <v>HARWARE RENT &amp; LEASING</v>
          </cell>
        </row>
        <row r="72">
          <cell r="A72">
            <v>608250</v>
          </cell>
          <cell r="B72" t="str">
            <v>608250  LEASING COSTS-OTHER</v>
          </cell>
          <cell r="C72" t="str">
            <v>HARWARE RENT &amp; LEASING</v>
          </cell>
        </row>
        <row r="73">
          <cell r="A73" t="e">
            <v>#VALUE!</v>
          </cell>
          <cell r="B73" t="str">
            <v>HARWARE RENT &amp; LEASING</v>
          </cell>
          <cell r="C73" t="str">
            <v>HARWARE RENT &amp; LEASING</v>
          </cell>
        </row>
        <row r="74">
          <cell r="A74">
            <v>608100</v>
          </cell>
          <cell r="B74" t="str">
            <v>608100  RENTAL-SOFTWARE</v>
          </cell>
          <cell r="C74" t="str">
            <v>SOFTWARE RENT &amp; LEASING</v>
          </cell>
        </row>
        <row r="75">
          <cell r="A75">
            <v>608200</v>
          </cell>
          <cell r="B75" t="str">
            <v>608200  LEASED-SOFTWARE</v>
          </cell>
          <cell r="C75" t="str">
            <v>SOFTWARE RENT &amp; LEASING</v>
          </cell>
        </row>
        <row r="76">
          <cell r="A76">
            <v>609200</v>
          </cell>
          <cell r="B76" t="str">
            <v>609200  MAINT-SOFTWARE</v>
          </cell>
          <cell r="C76" t="str">
            <v>SOFTWARE RENT &amp; LEASING</v>
          </cell>
        </row>
        <row r="77">
          <cell r="A77" t="e">
            <v>#VALUE!</v>
          </cell>
          <cell r="B77" t="str">
            <v>SOFTWARE RENT &amp; LEASING</v>
          </cell>
          <cell r="C77" t="str">
            <v>SOFTWARE RENT &amp; LEASING</v>
          </cell>
        </row>
        <row r="78">
          <cell r="A78">
            <v>607050</v>
          </cell>
          <cell r="B78" t="str">
            <v>607050  PRPTY-DEPRECIATION</v>
          </cell>
          <cell r="C78" t="str">
            <v>HW / SW DEPRECIATION</v>
          </cell>
        </row>
        <row r="79">
          <cell r="A79" t="e">
            <v>#VALUE!</v>
          </cell>
          <cell r="B79" t="str">
            <v>HW / SW DEPRECIATION</v>
          </cell>
          <cell r="C79" t="str">
            <v>HW / SW DEPRECIATION</v>
          </cell>
        </row>
        <row r="80">
          <cell r="A80">
            <v>610200</v>
          </cell>
          <cell r="B80" t="str">
            <v>610200  OFFICE SOFTWARE PURC</v>
          </cell>
          <cell r="C80" t="str">
            <v>PURCHASED SOFTWARE</v>
          </cell>
        </row>
        <row r="81">
          <cell r="A81" t="e">
            <v>#VALUE!</v>
          </cell>
          <cell r="B81" t="str">
            <v>PURCHASED SOFTWARE</v>
          </cell>
          <cell r="C81" t="str">
            <v>PURCHASED SOFTWARE</v>
          </cell>
        </row>
        <row r="82">
          <cell r="A82" t="e">
            <v>#VALUE!</v>
          </cell>
          <cell r="B82" t="str">
            <v>HARDWARE SOFTWARE COSTS</v>
          </cell>
          <cell r="C82" t="str">
            <v>HARDWARE SOFTWARE COSTS</v>
          </cell>
        </row>
        <row r="83">
          <cell r="A83">
            <v>612135</v>
          </cell>
          <cell r="B83" t="str">
            <v>612135  DATA TRANS LINES</v>
          </cell>
          <cell r="C83" t="str">
            <v>DATA COMMUNICATIONS</v>
          </cell>
        </row>
        <row r="84">
          <cell r="A84">
            <v>612100</v>
          </cell>
          <cell r="B84" t="str">
            <v>612100  WIDE AREA NETWORK</v>
          </cell>
          <cell r="C84" t="str">
            <v>DATA COMMUNICATIONS</v>
          </cell>
        </row>
        <row r="85">
          <cell r="A85" t="e">
            <v>#VALUE!</v>
          </cell>
          <cell r="B85" t="str">
            <v>DATA COMMUNICATIONS</v>
          </cell>
          <cell r="C85" t="str">
            <v>DATA COMMUNICATIONS</v>
          </cell>
        </row>
        <row r="86">
          <cell r="A86">
            <v>612110</v>
          </cell>
          <cell r="B86" t="str">
            <v>612110  LOCAL AREA NETWORK</v>
          </cell>
          <cell r="C86" t="str">
            <v>VOICE AND VIDEO</v>
          </cell>
        </row>
        <row r="87">
          <cell r="A87">
            <v>612210</v>
          </cell>
          <cell r="B87" t="str">
            <v>612210  INDIVIDUAL TELEPHONE</v>
          </cell>
          <cell r="C87" t="str">
            <v>VOICE AND VIDEO</v>
          </cell>
        </row>
        <row r="88">
          <cell r="A88">
            <v>612220</v>
          </cell>
          <cell r="B88" t="str">
            <v>612220  MOBIL TELEPHONE CHAR</v>
          </cell>
          <cell r="C88" t="str">
            <v>VOICE AND VIDEO</v>
          </cell>
        </row>
        <row r="89">
          <cell r="A89">
            <v>613125</v>
          </cell>
          <cell r="B89" t="str">
            <v>613125  THIRD PARTY INV FEE</v>
          </cell>
          <cell r="C89" t="str">
            <v>VOICE AND VIDEO</v>
          </cell>
        </row>
        <row r="90">
          <cell r="A90">
            <v>612120</v>
          </cell>
          <cell r="B90" t="str">
            <v>612120  NETWORK SERVICE</v>
          </cell>
          <cell r="C90" t="str">
            <v>VOICE AND VIDEO</v>
          </cell>
        </row>
        <row r="91">
          <cell r="A91">
            <v>612130</v>
          </cell>
          <cell r="B91" t="str">
            <v>612130  NETWORK-OTHER</v>
          </cell>
          <cell r="C91" t="str">
            <v>VOICE AND VIDEO</v>
          </cell>
        </row>
        <row r="92">
          <cell r="A92">
            <v>610350</v>
          </cell>
          <cell r="B92" t="str">
            <v>610350  COMMUNICATIONS</v>
          </cell>
          <cell r="C92" t="str">
            <v>VOICE AND VIDEO</v>
          </cell>
        </row>
        <row r="93">
          <cell r="A93">
            <v>612200</v>
          </cell>
          <cell r="B93" t="str">
            <v>612200  GENERAL TELEPHONE</v>
          </cell>
          <cell r="C93" t="str">
            <v>VOICE AND VIDEO</v>
          </cell>
        </row>
        <row r="94">
          <cell r="A94" t="e">
            <v>#VALUE!</v>
          </cell>
          <cell r="B94" t="str">
            <v>VOICE AND VIDEO</v>
          </cell>
          <cell r="C94" t="str">
            <v>VOICE AND VIDEO</v>
          </cell>
        </row>
        <row r="95">
          <cell r="A95">
            <v>613127</v>
          </cell>
          <cell r="B95" t="str">
            <v>613127  COMMUNICATIONS REBIL</v>
          </cell>
          <cell r="C95" t="str">
            <v>COMMUNICATIONS REBILL</v>
          </cell>
        </row>
        <row r="96">
          <cell r="A96" t="e">
            <v>#VALUE!</v>
          </cell>
          <cell r="B96" t="str">
            <v>COMMUNICATIONS REBILL</v>
          </cell>
          <cell r="C96" t="str">
            <v>COMMUNICATIONS REBILL</v>
          </cell>
        </row>
        <row r="97">
          <cell r="A97" t="e">
            <v>#VALUE!</v>
          </cell>
          <cell r="B97" t="str">
            <v>COMMUNICATIONS</v>
          </cell>
          <cell r="C97" t="str">
            <v>COMMUNICATIONS REBILL</v>
          </cell>
        </row>
        <row r="98">
          <cell r="A98">
            <v>603017</v>
          </cell>
          <cell r="B98" t="str">
            <v>603017  FLOWERS &amp; MEMORIAL</v>
          </cell>
          <cell r="C98" t="str">
            <v>MISCELLANEOUS</v>
          </cell>
        </row>
        <row r="99">
          <cell r="A99">
            <v>603030</v>
          </cell>
          <cell r="B99" t="str">
            <v>603030  EMPLOYEE STOCK PURCH</v>
          </cell>
          <cell r="C99" t="str">
            <v>MISCELLANEOUS</v>
          </cell>
        </row>
        <row r="100">
          <cell r="A100">
            <v>603100</v>
          </cell>
          <cell r="B100" t="str">
            <v>603100  CASH DONATIONS</v>
          </cell>
          <cell r="C100" t="str">
            <v>MISCELLANEOUS</v>
          </cell>
        </row>
        <row r="101">
          <cell r="A101">
            <v>603102</v>
          </cell>
          <cell r="B101" t="str">
            <v>603102  EXEC PROD INTERCHNG</v>
          </cell>
          <cell r="C101" t="str">
            <v>MISCELLANEOUS</v>
          </cell>
        </row>
        <row r="102">
          <cell r="A102">
            <v>603103</v>
          </cell>
          <cell r="B102" t="str">
            <v>603103  PROD INTERNAL CONSUM</v>
          </cell>
          <cell r="C102" t="str">
            <v>MISCELLANEOUS</v>
          </cell>
        </row>
        <row r="103">
          <cell r="A103">
            <v>603106</v>
          </cell>
          <cell r="B103" t="str">
            <v>603106  PROD INTL CONS DROP</v>
          </cell>
          <cell r="C103" t="str">
            <v>MISCELLANEOUS</v>
          </cell>
        </row>
        <row r="104">
          <cell r="A104">
            <v>603112</v>
          </cell>
          <cell r="B104" t="str">
            <v>603112  LAPORTE EPI</v>
          </cell>
          <cell r="C104" t="str">
            <v>MISCELLANEOUS</v>
          </cell>
        </row>
        <row r="105">
          <cell r="A105">
            <v>603113</v>
          </cell>
          <cell r="B105" t="str">
            <v>603113  EPI-ADD'L EXPENSES</v>
          </cell>
          <cell r="C105" t="str">
            <v>MISCELLANEOUS</v>
          </cell>
        </row>
        <row r="106">
          <cell r="A106">
            <v>605800</v>
          </cell>
          <cell r="B106" t="str">
            <v>605800  ENTERTAINING 3RD PTY</v>
          </cell>
          <cell r="C106" t="str">
            <v>MISCELLANEOUS</v>
          </cell>
        </row>
        <row r="107">
          <cell r="A107">
            <v>607064</v>
          </cell>
          <cell r="B107" t="str">
            <v>607064  PROP-PER TOOLS REQ</v>
          </cell>
          <cell r="C107" t="str">
            <v>MISCELLANEOUS</v>
          </cell>
        </row>
        <row r="108">
          <cell r="A108">
            <v>607400</v>
          </cell>
          <cell r="B108" t="str">
            <v>607400  PROPERTY-TAXES</v>
          </cell>
          <cell r="C108" t="str">
            <v>MISCELLANEOUS</v>
          </cell>
        </row>
        <row r="109">
          <cell r="A109">
            <v>607501</v>
          </cell>
          <cell r="B109" t="str">
            <v>607501  PROP EQUIP &lt; $3000</v>
          </cell>
          <cell r="C109" t="str">
            <v>MISCELLANEOUS</v>
          </cell>
        </row>
        <row r="110">
          <cell r="A110">
            <v>610000</v>
          </cell>
          <cell r="B110" t="str">
            <v>610000  OFFICE SUPPLIES</v>
          </cell>
          <cell r="C110" t="str">
            <v>MISCELLANEOUS</v>
          </cell>
        </row>
        <row r="111">
          <cell r="A111">
            <v>610050</v>
          </cell>
          <cell r="B111" t="str">
            <v>610050  PC SUPPLIES</v>
          </cell>
          <cell r="C111" t="str">
            <v>MISCELLANEOUS</v>
          </cell>
        </row>
        <row r="112">
          <cell r="A112">
            <v>610100</v>
          </cell>
          <cell r="B112" t="str">
            <v>610100  PRINTING</v>
          </cell>
          <cell r="C112" t="str">
            <v>MISCELLANEOUS</v>
          </cell>
        </row>
        <row r="113">
          <cell r="A113">
            <v>610110</v>
          </cell>
          <cell r="B113" t="str">
            <v>610110  PURCHASED FORMS</v>
          </cell>
          <cell r="C113" t="str">
            <v>MISCELLANEOUS</v>
          </cell>
        </row>
        <row r="114">
          <cell r="A114">
            <v>610300</v>
          </cell>
          <cell r="B114" t="str">
            <v>610300  BOOKS, MAGAZINES, PA</v>
          </cell>
          <cell r="C114" t="str">
            <v>MISCELLANEOUS</v>
          </cell>
        </row>
        <row r="115">
          <cell r="A115">
            <v>610600</v>
          </cell>
          <cell r="B115" t="str">
            <v>610600  MEETING EXPENSE</v>
          </cell>
          <cell r="C115" t="str">
            <v>MISCELLANEOUS</v>
          </cell>
        </row>
        <row r="116">
          <cell r="A116">
            <v>610601</v>
          </cell>
          <cell r="B116" t="str">
            <v>610601  DINNER MEETING EXP</v>
          </cell>
          <cell r="C116" t="str">
            <v>MISCELLANEOUS</v>
          </cell>
        </row>
        <row r="117">
          <cell r="A117">
            <v>612115</v>
          </cell>
          <cell r="B117" t="str">
            <v>612115  EQUIPMENT CHARGES</v>
          </cell>
          <cell r="C117" t="str">
            <v>MISCELLANEOUS</v>
          </cell>
        </row>
        <row r="118">
          <cell r="A118">
            <v>613020</v>
          </cell>
          <cell r="B118" t="str">
            <v>613020  LEGAL FEES</v>
          </cell>
          <cell r="C118" t="str">
            <v>MISCELLANEOUS</v>
          </cell>
        </row>
        <row r="119">
          <cell r="A119">
            <v>613118</v>
          </cell>
          <cell r="B119" t="str">
            <v>613118  GROUND TRANS SERV</v>
          </cell>
          <cell r="C119" t="str">
            <v>MISCELLANEOUS</v>
          </cell>
        </row>
        <row r="120">
          <cell r="A120">
            <v>616100</v>
          </cell>
          <cell r="B120" t="str">
            <v>616100  POSTAGE</v>
          </cell>
          <cell r="C120" t="str">
            <v>MISCELLANEOUS</v>
          </cell>
        </row>
        <row r="121">
          <cell r="A121">
            <v>616319</v>
          </cell>
          <cell r="B121" t="str">
            <v>616319  SUP-FACTORY REQ</v>
          </cell>
          <cell r="C121" t="str">
            <v>MISCELLANEOUS</v>
          </cell>
        </row>
        <row r="122">
          <cell r="A122">
            <v>616326</v>
          </cell>
          <cell r="B122" t="str">
            <v>616326  VISA-MISC SUPPLIES</v>
          </cell>
          <cell r="C122" t="str">
            <v>MISCELLANEOUS</v>
          </cell>
        </row>
        <row r="123">
          <cell r="A123">
            <v>616327</v>
          </cell>
          <cell r="B123" t="str">
            <v>616327  MISC SUPPLIES</v>
          </cell>
          <cell r="C123" t="str">
            <v>MISCELLANEOUS</v>
          </cell>
        </row>
        <row r="124">
          <cell r="A124">
            <v>616333</v>
          </cell>
          <cell r="B124" t="str">
            <v>616333  TEST PROD PURCH</v>
          </cell>
          <cell r="C124" t="str">
            <v>MISCELLANEOUS</v>
          </cell>
        </row>
        <row r="125">
          <cell r="A125">
            <v>616334</v>
          </cell>
          <cell r="B125" t="str">
            <v>616334  PROJECT MATERIALS</v>
          </cell>
          <cell r="C125" t="str">
            <v>MISCELLANEOUS</v>
          </cell>
        </row>
        <row r="126">
          <cell r="A126">
            <v>616340</v>
          </cell>
          <cell r="B126" t="str">
            <v>616340  SUPPLIES-PRODUCTION</v>
          </cell>
          <cell r="C126" t="str">
            <v>MISCELLANEOUS</v>
          </cell>
        </row>
        <row r="127">
          <cell r="A127">
            <v>616600</v>
          </cell>
          <cell r="B127" t="str">
            <v>616600  CANTEEN AND CATERING</v>
          </cell>
          <cell r="C127" t="str">
            <v>MISCELLANEOUS</v>
          </cell>
        </row>
        <row r="128">
          <cell r="A128">
            <v>619600</v>
          </cell>
          <cell r="B128" t="str">
            <v>619600  FIELD ADJUSTMENTS</v>
          </cell>
          <cell r="C128" t="str">
            <v>MISCELLANEOUS</v>
          </cell>
        </row>
        <row r="129">
          <cell r="A129">
            <v>620008</v>
          </cell>
          <cell r="B129" t="str">
            <v>620008  PROMO MATL EMPL ORD</v>
          </cell>
          <cell r="C129" t="str">
            <v>MISCELLANEOUS</v>
          </cell>
        </row>
        <row r="130">
          <cell r="A130">
            <v>620082</v>
          </cell>
          <cell r="B130" t="str">
            <v>620082  PROMO COSTS-FIX REV</v>
          </cell>
          <cell r="C130" t="str">
            <v>MISCELLANEOUS</v>
          </cell>
        </row>
        <row r="131">
          <cell r="A131">
            <v>620090</v>
          </cell>
          <cell r="B131" t="str">
            <v>620090  SALES PROMO ITEMS</v>
          </cell>
          <cell r="C131" t="str">
            <v>MISCELLANEOUS</v>
          </cell>
        </row>
        <row r="132">
          <cell r="A132">
            <v>622500</v>
          </cell>
          <cell r="B132" t="str">
            <v>622500  FOOD/BEV ENTERTAINMT</v>
          </cell>
          <cell r="C132" t="str">
            <v>MISCELLANEOUS</v>
          </cell>
        </row>
        <row r="133">
          <cell r="A133">
            <v>626195</v>
          </cell>
          <cell r="B133" t="str">
            <v>626195  3-PRTY LOG SVCS CHGS</v>
          </cell>
          <cell r="C133" t="str">
            <v>MISCELLANEOUS</v>
          </cell>
        </row>
        <row r="134">
          <cell r="A134">
            <v>626343</v>
          </cell>
          <cell r="B134" t="str">
            <v>626343  EXCESS FREIGHT</v>
          </cell>
          <cell r="C134" t="str">
            <v>MISCELLANEOUS</v>
          </cell>
        </row>
        <row r="135">
          <cell r="A135">
            <v>626400</v>
          </cell>
          <cell r="B135" t="str">
            <v>626400  FREIGHT CHARGES</v>
          </cell>
          <cell r="C135" t="str">
            <v>MISCELLANEOUS</v>
          </cell>
        </row>
        <row r="136">
          <cell r="A136">
            <v>626410</v>
          </cell>
          <cell r="B136" t="str">
            <v>626410  FREIGHT NP MTL</v>
          </cell>
          <cell r="C136" t="str">
            <v>MISCELLANEOUS</v>
          </cell>
        </row>
        <row r="137">
          <cell r="A137">
            <v>628500</v>
          </cell>
          <cell r="B137" t="str">
            <v>628500  SUNDRY EXPENSE</v>
          </cell>
          <cell r="C137" t="str">
            <v>MISCELLANEOUS</v>
          </cell>
        </row>
        <row r="138">
          <cell r="A138">
            <v>629050</v>
          </cell>
          <cell r="B138" t="str">
            <v>629050  REARRANGE-MISC</v>
          </cell>
          <cell r="C138" t="str">
            <v>MISCELLANEOUS</v>
          </cell>
        </row>
        <row r="139">
          <cell r="A139">
            <v>629500</v>
          </cell>
          <cell r="B139" t="str">
            <v>629500  SPECIAL PROJECTS</v>
          </cell>
          <cell r="C139" t="str">
            <v>MISCELLANEOUS</v>
          </cell>
        </row>
        <row r="140">
          <cell r="A140">
            <v>630000</v>
          </cell>
          <cell r="B140" t="str">
            <v>630000  SALES TAX EXPENSE</v>
          </cell>
          <cell r="C140" t="str">
            <v>MISCELLANEOUS</v>
          </cell>
        </row>
        <row r="141">
          <cell r="A141">
            <v>631000</v>
          </cell>
          <cell r="B141" t="str">
            <v>631000  TAX ON FREE GOODS</v>
          </cell>
          <cell r="C141" t="str">
            <v>MISCELLANEOUS</v>
          </cell>
        </row>
        <row r="142">
          <cell r="A142">
            <v>603019</v>
          </cell>
          <cell r="B142" t="str">
            <v>603019  COMPANY PICNIC</v>
          </cell>
          <cell r="C142" t="str">
            <v>MISCELLANEOUS</v>
          </cell>
        </row>
        <row r="143">
          <cell r="A143">
            <v>609121</v>
          </cell>
          <cell r="B143" t="str">
            <v>609121  REPAIRS-T&amp;D MATERIAL</v>
          </cell>
          <cell r="C143" t="str">
            <v>MISCELLANEOUS</v>
          </cell>
        </row>
        <row r="144">
          <cell r="A144">
            <v>999977</v>
          </cell>
          <cell r="B144" t="str">
            <v>999977  CAPITAL ACQUISITIONS</v>
          </cell>
          <cell r="C144" t="str">
            <v>MISCELLANEOUS</v>
          </cell>
        </row>
        <row r="145">
          <cell r="A145">
            <v>603022</v>
          </cell>
          <cell r="B145" t="str">
            <v>603022  RECREATION PROGRAMS</v>
          </cell>
          <cell r="C145" t="str">
            <v>MISCELLANEOUS</v>
          </cell>
        </row>
        <row r="146">
          <cell r="A146">
            <v>603049</v>
          </cell>
          <cell r="B146" t="str">
            <v>603049  SEPARATION ALLOWANCE</v>
          </cell>
          <cell r="C146" t="str">
            <v>MISCELLANEOUS</v>
          </cell>
        </row>
        <row r="147">
          <cell r="A147">
            <v>607056</v>
          </cell>
          <cell r="B147" t="str">
            <v>607056  GAIN/LOSS ON DISP</v>
          </cell>
          <cell r="C147" t="str">
            <v>MISCELLANEOUS</v>
          </cell>
        </row>
        <row r="148">
          <cell r="A148" t="e">
            <v>#VALUE!</v>
          </cell>
          <cell r="B148" t="str">
            <v>MISCELLANEOUS</v>
          </cell>
          <cell r="C148" t="str">
            <v>MISCELLANEOUS</v>
          </cell>
        </row>
        <row r="149">
          <cell r="A149">
            <v>699025</v>
          </cell>
          <cell r="B149" t="str">
            <v>699025  TRANSFERS-WAREHOUSE</v>
          </cell>
          <cell r="C149" t="str">
            <v>MISCELLANEOUS</v>
          </cell>
        </row>
        <row r="150">
          <cell r="A150">
            <v>699035</v>
          </cell>
          <cell r="B150" t="str">
            <v>699035  TRANSFERS-CENT SERV</v>
          </cell>
          <cell r="C150" t="str">
            <v>MISCELLANEOUS</v>
          </cell>
        </row>
        <row r="151">
          <cell r="A151" t="e">
            <v>#VALUE!</v>
          </cell>
          <cell r="B151" t="str">
            <v>TRANSFERS MISCELLANEOUS</v>
          </cell>
          <cell r="C151" t="str">
            <v>MISCELLANEOUS</v>
          </cell>
        </row>
        <row r="152">
          <cell r="A152" t="e">
            <v>#VALUE!</v>
          </cell>
          <cell r="B152" t="str">
            <v>MISCELLANEOUS TOTAL</v>
          </cell>
          <cell r="C152" t="str">
            <v>MISCELLANEOUS</v>
          </cell>
        </row>
        <row r="153">
          <cell r="A153" t="e">
            <v>#VALUE!</v>
          </cell>
          <cell r="B153" t="str">
            <v>GROSS EXPENSE</v>
          </cell>
          <cell r="C153" t="str">
            <v>GROSS EXPENSE</v>
          </cell>
        </row>
        <row r="154">
          <cell r="A154">
            <v>699000</v>
          </cell>
          <cell r="B154" t="str">
            <v>699000  TRANSFERS-CAPITAL</v>
          </cell>
          <cell r="C154" t="str">
            <v>TRANSFERS CAPITAL</v>
          </cell>
        </row>
        <row r="155">
          <cell r="A155" t="e">
            <v>#VALUE!</v>
          </cell>
          <cell r="B155" t="str">
            <v>TRANSFERS CAPITAL</v>
          </cell>
          <cell r="C155" t="str">
            <v>TRANSFERS MISCELLANEOUS</v>
          </cell>
        </row>
        <row r="156">
          <cell r="A156">
            <v>699005</v>
          </cell>
          <cell r="B156" t="str">
            <v>699005  TRANSFERS-OTHER</v>
          </cell>
          <cell r="C156" t="str">
            <v>TRANSFERS REBILL</v>
          </cell>
        </row>
        <row r="157">
          <cell r="A157">
            <v>699010</v>
          </cell>
          <cell r="B157" t="str">
            <v>699010  TRANSFERS-REBILL</v>
          </cell>
          <cell r="C157" t="str">
            <v>TRANSFERS REBILL</v>
          </cell>
        </row>
        <row r="158">
          <cell r="A158">
            <v>699015</v>
          </cell>
          <cell r="B158" t="str">
            <v>699015  TRANSFERS-IT</v>
          </cell>
          <cell r="C158" t="str">
            <v>TRANSFERS REBILL</v>
          </cell>
        </row>
        <row r="159">
          <cell r="A159">
            <v>699017</v>
          </cell>
          <cell r="B159" t="str">
            <v>699017  TRANSFERS-PC LEASE</v>
          </cell>
          <cell r="C159" t="str">
            <v>TRANSFERS REBILL</v>
          </cell>
        </row>
        <row r="160">
          <cell r="A160">
            <v>699090</v>
          </cell>
          <cell r="B160" t="str">
            <v>699090  TRANSFERS-INTL ALLOC</v>
          </cell>
          <cell r="C160" t="str">
            <v>TRANSFERS REBILL</v>
          </cell>
        </row>
        <row r="161">
          <cell r="A161">
            <v>699075</v>
          </cell>
          <cell r="B161" t="str">
            <v>699075  TRANSFERS-CORPORATE</v>
          </cell>
          <cell r="C161" t="str">
            <v>TRANSFERS REBILL</v>
          </cell>
        </row>
        <row r="162">
          <cell r="A162">
            <v>699085</v>
          </cell>
          <cell r="B162" t="str">
            <v>699085  TRANSFERS-MISC ADJ</v>
          </cell>
          <cell r="C162" t="str">
            <v>TRANSFERS REBILL</v>
          </cell>
        </row>
        <row r="163">
          <cell r="A163">
            <v>690263</v>
          </cell>
          <cell r="B163" t="str">
            <v>690263  TRANS-GIS INTERNAL</v>
          </cell>
          <cell r="C163" t="str">
            <v>TRANSFERS REBILL</v>
          </cell>
        </row>
        <row r="164">
          <cell r="A164" t="e">
            <v>#VALUE!</v>
          </cell>
          <cell r="B164" t="str">
            <v>TRANSFERS REBILL</v>
          </cell>
          <cell r="C164" t="str">
            <v>TRANSFERS MISCELLANEOUS</v>
          </cell>
        </row>
        <row r="165">
          <cell r="A165" t="e">
            <v>#VALUE!</v>
          </cell>
          <cell r="B165" t="str">
            <v>TRANSFERS</v>
          </cell>
          <cell r="C165" t="str">
            <v>TRANSFERS MISCELLANEOUS</v>
          </cell>
        </row>
        <row r="166">
          <cell r="A166" t="e">
            <v>#VALUE!</v>
          </cell>
          <cell r="B166" t="str">
            <v>Total</v>
          </cell>
          <cell r="C166" t="str">
            <v>Total</v>
          </cell>
        </row>
        <row r="167">
          <cell r="A167" t="e">
            <v>#VALUE!</v>
          </cell>
          <cell r="B167" t="str">
            <v>Grand Total</v>
          </cell>
          <cell r="C167" t="str">
            <v>Grand Total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33 A REV."/>
      <sheetName val="ATTACH REH-5A REV"/>
      <sheetName val="TS1 &amp; TS2 ALLOCATION"/>
    </sheetNames>
    <sheetDataSet>
      <sheetData sheetId="0" refreshError="1">
        <row r="1">
          <cell r="H1" t="str">
            <v>Schedule 33</v>
          </cell>
        </row>
        <row r="3">
          <cell r="D3" t="str">
            <v>COLUMBIA GAS OF VIRGINIA,  INC.</v>
          </cell>
        </row>
        <row r="5">
          <cell r="D5" t="str">
            <v xml:space="preserve">      Schedule of Additional Gross Revenues</v>
          </cell>
        </row>
        <row r="6">
          <cell r="D6" t="str">
            <v>By Rate Schedule Produced By Proposed Rates</v>
          </cell>
        </row>
        <row r="9">
          <cell r="D9" t="str">
            <v>Adjusted</v>
          </cell>
          <cell r="G9" t="str">
            <v>Proposed</v>
          </cell>
          <cell r="H9" t="str">
            <v>Proposed</v>
          </cell>
        </row>
        <row r="10">
          <cell r="C10" t="str">
            <v>Adjusted</v>
          </cell>
          <cell r="D10" t="str">
            <v>Rate</v>
          </cell>
          <cell r="E10" t="str">
            <v>Proposed</v>
          </cell>
          <cell r="F10" t="str">
            <v>Adjusted</v>
          </cell>
          <cell r="G10" t="str">
            <v>Increase</v>
          </cell>
          <cell r="H10" t="str">
            <v>Increase</v>
          </cell>
        </row>
        <row r="11">
          <cell r="B11" t="str">
            <v>Description</v>
          </cell>
          <cell r="C11" t="str">
            <v>Volumes (a)</v>
          </cell>
          <cell r="D11" t="str">
            <v>Revenue (b)</v>
          </cell>
          <cell r="E11" t="str">
            <v>Increase</v>
          </cell>
          <cell r="F11" t="str">
            <v>Revenues</v>
          </cell>
          <cell r="G11" t="str">
            <v>Per Mcf</v>
          </cell>
          <cell r="H11" t="str">
            <v>Percent</v>
          </cell>
        </row>
        <row r="12">
          <cell r="C12" t="str">
            <v>(1)</v>
          </cell>
          <cell r="D12" t="str">
            <v>(2)</v>
          </cell>
          <cell r="E12" t="str">
            <v>(3)</v>
          </cell>
          <cell r="F12" t="str">
            <v>(4=2+3)</v>
          </cell>
          <cell r="G12" t="str">
            <v>(5=3/1)</v>
          </cell>
          <cell r="H12" t="str">
            <v>(6)</v>
          </cell>
        </row>
        <row r="13">
          <cell r="C13" t="str">
            <v>Mcf</v>
          </cell>
          <cell r="D13" t="str">
            <v>$</v>
          </cell>
          <cell r="E13" t="str">
            <v>$</v>
          </cell>
          <cell r="F13" t="str">
            <v>$</v>
          </cell>
          <cell r="G13" t="str">
            <v>$/Mcf</v>
          </cell>
        </row>
        <row r="15">
          <cell r="B15" t="str">
            <v>Residential Service</v>
          </cell>
        </row>
        <row r="16">
          <cell r="B16" t="str">
            <v xml:space="preserve">  East and West</v>
          </cell>
          <cell r="C16">
            <v>11467918.199999999</v>
          </cell>
          <cell r="D16">
            <v>105546782</v>
          </cell>
          <cell r="E16">
            <v>9268974.945700001</v>
          </cell>
          <cell r="F16">
            <v>114815756.9457</v>
          </cell>
        </row>
        <row r="17">
          <cell r="B17" t="str">
            <v xml:space="preserve">  Central</v>
          </cell>
          <cell r="C17">
            <v>917057.1</v>
          </cell>
          <cell r="D17">
            <v>8272167</v>
          </cell>
          <cell r="E17">
            <v>796152.52987344749</v>
          </cell>
          <cell r="F17">
            <v>9068319.5298734475</v>
          </cell>
        </row>
        <row r="18">
          <cell r="B18" t="str">
            <v xml:space="preserve">  Total</v>
          </cell>
          <cell r="C18">
            <v>12384975.299999999</v>
          </cell>
          <cell r="D18">
            <v>113818949</v>
          </cell>
          <cell r="E18">
            <v>10065127.475573448</v>
          </cell>
          <cell r="F18">
            <v>123884076.47557345</v>
          </cell>
          <cell r="G18">
            <v>0.81269999999999998</v>
          </cell>
          <cell r="H18">
            <v>8.8400000000000006E-2</v>
          </cell>
        </row>
        <row r="20">
          <cell r="B20" t="str">
            <v>Small General Service</v>
          </cell>
        </row>
        <row r="21">
          <cell r="B21" t="str">
            <v xml:space="preserve">  Commercial</v>
          </cell>
          <cell r="C21">
            <v>6998572.9000000004</v>
          </cell>
          <cell r="D21">
            <v>47132884</v>
          </cell>
          <cell r="E21">
            <v>2635048.8509999998</v>
          </cell>
          <cell r="F21">
            <v>49767932.850999996</v>
          </cell>
        </row>
        <row r="22">
          <cell r="B22" t="str">
            <v xml:space="preserve">  Industrial</v>
          </cell>
          <cell r="C22">
            <v>522998.3</v>
          </cell>
          <cell r="D22">
            <v>3243215</v>
          </cell>
          <cell r="E22">
            <v>180918.85170088289</v>
          </cell>
          <cell r="F22">
            <v>3424133.8517008829</v>
          </cell>
        </row>
        <row r="23">
          <cell r="B23" t="str">
            <v xml:space="preserve">  Total</v>
          </cell>
          <cell r="C23">
            <v>7521571.2000000002</v>
          </cell>
          <cell r="D23">
            <v>50376099</v>
          </cell>
          <cell r="E23">
            <v>2815967.7027008827</v>
          </cell>
          <cell r="F23">
            <v>53192066.702700876</v>
          </cell>
          <cell r="G23">
            <v>0.37440000000000001</v>
          </cell>
          <cell r="H23">
            <v>5.5899999999999998E-2</v>
          </cell>
        </row>
        <row r="25">
          <cell r="B25" t="str">
            <v xml:space="preserve">Large General Service 1/  </v>
          </cell>
        </row>
        <row r="26">
          <cell r="B26" t="str">
            <v>Transportation Service 1</v>
          </cell>
        </row>
        <row r="27">
          <cell r="B27" t="str">
            <v xml:space="preserve">  Commercial (LGS 1)</v>
          </cell>
          <cell r="C27">
            <v>427682.9</v>
          </cell>
          <cell r="D27">
            <v>1115423</v>
          </cell>
          <cell r="E27">
            <v>32711.53581999999</v>
          </cell>
          <cell r="F27">
            <v>1148134.5358199999</v>
          </cell>
        </row>
        <row r="28">
          <cell r="B28" t="str">
            <v xml:space="preserve">  Industrial (LGS 1)</v>
          </cell>
          <cell r="C28">
            <v>740335</v>
          </cell>
          <cell r="D28">
            <v>3449616</v>
          </cell>
          <cell r="E28">
            <v>74045.791333959671</v>
          </cell>
          <cell r="F28">
            <v>3523661.7913339594</v>
          </cell>
        </row>
        <row r="29">
          <cell r="B29" t="str">
            <v xml:space="preserve">  Commercial (TS-1)</v>
          </cell>
          <cell r="C29">
            <v>2101300.2000000002</v>
          </cell>
          <cell r="D29">
            <v>1368179</v>
          </cell>
          <cell r="E29">
            <v>167328.92973999999</v>
          </cell>
          <cell r="F29">
            <v>1535507.9297400001</v>
          </cell>
        </row>
        <row r="30">
          <cell r="B30" t="str">
            <v xml:space="preserve">  Industrial (TS-1)</v>
          </cell>
          <cell r="C30">
            <v>6947728.5999999996</v>
          </cell>
          <cell r="D30">
            <v>3734034</v>
          </cell>
          <cell r="E30">
            <v>495300.92672000005</v>
          </cell>
          <cell r="F30">
            <v>4229334.9267199999</v>
          </cell>
        </row>
        <row r="31">
          <cell r="B31" t="str">
            <v xml:space="preserve">  Total</v>
          </cell>
          <cell r="C31">
            <v>10217046.699999999</v>
          </cell>
          <cell r="D31">
            <v>9667252</v>
          </cell>
          <cell r="E31">
            <v>769387.1836139597</v>
          </cell>
          <cell r="F31">
            <v>10436639.18361396</v>
          </cell>
          <cell r="G31">
            <v>7.5300000000000006E-2</v>
          </cell>
          <cell r="H31">
            <v>7.9600000000000004E-2</v>
          </cell>
        </row>
        <row r="33">
          <cell r="B33" t="str">
            <v>Large General Service 2/</v>
          </cell>
        </row>
        <row r="34">
          <cell r="B34" t="str">
            <v>Transportation Service 2</v>
          </cell>
        </row>
        <row r="35">
          <cell r="B35" t="str">
            <v xml:space="preserve">  Commercial (LGS 2)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B36" t="str">
            <v xml:space="preserve">  Industrial (LGS 2)</v>
          </cell>
          <cell r="C36">
            <v>1052107</v>
          </cell>
          <cell r="D36">
            <v>4040109</v>
          </cell>
          <cell r="E36">
            <v>21383.575000000001</v>
          </cell>
          <cell r="F36">
            <v>4061492.5750000002</v>
          </cell>
        </row>
        <row r="37">
          <cell r="B37" t="str">
            <v xml:space="preserve">  Commercial (TS-2)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B38" t="str">
            <v xml:space="preserve">  Industrial (TS-2)</v>
          </cell>
          <cell r="C38">
            <v>13598016</v>
          </cell>
          <cell r="D38">
            <v>3105475</v>
          </cell>
          <cell r="E38">
            <v>353886.06311170897</v>
          </cell>
          <cell r="F38">
            <v>3459361.063111709</v>
          </cell>
        </row>
        <row r="39">
          <cell r="B39" t="str">
            <v xml:space="preserve">  Total</v>
          </cell>
          <cell r="C39">
            <v>14650123</v>
          </cell>
          <cell r="D39">
            <v>7145584</v>
          </cell>
          <cell r="E39">
            <v>375269.63811170898</v>
          </cell>
          <cell r="F39">
            <v>7520853.6381117087</v>
          </cell>
          <cell r="G39">
            <v>2.5600000000000001E-2</v>
          </cell>
          <cell r="H39">
            <v>5.2499999999999998E-2</v>
          </cell>
        </row>
        <row r="42">
          <cell r="B42" t="str">
            <v xml:space="preserve">  Special Contract</v>
          </cell>
          <cell r="C42">
            <v>16993404</v>
          </cell>
          <cell r="D42">
            <v>2615185</v>
          </cell>
          <cell r="E42">
            <v>0</v>
          </cell>
          <cell r="F42">
            <v>2615185</v>
          </cell>
          <cell r="G42">
            <v>0</v>
          </cell>
          <cell r="H42">
            <v>0</v>
          </cell>
        </row>
        <row r="44">
          <cell r="B44" t="str">
            <v xml:space="preserve">  Total Transportation</v>
          </cell>
          <cell r="C44">
            <v>39640448.799999997</v>
          </cell>
          <cell r="D44">
            <v>10822873</v>
          </cell>
          <cell r="E44">
            <v>1016515.919571709</v>
          </cell>
          <cell r="F44">
            <v>11839388.919571709</v>
          </cell>
        </row>
        <row r="46">
          <cell r="B46" t="str">
            <v>Total</v>
          </cell>
          <cell r="C46">
            <v>61767120.200000003</v>
          </cell>
          <cell r="D46">
            <v>183623069</v>
          </cell>
          <cell r="E46">
            <v>14025752</v>
          </cell>
          <cell r="F46">
            <v>197648821</v>
          </cell>
        </row>
        <row r="48">
          <cell r="B48" t="str">
            <v>Other Operating Revenue</v>
          </cell>
          <cell r="D48">
            <v>2113419</v>
          </cell>
          <cell r="E48">
            <v>0</v>
          </cell>
          <cell r="F48">
            <v>2113419</v>
          </cell>
        </row>
        <row r="49">
          <cell r="B49" t="str">
            <v>Total Revenue</v>
          </cell>
          <cell r="C49">
            <v>61767120.200000003</v>
          </cell>
          <cell r="D49">
            <v>185736488</v>
          </cell>
          <cell r="E49">
            <v>14025752</v>
          </cell>
          <cell r="F49">
            <v>199762240</v>
          </cell>
        </row>
        <row r="52">
          <cell r="B52" t="str">
            <v>(a) Test period adjusted per schedule 14.</v>
          </cell>
        </row>
        <row r="54">
          <cell r="B54" t="str">
            <v>(b) Rates based on those in approved in Case No. PUE950033.</v>
          </cell>
        </row>
        <row r="56">
          <cell r="B56" t="str">
            <v>X:\CGV\RATECASE\98\SCHEDULE\SCHEDULE 33 FOR 1998</v>
          </cell>
        </row>
      </sheetData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 Info Needed-DO NOT PRINT"/>
      <sheetName val="Filing Sheet"/>
      <sheetName val="Index"/>
      <sheetName val="Rev Def Sum"/>
      <sheetName val="Rev Requirement"/>
      <sheetName val="Gross Conversion Factor"/>
      <sheetName val="Charge-off Rate - DO NOT PRINT"/>
      <sheetName val="Proforma Adjustments"/>
      <sheetName val="Revenue  Sheet 1"/>
      <sheetName val="Summary Sheet 2"/>
      <sheetName val="Per Books Purchase Gas Exp"/>
      <sheetName val="Annualized Purchase Gas Exp "/>
      <sheetName val="Uncollectible Surcharge Calc"/>
      <sheetName val="Unadj. Rev 2-A"/>
      <sheetName val="Bills 2-B"/>
      <sheetName val="DTH 2-C"/>
      <sheetName val="Norm 2-D"/>
      <sheetName val="Adj. Rev 2-E"/>
      <sheetName val="Adj to OGDR 2-F"/>
      <sheetName val="Adj. Rev 2-G"/>
      <sheetName val="O&amp;M Expenses"/>
      <sheetName val="O&amp;M Adjustment Summary"/>
      <sheetName val="Labor Adj. Summary"/>
      <sheetName val="Wage Increase"/>
      <sheetName val="Gross Payroll Summary"/>
      <sheetName val="Prem and OT 3 yrs"/>
      <sheetName val="O&amp;M Percentage"/>
      <sheetName val="New employees"/>
      <sheetName val="Incentive"/>
      <sheetName val="Profit Sharing"/>
      <sheetName val="Pensions &amp; Benefits Adj "/>
      <sheetName val="Pen&amp;RIP-5yrAvg"/>
      <sheetName val="Pension Detail-DO NOT PRINT"/>
      <sheetName val="NCSC Test Year Adj"/>
      <sheetName val="NCSC Labor &amp; Benefits"/>
      <sheetName val="NCSC Incentive Comp"/>
      <sheetName val="NCSC Stock Comp"/>
      <sheetName val="GTI Funding "/>
      <sheetName val="Private Letter Ruling Expense"/>
      <sheetName val="AGA Dues"/>
      <sheetName val="HQLease Expense"/>
      <sheetName val="Corporate Insurance"/>
      <sheetName val="Fuel Used in Co Operations"/>
      <sheetName val="Uncollectible Adj."/>
      <sheetName val="Rate Case Amort Adj"/>
      <sheetName val="Current Rate Case Exp"/>
      <sheetName val="DSM Surcharge Adjustment"/>
      <sheetName val="PSC &amp; PC Fees Adj"/>
      <sheetName val="Injuries &amp; Damages-DO NOT PRINT"/>
      <sheetName val="Clearing Accounts-DO NOT PRINT"/>
      <sheetName val="Postage Costs "/>
      <sheetName val="Depr&amp;Amort Sum"/>
      <sheetName val="Proposed Depr&amp;Amort"/>
      <sheetName val="TaxesOther than IncSummary"/>
      <sheetName val="Payroll Taxes Adj"/>
      <sheetName val="Property Tax Adj"/>
      <sheetName val="Gross Receipts Tax Adj"/>
      <sheetName val="Inc Tax"/>
      <sheetName val="Statutory Adj"/>
      <sheetName val="Interest on Cust Deposits"/>
      <sheetName val="AFUDC"/>
      <sheetName val="AFUDC "/>
      <sheetName val="Rate Base"/>
      <sheetName val="101"/>
      <sheetName val="106"/>
      <sheetName val="106 (IRIS)"/>
      <sheetName val="107"/>
      <sheetName val="107 (IRIS)"/>
      <sheetName val="Depreciation Reserve"/>
      <sheetName val="Material &amp; Supplies"/>
      <sheetName val="Def Tx CIAC"/>
      <sheetName val="Def Tx Inv"/>
      <sheetName val="Customer Deposits"/>
      <sheetName val="Cust Adv  Const"/>
      <sheetName val="Def Inc Taxes"/>
      <sheetName val="NOL"/>
      <sheetName val="Environmental adj"/>
      <sheetName val="Def Tx Enviromental"/>
      <sheetName val="Main Services terminal 101-106"/>
      <sheetName val="Main Services terminal 108"/>
      <sheetName val="Safety &amp; Reliability Additions"/>
      <sheetName val="Def tax on post test yr adj"/>
      <sheetName val="Customer Programs-SLE"/>
      <sheetName val="Lead Lag"/>
      <sheetName val="Cost of Capital"/>
      <sheetName val="PAST TAB-MGP Sale(DO NOT PRINT)"/>
      <sheetName val="Rev Def Sum wMGP Adj"/>
      <sheetName val="Rev Req wMGP"/>
      <sheetName val="Proforma Adj wMGP Adj"/>
      <sheetName val="O&amp;M Adj Sum wMGP Gain"/>
      <sheetName val="MGP Gain on Sale"/>
      <sheetName val="Depr&amp;Amrt Sum wMGP"/>
      <sheetName val="Proposed Depr&amp;Amrt wMGP"/>
      <sheetName val="Taxes Other than IncSum wMGP"/>
      <sheetName val="Property Tax wMGP"/>
      <sheetName val="Inc Tax wMGP"/>
      <sheetName val="Rate Base wMGP"/>
      <sheetName val="Hagerstown MGP"/>
      <sheetName val="MGP Gain on Sale RB"/>
      <sheetName val="Def Tx Hagerstown MGP"/>
      <sheetName val="Lead Lag wMGP"/>
      <sheetName val="PAST TAB-RevRqSLE(DO NOT PRINT)"/>
      <sheetName val="Customer Programs Rev Req Sum"/>
      <sheetName val="Input Sheet"/>
      <sheetName val="Round Robin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33 A REV."/>
      <sheetName val="ATTACH REH-5A REV"/>
      <sheetName val="TS1 &amp; TS2 ALLOCATION"/>
    </sheetNames>
    <sheetDataSet>
      <sheetData sheetId="0">
        <row r="1">
          <cell r="H1" t="str">
            <v>Schedule 33</v>
          </cell>
        </row>
        <row r="3">
          <cell r="D3" t="str">
            <v>COLUMBIA GAS OF VIRGINIA,  INC.</v>
          </cell>
        </row>
        <row r="5">
          <cell r="D5" t="str">
            <v xml:space="preserve">      Schedule of Additional Gross Revenues</v>
          </cell>
        </row>
        <row r="6">
          <cell r="D6" t="str">
            <v>By Rate Schedule Produced By Proposed Rates</v>
          </cell>
        </row>
        <row r="9">
          <cell r="D9" t="str">
            <v>Adjusted</v>
          </cell>
          <cell r="G9" t="str">
            <v>Proposed</v>
          </cell>
          <cell r="H9" t="str">
            <v>Proposed</v>
          </cell>
        </row>
        <row r="10">
          <cell r="C10" t="str">
            <v>Adjusted</v>
          </cell>
          <cell r="D10" t="str">
            <v>Rate</v>
          </cell>
          <cell r="E10" t="str">
            <v>Proposed</v>
          </cell>
          <cell r="F10" t="str">
            <v>Adjusted</v>
          </cell>
          <cell r="G10" t="str">
            <v>Increase</v>
          </cell>
          <cell r="H10" t="str">
            <v>Increase</v>
          </cell>
        </row>
        <row r="11">
          <cell r="B11" t="str">
            <v>Description</v>
          </cell>
          <cell r="C11" t="str">
            <v>Volumes (a)</v>
          </cell>
          <cell r="D11" t="str">
            <v>Revenue (b)</v>
          </cell>
          <cell r="E11" t="str">
            <v>Increase</v>
          </cell>
          <cell r="F11" t="str">
            <v>Revenues</v>
          </cell>
          <cell r="G11" t="str">
            <v>Per Mcf</v>
          </cell>
          <cell r="H11" t="str">
            <v>Percent</v>
          </cell>
        </row>
        <row r="12">
          <cell r="C12" t="str">
            <v>(1)</v>
          </cell>
          <cell r="D12" t="str">
            <v>(2)</v>
          </cell>
          <cell r="E12" t="str">
            <v>(3)</v>
          </cell>
          <cell r="F12" t="str">
            <v>(4=2+3)</v>
          </cell>
          <cell r="G12" t="str">
            <v>(5=3/1)</v>
          </cell>
          <cell r="H12" t="str">
            <v>(6)</v>
          </cell>
        </row>
        <row r="13">
          <cell r="C13" t="str">
            <v>Mcf</v>
          </cell>
          <cell r="D13" t="str">
            <v>$</v>
          </cell>
          <cell r="E13" t="str">
            <v>$</v>
          </cell>
          <cell r="F13" t="str">
            <v>$</v>
          </cell>
          <cell r="G13" t="str">
            <v>$/Mcf</v>
          </cell>
        </row>
        <row r="15">
          <cell r="B15" t="str">
            <v>Residential Service</v>
          </cell>
        </row>
        <row r="16">
          <cell r="B16" t="str">
            <v xml:space="preserve">  East and West</v>
          </cell>
          <cell r="C16">
            <v>11467918.199999999</v>
          </cell>
          <cell r="D16">
            <v>105546782</v>
          </cell>
          <cell r="E16">
            <v>9268974.945700001</v>
          </cell>
          <cell r="F16">
            <v>114815756.9457</v>
          </cell>
        </row>
        <row r="17">
          <cell r="B17" t="str">
            <v xml:space="preserve">  Central</v>
          </cell>
          <cell r="C17">
            <v>917057.1</v>
          </cell>
          <cell r="D17">
            <v>8272167</v>
          </cell>
          <cell r="E17">
            <v>796152.52987344749</v>
          </cell>
          <cell r="F17">
            <v>9068319.5298734475</v>
          </cell>
        </row>
        <row r="18">
          <cell r="B18" t="str">
            <v xml:space="preserve">  Total</v>
          </cell>
          <cell r="C18">
            <v>12384975.299999999</v>
          </cell>
          <cell r="D18">
            <v>113818949</v>
          </cell>
          <cell r="E18">
            <v>10065127.475573448</v>
          </cell>
          <cell r="F18">
            <v>123884076.47557345</v>
          </cell>
          <cell r="G18">
            <v>0.81269999999999998</v>
          </cell>
          <cell r="H18">
            <v>8.8400000000000006E-2</v>
          </cell>
        </row>
        <row r="20">
          <cell r="B20" t="str">
            <v>Small General Service</v>
          </cell>
        </row>
        <row r="21">
          <cell r="B21" t="str">
            <v xml:space="preserve">  Commercial</v>
          </cell>
          <cell r="C21">
            <v>6998572.9000000004</v>
          </cell>
          <cell r="D21">
            <v>47132884</v>
          </cell>
          <cell r="E21">
            <v>2635048.8509999998</v>
          </cell>
          <cell r="F21">
            <v>49767932.850999996</v>
          </cell>
        </row>
        <row r="22">
          <cell r="B22" t="str">
            <v xml:space="preserve">  Industrial</v>
          </cell>
          <cell r="C22">
            <v>522998.3</v>
          </cell>
          <cell r="D22">
            <v>3243215</v>
          </cell>
          <cell r="E22">
            <v>180918.85170088289</v>
          </cell>
          <cell r="F22">
            <v>3424133.8517008829</v>
          </cell>
        </row>
        <row r="23">
          <cell r="B23" t="str">
            <v xml:space="preserve">  Total</v>
          </cell>
          <cell r="C23">
            <v>7521571.2000000002</v>
          </cell>
          <cell r="D23">
            <v>50376099</v>
          </cell>
          <cell r="E23">
            <v>2815967.7027008827</v>
          </cell>
          <cell r="F23">
            <v>53192066.702700876</v>
          </cell>
          <cell r="G23">
            <v>0.37440000000000001</v>
          </cell>
          <cell r="H23">
            <v>5.5899999999999998E-2</v>
          </cell>
        </row>
        <row r="25">
          <cell r="B25" t="str">
            <v xml:space="preserve">Large General Service 1/  </v>
          </cell>
        </row>
        <row r="26">
          <cell r="B26" t="str">
            <v>Transportation Service 1</v>
          </cell>
        </row>
        <row r="27">
          <cell r="B27" t="str">
            <v xml:space="preserve">  Commercial (LGS 1)</v>
          </cell>
          <cell r="C27">
            <v>427682.9</v>
          </cell>
          <cell r="D27">
            <v>1115423</v>
          </cell>
          <cell r="E27">
            <v>32711.53581999999</v>
          </cell>
          <cell r="F27">
            <v>1148134.5358199999</v>
          </cell>
        </row>
        <row r="28">
          <cell r="B28" t="str">
            <v xml:space="preserve">  Industrial (LGS 1)</v>
          </cell>
          <cell r="C28">
            <v>740335</v>
          </cell>
          <cell r="D28">
            <v>3449616</v>
          </cell>
          <cell r="E28">
            <v>74045.791333959671</v>
          </cell>
          <cell r="F28">
            <v>3523661.7913339594</v>
          </cell>
        </row>
        <row r="29">
          <cell r="B29" t="str">
            <v xml:space="preserve">  Commercial (TS-1)</v>
          </cell>
          <cell r="C29">
            <v>2101300.2000000002</v>
          </cell>
          <cell r="D29">
            <v>1368179</v>
          </cell>
          <cell r="E29">
            <v>167328.92973999999</v>
          </cell>
          <cell r="F29">
            <v>1535507.9297400001</v>
          </cell>
        </row>
        <row r="30">
          <cell r="B30" t="str">
            <v xml:space="preserve">  Industrial (TS-1)</v>
          </cell>
          <cell r="C30">
            <v>6947728.5999999996</v>
          </cell>
          <cell r="D30">
            <v>3734034</v>
          </cell>
          <cell r="E30">
            <v>495300.92672000005</v>
          </cell>
          <cell r="F30">
            <v>4229334.9267199999</v>
          </cell>
        </row>
        <row r="31">
          <cell r="B31" t="str">
            <v xml:space="preserve">  Total</v>
          </cell>
          <cell r="C31">
            <v>10217046.699999999</v>
          </cell>
          <cell r="D31">
            <v>9667252</v>
          </cell>
          <cell r="E31">
            <v>769387.1836139597</v>
          </cell>
          <cell r="F31">
            <v>10436639.18361396</v>
          </cell>
          <cell r="G31">
            <v>7.5300000000000006E-2</v>
          </cell>
          <cell r="H31">
            <v>7.9600000000000004E-2</v>
          </cell>
        </row>
        <row r="33">
          <cell r="B33" t="str">
            <v>Large General Service 2/</v>
          </cell>
        </row>
        <row r="34">
          <cell r="B34" t="str">
            <v>Transportation Service 2</v>
          </cell>
        </row>
        <row r="35">
          <cell r="B35" t="str">
            <v xml:space="preserve">  Commercial (LGS 2)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B36" t="str">
            <v xml:space="preserve">  Industrial (LGS 2)</v>
          </cell>
          <cell r="C36">
            <v>1052107</v>
          </cell>
          <cell r="D36">
            <v>4040109</v>
          </cell>
          <cell r="E36">
            <v>21383.575000000001</v>
          </cell>
          <cell r="F36">
            <v>4061492.5750000002</v>
          </cell>
        </row>
        <row r="37">
          <cell r="B37" t="str">
            <v xml:space="preserve">  Commercial (TS-2)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B38" t="str">
            <v xml:space="preserve">  Industrial (TS-2)</v>
          </cell>
          <cell r="C38">
            <v>13598016</v>
          </cell>
          <cell r="D38">
            <v>3105475</v>
          </cell>
          <cell r="E38">
            <v>353886.06311170897</v>
          </cell>
          <cell r="F38">
            <v>3459361.063111709</v>
          </cell>
        </row>
        <row r="39">
          <cell r="B39" t="str">
            <v xml:space="preserve">  Total</v>
          </cell>
          <cell r="C39">
            <v>14650123</v>
          </cell>
          <cell r="D39">
            <v>7145584</v>
          </cell>
          <cell r="E39">
            <v>375269.63811170898</v>
          </cell>
          <cell r="F39">
            <v>7520853.6381117087</v>
          </cell>
          <cell r="G39">
            <v>2.5600000000000001E-2</v>
          </cell>
          <cell r="H39">
            <v>5.2499999999999998E-2</v>
          </cell>
        </row>
        <row r="42">
          <cell r="B42" t="str">
            <v xml:space="preserve">  Special Contract</v>
          </cell>
          <cell r="C42">
            <v>16993404</v>
          </cell>
          <cell r="D42">
            <v>2615185</v>
          </cell>
          <cell r="E42">
            <v>0</v>
          </cell>
          <cell r="F42">
            <v>2615185</v>
          </cell>
          <cell r="G42">
            <v>0</v>
          </cell>
          <cell r="H42">
            <v>0</v>
          </cell>
        </row>
        <row r="44">
          <cell r="B44" t="str">
            <v xml:space="preserve">  Total Transportation</v>
          </cell>
          <cell r="C44">
            <v>39640448.799999997</v>
          </cell>
          <cell r="D44">
            <v>10822873</v>
          </cell>
          <cell r="E44">
            <v>1016515.919571709</v>
          </cell>
          <cell r="F44">
            <v>11839388.919571709</v>
          </cell>
        </row>
        <row r="46">
          <cell r="B46" t="str">
            <v>Total</v>
          </cell>
          <cell r="C46">
            <v>61767120.200000003</v>
          </cell>
          <cell r="D46">
            <v>183623069</v>
          </cell>
          <cell r="E46">
            <v>14025752</v>
          </cell>
          <cell r="F46">
            <v>197648821</v>
          </cell>
        </row>
        <row r="48">
          <cell r="B48" t="str">
            <v>Other Operating Revenue</v>
          </cell>
          <cell r="D48">
            <v>2113419</v>
          </cell>
          <cell r="E48">
            <v>0</v>
          </cell>
          <cell r="F48">
            <v>2113419</v>
          </cell>
        </row>
        <row r="49">
          <cell r="B49" t="str">
            <v>Total Revenue</v>
          </cell>
          <cell r="C49">
            <v>61767120.200000003</v>
          </cell>
          <cell r="D49">
            <v>185736488</v>
          </cell>
          <cell r="E49">
            <v>14025752</v>
          </cell>
          <cell r="F49">
            <v>199762240</v>
          </cell>
        </row>
        <row r="52">
          <cell r="B52" t="str">
            <v>(a) Test period adjusted per schedule 14.</v>
          </cell>
        </row>
        <row r="54">
          <cell r="B54" t="str">
            <v>(b) Rates based on those in approved in Case No. PUE950033.</v>
          </cell>
        </row>
        <row r="56">
          <cell r="B56" t="str">
            <v>X:\CGV\RATECASE\98\SCHEDULE\SCHEDULE 33 FOR 1998</v>
          </cell>
        </row>
      </sheetData>
      <sheetData sheetId="1">
        <row r="2">
          <cell r="H2" t="str">
            <v>ATTACHMENT REH-5</v>
          </cell>
        </row>
        <row r="5">
          <cell r="E5" t="str">
            <v>COLUMBIA GAS OF VIRGINIA, INC.</v>
          </cell>
        </row>
        <row r="7">
          <cell r="E7" t="str">
            <v>SCHEDULE OF ADDITIONAL GROSS REVENUES</v>
          </cell>
        </row>
        <row r="9">
          <cell r="E9" t="str">
            <v>BY RATE SCHEDULE PRODUCED BY PROPOSED RATES</v>
          </cell>
        </row>
        <row r="13">
          <cell r="C13" t="str">
            <v>ADJUSTED</v>
          </cell>
          <cell r="D13" t="str">
            <v>ADJUSTED</v>
          </cell>
        </row>
        <row r="14">
          <cell r="C14" t="str">
            <v>VOLUMES</v>
          </cell>
          <cell r="D14" t="str">
            <v>RATE</v>
          </cell>
          <cell r="E14" t="str">
            <v>PROPOSED</v>
          </cell>
          <cell r="F14" t="str">
            <v>ADJUSTED</v>
          </cell>
          <cell r="G14" t="str">
            <v>PROPOSED</v>
          </cell>
          <cell r="H14" t="str">
            <v>PROPOSED</v>
          </cell>
        </row>
        <row r="15">
          <cell r="B15" t="str">
            <v>DESCRIPTION</v>
          </cell>
          <cell r="C15" t="str">
            <v>(a)</v>
          </cell>
          <cell r="D15" t="str">
            <v>REVENUE</v>
          </cell>
          <cell r="E15" t="str">
            <v xml:space="preserve">INCREASE </v>
          </cell>
          <cell r="F15" t="str">
            <v>REVENUE</v>
          </cell>
          <cell r="G15" t="str">
            <v>INCREASE</v>
          </cell>
          <cell r="H15" t="str">
            <v>INCREASE</v>
          </cell>
        </row>
        <row r="16">
          <cell r="C16" t="str">
            <v>(1)</v>
          </cell>
          <cell r="D16" t="str">
            <v>(2)</v>
          </cell>
          <cell r="E16" t="str">
            <v>(3)</v>
          </cell>
          <cell r="F16" t="str">
            <v>(4)</v>
          </cell>
          <cell r="G16" t="str">
            <v>(5=3/1)</v>
          </cell>
          <cell r="H16" t="str">
            <v>(6=3/2)</v>
          </cell>
        </row>
        <row r="17">
          <cell r="C17" t="str">
            <v>MCF</v>
          </cell>
          <cell r="D17" t="str">
            <v>$</v>
          </cell>
          <cell r="E17" t="str">
            <v>$</v>
          </cell>
          <cell r="F17" t="str">
            <v>$</v>
          </cell>
          <cell r="G17" t="str">
            <v>$/MCF</v>
          </cell>
          <cell r="H17" t="str">
            <v>%</v>
          </cell>
        </row>
        <row r="18">
          <cell r="B18" t="str">
            <v>GAS SERVICE REVENUES:</v>
          </cell>
        </row>
        <row r="20">
          <cell r="B20" t="str">
            <v xml:space="preserve">   RESIDENTIAL</v>
          </cell>
          <cell r="C20">
            <v>12384975.299999999</v>
          </cell>
          <cell r="D20">
            <v>113818949</v>
          </cell>
          <cell r="E20">
            <v>10065127.475573448</v>
          </cell>
          <cell r="F20">
            <v>123884076.47557345</v>
          </cell>
          <cell r="G20">
            <v>0.81269999999999998</v>
          </cell>
          <cell r="H20">
            <v>8.8400000000000006E-2</v>
          </cell>
        </row>
        <row r="21">
          <cell r="B21" t="str">
            <v xml:space="preserve">   SGS</v>
          </cell>
          <cell r="C21">
            <v>7521571.2000000002</v>
          </cell>
          <cell r="D21">
            <v>50376099</v>
          </cell>
          <cell r="E21">
            <v>2815967.7027008827</v>
          </cell>
          <cell r="F21">
            <v>53192066.702700883</v>
          </cell>
          <cell r="G21">
            <v>0.37440000000000001</v>
          </cell>
          <cell r="H21">
            <v>5.5899999999999998E-2</v>
          </cell>
        </row>
        <row r="22">
          <cell r="B22" t="str">
            <v xml:space="preserve">   TS-1/LGS</v>
          </cell>
          <cell r="C22">
            <v>10217046.699999999</v>
          </cell>
          <cell r="D22">
            <v>9667252</v>
          </cell>
          <cell r="E22">
            <v>769387.1836139597</v>
          </cell>
          <cell r="F22">
            <v>10436639.18361396</v>
          </cell>
          <cell r="G22">
            <v>7.5300000000000006E-2</v>
          </cell>
          <cell r="H22">
            <v>7.9600000000000004E-2</v>
          </cell>
        </row>
        <row r="23">
          <cell r="B23" t="str">
            <v xml:space="preserve">   TS-2/LGS2</v>
          </cell>
          <cell r="C23">
            <v>14650123</v>
          </cell>
          <cell r="D23">
            <v>7145584</v>
          </cell>
          <cell r="E23">
            <v>375269.63811170898</v>
          </cell>
          <cell r="F23">
            <v>7520853.6381117087</v>
          </cell>
          <cell r="G23">
            <v>2.5600000000000001E-2</v>
          </cell>
          <cell r="H23">
            <v>5.2499999999999998E-2</v>
          </cell>
        </row>
        <row r="24">
          <cell r="B24" t="str">
            <v xml:space="preserve">   LVTS/LVEDTS</v>
          </cell>
          <cell r="C24">
            <v>16993404</v>
          </cell>
          <cell r="D24">
            <v>2615185</v>
          </cell>
          <cell r="E24">
            <v>0</v>
          </cell>
          <cell r="F24">
            <v>2615185</v>
          </cell>
          <cell r="G24">
            <v>0</v>
          </cell>
          <cell r="H24">
            <v>0</v>
          </cell>
        </row>
        <row r="26">
          <cell r="B26" t="str">
            <v>TOTAL GAS SERVICE REVENUE</v>
          </cell>
          <cell r="C26">
            <v>61767120.200000003</v>
          </cell>
          <cell r="D26">
            <v>183623069</v>
          </cell>
          <cell r="E26">
            <v>14025752</v>
          </cell>
          <cell r="F26">
            <v>197648821</v>
          </cell>
          <cell r="G26" t="str">
            <v>N/A</v>
          </cell>
          <cell r="H26">
            <v>7.6399999999999996E-2</v>
          </cell>
        </row>
        <row r="28">
          <cell r="B28" t="str">
            <v>MISCELLANEOUS REVENUE</v>
          </cell>
          <cell r="D28">
            <v>2113419</v>
          </cell>
          <cell r="E28">
            <v>0</v>
          </cell>
          <cell r="F28">
            <v>2113419</v>
          </cell>
        </row>
        <row r="30">
          <cell r="B30" t="str">
            <v>TOTAL REVENUE</v>
          </cell>
          <cell r="D30">
            <v>185736488</v>
          </cell>
          <cell r="E30">
            <v>14025752</v>
          </cell>
          <cell r="F30">
            <v>199762240</v>
          </cell>
          <cell r="H30">
            <v>7.5499999999999998E-2</v>
          </cell>
        </row>
        <row r="33">
          <cell r="B33" t="str">
            <v>(a) TEST PERIOD ADJUSTED PER SCHEDULE 14-REVENUE.</v>
          </cell>
        </row>
        <row r="39">
          <cell r="B39" t="str">
            <v>X:\CGV\RATECASE\98\SCHEDULE\SCHEDULE 33 FOR 1998</v>
          </cell>
        </row>
        <row r="52">
          <cell r="D52" t="str">
            <v>COLUMBIA GAS OF VIRGINIA, INC.</v>
          </cell>
        </row>
        <row r="53">
          <cell r="D53" t="str">
            <v xml:space="preserve">RATE BLOCK INCREASE WORK PAPER </v>
          </cell>
        </row>
        <row r="55">
          <cell r="B55" t="str">
            <v xml:space="preserve"> </v>
          </cell>
        </row>
        <row r="62">
          <cell r="B62" t="str">
            <v xml:space="preserve">TOTAL RESIDENTIAL INCREASE: </v>
          </cell>
          <cell r="G62">
            <v>10065127.475573448</v>
          </cell>
        </row>
        <row r="67">
          <cell r="B67" t="str">
            <v>PROPOSED INCREASE TO ELIMINATE LYNCHBURG RATE DIFFERENTIAL:</v>
          </cell>
        </row>
        <row r="71">
          <cell r="E71" t="str">
            <v>ADJUSTED</v>
          </cell>
          <cell r="F71" t="str">
            <v>CURRENT</v>
          </cell>
        </row>
        <row r="72">
          <cell r="B72" t="str">
            <v xml:space="preserve"> VOLUMETRIC RATE INCREASE:</v>
          </cell>
          <cell r="E72" t="str">
            <v>CENTRAL</v>
          </cell>
          <cell r="F72" t="str">
            <v>DIFFERENTIAL</v>
          </cell>
        </row>
        <row r="73">
          <cell r="E73" t="str">
            <v>VOLUMES</v>
          </cell>
          <cell r="F73" t="str">
            <v>PER MCF</v>
          </cell>
        </row>
        <row r="74">
          <cell r="B74" t="str">
            <v>FIRST 5 MCF</v>
          </cell>
          <cell r="E74">
            <v>314094.5</v>
          </cell>
          <cell r="F74">
            <v>8.8999999999999996E-2</v>
          </cell>
          <cell r="G74">
            <v>27954.410499999998</v>
          </cell>
        </row>
        <row r="75">
          <cell r="B75" t="str">
            <v>NEXT 45</v>
          </cell>
          <cell r="E75">
            <v>535032.9</v>
          </cell>
          <cell r="F75">
            <v>9.0999999999999998E-2</v>
          </cell>
          <cell r="G75">
            <v>48687.993900000001</v>
          </cell>
          <cell r="I75">
            <v>0</v>
          </cell>
        </row>
        <row r="76">
          <cell r="B76" t="str">
            <v>OVER 50</v>
          </cell>
          <cell r="E76">
            <v>67929.7</v>
          </cell>
          <cell r="F76">
            <v>9.2999999999999999E-2</v>
          </cell>
          <cell r="G76">
            <v>6317.4620999999997</v>
          </cell>
          <cell r="I76">
            <v>0</v>
          </cell>
        </row>
        <row r="77">
          <cell r="B77" t="str">
            <v>TOTAL</v>
          </cell>
          <cell r="E77">
            <v>917057.1</v>
          </cell>
          <cell r="G77">
            <v>82959.866500000004</v>
          </cell>
        </row>
        <row r="79">
          <cell r="B79" t="str">
            <v>INCREASE TO RS REMAINING AFTER DIFFERENTIAL ELIMINATION:</v>
          </cell>
          <cell r="G79">
            <v>9982167.6090734489</v>
          </cell>
        </row>
        <row r="81">
          <cell r="B81" t="str">
            <v xml:space="preserve">RATE INCREASE TO </v>
          </cell>
        </row>
        <row r="82">
          <cell r="B82" t="str">
            <v xml:space="preserve">   RESIDENTIAL SERVICE</v>
          </cell>
          <cell r="E82" t="str">
            <v>NUMBER</v>
          </cell>
          <cell r="F82" t="str">
            <v>INCREASE</v>
          </cell>
        </row>
        <row r="83">
          <cell r="B83" t="str">
            <v xml:space="preserve"> CUSTOMER CHARGE INCREASE:</v>
          </cell>
          <cell r="E83" t="str">
            <v>OF BILLS</v>
          </cell>
          <cell r="F83" t="str">
            <v>PER BILL</v>
          </cell>
        </row>
        <row r="84">
          <cell r="E84">
            <v>1870988</v>
          </cell>
          <cell r="F84">
            <v>1</v>
          </cell>
          <cell r="G84">
            <v>1870988</v>
          </cell>
          <cell r="I84" t="str">
            <v>RS E&amp;W</v>
          </cell>
        </row>
        <row r="85">
          <cell r="I85" t="str">
            <v>Bills</v>
          </cell>
        </row>
        <row r="86">
          <cell r="B86" t="str">
            <v>INCREASE TO RS REMAINING AFTER CUSTOMER CHARGE INCREASE:</v>
          </cell>
          <cell r="G86">
            <v>8111179.6090734489</v>
          </cell>
          <cell r="I86">
            <v>1758835</v>
          </cell>
          <cell r="J86">
            <v>1</v>
          </cell>
          <cell r="K86">
            <v>1758835</v>
          </cell>
        </row>
        <row r="87">
          <cell r="C87" t="str">
            <v>RS</v>
          </cell>
        </row>
        <row r="88">
          <cell r="B88" t="str">
            <v xml:space="preserve"> VOLUMETRIC RATE INCREASE:</v>
          </cell>
          <cell r="C88" t="str">
            <v>NON-GAS</v>
          </cell>
          <cell r="E88" t="str">
            <v>RS</v>
          </cell>
        </row>
        <row r="89">
          <cell r="C89" t="str">
            <v>REVENUE</v>
          </cell>
          <cell r="D89" t="str">
            <v>RATIO</v>
          </cell>
          <cell r="E89" t="str">
            <v>VOLUMES</v>
          </cell>
          <cell r="F89" t="str">
            <v>PER MCF</v>
          </cell>
          <cell r="I89" t="str">
            <v>RS E&amp;W</v>
          </cell>
          <cell r="J89" t="str">
            <v>Rate</v>
          </cell>
        </row>
        <row r="90">
          <cell r="B90" t="str">
            <v>FIRST 5 MCF</v>
          </cell>
          <cell r="C90">
            <v>14822694</v>
          </cell>
          <cell r="D90">
            <v>0.41845165119467403</v>
          </cell>
          <cell r="E90">
            <v>5078881.0999999996</v>
          </cell>
          <cell r="F90">
            <v>0.66800000000000004</v>
          </cell>
          <cell r="G90">
            <v>3394137</v>
          </cell>
          <cell r="H90">
            <v>0</v>
          </cell>
          <cell r="I90">
            <v>4764786</v>
          </cell>
          <cell r="J90">
            <v>0.66800000000000004</v>
          </cell>
          <cell r="K90">
            <v>3182877.048</v>
          </cell>
        </row>
        <row r="91">
          <cell r="B91" t="str">
            <v>NEXT 45</v>
          </cell>
          <cell r="C91">
            <v>18891575</v>
          </cell>
          <cell r="D91">
            <v>0.53331808323224006</v>
          </cell>
          <cell r="E91">
            <v>6673806.6000000006</v>
          </cell>
          <cell r="F91">
            <v>0.64800000000000002</v>
          </cell>
          <cell r="G91">
            <v>4325839</v>
          </cell>
          <cell r="I91">
            <v>6138773.7000000002</v>
          </cell>
          <cell r="J91">
            <v>0.64800000000000002</v>
          </cell>
          <cell r="K91">
            <v>3977925.3576000002</v>
          </cell>
        </row>
        <row r="92">
          <cell r="B92" t="str">
            <v>OVER 50</v>
          </cell>
          <cell r="C92">
            <v>1708447</v>
          </cell>
          <cell r="D92">
            <v>4.8230265573085927E-2</v>
          </cell>
          <cell r="E92">
            <v>632287.6</v>
          </cell>
          <cell r="F92">
            <v>0.61899999999999999</v>
          </cell>
          <cell r="G92">
            <v>391204</v>
          </cell>
          <cell r="I92">
            <v>564357.9</v>
          </cell>
          <cell r="J92">
            <v>0.61899999999999999</v>
          </cell>
          <cell r="K92">
            <v>349337.54009999998</v>
          </cell>
        </row>
        <row r="93">
          <cell r="B93" t="str">
            <v>TOTAL</v>
          </cell>
          <cell r="C93">
            <v>35422716</v>
          </cell>
          <cell r="D93">
            <v>1</v>
          </cell>
          <cell r="E93">
            <v>12384975.299999999</v>
          </cell>
          <cell r="G93">
            <v>8111180</v>
          </cell>
          <cell r="I93">
            <v>11467917.6</v>
          </cell>
          <cell r="K93">
            <v>7510139.9457</v>
          </cell>
        </row>
        <row r="95">
          <cell r="B95" t="str">
            <v>INCREASE TO RS REMAINING AFTER VOLUMETRIC INCREASE:</v>
          </cell>
          <cell r="G95">
            <v>-0.3909265510737896</v>
          </cell>
          <cell r="K95">
            <v>9268974.945700001</v>
          </cell>
        </row>
        <row r="97">
          <cell r="B97" t="str">
            <v>INCREASE TO RATE SCHEDULE SGS:</v>
          </cell>
          <cell r="G97">
            <v>2815967.7027008827</v>
          </cell>
        </row>
        <row r="99">
          <cell r="E99" t="str">
            <v>NUMBER</v>
          </cell>
          <cell r="F99" t="str">
            <v>INCREASE</v>
          </cell>
        </row>
        <row r="100">
          <cell r="B100" t="str">
            <v xml:space="preserve"> CUSTOMER CHARGE INCREASE:</v>
          </cell>
          <cell r="E100" t="str">
            <v>OF BILLS</v>
          </cell>
          <cell r="F100" t="str">
            <v>PER BILL</v>
          </cell>
          <cell r="I100" t="str">
            <v>Bills</v>
          </cell>
        </row>
        <row r="101">
          <cell r="E101">
            <v>200713</v>
          </cell>
          <cell r="F101">
            <v>1</v>
          </cell>
          <cell r="G101">
            <v>200713</v>
          </cell>
          <cell r="I101">
            <v>199167</v>
          </cell>
          <cell r="J101">
            <v>1</v>
          </cell>
          <cell r="K101">
            <v>199167</v>
          </cell>
        </row>
        <row r="103">
          <cell r="B103" t="str">
            <v>INCREASE TO SGS REMAINING AFTER CUSTOMER CHARGE INCREASE:</v>
          </cell>
          <cell r="G103">
            <v>2615254.7027008827</v>
          </cell>
        </row>
        <row r="104">
          <cell r="I104" t="str">
            <v>Volume</v>
          </cell>
          <cell r="K104" t="str">
            <v>Increase</v>
          </cell>
        </row>
        <row r="105">
          <cell r="B105" t="str">
            <v xml:space="preserve"> VOLUMETRIC RATE INCREASE:</v>
          </cell>
          <cell r="C105" t="str">
            <v>NON-GAS</v>
          </cell>
          <cell r="E105" t="str">
            <v>SGS</v>
          </cell>
          <cell r="I105" t="str">
            <v>SGS-COM</v>
          </cell>
          <cell r="J105" t="str">
            <v>Rate</v>
          </cell>
          <cell r="K105" t="str">
            <v>SGS-COM</v>
          </cell>
        </row>
        <row r="106">
          <cell r="C106" t="str">
            <v>REVENUE</v>
          </cell>
          <cell r="D106" t="str">
            <v>RATIO</v>
          </cell>
          <cell r="E106" t="str">
            <v>VOLUMES</v>
          </cell>
          <cell r="F106" t="str">
            <v>PER MCF</v>
          </cell>
        </row>
        <row r="107">
          <cell r="B107" t="str">
            <v>FIRST 20 MCF</v>
          </cell>
          <cell r="C107">
            <v>2675511</v>
          </cell>
          <cell r="D107">
            <v>0.2091650747749364</v>
          </cell>
          <cell r="E107">
            <v>1459634.8</v>
          </cell>
          <cell r="F107">
            <v>0.375</v>
          </cell>
          <cell r="G107">
            <v>547020</v>
          </cell>
          <cell r="H107">
            <v>0</v>
          </cell>
          <cell r="I107">
            <v>1438829.8</v>
          </cell>
          <cell r="J107">
            <v>0.375</v>
          </cell>
          <cell r="K107">
            <v>539561.17500000005</v>
          </cell>
        </row>
        <row r="108">
          <cell r="B108" t="str">
            <v>NEXT 80</v>
          </cell>
          <cell r="C108">
            <v>2659318</v>
          </cell>
          <cell r="D108">
            <v>0.20789914461960141</v>
          </cell>
          <cell r="E108">
            <v>1556977.5999999999</v>
          </cell>
          <cell r="F108">
            <v>0.34899999999999998</v>
          </cell>
          <cell r="G108">
            <v>543709</v>
          </cell>
          <cell r="I108">
            <v>1490593.2</v>
          </cell>
          <cell r="J108">
            <v>0.34899999999999998</v>
          </cell>
          <cell r="K108">
            <v>520217.02679999993</v>
          </cell>
        </row>
        <row r="109">
          <cell r="B109" t="str">
            <v>NEXT 900</v>
          </cell>
          <cell r="C109">
            <v>5635554</v>
          </cell>
          <cell r="D109">
            <v>0.44057418332729409</v>
          </cell>
          <cell r="E109">
            <v>3364510.1</v>
          </cell>
          <cell r="F109">
            <v>0.34200000000000003</v>
          </cell>
          <cell r="G109">
            <v>1152214</v>
          </cell>
          <cell r="I109">
            <v>3072051</v>
          </cell>
          <cell r="J109">
            <v>0.34200000000000003</v>
          </cell>
          <cell r="K109">
            <v>1050641.442</v>
          </cell>
        </row>
        <row r="110">
          <cell r="B110" t="str">
            <v>NEXT 1500</v>
          </cell>
          <cell r="C110">
            <v>815904</v>
          </cell>
          <cell r="D110">
            <v>6.3785430584725578E-2</v>
          </cell>
          <cell r="E110">
            <v>505516.69999999995</v>
          </cell>
          <cell r="F110">
            <v>0.33</v>
          </cell>
          <cell r="G110">
            <v>166815</v>
          </cell>
          <cell r="I110">
            <v>400360.6</v>
          </cell>
          <cell r="J110">
            <v>0.33</v>
          </cell>
          <cell r="K110">
            <v>132118.99799999999</v>
          </cell>
        </row>
        <row r="111">
          <cell r="B111" t="str">
            <v>OVER 2500</v>
          </cell>
          <cell r="C111">
            <v>1005098</v>
          </cell>
          <cell r="D111">
            <v>7.8576166693442501E-2</v>
          </cell>
          <cell r="E111">
            <v>634932</v>
          </cell>
          <cell r="F111">
            <v>0.32400000000000001</v>
          </cell>
          <cell r="G111">
            <v>205497</v>
          </cell>
          <cell r="I111">
            <v>596738.30000000005</v>
          </cell>
          <cell r="J111">
            <v>0.32400000000000001</v>
          </cell>
          <cell r="K111">
            <v>193343.20920000001</v>
          </cell>
        </row>
        <row r="112">
          <cell r="B112" t="str">
            <v>TOTAL</v>
          </cell>
          <cell r="C112">
            <v>12791385</v>
          </cell>
          <cell r="D112">
            <v>0.99999999999999989</v>
          </cell>
          <cell r="E112">
            <v>7521571.2000000002</v>
          </cell>
          <cell r="G112">
            <v>2615255</v>
          </cell>
          <cell r="I112">
            <v>6998572.8999999994</v>
          </cell>
          <cell r="K112">
            <v>2435881.8509999998</v>
          </cell>
        </row>
        <row r="114">
          <cell r="B114" t="str">
            <v>INCREASE TO SGS REMAINING AFTER VOLUMETRIC INCREASE:</v>
          </cell>
          <cell r="G114">
            <v>-0.29729911731556058</v>
          </cell>
          <cell r="J114" t="str">
            <v>SGS Comm. Inc</v>
          </cell>
          <cell r="K114">
            <v>2635048.8509999998</v>
          </cell>
        </row>
        <row r="115">
          <cell r="J115" t="str">
            <v>SGS Ind. Inc</v>
          </cell>
          <cell r="K115">
            <v>180918.85170088289</v>
          </cell>
        </row>
        <row r="116">
          <cell r="B116" t="str">
            <v xml:space="preserve">INCREASE TO RATE SCHEDULE LGS / TS-1 </v>
          </cell>
          <cell r="G116">
            <v>769387.1836139597</v>
          </cell>
          <cell r="J116" t="str">
            <v>Total</v>
          </cell>
          <cell r="K116">
            <v>2815967.7027008827</v>
          </cell>
        </row>
        <row r="117">
          <cell r="B117" t="str">
            <v xml:space="preserve"> </v>
          </cell>
          <cell r="E117" t="str">
            <v>NUMBER</v>
          </cell>
          <cell r="F117" t="str">
            <v>INCREASE</v>
          </cell>
        </row>
        <row r="118">
          <cell r="B118" t="str">
            <v xml:space="preserve"> CUSTOMER CHARGE INCREASE:</v>
          </cell>
          <cell r="E118" t="str">
            <v>OF BILLS</v>
          </cell>
          <cell r="F118" t="str">
            <v>PER BILL</v>
          </cell>
        </row>
        <row r="119">
          <cell r="E119">
            <v>2592</v>
          </cell>
          <cell r="F119">
            <v>0</v>
          </cell>
          <cell r="G119">
            <v>0</v>
          </cell>
          <cell r="I119" t="str">
            <v>Bills</v>
          </cell>
        </row>
        <row r="120">
          <cell r="I120">
            <v>840</v>
          </cell>
          <cell r="J120">
            <v>0</v>
          </cell>
          <cell r="K120">
            <v>0</v>
          </cell>
        </row>
        <row r="121">
          <cell r="B121" t="str">
            <v>INCREASE TO LGS / TS-1 REMAINING AFTER CUSTOMER CHARGE INCREASE:</v>
          </cell>
          <cell r="G121">
            <v>769387.1836139597</v>
          </cell>
        </row>
        <row r="123">
          <cell r="C123" t="str">
            <v>NON-GAS</v>
          </cell>
          <cell r="I123" t="str">
            <v>Volume</v>
          </cell>
          <cell r="K123" t="str">
            <v>Increase</v>
          </cell>
        </row>
        <row r="124">
          <cell r="B124" t="str">
            <v xml:space="preserve"> VOLUMETRIC RATE INCREASE:</v>
          </cell>
          <cell r="C124" t="str">
            <v>REVENUE</v>
          </cell>
          <cell r="D124" t="str">
            <v>RATIO</v>
          </cell>
          <cell r="E124" t="str">
            <v>VOLUMES</v>
          </cell>
          <cell r="F124" t="str">
            <v>PER MCF</v>
          </cell>
          <cell r="I124" t="str">
            <v>LGS1-COM</v>
          </cell>
          <cell r="J124" t="str">
            <v>Rate</v>
          </cell>
          <cell r="K124" t="str">
            <v>LGS1-COM</v>
          </cell>
        </row>
        <row r="125">
          <cell r="B125" t="str">
            <v>LGS ADMIN CHARGE</v>
          </cell>
          <cell r="C125">
            <v>73701.929489999995</v>
          </cell>
          <cell r="D125">
            <v>0</v>
          </cell>
          <cell r="E125">
            <v>1168017.8999999999</v>
          </cell>
          <cell r="F125">
            <v>0</v>
          </cell>
          <cell r="G125">
            <v>0</v>
          </cell>
        </row>
        <row r="126">
          <cell r="B126" t="str">
            <v>DEMAND/SS CHARGE</v>
          </cell>
          <cell r="C126">
            <v>30216.899999999998</v>
          </cell>
          <cell r="D126">
            <v>0</v>
          </cell>
          <cell r="E126">
            <v>100723</v>
          </cell>
          <cell r="F126">
            <v>0</v>
          </cell>
          <cell r="G126">
            <v>0</v>
          </cell>
          <cell r="K126">
            <v>0</v>
          </cell>
        </row>
        <row r="127">
          <cell r="B127" t="str">
            <v>FIRST 1000</v>
          </cell>
          <cell r="C127">
            <v>1785355.689</v>
          </cell>
          <cell r="D127">
            <v>0.3805714388983556</v>
          </cell>
          <cell r="E127">
            <v>2215081.5</v>
          </cell>
          <cell r="F127">
            <v>0.13220000000000001</v>
          </cell>
          <cell r="G127">
            <v>292807</v>
          </cell>
          <cell r="H127">
            <v>0</v>
          </cell>
          <cell r="I127">
            <v>663684.19999999995</v>
          </cell>
          <cell r="J127">
            <v>0.13220000000000001</v>
          </cell>
          <cell r="K127">
            <v>87739.051240000001</v>
          </cell>
        </row>
        <row r="128">
          <cell r="B128" t="str">
            <v>NEXT 4000</v>
          </cell>
          <cell r="C128">
            <v>2142668.5434000003</v>
          </cell>
          <cell r="D128">
            <v>0.45673725166816426</v>
          </cell>
          <cell r="E128">
            <v>4637810.7</v>
          </cell>
          <cell r="F128">
            <v>7.5800000000000006E-2</v>
          </cell>
          <cell r="G128">
            <v>351408</v>
          </cell>
          <cell r="I128">
            <v>1123298.3999999999</v>
          </cell>
          <cell r="J128">
            <v>7.5800000000000006E-2</v>
          </cell>
          <cell r="K128">
            <v>85146.018719999993</v>
          </cell>
        </row>
        <row r="129">
          <cell r="B129" t="str">
            <v>NEXT 15000</v>
          </cell>
          <cell r="C129">
            <v>752368.81409999996</v>
          </cell>
          <cell r="D129">
            <v>0.16037705199498001</v>
          </cell>
          <cell r="E129">
            <v>3295527</v>
          </cell>
          <cell r="F129">
            <v>3.7400000000000003E-2</v>
          </cell>
          <cell r="G129">
            <v>123392</v>
          </cell>
          <cell r="I129">
            <v>689772</v>
          </cell>
          <cell r="J129">
            <v>3.7400000000000003E-2</v>
          </cell>
          <cell r="K129">
            <v>25797.472800000003</v>
          </cell>
        </row>
        <row r="130">
          <cell r="B130" t="str">
            <v>OVER 20000</v>
          </cell>
          <cell r="C130">
            <v>10856.759760000001</v>
          </cell>
          <cell r="D130">
            <v>2.3142574385002371E-3</v>
          </cell>
          <cell r="E130">
            <v>68626.8</v>
          </cell>
          <cell r="F130">
            <v>2.5999999999999999E-2</v>
          </cell>
          <cell r="G130">
            <v>1781</v>
          </cell>
          <cell r="I130">
            <v>52227.8</v>
          </cell>
          <cell r="J130">
            <v>2.5999999999999999E-2</v>
          </cell>
          <cell r="K130">
            <v>1357.9228000000001</v>
          </cell>
        </row>
        <row r="131">
          <cell r="B131" t="str">
            <v>TOTAL</v>
          </cell>
          <cell r="C131">
            <v>4691249.80626</v>
          </cell>
          <cell r="D131">
            <v>1.0000000000000002</v>
          </cell>
          <cell r="E131">
            <v>10217046</v>
          </cell>
          <cell r="G131">
            <v>769388</v>
          </cell>
          <cell r="I131">
            <v>2528982.3999999994</v>
          </cell>
          <cell r="K131">
            <v>200040.46555999998</v>
          </cell>
        </row>
        <row r="133">
          <cell r="B133" t="str">
            <v>INCREASE TO LGS / TS-1 REMAINING AFTER VOLUMETRIC INCREASE:</v>
          </cell>
          <cell r="G133">
            <v>-0.81638604030013084</v>
          </cell>
          <cell r="J133" t="str">
            <v>LGS / TS-1 Comm. Inc</v>
          </cell>
          <cell r="K133">
            <v>200040.46555999998</v>
          </cell>
        </row>
        <row r="134">
          <cell r="J134" t="str">
            <v>LGS / TS-1 Ind. Inc</v>
          </cell>
          <cell r="K134">
            <v>569346.71805395978</v>
          </cell>
        </row>
        <row r="135">
          <cell r="B135" t="str">
            <v xml:space="preserve">INCREASE TO RATE SCHEDULE LGS / TS-2 </v>
          </cell>
          <cell r="G135">
            <v>375269.63811170898</v>
          </cell>
          <cell r="J135" t="str">
            <v>Total</v>
          </cell>
          <cell r="K135">
            <v>769387.1836139597</v>
          </cell>
        </row>
        <row r="136">
          <cell r="E136" t="str">
            <v>NUMBER</v>
          </cell>
          <cell r="F136" t="str">
            <v>INCREASE</v>
          </cell>
        </row>
        <row r="137">
          <cell r="B137" t="str">
            <v xml:space="preserve"> CUSTOMER CHARGE :</v>
          </cell>
          <cell r="E137" t="str">
            <v>OF BILLS</v>
          </cell>
          <cell r="F137" t="str">
            <v>PER BILL</v>
          </cell>
          <cell r="I137" t="str">
            <v>Bills</v>
          </cell>
        </row>
        <row r="138">
          <cell r="E138">
            <v>336</v>
          </cell>
          <cell r="F138">
            <v>350</v>
          </cell>
          <cell r="G138">
            <v>117600</v>
          </cell>
          <cell r="I138">
            <v>24</v>
          </cell>
          <cell r="J138">
            <v>350</v>
          </cell>
          <cell r="K138">
            <v>8400</v>
          </cell>
        </row>
        <row r="140">
          <cell r="B140" t="str">
            <v>INCREASE TO LGS / TS-2 REMAINING AFTER CUSTOMER CHARGE INCREASE:</v>
          </cell>
          <cell r="G140">
            <v>257669.63811170898</v>
          </cell>
        </row>
        <row r="141">
          <cell r="I141" t="str">
            <v>Volume</v>
          </cell>
          <cell r="K141" t="str">
            <v>Increase</v>
          </cell>
        </row>
        <row r="142">
          <cell r="B142" t="str">
            <v xml:space="preserve"> VOLUMETRIC RATE INCREASE:</v>
          </cell>
          <cell r="C142" t="str">
            <v>NON-GAS</v>
          </cell>
          <cell r="D142" t="str">
            <v>RATIO</v>
          </cell>
          <cell r="E142" t="str">
            <v>VOLUMES</v>
          </cell>
          <cell r="F142" t="str">
            <v>PER MCF</v>
          </cell>
          <cell r="I142" t="str">
            <v>LGS 2-Ind</v>
          </cell>
          <cell r="J142" t="str">
            <v>Rate</v>
          </cell>
          <cell r="K142" t="str">
            <v>LGS 2-Ind</v>
          </cell>
        </row>
        <row r="143">
          <cell r="B143" t="str">
            <v>LGS ADMIN CHARGE</v>
          </cell>
          <cell r="C143">
            <v>66387.951700000005</v>
          </cell>
          <cell r="D143">
            <v>0</v>
          </cell>
          <cell r="E143">
            <v>1052107</v>
          </cell>
          <cell r="F143">
            <v>0</v>
          </cell>
          <cell r="G143">
            <v>0</v>
          </cell>
        </row>
        <row r="144">
          <cell r="B144" t="str">
            <v>DEMAND/SS CHARGE</v>
          </cell>
          <cell r="C144">
            <v>27870.6</v>
          </cell>
          <cell r="D144">
            <v>0</v>
          </cell>
          <cell r="E144">
            <v>92902</v>
          </cell>
          <cell r="F144">
            <v>0</v>
          </cell>
          <cell r="G144">
            <v>0</v>
          </cell>
          <cell r="K144">
            <v>0</v>
          </cell>
        </row>
        <row r="145">
          <cell r="B145" t="str">
            <v>FIRST 20,000</v>
          </cell>
          <cell r="C145">
            <v>1731115.1410999999</v>
          </cell>
          <cell r="D145">
            <v>0.57793649238510825</v>
          </cell>
          <cell r="E145">
            <v>6175937</v>
          </cell>
          <cell r="F145">
            <v>2.41E-2</v>
          </cell>
          <cell r="G145">
            <v>148917</v>
          </cell>
          <cell r="H145">
            <v>0</v>
          </cell>
          <cell r="I145">
            <v>699221</v>
          </cell>
          <cell r="J145">
            <v>2.41E-2</v>
          </cell>
          <cell r="K145">
            <v>16851.2261</v>
          </cell>
        </row>
        <row r="146">
          <cell r="B146" t="str">
            <v>NEXT 80,000</v>
          </cell>
          <cell r="C146">
            <v>1049143.3581000001</v>
          </cell>
          <cell r="D146">
            <v>0.35025875402150491</v>
          </cell>
          <cell r="E146">
            <v>6943371</v>
          </cell>
          <cell r="F146">
            <v>1.2999999999999999E-2</v>
          </cell>
          <cell r="G146">
            <v>90251</v>
          </cell>
          <cell r="I146">
            <v>291587</v>
          </cell>
          <cell r="J146">
            <v>1.2999999999999999E-2</v>
          </cell>
          <cell r="K146">
            <v>3790.6309999999999</v>
          </cell>
        </row>
        <row r="147">
          <cell r="B147" t="str">
            <v>OVER 100,000</v>
          </cell>
          <cell r="C147">
            <v>215079.50750000001</v>
          </cell>
          <cell r="D147">
            <v>7.1804753593386852E-2</v>
          </cell>
          <cell r="E147">
            <v>1530815</v>
          </cell>
          <cell r="F147">
            <v>1.21E-2</v>
          </cell>
          <cell r="G147">
            <v>18502</v>
          </cell>
          <cell r="I147">
            <v>61299</v>
          </cell>
          <cell r="J147">
            <v>1.21E-2</v>
          </cell>
          <cell r="K147">
            <v>741.71789999999999</v>
          </cell>
        </row>
        <row r="148">
          <cell r="B148" t="str">
            <v>TOTAL</v>
          </cell>
          <cell r="C148">
            <v>2995338.0066999998</v>
          </cell>
          <cell r="D148">
            <v>1</v>
          </cell>
          <cell r="E148">
            <v>14650123</v>
          </cell>
          <cell r="G148">
            <v>257670</v>
          </cell>
        </row>
        <row r="149">
          <cell r="I149">
            <v>1052107</v>
          </cell>
          <cell r="K149">
            <v>21383.575000000001</v>
          </cell>
        </row>
        <row r="150">
          <cell r="B150" t="str">
            <v>INCREASE TO LGS / TS-2 REMAINING AFTER VOLUMETRIC INCREASE:</v>
          </cell>
          <cell r="G150">
            <v>-0.36188829102320597</v>
          </cell>
        </row>
        <row r="151">
          <cell r="J151" t="str">
            <v>LGS-2 Ind. Inc</v>
          </cell>
          <cell r="K151">
            <v>29783.575000000001</v>
          </cell>
        </row>
        <row r="152">
          <cell r="J152" t="str">
            <v>TS-2 Ind. Inc</v>
          </cell>
          <cell r="K152">
            <v>345486.06311170897</v>
          </cell>
        </row>
        <row r="153">
          <cell r="J153" t="str">
            <v>Total</v>
          </cell>
          <cell r="K153">
            <v>375269.63811170898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ortfall"/>
      <sheetName val="Revenue Calculation"/>
      <sheetName val="Payment Calculation"/>
      <sheetName val="Inputs"/>
    </sheetNames>
    <sheetDataSet>
      <sheetData sheetId="0"/>
      <sheetData sheetId="1"/>
      <sheetData sheetId="2">
        <row r="24">
          <cell r="C24">
            <v>15704800</v>
          </cell>
        </row>
        <row r="25">
          <cell r="C25">
            <v>120640</v>
          </cell>
        </row>
      </sheetData>
      <sheetData sheetId="3">
        <row r="4">
          <cell r="B4">
            <v>19768</v>
          </cell>
        </row>
        <row r="5">
          <cell r="B5">
            <v>24451.25</v>
          </cell>
        </row>
        <row r="7">
          <cell r="B7">
            <v>45</v>
          </cell>
        </row>
        <row r="8">
          <cell r="B8">
            <v>2022000</v>
          </cell>
        </row>
        <row r="12">
          <cell r="B12">
            <v>117.58544989650554</v>
          </cell>
        </row>
        <row r="17">
          <cell r="B17">
            <v>187.83333333333212</v>
          </cell>
        </row>
        <row r="32">
          <cell r="B32">
            <v>0</v>
          </cell>
        </row>
        <row r="34">
          <cell r="B34">
            <v>0</v>
          </cell>
        </row>
        <row r="50">
          <cell r="B50">
            <v>272400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 3, Pg 6-8"/>
      <sheetName val="Ex 3, Pg 9-10"/>
      <sheetName val="Sch1"/>
      <sheetName val="Sch2"/>
      <sheetName val="Sch3"/>
      <sheetName val="Sch4"/>
      <sheetName val="Sch5"/>
      <sheetName val="Sch5-2"/>
      <sheetName val="Sch5-3"/>
      <sheetName val="Sch6&amp;7"/>
      <sheetName val="Sch8"/>
      <sheetName val="Sch9"/>
      <sheetName val="Sch10"/>
      <sheetName val="Macros"/>
    </sheetNames>
    <sheetDataSet>
      <sheetData sheetId="0" refreshError="1"/>
      <sheetData sheetId="1"/>
      <sheetData sheetId="2">
        <row r="1">
          <cell r="G1" t="str">
            <v>Exhibit No. 3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enu"/>
      <sheetName val="Financials Menu"/>
      <sheetName val="Pivot"/>
      <sheetName val="A (Input) Inv MO Service Charge"/>
      <sheetName val="B (Input) MO Volumes"/>
      <sheetName val="C (Input) MO ARC RRC Charges"/>
      <sheetName val="D (Output) Volume Analysis"/>
      <sheetName val="E (Calc) MO ARC-RRC Charge"/>
      <sheetName val="F (Valid) MO Service Charge"/>
      <sheetName val="G (Valid) MO ARC-RRC Charge"/>
      <sheetName val="H (Ref) Mnthly Svc Fees"/>
      <sheetName val="I (Ref) Mnthly Baseline Units"/>
      <sheetName val="I(a) (Ref) Mnth Baseline Unit %"/>
      <sheetName val="J (Ref) ARC RRC Rates"/>
      <sheetName val="K Graph (Input)"/>
      <sheetName val="L Graph (Data)"/>
      <sheetName val="M Graph (Baseline)"/>
      <sheetName val="N Graph (RU)"/>
      <sheetName val="O Graph (Charges)"/>
      <sheetName val="SLA Menu"/>
      <sheetName val="R (Input) SLA Achieved"/>
      <sheetName val="S (Calc) Service Credit"/>
      <sheetName val="T (Calc) Srvice Credt True Up"/>
      <sheetName val="U (Valid) Service Credit Sum"/>
      <sheetName val="V (Ref) At Risk"/>
      <sheetName val="W (Ref) Pool Allocation"/>
      <sheetName val="X (Ref) Original SLA"/>
      <sheetName val="(Ref) Invoice Detail"/>
      <sheetName val="Rate Schedu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queryTables/queryTable1.xml><?xml version="1.0" encoding="utf-8"?>
<queryTable xmlns="http://schemas.openxmlformats.org/spreadsheetml/2006/main" name="data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data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1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6:C25"/>
  <sheetViews>
    <sheetView zoomScaleNormal="100" workbookViewId="0">
      <selection activeCell="G23" sqref="G23"/>
    </sheetView>
  </sheetViews>
  <sheetFormatPr defaultRowHeight="10.5" x14ac:dyDescent="0.15"/>
  <cols>
    <col min="1" max="1" width="25.1640625" customWidth="1"/>
    <col min="2" max="2" width="3.83203125" customWidth="1"/>
    <col min="3" max="3" width="75.33203125" customWidth="1"/>
  </cols>
  <sheetData>
    <row r="6" spans="1:3" ht="12.75" x14ac:dyDescent="0.2">
      <c r="A6" s="2055" t="s">
        <v>1250</v>
      </c>
      <c r="B6" s="2055"/>
      <c r="C6" s="2055"/>
    </row>
    <row r="7" spans="1:3" ht="12.75" x14ac:dyDescent="0.2">
      <c r="A7" s="241"/>
      <c r="B7" s="241"/>
      <c r="C7" s="241"/>
    </row>
    <row r="8" spans="1:3" ht="12.75" x14ac:dyDescent="0.2">
      <c r="A8" s="2055" t="s">
        <v>1251</v>
      </c>
      <c r="B8" s="2055"/>
      <c r="C8" s="2055"/>
    </row>
    <row r="9" spans="1:3" ht="12.75" x14ac:dyDescent="0.2">
      <c r="A9" s="241"/>
      <c r="B9" s="241"/>
      <c r="C9" s="241"/>
    </row>
    <row r="10" spans="1:3" ht="12.75" x14ac:dyDescent="0.2">
      <c r="A10" s="2056" t="s">
        <v>624</v>
      </c>
      <c r="B10" s="2056"/>
      <c r="C10" s="2056"/>
    </row>
    <row r="11" spans="1:3" ht="12.75" x14ac:dyDescent="0.2">
      <c r="A11" s="241"/>
      <c r="B11" s="241"/>
      <c r="C11" s="241"/>
    </row>
    <row r="12" spans="1:3" ht="12.75" x14ac:dyDescent="0.2">
      <c r="A12" s="2055" t="str">
        <f>case</f>
        <v>CASE NO. 2016 - 00162</v>
      </c>
      <c r="B12" s="2055"/>
      <c r="C12" s="2055"/>
    </row>
    <row r="13" spans="1:3" ht="12.75" x14ac:dyDescent="0.2">
      <c r="A13" s="241"/>
      <c r="B13" s="241"/>
      <c r="C13" s="241"/>
    </row>
    <row r="14" spans="1:3" ht="12.75" x14ac:dyDescent="0.2">
      <c r="A14" s="241"/>
      <c r="B14" s="241"/>
      <c r="C14" s="247"/>
    </row>
    <row r="15" spans="1:3" ht="12.75" x14ac:dyDescent="0.2">
      <c r="A15" s="241"/>
      <c r="B15" s="241"/>
      <c r="C15" s="247"/>
    </row>
    <row r="16" spans="1:3" ht="12.75" x14ac:dyDescent="0.2">
      <c r="A16" s="242" t="s">
        <v>1252</v>
      </c>
      <c r="B16" s="241"/>
      <c r="C16" s="1845" t="s">
        <v>1982</v>
      </c>
    </row>
    <row r="17" spans="1:3" ht="12.75" x14ac:dyDescent="0.2">
      <c r="A17" s="241"/>
      <c r="B17" s="241"/>
      <c r="C17" s="247"/>
    </row>
    <row r="18" spans="1:3" ht="12.75" x14ac:dyDescent="0.2">
      <c r="A18" s="242" t="s">
        <v>1253</v>
      </c>
      <c r="B18" s="241"/>
      <c r="C18" s="1846" t="s">
        <v>1983</v>
      </c>
    </row>
    <row r="19" spans="1:3" ht="12.75" x14ac:dyDescent="0.2">
      <c r="A19" s="241"/>
      <c r="B19" s="241"/>
      <c r="C19" s="247"/>
    </row>
    <row r="20" spans="1:3" ht="12.75" x14ac:dyDescent="0.2">
      <c r="A20" s="241"/>
      <c r="B20" s="241"/>
      <c r="C20" s="247"/>
    </row>
    <row r="21" spans="1:3" ht="12.75" x14ac:dyDescent="0.2">
      <c r="A21" s="243" t="s">
        <v>633</v>
      </c>
      <c r="B21" s="244"/>
      <c r="C21" s="1847" t="s">
        <v>778</v>
      </c>
    </row>
    <row r="22" spans="1:3" ht="12.75" x14ac:dyDescent="0.2">
      <c r="A22" s="241"/>
      <c r="B22" s="241"/>
      <c r="C22" s="247"/>
    </row>
    <row r="23" spans="1:3" ht="12.75" x14ac:dyDescent="0.2">
      <c r="A23" s="241"/>
      <c r="B23" s="241"/>
      <c r="C23" s="247"/>
    </row>
    <row r="24" spans="1:3" ht="12.75" x14ac:dyDescent="0.2">
      <c r="A24" s="246" t="s">
        <v>1254</v>
      </c>
      <c r="B24" s="247"/>
      <c r="C24" s="246" t="s">
        <v>1249</v>
      </c>
    </row>
    <row r="25" spans="1:3" ht="12.75" x14ac:dyDescent="0.2">
      <c r="A25" s="246"/>
      <c r="B25" s="247"/>
      <c r="C25" s="246"/>
    </row>
  </sheetData>
  <mergeCells count="4">
    <mergeCell ref="A6:C6"/>
    <mergeCell ref="A10:C10"/>
    <mergeCell ref="A8:C8"/>
    <mergeCell ref="A12:C12"/>
  </mergeCells>
  <phoneticPr fontId="0" type="noConversion"/>
  <pageMargins left="1" right="0.75" top="1" bottom="0.75" header="0.3" footer="0.3"/>
  <pageSetup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3"/>
  <dimension ref="A1:S92"/>
  <sheetViews>
    <sheetView showGridLines="0" view="pageBreakPreview" zoomScale="80" zoomScaleNormal="85" zoomScaleSheetLayoutView="80" workbookViewId="0">
      <selection activeCell="F46" sqref="F46"/>
    </sheetView>
  </sheetViews>
  <sheetFormatPr defaultColWidth="12.5" defaultRowHeight="12.75" x14ac:dyDescent="0.2"/>
  <cols>
    <col min="1" max="1" width="4.1640625" style="42" customWidth="1"/>
    <col min="2" max="2" width="1.6640625" style="42" customWidth="1"/>
    <col min="3" max="3" width="8.33203125" style="119" customWidth="1"/>
    <col min="4" max="4" width="1.6640625" style="42" customWidth="1"/>
    <col min="5" max="5" width="6.5" style="42" customWidth="1"/>
    <col min="6" max="16" width="15" style="42" bestFit="1" customWidth="1"/>
    <col min="17" max="17" width="14.6640625" style="42" customWidth="1"/>
    <col min="18" max="18" width="14.1640625" style="161" customWidth="1"/>
    <col min="19" max="16384" width="12.5" style="42"/>
  </cols>
  <sheetData>
    <row r="1" spans="1:18" x14ac:dyDescent="0.2">
      <c r="A1" s="2066" t="str">
        <f>co</f>
        <v>COLUMBIA GAS OF KENTUCKY, INC.</v>
      </c>
      <c r="B1" s="2066"/>
      <c r="C1" s="2066"/>
      <c r="D1" s="2066"/>
      <c r="E1" s="2066"/>
      <c r="F1" s="2066"/>
      <c r="G1" s="2066"/>
      <c r="H1" s="2066"/>
      <c r="I1" s="2066"/>
      <c r="J1" s="2066"/>
      <c r="K1" s="2066"/>
      <c r="L1" s="2066"/>
      <c r="M1" s="2066"/>
      <c r="N1" s="2066"/>
      <c r="O1" s="2066"/>
      <c r="P1" s="2066"/>
      <c r="Q1" s="2066"/>
      <c r="R1" s="1749"/>
    </row>
    <row r="2" spans="1:18" x14ac:dyDescent="0.2">
      <c r="A2" s="2066" t="str">
        <f>case</f>
        <v>CASE NO. 2016 - 00162</v>
      </c>
      <c r="B2" s="2066"/>
      <c r="C2" s="2066"/>
      <c r="D2" s="2066"/>
      <c r="E2" s="2066"/>
      <c r="F2" s="2066"/>
      <c r="G2" s="2066"/>
      <c r="H2" s="2066"/>
      <c r="I2" s="2066"/>
      <c r="J2" s="2066"/>
      <c r="K2" s="2066"/>
      <c r="L2" s="2066"/>
      <c r="M2" s="2066"/>
      <c r="N2" s="2066"/>
      <c r="O2" s="2066"/>
      <c r="P2" s="2066"/>
      <c r="Q2" s="2066"/>
      <c r="R2" s="1749"/>
    </row>
    <row r="3" spans="1:18" x14ac:dyDescent="0.2">
      <c r="A3" s="2067" t="s">
        <v>2243</v>
      </c>
      <c r="B3" s="2067"/>
      <c r="C3" s="2067"/>
      <c r="D3" s="2067"/>
      <c r="E3" s="2067"/>
      <c r="F3" s="2067"/>
      <c r="G3" s="2067"/>
      <c r="H3" s="2067"/>
      <c r="I3" s="2067"/>
      <c r="J3" s="2067"/>
      <c r="K3" s="2067"/>
      <c r="L3" s="2067"/>
      <c r="M3" s="2067"/>
      <c r="N3" s="2067"/>
      <c r="O3" s="2067"/>
      <c r="P3" s="2067"/>
      <c r="Q3" s="2067"/>
      <c r="R3" s="1750"/>
    </row>
    <row r="4" spans="1:18" x14ac:dyDescent="0.2">
      <c r="A4" s="2068" t="str">
        <f>"BASE PERIOD 09/30/2015 TO 08/31/2016"</f>
        <v>BASE PERIOD 09/30/2015 TO 08/31/2016</v>
      </c>
      <c r="B4" s="2069"/>
      <c r="C4" s="2069"/>
      <c r="D4" s="2069"/>
      <c r="E4" s="2069"/>
      <c r="F4" s="2069"/>
      <c r="G4" s="2069"/>
      <c r="H4" s="2069"/>
      <c r="I4" s="2069"/>
      <c r="J4" s="2069"/>
      <c r="K4" s="2069"/>
      <c r="L4" s="2069"/>
      <c r="M4" s="2069"/>
      <c r="N4" s="2069"/>
      <c r="O4" s="2069"/>
      <c r="P4" s="2069"/>
      <c r="Q4" s="2069"/>
      <c r="R4" s="1751"/>
    </row>
    <row r="5" spans="1:18" x14ac:dyDescent="0.2">
      <c r="G5" s="43"/>
    </row>
    <row r="6" spans="1:18" x14ac:dyDescent="0.2">
      <c r="Q6" s="149" t="s">
        <v>960</v>
      </c>
      <c r="R6" s="1128"/>
    </row>
    <row r="7" spans="1:18" x14ac:dyDescent="0.2">
      <c r="A7" s="44" t="s">
        <v>688</v>
      </c>
      <c r="Q7" s="1121" t="s">
        <v>864</v>
      </c>
      <c r="R7" s="1129"/>
    </row>
    <row r="8" spans="1:18" x14ac:dyDescent="0.2">
      <c r="A8" s="44" t="s">
        <v>690</v>
      </c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96" t="str">
        <f>SMK</f>
        <v>WITNESS:  S. M. KATKO</v>
      </c>
      <c r="R8" s="1754"/>
    </row>
    <row r="9" spans="1:18" x14ac:dyDescent="0.2">
      <c r="A9" s="45"/>
      <c r="B9" s="46"/>
      <c r="C9" s="120"/>
      <c r="D9" s="46"/>
      <c r="E9" s="46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16"/>
    </row>
    <row r="10" spans="1:18" x14ac:dyDescent="0.2">
      <c r="A10" s="44" t="s">
        <v>632</v>
      </c>
      <c r="C10" s="121" t="s">
        <v>692</v>
      </c>
      <c r="E10" s="43"/>
      <c r="G10" s="106"/>
      <c r="H10" s="104"/>
      <c r="I10" s="106"/>
      <c r="J10" s="104"/>
      <c r="K10" s="104"/>
      <c r="L10" s="104"/>
      <c r="M10" s="106"/>
      <c r="N10" s="104"/>
      <c r="O10" s="106"/>
    </row>
    <row r="11" spans="1:18" x14ac:dyDescent="0.2">
      <c r="A11" s="111" t="s">
        <v>635</v>
      </c>
      <c r="B11" s="112"/>
      <c r="C11" s="122" t="s">
        <v>635</v>
      </c>
      <c r="D11" s="112"/>
      <c r="E11" s="111"/>
      <c r="F11" s="1659" t="s">
        <v>2130</v>
      </c>
      <c r="G11" s="1659" t="s">
        <v>2131</v>
      </c>
      <c r="H11" s="1659" t="s">
        <v>2132</v>
      </c>
      <c r="I11" s="1659" t="s">
        <v>2133</v>
      </c>
      <c r="J11" s="1659" t="s">
        <v>2134</v>
      </c>
      <c r="K11" s="1659" t="s">
        <v>2135</v>
      </c>
      <c r="L11" s="1659" t="s">
        <v>2136</v>
      </c>
      <c r="M11" s="1659" t="s">
        <v>2137</v>
      </c>
      <c r="N11" s="1659" t="s">
        <v>2138</v>
      </c>
      <c r="O11" s="1659" t="s">
        <v>2139</v>
      </c>
      <c r="P11" s="1659" t="s">
        <v>2140</v>
      </c>
      <c r="Q11" s="1659" t="s">
        <v>2141</v>
      </c>
      <c r="R11" s="1752"/>
    </row>
    <row r="12" spans="1:18" x14ac:dyDescent="0.2">
      <c r="E12" s="104"/>
      <c r="F12" s="43" t="s">
        <v>639</v>
      </c>
      <c r="G12" s="43" t="s">
        <v>639</v>
      </c>
      <c r="H12" s="43" t="s">
        <v>639</v>
      </c>
      <c r="I12" s="43" t="s">
        <v>639</v>
      </c>
      <c r="J12" s="43" t="s">
        <v>639</v>
      </c>
      <c r="K12" s="43" t="s">
        <v>639</v>
      </c>
      <c r="L12" s="43" t="s">
        <v>639</v>
      </c>
      <c r="M12" s="43" t="s">
        <v>639</v>
      </c>
      <c r="N12" s="43" t="s">
        <v>639</v>
      </c>
      <c r="O12" s="43" t="s">
        <v>639</v>
      </c>
      <c r="P12" s="43" t="s">
        <v>639</v>
      </c>
      <c r="Q12" s="43" t="s">
        <v>639</v>
      </c>
      <c r="R12" s="1749"/>
    </row>
    <row r="13" spans="1:18" x14ac:dyDescent="0.2">
      <c r="A13" s="48"/>
      <c r="C13" s="123"/>
      <c r="E13" s="109"/>
      <c r="F13" s="51"/>
      <c r="G13" s="104"/>
      <c r="H13" s="107"/>
      <c r="I13" s="104"/>
      <c r="J13" s="107"/>
      <c r="K13" s="107"/>
      <c r="L13" s="107"/>
      <c r="M13" s="107"/>
      <c r="N13" s="107"/>
      <c r="O13" s="107"/>
    </row>
    <row r="14" spans="1:18" x14ac:dyDescent="0.2">
      <c r="A14" s="48">
        <f t="shared" ref="A14:A19" si="0">A13+1</f>
        <v>1</v>
      </c>
      <c r="C14" s="123">
        <v>301</v>
      </c>
      <c r="E14" s="110"/>
      <c r="F14" s="163">
        <v>521.20000000000005</v>
      </c>
      <c r="G14" s="163">
        <v>521.20000000000005</v>
      </c>
      <c r="H14" s="163">
        <v>521.20000000000005</v>
      </c>
      <c r="I14" s="163">
        <v>521.20000000000005</v>
      </c>
      <c r="J14" s="163">
        <v>521.20000000000005</v>
      </c>
      <c r="K14" s="163">
        <v>521.20000000000005</v>
      </c>
      <c r="L14" s="301">
        <f>'WPB2.2 Plant detail-w slippage'!$G64</f>
        <v>521.20000000000005</v>
      </c>
      <c r="M14" s="301">
        <f>'WPB2.2 Plant detail-w slippage'!G170</f>
        <v>521.20000000000005</v>
      </c>
      <c r="N14" s="301">
        <f>'WPB2.2 Plant detail-w slippage'!G276</f>
        <v>521.20000000000005</v>
      </c>
      <c r="O14" s="301">
        <f>'WPB2.2 Plant detail-w slippage'!G382</f>
        <v>521.20000000000005</v>
      </c>
      <c r="P14" s="301">
        <f>'WPB2.2 Plant detail-w slippage'!G488</f>
        <v>521.20000000000005</v>
      </c>
      <c r="Q14" s="301">
        <f>'WPB2.2 Plant detail-w slippage'!G594</f>
        <v>521.20000000000005</v>
      </c>
      <c r="R14" s="301"/>
    </row>
    <row r="15" spans="1:18" x14ac:dyDescent="0.2">
      <c r="A15" s="48">
        <f t="shared" si="0"/>
        <v>2</v>
      </c>
      <c r="C15" s="123">
        <v>303</v>
      </c>
      <c r="E15" s="110"/>
      <c r="F15" s="163">
        <v>74347.509999999995</v>
      </c>
      <c r="G15" s="163">
        <v>74347.509999999995</v>
      </c>
      <c r="H15" s="163">
        <v>74347.509999999995</v>
      </c>
      <c r="I15" s="163">
        <v>74347.509999999995</v>
      </c>
      <c r="J15" s="163">
        <v>74347.509999999995</v>
      </c>
      <c r="K15" s="2030">
        <f>74347.51</f>
        <v>74347.509999999995</v>
      </c>
      <c r="L15" s="301">
        <f>'WPB2.2 Plant detail-w slippage'!$G65</f>
        <v>74347.509999999995</v>
      </c>
      <c r="M15" s="301">
        <f>'WPB2.2 Plant detail-w slippage'!G171</f>
        <v>74347.509999999995</v>
      </c>
      <c r="N15" s="301">
        <f>'WPB2.2 Plant detail-w slippage'!G277</f>
        <v>74347.509999999995</v>
      </c>
      <c r="O15" s="301">
        <f>'WPB2.2 Plant detail-w slippage'!G383</f>
        <v>74347.509999999995</v>
      </c>
      <c r="P15" s="301">
        <f>'WPB2.2 Plant detail-w slippage'!G489+'B-4 CWIP (In Service)'!O17</f>
        <v>74347.509999999995</v>
      </c>
      <c r="Q15" s="301">
        <f>'WPB2.2 Plant detail-w slippage'!G595</f>
        <v>74347.509999999995</v>
      </c>
      <c r="R15" s="301"/>
    </row>
    <row r="16" spans="1:18" x14ac:dyDescent="0.2">
      <c r="A16" s="48">
        <f t="shared" si="0"/>
        <v>3</v>
      </c>
      <c r="C16" s="123">
        <v>303.10000000000002</v>
      </c>
      <c r="E16" s="110"/>
      <c r="F16" s="163">
        <v>0</v>
      </c>
      <c r="G16" s="163">
        <v>0</v>
      </c>
      <c r="H16" s="163">
        <v>0</v>
      </c>
      <c r="I16" s="163">
        <v>0</v>
      </c>
      <c r="J16" s="163">
        <v>0</v>
      </c>
      <c r="K16" s="163">
        <v>0</v>
      </c>
      <c r="L16" s="301">
        <f>'WPB2.2 Plant detail-w slippage'!$G66</f>
        <v>0</v>
      </c>
      <c r="M16" s="301">
        <f>'WPB2.2 Plant detail-w slippage'!G172</f>
        <v>0</v>
      </c>
      <c r="N16" s="301">
        <f>'WPB2.2 Plant detail-w slippage'!G278</f>
        <v>0</v>
      </c>
      <c r="O16" s="301">
        <f>'WPB2.2 Plant detail-w slippage'!G384</f>
        <v>0</v>
      </c>
      <c r="P16" s="301">
        <f>'WPB2.2 Plant detail-w slippage'!G490</f>
        <v>0</v>
      </c>
      <c r="Q16" s="301">
        <f>'WPB2.2 Plant detail-w slippage'!G596</f>
        <v>0</v>
      </c>
      <c r="R16" s="301"/>
    </row>
    <row r="17" spans="1:18" x14ac:dyDescent="0.2">
      <c r="A17" s="48">
        <f t="shared" si="0"/>
        <v>4</v>
      </c>
      <c r="C17" s="123">
        <v>303.2</v>
      </c>
      <c r="E17" s="110"/>
      <c r="F17" s="163">
        <v>0</v>
      </c>
      <c r="G17" s="163">
        <v>0</v>
      </c>
      <c r="H17" s="163">
        <v>0</v>
      </c>
      <c r="I17" s="163">
        <v>0</v>
      </c>
      <c r="J17" s="163">
        <v>0</v>
      </c>
      <c r="K17" s="163">
        <v>0</v>
      </c>
      <c r="L17" s="301">
        <f>'WPB2.2 Plant detail-w slippage'!$G67</f>
        <v>0</v>
      </c>
      <c r="M17" s="301">
        <f>'WPB2.2 Plant detail-w slippage'!G173</f>
        <v>0</v>
      </c>
      <c r="N17" s="301">
        <f>'WPB2.2 Plant detail-w slippage'!G279</f>
        <v>0</v>
      </c>
      <c r="O17" s="301">
        <f>'WPB2.2 Plant detail-w slippage'!G385</f>
        <v>0</v>
      </c>
      <c r="P17" s="301">
        <f>'WPB2.2 Plant detail-w slippage'!G491</f>
        <v>0</v>
      </c>
      <c r="Q17" s="301">
        <f>'WPB2.2 Plant detail-w slippage'!G597</f>
        <v>0</v>
      </c>
      <c r="R17" s="301"/>
    </row>
    <row r="18" spans="1:18" x14ac:dyDescent="0.2">
      <c r="A18" s="48">
        <f t="shared" si="0"/>
        <v>5</v>
      </c>
      <c r="C18" s="123">
        <v>303.3</v>
      </c>
      <c r="E18" s="110"/>
      <c r="F18" s="281">
        <v>5174690.42</v>
      </c>
      <c r="G18" s="281">
        <v>5181923.76</v>
      </c>
      <c r="H18" s="281">
        <v>5188933.42</v>
      </c>
      <c r="I18" s="281">
        <v>5266271.96</v>
      </c>
      <c r="J18" s="281">
        <v>5268409.17</v>
      </c>
      <c r="K18" s="2031">
        <f>5301761</f>
        <v>5301761</v>
      </c>
      <c r="L18" s="302">
        <f>'WPB2.2 Plant detail-w slippage'!$G68</f>
        <v>5353893</v>
      </c>
      <c r="M18" s="302">
        <f>'WPB2.2 Plant detail-w slippage'!G174</f>
        <v>5448872</v>
      </c>
      <c r="N18" s="302">
        <f>'WPB2.2 Plant detail-w slippage'!G280</f>
        <v>5611138</v>
      </c>
      <c r="O18" s="302">
        <f>'WPB2.2 Plant detail-w slippage'!G386</f>
        <v>5720873</v>
      </c>
      <c r="P18" s="302">
        <f>'WPB2.2 Plant detail-w slippage'!G492+'B-4 CWIP (In Service)'!O18</f>
        <v>5820092</v>
      </c>
      <c r="Q18" s="302">
        <f>'WPB2.2 Plant detail-w slippage'!G598</f>
        <v>6022211</v>
      </c>
      <c r="R18" s="301"/>
    </row>
    <row r="19" spans="1:18" x14ac:dyDescent="0.2">
      <c r="A19" s="48">
        <f t="shared" si="0"/>
        <v>6</v>
      </c>
      <c r="C19" s="52" t="s">
        <v>959</v>
      </c>
      <c r="F19" s="51">
        <f t="shared" ref="F19:Q19" si="1">SUM(F14:F18)</f>
        <v>5249559.13</v>
      </c>
      <c r="G19" s="51">
        <f t="shared" si="1"/>
        <v>5256792.47</v>
      </c>
      <c r="H19" s="51">
        <f t="shared" si="1"/>
        <v>5263802.13</v>
      </c>
      <c r="I19" s="51">
        <f t="shared" si="1"/>
        <v>5341140.67</v>
      </c>
      <c r="J19" s="51">
        <f t="shared" si="1"/>
        <v>5343277.88</v>
      </c>
      <c r="K19" s="51">
        <f t="shared" si="1"/>
        <v>5376629.71</v>
      </c>
      <c r="L19" s="51">
        <f t="shared" si="1"/>
        <v>5428761.71</v>
      </c>
      <c r="M19" s="51">
        <f t="shared" si="1"/>
        <v>5523740.71</v>
      </c>
      <c r="N19" s="51">
        <f t="shared" si="1"/>
        <v>5686006.71</v>
      </c>
      <c r="O19" s="51">
        <f t="shared" si="1"/>
        <v>5795741.71</v>
      </c>
      <c r="P19" s="51">
        <f t="shared" si="1"/>
        <v>5894960.71</v>
      </c>
      <c r="Q19" s="51">
        <f t="shared" si="1"/>
        <v>6097079.71</v>
      </c>
      <c r="R19" s="162"/>
    </row>
    <row r="20" spans="1:18" x14ac:dyDescent="0.2">
      <c r="A20" s="48"/>
      <c r="C20" s="123"/>
      <c r="E20" s="49"/>
      <c r="F20" s="51"/>
      <c r="G20" s="107"/>
      <c r="H20" s="107"/>
      <c r="I20" s="108"/>
      <c r="J20" s="107"/>
      <c r="K20" s="107"/>
      <c r="L20" s="107"/>
      <c r="M20" s="108"/>
      <c r="N20" s="107"/>
      <c r="O20" s="107"/>
    </row>
    <row r="21" spans="1:18" x14ac:dyDescent="0.2">
      <c r="A21" s="48"/>
      <c r="C21" s="123"/>
      <c r="E21" s="109"/>
      <c r="F21" s="51"/>
      <c r="G21" s="107"/>
      <c r="H21" s="107"/>
      <c r="I21" s="108"/>
      <c r="J21" s="107"/>
      <c r="K21" s="107"/>
      <c r="L21" s="107"/>
      <c r="M21" s="108"/>
      <c r="N21" s="107"/>
      <c r="O21" s="107"/>
    </row>
    <row r="22" spans="1:18" x14ac:dyDescent="0.2">
      <c r="A22" s="48">
        <f>A19+1</f>
        <v>7</v>
      </c>
      <c r="C22" s="123">
        <v>304.10000000000002</v>
      </c>
      <c r="E22" s="110"/>
      <c r="F22" s="281">
        <v>0</v>
      </c>
      <c r="G22" s="281">
        <v>0</v>
      </c>
      <c r="H22" s="281">
        <v>0</v>
      </c>
      <c r="I22" s="281">
        <v>0</v>
      </c>
      <c r="J22" s="281">
        <v>0</v>
      </c>
      <c r="K22" s="281">
        <v>0</v>
      </c>
      <c r="L22" s="302">
        <f>'WPB2.2 Plant detail-w slippage'!$G72</f>
        <v>0</v>
      </c>
      <c r="M22" s="302">
        <f>'WPB2.2 Plant detail-w slippage'!G178</f>
        <v>0</v>
      </c>
      <c r="N22" s="302">
        <f>'WPB2.2 Plant detail-w slippage'!G284</f>
        <v>0</v>
      </c>
      <c r="O22" s="302">
        <f>'WPB2.2 Plant detail-w slippage'!G390</f>
        <v>0</v>
      </c>
      <c r="P22" s="302">
        <f>'WPB2.2 Plant detail-w slippage'!G496</f>
        <v>0</v>
      </c>
      <c r="Q22" s="302">
        <f>'WPB2.2 Plant detail-w slippage'!G602</f>
        <v>0</v>
      </c>
      <c r="R22" s="303"/>
    </row>
    <row r="23" spans="1:18" x14ac:dyDescent="0.2">
      <c r="A23" s="48">
        <f>A22+1</f>
        <v>8</v>
      </c>
      <c r="C23" s="52" t="s">
        <v>679</v>
      </c>
      <c r="F23" s="51">
        <f t="shared" ref="F23:Q23" si="2">SUM(F22:F22)</f>
        <v>0</v>
      </c>
      <c r="G23" s="51">
        <f t="shared" si="2"/>
        <v>0</v>
      </c>
      <c r="H23" s="51">
        <f t="shared" si="2"/>
        <v>0</v>
      </c>
      <c r="I23" s="51">
        <f t="shared" si="2"/>
        <v>0</v>
      </c>
      <c r="J23" s="51">
        <f t="shared" si="2"/>
        <v>0</v>
      </c>
      <c r="K23" s="51">
        <f t="shared" si="2"/>
        <v>0</v>
      </c>
      <c r="L23" s="51">
        <f t="shared" si="2"/>
        <v>0</v>
      </c>
      <c r="M23" s="51">
        <f t="shared" si="2"/>
        <v>0</v>
      </c>
      <c r="N23" s="51">
        <f t="shared" si="2"/>
        <v>0</v>
      </c>
      <c r="O23" s="51">
        <f t="shared" si="2"/>
        <v>0</v>
      </c>
      <c r="P23" s="51">
        <f t="shared" si="2"/>
        <v>0</v>
      </c>
      <c r="Q23" s="51">
        <f t="shared" si="2"/>
        <v>0</v>
      </c>
      <c r="R23" s="162"/>
    </row>
    <row r="24" spans="1:18" x14ac:dyDescent="0.2">
      <c r="A24" s="48"/>
      <c r="C24" s="123"/>
      <c r="E24" s="49"/>
      <c r="F24" s="51"/>
      <c r="G24" s="107"/>
      <c r="H24" s="107"/>
      <c r="I24" s="108"/>
      <c r="J24" s="107"/>
      <c r="K24" s="107"/>
      <c r="L24" s="107"/>
      <c r="M24" s="108"/>
      <c r="N24" s="107"/>
      <c r="O24" s="107"/>
    </row>
    <row r="25" spans="1:18" x14ac:dyDescent="0.2">
      <c r="A25" s="48">
        <f>A23+1</f>
        <v>9</v>
      </c>
      <c r="C25" s="123">
        <v>374.1</v>
      </c>
      <c r="E25" s="52"/>
      <c r="F25" s="163">
        <v>206</v>
      </c>
      <c r="G25" s="163">
        <v>206</v>
      </c>
      <c r="H25" s="163">
        <v>206</v>
      </c>
      <c r="I25" s="163">
        <v>206</v>
      </c>
      <c r="J25" s="163">
        <v>206</v>
      </c>
      <c r="K25" s="2030">
        <v>206</v>
      </c>
      <c r="L25" s="301">
        <f>'WPB2.2 Plant detail-w slippage'!$G76</f>
        <v>206</v>
      </c>
      <c r="M25" s="301">
        <f>'WPB2.2 Plant detail-w slippage'!G182</f>
        <v>206</v>
      </c>
      <c r="N25" s="301">
        <f>'WPB2.2 Plant detail-w slippage'!G288</f>
        <v>206</v>
      </c>
      <c r="O25" s="301">
        <f>'WPB2.2 Plant detail-w slippage'!G394</f>
        <v>206</v>
      </c>
      <c r="P25" s="301">
        <f>'WPB2.2 Plant detail-w slippage'!G500</f>
        <v>206</v>
      </c>
      <c r="Q25" s="301">
        <f>'WPB2.2 Plant detail-w slippage'!G606</f>
        <v>206</v>
      </c>
      <c r="R25" s="301"/>
    </row>
    <row r="26" spans="1:18" x14ac:dyDescent="0.2">
      <c r="A26" s="48">
        <f t="shared" ref="A26:A41" si="3">A25+1</f>
        <v>10</v>
      </c>
      <c r="C26" s="123">
        <v>374.2</v>
      </c>
      <c r="E26" s="52"/>
      <c r="F26" s="163">
        <v>877756.18</v>
      </c>
      <c r="G26" s="163">
        <v>877756.18</v>
      </c>
      <c r="H26" s="163">
        <v>877756.18</v>
      </c>
      <c r="I26" s="163">
        <v>877756.18</v>
      </c>
      <c r="J26" s="163">
        <v>877756.18</v>
      </c>
      <c r="K26" s="2030">
        <v>877756.18</v>
      </c>
      <c r="L26" s="301">
        <f>'WPB2.2 Plant detail-w slippage'!$G77</f>
        <v>877756.18</v>
      </c>
      <c r="M26" s="301">
        <f>'WPB2.2 Plant detail-w slippage'!G183</f>
        <v>877756.18</v>
      </c>
      <c r="N26" s="301">
        <f>'WPB2.2 Plant detail-w slippage'!G289</f>
        <v>877756.18</v>
      </c>
      <c r="O26" s="301">
        <f>'WPB2.2 Plant detail-w slippage'!G395</f>
        <v>877756.18</v>
      </c>
      <c r="P26" s="301">
        <f>'WPB2.2 Plant detail-w slippage'!G501</f>
        <v>877756.18</v>
      </c>
      <c r="Q26" s="301">
        <f>'WPB2.2 Plant detail-w slippage'!G607</f>
        <v>877756.18</v>
      </c>
      <c r="R26" s="301"/>
    </row>
    <row r="27" spans="1:18" x14ac:dyDescent="0.2">
      <c r="A27" s="48">
        <f t="shared" si="3"/>
        <v>11</v>
      </c>
      <c r="C27" s="123">
        <v>374.4</v>
      </c>
      <c r="E27" s="52"/>
      <c r="F27" s="163">
        <v>661305.65999999992</v>
      </c>
      <c r="G27" s="163">
        <v>661305.65999999992</v>
      </c>
      <c r="H27" s="163">
        <v>661305.65999999992</v>
      </c>
      <c r="I27" s="163">
        <v>661305.65999999992</v>
      </c>
      <c r="J27" s="163">
        <v>661305.66</v>
      </c>
      <c r="K27" s="2030">
        <f>661305.66</f>
        <v>661305.66</v>
      </c>
      <c r="L27" s="301">
        <f>'WPB2.2 Plant detail-w slippage'!$G78</f>
        <v>661305.66</v>
      </c>
      <c r="M27" s="301">
        <f>'WPB2.2 Plant detail-w slippage'!G184</f>
        <v>661305.66</v>
      </c>
      <c r="N27" s="301">
        <f>'WPB2.2 Plant detail-w slippage'!G290</f>
        <v>661305.66</v>
      </c>
      <c r="O27" s="301">
        <f>'WPB2.2 Plant detail-w slippage'!G396</f>
        <v>661305.66</v>
      </c>
      <c r="P27" s="301">
        <f>'WPB2.2 Plant detail-w slippage'!G502+'B-4 CWIP (In Service)'!O21</f>
        <v>661305.66</v>
      </c>
      <c r="Q27" s="301">
        <f>'WPB2.2 Plant detail-w slippage'!G608</f>
        <v>661305.66</v>
      </c>
      <c r="R27" s="301"/>
    </row>
    <row r="28" spans="1:18" x14ac:dyDescent="0.2">
      <c r="A28" s="48">
        <f t="shared" si="3"/>
        <v>12</v>
      </c>
      <c r="C28" s="123">
        <v>374.5</v>
      </c>
      <c r="E28" s="52"/>
      <c r="F28" s="163">
        <v>2666574.69</v>
      </c>
      <c r="G28" s="163">
        <v>2666574.69</v>
      </c>
      <c r="H28" s="163">
        <v>2666574.69</v>
      </c>
      <c r="I28" s="163">
        <v>2666575.5499999998</v>
      </c>
      <c r="J28" s="163">
        <v>2666575.5499999998</v>
      </c>
      <c r="K28" s="2030">
        <f>2666575.55</f>
        <v>2666575.5499999998</v>
      </c>
      <c r="L28" s="301">
        <f>'WPB2.2 Plant detail-w slippage'!$G79</f>
        <v>2666711.5499999998</v>
      </c>
      <c r="M28" s="301">
        <f>'WPB2.2 Plant detail-w slippage'!G185</f>
        <v>2689700.55</v>
      </c>
      <c r="N28" s="301">
        <f>'WPB2.2 Plant detail-w slippage'!G291</f>
        <v>2689952.55</v>
      </c>
      <c r="O28" s="301">
        <f>'WPB2.2 Plant detail-w slippage'!G397</f>
        <v>2691006.55</v>
      </c>
      <c r="P28" s="301">
        <f>'WPB2.2 Plant detail-w slippage'!G503</f>
        <v>2696472.55</v>
      </c>
      <c r="Q28" s="301">
        <f>'WPB2.2 Plant detail-w slippage'!G609</f>
        <v>2697932.55</v>
      </c>
      <c r="R28" s="301"/>
    </row>
    <row r="29" spans="1:18" x14ac:dyDescent="0.2">
      <c r="A29" s="48">
        <f t="shared" si="3"/>
        <v>13</v>
      </c>
      <c r="C29" s="123">
        <v>375.2</v>
      </c>
      <c r="E29" s="52"/>
      <c r="F29" s="163">
        <v>2124.98</v>
      </c>
      <c r="G29" s="163">
        <v>2124.98</v>
      </c>
      <c r="H29" s="163">
        <v>2124.98</v>
      </c>
      <c r="I29" s="163">
        <v>2124.98</v>
      </c>
      <c r="J29" s="163">
        <v>2124.98</v>
      </c>
      <c r="K29" s="2030">
        <v>2124.98</v>
      </c>
      <c r="L29" s="301">
        <f>'WPB2.2 Plant detail-w slippage'!$G80</f>
        <v>2124.98</v>
      </c>
      <c r="M29" s="301">
        <f>'WPB2.2 Plant detail-w slippage'!G186</f>
        <v>2124.98</v>
      </c>
      <c r="N29" s="301">
        <f>'WPB2.2 Plant detail-w slippage'!G292</f>
        <v>2124.98</v>
      </c>
      <c r="O29" s="301">
        <f>'WPB2.2 Plant detail-w slippage'!G398</f>
        <v>2124.98</v>
      </c>
      <c r="P29" s="301">
        <f>'WPB2.2 Plant detail-w slippage'!G504</f>
        <v>2124.98</v>
      </c>
      <c r="Q29" s="301">
        <f>'WPB2.2 Plant detail-w slippage'!G610</f>
        <v>2124.98</v>
      </c>
      <c r="R29" s="301"/>
    </row>
    <row r="30" spans="1:18" x14ac:dyDescent="0.2">
      <c r="A30" s="48">
        <f t="shared" si="3"/>
        <v>14</v>
      </c>
      <c r="C30" s="123">
        <v>375.3</v>
      </c>
      <c r="E30" s="52"/>
      <c r="F30" s="163">
        <v>0</v>
      </c>
      <c r="G30" s="163">
        <v>0</v>
      </c>
      <c r="H30" s="163">
        <v>0</v>
      </c>
      <c r="I30" s="163">
        <v>0</v>
      </c>
      <c r="J30" s="163">
        <v>0</v>
      </c>
      <c r="K30" s="2030">
        <v>0</v>
      </c>
      <c r="L30" s="301">
        <f>'WPB2.2 Plant detail-w slippage'!$G81</f>
        <v>0</v>
      </c>
      <c r="M30" s="301">
        <f>'WPB2.2 Plant detail-w slippage'!G187</f>
        <v>0</v>
      </c>
      <c r="N30" s="301">
        <f>'WPB2.2 Plant detail-w slippage'!G293</f>
        <v>0</v>
      </c>
      <c r="O30" s="301">
        <f>'WPB2.2 Plant detail-w slippage'!G399</f>
        <v>0</v>
      </c>
      <c r="P30" s="301">
        <f>'WPB2.2 Plant detail-w slippage'!G505</f>
        <v>0</v>
      </c>
      <c r="Q30" s="301">
        <f>'WPB2.2 Plant detail-w slippage'!G611</f>
        <v>0</v>
      </c>
      <c r="R30" s="301"/>
    </row>
    <row r="31" spans="1:18" x14ac:dyDescent="0.2">
      <c r="A31" s="48">
        <f t="shared" si="3"/>
        <v>15</v>
      </c>
      <c r="C31" s="123">
        <v>375.4</v>
      </c>
      <c r="E31" s="52"/>
      <c r="F31" s="163">
        <v>1845330.94</v>
      </c>
      <c r="G31" s="163">
        <v>1849828.88</v>
      </c>
      <c r="H31" s="163">
        <v>1849830.16</v>
      </c>
      <c r="I31" s="163">
        <v>1866688.94</v>
      </c>
      <c r="J31" s="163">
        <v>1866688.94</v>
      </c>
      <c r="K31" s="2030">
        <f>1871441.02</f>
        <v>1871441.02</v>
      </c>
      <c r="L31" s="301">
        <f>'WPB2.2 Plant detail-w slippage'!$G82</f>
        <v>1871604.02</v>
      </c>
      <c r="M31" s="301">
        <f>'WPB2.2 Plant detail-w slippage'!G188</f>
        <v>1871767.02</v>
      </c>
      <c r="N31" s="301">
        <f>'WPB2.2 Plant detail-w slippage'!G294</f>
        <v>1871897.02</v>
      </c>
      <c r="O31" s="301">
        <f>'WPB2.2 Plant detail-w slippage'!G400</f>
        <v>1875520.02</v>
      </c>
      <c r="P31" s="301">
        <f>'WPB2.2 Plant detail-w slippage'!G506+'B-4 CWIP (In Service)'!O22</f>
        <v>1877190.02</v>
      </c>
      <c r="Q31" s="301">
        <f>'WPB2.2 Plant detail-w slippage'!G612</f>
        <v>1921438.02</v>
      </c>
      <c r="R31" s="301"/>
    </row>
    <row r="32" spans="1:18" x14ac:dyDescent="0.2">
      <c r="A32" s="48">
        <f t="shared" si="3"/>
        <v>16</v>
      </c>
      <c r="C32" s="123">
        <v>375.6</v>
      </c>
      <c r="E32" s="52"/>
      <c r="F32" s="163">
        <v>0</v>
      </c>
      <c r="G32" s="163">
        <v>0</v>
      </c>
      <c r="H32" s="163">
        <v>0</v>
      </c>
      <c r="I32" s="163">
        <v>0</v>
      </c>
      <c r="J32" s="163">
        <v>0</v>
      </c>
      <c r="K32" s="2030">
        <v>0</v>
      </c>
      <c r="L32" s="301">
        <f>'WPB2.2 Plant detail-w slippage'!$G83</f>
        <v>0</v>
      </c>
      <c r="M32" s="301">
        <f>'WPB2.2 Plant detail-w slippage'!G189</f>
        <v>0</v>
      </c>
      <c r="N32" s="301">
        <f>'WPB2.2 Plant detail-w slippage'!G295</f>
        <v>0</v>
      </c>
      <c r="O32" s="301">
        <f>'WPB2.2 Plant detail-w slippage'!G401</f>
        <v>0</v>
      </c>
      <c r="P32" s="301">
        <f>'WPB2.2 Plant detail-w slippage'!G507</f>
        <v>0</v>
      </c>
      <c r="Q32" s="301">
        <f>'WPB2.2 Plant detail-w slippage'!G613</f>
        <v>0</v>
      </c>
      <c r="R32" s="301"/>
    </row>
    <row r="33" spans="1:19" x14ac:dyDescent="0.2">
      <c r="A33" s="48">
        <f t="shared" si="3"/>
        <v>17</v>
      </c>
      <c r="C33" s="123">
        <v>375.7</v>
      </c>
      <c r="E33" s="52"/>
      <c r="F33" s="163">
        <v>7416801.3799999999</v>
      </c>
      <c r="G33" s="163">
        <v>7416801.3799999999</v>
      </c>
      <c r="H33" s="163">
        <v>7416802.2599999998</v>
      </c>
      <c r="I33" s="163">
        <v>7969800.1699999999</v>
      </c>
      <c r="J33" s="163">
        <v>7980989.21</v>
      </c>
      <c r="K33" s="2030">
        <f>7980989.21</f>
        <v>7980989.21</v>
      </c>
      <c r="L33" s="301">
        <f>'WPB2.2 Plant detail-w slippage'!$G84</f>
        <v>7980989.21</v>
      </c>
      <c r="M33" s="301">
        <f>'WPB2.2 Plant detail-w slippage'!G190</f>
        <v>7980989.21</v>
      </c>
      <c r="N33" s="301">
        <f>'WPB2.2 Plant detail-w slippage'!G296</f>
        <v>7980989.21</v>
      </c>
      <c r="O33" s="301">
        <f>'WPB2.2 Plant detail-w slippage'!G402</f>
        <v>7993345.21</v>
      </c>
      <c r="P33" s="301">
        <f>'WPB2.2 Plant detail-w slippage'!G508+'B-4 CWIP (In Service)'!O23</f>
        <v>8134694.21</v>
      </c>
      <c r="Q33" s="301">
        <f>'WPB2.2 Plant detail-w slippage'!G614</f>
        <v>8045754.21</v>
      </c>
      <c r="R33" s="301"/>
    </row>
    <row r="34" spans="1:19" x14ac:dyDescent="0.2">
      <c r="A34" s="48">
        <f t="shared" si="3"/>
        <v>18</v>
      </c>
      <c r="C34" s="123">
        <v>375.71</v>
      </c>
      <c r="E34" s="52"/>
      <c r="F34" s="163">
        <v>256845.24</v>
      </c>
      <c r="G34" s="163">
        <v>256845.24</v>
      </c>
      <c r="H34" s="163">
        <v>256845.24</v>
      </c>
      <c r="I34" s="163">
        <v>259808.94</v>
      </c>
      <c r="J34" s="163">
        <v>259808.94</v>
      </c>
      <c r="K34" s="2030">
        <f>259808.94</f>
        <v>259808.94</v>
      </c>
      <c r="L34" s="301">
        <f>'WPB2.2 Plant detail-w slippage'!$G85</f>
        <v>259808.94</v>
      </c>
      <c r="M34" s="301">
        <f>'WPB2.2 Plant detail-w slippage'!G191</f>
        <v>259808.94</v>
      </c>
      <c r="N34" s="301">
        <f>'WPB2.2 Plant detail-w slippage'!G297</f>
        <v>259808.94</v>
      </c>
      <c r="O34" s="301">
        <f>'WPB2.2 Plant detail-w slippage'!G403</f>
        <v>259808.94</v>
      </c>
      <c r="P34" s="301">
        <f>'WPB2.2 Plant detail-w slippage'!G509+'B-4 CWIP (In Service)'!O24</f>
        <v>286165.94</v>
      </c>
      <c r="Q34" s="301">
        <f>'WPB2.2 Plant detail-w slippage'!G615</f>
        <v>259808.94</v>
      </c>
      <c r="R34" s="301"/>
    </row>
    <row r="35" spans="1:19" x14ac:dyDescent="0.2">
      <c r="A35" s="48">
        <f t="shared" si="3"/>
        <v>19</v>
      </c>
      <c r="C35" s="123">
        <v>375.8</v>
      </c>
      <c r="E35" s="52"/>
      <c r="F35" s="163">
        <v>0</v>
      </c>
      <c r="G35" s="163">
        <v>0</v>
      </c>
      <c r="H35" s="163">
        <v>0</v>
      </c>
      <c r="I35" s="163">
        <v>0</v>
      </c>
      <c r="J35" s="163">
        <v>0</v>
      </c>
      <c r="K35" s="2030">
        <v>0</v>
      </c>
      <c r="L35" s="301">
        <f>'WPB2.2 Plant detail-w slippage'!$G86</f>
        <v>0</v>
      </c>
      <c r="M35" s="301">
        <f>'WPB2.2 Plant detail-w slippage'!G192</f>
        <v>0</v>
      </c>
      <c r="N35" s="301">
        <f>'WPB2.2 Plant detail-w slippage'!G298</f>
        <v>0</v>
      </c>
      <c r="O35" s="301">
        <f>'WPB2.2 Plant detail-w slippage'!G404</f>
        <v>0</v>
      </c>
      <c r="P35" s="301">
        <f>'WPB2.2 Plant detail-w slippage'!G510</f>
        <v>0</v>
      </c>
      <c r="Q35" s="301">
        <f>'WPB2.2 Plant detail-w slippage'!G616</f>
        <v>0</v>
      </c>
      <c r="R35" s="301"/>
    </row>
    <row r="36" spans="1:19" s="161" customFormat="1" x14ac:dyDescent="0.2">
      <c r="A36" s="1727">
        <f t="shared" si="3"/>
        <v>20</v>
      </c>
      <c r="C36" s="1728">
        <v>376</v>
      </c>
      <c r="E36" s="178"/>
      <c r="F36" s="163">
        <v>193637670.69</v>
      </c>
      <c r="G36" s="163">
        <v>194304027.51000002</v>
      </c>
      <c r="H36" s="163">
        <v>196359597.11000001</v>
      </c>
      <c r="I36" s="163">
        <v>198409232.06999999</v>
      </c>
      <c r="J36" s="163">
        <v>199917668.77000004</v>
      </c>
      <c r="K36" s="2030">
        <f>200467453.44</f>
        <v>200467453.44</v>
      </c>
      <c r="L36" s="301">
        <f>SUM('WPB2.2 Plant detail-w slippage'!$G88:$G92)</f>
        <v>202128849.44</v>
      </c>
      <c r="M36" s="301">
        <f>SUM('WPB2.2 Plant detail-w slippage'!G194:G198)</f>
        <v>204712194.44</v>
      </c>
      <c r="N36" s="301">
        <f>SUM('WPB2.2 Plant detail-w slippage'!G300:G304)</f>
        <v>206595337.44</v>
      </c>
      <c r="O36" s="301">
        <f>SUM('WPB2.2 Plant detail-w slippage'!G406:G410)</f>
        <v>207999898.44</v>
      </c>
      <c r="P36" s="301">
        <f>SUM('WPB2.2 Plant detail-w slippage'!G512:G516)+'B-4 CWIP (In Service)'!O25</f>
        <v>213059163.44</v>
      </c>
      <c r="Q36" s="301">
        <f>SUM('WPB2.2 Plant detail-w slippage'!G618:G622)</f>
        <v>209830261.44</v>
      </c>
      <c r="R36" s="301"/>
      <c r="S36" s="1807"/>
    </row>
    <row r="37" spans="1:19" x14ac:dyDescent="0.2">
      <c r="A37" s="48">
        <f t="shared" si="3"/>
        <v>21</v>
      </c>
      <c r="C37" s="123">
        <v>378.1</v>
      </c>
      <c r="E37" s="52"/>
      <c r="F37" s="163">
        <v>513595.73</v>
      </c>
      <c r="G37" s="163">
        <v>518504.18</v>
      </c>
      <c r="H37" s="163">
        <v>518504.18</v>
      </c>
      <c r="I37" s="163">
        <v>518504.18</v>
      </c>
      <c r="J37" s="163">
        <v>518504.18</v>
      </c>
      <c r="K37" s="2030">
        <v>518504.18</v>
      </c>
      <c r="L37" s="301">
        <f>'WPB2.2 Plant detail-w slippage'!$G93</f>
        <v>518504.18</v>
      </c>
      <c r="M37" s="301">
        <f>'WPB2.2 Plant detail-w slippage'!G199</f>
        <v>518504.18</v>
      </c>
      <c r="N37" s="301">
        <f>'WPB2.2 Plant detail-w slippage'!G305</f>
        <v>518504.18</v>
      </c>
      <c r="O37" s="301">
        <f>'WPB2.2 Plant detail-w slippage'!G411</f>
        <v>518504.18</v>
      </c>
      <c r="P37" s="301">
        <f>'WPB2.2 Plant detail-w slippage'!G517</f>
        <v>518504.18</v>
      </c>
      <c r="Q37" s="301">
        <f>'WPB2.2 Plant detail-w slippage'!G623</f>
        <v>518504.18</v>
      </c>
      <c r="R37" s="301"/>
      <c r="S37" s="1660"/>
    </row>
    <row r="38" spans="1:19" x14ac:dyDescent="0.2">
      <c r="A38" s="48">
        <f t="shared" si="3"/>
        <v>22</v>
      </c>
      <c r="C38" s="123">
        <v>378.2</v>
      </c>
      <c r="E38" s="52"/>
      <c r="F38" s="163">
        <v>8312661.6500000004</v>
      </c>
      <c r="G38" s="163">
        <v>8358117.6399999997</v>
      </c>
      <c r="H38" s="163">
        <v>9303590.6099999994</v>
      </c>
      <c r="I38" s="163">
        <v>9428604.2699999996</v>
      </c>
      <c r="J38" s="163">
        <v>9527216.9400000013</v>
      </c>
      <c r="K38" s="2030">
        <f>9495354</f>
        <v>9495354</v>
      </c>
      <c r="L38" s="301">
        <f>'WPB2.2 Plant detail-w slippage'!$G94</f>
        <v>9507449</v>
      </c>
      <c r="M38" s="301">
        <f>'WPB2.2 Plant detail-w slippage'!G200</f>
        <v>9528599</v>
      </c>
      <c r="N38" s="301">
        <f>'WPB2.2 Plant detail-w slippage'!G306</f>
        <v>9526628</v>
      </c>
      <c r="O38" s="301">
        <f>'WPB2.2 Plant detail-w slippage'!G412</f>
        <v>9538712</v>
      </c>
      <c r="P38" s="301">
        <f>'WPB2.2 Plant detail-w slippage'!G518+'B-4 CWIP (In Service)'!O26</f>
        <v>9554300</v>
      </c>
      <c r="Q38" s="301">
        <f>'WPB2.2 Plant detail-w slippage'!G624</f>
        <v>9597980</v>
      </c>
      <c r="R38" s="301"/>
      <c r="S38" s="1667"/>
    </row>
    <row r="39" spans="1:19" x14ac:dyDescent="0.2">
      <c r="A39" s="48">
        <f t="shared" si="3"/>
        <v>23</v>
      </c>
      <c r="C39" s="123">
        <v>378.3</v>
      </c>
      <c r="E39" s="52"/>
      <c r="F39" s="163">
        <v>45443.08</v>
      </c>
      <c r="G39" s="163">
        <v>45443.08</v>
      </c>
      <c r="H39" s="163">
        <v>45443.08</v>
      </c>
      <c r="I39" s="163">
        <v>45443.08</v>
      </c>
      <c r="J39" s="163">
        <v>45443.08</v>
      </c>
      <c r="K39" s="2030">
        <v>45443.08</v>
      </c>
      <c r="L39" s="301">
        <f>'WPB2.2 Plant detail-w slippage'!$G95</f>
        <v>45443.08</v>
      </c>
      <c r="M39" s="301">
        <f>'WPB2.2 Plant detail-w slippage'!G201</f>
        <v>45443.08</v>
      </c>
      <c r="N39" s="301">
        <f>'WPB2.2 Plant detail-w slippage'!G307</f>
        <v>45443.08</v>
      </c>
      <c r="O39" s="301">
        <f>'WPB2.2 Plant detail-w slippage'!G413</f>
        <v>45443.08</v>
      </c>
      <c r="P39" s="301">
        <f>'WPB2.2 Plant detail-w slippage'!G519</f>
        <v>45443.08</v>
      </c>
      <c r="Q39" s="301">
        <f>'WPB2.2 Plant detail-w slippage'!G625</f>
        <v>45443.08</v>
      </c>
      <c r="R39" s="301"/>
      <c r="S39" s="1667"/>
    </row>
    <row r="40" spans="1:19" x14ac:dyDescent="0.2">
      <c r="A40" s="48">
        <f t="shared" si="3"/>
        <v>24</v>
      </c>
      <c r="C40" s="123">
        <v>379.1</v>
      </c>
      <c r="E40" s="52"/>
      <c r="F40" s="163">
        <v>254900.59</v>
      </c>
      <c r="G40" s="163">
        <v>254900.59</v>
      </c>
      <c r="H40" s="163">
        <v>254900.59</v>
      </c>
      <c r="I40" s="163">
        <v>254900.59</v>
      </c>
      <c r="J40" s="163">
        <v>254900.59</v>
      </c>
      <c r="K40" s="2030">
        <v>254900.59</v>
      </c>
      <c r="L40" s="301">
        <f>'WPB2.2 Plant detail-w slippage'!$G96</f>
        <v>254900.59</v>
      </c>
      <c r="M40" s="301">
        <f>'WPB2.2 Plant detail-w slippage'!G202</f>
        <v>254900.59</v>
      </c>
      <c r="N40" s="301">
        <f>'WPB2.2 Plant detail-w slippage'!G308</f>
        <v>254900.59</v>
      </c>
      <c r="O40" s="301">
        <f>'WPB2.2 Plant detail-w slippage'!G414</f>
        <v>254900.59</v>
      </c>
      <c r="P40" s="301">
        <f>'WPB2.2 Plant detail-w slippage'!G520</f>
        <v>254900.59</v>
      </c>
      <c r="Q40" s="301">
        <f>'WPB2.2 Plant detail-w slippage'!G626</f>
        <v>254900.59</v>
      </c>
      <c r="R40" s="301"/>
      <c r="S40" s="1667"/>
    </row>
    <row r="41" spans="1:19" x14ac:dyDescent="0.2">
      <c r="A41" s="48">
        <f t="shared" si="3"/>
        <v>25</v>
      </c>
      <c r="C41" s="123">
        <v>380</v>
      </c>
      <c r="E41" s="52"/>
      <c r="F41" s="163">
        <v>113118048.78999999</v>
      </c>
      <c r="G41" s="163">
        <v>113873940.36</v>
      </c>
      <c r="H41" s="163">
        <v>114613929.56999999</v>
      </c>
      <c r="I41" s="163">
        <v>115258005.46999998</v>
      </c>
      <c r="J41" s="163">
        <v>115734652.82999998</v>
      </c>
      <c r="K41" s="2030">
        <f>116344343.77</f>
        <v>116344343.77</v>
      </c>
      <c r="L41" s="301">
        <f>'WPB2.2 Plant detail-w slippage'!$G97</f>
        <v>116993806.77</v>
      </c>
      <c r="M41" s="301">
        <f>'WPB2.2 Plant detail-w slippage'!G203</f>
        <v>117779144.77</v>
      </c>
      <c r="N41" s="301">
        <f>'WPB2.2 Plant detail-w slippage'!G309</f>
        <v>118483449.77</v>
      </c>
      <c r="O41" s="301">
        <f>'WPB2.2 Plant detail-w slippage'!G415</f>
        <v>119374130.77</v>
      </c>
      <c r="P41" s="301">
        <f>'WPB2.2 Plant detail-w slippage'!G521+'B-4 CWIP (In Service)'!O27</f>
        <v>119897241.77</v>
      </c>
      <c r="Q41" s="301">
        <f>'WPB2.2 Plant detail-w slippage'!G627</f>
        <v>120631824.77</v>
      </c>
      <c r="R41" s="301"/>
      <c r="S41" s="1660"/>
    </row>
    <row r="42" spans="1:19" x14ac:dyDescent="0.2">
      <c r="A42" s="48"/>
      <c r="C42" s="123"/>
      <c r="E42" s="52"/>
      <c r="F42" s="179"/>
      <c r="G42" s="284"/>
      <c r="H42" s="284"/>
      <c r="I42" s="284"/>
      <c r="J42" s="284"/>
      <c r="K42" s="284"/>
      <c r="L42" s="107"/>
      <c r="M42" s="107"/>
      <c r="N42" s="107"/>
      <c r="O42" s="107"/>
    </row>
    <row r="43" spans="1:19" x14ac:dyDescent="0.2">
      <c r="A43" s="2064" t="str">
        <f>co</f>
        <v>COLUMBIA GAS OF KENTUCKY, INC.</v>
      </c>
      <c r="B43" s="2064"/>
      <c r="C43" s="2064"/>
      <c r="D43" s="2064"/>
      <c r="E43" s="2064"/>
      <c r="F43" s="2064"/>
      <c r="G43" s="2064"/>
      <c r="H43" s="2064"/>
      <c r="I43" s="2064"/>
      <c r="J43" s="2064"/>
      <c r="K43" s="2064"/>
      <c r="L43" s="2064"/>
      <c r="M43" s="2064"/>
      <c r="N43" s="2064"/>
      <c r="O43" s="2064"/>
      <c r="P43" s="2064"/>
      <c r="Q43" s="2064"/>
      <c r="R43" s="1749"/>
    </row>
    <row r="44" spans="1:19" x14ac:dyDescent="0.2">
      <c r="A44" s="2066" t="str">
        <f>case</f>
        <v>CASE NO. 2016 - 00162</v>
      </c>
      <c r="B44" s="2066"/>
      <c r="C44" s="2066"/>
      <c r="D44" s="2066"/>
      <c r="E44" s="2066"/>
      <c r="F44" s="2066"/>
      <c r="G44" s="2066"/>
      <c r="H44" s="2066"/>
      <c r="I44" s="2066"/>
      <c r="J44" s="2066"/>
      <c r="K44" s="2066"/>
      <c r="L44" s="2066"/>
      <c r="M44" s="2066"/>
      <c r="N44" s="2066"/>
      <c r="O44" s="2066"/>
      <c r="P44" s="2066"/>
      <c r="Q44" s="2066"/>
      <c r="R44" s="1749"/>
    </row>
    <row r="45" spans="1:19" x14ac:dyDescent="0.2">
      <c r="A45" s="2067" t="s">
        <v>2243</v>
      </c>
      <c r="B45" s="2067"/>
      <c r="C45" s="2067"/>
      <c r="D45" s="2067"/>
      <c r="E45" s="2067"/>
      <c r="F45" s="2067"/>
      <c r="G45" s="2067"/>
      <c r="H45" s="2067"/>
      <c r="I45" s="2067"/>
      <c r="J45" s="2067"/>
      <c r="K45" s="2067"/>
      <c r="L45" s="2067"/>
      <c r="M45" s="2067"/>
      <c r="N45" s="2067"/>
      <c r="O45" s="2067"/>
      <c r="P45" s="2067"/>
      <c r="Q45" s="2067"/>
      <c r="R45" s="1750"/>
    </row>
    <row r="46" spans="1:19" x14ac:dyDescent="0.2">
      <c r="A46" s="2064" t="str">
        <f>A4</f>
        <v>BASE PERIOD 09/30/2015 TO 08/31/2016</v>
      </c>
      <c r="B46" s="2064"/>
      <c r="C46" s="2064"/>
      <c r="D46" s="2064"/>
      <c r="E46" s="2064"/>
      <c r="F46" s="2064"/>
      <c r="G46" s="2064"/>
      <c r="H46" s="2064"/>
      <c r="I46" s="2064"/>
      <c r="J46" s="2064"/>
      <c r="K46" s="2064"/>
      <c r="L46" s="2064"/>
      <c r="M46" s="2064"/>
      <c r="N46" s="2064"/>
      <c r="O46" s="2064"/>
      <c r="P46" s="2064"/>
      <c r="Q46" s="2064"/>
      <c r="R46" s="1749"/>
    </row>
    <row r="47" spans="1:19" x14ac:dyDescent="0.2">
      <c r="G47" s="106"/>
      <c r="H47" s="104"/>
      <c r="I47" s="104"/>
      <c r="J47" s="104"/>
      <c r="K47" s="104"/>
      <c r="L47" s="104"/>
      <c r="M47" s="104"/>
      <c r="N47" s="104"/>
      <c r="O47" s="104"/>
      <c r="Q47" s="149" t="s">
        <v>960</v>
      </c>
      <c r="R47" s="1128"/>
    </row>
    <row r="48" spans="1:19" x14ac:dyDescent="0.2">
      <c r="A48" s="44" t="s">
        <v>688</v>
      </c>
      <c r="G48" s="104"/>
      <c r="H48" s="104"/>
      <c r="I48" s="104"/>
      <c r="J48" s="104"/>
      <c r="K48" s="104"/>
      <c r="L48" s="104"/>
      <c r="M48" s="105"/>
      <c r="N48" s="104"/>
      <c r="O48" s="104"/>
      <c r="Q48" s="1121" t="s">
        <v>869</v>
      </c>
      <c r="R48" s="1129"/>
    </row>
    <row r="49" spans="1:18" x14ac:dyDescent="0.2">
      <c r="A49" s="44" t="s">
        <v>690</v>
      </c>
      <c r="G49" s="104"/>
      <c r="H49" s="104"/>
      <c r="I49" s="104"/>
      <c r="J49" s="104"/>
      <c r="K49" s="104"/>
      <c r="L49" s="104"/>
      <c r="M49" s="105"/>
      <c r="N49" s="104"/>
      <c r="O49" s="104"/>
      <c r="Q49" s="196" t="str">
        <f>SMK</f>
        <v>WITNESS:  S. M. KATKO</v>
      </c>
      <c r="R49" s="1754"/>
    </row>
    <row r="50" spans="1:18" x14ac:dyDescent="0.2">
      <c r="A50" s="45"/>
      <c r="B50" s="46"/>
      <c r="C50" s="120"/>
      <c r="D50" s="46"/>
      <c r="E50" s="46"/>
      <c r="F50" s="46"/>
      <c r="G50" s="112"/>
      <c r="H50" s="112"/>
      <c r="I50" s="112"/>
      <c r="J50" s="112"/>
      <c r="K50" s="112"/>
      <c r="L50" s="112"/>
      <c r="M50" s="115"/>
      <c r="N50" s="112"/>
      <c r="O50" s="112"/>
      <c r="P50" s="112"/>
      <c r="Q50" s="112"/>
      <c r="R50" s="1116"/>
    </row>
    <row r="51" spans="1:18" x14ac:dyDescent="0.2">
      <c r="A51" s="44" t="s">
        <v>632</v>
      </c>
      <c r="C51" s="121" t="s">
        <v>692</v>
      </c>
      <c r="E51" s="43"/>
      <c r="G51" s="106"/>
      <c r="H51" s="104"/>
      <c r="I51" s="106"/>
      <c r="J51" s="104"/>
      <c r="K51" s="104"/>
      <c r="L51" s="104"/>
      <c r="M51" s="106"/>
      <c r="N51" s="104"/>
      <c r="O51" s="106"/>
    </row>
    <row r="52" spans="1:18" x14ac:dyDescent="0.2">
      <c r="A52" s="111" t="s">
        <v>635</v>
      </c>
      <c r="B52" s="112"/>
      <c r="C52" s="122" t="s">
        <v>635</v>
      </c>
      <c r="D52" s="112"/>
      <c r="E52" s="111"/>
      <c r="F52" s="113" t="str">
        <f t="shared" ref="F52:Q52" si="4">F11</f>
        <v>09/30/2015</v>
      </c>
      <c r="G52" s="113" t="str">
        <f t="shared" si="4"/>
        <v>10/31/2015</v>
      </c>
      <c r="H52" s="113" t="str">
        <f t="shared" si="4"/>
        <v>11/30/2015</v>
      </c>
      <c r="I52" s="113" t="str">
        <f t="shared" si="4"/>
        <v>12/31/2015</v>
      </c>
      <c r="J52" s="113" t="str">
        <f t="shared" si="4"/>
        <v>01/31/2016</v>
      </c>
      <c r="K52" s="113" t="str">
        <f t="shared" si="4"/>
        <v>02/29/2016</v>
      </c>
      <c r="L52" s="113" t="str">
        <f t="shared" si="4"/>
        <v>03/31/2016</v>
      </c>
      <c r="M52" s="113" t="str">
        <f t="shared" si="4"/>
        <v>04/30/2016</v>
      </c>
      <c r="N52" s="113" t="str">
        <f t="shared" si="4"/>
        <v>05/31/2016</v>
      </c>
      <c r="O52" s="113" t="str">
        <f t="shared" si="4"/>
        <v>06/30/2016</v>
      </c>
      <c r="P52" s="113" t="str">
        <f t="shared" si="4"/>
        <v>07/31/2016</v>
      </c>
      <c r="Q52" s="113" t="str">
        <f t="shared" si="4"/>
        <v>08/31/2016</v>
      </c>
      <c r="R52" s="1753"/>
    </row>
    <row r="53" spans="1:18" x14ac:dyDescent="0.2">
      <c r="F53" s="43" t="s">
        <v>639</v>
      </c>
      <c r="G53" s="43" t="s">
        <v>639</v>
      </c>
      <c r="H53" s="43" t="s">
        <v>639</v>
      </c>
      <c r="I53" s="43" t="s">
        <v>639</v>
      </c>
      <c r="J53" s="43" t="s">
        <v>639</v>
      </c>
      <c r="K53" s="43" t="s">
        <v>639</v>
      </c>
      <c r="L53" s="43" t="s">
        <v>639</v>
      </c>
      <c r="M53" s="43" t="s">
        <v>639</v>
      </c>
      <c r="N53" s="43" t="s">
        <v>639</v>
      </c>
      <c r="O53" s="43" t="s">
        <v>639</v>
      </c>
      <c r="P53" s="43" t="s">
        <v>639</v>
      </c>
      <c r="Q53" s="43" t="s">
        <v>639</v>
      </c>
      <c r="R53" s="1749"/>
    </row>
    <row r="54" spans="1:18" x14ac:dyDescent="0.2">
      <c r="G54" s="104"/>
      <c r="H54" s="104"/>
      <c r="I54" s="104"/>
      <c r="J54" s="104"/>
      <c r="K54" s="104"/>
      <c r="L54" s="104"/>
      <c r="M54" s="104"/>
      <c r="N54" s="104"/>
      <c r="O54" s="104"/>
    </row>
    <row r="55" spans="1:18" x14ac:dyDescent="0.2">
      <c r="A55" s="48">
        <v>1</v>
      </c>
      <c r="C55" s="123">
        <v>381</v>
      </c>
      <c r="E55" s="52"/>
      <c r="F55" s="163">
        <v>13204304.939999999</v>
      </c>
      <c r="G55" s="163">
        <v>13245723.17</v>
      </c>
      <c r="H55" s="163">
        <v>13177601.73</v>
      </c>
      <c r="I55" s="163">
        <v>13270915.01</v>
      </c>
      <c r="J55" s="163">
        <v>13317385.18</v>
      </c>
      <c r="K55" s="2030">
        <f>13358440.55</f>
        <v>13358440.550000001</v>
      </c>
      <c r="L55" s="301">
        <f>'WPB2.2 Plant detail-w slippage'!$G116</f>
        <v>13437028.550000001</v>
      </c>
      <c r="M55" s="301">
        <f>'WPB2.2 Plant detail-w slippage'!G222</f>
        <v>13497095.550000001</v>
      </c>
      <c r="N55" s="301">
        <f>'WPB2.2 Plant detail-w slippage'!G328</f>
        <v>13548681.550000001</v>
      </c>
      <c r="O55" s="301">
        <f>'WPB2.2 Plant detail-w slippage'!G434</f>
        <v>13615778.550000001</v>
      </c>
      <c r="P55" s="301">
        <f>'WPB2.2 Plant detail-w slippage'!G540+'B-4 CWIP (In Service)'!O28</f>
        <v>13621083.550000001</v>
      </c>
      <c r="Q55" s="301">
        <f>'WPB2.2 Plant detail-w slippage'!G646</f>
        <v>13641248.550000001</v>
      </c>
      <c r="R55" s="301"/>
    </row>
    <row r="56" spans="1:18" x14ac:dyDescent="0.2">
      <c r="A56" s="48">
        <f>A55+1</f>
        <v>2</v>
      </c>
      <c r="C56" s="123">
        <v>381.1</v>
      </c>
      <c r="E56" s="52"/>
      <c r="F56" s="163">
        <v>8607905.0600000005</v>
      </c>
      <c r="G56" s="163">
        <v>8607905.0600000005</v>
      </c>
      <c r="H56" s="163">
        <v>8607871.2800000012</v>
      </c>
      <c r="I56" s="163">
        <v>8705079.0600000005</v>
      </c>
      <c r="J56" s="163">
        <v>8705079.0600000005</v>
      </c>
      <c r="K56" s="2030">
        <v>8705079.0600000005</v>
      </c>
      <c r="L56" s="301">
        <f>'WPB2.2 Plant detail-w slippage'!$G117</f>
        <v>8705985.0600000005</v>
      </c>
      <c r="M56" s="301">
        <f>'WPB2.2 Plant detail-w slippage'!G223</f>
        <v>8754021.0600000005</v>
      </c>
      <c r="N56" s="301">
        <f>'WPB2.2 Plant detail-w slippage'!G329</f>
        <v>8754899.0600000005</v>
      </c>
      <c r="O56" s="301">
        <f>'WPB2.2 Plant detail-w slippage'!G435</f>
        <v>8755468.0600000005</v>
      </c>
      <c r="P56" s="301">
        <f>'WPB2.2 Plant detail-w slippage'!G541+'B-4 CWIP (In Service)'!O29</f>
        <v>8761997.0600000005</v>
      </c>
      <c r="Q56" s="301">
        <f>'WPB2.2 Plant detail-w slippage'!G647</f>
        <v>8764800.0600000005</v>
      </c>
      <c r="R56" s="301"/>
    </row>
    <row r="57" spans="1:18" x14ac:dyDescent="0.2">
      <c r="A57" s="48">
        <f>A56+1</f>
        <v>3</v>
      </c>
      <c r="C57" s="123">
        <v>382</v>
      </c>
      <c r="E57" s="52"/>
      <c r="F57" s="163">
        <v>8649024.25</v>
      </c>
      <c r="G57" s="163">
        <v>8666786.5700000003</v>
      </c>
      <c r="H57" s="163">
        <v>8681694.1000000015</v>
      </c>
      <c r="I57" s="163">
        <v>8991831.3300000001</v>
      </c>
      <c r="J57" s="163">
        <v>8996003.6799999997</v>
      </c>
      <c r="K57" s="2030">
        <f>9009270.65</f>
        <v>9009270.6500000004</v>
      </c>
      <c r="L57" s="301">
        <f>'WPB2.2 Plant detail-w slippage'!$G118</f>
        <v>9019186.6500000004</v>
      </c>
      <c r="M57" s="301">
        <f>'WPB2.2 Plant detail-w slippage'!G224</f>
        <v>9033558.6500000004</v>
      </c>
      <c r="N57" s="301">
        <f>'WPB2.2 Plant detail-w slippage'!G330</f>
        <v>9045893.6500000004</v>
      </c>
      <c r="O57" s="301">
        <f>'WPB2.2 Plant detail-w slippage'!G436</f>
        <v>9058151.6500000004</v>
      </c>
      <c r="P57" s="301">
        <f>'WPB2.2 Plant detail-w slippage'!G542+'B-4 CWIP (In Service)'!O30</f>
        <v>9061199.6500000004</v>
      </c>
      <c r="Q57" s="301">
        <f>'WPB2.2 Plant detail-w slippage'!G648</f>
        <v>9109896.6500000004</v>
      </c>
      <c r="R57" s="301"/>
    </row>
    <row r="58" spans="1:18" x14ac:dyDescent="0.2">
      <c r="A58" s="48">
        <f>A57+1</f>
        <v>4</v>
      </c>
      <c r="C58" s="123">
        <v>383</v>
      </c>
      <c r="E58" s="52"/>
      <c r="F58" s="163">
        <v>5435533.8199999994</v>
      </c>
      <c r="G58" s="163">
        <v>5468863.3300000001</v>
      </c>
      <c r="H58" s="163">
        <v>5477370.5800000001</v>
      </c>
      <c r="I58" s="163">
        <v>5504717.3999999994</v>
      </c>
      <c r="J58" s="163">
        <v>5509635.6599999992</v>
      </c>
      <c r="K58" s="2030">
        <f>5526144.76</f>
        <v>5526144.7599999998</v>
      </c>
      <c r="L58" s="301">
        <f>'WPB2.2 Plant detail-w slippage'!$G119</f>
        <v>5536734.7599999998</v>
      </c>
      <c r="M58" s="301">
        <f>'WPB2.2 Plant detail-w slippage'!G225</f>
        <v>5546037.7599999998</v>
      </c>
      <c r="N58" s="301">
        <f>'WPB2.2 Plant detail-w slippage'!G331</f>
        <v>5557041.7599999998</v>
      </c>
      <c r="O58" s="301">
        <f>'WPB2.2 Plant detail-w slippage'!G437</f>
        <v>5565296.7599999998</v>
      </c>
      <c r="P58" s="301">
        <f>'WPB2.2 Plant detail-w slippage'!G543+'B-4 CWIP (In Service)'!O31</f>
        <v>5581518.7599999998</v>
      </c>
      <c r="Q58" s="301">
        <f>'WPB2.2 Plant detail-w slippage'!G649</f>
        <v>5590608.7599999998</v>
      </c>
      <c r="R58" s="301"/>
    </row>
    <row r="59" spans="1:18" x14ac:dyDescent="0.2">
      <c r="A59" s="48">
        <f t="shared" ref="A59:A67" si="5">A58+1</f>
        <v>5</v>
      </c>
      <c r="C59" s="123">
        <v>384</v>
      </c>
      <c r="E59" s="52"/>
      <c r="F59" s="163">
        <v>2255592.4</v>
      </c>
      <c r="G59" s="163">
        <v>2255592.4</v>
      </c>
      <c r="H59" s="163">
        <v>2255592.4</v>
      </c>
      <c r="I59" s="163">
        <v>2257522</v>
      </c>
      <c r="J59" s="163">
        <v>2257522</v>
      </c>
      <c r="K59" s="2030">
        <v>2257522</v>
      </c>
      <c r="L59" s="301">
        <f>'WPB2.2 Plant detail-w slippage'!$G120</f>
        <v>2257522</v>
      </c>
      <c r="M59" s="301">
        <f>'WPB2.2 Plant detail-w slippage'!G226</f>
        <v>2257522</v>
      </c>
      <c r="N59" s="301">
        <f>'WPB2.2 Plant detail-w slippage'!G332</f>
        <v>2257522</v>
      </c>
      <c r="O59" s="301">
        <f>'WPB2.2 Plant detail-w slippage'!G438</f>
        <v>2257522</v>
      </c>
      <c r="P59" s="301">
        <f>'WPB2.2 Plant detail-w slippage'!G544</f>
        <v>2257522</v>
      </c>
      <c r="Q59" s="301">
        <f>'WPB2.2 Plant detail-w slippage'!G650</f>
        <v>2257522</v>
      </c>
      <c r="R59" s="301"/>
    </row>
    <row r="60" spans="1:18" x14ac:dyDescent="0.2">
      <c r="A60" s="48">
        <f t="shared" si="5"/>
        <v>6</v>
      </c>
      <c r="C60" s="123">
        <v>385</v>
      </c>
      <c r="E60" s="52"/>
      <c r="F60" s="163">
        <v>3058988.89</v>
      </c>
      <c r="G60" s="163">
        <v>3057596.29</v>
      </c>
      <c r="H60" s="163">
        <v>3057594.0600000005</v>
      </c>
      <c r="I60" s="163">
        <v>3047363.19</v>
      </c>
      <c r="J60" s="163">
        <v>3046794.66</v>
      </c>
      <c r="K60" s="2030">
        <f>3049398.36</f>
        <v>3049398.36</v>
      </c>
      <c r="L60" s="301">
        <f>'WPB2.2 Plant detail-w slippage'!$G121</f>
        <v>3074245.36</v>
      </c>
      <c r="M60" s="301">
        <f>'WPB2.2 Plant detail-w slippage'!G227</f>
        <v>3098094.36</v>
      </c>
      <c r="N60" s="301">
        <f>'WPB2.2 Plant detail-w slippage'!G333</f>
        <v>3132433.36</v>
      </c>
      <c r="O60" s="301">
        <f>'WPB2.2 Plant detail-w slippage'!G439</f>
        <v>3144090.36</v>
      </c>
      <c r="P60" s="301">
        <f>'WPB2.2 Plant detail-w slippage'!G545+'B-4 CWIP (In Service)'!O32</f>
        <v>3217276.36</v>
      </c>
      <c r="Q60" s="301">
        <f>'WPB2.2 Plant detail-w slippage'!G651</f>
        <v>3175963.36</v>
      </c>
      <c r="R60" s="301"/>
    </row>
    <row r="61" spans="1:18" x14ac:dyDescent="0.2">
      <c r="A61" s="48">
        <f t="shared" si="5"/>
        <v>7</v>
      </c>
      <c r="C61" s="123">
        <v>387.2</v>
      </c>
      <c r="E61" s="52"/>
      <c r="F61" s="163">
        <v>0</v>
      </c>
      <c r="G61" s="163">
        <v>0</v>
      </c>
      <c r="H61" s="163">
        <v>0</v>
      </c>
      <c r="I61" s="163">
        <v>0</v>
      </c>
      <c r="J61" s="163">
        <v>0</v>
      </c>
      <c r="K61" s="2030">
        <v>0</v>
      </c>
      <c r="L61" s="301">
        <f>'WPB2.2 Plant detail-w slippage'!$G122</f>
        <v>0</v>
      </c>
      <c r="M61" s="301">
        <f>'WPB2.2 Plant detail-w slippage'!G228</f>
        <v>0</v>
      </c>
      <c r="N61" s="301">
        <f>'WPB2.2 Plant detail-w slippage'!G334</f>
        <v>0</v>
      </c>
      <c r="O61" s="301">
        <f>'WPB2.2 Plant detail-w slippage'!G440</f>
        <v>0</v>
      </c>
      <c r="P61" s="301">
        <f>'WPB2.2 Plant detail-w slippage'!G546</f>
        <v>0</v>
      </c>
      <c r="Q61" s="301">
        <f>'WPB2.2 Plant detail-w slippage'!G652</f>
        <v>0</v>
      </c>
      <c r="R61" s="301"/>
    </row>
    <row r="62" spans="1:18" x14ac:dyDescent="0.2">
      <c r="A62" s="48">
        <f t="shared" si="5"/>
        <v>8</v>
      </c>
      <c r="C62" s="123">
        <v>387.41</v>
      </c>
      <c r="E62" s="52"/>
      <c r="F62" s="163">
        <v>735336.35</v>
      </c>
      <c r="G62" s="163">
        <v>735770.76</v>
      </c>
      <c r="H62" s="163">
        <v>735770.76</v>
      </c>
      <c r="I62" s="163">
        <v>735770.76</v>
      </c>
      <c r="J62" s="163">
        <v>735770.76</v>
      </c>
      <c r="K62" s="2030">
        <v>735770.76</v>
      </c>
      <c r="L62" s="301">
        <f>'WPB2.2 Plant detail-w slippage'!$G123</f>
        <v>735770.76</v>
      </c>
      <c r="M62" s="301">
        <f>'WPB2.2 Plant detail-w slippage'!G229</f>
        <v>735770.76</v>
      </c>
      <c r="N62" s="301">
        <f>'WPB2.2 Plant detail-w slippage'!G335</f>
        <v>735770.76</v>
      </c>
      <c r="O62" s="301">
        <f>'WPB2.2 Plant detail-w slippage'!G441</f>
        <v>735770.76</v>
      </c>
      <c r="P62" s="301">
        <f>'WPB2.2 Plant detail-w slippage'!G547</f>
        <v>735770.76</v>
      </c>
      <c r="Q62" s="301">
        <f>'WPB2.2 Plant detail-w slippage'!G653</f>
        <v>735770.76</v>
      </c>
      <c r="R62" s="301"/>
    </row>
    <row r="63" spans="1:18" x14ac:dyDescent="0.2">
      <c r="A63" s="48">
        <f t="shared" si="5"/>
        <v>9</v>
      </c>
      <c r="C63" s="123">
        <v>387.42</v>
      </c>
      <c r="E63" s="52"/>
      <c r="F63" s="163">
        <v>796184.94</v>
      </c>
      <c r="G63" s="163">
        <v>796602.94</v>
      </c>
      <c r="H63" s="163">
        <v>796602.94</v>
      </c>
      <c r="I63" s="163">
        <v>795186.58</v>
      </c>
      <c r="J63" s="163">
        <v>795186.58</v>
      </c>
      <c r="K63" s="2030">
        <v>795186.58</v>
      </c>
      <c r="L63" s="301">
        <f>'WPB2.2 Plant detail-w slippage'!$G124</f>
        <v>795186.58</v>
      </c>
      <c r="M63" s="301">
        <f>'WPB2.2 Plant detail-w slippage'!G230</f>
        <v>795186.58</v>
      </c>
      <c r="N63" s="301">
        <f>'WPB2.2 Plant detail-w slippage'!G336</f>
        <v>795186.58</v>
      </c>
      <c r="O63" s="301">
        <f>'WPB2.2 Plant detail-w slippage'!G442</f>
        <v>795186.58</v>
      </c>
      <c r="P63" s="301">
        <f>'WPB2.2 Plant detail-w slippage'!G548</f>
        <v>795186.58</v>
      </c>
      <c r="Q63" s="301">
        <f>'WPB2.2 Plant detail-w slippage'!G654</f>
        <v>795186.58</v>
      </c>
      <c r="R63" s="301"/>
    </row>
    <row r="64" spans="1:18" x14ac:dyDescent="0.2">
      <c r="A64" s="48">
        <f t="shared" si="5"/>
        <v>10</v>
      </c>
      <c r="C64" s="123">
        <v>387.44</v>
      </c>
      <c r="E64" s="52"/>
      <c r="F64" s="163">
        <v>135926.76</v>
      </c>
      <c r="G64" s="163">
        <v>135926.76</v>
      </c>
      <c r="H64" s="163">
        <v>135926.76</v>
      </c>
      <c r="I64" s="163">
        <v>133589.93</v>
      </c>
      <c r="J64" s="163">
        <v>133589.93</v>
      </c>
      <c r="K64" s="2030">
        <v>133589.93</v>
      </c>
      <c r="L64" s="301">
        <f>'WPB2.2 Plant detail-w slippage'!$G125</f>
        <v>133589.93</v>
      </c>
      <c r="M64" s="301">
        <f>'WPB2.2 Plant detail-w slippage'!G231</f>
        <v>133589.93</v>
      </c>
      <c r="N64" s="301">
        <f>'WPB2.2 Plant detail-w slippage'!G337</f>
        <v>133589.93</v>
      </c>
      <c r="O64" s="301">
        <f>'WPB2.2 Plant detail-w slippage'!G443</f>
        <v>143283.93</v>
      </c>
      <c r="P64" s="301">
        <f>'WPB2.2 Plant detail-w slippage'!G549</f>
        <v>143283.93</v>
      </c>
      <c r="Q64" s="301">
        <f>'WPB2.2 Plant detail-w slippage'!G655</f>
        <v>143283.93</v>
      </c>
      <c r="R64" s="301"/>
    </row>
    <row r="65" spans="1:19" x14ac:dyDescent="0.2">
      <c r="A65" s="48">
        <f t="shared" si="5"/>
        <v>11</v>
      </c>
      <c r="C65" s="123">
        <v>387.45</v>
      </c>
      <c r="E65" s="52"/>
      <c r="F65" s="163">
        <v>2493379.83</v>
      </c>
      <c r="G65" s="163">
        <v>2481880.4</v>
      </c>
      <c r="H65" s="163">
        <v>2482490.5900000003</v>
      </c>
      <c r="I65" s="163">
        <v>2682976.71</v>
      </c>
      <c r="J65" s="163">
        <v>2744866.85</v>
      </c>
      <c r="K65" s="2030">
        <f>2744230.66</f>
        <v>2744230.66</v>
      </c>
      <c r="L65" s="301">
        <f>'WPB2.2 Plant detail-w slippage'!$G126</f>
        <v>2756218.66</v>
      </c>
      <c r="M65" s="301">
        <f>'WPB2.2 Plant detail-w slippage'!G232</f>
        <v>2764385.66</v>
      </c>
      <c r="N65" s="301">
        <f>'WPB2.2 Plant detail-w slippage'!G338</f>
        <v>2838052.66</v>
      </c>
      <c r="O65" s="301">
        <f>'WPB2.2 Plant detail-w slippage'!G444</f>
        <v>2838052.66</v>
      </c>
      <c r="P65" s="301">
        <f>'WPB2.2 Plant detail-w slippage'!G550+'B-4 CWIP (In Service)'!O33</f>
        <v>2824085.66</v>
      </c>
      <c r="Q65" s="301">
        <f>'WPB2.2 Plant detail-w slippage'!G656</f>
        <v>2909068.66</v>
      </c>
      <c r="R65" s="301"/>
    </row>
    <row r="66" spans="1:19" x14ac:dyDescent="0.2">
      <c r="A66" s="48">
        <f t="shared" si="5"/>
        <v>12</v>
      </c>
      <c r="C66" s="123">
        <v>387.46</v>
      </c>
      <c r="E66" s="52"/>
      <c r="F66" s="281">
        <v>113644.47</v>
      </c>
      <c r="G66" s="281">
        <v>113644.47</v>
      </c>
      <c r="H66" s="281">
        <v>113644.47</v>
      </c>
      <c r="I66" s="281">
        <v>113644.47</v>
      </c>
      <c r="J66" s="281">
        <v>113644.47</v>
      </c>
      <c r="K66" s="281">
        <v>113644.47</v>
      </c>
      <c r="L66" s="302">
        <f>'WPB2.2 Plant detail-w slippage'!$G127</f>
        <v>113644.47</v>
      </c>
      <c r="M66" s="302">
        <f>'WPB2.2 Plant detail-w slippage'!G233</f>
        <v>113644.47</v>
      </c>
      <c r="N66" s="302">
        <f>'WPB2.2 Plant detail-w slippage'!G339</f>
        <v>113644.47</v>
      </c>
      <c r="O66" s="302">
        <f>'WPB2.2 Plant detail-w slippage'!G445</f>
        <v>113644.47</v>
      </c>
      <c r="P66" s="302">
        <f>'WPB2.2 Plant detail-w slippage'!G551</f>
        <v>113644.47</v>
      </c>
      <c r="Q66" s="302">
        <f>'WPB2.2 Plant detail-w slippage'!G657</f>
        <v>113644.47</v>
      </c>
      <c r="R66" s="301"/>
    </row>
    <row r="67" spans="1:19" x14ac:dyDescent="0.2">
      <c r="A67" s="48">
        <f t="shared" si="5"/>
        <v>13</v>
      </c>
      <c r="C67" s="52" t="s">
        <v>683</v>
      </c>
      <c r="F67" s="51">
        <f t="shared" ref="F67:Q67" si="6">SUM(F25:F41,F55:F66)</f>
        <v>375095087.31</v>
      </c>
      <c r="G67" s="51">
        <f t="shared" si="6"/>
        <v>376652668.51999998</v>
      </c>
      <c r="H67" s="51">
        <f t="shared" si="6"/>
        <v>380349569.98000002</v>
      </c>
      <c r="I67" s="51">
        <f t="shared" si="6"/>
        <v>384457552.51999992</v>
      </c>
      <c r="J67" s="51">
        <f t="shared" si="6"/>
        <v>386669320.68000013</v>
      </c>
      <c r="K67" s="51">
        <f t="shared" si="6"/>
        <v>387874484.38000005</v>
      </c>
      <c r="L67" s="51">
        <f t="shared" si="6"/>
        <v>390334572.38000005</v>
      </c>
      <c r="M67" s="51">
        <f t="shared" si="6"/>
        <v>393911351.38000005</v>
      </c>
      <c r="N67" s="51">
        <f t="shared" si="6"/>
        <v>396681019.38000005</v>
      </c>
      <c r="O67" s="51">
        <f t="shared" si="6"/>
        <v>399114908.38000005</v>
      </c>
      <c r="P67" s="51">
        <f t="shared" si="6"/>
        <v>404978037.38000005</v>
      </c>
      <c r="Q67" s="51">
        <f t="shared" si="6"/>
        <v>402582234.38000005</v>
      </c>
      <c r="R67" s="301"/>
    </row>
    <row r="68" spans="1:19" x14ac:dyDescent="0.2">
      <c r="A68" s="48"/>
      <c r="C68" s="123"/>
      <c r="E68" s="49"/>
      <c r="F68" s="51"/>
      <c r="G68" s="107"/>
      <c r="H68" s="107"/>
      <c r="I68" s="108"/>
      <c r="J68" s="107"/>
      <c r="K68" s="107"/>
      <c r="L68" s="107"/>
      <c r="M68" s="108"/>
      <c r="N68" s="107"/>
      <c r="O68" s="107"/>
      <c r="R68" s="301"/>
    </row>
    <row r="69" spans="1:19" x14ac:dyDescent="0.2">
      <c r="A69" s="48"/>
      <c r="C69" s="123"/>
      <c r="E69" s="50"/>
      <c r="F69" s="51"/>
      <c r="G69" s="107"/>
      <c r="H69" s="107"/>
      <c r="I69" s="108"/>
      <c r="J69" s="107"/>
      <c r="K69" s="107"/>
      <c r="L69" s="107"/>
      <c r="M69" s="108"/>
      <c r="N69" s="107"/>
      <c r="O69" s="107"/>
      <c r="R69" s="301"/>
    </row>
    <row r="70" spans="1:19" x14ac:dyDescent="0.2">
      <c r="A70" s="48">
        <f>A67+1</f>
        <v>14</v>
      </c>
      <c r="C70" s="123">
        <v>391.1</v>
      </c>
      <c r="E70" s="52"/>
      <c r="F70" s="282">
        <v>223184.95</v>
      </c>
      <c r="G70" s="282">
        <v>223184.95</v>
      </c>
      <c r="H70" s="282">
        <v>223184.95</v>
      </c>
      <c r="I70" s="282">
        <v>713480.71</v>
      </c>
      <c r="J70" s="282">
        <v>713480.71</v>
      </c>
      <c r="K70" s="2032">
        <f>713480.71</f>
        <v>713480.71</v>
      </c>
      <c r="L70" s="303">
        <f>'WPB2.2 Plant detail-w slippage'!$G131</f>
        <v>733453.71</v>
      </c>
      <c r="M70" s="303">
        <f>'WPB2.2 Plant detail-w slippage'!G237</f>
        <v>733508.71</v>
      </c>
      <c r="N70" s="301">
        <f>'WPB2.2 Plant detail-w slippage'!G343</f>
        <v>733557.71</v>
      </c>
      <c r="O70" s="301">
        <f>'WPB2.2 Plant detail-w slippage'!G449</f>
        <v>734547.71</v>
      </c>
      <c r="P70" s="301">
        <f>'WPB2.2 Plant detail-w slippage'!G555</f>
        <v>734600.71</v>
      </c>
      <c r="Q70" s="301">
        <f>'WPB2.2 Plant detail-w slippage'!G661</f>
        <v>730376.71</v>
      </c>
      <c r="R70" s="301"/>
    </row>
    <row r="71" spans="1:19" x14ac:dyDescent="0.2">
      <c r="A71" s="48">
        <f t="shared" ref="A71:A84" si="7">A70+1</f>
        <v>15</v>
      </c>
      <c r="C71" s="123">
        <v>391.11</v>
      </c>
      <c r="E71" s="52"/>
      <c r="F71" s="282">
        <v>18815.57</v>
      </c>
      <c r="G71" s="282">
        <v>18815.57</v>
      </c>
      <c r="H71" s="282">
        <v>18815.57</v>
      </c>
      <c r="I71" s="282">
        <v>18815.57</v>
      </c>
      <c r="J71" s="282">
        <v>18815.57</v>
      </c>
      <c r="K71" s="2032">
        <v>18815.57</v>
      </c>
      <c r="L71" s="303">
        <f>'WPB2.2 Plant detail-w slippage'!$G132</f>
        <v>18815.57</v>
      </c>
      <c r="M71" s="303">
        <f>'WPB2.2 Plant detail-w slippage'!G238</f>
        <v>18815.57</v>
      </c>
      <c r="N71" s="301">
        <f>'WPB2.2 Plant detail-w slippage'!G344</f>
        <v>18815.57</v>
      </c>
      <c r="O71" s="301">
        <f>'WPB2.2 Plant detail-w slippage'!G450</f>
        <v>18815.57</v>
      </c>
      <c r="P71" s="301">
        <f>'WPB2.2 Plant detail-w slippage'!G556</f>
        <v>18815.57</v>
      </c>
      <c r="Q71" s="301">
        <f>'WPB2.2 Plant detail-w slippage'!G662</f>
        <v>18815.57</v>
      </c>
      <c r="R71" s="301"/>
    </row>
    <row r="72" spans="1:19" x14ac:dyDescent="0.2">
      <c r="A72" s="48">
        <f t="shared" si="7"/>
        <v>16</v>
      </c>
      <c r="C72" s="123">
        <v>391.12</v>
      </c>
      <c r="E72" s="52"/>
      <c r="F72" s="282">
        <v>612194.80000000005</v>
      </c>
      <c r="G72" s="282">
        <v>612194.80000000005</v>
      </c>
      <c r="H72" s="282">
        <v>612194.80000000005</v>
      </c>
      <c r="I72" s="282">
        <v>668137.98</v>
      </c>
      <c r="J72" s="282">
        <v>853483.41</v>
      </c>
      <c r="K72" s="2032">
        <f>853483.41</f>
        <v>853483.41</v>
      </c>
      <c r="L72" s="303">
        <f>'WPB2.2 Plant detail-w slippage'!$G133</f>
        <v>853483.41</v>
      </c>
      <c r="M72" s="303">
        <f>'WPB2.2 Plant detail-w slippage'!G239</f>
        <v>853483.41</v>
      </c>
      <c r="N72" s="301">
        <f>'WPB2.2 Plant detail-w slippage'!G345</f>
        <v>853483.41</v>
      </c>
      <c r="O72" s="301">
        <f>'WPB2.2 Plant detail-w slippage'!G451</f>
        <v>853483.41</v>
      </c>
      <c r="P72" s="301">
        <f>'WPB2.2 Plant detail-w slippage'!G557+'B-4 CWIP (In Service)'!O37</f>
        <v>853483.41</v>
      </c>
      <c r="Q72" s="301">
        <f>'WPB2.2 Plant detail-w slippage'!G663</f>
        <v>853483.41</v>
      </c>
      <c r="R72" s="301"/>
    </row>
    <row r="73" spans="1:19" x14ac:dyDescent="0.2">
      <c r="A73" s="48">
        <f t="shared" si="7"/>
        <v>17</v>
      </c>
      <c r="C73" s="123">
        <v>392.2</v>
      </c>
      <c r="E73" s="52"/>
      <c r="F73" s="282">
        <v>95778</v>
      </c>
      <c r="G73" s="282">
        <v>95778</v>
      </c>
      <c r="H73" s="282">
        <v>95778</v>
      </c>
      <c r="I73" s="282">
        <v>95778</v>
      </c>
      <c r="J73" s="282">
        <v>95778</v>
      </c>
      <c r="K73" s="2032">
        <v>95778</v>
      </c>
      <c r="L73" s="303">
        <f>'WPB2.2 Plant detail-w slippage'!$G134</f>
        <v>95778</v>
      </c>
      <c r="M73" s="303">
        <f>'WPB2.2 Plant detail-w slippage'!G240</f>
        <v>95778</v>
      </c>
      <c r="N73" s="301">
        <f>'WPB2.2 Plant detail-w slippage'!G346</f>
        <v>95778</v>
      </c>
      <c r="O73" s="301">
        <f>'WPB2.2 Plant detail-w slippage'!G452</f>
        <v>95778</v>
      </c>
      <c r="P73" s="301">
        <f>'WPB2.2 Plant detail-w slippage'!G558</f>
        <v>95778</v>
      </c>
      <c r="Q73" s="301">
        <f>'WPB2.2 Plant detail-w slippage'!G664</f>
        <v>95778</v>
      </c>
      <c r="R73" s="301"/>
    </row>
    <row r="74" spans="1:19" x14ac:dyDescent="0.2">
      <c r="A74" s="48">
        <f t="shared" si="7"/>
        <v>18</v>
      </c>
      <c r="C74" s="123">
        <v>392.21</v>
      </c>
      <c r="E74" s="52"/>
      <c r="F74" s="282">
        <v>24462.2</v>
      </c>
      <c r="G74" s="282">
        <v>24462.2</v>
      </c>
      <c r="H74" s="282">
        <v>24462.2</v>
      </c>
      <c r="I74" s="282">
        <v>24462.2</v>
      </c>
      <c r="J74" s="282">
        <v>24462.2</v>
      </c>
      <c r="K74" s="2032">
        <v>24462.2</v>
      </c>
      <c r="L74" s="303">
        <f>'WPB2.2 Plant detail-w slippage'!$G135</f>
        <v>24462.2</v>
      </c>
      <c r="M74" s="303">
        <f>'WPB2.2 Plant detail-w slippage'!G241</f>
        <v>24462.2</v>
      </c>
      <c r="N74" s="301">
        <f>'WPB2.2 Plant detail-w slippage'!G347</f>
        <v>24462.2</v>
      </c>
      <c r="O74" s="301">
        <f>'WPB2.2 Plant detail-w slippage'!G453</f>
        <v>24462.2</v>
      </c>
      <c r="P74" s="301">
        <f>'WPB2.2 Plant detail-w slippage'!G559</f>
        <v>24462.2</v>
      </c>
      <c r="Q74" s="301">
        <f>'WPB2.2 Plant detail-w slippage'!G665</f>
        <v>24462.2</v>
      </c>
      <c r="R74" s="301"/>
    </row>
    <row r="75" spans="1:19" x14ac:dyDescent="0.2">
      <c r="A75" s="48">
        <f t="shared" si="7"/>
        <v>19</v>
      </c>
      <c r="C75" s="123">
        <v>393</v>
      </c>
      <c r="E75" s="52"/>
      <c r="F75" s="282">
        <v>0</v>
      </c>
      <c r="G75" s="282">
        <v>0</v>
      </c>
      <c r="H75" s="282">
        <v>0</v>
      </c>
      <c r="I75" s="282">
        <v>0</v>
      </c>
      <c r="J75" s="282">
        <v>0</v>
      </c>
      <c r="K75" s="2032">
        <v>0</v>
      </c>
      <c r="L75" s="303">
        <f>'WPB2.2 Plant detail-w slippage'!$G136</f>
        <v>0</v>
      </c>
      <c r="M75" s="303">
        <f>'WPB2.2 Plant detail-w slippage'!G242</f>
        <v>0</v>
      </c>
      <c r="N75" s="301">
        <f>'WPB2.2 Plant detail-w slippage'!G348</f>
        <v>0</v>
      </c>
      <c r="O75" s="301">
        <f>'WPB2.2 Plant detail-w slippage'!G454</f>
        <v>0</v>
      </c>
      <c r="P75" s="301">
        <f>'WPB2.2 Plant detail-w slippage'!G560</f>
        <v>0</v>
      </c>
      <c r="Q75" s="301">
        <f>'WPB2.2 Plant detail-w slippage'!G666</f>
        <v>0</v>
      </c>
      <c r="R75" s="301"/>
    </row>
    <row r="76" spans="1:19" x14ac:dyDescent="0.2">
      <c r="A76" s="48">
        <f t="shared" si="7"/>
        <v>20</v>
      </c>
      <c r="C76" s="123">
        <v>394.1</v>
      </c>
      <c r="E76" s="52"/>
      <c r="F76" s="282">
        <v>24240.799999999999</v>
      </c>
      <c r="G76" s="282">
        <v>24240.799999999999</v>
      </c>
      <c r="H76" s="282">
        <v>24240.799999999999</v>
      </c>
      <c r="I76" s="282">
        <v>24240.799999999999</v>
      </c>
      <c r="J76" s="282">
        <v>24240.799999999999</v>
      </c>
      <c r="K76" s="2032">
        <v>24240.799999999999</v>
      </c>
      <c r="L76" s="303">
        <f>'WPB2.2 Plant detail-w slippage'!$G137</f>
        <v>24240.799999999999</v>
      </c>
      <c r="M76" s="303">
        <f>'WPB2.2 Plant detail-w slippage'!G243</f>
        <v>24240.799999999999</v>
      </c>
      <c r="N76" s="301">
        <f>'WPB2.2 Plant detail-w slippage'!G349</f>
        <v>24240.799999999999</v>
      </c>
      <c r="O76" s="301">
        <f>'WPB2.2 Plant detail-w slippage'!G455</f>
        <v>24240.799999999999</v>
      </c>
      <c r="P76" s="301">
        <f>'WPB2.2 Plant detail-w slippage'!G561</f>
        <v>24240.799999999999</v>
      </c>
      <c r="Q76" s="301">
        <f>'WPB2.2 Plant detail-w slippage'!G667</f>
        <v>24240.799999999999</v>
      </c>
      <c r="R76" s="301"/>
    </row>
    <row r="77" spans="1:19" x14ac:dyDescent="0.2">
      <c r="A77" s="48">
        <f t="shared" si="7"/>
        <v>21</v>
      </c>
      <c r="C77" s="123">
        <v>394.11</v>
      </c>
      <c r="E77" s="52"/>
      <c r="F77" s="282">
        <v>0</v>
      </c>
      <c r="G77" s="282">
        <v>0</v>
      </c>
      <c r="H77" s="282">
        <v>0</v>
      </c>
      <c r="I77" s="282">
        <v>0</v>
      </c>
      <c r="J77" s="282">
        <v>0</v>
      </c>
      <c r="K77" s="2032">
        <v>0</v>
      </c>
      <c r="L77" s="303">
        <f>'WPB2.2 Plant detail-w slippage'!$G138</f>
        <v>0</v>
      </c>
      <c r="M77" s="303">
        <f>'WPB2.2 Plant detail-w slippage'!G244</f>
        <v>0</v>
      </c>
      <c r="N77" s="301">
        <f>'WPB2.2 Plant detail-w slippage'!G350</f>
        <v>0</v>
      </c>
      <c r="O77" s="301">
        <f>'WPB2.2 Plant detail-w slippage'!G456</f>
        <v>0</v>
      </c>
      <c r="P77" s="301">
        <f>'WPB2.2 Plant detail-w slippage'!G562</f>
        <v>0</v>
      </c>
      <c r="Q77" s="301">
        <f>'WPB2.2 Plant detail-w slippage'!G668</f>
        <v>0</v>
      </c>
      <c r="R77" s="301"/>
    </row>
    <row r="78" spans="1:19" s="161" customFormat="1" x14ac:dyDescent="0.2">
      <c r="A78" s="1727">
        <f t="shared" si="7"/>
        <v>22</v>
      </c>
      <c r="C78" s="1728">
        <v>394.13</v>
      </c>
      <c r="E78" s="178"/>
      <c r="F78" s="282">
        <v>0</v>
      </c>
      <c r="G78" s="282">
        <v>0</v>
      </c>
      <c r="H78" s="282">
        <v>0</v>
      </c>
      <c r="I78" s="282">
        <v>0</v>
      </c>
      <c r="J78" s="282">
        <v>0</v>
      </c>
      <c r="K78" s="2032">
        <v>0</v>
      </c>
      <c r="L78" s="303">
        <f>'WPB2.2 Plant detail-w slippage'!$G139</f>
        <v>0</v>
      </c>
      <c r="M78" s="303">
        <f>'WPB2.2 Plant detail-w slippage'!G245</f>
        <v>0</v>
      </c>
      <c r="N78" s="301">
        <f>'WPB2.2 Plant detail-w slippage'!G351</f>
        <v>0</v>
      </c>
      <c r="O78" s="301">
        <f>'WPB2.2 Plant detail-w slippage'!G457</f>
        <v>0</v>
      </c>
      <c r="P78" s="301">
        <f>'WPB2.2 Plant detail-w slippage'!G563</f>
        <v>0</v>
      </c>
      <c r="Q78" s="301">
        <f>'WPB2.2 Plant detail-w slippage'!G669</f>
        <v>0</v>
      </c>
      <c r="R78" s="301"/>
      <c r="S78" s="1807"/>
    </row>
    <row r="79" spans="1:19" x14ac:dyDescent="0.2">
      <c r="A79" s="48">
        <f t="shared" si="7"/>
        <v>23</v>
      </c>
      <c r="C79" s="123">
        <v>394.2</v>
      </c>
      <c r="E79" s="52"/>
      <c r="F79" s="282">
        <v>0</v>
      </c>
      <c r="G79" s="282">
        <v>0</v>
      </c>
      <c r="H79" s="282">
        <v>0</v>
      </c>
      <c r="I79" s="282">
        <v>0</v>
      </c>
      <c r="J79" s="282">
        <v>0</v>
      </c>
      <c r="K79" s="2032">
        <v>0</v>
      </c>
      <c r="L79" s="303">
        <f>'WPB2.2 Plant detail-w slippage'!$G140</f>
        <v>0</v>
      </c>
      <c r="M79" s="303">
        <f>'WPB2.2 Plant detail-w slippage'!G246</f>
        <v>0</v>
      </c>
      <c r="N79" s="301">
        <f>'WPB2.2 Plant detail-w slippage'!G352</f>
        <v>0</v>
      </c>
      <c r="O79" s="301">
        <f>'WPB2.2 Plant detail-w slippage'!G458</f>
        <v>0</v>
      </c>
      <c r="P79" s="301">
        <f>'WPB2.2 Plant detail-w slippage'!G564</f>
        <v>0</v>
      </c>
      <c r="Q79" s="301">
        <f>'WPB2.2 Plant detail-w slippage'!G670</f>
        <v>0</v>
      </c>
      <c r="R79" s="301"/>
    </row>
    <row r="80" spans="1:19" x14ac:dyDescent="0.2">
      <c r="A80" s="48">
        <f t="shared" si="7"/>
        <v>24</v>
      </c>
      <c r="C80" s="123">
        <v>394.3</v>
      </c>
      <c r="E80" s="52"/>
      <c r="F80" s="282">
        <v>2932959.88</v>
      </c>
      <c r="G80" s="282">
        <v>2933915.35</v>
      </c>
      <c r="H80" s="282">
        <v>2918227.6</v>
      </c>
      <c r="I80" s="282">
        <v>2921176.15</v>
      </c>
      <c r="J80" s="282">
        <v>2921176.15</v>
      </c>
      <c r="K80" s="2032">
        <f>2910614.16</f>
        <v>2910614.16</v>
      </c>
      <c r="L80" s="303">
        <f>'WPB2.2 Plant detail-w slippage'!$G141</f>
        <v>2956323.16</v>
      </c>
      <c r="M80" s="303">
        <f>'WPB2.2 Plant detail-w slippage'!G247</f>
        <v>2986817.16</v>
      </c>
      <c r="N80" s="301">
        <f>'WPB2.2 Plant detail-w slippage'!G353</f>
        <v>3008263.16</v>
      </c>
      <c r="O80" s="301">
        <f>'WPB2.2 Plant detail-w slippage'!G459</f>
        <v>3037387.16</v>
      </c>
      <c r="P80" s="301">
        <f>'WPB2.2 Plant detail-w slippage'!G565+'B-4 CWIP (In Service)'!O38</f>
        <v>3112446.16</v>
      </c>
      <c r="Q80" s="301">
        <f>'WPB2.2 Plant detail-w slippage'!G671</f>
        <v>3110581.16</v>
      </c>
      <c r="R80" s="301"/>
    </row>
    <row r="81" spans="1:19" x14ac:dyDescent="0.2">
      <c r="A81" s="48">
        <f t="shared" si="7"/>
        <v>25</v>
      </c>
      <c r="C81" s="123">
        <v>395</v>
      </c>
      <c r="E81" s="52"/>
      <c r="F81" s="282">
        <v>9257.77</v>
      </c>
      <c r="G81" s="282">
        <v>9257.77</v>
      </c>
      <c r="H81" s="282">
        <v>9257.77</v>
      </c>
      <c r="I81" s="282">
        <v>9257.77</v>
      </c>
      <c r="J81" s="282">
        <v>9257.77</v>
      </c>
      <c r="K81" s="2032">
        <v>9257.77</v>
      </c>
      <c r="L81" s="303">
        <f>'WPB2.2 Plant detail-w slippage'!$G142</f>
        <v>9257.77</v>
      </c>
      <c r="M81" s="303">
        <f>'WPB2.2 Plant detail-w slippage'!G248</f>
        <v>9257.77</v>
      </c>
      <c r="N81" s="301">
        <f>'WPB2.2 Plant detail-w slippage'!G354</f>
        <v>9257.77</v>
      </c>
      <c r="O81" s="301">
        <f>'WPB2.2 Plant detail-w slippage'!G460</f>
        <v>9257.77</v>
      </c>
      <c r="P81" s="301">
        <f>'WPB2.2 Plant detail-w slippage'!G566</f>
        <v>9257.77</v>
      </c>
      <c r="Q81" s="301">
        <f>'WPB2.2 Plant detail-w slippage'!G672</f>
        <v>9257.77</v>
      </c>
      <c r="R81" s="301"/>
    </row>
    <row r="82" spans="1:19" x14ac:dyDescent="0.2">
      <c r="A82" s="48">
        <f t="shared" si="7"/>
        <v>26</v>
      </c>
      <c r="C82" s="123">
        <v>396</v>
      </c>
      <c r="E82" s="52"/>
      <c r="F82" s="282">
        <v>258254.72</v>
      </c>
      <c r="G82" s="282">
        <v>258254.72</v>
      </c>
      <c r="H82" s="282">
        <v>258254.72</v>
      </c>
      <c r="I82" s="282">
        <v>258254.72</v>
      </c>
      <c r="J82" s="282">
        <v>258254.72</v>
      </c>
      <c r="K82" s="282">
        <v>253134.72</v>
      </c>
      <c r="L82" s="303">
        <f>'WPB2.2 Plant detail-w slippage'!$G143</f>
        <v>253134.72</v>
      </c>
      <c r="M82" s="303">
        <f>'WPB2.2 Plant detail-w slippage'!G249</f>
        <v>253134.72</v>
      </c>
      <c r="N82" s="301">
        <f>'WPB2.2 Plant detail-w slippage'!G355</f>
        <v>253134.72</v>
      </c>
      <c r="O82" s="301">
        <f>'WPB2.2 Plant detail-w slippage'!G461</f>
        <v>253134.72</v>
      </c>
      <c r="P82" s="301">
        <f>'WPB2.2 Plant detail-w slippage'!G567</f>
        <v>253134.72</v>
      </c>
      <c r="Q82" s="301">
        <f>'WPB2.2 Plant detail-w slippage'!G673</f>
        <v>253134.72</v>
      </c>
      <c r="R82" s="301"/>
    </row>
    <row r="83" spans="1:19" x14ac:dyDescent="0.2">
      <c r="A83" s="48">
        <f t="shared" si="7"/>
        <v>27</v>
      </c>
      <c r="C83" s="123">
        <v>398</v>
      </c>
      <c r="E83" s="52"/>
      <c r="F83" s="281">
        <v>104078.57</v>
      </c>
      <c r="G83" s="281">
        <v>104078.57</v>
      </c>
      <c r="H83" s="281">
        <v>91076.94</v>
      </c>
      <c r="I83" s="281">
        <v>91076.94</v>
      </c>
      <c r="J83" s="281">
        <v>91076.94</v>
      </c>
      <c r="K83" s="281">
        <f>91076.94</f>
        <v>91076.94</v>
      </c>
      <c r="L83" s="302">
        <f>'WPB2.2 Plant detail-w slippage'!$G144</f>
        <v>91076.94</v>
      </c>
      <c r="M83" s="302">
        <f>'WPB2.2 Plant detail-w slippage'!G250</f>
        <v>91076.94</v>
      </c>
      <c r="N83" s="302">
        <f>'WPB2.2 Plant detail-w slippage'!G356</f>
        <v>91076.94</v>
      </c>
      <c r="O83" s="302">
        <f>'WPB2.2 Plant detail-w slippage'!G462</f>
        <v>91076.94</v>
      </c>
      <c r="P83" s="302">
        <f>'WPB2.2 Plant detail-w slippage'!G568+'B-4 CWIP (In Service)'!O39</f>
        <v>91076.94</v>
      </c>
      <c r="Q83" s="302">
        <f>'WPB2.2 Plant detail-w slippage'!G674</f>
        <v>124693.94</v>
      </c>
      <c r="R83" s="301"/>
    </row>
    <row r="84" spans="1:19" x14ac:dyDescent="0.2">
      <c r="A84" s="48">
        <f t="shared" si="7"/>
        <v>28</v>
      </c>
      <c r="C84" s="52" t="s">
        <v>684</v>
      </c>
      <c r="F84" s="51">
        <f t="shared" ref="F84:Q84" si="8">SUM(F70:F83)</f>
        <v>4303227.2600000007</v>
      </c>
      <c r="G84" s="51">
        <f t="shared" si="8"/>
        <v>4304182.7300000004</v>
      </c>
      <c r="H84" s="51">
        <f t="shared" si="8"/>
        <v>4275493.3500000006</v>
      </c>
      <c r="I84" s="51">
        <f t="shared" si="8"/>
        <v>4824680.84</v>
      </c>
      <c r="J84" s="51">
        <f t="shared" si="8"/>
        <v>5010026.2699999996</v>
      </c>
      <c r="K84" s="51">
        <f t="shared" si="8"/>
        <v>4994344.2799999993</v>
      </c>
      <c r="L84" s="51">
        <f t="shared" si="8"/>
        <v>5060026.2799999993</v>
      </c>
      <c r="M84" s="51">
        <f t="shared" si="8"/>
        <v>5090575.2799999993</v>
      </c>
      <c r="N84" s="51">
        <f t="shared" si="8"/>
        <v>5112070.2799999993</v>
      </c>
      <c r="O84" s="51">
        <f t="shared" si="8"/>
        <v>5142184.2799999993</v>
      </c>
      <c r="P84" s="51">
        <f t="shared" si="8"/>
        <v>5217296.2799999993</v>
      </c>
      <c r="Q84" s="51">
        <f t="shared" si="8"/>
        <v>5244824.2799999993</v>
      </c>
      <c r="R84" s="301"/>
    </row>
    <row r="85" spans="1:19" x14ac:dyDescent="0.2">
      <c r="A85" s="48"/>
      <c r="C85" s="123"/>
      <c r="E85" s="49"/>
      <c r="F85" s="51"/>
      <c r="G85" s="107"/>
      <c r="H85" s="107"/>
      <c r="I85" s="108"/>
      <c r="J85" s="107"/>
      <c r="K85" s="107"/>
      <c r="L85" s="107"/>
      <c r="M85" s="108"/>
      <c r="N85" s="107"/>
      <c r="O85" s="107"/>
      <c r="R85" s="301"/>
    </row>
    <row r="86" spans="1:19" ht="13.5" thickBot="1" x14ac:dyDescent="0.25">
      <c r="A86" s="48">
        <f>A84+1</f>
        <v>29</v>
      </c>
      <c r="C86" s="251" t="s">
        <v>872</v>
      </c>
      <c r="F86" s="118">
        <f t="shared" ref="F86:Q86" si="9">F19+F23+F67+F84</f>
        <v>384647873.69999999</v>
      </c>
      <c r="G86" s="118">
        <f t="shared" si="9"/>
        <v>386213643.72000003</v>
      </c>
      <c r="H86" s="118">
        <f t="shared" si="9"/>
        <v>389888865.46000004</v>
      </c>
      <c r="I86" s="118">
        <f t="shared" si="9"/>
        <v>394623374.02999991</v>
      </c>
      <c r="J86" s="118">
        <f t="shared" si="9"/>
        <v>397022624.8300001</v>
      </c>
      <c r="K86" s="118">
        <f t="shared" si="9"/>
        <v>398245458.37</v>
      </c>
      <c r="L86" s="118">
        <f t="shared" si="9"/>
        <v>400823360.37</v>
      </c>
      <c r="M86" s="118">
        <f t="shared" si="9"/>
        <v>404525667.37</v>
      </c>
      <c r="N86" s="118">
        <f t="shared" si="9"/>
        <v>407479096.37</v>
      </c>
      <c r="O86" s="118">
        <f t="shared" si="9"/>
        <v>410052834.37</v>
      </c>
      <c r="P86" s="118">
        <f t="shared" si="9"/>
        <v>416090294.37</v>
      </c>
      <c r="Q86" s="118">
        <f t="shared" si="9"/>
        <v>413924138.37</v>
      </c>
      <c r="R86" s="301"/>
    </row>
    <row r="87" spans="1:19" ht="13.5" thickTop="1" x14ac:dyDescent="0.2">
      <c r="F87" s="51"/>
      <c r="G87" s="107"/>
      <c r="H87" s="107"/>
      <c r="I87" s="104"/>
      <c r="J87" s="107"/>
      <c r="K87" s="104"/>
      <c r="L87" s="107"/>
      <c r="M87" s="104"/>
      <c r="N87" s="107"/>
      <c r="O87" s="107"/>
      <c r="R87" s="301"/>
    </row>
    <row r="88" spans="1:19" x14ac:dyDescent="0.2">
      <c r="A88" s="1727">
        <f>A86+1</f>
        <v>30</v>
      </c>
      <c r="B88" s="161"/>
      <c r="C88" s="1732">
        <v>378.21</v>
      </c>
      <c r="D88" s="161"/>
      <c r="E88" s="161"/>
      <c r="F88" s="281">
        <v>-777092</v>
      </c>
      <c r="G88" s="281">
        <v>-777092</v>
      </c>
      <c r="H88" s="281">
        <v>-777092</v>
      </c>
      <c r="I88" s="281">
        <v>-777092</v>
      </c>
      <c r="J88" s="281">
        <v>-777092</v>
      </c>
      <c r="K88" s="281">
        <v>-777092</v>
      </c>
      <c r="L88" s="281">
        <v>-777092</v>
      </c>
      <c r="M88" s="281">
        <v>-777092</v>
      </c>
      <c r="N88" s="281">
        <v>-777092</v>
      </c>
      <c r="O88" s="281">
        <v>-777092</v>
      </c>
      <c r="P88" s="281">
        <v>-777092</v>
      </c>
      <c r="Q88" s="281">
        <v>-777092</v>
      </c>
      <c r="R88" s="301"/>
      <c r="S88" s="1660"/>
    </row>
    <row r="89" spans="1:19" x14ac:dyDescent="0.2">
      <c r="A89" s="48">
        <f t="shared" ref="A89" si="10">A88+1</f>
        <v>31</v>
      </c>
      <c r="C89" s="1726" t="s">
        <v>686</v>
      </c>
      <c r="F89" s="51">
        <f>SUM(F88)</f>
        <v>-777092</v>
      </c>
      <c r="G89" s="51">
        <f t="shared" ref="G89:Q89" si="11">SUM(G88)</f>
        <v>-777092</v>
      </c>
      <c r="H89" s="51">
        <f t="shared" si="11"/>
        <v>-777092</v>
      </c>
      <c r="I89" s="51">
        <f t="shared" si="11"/>
        <v>-777092</v>
      </c>
      <c r="J89" s="51">
        <f t="shared" si="11"/>
        <v>-777092</v>
      </c>
      <c r="K89" s="51">
        <f t="shared" si="11"/>
        <v>-777092</v>
      </c>
      <c r="L89" s="51">
        <f t="shared" si="11"/>
        <v>-777092</v>
      </c>
      <c r="M89" s="51">
        <f t="shared" si="11"/>
        <v>-777092</v>
      </c>
      <c r="N89" s="51">
        <f t="shared" si="11"/>
        <v>-777092</v>
      </c>
      <c r="O89" s="51">
        <f t="shared" si="11"/>
        <v>-777092</v>
      </c>
      <c r="P89" s="51">
        <f t="shared" si="11"/>
        <v>-777092</v>
      </c>
      <c r="Q89" s="51">
        <f t="shared" si="11"/>
        <v>-777092</v>
      </c>
      <c r="R89" s="162"/>
    </row>
    <row r="91" spans="1:19" ht="13.5" thickBot="1" x14ac:dyDescent="0.25">
      <c r="A91" s="48">
        <f>A89+1</f>
        <v>32</v>
      </c>
      <c r="C91" s="251" t="s">
        <v>872</v>
      </c>
      <c r="F91" s="1668">
        <f>F86+F89</f>
        <v>383870781.69999999</v>
      </c>
      <c r="G91" s="1668">
        <f t="shared" ref="G91:Q91" si="12">G86+G89</f>
        <v>385436551.72000003</v>
      </c>
      <c r="H91" s="1668">
        <f t="shared" si="12"/>
        <v>389111773.46000004</v>
      </c>
      <c r="I91" s="1668">
        <f t="shared" si="12"/>
        <v>393846282.02999991</v>
      </c>
      <c r="J91" s="1668">
        <f t="shared" si="12"/>
        <v>396245532.8300001</v>
      </c>
      <c r="K91" s="1668">
        <f t="shared" si="12"/>
        <v>397468366.37</v>
      </c>
      <c r="L91" s="1668">
        <f t="shared" si="12"/>
        <v>400046268.37</v>
      </c>
      <c r="M91" s="1668">
        <f t="shared" si="12"/>
        <v>403748575.37</v>
      </c>
      <c r="N91" s="1668">
        <f t="shared" si="12"/>
        <v>406702004.37</v>
      </c>
      <c r="O91" s="1668">
        <f t="shared" si="12"/>
        <v>409275742.37</v>
      </c>
      <c r="P91" s="1668">
        <f t="shared" si="12"/>
        <v>415313202.37</v>
      </c>
      <c r="Q91" s="1668">
        <f t="shared" si="12"/>
        <v>413147046.37</v>
      </c>
      <c r="R91" s="1755"/>
    </row>
    <row r="92" spans="1:19" ht="13.5" thickTop="1" x14ac:dyDescent="0.2"/>
  </sheetData>
  <mergeCells count="8">
    <mergeCell ref="A44:Q44"/>
    <mergeCell ref="A45:Q45"/>
    <mergeCell ref="A46:Q46"/>
    <mergeCell ref="A43:Q43"/>
    <mergeCell ref="A1:Q1"/>
    <mergeCell ref="A2:Q2"/>
    <mergeCell ref="A3:Q3"/>
    <mergeCell ref="A4:Q4"/>
  </mergeCells>
  <phoneticPr fontId="0" type="noConversion"/>
  <pageMargins left="1" right="0.5" top="1" bottom="0.75" header="0.3" footer="0.3"/>
  <pageSetup scale="73" fitToHeight="2" orientation="landscape" r:id="rId1"/>
  <headerFooter>
    <oddHeader>&amp;R&amp;"Arial,Regular"&amp;10KY PSC Case No. 2016-00162, Attachment A to Staff 3-4</oddHeader>
  </headerFooter>
  <rowBreaks count="1" manualBreakCount="1">
    <brk id="42" max="16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P168"/>
  <sheetViews>
    <sheetView zoomScaleNormal="100" workbookViewId="0">
      <selection activeCell="P22" sqref="P22"/>
    </sheetView>
  </sheetViews>
  <sheetFormatPr defaultColWidth="9.33203125" defaultRowHeight="10.5" x14ac:dyDescent="0.15"/>
  <cols>
    <col min="1" max="1" width="6.83203125" style="984" customWidth="1"/>
    <col min="2" max="2" width="4" style="984" customWidth="1"/>
    <col min="3" max="3" width="23.6640625" style="984" bestFit="1" customWidth="1"/>
    <col min="4" max="4" width="3.83203125" style="984" customWidth="1"/>
    <col min="5" max="5" width="13.6640625" style="984" customWidth="1"/>
    <col min="6" max="6" width="3.83203125" style="984" customWidth="1"/>
    <col min="7" max="7" width="15.83203125" style="984" customWidth="1"/>
    <col min="8" max="8" width="3.83203125" style="984" customWidth="1"/>
    <col min="9" max="9" width="12" style="984" bestFit="1" customWidth="1"/>
    <col min="10" max="10" width="3.83203125" style="984" customWidth="1"/>
    <col min="11" max="11" width="14.1640625" style="984" bestFit="1" customWidth="1"/>
    <col min="12" max="12" width="3.83203125" style="984" customWidth="1"/>
    <col min="13" max="13" width="13.6640625" style="984" customWidth="1"/>
    <col min="14" max="16384" width="9.33203125" style="984"/>
  </cols>
  <sheetData>
    <row r="1" spans="1:13" ht="12.75" x14ac:dyDescent="0.2">
      <c r="A1" s="2200" t="str">
        <f>'Cost of Capital Index J'!A9:C9</f>
        <v>COLUMBIA GAS OF KENTUCKY, INC.</v>
      </c>
      <c r="B1" s="2200"/>
      <c r="C1" s="2200"/>
      <c r="D1" s="2200"/>
      <c r="E1" s="2200"/>
      <c r="F1" s="2200"/>
      <c r="G1" s="2200"/>
      <c r="H1" s="2200"/>
      <c r="I1" s="2200"/>
      <c r="J1" s="2200"/>
      <c r="K1" s="2200"/>
      <c r="L1" s="2200"/>
      <c r="M1" s="2200"/>
    </row>
    <row r="2" spans="1:13" ht="12.75" x14ac:dyDescent="0.2">
      <c r="A2" s="2200" t="str">
        <f>case</f>
        <v>CASE NO. 2016 - 00162</v>
      </c>
      <c r="B2" s="2200"/>
      <c r="C2" s="2200"/>
      <c r="D2" s="2200"/>
      <c r="E2" s="2200"/>
      <c r="F2" s="2200"/>
      <c r="G2" s="2200"/>
      <c r="H2" s="2200"/>
      <c r="I2" s="2200"/>
      <c r="J2" s="2200"/>
      <c r="K2" s="2200"/>
      <c r="L2" s="2200"/>
      <c r="M2" s="2200"/>
    </row>
    <row r="3" spans="1:13" ht="12.75" x14ac:dyDescent="0.2">
      <c r="A3" s="2201" t="s">
        <v>468</v>
      </c>
      <c r="B3" s="2201"/>
      <c r="C3" s="2201"/>
      <c r="D3" s="2201"/>
      <c r="E3" s="2201"/>
      <c r="F3" s="2201"/>
      <c r="G3" s="2201"/>
      <c r="H3" s="2201"/>
      <c r="I3" s="2201"/>
      <c r="J3" s="2201"/>
      <c r="K3" s="2201"/>
      <c r="L3" s="2201"/>
      <c r="M3" s="2201"/>
    </row>
    <row r="4" spans="1:13" ht="12.75" x14ac:dyDescent="0.2">
      <c r="A4" s="2202" t="s">
        <v>2046</v>
      </c>
      <c r="B4" s="2202"/>
      <c r="C4" s="2202"/>
      <c r="D4" s="2202"/>
      <c r="E4" s="2202"/>
      <c r="F4" s="2202"/>
      <c r="G4" s="2202"/>
      <c r="H4" s="2202"/>
      <c r="I4" s="2202"/>
      <c r="J4" s="2202"/>
      <c r="K4" s="2202"/>
      <c r="L4" s="2202"/>
      <c r="M4" s="2202"/>
    </row>
    <row r="5" spans="1:13" ht="12.75" x14ac:dyDescent="0.2">
      <c r="A5" s="1280"/>
      <c r="B5" s="1280"/>
      <c r="C5" s="1280"/>
      <c r="D5" s="1280"/>
      <c r="E5" s="1280"/>
      <c r="F5" s="1280"/>
      <c r="G5" s="1280"/>
      <c r="H5" s="1280"/>
      <c r="I5" s="1280"/>
      <c r="J5" s="1280"/>
      <c r="K5" s="1280"/>
      <c r="L5" s="1280"/>
      <c r="M5" s="1280"/>
    </row>
    <row r="6" spans="1:13" ht="12.75" x14ac:dyDescent="0.2">
      <c r="A6" s="1280"/>
      <c r="B6" s="1280"/>
      <c r="C6" s="1280"/>
      <c r="D6" s="1280"/>
      <c r="E6" s="1280"/>
      <c r="F6" s="1280"/>
      <c r="G6" s="1280"/>
      <c r="H6" s="1280"/>
      <c r="I6" s="1280"/>
      <c r="J6" s="1280"/>
      <c r="K6" s="1280"/>
      <c r="L6" s="1280"/>
      <c r="M6" s="1280"/>
    </row>
    <row r="7" spans="1:13" ht="12.75" x14ac:dyDescent="0.2">
      <c r="A7" s="982"/>
      <c r="B7" s="982"/>
      <c r="C7" s="982"/>
      <c r="D7" s="982"/>
      <c r="E7" s="982"/>
      <c r="F7" s="982"/>
      <c r="G7" s="982"/>
      <c r="H7" s="982"/>
      <c r="I7" s="982"/>
      <c r="J7" s="982"/>
      <c r="K7" s="982"/>
      <c r="L7" s="982"/>
      <c r="M7" s="982"/>
    </row>
    <row r="8" spans="1:13" ht="12.75" x14ac:dyDescent="0.2">
      <c r="A8" s="990" t="s">
        <v>1109</v>
      </c>
      <c r="B8" s="982"/>
      <c r="C8" s="982"/>
      <c r="D8" s="982"/>
      <c r="E8" s="982"/>
      <c r="F8" s="982"/>
      <c r="G8" s="982"/>
      <c r="H8" s="982"/>
      <c r="I8" s="982"/>
      <c r="J8" s="982"/>
      <c r="K8" s="983"/>
      <c r="L8" s="982"/>
      <c r="M8" s="991" t="s">
        <v>1887</v>
      </c>
    </row>
    <row r="9" spans="1:13" ht="12.75" x14ac:dyDescent="0.2">
      <c r="A9" s="990" t="s">
        <v>977</v>
      </c>
      <c r="B9" s="982"/>
      <c r="C9" s="982"/>
      <c r="D9" s="982"/>
      <c r="E9" s="982"/>
      <c r="F9" s="982"/>
      <c r="G9" s="982"/>
      <c r="H9" s="982"/>
      <c r="I9" s="982"/>
      <c r="J9" s="982"/>
      <c r="K9" s="983"/>
      <c r="L9" s="982"/>
      <c r="M9" s="991" t="s">
        <v>1299</v>
      </c>
    </row>
    <row r="10" spans="1:13" ht="12.75" x14ac:dyDescent="0.2">
      <c r="A10" s="992" t="s">
        <v>996</v>
      </c>
      <c r="B10" s="993"/>
      <c r="C10" s="993"/>
      <c r="D10" s="993"/>
      <c r="E10" s="993"/>
      <c r="F10" s="993"/>
      <c r="G10" s="993"/>
      <c r="H10" s="993"/>
      <c r="I10" s="993"/>
      <c r="J10" s="993"/>
      <c r="K10" s="994"/>
      <c r="L10" s="993"/>
      <c r="M10" s="995" t="str">
        <f>'J-1 Cost of Capital Summary'!M10</f>
        <v>WITNESS: P. R. MOUL</v>
      </c>
    </row>
    <row r="11" spans="1:13" s="996" customFormat="1" ht="12.75" x14ac:dyDescent="0.2">
      <c r="A11" s="985" t="s">
        <v>632</v>
      </c>
      <c r="B11" s="985"/>
      <c r="C11" s="985"/>
      <c r="D11" s="985"/>
      <c r="E11" s="985" t="s">
        <v>757</v>
      </c>
      <c r="F11" s="985"/>
      <c r="G11" s="985"/>
      <c r="H11" s="985"/>
      <c r="I11" s="985" t="s">
        <v>676</v>
      </c>
      <c r="J11" s="985"/>
      <c r="K11" s="985"/>
      <c r="L11" s="985"/>
      <c r="M11" s="985" t="s">
        <v>457</v>
      </c>
    </row>
    <row r="12" spans="1:13" s="996" customFormat="1" ht="12.75" x14ac:dyDescent="0.2">
      <c r="A12" s="997" t="s">
        <v>635</v>
      </c>
      <c r="B12" s="997"/>
      <c r="C12" s="997" t="s">
        <v>458</v>
      </c>
      <c r="D12" s="997"/>
      <c r="E12" s="997" t="s">
        <v>637</v>
      </c>
      <c r="F12" s="997"/>
      <c r="G12" s="997" t="s">
        <v>771</v>
      </c>
      <c r="H12" s="997"/>
      <c r="I12" s="997" t="s">
        <v>459</v>
      </c>
      <c r="J12" s="997"/>
      <c r="K12" s="997" t="s">
        <v>460</v>
      </c>
      <c r="L12" s="997"/>
      <c r="M12" s="997" t="s">
        <v>780</v>
      </c>
    </row>
    <row r="13" spans="1:13" s="996" customFormat="1" ht="12.75" x14ac:dyDescent="0.2">
      <c r="A13" s="998"/>
      <c r="B13" s="998"/>
      <c r="C13" s="999" t="s">
        <v>834</v>
      </c>
      <c r="D13" s="985"/>
      <c r="E13" s="999" t="s">
        <v>835</v>
      </c>
      <c r="F13" s="985"/>
      <c r="G13" s="999" t="s">
        <v>836</v>
      </c>
      <c r="H13" s="985"/>
      <c r="I13" s="999" t="s">
        <v>837</v>
      </c>
      <c r="J13" s="985"/>
      <c r="K13" s="999" t="s">
        <v>838</v>
      </c>
      <c r="L13" s="985"/>
      <c r="M13" s="998" t="s">
        <v>461</v>
      </c>
    </row>
    <row r="14" spans="1:13" s="996" customFormat="1" ht="12.75" x14ac:dyDescent="0.2">
      <c r="A14" s="985"/>
      <c r="B14" s="985"/>
      <c r="C14" s="985"/>
      <c r="D14" s="985"/>
      <c r="E14" s="985"/>
      <c r="F14" s="985"/>
      <c r="G14" s="1000" t="s">
        <v>639</v>
      </c>
      <c r="H14" s="985"/>
      <c r="I14" s="999" t="s">
        <v>680</v>
      </c>
      <c r="J14" s="985"/>
      <c r="K14" s="999" t="s">
        <v>680</v>
      </c>
      <c r="L14" s="985"/>
      <c r="M14" s="999" t="s">
        <v>680</v>
      </c>
    </row>
    <row r="15" spans="1:13" ht="12.75" x14ac:dyDescent="0.2">
      <c r="A15" s="991"/>
      <c r="B15" s="982"/>
      <c r="C15" s="1001"/>
      <c r="D15" s="1001"/>
      <c r="E15" s="1001"/>
      <c r="F15" s="1001"/>
      <c r="G15" s="1002"/>
      <c r="H15" s="1001"/>
      <c r="I15" s="1001"/>
      <c r="J15" s="1001"/>
      <c r="K15" s="1001"/>
      <c r="L15" s="1001"/>
      <c r="M15" s="1001"/>
    </row>
    <row r="16" spans="1:13" ht="12.75" x14ac:dyDescent="0.2">
      <c r="A16" s="985" t="s">
        <v>640</v>
      </c>
      <c r="B16" s="982"/>
      <c r="C16" s="1001" t="s">
        <v>462</v>
      </c>
      <c r="D16" s="1001"/>
      <c r="E16" s="1284" t="s">
        <v>449</v>
      </c>
      <c r="F16" s="1001"/>
      <c r="G16" s="1281">
        <f>'J-2'!F32</f>
        <v>3114231</v>
      </c>
      <c r="H16" s="1001"/>
      <c r="I16" s="1282">
        <f>ROUND(G16/$G$24,5)</f>
        <v>1.2579999999999999E-2</v>
      </c>
      <c r="J16" s="1001"/>
      <c r="K16" s="1788">
        <v>2.5000000000000001E-2</v>
      </c>
      <c r="L16" s="1001"/>
      <c r="M16" s="1282">
        <f>ROUND(K16*I16,4)</f>
        <v>2.9999999999999997E-4</v>
      </c>
    </row>
    <row r="17" spans="1:16" ht="12.75" x14ac:dyDescent="0.2">
      <c r="A17" s="985"/>
      <c r="B17" s="982"/>
      <c r="C17" s="982"/>
      <c r="D17" s="982"/>
      <c r="E17" s="1284"/>
      <c r="F17" s="982"/>
      <c r="G17" s="1281"/>
      <c r="H17" s="1001"/>
      <c r="I17" s="1282"/>
      <c r="J17" s="1001"/>
      <c r="K17" s="1324"/>
      <c r="L17" s="1001"/>
      <c r="M17" s="1001"/>
    </row>
    <row r="18" spans="1:16" ht="12.75" x14ac:dyDescent="0.2">
      <c r="A18" s="985" t="s">
        <v>643</v>
      </c>
      <c r="B18" s="982"/>
      <c r="C18" s="982" t="s">
        <v>463</v>
      </c>
      <c r="D18" s="982"/>
      <c r="E18" s="1284" t="s">
        <v>451</v>
      </c>
      <c r="F18" s="982"/>
      <c r="G18" s="1281">
        <v>114698846</v>
      </c>
      <c r="H18" s="1001"/>
      <c r="I18" s="1282">
        <f>ROUND(G18/$G$24,5)-0.0001</f>
        <v>0.46316000000000002</v>
      </c>
      <c r="J18" s="1001"/>
      <c r="K18" s="1788">
        <v>5.6399999999999999E-2</v>
      </c>
      <c r="L18" s="1001"/>
      <c r="M18" s="1282">
        <f>ROUND(K18*I18,4)</f>
        <v>2.6100000000000002E-2</v>
      </c>
      <c r="N18" s="1004"/>
      <c r="P18" s="1860"/>
    </row>
    <row r="19" spans="1:16" ht="12.75" x14ac:dyDescent="0.2">
      <c r="A19" s="985"/>
      <c r="B19" s="982"/>
      <c r="C19" s="982"/>
      <c r="D19" s="982"/>
      <c r="E19" s="1284"/>
      <c r="F19" s="982"/>
      <c r="G19" s="1281"/>
      <c r="H19" s="1001"/>
      <c r="I19" s="1282"/>
      <c r="J19" s="1001"/>
      <c r="K19" s="1324"/>
      <c r="L19" s="1001"/>
      <c r="M19" s="1001"/>
    </row>
    <row r="20" spans="1:16" ht="12.75" x14ac:dyDescent="0.2">
      <c r="A20" s="985" t="s">
        <v>646</v>
      </c>
      <c r="B20" s="982"/>
      <c r="C20" s="982" t="s">
        <v>464</v>
      </c>
      <c r="D20" s="982"/>
      <c r="E20" s="1284" t="s">
        <v>453</v>
      </c>
      <c r="F20" s="982"/>
      <c r="G20" s="1281">
        <v>0</v>
      </c>
      <c r="H20" s="1001"/>
      <c r="I20" s="1282">
        <f>ROUND(G20/$G$24,4)</f>
        <v>0</v>
      </c>
      <c r="J20" s="1001"/>
      <c r="K20" s="1788">
        <v>0</v>
      </c>
      <c r="L20" s="1001"/>
      <c r="M20" s="1282">
        <f>ROUND(K20*I20,4)</f>
        <v>0</v>
      </c>
    </row>
    <row r="21" spans="1:16" ht="12.75" x14ac:dyDescent="0.2">
      <c r="A21" s="985"/>
      <c r="B21" s="982"/>
      <c r="C21" s="982"/>
      <c r="D21" s="982"/>
      <c r="E21" s="1001"/>
      <c r="F21" s="982"/>
      <c r="G21" s="1281"/>
      <c r="H21" s="1001"/>
      <c r="I21" s="1282"/>
      <c r="J21" s="1001"/>
      <c r="K21" s="1324"/>
      <c r="L21" s="1001"/>
      <c r="M21" s="1001"/>
    </row>
    <row r="22" spans="1:16" ht="12.75" x14ac:dyDescent="0.2">
      <c r="A22" s="985" t="s">
        <v>649</v>
      </c>
      <c r="B22" s="982"/>
      <c r="C22" s="982" t="s">
        <v>465</v>
      </c>
      <c r="D22" s="982"/>
      <c r="E22" s="1001"/>
      <c r="F22" s="982"/>
      <c r="G22" s="1789">
        <v>129778000</v>
      </c>
      <c r="H22" s="1001"/>
      <c r="I22" s="1285">
        <f>ROUND(G22/$G$24,5)</f>
        <v>0.52415999999999996</v>
      </c>
      <c r="J22" s="1001"/>
      <c r="K22" s="1788">
        <v>0.11</v>
      </c>
      <c r="L22" s="1001"/>
      <c r="M22" s="1285">
        <f>ROUND(K22*I22,4)</f>
        <v>5.7700000000000001E-2</v>
      </c>
    </row>
    <row r="23" spans="1:16" ht="12.75" x14ac:dyDescent="0.2">
      <c r="A23" s="985"/>
      <c r="B23" s="982"/>
      <c r="C23" s="982"/>
      <c r="D23" s="982"/>
      <c r="E23" s="982"/>
      <c r="F23" s="982"/>
      <c r="G23" s="1002"/>
      <c r="H23" s="1001"/>
      <c r="I23" s="1282"/>
      <c r="J23" s="1001"/>
      <c r="K23" s="1001"/>
      <c r="L23" s="1001"/>
      <c r="M23" s="1001"/>
    </row>
    <row r="24" spans="1:16" ht="12.75" x14ac:dyDescent="0.2">
      <c r="A24" s="985" t="s">
        <v>652</v>
      </c>
      <c r="B24" s="982"/>
      <c r="C24" s="982" t="s">
        <v>466</v>
      </c>
      <c r="D24" s="982"/>
      <c r="E24" s="982"/>
      <c r="F24" s="982"/>
      <c r="G24" s="1002">
        <f>SUM(G16:G22)</f>
        <v>247591077</v>
      </c>
      <c r="H24" s="1001"/>
      <c r="I24" s="1282">
        <f>SUM(I16:I22)+0.0001</f>
        <v>1</v>
      </c>
      <c r="J24" s="1001"/>
      <c r="K24" s="1001"/>
      <c r="L24" s="1001"/>
      <c r="M24" s="1282">
        <f>SUM(M16:M22)</f>
        <v>8.4100000000000008E-2</v>
      </c>
    </row>
    <row r="25" spans="1:16" ht="12.75" x14ac:dyDescent="0.2">
      <c r="A25" s="991"/>
      <c r="B25" s="982"/>
      <c r="C25" s="982"/>
      <c r="D25" s="982"/>
      <c r="E25" s="982"/>
      <c r="F25" s="982"/>
      <c r="G25" s="1005"/>
      <c r="H25" s="982"/>
      <c r="I25" s="982"/>
      <c r="J25" s="982"/>
      <c r="K25" s="982"/>
      <c r="L25" s="982"/>
      <c r="M25" s="982"/>
    </row>
    <row r="26" spans="1:16" ht="12.75" x14ac:dyDescent="0.2">
      <c r="A26" s="991"/>
      <c r="B26" s="982"/>
      <c r="C26" s="982"/>
      <c r="D26" s="982"/>
      <c r="E26" s="982"/>
      <c r="F26" s="982"/>
      <c r="G26" s="982"/>
      <c r="H26" s="982"/>
      <c r="I26" s="982"/>
      <c r="J26" s="982"/>
      <c r="K26" s="982"/>
      <c r="L26" s="982"/>
      <c r="M26" s="982"/>
    </row>
    <row r="27" spans="1:16" ht="11.25" x14ac:dyDescent="0.2">
      <c r="A27" s="1006"/>
      <c r="B27" s="983"/>
      <c r="C27" s="983"/>
      <c r="D27" s="983"/>
      <c r="E27" s="983"/>
      <c r="F27" s="983"/>
      <c r="G27" s="983"/>
      <c r="H27" s="983"/>
      <c r="I27" s="983"/>
      <c r="J27" s="983"/>
      <c r="K27" s="983"/>
      <c r="L27" s="983"/>
      <c r="M27" s="983"/>
    </row>
    <row r="28" spans="1:16" ht="12.75" x14ac:dyDescent="0.2">
      <c r="A28" s="983"/>
      <c r="B28" s="983"/>
      <c r="C28" s="1001"/>
      <c r="D28" s="1167"/>
      <c r="E28" s="1167"/>
      <c r="F28" s="1167"/>
      <c r="G28" s="1167"/>
      <c r="H28" s="1167"/>
      <c r="I28" s="1167"/>
      <c r="J28" s="1167"/>
      <c r="K28" s="1167"/>
      <c r="L28" s="1167"/>
      <c r="M28" s="1167"/>
    </row>
    <row r="29" spans="1:16" ht="11.25" x14ac:dyDescent="0.2">
      <c r="A29" s="983"/>
      <c r="B29" s="983"/>
      <c r="C29" s="983"/>
      <c r="D29" s="983"/>
      <c r="E29" s="983"/>
      <c r="F29" s="983"/>
      <c r="G29" s="983"/>
      <c r="H29" s="983"/>
      <c r="I29" s="983"/>
      <c r="J29" s="983"/>
      <c r="K29" s="983"/>
      <c r="L29" s="983"/>
      <c r="M29" s="983"/>
    </row>
    <row r="30" spans="1:16" ht="11.25" x14ac:dyDescent="0.2">
      <c r="A30" s="983"/>
      <c r="B30" s="983"/>
      <c r="C30" s="983"/>
      <c r="D30" s="983"/>
      <c r="E30" s="983"/>
      <c r="F30" s="983"/>
      <c r="G30" s="983"/>
      <c r="H30" s="983"/>
      <c r="I30" s="983"/>
      <c r="J30" s="983"/>
      <c r="K30" s="983"/>
      <c r="L30" s="983"/>
      <c r="M30" s="983"/>
    </row>
    <row r="31" spans="1:16" ht="11.25" x14ac:dyDescent="0.2">
      <c r="A31" s="983"/>
      <c r="B31" s="983"/>
      <c r="C31" s="983"/>
      <c r="D31" s="983"/>
      <c r="E31" s="983"/>
      <c r="F31" s="983"/>
      <c r="G31" s="983"/>
      <c r="H31" s="983"/>
      <c r="I31" s="983"/>
      <c r="J31" s="983"/>
      <c r="K31" s="983"/>
      <c r="L31" s="983"/>
      <c r="M31" s="983"/>
    </row>
    <row r="32" spans="1:16" ht="11.25" x14ac:dyDescent="0.2">
      <c r="A32" s="983"/>
      <c r="B32" s="983"/>
      <c r="C32" s="983"/>
      <c r="D32" s="983"/>
      <c r="E32" s="983"/>
      <c r="F32" s="983"/>
      <c r="G32" s="983"/>
      <c r="H32" s="983"/>
      <c r="I32" s="983"/>
      <c r="J32" s="983"/>
      <c r="K32" s="983"/>
      <c r="L32" s="983"/>
      <c r="M32" s="983"/>
    </row>
    <row r="33" spans="1:13" ht="11.25" x14ac:dyDescent="0.2">
      <c r="A33" s="983"/>
      <c r="B33" s="983"/>
      <c r="C33" s="983"/>
      <c r="D33" s="983"/>
      <c r="E33" s="983"/>
      <c r="F33" s="983"/>
      <c r="G33" s="983"/>
      <c r="H33" s="983"/>
      <c r="I33" s="983"/>
      <c r="J33" s="983"/>
      <c r="K33" s="983"/>
      <c r="L33" s="983"/>
      <c r="M33" s="983"/>
    </row>
    <row r="34" spans="1:13" ht="11.25" x14ac:dyDescent="0.2">
      <c r="A34" s="983"/>
      <c r="B34" s="983"/>
      <c r="C34" s="983"/>
      <c r="D34" s="983"/>
      <c r="E34" s="983"/>
      <c r="F34" s="983"/>
      <c r="G34" s="983"/>
      <c r="H34" s="983"/>
      <c r="I34" s="983"/>
      <c r="J34" s="983"/>
      <c r="K34" s="983"/>
      <c r="L34" s="983"/>
      <c r="M34" s="983"/>
    </row>
    <row r="35" spans="1:13" ht="11.25" x14ac:dyDescent="0.2">
      <c r="A35" s="983"/>
      <c r="B35" s="983"/>
      <c r="C35" s="983"/>
      <c r="D35" s="983"/>
      <c r="E35" s="983"/>
      <c r="F35" s="983"/>
      <c r="G35" s="983"/>
      <c r="H35" s="983"/>
      <c r="I35" s="983"/>
      <c r="J35" s="983"/>
      <c r="K35" s="983"/>
      <c r="L35" s="983"/>
      <c r="M35" s="983"/>
    </row>
    <row r="36" spans="1:13" ht="11.25" x14ac:dyDescent="0.2">
      <c r="A36" s="983"/>
      <c r="B36" s="983"/>
      <c r="C36" s="983"/>
      <c r="D36" s="983"/>
      <c r="E36" s="983"/>
      <c r="F36" s="983"/>
      <c r="G36" s="983"/>
      <c r="H36" s="983"/>
      <c r="I36" s="983"/>
      <c r="J36" s="983"/>
      <c r="K36" s="983"/>
      <c r="L36" s="983"/>
      <c r="M36" s="983"/>
    </row>
    <row r="37" spans="1:13" ht="11.25" x14ac:dyDescent="0.2">
      <c r="A37" s="983"/>
      <c r="B37" s="983"/>
      <c r="C37" s="983"/>
      <c r="D37" s="983"/>
      <c r="E37" s="983"/>
      <c r="F37" s="983"/>
      <c r="G37" s="983"/>
      <c r="H37" s="983"/>
      <c r="I37" s="983"/>
      <c r="J37" s="983"/>
      <c r="K37" s="983"/>
      <c r="L37" s="983"/>
      <c r="M37" s="983"/>
    </row>
    <row r="38" spans="1:13" ht="11.25" x14ac:dyDescent="0.2">
      <c r="A38" s="983"/>
      <c r="B38" s="983"/>
      <c r="C38" s="983"/>
      <c r="D38" s="983"/>
      <c r="E38" s="983"/>
      <c r="F38" s="983"/>
      <c r="G38" s="983"/>
      <c r="H38" s="983"/>
      <c r="I38" s="983"/>
      <c r="J38" s="983"/>
      <c r="K38" s="983"/>
      <c r="L38" s="983"/>
      <c r="M38" s="983"/>
    </row>
    <row r="39" spans="1:13" ht="11.25" x14ac:dyDescent="0.2">
      <c r="A39" s="983"/>
      <c r="B39" s="983"/>
      <c r="C39" s="983"/>
      <c r="D39" s="983"/>
      <c r="E39" s="983"/>
      <c r="F39" s="983"/>
      <c r="G39" s="983"/>
      <c r="H39" s="983"/>
      <c r="I39" s="983"/>
      <c r="J39" s="983"/>
      <c r="K39" s="983"/>
      <c r="L39" s="983"/>
      <c r="M39" s="983"/>
    </row>
    <row r="40" spans="1:13" ht="11.25" x14ac:dyDescent="0.2">
      <c r="A40" s="983"/>
      <c r="B40" s="983"/>
      <c r="C40" s="983"/>
      <c r="D40" s="983"/>
      <c r="E40" s="983"/>
      <c r="F40" s="983"/>
      <c r="G40" s="983"/>
      <c r="H40" s="983"/>
      <c r="I40" s="983"/>
      <c r="J40" s="983"/>
      <c r="K40" s="983"/>
      <c r="L40" s="983"/>
      <c r="M40" s="983"/>
    </row>
    <row r="41" spans="1:13" ht="11.25" x14ac:dyDescent="0.2">
      <c r="A41" s="983"/>
      <c r="B41" s="983"/>
      <c r="C41" s="983"/>
      <c r="D41" s="983"/>
      <c r="E41" s="983"/>
      <c r="F41" s="983"/>
      <c r="G41" s="983"/>
      <c r="H41" s="983"/>
      <c r="I41" s="983"/>
      <c r="J41" s="983"/>
      <c r="K41" s="983"/>
      <c r="L41" s="983"/>
      <c r="M41" s="983"/>
    </row>
    <row r="42" spans="1:13" ht="11.25" x14ac:dyDescent="0.2">
      <c r="A42" s="983"/>
      <c r="B42" s="983"/>
      <c r="C42" s="983"/>
      <c r="D42" s="983"/>
      <c r="E42" s="983"/>
      <c r="F42" s="983"/>
      <c r="G42" s="983"/>
      <c r="H42" s="983"/>
      <c r="I42" s="983"/>
      <c r="J42" s="983"/>
      <c r="K42" s="983"/>
      <c r="L42" s="983"/>
      <c r="M42" s="983"/>
    </row>
    <row r="43" spans="1:13" ht="11.25" x14ac:dyDescent="0.2">
      <c r="A43" s="983"/>
      <c r="B43" s="983"/>
      <c r="C43" s="983"/>
      <c r="D43" s="983"/>
      <c r="E43" s="983"/>
      <c r="F43" s="983"/>
      <c r="G43" s="983"/>
      <c r="H43" s="983"/>
      <c r="I43" s="983"/>
      <c r="J43" s="983"/>
      <c r="K43" s="983"/>
      <c r="L43" s="983"/>
      <c r="M43" s="983"/>
    </row>
    <row r="44" spans="1:13" ht="11.25" x14ac:dyDescent="0.2">
      <c r="A44" s="983"/>
      <c r="B44" s="983"/>
      <c r="C44" s="983"/>
      <c r="D44" s="983"/>
      <c r="E44" s="983"/>
      <c r="F44" s="983"/>
      <c r="G44" s="983"/>
      <c r="H44" s="983"/>
      <c r="I44" s="983"/>
      <c r="J44" s="983"/>
      <c r="K44" s="983"/>
      <c r="L44" s="983"/>
      <c r="M44" s="983"/>
    </row>
    <row r="45" spans="1:13" ht="11.25" x14ac:dyDescent="0.2">
      <c r="A45" s="983"/>
      <c r="B45" s="983"/>
      <c r="C45" s="983"/>
      <c r="D45" s="983"/>
      <c r="E45" s="983"/>
      <c r="F45" s="983"/>
      <c r="G45" s="983"/>
      <c r="H45" s="983"/>
      <c r="I45" s="983"/>
      <c r="J45" s="983"/>
      <c r="K45" s="983"/>
      <c r="L45" s="983"/>
      <c r="M45" s="983"/>
    </row>
    <row r="46" spans="1:13" ht="11.25" x14ac:dyDescent="0.2">
      <c r="A46" s="983"/>
      <c r="B46" s="983"/>
      <c r="C46" s="983"/>
      <c r="D46" s="983"/>
      <c r="E46" s="983"/>
      <c r="F46" s="983"/>
      <c r="G46" s="983"/>
      <c r="H46" s="983"/>
      <c r="I46" s="983"/>
      <c r="J46" s="983"/>
      <c r="K46" s="983"/>
      <c r="L46" s="983"/>
      <c r="M46" s="983"/>
    </row>
    <row r="47" spans="1:13" ht="11.25" x14ac:dyDescent="0.2">
      <c r="A47" s="983"/>
      <c r="B47" s="983"/>
      <c r="C47" s="983"/>
      <c r="D47" s="983"/>
      <c r="E47" s="983"/>
      <c r="F47" s="983"/>
      <c r="G47" s="983"/>
      <c r="H47" s="983"/>
      <c r="I47" s="983"/>
      <c r="J47" s="983"/>
      <c r="K47" s="983"/>
      <c r="L47" s="983"/>
      <c r="M47" s="983"/>
    </row>
    <row r="48" spans="1:13" ht="11.25" x14ac:dyDescent="0.2">
      <c r="A48" s="983"/>
      <c r="B48" s="983"/>
      <c r="C48" s="983"/>
      <c r="D48" s="983"/>
      <c r="E48" s="983"/>
      <c r="F48" s="983"/>
      <c r="G48" s="983"/>
      <c r="H48" s="983"/>
      <c r="I48" s="983"/>
      <c r="J48" s="983"/>
      <c r="K48" s="983"/>
      <c r="L48" s="983"/>
      <c r="M48" s="983"/>
    </row>
    <row r="49" spans="1:13" ht="11.25" x14ac:dyDescent="0.2">
      <c r="A49" s="983"/>
      <c r="B49" s="983"/>
      <c r="C49" s="983"/>
      <c r="D49" s="983"/>
      <c r="E49" s="983"/>
      <c r="F49" s="983"/>
      <c r="G49" s="983"/>
      <c r="H49" s="983"/>
      <c r="I49" s="983"/>
      <c r="J49" s="983"/>
      <c r="K49" s="983"/>
      <c r="L49" s="983"/>
      <c r="M49" s="983"/>
    </row>
    <row r="50" spans="1:13" ht="11.25" x14ac:dyDescent="0.2">
      <c r="A50" s="983"/>
      <c r="B50" s="983"/>
      <c r="C50" s="983"/>
      <c r="D50" s="983"/>
      <c r="E50" s="983"/>
      <c r="F50" s="983"/>
      <c r="G50" s="983"/>
      <c r="H50" s="983"/>
      <c r="I50" s="983"/>
      <c r="J50" s="983"/>
      <c r="K50" s="983"/>
      <c r="L50" s="983"/>
      <c r="M50" s="983"/>
    </row>
    <row r="51" spans="1:13" ht="11.25" x14ac:dyDescent="0.2">
      <c r="A51" s="983"/>
      <c r="B51" s="983"/>
      <c r="C51" s="983"/>
      <c r="D51" s="983"/>
      <c r="E51" s="983"/>
      <c r="F51" s="983"/>
      <c r="G51" s="983"/>
      <c r="H51" s="983"/>
      <c r="I51" s="983"/>
      <c r="J51" s="983"/>
      <c r="K51" s="983"/>
      <c r="L51" s="983"/>
      <c r="M51" s="983"/>
    </row>
    <row r="52" spans="1:13" ht="11.25" x14ac:dyDescent="0.2">
      <c r="A52" s="983"/>
      <c r="B52" s="983"/>
      <c r="C52" s="983"/>
      <c r="D52" s="983"/>
      <c r="E52" s="983"/>
      <c r="F52" s="983"/>
      <c r="G52" s="983"/>
      <c r="H52" s="983"/>
      <c r="I52" s="983"/>
      <c r="J52" s="983"/>
      <c r="K52" s="983"/>
      <c r="L52" s="983"/>
      <c r="M52" s="983"/>
    </row>
    <row r="53" spans="1:13" ht="11.25" x14ac:dyDescent="0.2">
      <c r="A53" s="983"/>
      <c r="B53" s="983"/>
      <c r="C53" s="983"/>
      <c r="D53" s="983"/>
      <c r="E53" s="983"/>
      <c r="F53" s="983"/>
      <c r="G53" s="983"/>
      <c r="H53" s="983"/>
      <c r="I53" s="983"/>
      <c r="J53" s="983"/>
      <c r="K53" s="983"/>
      <c r="L53" s="983"/>
      <c r="M53" s="983"/>
    </row>
    <row r="54" spans="1:13" ht="11.25" x14ac:dyDescent="0.2">
      <c r="A54" s="983"/>
      <c r="B54" s="983"/>
      <c r="C54" s="983"/>
      <c r="D54" s="983"/>
      <c r="E54" s="983"/>
      <c r="F54" s="983"/>
      <c r="G54" s="983"/>
      <c r="H54" s="983"/>
      <c r="I54" s="983"/>
      <c r="J54" s="983"/>
      <c r="K54" s="983"/>
      <c r="L54" s="983"/>
      <c r="M54" s="983"/>
    </row>
    <row r="55" spans="1:13" ht="11.25" x14ac:dyDescent="0.2">
      <c r="A55" s="983"/>
      <c r="B55" s="983"/>
      <c r="C55" s="983"/>
      <c r="D55" s="983"/>
      <c r="E55" s="983"/>
      <c r="F55" s="983"/>
      <c r="G55" s="983"/>
      <c r="H55" s="983"/>
      <c r="I55" s="983"/>
      <c r="J55" s="983"/>
      <c r="K55" s="983"/>
      <c r="L55" s="983"/>
      <c r="M55" s="983"/>
    </row>
    <row r="56" spans="1:13" ht="11.25" x14ac:dyDescent="0.2">
      <c r="A56" s="983"/>
      <c r="B56" s="983"/>
      <c r="C56" s="983"/>
      <c r="D56" s="983"/>
      <c r="E56" s="983"/>
      <c r="F56" s="983"/>
      <c r="G56" s="983"/>
      <c r="H56" s="983"/>
      <c r="I56" s="983"/>
      <c r="J56" s="983"/>
      <c r="K56" s="983"/>
      <c r="L56" s="983"/>
      <c r="M56" s="983"/>
    </row>
    <row r="57" spans="1:13" ht="11.25" x14ac:dyDescent="0.2">
      <c r="A57" s="983"/>
      <c r="B57" s="983"/>
      <c r="C57" s="983"/>
      <c r="D57" s="983"/>
      <c r="E57" s="983"/>
      <c r="F57" s="983"/>
      <c r="G57" s="983"/>
      <c r="H57" s="983"/>
      <c r="I57" s="983"/>
      <c r="J57" s="983"/>
      <c r="K57" s="983"/>
      <c r="L57" s="983"/>
      <c r="M57" s="983"/>
    </row>
    <row r="58" spans="1:13" ht="11.25" x14ac:dyDescent="0.2">
      <c r="A58" s="983"/>
      <c r="B58" s="983"/>
      <c r="C58" s="983"/>
      <c r="D58" s="983"/>
      <c r="E58" s="983"/>
      <c r="F58" s="983"/>
      <c r="G58" s="983"/>
      <c r="H58" s="983"/>
      <c r="I58" s="983"/>
      <c r="J58" s="983"/>
      <c r="K58" s="983"/>
      <c r="L58" s="983"/>
      <c r="M58" s="983"/>
    </row>
    <row r="59" spans="1:13" ht="11.25" x14ac:dyDescent="0.2">
      <c r="A59" s="983"/>
      <c r="B59" s="983"/>
      <c r="C59" s="983"/>
      <c r="D59" s="983"/>
      <c r="E59" s="983"/>
      <c r="F59" s="983"/>
      <c r="G59" s="983"/>
      <c r="H59" s="983"/>
      <c r="I59" s="983"/>
      <c r="J59" s="983"/>
      <c r="K59" s="983"/>
      <c r="L59" s="983"/>
      <c r="M59" s="983"/>
    </row>
    <row r="60" spans="1:13" ht="11.25" x14ac:dyDescent="0.2">
      <c r="A60" s="983"/>
      <c r="B60" s="983"/>
      <c r="C60" s="983"/>
      <c r="D60" s="983"/>
      <c r="E60" s="983"/>
      <c r="F60" s="983"/>
      <c r="G60" s="983"/>
      <c r="H60" s="983"/>
      <c r="I60" s="983"/>
      <c r="J60" s="983"/>
      <c r="K60" s="983"/>
      <c r="L60" s="983"/>
      <c r="M60" s="983"/>
    </row>
    <row r="61" spans="1:13" ht="11.25" x14ac:dyDescent="0.2">
      <c r="A61" s="983"/>
      <c r="B61" s="983"/>
      <c r="C61" s="983"/>
      <c r="D61" s="983"/>
      <c r="E61" s="983"/>
      <c r="F61" s="983"/>
      <c r="G61" s="983"/>
      <c r="H61" s="983"/>
      <c r="I61" s="983"/>
      <c r="J61" s="983"/>
      <c r="K61" s="983"/>
      <c r="L61" s="983"/>
      <c r="M61" s="983"/>
    </row>
    <row r="62" spans="1:13" ht="11.25" x14ac:dyDescent="0.2">
      <c r="A62" s="983"/>
      <c r="B62" s="983"/>
      <c r="C62" s="983"/>
      <c r="D62" s="983"/>
      <c r="E62" s="983"/>
      <c r="F62" s="983"/>
      <c r="G62" s="983"/>
      <c r="H62" s="983"/>
      <c r="I62" s="983"/>
      <c r="J62" s="983"/>
      <c r="K62" s="983"/>
      <c r="L62" s="983"/>
      <c r="M62" s="983"/>
    </row>
    <row r="63" spans="1:13" ht="11.25" x14ac:dyDescent="0.2">
      <c r="A63" s="983"/>
      <c r="B63" s="983"/>
      <c r="C63" s="983"/>
      <c r="D63" s="983"/>
      <c r="E63" s="983"/>
      <c r="F63" s="983"/>
      <c r="G63" s="983"/>
      <c r="H63" s="983"/>
      <c r="I63" s="983"/>
      <c r="J63" s="983"/>
      <c r="K63" s="983"/>
      <c r="L63" s="983"/>
      <c r="M63" s="983"/>
    </row>
    <row r="64" spans="1:13" ht="11.25" x14ac:dyDescent="0.2">
      <c r="A64" s="983"/>
      <c r="B64" s="983"/>
      <c r="C64" s="983"/>
      <c r="D64" s="983"/>
      <c r="E64" s="983"/>
      <c r="F64" s="983"/>
      <c r="G64" s="983"/>
      <c r="H64" s="983"/>
      <c r="I64" s="983"/>
      <c r="J64" s="983"/>
      <c r="K64" s="983"/>
      <c r="L64" s="983"/>
      <c r="M64" s="983"/>
    </row>
    <row r="65" spans="1:13" ht="11.25" x14ac:dyDescent="0.2">
      <c r="A65" s="983"/>
      <c r="B65" s="983"/>
      <c r="C65" s="983"/>
      <c r="D65" s="983"/>
      <c r="E65" s="983"/>
      <c r="F65" s="983"/>
      <c r="G65" s="983"/>
      <c r="H65" s="983"/>
      <c r="I65" s="983"/>
      <c r="J65" s="983"/>
      <c r="K65" s="983"/>
      <c r="L65" s="983"/>
      <c r="M65" s="983"/>
    </row>
    <row r="66" spans="1:13" ht="11.25" x14ac:dyDescent="0.2">
      <c r="A66" s="983"/>
      <c r="B66" s="983"/>
      <c r="C66" s="983"/>
      <c r="D66" s="983"/>
      <c r="E66" s="983"/>
      <c r="F66" s="983"/>
      <c r="G66" s="983"/>
      <c r="H66" s="983"/>
      <c r="I66" s="983"/>
      <c r="J66" s="983"/>
      <c r="K66" s="983"/>
      <c r="L66" s="983"/>
      <c r="M66" s="983"/>
    </row>
    <row r="67" spans="1:13" ht="11.25" x14ac:dyDescent="0.2">
      <c r="A67" s="983"/>
      <c r="B67" s="983"/>
      <c r="C67" s="983"/>
      <c r="D67" s="983"/>
      <c r="E67" s="983"/>
      <c r="F67" s="983"/>
      <c r="G67" s="983"/>
      <c r="H67" s="983"/>
      <c r="I67" s="983"/>
      <c r="J67" s="983"/>
      <c r="K67" s="983"/>
      <c r="L67" s="983"/>
      <c r="M67" s="983"/>
    </row>
    <row r="68" spans="1:13" ht="11.25" x14ac:dyDescent="0.2">
      <c r="A68" s="983"/>
      <c r="B68" s="983"/>
      <c r="C68" s="983"/>
      <c r="D68" s="983"/>
      <c r="E68" s="983"/>
      <c r="F68" s="983"/>
      <c r="G68" s="983"/>
      <c r="H68" s="983"/>
      <c r="I68" s="983"/>
      <c r="J68" s="983"/>
      <c r="K68" s="983"/>
      <c r="L68" s="983"/>
      <c r="M68" s="983"/>
    </row>
    <row r="69" spans="1:13" ht="11.25" x14ac:dyDescent="0.2">
      <c r="A69" s="983"/>
      <c r="B69" s="983"/>
      <c r="C69" s="983"/>
      <c r="D69" s="983"/>
      <c r="E69" s="983"/>
      <c r="F69" s="983"/>
      <c r="G69" s="983"/>
      <c r="H69" s="983"/>
      <c r="I69" s="983"/>
      <c r="J69" s="983"/>
      <c r="K69" s="983"/>
      <c r="L69" s="983"/>
      <c r="M69" s="983"/>
    </row>
    <row r="70" spans="1:13" ht="11.25" x14ac:dyDescent="0.2">
      <c r="A70" s="983"/>
      <c r="B70" s="983"/>
      <c r="C70" s="983"/>
      <c r="D70" s="983"/>
      <c r="E70" s="983"/>
      <c r="F70" s="983"/>
      <c r="G70" s="983"/>
      <c r="H70" s="983"/>
      <c r="I70" s="983"/>
      <c r="J70" s="983"/>
      <c r="K70" s="983"/>
      <c r="L70" s="983"/>
      <c r="M70" s="983"/>
    </row>
    <row r="71" spans="1:13" ht="11.25" x14ac:dyDescent="0.2">
      <c r="A71" s="983"/>
      <c r="B71" s="983"/>
      <c r="C71" s="983"/>
      <c r="D71" s="983"/>
      <c r="E71" s="983"/>
      <c r="F71" s="983"/>
      <c r="G71" s="983"/>
      <c r="H71" s="983"/>
      <c r="I71" s="983"/>
      <c r="J71" s="983"/>
      <c r="K71" s="983"/>
      <c r="L71" s="983"/>
      <c r="M71" s="983"/>
    </row>
    <row r="72" spans="1:13" ht="11.25" x14ac:dyDescent="0.2">
      <c r="A72" s="983"/>
      <c r="B72" s="983"/>
      <c r="C72" s="983"/>
      <c r="D72" s="983"/>
      <c r="E72" s="983"/>
      <c r="F72" s="983"/>
      <c r="G72" s="983"/>
      <c r="H72" s="983"/>
      <c r="I72" s="983"/>
      <c r="J72" s="983"/>
      <c r="K72" s="983"/>
      <c r="L72" s="983"/>
      <c r="M72" s="983"/>
    </row>
    <row r="73" spans="1:13" ht="11.25" x14ac:dyDescent="0.2">
      <c r="A73" s="983"/>
      <c r="B73" s="983"/>
      <c r="C73" s="983"/>
      <c r="D73" s="983"/>
      <c r="E73" s="983"/>
      <c r="F73" s="983"/>
      <c r="G73" s="983"/>
      <c r="H73" s="983"/>
      <c r="I73" s="983"/>
      <c r="J73" s="983"/>
      <c r="K73" s="983"/>
      <c r="L73" s="983"/>
      <c r="M73" s="983"/>
    </row>
    <row r="74" spans="1:13" ht="11.25" x14ac:dyDescent="0.2">
      <c r="A74" s="983"/>
      <c r="B74" s="983"/>
      <c r="C74" s="983"/>
      <c r="D74" s="983"/>
      <c r="E74" s="983"/>
      <c r="F74" s="983"/>
      <c r="G74" s="983"/>
      <c r="H74" s="983"/>
      <c r="I74" s="983"/>
      <c r="J74" s="983"/>
      <c r="K74" s="983"/>
      <c r="L74" s="983"/>
      <c r="M74" s="983"/>
    </row>
    <row r="75" spans="1:13" ht="11.25" x14ac:dyDescent="0.2">
      <c r="A75" s="983"/>
      <c r="B75" s="983"/>
      <c r="C75" s="983"/>
      <c r="D75" s="983"/>
      <c r="E75" s="983"/>
      <c r="F75" s="983"/>
      <c r="G75" s="983"/>
      <c r="H75" s="983"/>
      <c r="I75" s="983"/>
      <c r="J75" s="983"/>
      <c r="K75" s="983"/>
      <c r="L75" s="983"/>
      <c r="M75" s="983"/>
    </row>
    <row r="76" spans="1:13" ht="11.25" x14ac:dyDescent="0.2">
      <c r="A76" s="983"/>
      <c r="B76" s="983"/>
      <c r="C76" s="983"/>
      <c r="D76" s="983"/>
      <c r="E76" s="983"/>
      <c r="F76" s="983"/>
      <c r="G76" s="983"/>
      <c r="H76" s="983"/>
      <c r="I76" s="983"/>
      <c r="J76" s="983"/>
      <c r="K76" s="983"/>
      <c r="L76" s="983"/>
      <c r="M76" s="983"/>
    </row>
    <row r="77" spans="1:13" ht="11.25" x14ac:dyDescent="0.2">
      <c r="A77" s="983"/>
      <c r="B77" s="983"/>
      <c r="C77" s="983"/>
      <c r="D77" s="983"/>
      <c r="E77" s="983"/>
      <c r="F77" s="983"/>
      <c r="G77" s="983"/>
      <c r="H77" s="983"/>
      <c r="I77" s="983"/>
      <c r="J77" s="983"/>
      <c r="K77" s="983"/>
      <c r="L77" s="983"/>
      <c r="M77" s="983"/>
    </row>
    <row r="78" spans="1:13" ht="11.25" x14ac:dyDescent="0.2">
      <c r="A78" s="983"/>
      <c r="B78" s="983"/>
      <c r="C78" s="983"/>
      <c r="D78" s="983"/>
      <c r="E78" s="983"/>
      <c r="F78" s="983"/>
      <c r="G78" s="983"/>
      <c r="H78" s="983"/>
      <c r="I78" s="983"/>
      <c r="J78" s="983"/>
      <c r="K78" s="983"/>
      <c r="L78" s="983"/>
      <c r="M78" s="983"/>
    </row>
    <row r="79" spans="1:13" ht="11.25" x14ac:dyDescent="0.2">
      <c r="A79" s="983"/>
      <c r="B79" s="983"/>
      <c r="C79" s="983"/>
      <c r="D79" s="983"/>
      <c r="E79" s="983"/>
      <c r="F79" s="983"/>
      <c r="G79" s="983"/>
      <c r="H79" s="983"/>
      <c r="I79" s="983"/>
      <c r="J79" s="983"/>
      <c r="K79" s="983"/>
      <c r="L79" s="983"/>
      <c r="M79" s="983"/>
    </row>
    <row r="80" spans="1:13" ht="11.25" x14ac:dyDescent="0.2">
      <c r="A80" s="983"/>
      <c r="B80" s="983"/>
      <c r="C80" s="983"/>
      <c r="D80" s="983"/>
      <c r="E80" s="983"/>
      <c r="F80" s="983"/>
      <c r="G80" s="983"/>
      <c r="H80" s="983"/>
      <c r="I80" s="983"/>
      <c r="J80" s="983"/>
      <c r="K80" s="983"/>
      <c r="L80" s="983"/>
      <c r="M80" s="983"/>
    </row>
    <row r="81" spans="1:13" ht="11.25" x14ac:dyDescent="0.2">
      <c r="A81" s="983"/>
      <c r="B81" s="983"/>
      <c r="C81" s="983"/>
      <c r="D81" s="983"/>
      <c r="E81" s="983"/>
      <c r="F81" s="983"/>
      <c r="G81" s="983"/>
      <c r="H81" s="983"/>
      <c r="I81" s="983"/>
      <c r="J81" s="983"/>
      <c r="K81" s="983"/>
      <c r="L81" s="983"/>
      <c r="M81" s="983"/>
    </row>
    <row r="82" spans="1:13" ht="11.25" x14ac:dyDescent="0.2">
      <c r="A82" s="983"/>
      <c r="B82" s="983"/>
      <c r="C82" s="983"/>
      <c r="D82" s="983"/>
      <c r="E82" s="983"/>
      <c r="F82" s="983"/>
      <c r="G82" s="983"/>
      <c r="H82" s="983"/>
      <c r="I82" s="983"/>
      <c r="J82" s="983"/>
      <c r="K82" s="983"/>
      <c r="L82" s="983"/>
      <c r="M82" s="983"/>
    </row>
    <row r="83" spans="1:13" ht="11.25" x14ac:dyDescent="0.2">
      <c r="A83" s="983"/>
      <c r="B83" s="983"/>
      <c r="C83" s="983"/>
      <c r="D83" s="983"/>
      <c r="E83" s="983"/>
      <c r="F83" s="983"/>
      <c r="G83" s="983"/>
      <c r="H83" s="983"/>
      <c r="I83" s="983"/>
      <c r="J83" s="983"/>
      <c r="K83" s="983"/>
      <c r="L83" s="983"/>
      <c r="M83" s="983"/>
    </row>
    <row r="84" spans="1:13" ht="11.25" x14ac:dyDescent="0.2">
      <c r="A84" s="983"/>
      <c r="B84" s="983"/>
      <c r="C84" s="983"/>
      <c r="D84" s="983"/>
      <c r="E84" s="983"/>
      <c r="F84" s="983"/>
      <c r="G84" s="983"/>
      <c r="H84" s="983"/>
      <c r="I84" s="983"/>
      <c r="J84" s="983"/>
      <c r="K84" s="983"/>
      <c r="L84" s="983"/>
      <c r="M84" s="983"/>
    </row>
    <row r="85" spans="1:13" ht="11.25" x14ac:dyDescent="0.2">
      <c r="A85" s="983"/>
      <c r="B85" s="983"/>
      <c r="C85" s="983"/>
      <c r="D85" s="983"/>
      <c r="E85" s="983"/>
      <c r="F85" s="983"/>
      <c r="G85" s="983"/>
      <c r="H85" s="983"/>
      <c r="I85" s="983"/>
      <c r="J85" s="983"/>
      <c r="K85" s="983"/>
      <c r="L85" s="983"/>
      <c r="M85" s="983"/>
    </row>
    <row r="86" spans="1:13" ht="11.25" x14ac:dyDescent="0.2">
      <c r="A86" s="983"/>
      <c r="B86" s="983"/>
      <c r="C86" s="983"/>
      <c r="D86" s="983"/>
      <c r="E86" s="983"/>
      <c r="F86" s="983"/>
      <c r="G86" s="983"/>
      <c r="H86" s="983"/>
      <c r="I86" s="983"/>
      <c r="J86" s="983"/>
      <c r="K86" s="983"/>
      <c r="L86" s="983"/>
      <c r="M86" s="983"/>
    </row>
    <row r="87" spans="1:13" ht="11.25" x14ac:dyDescent="0.2">
      <c r="A87" s="983"/>
      <c r="B87" s="983"/>
      <c r="C87" s="983"/>
      <c r="D87" s="983"/>
      <c r="E87" s="983"/>
      <c r="F87" s="983"/>
      <c r="G87" s="983"/>
      <c r="H87" s="983"/>
      <c r="I87" s="983"/>
      <c r="J87" s="983"/>
      <c r="K87" s="983"/>
      <c r="L87" s="983"/>
      <c r="M87" s="983"/>
    </row>
    <row r="88" spans="1:13" ht="11.25" x14ac:dyDescent="0.2">
      <c r="A88" s="983"/>
      <c r="B88" s="983"/>
      <c r="C88" s="983"/>
      <c r="D88" s="983"/>
      <c r="E88" s="983"/>
      <c r="F88" s="983"/>
      <c r="G88" s="983"/>
      <c r="H88" s="983"/>
      <c r="I88" s="983"/>
      <c r="J88" s="983"/>
      <c r="K88" s="983"/>
      <c r="L88" s="983"/>
      <c r="M88" s="983"/>
    </row>
    <row r="89" spans="1:13" ht="11.25" x14ac:dyDescent="0.2">
      <c r="A89" s="983"/>
      <c r="B89" s="983"/>
      <c r="C89" s="983"/>
      <c r="D89" s="983"/>
      <c r="E89" s="983"/>
      <c r="F89" s="983"/>
      <c r="G89" s="983"/>
      <c r="H89" s="983"/>
      <c r="I89" s="983"/>
      <c r="J89" s="983"/>
      <c r="K89" s="983"/>
      <c r="L89" s="983"/>
      <c r="M89" s="983"/>
    </row>
    <row r="90" spans="1:13" ht="11.25" x14ac:dyDescent="0.2">
      <c r="A90" s="983"/>
      <c r="B90" s="983"/>
      <c r="C90" s="983"/>
      <c r="D90" s="983"/>
      <c r="E90" s="983"/>
      <c r="F90" s="983"/>
      <c r="G90" s="983"/>
      <c r="H90" s="983"/>
      <c r="I90" s="983"/>
      <c r="J90" s="983"/>
      <c r="K90" s="983"/>
      <c r="L90" s="983"/>
      <c r="M90" s="983"/>
    </row>
    <row r="91" spans="1:13" ht="11.25" x14ac:dyDescent="0.2">
      <c r="A91" s="983"/>
      <c r="B91" s="983"/>
      <c r="C91" s="983"/>
      <c r="D91" s="983"/>
      <c r="E91" s="983"/>
      <c r="F91" s="983"/>
      <c r="G91" s="983"/>
      <c r="H91" s="983"/>
      <c r="I91" s="983"/>
      <c r="J91" s="983"/>
      <c r="K91" s="983"/>
      <c r="L91" s="983"/>
      <c r="M91" s="983"/>
    </row>
    <row r="92" spans="1:13" ht="11.25" x14ac:dyDescent="0.2">
      <c r="A92" s="983"/>
      <c r="B92" s="983"/>
      <c r="C92" s="983"/>
      <c r="D92" s="983"/>
      <c r="E92" s="983"/>
      <c r="F92" s="983"/>
      <c r="G92" s="983"/>
      <c r="H92" s="983"/>
      <c r="I92" s="983"/>
      <c r="J92" s="983"/>
      <c r="K92" s="983"/>
      <c r="L92" s="983"/>
      <c r="M92" s="983"/>
    </row>
    <row r="93" spans="1:13" ht="11.25" x14ac:dyDescent="0.2">
      <c r="A93" s="983"/>
      <c r="B93" s="983"/>
      <c r="C93" s="983"/>
      <c r="D93" s="983"/>
      <c r="E93" s="983"/>
      <c r="F93" s="983"/>
      <c r="G93" s="983"/>
      <c r="H93" s="983"/>
      <c r="I93" s="983"/>
      <c r="J93" s="983"/>
      <c r="K93" s="983"/>
      <c r="L93" s="983"/>
      <c r="M93" s="983"/>
    </row>
    <row r="94" spans="1:13" ht="11.25" x14ac:dyDescent="0.2">
      <c r="A94" s="983"/>
      <c r="B94" s="983"/>
      <c r="C94" s="983"/>
      <c r="D94" s="983"/>
      <c r="E94" s="983"/>
      <c r="F94" s="983"/>
      <c r="G94" s="983"/>
      <c r="H94" s="983"/>
      <c r="I94" s="983"/>
      <c r="J94" s="983"/>
      <c r="K94" s="983"/>
      <c r="L94" s="983"/>
      <c r="M94" s="983"/>
    </row>
    <row r="95" spans="1:13" ht="11.25" x14ac:dyDescent="0.2">
      <c r="A95" s="983"/>
      <c r="B95" s="983"/>
      <c r="C95" s="983"/>
      <c r="D95" s="983"/>
      <c r="E95" s="983"/>
      <c r="F95" s="983"/>
      <c r="G95" s="983"/>
      <c r="H95" s="983"/>
      <c r="I95" s="983"/>
      <c r="J95" s="983"/>
      <c r="K95" s="983"/>
      <c r="L95" s="983"/>
      <c r="M95" s="983"/>
    </row>
    <row r="96" spans="1:13" ht="11.25" x14ac:dyDescent="0.2">
      <c r="A96" s="983"/>
      <c r="B96" s="983"/>
      <c r="C96" s="983"/>
      <c r="D96" s="983"/>
      <c r="E96" s="983"/>
      <c r="F96" s="983"/>
      <c r="G96" s="983"/>
      <c r="H96" s="983"/>
      <c r="I96" s="983"/>
      <c r="J96" s="983"/>
      <c r="K96" s="983"/>
      <c r="L96" s="983"/>
      <c r="M96" s="983"/>
    </row>
    <row r="97" spans="1:13" ht="11.25" x14ac:dyDescent="0.2">
      <c r="A97" s="983"/>
      <c r="B97" s="983"/>
      <c r="C97" s="983"/>
      <c r="D97" s="983"/>
      <c r="E97" s="983"/>
      <c r="F97" s="983"/>
      <c r="G97" s="983"/>
      <c r="H97" s="983"/>
      <c r="I97" s="983"/>
      <c r="J97" s="983"/>
      <c r="K97" s="983"/>
      <c r="L97" s="983"/>
      <c r="M97" s="983"/>
    </row>
    <row r="98" spans="1:13" ht="11.25" x14ac:dyDescent="0.2">
      <c r="A98" s="983"/>
      <c r="B98" s="983"/>
      <c r="C98" s="983"/>
      <c r="D98" s="983"/>
      <c r="E98" s="983"/>
      <c r="F98" s="983"/>
      <c r="G98" s="983"/>
      <c r="H98" s="983"/>
      <c r="I98" s="983"/>
      <c r="J98" s="983"/>
      <c r="K98" s="983"/>
      <c r="L98" s="983"/>
      <c r="M98" s="983"/>
    </row>
    <row r="99" spans="1:13" ht="11.25" x14ac:dyDescent="0.2">
      <c r="A99" s="983"/>
      <c r="B99" s="983"/>
      <c r="C99" s="983"/>
      <c r="D99" s="983"/>
      <c r="E99" s="983"/>
      <c r="F99" s="983"/>
      <c r="G99" s="983"/>
      <c r="H99" s="983"/>
      <c r="I99" s="983"/>
      <c r="J99" s="983"/>
      <c r="K99" s="983"/>
      <c r="L99" s="983"/>
      <c r="M99" s="983"/>
    </row>
    <row r="100" spans="1:13" ht="11.25" x14ac:dyDescent="0.2">
      <c r="A100" s="983"/>
      <c r="B100" s="983"/>
      <c r="C100" s="983"/>
      <c r="D100" s="983"/>
      <c r="E100" s="983"/>
      <c r="F100" s="983"/>
      <c r="G100" s="983"/>
      <c r="H100" s="983"/>
      <c r="I100" s="983"/>
      <c r="J100" s="983"/>
      <c r="K100" s="983"/>
      <c r="L100" s="983"/>
      <c r="M100" s="983"/>
    </row>
    <row r="101" spans="1:13" ht="11.25" x14ac:dyDescent="0.2">
      <c r="A101" s="983"/>
      <c r="B101" s="983"/>
      <c r="C101" s="983"/>
      <c r="D101" s="983"/>
      <c r="E101" s="983"/>
      <c r="F101" s="983"/>
      <c r="G101" s="983"/>
      <c r="H101" s="983"/>
      <c r="I101" s="983"/>
      <c r="J101" s="983"/>
      <c r="K101" s="983"/>
      <c r="L101" s="983"/>
      <c r="M101" s="983"/>
    </row>
    <row r="102" spans="1:13" ht="11.25" x14ac:dyDescent="0.2">
      <c r="A102" s="983"/>
      <c r="B102" s="983"/>
      <c r="C102" s="983"/>
      <c r="D102" s="983"/>
      <c r="E102" s="983"/>
      <c r="F102" s="983"/>
      <c r="G102" s="983"/>
      <c r="H102" s="983"/>
      <c r="I102" s="983"/>
      <c r="J102" s="983"/>
      <c r="K102" s="983"/>
      <c r="L102" s="983"/>
      <c r="M102" s="983"/>
    </row>
    <row r="103" spans="1:13" ht="11.25" x14ac:dyDescent="0.2">
      <c r="A103" s="983"/>
      <c r="B103" s="983"/>
      <c r="C103" s="983"/>
      <c r="D103" s="983"/>
      <c r="E103" s="983"/>
      <c r="F103" s="983"/>
      <c r="G103" s="983"/>
      <c r="H103" s="983"/>
      <c r="I103" s="983"/>
      <c r="J103" s="983"/>
      <c r="K103" s="983"/>
      <c r="L103" s="983"/>
      <c r="M103" s="983"/>
    </row>
    <row r="104" spans="1:13" ht="11.25" x14ac:dyDescent="0.2">
      <c r="A104" s="983"/>
      <c r="B104" s="983"/>
      <c r="C104" s="983"/>
      <c r="D104" s="983"/>
      <c r="E104" s="983"/>
      <c r="F104" s="983"/>
      <c r="G104" s="983"/>
      <c r="H104" s="983"/>
      <c r="I104" s="983"/>
      <c r="J104" s="983"/>
      <c r="K104" s="983"/>
      <c r="L104" s="983"/>
      <c r="M104" s="983"/>
    </row>
    <row r="105" spans="1:13" ht="11.25" x14ac:dyDescent="0.2">
      <c r="A105" s="983"/>
      <c r="B105" s="983"/>
      <c r="C105" s="983"/>
      <c r="D105" s="983"/>
      <c r="E105" s="983"/>
      <c r="F105" s="983"/>
      <c r="G105" s="983"/>
      <c r="H105" s="983"/>
      <c r="I105" s="983"/>
      <c r="J105" s="983"/>
      <c r="K105" s="983"/>
      <c r="L105" s="983"/>
      <c r="M105" s="983"/>
    </row>
    <row r="106" spans="1:13" ht="11.25" x14ac:dyDescent="0.2">
      <c r="A106" s="983"/>
      <c r="B106" s="983"/>
      <c r="C106" s="983"/>
      <c r="D106" s="983"/>
      <c r="E106" s="983"/>
      <c r="F106" s="983"/>
      <c r="G106" s="983"/>
      <c r="H106" s="983"/>
      <c r="I106" s="983"/>
      <c r="J106" s="983"/>
      <c r="K106" s="983"/>
      <c r="L106" s="983"/>
      <c r="M106" s="983"/>
    </row>
    <row r="107" spans="1:13" ht="11.25" x14ac:dyDescent="0.2">
      <c r="A107" s="983"/>
      <c r="B107" s="983"/>
      <c r="C107" s="983"/>
      <c r="D107" s="983"/>
      <c r="E107" s="983"/>
      <c r="F107" s="983"/>
      <c r="G107" s="983"/>
      <c r="H107" s="983"/>
      <c r="I107" s="983"/>
      <c r="J107" s="983"/>
      <c r="K107" s="983"/>
      <c r="L107" s="983"/>
      <c r="M107" s="983"/>
    </row>
    <row r="108" spans="1:13" ht="11.25" x14ac:dyDescent="0.2">
      <c r="A108" s="983"/>
      <c r="B108" s="983"/>
      <c r="C108" s="983"/>
      <c r="D108" s="983"/>
      <c r="E108" s="983"/>
      <c r="F108" s="983"/>
      <c r="G108" s="983"/>
      <c r="H108" s="983"/>
      <c r="I108" s="983"/>
      <c r="J108" s="983"/>
      <c r="K108" s="983"/>
      <c r="L108" s="983"/>
      <c r="M108" s="983"/>
    </row>
    <row r="109" spans="1:13" ht="11.25" x14ac:dyDescent="0.2">
      <c r="A109" s="983"/>
      <c r="B109" s="983"/>
      <c r="C109" s="983"/>
      <c r="D109" s="983"/>
      <c r="E109" s="983"/>
      <c r="F109" s="983"/>
      <c r="G109" s="983"/>
      <c r="H109" s="983"/>
      <c r="I109" s="983"/>
      <c r="J109" s="983"/>
      <c r="K109" s="983"/>
      <c r="L109" s="983"/>
      <c r="M109" s="983"/>
    </row>
    <row r="110" spans="1:13" ht="11.25" x14ac:dyDescent="0.2">
      <c r="A110" s="983"/>
      <c r="B110" s="983"/>
      <c r="C110" s="983"/>
      <c r="D110" s="983"/>
      <c r="E110" s="983"/>
      <c r="F110" s="983"/>
      <c r="G110" s="983"/>
      <c r="H110" s="983"/>
      <c r="I110" s="983"/>
      <c r="J110" s="983"/>
      <c r="K110" s="983"/>
      <c r="L110" s="983"/>
      <c r="M110" s="983"/>
    </row>
    <row r="111" spans="1:13" ht="11.25" x14ac:dyDescent="0.2">
      <c r="A111" s="983"/>
      <c r="B111" s="983"/>
      <c r="C111" s="983"/>
      <c r="D111" s="983"/>
      <c r="E111" s="983"/>
      <c r="F111" s="983"/>
      <c r="G111" s="983"/>
      <c r="H111" s="983"/>
      <c r="I111" s="983"/>
      <c r="J111" s="983"/>
      <c r="K111" s="983"/>
      <c r="L111" s="983"/>
      <c r="M111" s="983"/>
    </row>
    <row r="112" spans="1:13" ht="11.25" x14ac:dyDescent="0.2">
      <c r="A112" s="983"/>
      <c r="B112" s="983"/>
      <c r="C112" s="983"/>
      <c r="D112" s="983"/>
      <c r="E112" s="983"/>
      <c r="F112" s="983"/>
      <c r="G112" s="983"/>
      <c r="H112" s="983"/>
      <c r="I112" s="983"/>
      <c r="J112" s="983"/>
      <c r="K112" s="983"/>
      <c r="L112" s="983"/>
      <c r="M112" s="983"/>
    </row>
    <row r="113" spans="1:13" ht="11.25" x14ac:dyDescent="0.2">
      <c r="A113" s="983"/>
      <c r="B113" s="983"/>
      <c r="C113" s="983"/>
      <c r="D113" s="983"/>
      <c r="E113" s="983"/>
      <c r="F113" s="983"/>
      <c r="G113" s="983"/>
      <c r="H113" s="983"/>
      <c r="I113" s="983"/>
      <c r="J113" s="983"/>
      <c r="K113" s="983"/>
      <c r="L113" s="983"/>
      <c r="M113" s="983"/>
    </row>
    <row r="114" spans="1:13" ht="11.25" x14ac:dyDescent="0.2">
      <c r="A114" s="983"/>
      <c r="B114" s="983"/>
      <c r="C114" s="983"/>
      <c r="D114" s="983"/>
      <c r="E114" s="983"/>
      <c r="F114" s="983"/>
      <c r="G114" s="983"/>
      <c r="H114" s="983"/>
      <c r="I114" s="983"/>
      <c r="J114" s="983"/>
      <c r="K114" s="983"/>
      <c r="L114" s="983"/>
      <c r="M114" s="983"/>
    </row>
    <row r="115" spans="1:13" ht="11.25" x14ac:dyDescent="0.2">
      <c r="A115" s="983"/>
      <c r="B115" s="983"/>
      <c r="C115" s="983"/>
      <c r="D115" s="983"/>
      <c r="E115" s="983"/>
      <c r="F115" s="983"/>
      <c r="G115" s="983"/>
      <c r="H115" s="983"/>
      <c r="I115" s="983"/>
      <c r="J115" s="983"/>
      <c r="K115" s="983"/>
      <c r="L115" s="983"/>
      <c r="M115" s="983"/>
    </row>
    <row r="116" spans="1:13" ht="11.25" x14ac:dyDescent="0.2">
      <c r="A116" s="983"/>
      <c r="B116" s="983"/>
      <c r="C116" s="983"/>
      <c r="D116" s="983"/>
      <c r="E116" s="983"/>
      <c r="F116" s="983"/>
      <c r="G116" s="983"/>
      <c r="H116" s="983"/>
      <c r="I116" s="983"/>
      <c r="J116" s="983"/>
      <c r="K116" s="983"/>
      <c r="L116" s="983"/>
      <c r="M116" s="983"/>
    </row>
    <row r="117" spans="1:13" ht="11.25" x14ac:dyDescent="0.2">
      <c r="A117" s="983"/>
      <c r="B117" s="983"/>
      <c r="C117" s="983"/>
      <c r="D117" s="983"/>
      <c r="E117" s="983"/>
      <c r="F117" s="983"/>
      <c r="G117" s="983"/>
      <c r="H117" s="983"/>
      <c r="I117" s="983"/>
      <c r="J117" s="983"/>
      <c r="K117" s="983"/>
      <c r="L117" s="983"/>
      <c r="M117" s="983"/>
    </row>
    <row r="118" spans="1:13" ht="11.25" x14ac:dyDescent="0.2">
      <c r="A118" s="983"/>
      <c r="B118" s="983"/>
      <c r="C118" s="983"/>
      <c r="D118" s="983"/>
      <c r="E118" s="983"/>
      <c r="F118" s="983"/>
      <c r="G118" s="983"/>
      <c r="H118" s="983"/>
      <c r="I118" s="983"/>
      <c r="J118" s="983"/>
      <c r="K118" s="983"/>
      <c r="L118" s="983"/>
      <c r="M118" s="983"/>
    </row>
    <row r="119" spans="1:13" ht="11.25" x14ac:dyDescent="0.2">
      <c r="A119" s="983"/>
      <c r="B119" s="983"/>
      <c r="C119" s="983"/>
      <c r="D119" s="983"/>
      <c r="E119" s="983"/>
      <c r="F119" s="983"/>
      <c r="G119" s="983"/>
      <c r="H119" s="983"/>
      <c r="I119" s="983"/>
      <c r="J119" s="983"/>
      <c r="K119" s="983"/>
      <c r="L119" s="983"/>
      <c r="M119" s="983"/>
    </row>
    <row r="120" spans="1:13" ht="11.25" x14ac:dyDescent="0.2">
      <c r="A120" s="983"/>
      <c r="B120" s="983"/>
      <c r="C120" s="983"/>
      <c r="D120" s="983"/>
      <c r="E120" s="983"/>
      <c r="F120" s="983"/>
      <c r="G120" s="983"/>
      <c r="H120" s="983"/>
      <c r="I120" s="983"/>
      <c r="J120" s="983"/>
      <c r="K120" s="983"/>
      <c r="L120" s="983"/>
      <c r="M120" s="983"/>
    </row>
    <row r="121" spans="1:13" ht="11.25" x14ac:dyDescent="0.2">
      <c r="A121" s="983"/>
      <c r="B121" s="983"/>
      <c r="C121" s="983"/>
      <c r="D121" s="983"/>
      <c r="E121" s="983"/>
      <c r="F121" s="983"/>
      <c r="G121" s="983"/>
      <c r="H121" s="983"/>
      <c r="I121" s="983"/>
      <c r="J121" s="983"/>
      <c r="K121" s="983"/>
      <c r="L121" s="983"/>
      <c r="M121" s="983"/>
    </row>
    <row r="122" spans="1:13" ht="11.25" x14ac:dyDescent="0.2">
      <c r="A122" s="983"/>
      <c r="B122" s="983"/>
      <c r="C122" s="983"/>
      <c r="D122" s="983"/>
      <c r="E122" s="983"/>
      <c r="F122" s="983"/>
      <c r="G122" s="983"/>
      <c r="H122" s="983"/>
      <c r="I122" s="983"/>
      <c r="J122" s="983"/>
      <c r="K122" s="983"/>
      <c r="L122" s="983"/>
      <c r="M122" s="983"/>
    </row>
    <row r="123" spans="1:13" ht="11.25" x14ac:dyDescent="0.2">
      <c r="A123" s="983"/>
      <c r="B123" s="983"/>
      <c r="C123" s="983"/>
      <c r="D123" s="983"/>
      <c r="E123" s="983"/>
      <c r="F123" s="983"/>
      <c r="G123" s="983"/>
      <c r="H123" s="983"/>
      <c r="I123" s="983"/>
      <c r="J123" s="983"/>
      <c r="K123" s="983"/>
      <c r="L123" s="983"/>
      <c r="M123" s="983"/>
    </row>
    <row r="124" spans="1:13" ht="11.25" x14ac:dyDescent="0.2">
      <c r="A124" s="983"/>
      <c r="B124" s="983"/>
      <c r="C124" s="983"/>
      <c r="D124" s="983"/>
      <c r="E124" s="983"/>
      <c r="F124" s="983"/>
      <c r="G124" s="983"/>
      <c r="H124" s="983"/>
      <c r="I124" s="983"/>
      <c r="J124" s="983"/>
      <c r="K124" s="983"/>
      <c r="L124" s="983"/>
      <c r="M124" s="983"/>
    </row>
    <row r="125" spans="1:13" ht="11.25" x14ac:dyDescent="0.2">
      <c r="A125" s="983"/>
      <c r="B125" s="983"/>
      <c r="C125" s="983"/>
      <c r="D125" s="983"/>
      <c r="E125" s="983"/>
      <c r="F125" s="983"/>
      <c r="G125" s="983"/>
      <c r="H125" s="983"/>
      <c r="I125" s="983"/>
      <c r="J125" s="983"/>
      <c r="K125" s="983"/>
      <c r="L125" s="983"/>
      <c r="M125" s="983"/>
    </row>
    <row r="126" spans="1:13" ht="11.25" x14ac:dyDescent="0.2">
      <c r="A126" s="983"/>
      <c r="B126" s="983"/>
      <c r="C126" s="983"/>
      <c r="D126" s="983"/>
      <c r="E126" s="983"/>
      <c r="F126" s="983"/>
      <c r="G126" s="983"/>
      <c r="H126" s="983"/>
      <c r="I126" s="983"/>
      <c r="J126" s="983"/>
      <c r="K126" s="983"/>
      <c r="L126" s="983"/>
      <c r="M126" s="983"/>
    </row>
    <row r="127" spans="1:13" ht="11.25" x14ac:dyDescent="0.2">
      <c r="A127" s="983"/>
      <c r="B127" s="983"/>
      <c r="C127" s="983"/>
      <c r="D127" s="983"/>
      <c r="E127" s="983"/>
      <c r="F127" s="983"/>
      <c r="G127" s="983"/>
      <c r="H127" s="983"/>
      <c r="I127" s="983"/>
      <c r="J127" s="983"/>
      <c r="K127" s="983"/>
      <c r="L127" s="983"/>
      <c r="M127" s="983"/>
    </row>
    <row r="128" spans="1:13" ht="11.25" x14ac:dyDescent="0.2">
      <c r="A128" s="983"/>
      <c r="B128" s="983"/>
      <c r="C128" s="983"/>
      <c r="D128" s="983"/>
      <c r="E128" s="983"/>
      <c r="F128" s="983"/>
      <c r="G128" s="983"/>
      <c r="H128" s="983"/>
      <c r="I128" s="983"/>
      <c r="J128" s="983"/>
      <c r="K128" s="983"/>
      <c r="L128" s="983"/>
      <c r="M128" s="983"/>
    </row>
    <row r="129" spans="1:13" ht="11.25" x14ac:dyDescent="0.2">
      <c r="A129" s="983"/>
      <c r="B129" s="983"/>
      <c r="C129" s="983"/>
      <c r="D129" s="983"/>
      <c r="E129" s="983"/>
      <c r="F129" s="983"/>
      <c r="G129" s="983"/>
      <c r="H129" s="983"/>
      <c r="I129" s="983"/>
      <c r="J129" s="983"/>
      <c r="K129" s="983"/>
      <c r="L129" s="983"/>
      <c r="M129" s="983"/>
    </row>
    <row r="130" spans="1:13" ht="11.25" x14ac:dyDescent="0.2">
      <c r="A130" s="983"/>
      <c r="B130" s="983"/>
      <c r="C130" s="983"/>
      <c r="D130" s="983"/>
      <c r="E130" s="983"/>
      <c r="F130" s="983"/>
      <c r="G130" s="983"/>
      <c r="H130" s="983"/>
      <c r="I130" s="983"/>
      <c r="J130" s="983"/>
      <c r="K130" s="983"/>
      <c r="L130" s="983"/>
      <c r="M130" s="983"/>
    </row>
    <row r="131" spans="1:13" ht="11.25" x14ac:dyDescent="0.2">
      <c r="A131" s="983"/>
      <c r="B131" s="983"/>
      <c r="C131" s="983"/>
      <c r="D131" s="983"/>
      <c r="E131" s="983"/>
      <c r="F131" s="983"/>
      <c r="G131" s="983"/>
      <c r="H131" s="983"/>
      <c r="I131" s="983"/>
      <c r="J131" s="983"/>
      <c r="K131" s="983"/>
      <c r="L131" s="983"/>
      <c r="M131" s="983"/>
    </row>
    <row r="132" spans="1:13" ht="11.25" x14ac:dyDescent="0.2">
      <c r="A132" s="983"/>
      <c r="B132" s="983"/>
      <c r="C132" s="983"/>
      <c r="D132" s="983"/>
      <c r="E132" s="983"/>
      <c r="F132" s="983"/>
      <c r="G132" s="983"/>
      <c r="H132" s="983"/>
      <c r="I132" s="983"/>
      <c r="J132" s="983"/>
      <c r="K132" s="983"/>
      <c r="L132" s="983"/>
      <c r="M132" s="983"/>
    </row>
    <row r="133" spans="1:13" ht="11.25" x14ac:dyDescent="0.2">
      <c r="A133" s="983"/>
      <c r="B133" s="983"/>
      <c r="C133" s="983"/>
      <c r="D133" s="983"/>
      <c r="E133" s="983"/>
      <c r="F133" s="983"/>
      <c r="G133" s="983"/>
      <c r="H133" s="983"/>
      <c r="I133" s="983"/>
      <c r="J133" s="983"/>
      <c r="K133" s="983"/>
      <c r="L133" s="983"/>
      <c r="M133" s="983"/>
    </row>
    <row r="134" spans="1:13" ht="11.25" x14ac:dyDescent="0.2">
      <c r="A134" s="983"/>
      <c r="B134" s="983"/>
      <c r="C134" s="983"/>
      <c r="D134" s="983"/>
      <c r="E134" s="983"/>
      <c r="F134" s="983"/>
      <c r="G134" s="983"/>
      <c r="H134" s="983"/>
      <c r="I134" s="983"/>
      <c r="J134" s="983"/>
      <c r="K134" s="983"/>
      <c r="L134" s="983"/>
      <c r="M134" s="983"/>
    </row>
    <row r="135" spans="1:13" ht="11.25" x14ac:dyDescent="0.2">
      <c r="A135" s="983"/>
      <c r="B135" s="983"/>
      <c r="C135" s="983"/>
      <c r="D135" s="983"/>
      <c r="E135" s="983"/>
      <c r="F135" s="983"/>
      <c r="G135" s="983"/>
      <c r="H135" s="983"/>
      <c r="I135" s="983"/>
      <c r="J135" s="983"/>
      <c r="K135" s="983"/>
      <c r="L135" s="983"/>
      <c r="M135" s="983"/>
    </row>
    <row r="136" spans="1:13" ht="11.25" x14ac:dyDescent="0.2">
      <c r="A136" s="983"/>
      <c r="B136" s="983"/>
      <c r="C136" s="983"/>
      <c r="D136" s="983"/>
      <c r="E136" s="983"/>
      <c r="F136" s="983"/>
      <c r="G136" s="983"/>
      <c r="H136" s="983"/>
      <c r="I136" s="983"/>
      <c r="J136" s="983"/>
      <c r="K136" s="983"/>
      <c r="L136" s="983"/>
      <c r="M136" s="983"/>
    </row>
    <row r="137" spans="1:13" ht="11.25" x14ac:dyDescent="0.2">
      <c r="A137" s="983"/>
      <c r="B137" s="983"/>
      <c r="C137" s="983"/>
      <c r="D137" s="983"/>
      <c r="E137" s="983"/>
      <c r="F137" s="983"/>
      <c r="G137" s="983"/>
      <c r="H137" s="983"/>
      <c r="I137" s="983"/>
      <c r="J137" s="983"/>
      <c r="K137" s="983"/>
      <c r="L137" s="983"/>
      <c r="M137" s="983"/>
    </row>
    <row r="138" spans="1:13" ht="11.25" x14ac:dyDescent="0.2">
      <c r="A138" s="983"/>
      <c r="B138" s="983"/>
      <c r="C138" s="983"/>
      <c r="D138" s="983"/>
      <c r="E138" s="983"/>
      <c r="F138" s="983"/>
      <c r="G138" s="983"/>
      <c r="H138" s="983"/>
      <c r="I138" s="983"/>
      <c r="J138" s="983"/>
      <c r="K138" s="983"/>
      <c r="L138" s="983"/>
      <c r="M138" s="983"/>
    </row>
    <row r="139" spans="1:13" ht="11.25" x14ac:dyDescent="0.2">
      <c r="A139" s="983"/>
      <c r="B139" s="983"/>
      <c r="C139" s="983"/>
      <c r="D139" s="983"/>
      <c r="E139" s="983"/>
      <c r="F139" s="983"/>
      <c r="G139" s="983"/>
      <c r="H139" s="983"/>
      <c r="I139" s="983"/>
      <c r="J139" s="983"/>
      <c r="K139" s="983"/>
      <c r="L139" s="983"/>
      <c r="M139" s="983"/>
    </row>
    <row r="140" spans="1:13" ht="11.25" x14ac:dyDescent="0.2">
      <c r="A140" s="983"/>
      <c r="B140" s="983"/>
      <c r="C140" s="983"/>
      <c r="D140" s="983"/>
      <c r="E140" s="983"/>
      <c r="F140" s="983"/>
      <c r="G140" s="983"/>
      <c r="H140" s="983"/>
      <c r="I140" s="983"/>
      <c r="J140" s="983"/>
      <c r="K140" s="983"/>
      <c r="L140" s="983"/>
      <c r="M140" s="983"/>
    </row>
    <row r="141" spans="1:13" ht="11.25" x14ac:dyDescent="0.2">
      <c r="A141" s="983"/>
      <c r="B141" s="983"/>
      <c r="C141" s="983"/>
      <c r="D141" s="983"/>
      <c r="E141" s="983"/>
      <c r="F141" s="983"/>
      <c r="G141" s="983"/>
      <c r="H141" s="983"/>
      <c r="I141" s="983"/>
      <c r="J141" s="983"/>
      <c r="K141" s="983"/>
      <c r="L141" s="983"/>
      <c r="M141" s="983"/>
    </row>
    <row r="142" spans="1:13" ht="11.25" x14ac:dyDescent="0.2">
      <c r="A142" s="983"/>
      <c r="B142" s="983"/>
      <c r="C142" s="983"/>
      <c r="D142" s="983"/>
      <c r="E142" s="983"/>
      <c r="F142" s="983"/>
      <c r="G142" s="983"/>
      <c r="H142" s="983"/>
      <c r="I142" s="983"/>
      <c r="J142" s="983"/>
      <c r="K142" s="983"/>
      <c r="L142" s="983"/>
      <c r="M142" s="983"/>
    </row>
    <row r="143" spans="1:13" ht="11.25" x14ac:dyDescent="0.2">
      <c r="A143" s="983"/>
      <c r="B143" s="983"/>
      <c r="C143" s="983"/>
      <c r="D143" s="983"/>
      <c r="E143" s="983"/>
      <c r="F143" s="983"/>
      <c r="G143" s="983"/>
      <c r="H143" s="983"/>
      <c r="I143" s="983"/>
      <c r="J143" s="983"/>
      <c r="K143" s="983"/>
      <c r="L143" s="983"/>
      <c r="M143" s="983"/>
    </row>
    <row r="144" spans="1:13" ht="11.25" x14ac:dyDescent="0.2">
      <c r="A144" s="983"/>
      <c r="B144" s="983"/>
      <c r="C144" s="983"/>
      <c r="D144" s="983"/>
      <c r="E144" s="983"/>
      <c r="F144" s="983"/>
      <c r="G144" s="983"/>
      <c r="H144" s="983"/>
      <c r="I144" s="983"/>
      <c r="J144" s="983"/>
      <c r="K144" s="983"/>
      <c r="L144" s="983"/>
      <c r="M144" s="983"/>
    </row>
    <row r="145" spans="1:13" ht="11.25" x14ac:dyDescent="0.2">
      <c r="A145" s="983"/>
      <c r="B145" s="983"/>
      <c r="C145" s="983"/>
      <c r="D145" s="983"/>
      <c r="E145" s="983"/>
      <c r="F145" s="983"/>
      <c r="G145" s="983"/>
      <c r="H145" s="983"/>
      <c r="I145" s="983"/>
      <c r="J145" s="983"/>
      <c r="K145" s="983"/>
      <c r="L145" s="983"/>
      <c r="M145" s="983"/>
    </row>
    <row r="146" spans="1:13" ht="11.25" x14ac:dyDescent="0.2">
      <c r="A146" s="983"/>
      <c r="B146" s="983"/>
      <c r="C146" s="983"/>
      <c r="D146" s="983"/>
      <c r="E146" s="983"/>
      <c r="F146" s="983"/>
      <c r="G146" s="983"/>
      <c r="H146" s="983"/>
      <c r="I146" s="983"/>
      <c r="J146" s="983"/>
      <c r="K146" s="983"/>
      <c r="L146" s="983"/>
      <c r="M146" s="983"/>
    </row>
    <row r="147" spans="1:13" ht="11.25" x14ac:dyDescent="0.2">
      <c r="A147" s="983"/>
      <c r="B147" s="983"/>
      <c r="C147" s="983"/>
      <c r="D147" s="983"/>
      <c r="E147" s="983"/>
      <c r="F147" s="983"/>
      <c r="G147" s="983"/>
      <c r="H147" s="983"/>
      <c r="I147" s="983"/>
      <c r="J147" s="983"/>
      <c r="K147" s="983"/>
      <c r="L147" s="983"/>
      <c r="M147" s="983"/>
    </row>
    <row r="148" spans="1:13" ht="11.25" x14ac:dyDescent="0.2">
      <c r="A148" s="983"/>
      <c r="B148" s="983"/>
      <c r="C148" s="983"/>
      <c r="D148" s="983"/>
      <c r="E148" s="983"/>
      <c r="F148" s="983"/>
      <c r="G148" s="983"/>
      <c r="H148" s="983"/>
      <c r="I148" s="983"/>
      <c r="J148" s="983"/>
      <c r="K148" s="983"/>
      <c r="L148" s="983"/>
      <c r="M148" s="983"/>
    </row>
    <row r="149" spans="1:13" ht="11.25" x14ac:dyDescent="0.2">
      <c r="A149" s="983"/>
      <c r="B149" s="983"/>
      <c r="C149" s="983"/>
      <c r="D149" s="983"/>
      <c r="E149" s="983"/>
      <c r="F149" s="983"/>
      <c r="G149" s="983"/>
      <c r="H149" s="983"/>
      <c r="I149" s="983"/>
      <c r="J149" s="983"/>
      <c r="K149" s="983"/>
      <c r="L149" s="983"/>
      <c r="M149" s="983"/>
    </row>
    <row r="150" spans="1:13" ht="11.25" x14ac:dyDescent="0.2">
      <c r="A150" s="983"/>
      <c r="B150" s="983"/>
      <c r="C150" s="983"/>
      <c r="D150" s="983"/>
      <c r="E150" s="983"/>
      <c r="F150" s="983"/>
      <c r="G150" s="983"/>
      <c r="H150" s="983"/>
      <c r="I150" s="983"/>
      <c r="J150" s="983"/>
      <c r="K150" s="983"/>
      <c r="L150" s="983"/>
      <c r="M150" s="983"/>
    </row>
    <row r="151" spans="1:13" ht="11.25" x14ac:dyDescent="0.2">
      <c r="A151" s="983"/>
      <c r="B151" s="983"/>
      <c r="C151" s="983"/>
      <c r="D151" s="983"/>
      <c r="E151" s="983"/>
      <c r="F151" s="983"/>
      <c r="G151" s="983"/>
      <c r="H151" s="983"/>
      <c r="I151" s="983"/>
      <c r="J151" s="983"/>
      <c r="K151" s="983"/>
      <c r="L151" s="983"/>
      <c r="M151" s="983"/>
    </row>
    <row r="152" spans="1:13" ht="11.25" x14ac:dyDescent="0.2">
      <c r="A152" s="983"/>
      <c r="B152" s="983"/>
      <c r="C152" s="983"/>
      <c r="D152" s="983"/>
      <c r="E152" s="983"/>
      <c r="F152" s="983"/>
      <c r="G152" s="983"/>
      <c r="H152" s="983"/>
      <c r="I152" s="983"/>
      <c r="J152" s="983"/>
      <c r="K152" s="983"/>
      <c r="L152" s="983"/>
      <c r="M152" s="983"/>
    </row>
    <row r="153" spans="1:13" ht="11.25" x14ac:dyDescent="0.2">
      <c r="A153" s="983"/>
      <c r="B153" s="983"/>
      <c r="C153" s="983"/>
      <c r="D153" s="983"/>
      <c r="E153" s="983"/>
      <c r="F153" s="983"/>
      <c r="G153" s="983"/>
      <c r="H153" s="983"/>
      <c r="I153" s="983"/>
      <c r="J153" s="983"/>
      <c r="K153" s="983"/>
      <c r="L153" s="983"/>
      <c r="M153" s="983"/>
    </row>
    <row r="154" spans="1:13" ht="11.25" x14ac:dyDescent="0.2">
      <c r="A154" s="983"/>
      <c r="B154" s="983"/>
      <c r="C154" s="983"/>
      <c r="D154" s="983"/>
      <c r="E154" s="983"/>
      <c r="F154" s="983"/>
      <c r="G154" s="983"/>
      <c r="H154" s="983"/>
      <c r="I154" s="983"/>
      <c r="J154" s="983"/>
      <c r="K154" s="983"/>
      <c r="L154" s="983"/>
      <c r="M154" s="983"/>
    </row>
    <row r="155" spans="1:13" ht="11.25" x14ac:dyDescent="0.2">
      <c r="A155" s="983"/>
      <c r="B155" s="983"/>
      <c r="C155" s="983"/>
      <c r="D155" s="983"/>
      <c r="E155" s="983"/>
      <c r="F155" s="983"/>
      <c r="G155" s="983"/>
      <c r="H155" s="983"/>
      <c r="I155" s="983"/>
      <c r="J155" s="983"/>
      <c r="K155" s="983"/>
      <c r="L155" s="983"/>
      <c r="M155" s="983"/>
    </row>
    <row r="156" spans="1:13" ht="11.25" x14ac:dyDescent="0.2">
      <c r="A156" s="983"/>
      <c r="B156" s="983"/>
      <c r="C156" s="983"/>
      <c r="D156" s="983"/>
      <c r="E156" s="983"/>
      <c r="F156" s="983"/>
      <c r="G156" s="983"/>
      <c r="H156" s="983"/>
      <c r="I156" s="983"/>
      <c r="J156" s="983"/>
      <c r="K156" s="983"/>
      <c r="L156" s="983"/>
      <c r="M156" s="983"/>
    </row>
    <row r="157" spans="1:13" ht="11.25" x14ac:dyDescent="0.2">
      <c r="A157" s="983"/>
      <c r="B157" s="983"/>
      <c r="C157" s="983"/>
      <c r="D157" s="983"/>
      <c r="E157" s="983"/>
      <c r="F157" s="983"/>
      <c r="G157" s="983"/>
      <c r="H157" s="983"/>
      <c r="I157" s="983"/>
      <c r="J157" s="983"/>
      <c r="K157" s="983"/>
      <c r="L157" s="983"/>
      <c r="M157" s="983"/>
    </row>
    <row r="158" spans="1:13" ht="11.25" x14ac:dyDescent="0.2">
      <c r="A158" s="983"/>
      <c r="B158" s="983"/>
      <c r="C158" s="983"/>
      <c r="D158" s="983"/>
      <c r="E158" s="983"/>
      <c r="F158" s="983"/>
      <c r="G158" s="983"/>
      <c r="H158" s="983"/>
      <c r="I158" s="983"/>
      <c r="J158" s="983"/>
      <c r="K158" s="983"/>
      <c r="L158" s="983"/>
      <c r="M158" s="983"/>
    </row>
    <row r="159" spans="1:13" ht="11.25" x14ac:dyDescent="0.2">
      <c r="A159" s="983"/>
      <c r="B159" s="983"/>
      <c r="C159" s="983"/>
      <c r="D159" s="983"/>
      <c r="E159" s="983"/>
      <c r="F159" s="983"/>
      <c r="G159" s="983"/>
      <c r="H159" s="983"/>
      <c r="I159" s="983"/>
      <c r="J159" s="983"/>
      <c r="K159" s="983"/>
      <c r="L159" s="983"/>
      <c r="M159" s="983"/>
    </row>
    <row r="160" spans="1:13" ht="11.25" x14ac:dyDescent="0.2">
      <c r="A160" s="983"/>
      <c r="B160" s="983"/>
      <c r="C160" s="983"/>
      <c r="D160" s="983"/>
      <c r="E160" s="983"/>
      <c r="F160" s="983"/>
      <c r="G160" s="983"/>
      <c r="H160" s="983"/>
      <c r="I160" s="983"/>
      <c r="J160" s="983"/>
      <c r="K160" s="983"/>
      <c r="L160" s="983"/>
      <c r="M160" s="983"/>
    </row>
    <row r="161" spans="1:13" ht="11.25" x14ac:dyDescent="0.2">
      <c r="A161" s="983"/>
      <c r="B161" s="983"/>
      <c r="C161" s="983"/>
      <c r="D161" s="983"/>
      <c r="E161" s="983"/>
      <c r="F161" s="983"/>
      <c r="G161" s="983"/>
      <c r="H161" s="983"/>
      <c r="I161" s="983"/>
      <c r="J161" s="983"/>
      <c r="K161" s="983"/>
      <c r="L161" s="983"/>
      <c r="M161" s="983"/>
    </row>
    <row r="162" spans="1:13" ht="11.25" x14ac:dyDescent="0.2">
      <c r="A162" s="983"/>
      <c r="B162" s="983"/>
      <c r="C162" s="983"/>
      <c r="D162" s="983"/>
      <c r="E162" s="983"/>
      <c r="F162" s="983"/>
      <c r="G162" s="983"/>
      <c r="H162" s="983"/>
      <c r="I162" s="983"/>
      <c r="J162" s="983"/>
      <c r="K162" s="983"/>
      <c r="L162" s="983"/>
      <c r="M162" s="983"/>
    </row>
    <row r="163" spans="1:13" ht="11.25" x14ac:dyDescent="0.2">
      <c r="A163" s="983"/>
      <c r="B163" s="983"/>
      <c r="C163" s="983"/>
      <c r="D163" s="983"/>
      <c r="E163" s="983"/>
      <c r="F163" s="983"/>
      <c r="G163" s="983"/>
      <c r="H163" s="983"/>
      <c r="I163" s="983"/>
      <c r="J163" s="983"/>
      <c r="K163" s="983"/>
      <c r="L163" s="983"/>
      <c r="M163" s="983"/>
    </row>
    <row r="164" spans="1:13" ht="11.25" x14ac:dyDescent="0.2">
      <c r="A164" s="983"/>
      <c r="B164" s="983"/>
      <c r="C164" s="983"/>
      <c r="D164" s="983"/>
      <c r="E164" s="983"/>
      <c r="F164" s="983"/>
      <c r="G164" s="983"/>
      <c r="H164" s="983"/>
      <c r="I164" s="983"/>
      <c r="J164" s="983"/>
      <c r="K164" s="983"/>
      <c r="L164" s="983"/>
      <c r="M164" s="983"/>
    </row>
    <row r="165" spans="1:13" ht="11.25" x14ac:dyDescent="0.2">
      <c r="A165" s="983"/>
      <c r="B165" s="983"/>
      <c r="C165" s="983"/>
      <c r="D165" s="983"/>
      <c r="E165" s="983"/>
      <c r="F165" s="983"/>
      <c r="G165" s="983"/>
      <c r="H165" s="983"/>
      <c r="I165" s="983"/>
      <c r="J165" s="983"/>
      <c r="K165" s="983"/>
      <c r="L165" s="983"/>
      <c r="M165" s="983"/>
    </row>
    <row r="166" spans="1:13" ht="11.25" x14ac:dyDescent="0.2">
      <c r="A166" s="983"/>
      <c r="B166" s="983"/>
      <c r="C166" s="983"/>
      <c r="D166" s="983"/>
      <c r="E166" s="983"/>
      <c r="F166" s="983"/>
      <c r="G166" s="983"/>
      <c r="H166" s="983"/>
      <c r="I166" s="983"/>
      <c r="J166" s="983"/>
      <c r="K166" s="983"/>
      <c r="L166" s="983"/>
      <c r="M166" s="983"/>
    </row>
    <row r="167" spans="1:13" ht="11.25" x14ac:dyDescent="0.2">
      <c r="A167" s="983"/>
      <c r="B167" s="983"/>
      <c r="C167" s="983"/>
      <c r="D167" s="983"/>
      <c r="E167" s="983"/>
      <c r="F167" s="983"/>
      <c r="G167" s="983"/>
      <c r="H167" s="983"/>
      <c r="I167" s="983"/>
      <c r="J167" s="983"/>
      <c r="K167" s="983"/>
      <c r="L167" s="983"/>
      <c r="M167" s="983"/>
    </row>
    <row r="168" spans="1:13" ht="11.25" x14ac:dyDescent="0.2">
      <c r="A168" s="983"/>
      <c r="B168" s="983"/>
      <c r="C168" s="983"/>
      <c r="D168" s="983"/>
      <c r="E168" s="983"/>
      <c r="F168" s="983"/>
      <c r="G168" s="983"/>
      <c r="H168" s="983"/>
      <c r="I168" s="983"/>
      <c r="J168" s="983"/>
      <c r="K168" s="983"/>
      <c r="L168" s="983"/>
      <c r="M168" s="983"/>
    </row>
  </sheetData>
  <mergeCells count="4">
    <mergeCell ref="A1:M1"/>
    <mergeCell ref="A2:M2"/>
    <mergeCell ref="A3:M3"/>
    <mergeCell ref="A4:M4"/>
  </mergeCells>
  <phoneticPr fontId="0" type="noConversion"/>
  <printOptions horizontalCentered="1"/>
  <pageMargins left="0.75" right="0.5" top="0.75" bottom="0.5" header="0.5" footer="0.5"/>
  <pageSetup scale="95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92"/>
  <dimension ref="A1:P97"/>
  <sheetViews>
    <sheetView showGridLines="0" zoomScaleNormal="100" workbookViewId="0">
      <selection activeCell="C27" sqref="C27"/>
    </sheetView>
  </sheetViews>
  <sheetFormatPr defaultColWidth="11.83203125" defaultRowHeight="12.75" x14ac:dyDescent="0.2"/>
  <cols>
    <col min="1" max="1" width="8.83203125" style="1007" customWidth="1"/>
    <col min="2" max="2" width="7.5" style="1007" customWidth="1"/>
    <col min="3" max="3" width="18.83203125" style="1007" customWidth="1"/>
    <col min="4" max="4" width="12.83203125" style="1007" customWidth="1"/>
    <col min="5" max="5" width="6.83203125" style="1007" customWidth="1"/>
    <col min="6" max="6" width="16.5" style="1007" bestFit="1" customWidth="1"/>
    <col min="7" max="7" width="5.5" style="1007" customWidth="1"/>
    <col min="8" max="8" width="13.33203125" style="1007" customWidth="1"/>
    <col min="9" max="9" width="5.83203125" style="1007" customWidth="1"/>
    <col min="10" max="10" width="18.33203125" style="1007" customWidth="1"/>
    <col min="11" max="11" width="14.83203125" style="1007" customWidth="1"/>
    <col min="12" max="16384" width="11.83203125" style="1007"/>
  </cols>
  <sheetData>
    <row r="1" spans="1:11" x14ac:dyDescent="0.2">
      <c r="A1" s="2203" t="str">
        <f>co</f>
        <v>COLUMBIA GAS OF KENTUCKY, INC.</v>
      </c>
      <c r="B1" s="2203"/>
      <c r="C1" s="2203"/>
      <c r="D1" s="2203"/>
      <c r="E1" s="2203"/>
      <c r="F1" s="2203"/>
      <c r="G1" s="2203"/>
      <c r="H1" s="2203"/>
      <c r="I1" s="2203"/>
      <c r="J1" s="2203"/>
      <c r="K1" s="1315"/>
    </row>
    <row r="2" spans="1:11" x14ac:dyDescent="0.2">
      <c r="A2" s="2203" t="str">
        <f>'J-1 Base Period Cost of Capital'!A2:M2</f>
        <v>CASE NO. 2016 - 00162</v>
      </c>
      <c r="B2" s="2203"/>
      <c r="C2" s="2203"/>
      <c r="D2" s="2203"/>
      <c r="E2" s="2203"/>
      <c r="F2" s="2203"/>
      <c r="G2" s="2203"/>
      <c r="H2" s="2203"/>
      <c r="I2" s="2203"/>
      <c r="J2" s="2203"/>
      <c r="K2" s="1315"/>
    </row>
    <row r="3" spans="1:11" x14ac:dyDescent="0.2">
      <c r="A3" s="2204" t="s">
        <v>469</v>
      </c>
      <c r="B3" s="2204"/>
      <c r="C3" s="2204"/>
      <c r="D3" s="2204"/>
      <c r="E3" s="2204"/>
      <c r="F3" s="2204"/>
      <c r="G3" s="2204"/>
      <c r="H3" s="2204"/>
      <c r="I3" s="2204"/>
      <c r="J3" s="2204"/>
      <c r="K3" s="1316"/>
    </row>
    <row r="4" spans="1:11" x14ac:dyDescent="0.2">
      <c r="A4" s="2205" t="s">
        <v>2047</v>
      </c>
      <c r="B4" s="2205"/>
      <c r="C4" s="2205"/>
      <c r="D4" s="2205"/>
      <c r="E4" s="2205"/>
      <c r="F4" s="2205"/>
      <c r="G4" s="2205"/>
      <c r="H4" s="2205"/>
      <c r="I4" s="2205"/>
      <c r="J4" s="2205"/>
      <c r="K4" s="1317"/>
    </row>
    <row r="5" spans="1:11" x14ac:dyDescent="0.2">
      <c r="A5" s="1286"/>
      <c r="B5" s="1286"/>
      <c r="C5" s="1286"/>
      <c r="D5" s="1286"/>
      <c r="E5" s="1286"/>
      <c r="F5" s="1286"/>
      <c r="G5" s="1286"/>
      <c r="H5" s="1286"/>
      <c r="I5" s="1286"/>
      <c r="J5" s="1286"/>
      <c r="K5" s="1317"/>
    </row>
    <row r="6" spans="1:11" x14ac:dyDescent="0.2">
      <c r="A6" s="1286"/>
      <c r="B6" s="1286"/>
      <c r="C6" s="1286"/>
      <c r="D6" s="1286"/>
      <c r="E6" s="1286"/>
      <c r="F6" s="1286"/>
      <c r="G6" s="1286"/>
      <c r="H6" s="1286"/>
      <c r="I6" s="1286"/>
      <c r="J6" s="1286"/>
      <c r="K6" s="1317"/>
    </row>
    <row r="8" spans="1:11" x14ac:dyDescent="0.2">
      <c r="A8" s="990" t="s">
        <v>1109</v>
      </c>
      <c r="J8" s="1318" t="s">
        <v>470</v>
      </c>
    </row>
    <row r="9" spans="1:11" x14ac:dyDescent="0.2">
      <c r="A9" s="990" t="s">
        <v>977</v>
      </c>
      <c r="J9" s="1318" t="s">
        <v>1299</v>
      </c>
    </row>
    <row r="10" spans="1:11" x14ac:dyDescent="0.2">
      <c r="A10" s="992" t="s">
        <v>996</v>
      </c>
      <c r="B10" s="1009"/>
      <c r="C10" s="1009"/>
      <c r="D10" s="1009"/>
      <c r="E10" s="1009"/>
      <c r="F10" s="1009"/>
      <c r="G10" s="1009"/>
      <c r="H10" s="1009"/>
      <c r="I10" s="1009"/>
      <c r="J10" s="1319" t="str">
        <f>'J-1 Cost of Capital Summary'!M10</f>
        <v>WITNESS: P. R. MOUL</v>
      </c>
      <c r="K10" s="1012"/>
    </row>
    <row r="11" spans="1:11" ht="18.75" customHeight="1" x14ac:dyDescent="0.2">
      <c r="J11" s="1008" t="s">
        <v>471</v>
      </c>
      <c r="K11" s="1013"/>
    </row>
    <row r="12" spans="1:11" x14ac:dyDescent="0.2">
      <c r="A12" s="1008" t="s">
        <v>632</v>
      </c>
      <c r="F12" s="1008" t="s">
        <v>771</v>
      </c>
      <c r="H12" s="1008" t="s">
        <v>473</v>
      </c>
      <c r="J12" s="1008" t="s">
        <v>292</v>
      </c>
      <c r="K12" s="1013"/>
    </row>
    <row r="13" spans="1:11" x14ac:dyDescent="0.2">
      <c r="A13" s="1010" t="s">
        <v>635</v>
      </c>
      <c r="B13" s="1009"/>
      <c r="C13" s="1010" t="s">
        <v>474</v>
      </c>
      <c r="D13" s="1009"/>
      <c r="E13" s="1009"/>
      <c r="F13" s="1010" t="s">
        <v>475</v>
      </c>
      <c r="G13" s="1009"/>
      <c r="H13" s="1010" t="s">
        <v>278</v>
      </c>
      <c r="I13" s="1009"/>
      <c r="J13" s="1010" t="s">
        <v>780</v>
      </c>
      <c r="K13" s="1013"/>
    </row>
    <row r="14" spans="1:11" x14ac:dyDescent="0.2">
      <c r="C14" s="1008" t="s">
        <v>834</v>
      </c>
      <c r="F14" s="1008" t="s">
        <v>835</v>
      </c>
      <c r="H14" s="1008" t="s">
        <v>836</v>
      </c>
      <c r="J14" s="1314" t="s">
        <v>1779</v>
      </c>
      <c r="K14" s="1013"/>
    </row>
    <row r="16" spans="1:11" x14ac:dyDescent="0.2">
      <c r="A16" s="1279">
        <v>1</v>
      </c>
      <c r="C16" s="1793" t="s">
        <v>2219</v>
      </c>
      <c r="D16" s="1309"/>
      <c r="E16" s="1306"/>
      <c r="F16" s="1832">
        <v>0</v>
      </c>
    </row>
    <row r="17" spans="1:12" x14ac:dyDescent="0.2">
      <c r="A17" s="1279">
        <f>A16+1</f>
        <v>2</v>
      </c>
      <c r="C17" s="1793" t="s">
        <v>2220</v>
      </c>
      <c r="D17" s="1306"/>
      <c r="E17" s="1306"/>
      <c r="F17" s="1832">
        <v>0</v>
      </c>
    </row>
    <row r="18" spans="1:12" x14ac:dyDescent="0.2">
      <c r="A18" s="1279">
        <f t="shared" ref="A18:A28" si="0">A17+1</f>
        <v>3</v>
      </c>
      <c r="C18" s="1793" t="s">
        <v>2209</v>
      </c>
      <c r="D18" s="1309"/>
      <c r="E18" s="1306"/>
      <c r="F18" s="1832">
        <v>0</v>
      </c>
    </row>
    <row r="19" spans="1:12" x14ac:dyDescent="0.2">
      <c r="A19" s="1279">
        <f t="shared" si="0"/>
        <v>4</v>
      </c>
      <c r="C19" s="1793" t="s">
        <v>2210</v>
      </c>
      <c r="D19" s="1306"/>
      <c r="E19" s="1306"/>
      <c r="F19" s="1832">
        <v>0</v>
      </c>
    </row>
    <row r="20" spans="1:12" x14ac:dyDescent="0.2">
      <c r="A20" s="1279">
        <f t="shared" si="0"/>
        <v>5</v>
      </c>
      <c r="C20" s="1793" t="s">
        <v>2221</v>
      </c>
      <c r="D20" s="1309"/>
      <c r="E20" s="1306"/>
      <c r="F20" s="1832">
        <v>0</v>
      </c>
    </row>
    <row r="21" spans="1:12" x14ac:dyDescent="0.2">
      <c r="A21" s="1279">
        <f t="shared" si="0"/>
        <v>6</v>
      </c>
      <c r="C21" s="1793" t="s">
        <v>2222</v>
      </c>
      <c r="D21" s="1306"/>
      <c r="E21" s="1306"/>
      <c r="F21" s="1832">
        <v>0</v>
      </c>
    </row>
    <row r="22" spans="1:12" x14ac:dyDescent="0.2">
      <c r="A22" s="1279">
        <f t="shared" si="0"/>
        <v>7</v>
      </c>
      <c r="C22" s="1793" t="s">
        <v>2223</v>
      </c>
      <c r="D22" s="1306"/>
      <c r="E22" s="1306"/>
      <c r="F22" s="1832">
        <v>0</v>
      </c>
    </row>
    <row r="23" spans="1:12" x14ac:dyDescent="0.2">
      <c r="A23" s="1279">
        <f t="shared" si="0"/>
        <v>8</v>
      </c>
      <c r="C23" s="1793" t="s">
        <v>2224</v>
      </c>
      <c r="D23" s="1309"/>
      <c r="E23" s="1306"/>
      <c r="F23" s="1832">
        <v>0</v>
      </c>
    </row>
    <row r="24" spans="1:12" x14ac:dyDescent="0.2">
      <c r="A24" s="1279">
        <f t="shared" si="0"/>
        <v>9</v>
      </c>
      <c r="C24" s="1793" t="s">
        <v>2225</v>
      </c>
      <c r="D24" s="1301"/>
      <c r="E24" s="1302"/>
      <c r="F24" s="1832">
        <v>2383000</v>
      </c>
    </row>
    <row r="25" spans="1:12" x14ac:dyDescent="0.2">
      <c r="A25" s="1279">
        <f t="shared" si="0"/>
        <v>10</v>
      </c>
      <c r="C25" s="1793" t="s">
        <v>2226</v>
      </c>
      <c r="D25" s="1301"/>
      <c r="E25" s="1302"/>
      <c r="F25" s="1832">
        <v>7962000</v>
      </c>
    </row>
    <row r="26" spans="1:12" x14ac:dyDescent="0.2">
      <c r="A26" s="1279">
        <f t="shared" si="0"/>
        <v>11</v>
      </c>
      <c r="C26" s="1793" t="s">
        <v>2227</v>
      </c>
      <c r="D26" s="1302"/>
      <c r="E26" s="1302"/>
      <c r="F26" s="1832">
        <v>11529000</v>
      </c>
    </row>
    <row r="27" spans="1:12" x14ac:dyDescent="0.2">
      <c r="A27" s="1279">
        <f t="shared" si="0"/>
        <v>12</v>
      </c>
      <c r="C27" s="1794" t="s">
        <v>2228</v>
      </c>
      <c r="D27" s="1301"/>
      <c r="E27" s="1302"/>
      <c r="F27" s="1832">
        <v>9346000</v>
      </c>
    </row>
    <row r="28" spans="1:12" x14ac:dyDescent="0.2">
      <c r="A28" s="1279">
        <f t="shared" si="0"/>
        <v>13</v>
      </c>
      <c r="C28" s="1794" t="s">
        <v>2229</v>
      </c>
      <c r="D28" s="1301"/>
      <c r="E28" s="1302"/>
      <c r="F28" s="1833">
        <v>9265000</v>
      </c>
    </row>
    <row r="29" spans="1:12" x14ac:dyDescent="0.2">
      <c r="A29" s="1279" t="s">
        <v>680</v>
      </c>
      <c r="D29" s="1301"/>
      <c r="E29" s="1302"/>
      <c r="F29" s="1302"/>
    </row>
    <row r="30" spans="1:12" x14ac:dyDescent="0.2">
      <c r="A30" s="1279">
        <f>A28+1</f>
        <v>14</v>
      </c>
      <c r="C30" s="1007" t="s">
        <v>1194</v>
      </c>
      <c r="D30" s="1302"/>
      <c r="E30" s="1302"/>
      <c r="F30" s="1310">
        <f>SUM(F16:F29)</f>
        <v>40485000</v>
      </c>
    </row>
    <row r="31" spans="1:12" x14ac:dyDescent="0.2">
      <c r="A31" s="1279" t="s">
        <v>680</v>
      </c>
      <c r="D31" s="1302"/>
      <c r="E31" s="1302"/>
      <c r="F31" s="1311"/>
    </row>
    <row r="32" spans="1:12" ht="13.5" thickBot="1" x14ac:dyDescent="0.25">
      <c r="A32" s="1279">
        <f>A30+1</f>
        <v>15</v>
      </c>
      <c r="C32" s="1312" t="s">
        <v>1168</v>
      </c>
      <c r="D32" s="1301"/>
      <c r="E32" s="1302"/>
      <c r="F32" s="1313">
        <f>ROUND(F30/13,0)</f>
        <v>3114231</v>
      </c>
      <c r="H32" s="1834">
        <v>2.5000000000000001E-2</v>
      </c>
      <c r="J32" s="1313">
        <f>F32*H32</f>
        <v>77855.775000000009</v>
      </c>
      <c r="L32" s="1835"/>
    </row>
    <row r="33" spans="1:11" ht="13.5" thickTop="1" x14ac:dyDescent="0.2">
      <c r="A33" s="1279" t="s">
        <v>680</v>
      </c>
    </row>
    <row r="34" spans="1:11" ht="13.5" thickBot="1" x14ac:dyDescent="0.25">
      <c r="A34" s="1279">
        <f>A32+1</f>
        <v>16</v>
      </c>
      <c r="C34" s="1007" t="s">
        <v>1778</v>
      </c>
      <c r="D34" s="1302"/>
      <c r="E34" s="1302"/>
      <c r="F34" s="911">
        <f>J32/F32</f>
        <v>2.5000000000000001E-2</v>
      </c>
    </row>
    <row r="35" spans="1:11" ht="13.5" thickTop="1" x14ac:dyDescent="0.2">
      <c r="A35" s="1279"/>
      <c r="D35" s="1302"/>
      <c r="E35" s="1302"/>
      <c r="F35" s="914"/>
    </row>
    <row r="36" spans="1:11" x14ac:dyDescent="0.2">
      <c r="A36" s="1279"/>
      <c r="D36" s="1302"/>
      <c r="E36" s="1302"/>
      <c r="F36" s="914"/>
    </row>
    <row r="37" spans="1:11" x14ac:dyDescent="0.2">
      <c r="A37" s="1279"/>
      <c r="D37" s="1302"/>
      <c r="E37" s="1302"/>
      <c r="F37" s="914"/>
    </row>
    <row r="39" spans="1:11" x14ac:dyDescent="0.2">
      <c r="A39" s="1315" t="s">
        <v>680</v>
      </c>
      <c r="B39" s="1865"/>
      <c r="C39" s="1302"/>
      <c r="D39" s="1302"/>
      <c r="E39" s="1302"/>
      <c r="F39" s="1302"/>
      <c r="G39" s="1303"/>
      <c r="H39" s="1302"/>
      <c r="I39" s="1304"/>
      <c r="J39" s="1302"/>
      <c r="K39" s="1302"/>
    </row>
    <row r="40" spans="1:11" x14ac:dyDescent="0.2">
      <c r="B40" s="1302"/>
      <c r="C40" s="1301"/>
      <c r="D40" s="1302"/>
      <c r="E40" s="1302"/>
      <c r="F40" s="1302"/>
      <c r="G40" s="1303"/>
      <c r="H40" s="1305"/>
      <c r="I40" s="1304"/>
      <c r="J40" s="1304"/>
      <c r="K40" s="1302"/>
    </row>
    <row r="41" spans="1:11" x14ac:dyDescent="0.2">
      <c r="B41" s="1302"/>
      <c r="C41" s="1301"/>
      <c r="D41" s="1302"/>
      <c r="E41" s="1302"/>
      <c r="F41" s="1302"/>
      <c r="G41" s="1302"/>
      <c r="H41" s="1302"/>
      <c r="I41" s="1302"/>
      <c r="J41" s="1302"/>
      <c r="K41" s="1302"/>
    </row>
    <row r="42" spans="1:11" x14ac:dyDescent="0.2">
      <c r="B42" s="1302"/>
      <c r="C42" s="1301"/>
      <c r="D42" s="1302"/>
      <c r="E42" s="1302"/>
      <c r="F42" s="1302"/>
      <c r="G42" s="1302"/>
      <c r="H42" s="1302"/>
      <c r="I42" s="1302"/>
      <c r="J42" s="1302"/>
      <c r="K42" s="1302"/>
    </row>
    <row r="43" spans="1:11" x14ac:dyDescent="0.2">
      <c r="C43" s="1302"/>
      <c r="D43" s="1302"/>
      <c r="E43" s="1302"/>
      <c r="F43" s="1302"/>
      <c r="G43" s="1302"/>
      <c r="H43" s="1302"/>
      <c r="I43" s="1302"/>
      <c r="J43" s="1302"/>
      <c r="K43" s="1302"/>
    </row>
    <row r="44" spans="1:11" x14ac:dyDescent="0.2">
      <c r="C44" s="1301"/>
      <c r="D44" s="1302"/>
      <c r="E44" s="1302"/>
      <c r="F44" s="1302"/>
      <c r="G44" s="1303"/>
      <c r="H44" s="1302"/>
      <c r="I44" s="1304"/>
      <c r="J44" s="1302"/>
      <c r="K44" s="1302"/>
    </row>
    <row r="45" spans="1:11" x14ac:dyDescent="0.2">
      <c r="C45" s="1301"/>
      <c r="D45" s="1302"/>
      <c r="E45" s="1302"/>
      <c r="F45" s="1302"/>
      <c r="G45" s="1303"/>
      <c r="H45" s="1305"/>
      <c r="I45" s="1304"/>
      <c r="J45" s="1304"/>
      <c r="K45" s="1302"/>
    </row>
    <row r="46" spans="1:11" x14ac:dyDescent="0.2">
      <c r="C46" s="1301"/>
      <c r="D46" s="1302"/>
      <c r="E46" s="1302"/>
      <c r="F46" s="1302"/>
      <c r="G46" s="1303"/>
      <c r="H46" s="1302"/>
      <c r="I46" s="1304"/>
      <c r="J46" s="1302"/>
      <c r="K46" s="1302"/>
    </row>
    <row r="47" spans="1:11" x14ac:dyDescent="0.2">
      <c r="C47" s="1302"/>
      <c r="D47" s="1302"/>
      <c r="E47" s="1302"/>
      <c r="F47" s="1302"/>
      <c r="G47" s="1303"/>
      <c r="H47" s="1303"/>
      <c r="I47" s="1304"/>
      <c r="J47" s="1304"/>
      <c r="K47" s="1302"/>
    </row>
    <row r="48" spans="1:11" x14ac:dyDescent="0.2">
      <c r="C48" s="1301"/>
      <c r="D48" s="1302"/>
      <c r="E48" s="1302"/>
      <c r="F48" s="1302"/>
      <c r="G48" s="1303"/>
      <c r="H48" s="1302"/>
      <c r="I48" s="1302"/>
      <c r="J48" s="1302"/>
      <c r="K48" s="1302"/>
    </row>
    <row r="49" spans="1:16" x14ac:dyDescent="0.2">
      <c r="C49" s="1301"/>
      <c r="D49" s="1302"/>
      <c r="E49" s="1302"/>
      <c r="F49" s="1302"/>
      <c r="G49" s="1302"/>
      <c r="H49" s="1302"/>
      <c r="I49" s="1302"/>
      <c r="J49" s="1302"/>
      <c r="K49" s="1302"/>
    </row>
    <row r="50" spans="1:16" x14ac:dyDescent="0.2">
      <c r="C50" s="1302"/>
      <c r="D50" s="1302"/>
      <c r="E50" s="1302"/>
      <c r="F50" s="1302"/>
      <c r="G50" s="1302"/>
      <c r="H50" s="1302"/>
      <c r="I50" s="1302"/>
      <c r="J50" s="1302"/>
      <c r="K50" s="1302"/>
    </row>
    <row r="51" spans="1:16" x14ac:dyDescent="0.2">
      <c r="C51" s="1302"/>
      <c r="D51" s="1302"/>
      <c r="E51" s="1302"/>
      <c r="F51" s="1302"/>
      <c r="G51" s="1302"/>
      <c r="H51" s="1302"/>
      <c r="I51" s="1302"/>
      <c r="J51" s="1302"/>
      <c r="K51" s="1302"/>
    </row>
    <row r="52" spans="1:16" x14ac:dyDescent="0.2">
      <c r="C52" s="1302"/>
      <c r="D52" s="1302"/>
      <c r="E52" s="1302"/>
      <c r="F52" s="1302"/>
      <c r="G52" s="1302"/>
      <c r="H52" s="1302"/>
      <c r="I52" s="1302"/>
      <c r="J52" s="1302"/>
      <c r="K52" s="1302"/>
    </row>
    <row r="53" spans="1:16" x14ac:dyDescent="0.2">
      <c r="A53" s="1012"/>
      <c r="B53" s="1012"/>
      <c r="C53" s="1306"/>
      <c r="D53" s="1306"/>
      <c r="E53" s="1306"/>
      <c r="F53" s="1306"/>
      <c r="G53" s="1306"/>
      <c r="H53" s="1306"/>
      <c r="I53" s="1306"/>
      <c r="J53" s="1306"/>
      <c r="K53" s="1306"/>
    </row>
    <row r="54" spans="1:16" x14ac:dyDescent="0.2">
      <c r="A54" s="1012"/>
      <c r="B54" s="1012"/>
      <c r="C54" s="1306"/>
      <c r="D54" s="1306"/>
      <c r="E54" s="1306"/>
      <c r="F54" s="1306"/>
      <c r="G54" s="1306"/>
      <c r="H54" s="1306"/>
      <c r="I54" s="1306"/>
      <c r="J54" s="1306"/>
      <c r="K54" s="1306"/>
    </row>
    <row r="55" spans="1:16" x14ac:dyDescent="0.2">
      <c r="A55" s="1012"/>
      <c r="B55" s="1012"/>
      <c r="C55" s="1306"/>
      <c r="D55" s="1306"/>
      <c r="E55" s="1306"/>
      <c r="F55" s="1306"/>
      <c r="G55" s="1306"/>
      <c r="H55" s="1306"/>
      <c r="I55" s="1306"/>
      <c r="J55" s="1306"/>
      <c r="K55" s="1306"/>
    </row>
    <row r="56" spans="1:16" x14ac:dyDescent="0.2">
      <c r="A56" s="1012"/>
      <c r="B56" s="1012"/>
      <c r="C56" s="1306"/>
      <c r="D56" s="1306"/>
      <c r="E56" s="1306"/>
      <c r="F56" s="1306"/>
      <c r="G56" s="1307"/>
      <c r="H56" s="1306"/>
      <c r="I56" s="1306"/>
      <c r="J56" s="1306"/>
      <c r="K56" s="1306"/>
    </row>
    <row r="57" spans="1:16" x14ac:dyDescent="0.2">
      <c r="A57" s="1012"/>
      <c r="B57" s="1012"/>
      <c r="C57" s="1306"/>
      <c r="D57" s="1306"/>
      <c r="E57" s="1306"/>
      <c r="F57" s="1306"/>
      <c r="G57" s="1307"/>
      <c r="H57" s="1306"/>
      <c r="I57" s="1306"/>
      <c r="J57" s="1306"/>
      <c r="K57" s="1306"/>
    </row>
    <row r="58" spans="1:16" x14ac:dyDescent="0.2">
      <c r="A58" s="1014"/>
      <c r="B58" s="1012"/>
      <c r="C58" s="1306"/>
      <c r="D58" s="1306"/>
      <c r="E58" s="1306"/>
      <c r="F58" s="1306"/>
      <c r="G58" s="1307"/>
      <c r="H58" s="1306"/>
      <c r="I58" s="1306"/>
      <c r="J58" s="1306"/>
      <c r="K58" s="1306"/>
    </row>
    <row r="59" spans="1:16" x14ac:dyDescent="0.2">
      <c r="A59" s="1012"/>
      <c r="B59" s="1012"/>
      <c r="C59" s="1012"/>
      <c r="D59" s="1012"/>
      <c r="E59" s="1012"/>
      <c r="F59" s="1012"/>
      <c r="G59" s="1013"/>
      <c r="H59" s="1012"/>
      <c r="I59" s="1012"/>
      <c r="J59" s="1012"/>
      <c r="K59" s="1012"/>
      <c r="M59" s="1011"/>
      <c r="N59" s="1011"/>
      <c r="O59" s="1011"/>
      <c r="P59" s="1011"/>
    </row>
    <row r="60" spans="1:16" x14ac:dyDescent="0.2">
      <c r="A60" s="1012"/>
      <c r="B60" s="1012"/>
      <c r="C60" s="1012"/>
      <c r="D60" s="1012"/>
      <c r="E60" s="1012"/>
      <c r="F60" s="1012"/>
      <c r="G60" s="1012"/>
      <c r="H60" s="1012"/>
      <c r="I60" s="1012"/>
      <c r="J60" s="1012"/>
      <c r="K60" s="1012"/>
      <c r="M60" s="1011"/>
      <c r="N60" s="1011"/>
      <c r="O60" s="1011"/>
      <c r="P60" s="1011"/>
    </row>
    <row r="61" spans="1:16" x14ac:dyDescent="0.2">
      <c r="A61" s="1015"/>
      <c r="B61" s="1012"/>
      <c r="C61" s="1012"/>
      <c r="D61" s="1012"/>
      <c r="E61" s="1012"/>
      <c r="F61" s="1012"/>
      <c r="G61" s="1012"/>
      <c r="H61" s="1012"/>
      <c r="I61" s="1012"/>
      <c r="J61" s="1012"/>
      <c r="K61" s="1012"/>
      <c r="M61" s="1011"/>
      <c r="N61" s="1011"/>
      <c r="O61" s="1011"/>
      <c r="P61" s="1011"/>
    </row>
    <row r="62" spans="1:16" x14ac:dyDescent="0.2">
      <c r="A62" s="1015"/>
      <c r="B62" s="1012"/>
      <c r="C62" s="1012"/>
      <c r="D62" s="1012"/>
      <c r="E62" s="1012"/>
      <c r="F62" s="1012"/>
      <c r="G62" s="1012"/>
      <c r="H62" s="1012"/>
      <c r="I62" s="1012"/>
      <c r="J62" s="1012"/>
      <c r="K62" s="1012"/>
      <c r="M62" s="1011"/>
      <c r="N62" s="1011"/>
      <c r="O62" s="1011"/>
      <c r="P62" s="1011"/>
    </row>
    <row r="63" spans="1:16" x14ac:dyDescent="0.2">
      <c r="A63" s="1015"/>
      <c r="B63" s="1012"/>
      <c r="C63" s="1012"/>
      <c r="D63" s="1012"/>
      <c r="E63" s="1012"/>
      <c r="F63" s="1012"/>
      <c r="G63" s="1012"/>
      <c r="H63" s="1012"/>
      <c r="I63" s="1012"/>
      <c r="J63" s="1012"/>
      <c r="K63" s="1012"/>
      <c r="M63" s="1011"/>
      <c r="N63" s="1011"/>
      <c r="O63" s="1011"/>
      <c r="P63" s="1011"/>
    </row>
    <row r="64" spans="1:16" x14ac:dyDescent="0.2">
      <c r="A64" s="1012"/>
      <c r="B64" s="1012"/>
      <c r="C64" s="1012"/>
      <c r="D64" s="1012"/>
      <c r="E64" s="1012"/>
      <c r="F64" s="1012"/>
      <c r="G64" s="1012"/>
      <c r="H64" s="1012"/>
      <c r="I64" s="1012"/>
      <c r="J64" s="1013"/>
      <c r="K64" s="1013"/>
    </row>
    <row r="65" spans="1:12" x14ac:dyDescent="0.2">
      <c r="A65" s="1013"/>
      <c r="B65" s="1012"/>
      <c r="C65" s="1012"/>
      <c r="D65" s="1012"/>
      <c r="E65" s="1012"/>
      <c r="F65" s="1013"/>
      <c r="G65" s="1012"/>
      <c r="H65" s="1013"/>
      <c r="I65" s="1012"/>
      <c r="J65" s="1013"/>
      <c r="K65" s="1013"/>
    </row>
    <row r="66" spans="1:12" x14ac:dyDescent="0.2">
      <c r="A66" s="1013"/>
      <c r="B66" s="1012"/>
      <c r="C66" s="1013"/>
      <c r="D66" s="1012"/>
      <c r="E66" s="1012"/>
      <c r="F66" s="1013"/>
      <c r="G66" s="1012"/>
      <c r="H66" s="1013"/>
      <c r="I66" s="1012"/>
      <c r="J66" s="1013"/>
      <c r="K66" s="1013"/>
    </row>
    <row r="67" spans="1:12" x14ac:dyDescent="0.2">
      <c r="A67" s="1012"/>
      <c r="B67" s="1012"/>
      <c r="C67" s="1013"/>
      <c r="D67" s="1012"/>
      <c r="E67" s="1012"/>
      <c r="F67" s="1013"/>
      <c r="G67" s="1012"/>
      <c r="H67" s="1013"/>
      <c r="I67" s="1012"/>
      <c r="J67" s="1013"/>
      <c r="K67" s="1013"/>
    </row>
    <row r="68" spans="1:12" x14ac:dyDescent="0.2">
      <c r="A68" s="1012"/>
      <c r="B68" s="1012"/>
      <c r="C68" s="1012"/>
      <c r="D68" s="1012"/>
      <c r="E68" s="1012"/>
      <c r="F68" s="1013"/>
      <c r="G68" s="1012"/>
      <c r="H68" s="1012"/>
      <c r="I68" s="1012"/>
      <c r="J68" s="1013"/>
      <c r="K68" s="1012"/>
    </row>
    <row r="69" spans="1:12" x14ac:dyDescent="0.2">
      <c r="A69" s="1012"/>
      <c r="B69" s="1012"/>
      <c r="C69" s="1012"/>
      <c r="D69" s="1012"/>
      <c r="E69" s="1012"/>
      <c r="F69" s="1012"/>
      <c r="G69" s="1012"/>
      <c r="H69" s="1012"/>
      <c r="I69" s="1012"/>
      <c r="J69" s="1012"/>
      <c r="K69" s="1012"/>
    </row>
    <row r="70" spans="1:12" x14ac:dyDescent="0.2">
      <c r="A70" s="1013"/>
      <c r="B70" s="1012"/>
      <c r="C70" s="1015"/>
      <c r="D70" s="1012"/>
      <c r="E70" s="1012"/>
      <c r="F70" s="1016"/>
      <c r="G70" s="1016"/>
      <c r="H70" s="1017"/>
      <c r="I70" s="1018"/>
      <c r="J70" s="1016"/>
      <c r="K70" s="1016"/>
      <c r="L70" s="1011"/>
    </row>
    <row r="71" spans="1:12" x14ac:dyDescent="0.2">
      <c r="A71" s="1012"/>
      <c r="B71" s="1012"/>
      <c r="C71" s="1012"/>
      <c r="D71" s="1012"/>
      <c r="E71" s="1012"/>
      <c r="F71" s="1012"/>
      <c r="G71" s="1012"/>
      <c r="H71" s="1012"/>
      <c r="I71" s="1012"/>
      <c r="J71" s="1012"/>
      <c r="K71" s="1012"/>
    </row>
    <row r="72" spans="1:12" x14ac:dyDescent="0.2">
      <c r="A72" s="1013"/>
      <c r="B72" s="1012"/>
      <c r="C72" s="1015"/>
      <c r="D72" s="1012"/>
      <c r="E72" s="1012"/>
      <c r="F72" s="1016"/>
      <c r="G72" s="1016"/>
      <c r="H72" s="1016"/>
      <c r="I72" s="1018"/>
      <c r="J72" s="1016"/>
      <c r="K72" s="1016"/>
      <c r="L72" s="1011"/>
    </row>
    <row r="73" spans="1:12" x14ac:dyDescent="0.2">
      <c r="A73" s="1012"/>
      <c r="B73" s="1012"/>
      <c r="C73" s="1012"/>
      <c r="D73" s="1012"/>
      <c r="E73" s="1012"/>
      <c r="F73" s="1016"/>
      <c r="G73" s="1016"/>
      <c r="H73" s="1019"/>
      <c r="I73" s="1018"/>
      <c r="J73" s="1012"/>
      <c r="K73" s="1016"/>
      <c r="L73" s="1011"/>
    </row>
    <row r="74" spans="1:12" x14ac:dyDescent="0.2">
      <c r="A74" s="1013"/>
      <c r="B74" s="1012"/>
      <c r="C74" s="1015"/>
      <c r="D74" s="1012"/>
      <c r="E74" s="1012"/>
      <c r="F74" s="1016"/>
      <c r="G74" s="1016"/>
      <c r="H74" s="1016"/>
      <c r="I74" s="1018"/>
      <c r="J74" s="1016"/>
      <c r="K74" s="1016"/>
      <c r="L74" s="1011"/>
    </row>
    <row r="75" spans="1:12" x14ac:dyDescent="0.2">
      <c r="A75" s="1012"/>
      <c r="B75" s="1012"/>
      <c r="C75" s="1012"/>
      <c r="D75" s="1012"/>
      <c r="E75" s="1012"/>
      <c r="F75" s="1016"/>
      <c r="G75" s="1016"/>
      <c r="H75" s="1019"/>
      <c r="I75" s="1016"/>
      <c r="J75" s="1016"/>
      <c r="K75" s="1016"/>
      <c r="L75" s="1011"/>
    </row>
    <row r="76" spans="1:12" x14ac:dyDescent="0.2">
      <c r="A76" s="1013"/>
      <c r="B76" s="1012"/>
      <c r="C76" s="1015"/>
      <c r="D76" s="1012"/>
      <c r="E76" s="1012"/>
      <c r="F76" s="1020"/>
      <c r="G76" s="1016"/>
      <c r="H76" s="1016"/>
      <c r="I76" s="1018"/>
      <c r="J76" s="1020"/>
      <c r="K76" s="1021"/>
      <c r="L76" s="1011"/>
    </row>
    <row r="77" spans="1:12" x14ac:dyDescent="0.2">
      <c r="A77" s="1012"/>
      <c r="B77" s="1012"/>
      <c r="C77" s="1012"/>
      <c r="D77" s="1012"/>
      <c r="E77" s="1012"/>
      <c r="F77" s="1016"/>
      <c r="G77" s="1016"/>
      <c r="H77" s="1019"/>
      <c r="I77" s="1018"/>
      <c r="J77" s="1018"/>
      <c r="K77" s="1016"/>
      <c r="L77" s="1011"/>
    </row>
    <row r="78" spans="1:12" x14ac:dyDescent="0.2">
      <c r="A78" s="1012"/>
      <c r="B78" s="1012"/>
      <c r="C78" s="1012"/>
      <c r="D78" s="1012"/>
      <c r="E78" s="1012"/>
      <c r="F78" s="1012"/>
      <c r="G78" s="1016"/>
      <c r="H78" s="1012"/>
      <c r="I78" s="1018"/>
      <c r="J78" s="1012"/>
      <c r="K78" s="1012"/>
    </row>
    <row r="79" spans="1:12" x14ac:dyDescent="0.2">
      <c r="A79" s="1012"/>
      <c r="B79" s="1012"/>
      <c r="C79" s="1015"/>
      <c r="D79" s="1012"/>
      <c r="E79" s="1012"/>
      <c r="F79" s="1012"/>
      <c r="G79" s="1016"/>
      <c r="H79" s="1019"/>
      <c r="I79" s="1018"/>
      <c r="J79" s="1018"/>
      <c r="K79" s="1012"/>
    </row>
    <row r="80" spans="1:12" x14ac:dyDescent="0.2">
      <c r="A80" s="1012"/>
      <c r="B80" s="1012"/>
      <c r="C80" s="1015"/>
      <c r="D80" s="1012"/>
      <c r="E80" s="1012"/>
      <c r="F80" s="1012"/>
      <c r="G80" s="1012"/>
      <c r="H80" s="1012"/>
      <c r="I80" s="1012"/>
      <c r="J80" s="1012"/>
      <c r="K80" s="1012"/>
    </row>
    <row r="81" spans="1:11" x14ac:dyDescent="0.2">
      <c r="A81" s="1012"/>
      <c r="B81" s="1012"/>
      <c r="C81" s="1015"/>
      <c r="D81" s="1012"/>
      <c r="E81" s="1012"/>
      <c r="F81" s="1012"/>
      <c r="G81" s="1012"/>
      <c r="H81" s="1012"/>
      <c r="I81" s="1012"/>
      <c r="J81" s="1012"/>
      <c r="K81" s="1012"/>
    </row>
    <row r="82" spans="1:11" x14ac:dyDescent="0.2">
      <c r="A82" s="1012"/>
      <c r="B82" s="1012"/>
      <c r="C82" s="1012"/>
      <c r="D82" s="1012"/>
      <c r="E82" s="1012"/>
      <c r="F82" s="1012"/>
      <c r="G82" s="1012"/>
      <c r="H82" s="1012"/>
      <c r="I82" s="1012"/>
      <c r="J82" s="1012"/>
      <c r="K82" s="1012"/>
    </row>
    <row r="83" spans="1:11" x14ac:dyDescent="0.2">
      <c r="A83" s="1012"/>
      <c r="B83" s="1012"/>
      <c r="C83" s="1015"/>
      <c r="D83" s="1012"/>
      <c r="E83" s="1012"/>
      <c r="F83" s="1012"/>
      <c r="G83" s="1016"/>
      <c r="H83" s="1012"/>
      <c r="I83" s="1018"/>
      <c r="J83" s="1012"/>
      <c r="K83" s="1012"/>
    </row>
    <row r="84" spans="1:11" x14ac:dyDescent="0.2">
      <c r="A84" s="1012"/>
      <c r="B84" s="1012"/>
      <c r="C84" s="1015"/>
      <c r="D84" s="1012"/>
      <c r="E84" s="1012"/>
      <c r="F84" s="1012"/>
      <c r="G84" s="1016"/>
      <c r="H84" s="1019"/>
      <c r="I84" s="1018"/>
      <c r="J84" s="1018"/>
      <c r="K84" s="1012"/>
    </row>
    <row r="85" spans="1:11" x14ac:dyDescent="0.2">
      <c r="A85" s="1012"/>
      <c r="B85" s="1012"/>
      <c r="C85" s="1015"/>
      <c r="D85" s="1012"/>
      <c r="E85" s="1012"/>
      <c r="F85" s="1012"/>
      <c r="G85" s="1016"/>
      <c r="H85" s="1012"/>
      <c r="I85" s="1018"/>
      <c r="J85" s="1012"/>
      <c r="K85" s="1012"/>
    </row>
    <row r="86" spans="1:11" x14ac:dyDescent="0.2">
      <c r="A86" s="1012"/>
      <c r="B86" s="1012"/>
      <c r="C86" s="1012"/>
      <c r="D86" s="1012"/>
      <c r="E86" s="1012"/>
      <c r="F86" s="1012"/>
      <c r="G86" s="1016"/>
      <c r="H86" s="1016"/>
      <c r="I86" s="1018"/>
      <c r="J86" s="1018"/>
      <c r="K86" s="1012"/>
    </row>
    <row r="87" spans="1:11" x14ac:dyDescent="0.2">
      <c r="A87" s="1012"/>
      <c r="B87" s="1012"/>
      <c r="C87" s="1015"/>
      <c r="D87" s="1012"/>
      <c r="E87" s="1012"/>
      <c r="F87" s="1012"/>
      <c r="G87" s="1016"/>
      <c r="H87" s="1012"/>
      <c r="I87" s="1012"/>
      <c r="J87" s="1012"/>
      <c r="K87" s="1012"/>
    </row>
    <row r="88" spans="1:11" x14ac:dyDescent="0.2">
      <c r="A88" s="1012"/>
      <c r="B88" s="1012"/>
      <c r="C88" s="1015"/>
      <c r="D88" s="1012"/>
      <c r="E88" s="1012"/>
      <c r="F88" s="1012"/>
      <c r="G88" s="1012"/>
      <c r="H88" s="1012"/>
      <c r="I88" s="1012"/>
      <c r="J88" s="1012"/>
      <c r="K88" s="1012"/>
    </row>
    <row r="89" spans="1:11" x14ac:dyDescent="0.2">
      <c r="A89" s="1012"/>
      <c r="B89" s="1012"/>
      <c r="C89" s="1012"/>
      <c r="D89" s="1012"/>
      <c r="E89" s="1012"/>
      <c r="F89" s="1012"/>
      <c r="G89" s="1012"/>
      <c r="H89" s="1012"/>
      <c r="I89" s="1012"/>
      <c r="J89" s="1012"/>
      <c r="K89" s="1012"/>
    </row>
    <row r="90" spans="1:11" x14ac:dyDescent="0.2">
      <c r="A90" s="1012"/>
      <c r="B90" s="1012"/>
      <c r="C90" s="1012"/>
      <c r="D90" s="1012"/>
      <c r="E90" s="1012"/>
      <c r="F90" s="1012"/>
      <c r="G90" s="1012"/>
      <c r="H90" s="1012"/>
      <c r="I90" s="1012"/>
      <c r="J90" s="1012"/>
      <c r="K90" s="1012"/>
    </row>
    <row r="91" spans="1:11" x14ac:dyDescent="0.2">
      <c r="A91" s="1012"/>
      <c r="B91" s="1012"/>
      <c r="C91" s="1012"/>
      <c r="D91" s="1012"/>
      <c r="E91" s="1012"/>
      <c r="F91" s="1012"/>
      <c r="G91" s="1012"/>
      <c r="H91" s="1012"/>
      <c r="I91" s="1012"/>
      <c r="J91" s="1012"/>
      <c r="K91" s="1012"/>
    </row>
    <row r="92" spans="1:11" x14ac:dyDescent="0.2">
      <c r="A92" s="1012"/>
      <c r="B92" s="1012"/>
      <c r="C92" s="1012"/>
      <c r="D92" s="1012"/>
      <c r="E92" s="1012"/>
      <c r="F92" s="1012"/>
      <c r="G92" s="1012"/>
      <c r="H92" s="1012"/>
      <c r="I92" s="1012"/>
      <c r="J92" s="1012"/>
      <c r="K92" s="1012"/>
    </row>
    <row r="93" spans="1:11" x14ac:dyDescent="0.2">
      <c r="A93" s="1015"/>
      <c r="B93" s="1012"/>
      <c r="C93" s="1015"/>
      <c r="D93" s="1012"/>
      <c r="E93" s="1012"/>
      <c r="F93" s="1012"/>
      <c r="G93" s="1012"/>
      <c r="H93" s="1012"/>
      <c r="I93" s="1012"/>
      <c r="J93" s="1012"/>
      <c r="K93" s="1012"/>
    </row>
    <row r="94" spans="1:11" x14ac:dyDescent="0.2">
      <c r="A94" s="1012"/>
      <c r="B94" s="1012"/>
      <c r="C94" s="1015"/>
      <c r="D94" s="1012"/>
      <c r="E94" s="1012"/>
      <c r="F94" s="1012"/>
      <c r="G94" s="1012"/>
      <c r="H94" s="1012"/>
      <c r="I94" s="1012"/>
      <c r="J94" s="1012"/>
      <c r="K94" s="1012"/>
    </row>
    <row r="95" spans="1:11" x14ac:dyDescent="0.2">
      <c r="A95" s="1012"/>
      <c r="B95" s="1012"/>
      <c r="C95" s="1015"/>
      <c r="D95" s="1012"/>
      <c r="E95" s="1012"/>
      <c r="F95" s="1012"/>
      <c r="G95" s="1012"/>
      <c r="H95" s="1012"/>
      <c r="I95" s="1012"/>
      <c r="J95" s="1012"/>
      <c r="K95" s="1012"/>
    </row>
    <row r="96" spans="1:11" x14ac:dyDescent="0.2">
      <c r="A96" s="1012"/>
      <c r="B96" s="1012"/>
      <c r="C96" s="1015"/>
      <c r="D96" s="1012"/>
      <c r="E96" s="1012"/>
      <c r="F96" s="1012"/>
      <c r="G96" s="1012"/>
      <c r="H96" s="1012"/>
      <c r="I96" s="1012"/>
      <c r="J96" s="1012"/>
      <c r="K96" s="1012"/>
    </row>
    <row r="97" spans="1:11" x14ac:dyDescent="0.2">
      <c r="A97" s="1012"/>
      <c r="B97" s="1012"/>
      <c r="C97" s="1012"/>
      <c r="D97" s="1012"/>
      <c r="E97" s="1012"/>
      <c r="F97" s="1012"/>
      <c r="G97" s="1012"/>
      <c r="H97" s="1012"/>
      <c r="I97" s="1012"/>
      <c r="J97" s="1012"/>
      <c r="K97" s="1012"/>
    </row>
  </sheetData>
  <mergeCells count="4">
    <mergeCell ref="A1:J1"/>
    <mergeCell ref="A2:J2"/>
    <mergeCell ref="A3:J3"/>
    <mergeCell ref="A4:J4"/>
  </mergeCells>
  <phoneticPr fontId="0" type="noConversion"/>
  <printOptions horizontalCentered="1"/>
  <pageMargins left="0.75" right="0.5" top="0.75" bottom="0.5" header="0.5" footer="0.5"/>
  <pageSetup scale="95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93"/>
  <dimension ref="A1:U97"/>
  <sheetViews>
    <sheetView showGridLines="0" zoomScaleNormal="100" workbookViewId="0">
      <selection activeCell="C27" sqref="C27"/>
    </sheetView>
  </sheetViews>
  <sheetFormatPr defaultColWidth="10" defaultRowHeight="12.75" x14ac:dyDescent="0.2"/>
  <cols>
    <col min="1" max="1" width="7.5" style="1022" customWidth="1"/>
    <col min="2" max="2" width="3.33203125" style="1022" customWidth="1"/>
    <col min="3" max="3" width="15.83203125" style="1022" customWidth="1"/>
    <col min="4" max="4" width="10.83203125" style="1022" customWidth="1"/>
    <col min="5" max="5" width="13.33203125" style="1022" customWidth="1"/>
    <col min="6" max="6" width="16.5" style="1022" bestFit="1" customWidth="1"/>
    <col min="7" max="7" width="5" style="1022" customWidth="1"/>
    <col min="8" max="8" width="10" style="1022"/>
    <col min="9" max="9" width="5" style="1022" customWidth="1"/>
    <col min="10" max="10" width="13" style="1022" bestFit="1" customWidth="1"/>
    <col min="11" max="11" width="9.1640625" style="1022" customWidth="1"/>
    <col min="12" max="12" width="12.5" style="1022" customWidth="1"/>
    <col min="13" max="16384" width="10" style="1022"/>
  </cols>
  <sheetData>
    <row r="1" spans="1:17" x14ac:dyDescent="0.2">
      <c r="A1" s="2206" t="str">
        <f>co</f>
        <v>COLUMBIA GAS OF KENTUCKY, INC.</v>
      </c>
      <c r="B1" s="2206"/>
      <c r="C1" s="2206"/>
      <c r="D1" s="2206"/>
      <c r="E1" s="2206"/>
      <c r="F1" s="2206"/>
      <c r="G1" s="2206"/>
      <c r="H1" s="2206"/>
      <c r="I1" s="2206"/>
      <c r="J1" s="2206"/>
      <c r="K1" s="2206"/>
      <c r="L1" s="2206"/>
    </row>
    <row r="2" spans="1:17" x14ac:dyDescent="0.2">
      <c r="A2" s="2206" t="str">
        <f>'J-2'!A2:K2</f>
        <v>CASE NO. 2016 - 00162</v>
      </c>
      <c r="B2" s="2206"/>
      <c r="C2" s="2206"/>
      <c r="D2" s="2206"/>
      <c r="E2" s="2206"/>
      <c r="F2" s="2206"/>
      <c r="G2" s="2206"/>
      <c r="H2" s="2206"/>
      <c r="I2" s="2206"/>
      <c r="J2" s="2206"/>
      <c r="K2" s="2206"/>
      <c r="L2" s="2206"/>
    </row>
    <row r="3" spans="1:17" x14ac:dyDescent="0.2">
      <c r="A3" s="2207" t="s">
        <v>477</v>
      </c>
      <c r="B3" s="2207"/>
      <c r="C3" s="2207"/>
      <c r="D3" s="2207"/>
      <c r="E3" s="2207"/>
      <c r="F3" s="2207"/>
      <c r="G3" s="2207"/>
      <c r="H3" s="2207"/>
      <c r="I3" s="2207"/>
      <c r="J3" s="2207"/>
      <c r="K3" s="2207"/>
      <c r="L3" s="2207"/>
    </row>
    <row r="4" spans="1:17" x14ac:dyDescent="0.2">
      <c r="A4" s="2205" t="s">
        <v>2047</v>
      </c>
      <c r="B4" s="2205"/>
      <c r="C4" s="2205"/>
      <c r="D4" s="2205"/>
      <c r="E4" s="2205"/>
      <c r="F4" s="2205"/>
      <c r="G4" s="2205"/>
      <c r="H4" s="2205"/>
      <c r="I4" s="2205"/>
      <c r="J4" s="2205"/>
      <c r="K4" s="2205"/>
      <c r="L4" s="2205"/>
    </row>
    <row r="5" spans="1:17" x14ac:dyDescent="0.2">
      <c r="A5" s="1286"/>
      <c r="B5" s="1286"/>
      <c r="C5" s="1286"/>
      <c r="D5" s="1286"/>
      <c r="E5" s="1286"/>
      <c r="F5" s="1286"/>
      <c r="G5" s="1286"/>
      <c r="H5" s="1286"/>
      <c r="I5" s="1286"/>
      <c r="J5" s="1286"/>
      <c r="K5" s="1286"/>
      <c r="L5" s="1286"/>
    </row>
    <row r="6" spans="1:17" x14ac:dyDescent="0.2">
      <c r="A6" s="1286"/>
      <c r="B6" s="1286"/>
      <c r="C6" s="1286"/>
      <c r="D6" s="1286"/>
      <c r="E6" s="1286"/>
      <c r="F6" s="1286"/>
      <c r="G6" s="1286"/>
      <c r="H6" s="1286"/>
      <c r="I6" s="1286"/>
      <c r="J6" s="1286"/>
      <c r="K6" s="1286"/>
      <c r="L6" s="1286"/>
    </row>
    <row r="8" spans="1:17" ht="18.75" customHeight="1" x14ac:dyDescent="0.2">
      <c r="A8" s="990" t="s">
        <v>1109</v>
      </c>
      <c r="K8" s="1320"/>
      <c r="L8" s="1320" t="s">
        <v>478</v>
      </c>
    </row>
    <row r="9" spans="1:17" x14ac:dyDescent="0.2">
      <c r="A9" s="990" t="s">
        <v>977</v>
      </c>
      <c r="K9" s="1320"/>
      <c r="L9" s="1320" t="s">
        <v>1299</v>
      </c>
    </row>
    <row r="10" spans="1:17" x14ac:dyDescent="0.2">
      <c r="A10" s="992" t="s">
        <v>996</v>
      </c>
      <c r="B10" s="1024"/>
      <c r="C10" s="1024"/>
      <c r="D10" s="1024"/>
      <c r="E10" s="1024"/>
      <c r="F10" s="1024"/>
      <c r="G10" s="1024"/>
      <c r="H10" s="1024"/>
      <c r="I10" s="1024"/>
      <c r="J10" s="1024"/>
      <c r="K10" s="1321"/>
      <c r="L10" s="1321" t="str">
        <f>'J-1 Cost of Capital Summary'!M10</f>
        <v>WITNESS: P. R. MOUL</v>
      </c>
    </row>
    <row r="11" spans="1:17" ht="18.75" customHeight="1" x14ac:dyDescent="0.2">
      <c r="J11" s="1023" t="s">
        <v>471</v>
      </c>
      <c r="L11" s="1023" t="s">
        <v>472</v>
      </c>
    </row>
    <row r="12" spans="1:17" x14ac:dyDescent="0.2">
      <c r="A12" s="1023" t="s">
        <v>632</v>
      </c>
      <c r="F12" s="1023" t="s">
        <v>771</v>
      </c>
      <c r="H12" s="1023" t="s">
        <v>473</v>
      </c>
      <c r="J12" s="1023" t="s">
        <v>292</v>
      </c>
      <c r="L12" s="1023" t="s">
        <v>473</v>
      </c>
    </row>
    <row r="13" spans="1:17" x14ac:dyDescent="0.2">
      <c r="A13" s="1025" t="s">
        <v>635</v>
      </c>
      <c r="B13" s="1024"/>
      <c r="C13" s="1025" t="s">
        <v>474</v>
      </c>
      <c r="D13" s="1024"/>
      <c r="E13" s="1024"/>
      <c r="F13" s="1025" t="s">
        <v>475</v>
      </c>
      <c r="G13" s="1024"/>
      <c r="H13" s="1025" t="s">
        <v>278</v>
      </c>
      <c r="I13" s="1024"/>
      <c r="J13" s="1025" t="s">
        <v>780</v>
      </c>
      <c r="K13" s="1024"/>
      <c r="L13" s="1025" t="s">
        <v>278</v>
      </c>
    </row>
    <row r="14" spans="1:17" x14ac:dyDescent="0.2">
      <c r="C14" s="1023" t="s">
        <v>834</v>
      </c>
      <c r="F14" s="1023" t="s">
        <v>835</v>
      </c>
      <c r="H14" s="1023" t="s">
        <v>836</v>
      </c>
      <c r="J14" s="1023" t="s">
        <v>837</v>
      </c>
      <c r="L14" s="1023" t="s">
        <v>476</v>
      </c>
    </row>
    <row r="15" spans="1:17" x14ac:dyDescent="0.2">
      <c r="F15" s="1475" t="s">
        <v>639</v>
      </c>
      <c r="J15" s="1475" t="s">
        <v>639</v>
      </c>
    </row>
    <row r="16" spans="1:17" x14ac:dyDescent="0.2">
      <c r="A16" s="1481">
        <v>1</v>
      </c>
      <c r="B16" s="1291"/>
      <c r="C16" s="1294" t="s">
        <v>479</v>
      </c>
      <c r="D16" s="1291"/>
      <c r="E16" s="1291"/>
      <c r="F16" s="1292">
        <v>323846</v>
      </c>
      <c r="G16" s="1292"/>
      <c r="H16" s="1791">
        <v>5.45E-2</v>
      </c>
      <c r="I16" s="1298"/>
      <c r="J16" s="1297">
        <f t="shared" ref="J16:J23" si="0">(F16*H16)</f>
        <v>17649.607</v>
      </c>
      <c r="K16" s="1297"/>
      <c r="L16" s="1297"/>
      <c r="M16" s="1297"/>
      <c r="N16" s="1026"/>
      <c r="O16" s="1026"/>
      <c r="P16" s="1026"/>
      <c r="Q16" s="1026"/>
    </row>
    <row r="17" spans="1:21" x14ac:dyDescent="0.2">
      <c r="A17" s="1481">
        <f>A16+1</f>
        <v>2</v>
      </c>
      <c r="B17" s="1291"/>
      <c r="C17" s="1294" t="s">
        <v>479</v>
      </c>
      <c r="D17" s="1291"/>
      <c r="E17" s="1291"/>
      <c r="F17" s="1292">
        <v>12375000</v>
      </c>
      <c r="G17" s="1293"/>
      <c r="H17" s="1791">
        <v>5.9200000000000003E-2</v>
      </c>
      <c r="I17" s="1291"/>
      <c r="J17" s="1297">
        <f t="shared" si="0"/>
        <v>732600</v>
      </c>
      <c r="K17" s="1291"/>
      <c r="L17" s="1291"/>
      <c r="M17" s="1291"/>
    </row>
    <row r="18" spans="1:21" x14ac:dyDescent="0.2">
      <c r="A18" s="1481">
        <f t="shared" ref="A18:A23" si="1">A17+1</f>
        <v>3</v>
      </c>
      <c r="B18" s="1291"/>
      <c r="C18" s="1294" t="s">
        <v>479</v>
      </c>
      <c r="D18" s="1291"/>
      <c r="E18" s="1291"/>
      <c r="F18" s="1292">
        <v>16000000</v>
      </c>
      <c r="G18" s="1292"/>
      <c r="H18" s="1791">
        <v>6.0150000000000002E-2</v>
      </c>
      <c r="I18" s="1298"/>
      <c r="J18" s="1297">
        <f>(F18*H18)</f>
        <v>962400</v>
      </c>
      <c r="K18" s="1297"/>
      <c r="L18" s="1297"/>
      <c r="M18" s="1297"/>
      <c r="N18" s="1026"/>
      <c r="O18" s="1026"/>
      <c r="P18" s="1797"/>
      <c r="Q18" s="1797"/>
      <c r="R18" s="1798"/>
      <c r="S18" s="1798"/>
      <c r="T18" s="1798"/>
      <c r="U18" s="1291"/>
    </row>
    <row r="19" spans="1:21" x14ac:dyDescent="0.2">
      <c r="A19" s="1481">
        <f t="shared" si="1"/>
        <v>4</v>
      </c>
      <c r="B19" s="1291"/>
      <c r="C19" s="1294" t="s">
        <v>479</v>
      </c>
      <c r="D19" s="1291"/>
      <c r="E19" s="1291"/>
      <c r="F19" s="1292">
        <v>10000000</v>
      </c>
      <c r="G19" s="1292"/>
      <c r="H19" s="1791">
        <v>6.0199999999999997E-2</v>
      </c>
      <c r="I19" s="1298"/>
      <c r="J19" s="1297">
        <f t="shared" si="0"/>
        <v>602000</v>
      </c>
      <c r="K19" s="1297"/>
      <c r="L19" s="1297"/>
      <c r="M19" s="1297"/>
      <c r="N19" s="1026"/>
      <c r="O19" s="1026"/>
      <c r="P19" s="1026"/>
      <c r="Q19" s="1026"/>
    </row>
    <row r="20" spans="1:21" x14ac:dyDescent="0.2">
      <c r="A20" s="1481">
        <f t="shared" si="1"/>
        <v>5</v>
      </c>
      <c r="B20" s="1291"/>
      <c r="C20" s="1294" t="s">
        <v>479</v>
      </c>
      <c r="D20" s="1291"/>
      <c r="E20" s="1291"/>
      <c r="F20" s="1292">
        <v>20000000</v>
      </c>
      <c r="G20" s="1292"/>
      <c r="H20" s="1791">
        <v>5.7700000000000001E-2</v>
      </c>
      <c r="I20" s="1298"/>
      <c r="J20" s="1297">
        <f t="shared" si="0"/>
        <v>1154000</v>
      </c>
      <c r="K20" s="1297"/>
      <c r="L20" s="1297"/>
      <c r="M20" s="1297"/>
      <c r="N20" s="1026"/>
      <c r="O20" s="1026"/>
      <c r="P20" s="1026"/>
      <c r="Q20" s="1026"/>
    </row>
    <row r="21" spans="1:21" x14ac:dyDescent="0.2">
      <c r="A21" s="1481">
        <f t="shared" si="1"/>
        <v>6</v>
      </c>
      <c r="B21" s="1291"/>
      <c r="C21" s="1294" t="s">
        <v>479</v>
      </c>
      <c r="D21" s="1291"/>
      <c r="E21" s="1291"/>
      <c r="F21" s="1292">
        <v>20000000</v>
      </c>
      <c r="G21" s="1292"/>
      <c r="H21" s="1791">
        <v>6.2E-2</v>
      </c>
      <c r="I21" s="1297"/>
      <c r="J21" s="1297">
        <f t="shared" si="0"/>
        <v>1240000</v>
      </c>
      <c r="K21" s="1297"/>
      <c r="L21" s="1297"/>
      <c r="M21" s="1297"/>
      <c r="N21" s="1026"/>
      <c r="O21" s="1026"/>
      <c r="P21" s="1026"/>
      <c r="Q21" s="1026"/>
    </row>
    <row r="22" spans="1:21" x14ac:dyDescent="0.2">
      <c r="A22" s="1481">
        <f t="shared" si="1"/>
        <v>7</v>
      </c>
      <c r="B22" s="1291"/>
      <c r="C22" s="1294" t="s">
        <v>479</v>
      </c>
      <c r="D22" s="1291"/>
      <c r="E22" s="1291"/>
      <c r="F22" s="1292">
        <v>5000000</v>
      </c>
      <c r="G22" s="1292"/>
      <c r="H22" s="1791">
        <v>4.4299999999999999E-2</v>
      </c>
      <c r="I22" s="1298"/>
      <c r="J22" s="1297">
        <f t="shared" si="0"/>
        <v>221500</v>
      </c>
      <c r="K22" s="1297"/>
      <c r="L22" s="1299"/>
      <c r="M22" s="1297"/>
      <c r="N22" s="1026"/>
      <c r="O22" s="1026"/>
      <c r="P22" s="1026"/>
      <c r="Q22" s="1026"/>
    </row>
    <row r="23" spans="1:21" x14ac:dyDescent="0.2">
      <c r="A23" s="1481">
        <f t="shared" si="1"/>
        <v>8</v>
      </c>
      <c r="B23" s="1291"/>
      <c r="C23" s="1294" t="s">
        <v>479</v>
      </c>
      <c r="D23" s="1291"/>
      <c r="E23" s="1291"/>
      <c r="F23" s="1792">
        <v>31000000</v>
      </c>
      <c r="G23" s="1292"/>
      <c r="H23" s="1791">
        <v>4.9500000000000002E-2</v>
      </c>
      <c r="I23" s="1298"/>
      <c r="J23" s="1325">
        <f t="shared" si="0"/>
        <v>1534500</v>
      </c>
      <c r="K23" s="1297"/>
      <c r="L23" s="1297"/>
      <c r="M23" s="1297"/>
      <c r="N23" s="1026"/>
      <c r="O23" s="1026"/>
      <c r="P23" s="1026"/>
      <c r="Q23" s="1026"/>
    </row>
    <row r="24" spans="1:21" x14ac:dyDescent="0.2">
      <c r="A24" s="1482"/>
      <c r="B24" s="1291"/>
      <c r="C24" s="1291"/>
      <c r="D24" s="1291"/>
      <c r="E24" s="1291"/>
      <c r="F24" s="1292"/>
      <c r="G24" s="1293"/>
      <c r="H24" s="1293"/>
      <c r="I24" s="1291"/>
      <c r="J24" s="1291"/>
      <c r="K24" s="1291"/>
      <c r="L24" s="1291"/>
      <c r="M24" s="1291"/>
      <c r="N24" s="1026"/>
      <c r="O24" s="1026"/>
      <c r="P24" s="1026"/>
      <c r="Q24" s="1026"/>
    </row>
    <row r="25" spans="1:21" x14ac:dyDescent="0.2">
      <c r="A25" s="1481">
        <f>A23+1</f>
        <v>9</v>
      </c>
      <c r="B25" s="1291"/>
      <c r="C25" s="1294" t="s">
        <v>480</v>
      </c>
      <c r="D25" s="1291"/>
      <c r="E25" s="1291"/>
      <c r="F25" s="1295">
        <f>SUM(F16:F23)</f>
        <v>114698846</v>
      </c>
      <c r="G25" s="1291"/>
      <c r="H25" s="1291"/>
      <c r="I25" s="1291"/>
      <c r="J25" s="1295">
        <f>SUM(J16:J23)</f>
        <v>6464649.6069999998</v>
      </c>
      <c r="K25" s="1291"/>
      <c r="L25" s="1296">
        <f>(J25/F25)</f>
        <v>5.6361941139320616E-2</v>
      </c>
      <c r="M25" s="1291"/>
    </row>
    <row r="26" spans="1:21" x14ac:dyDescent="0.2">
      <c r="A26" s="1291"/>
      <c r="B26" s="1291"/>
      <c r="C26" s="1291"/>
      <c r="D26" s="1291"/>
      <c r="E26" s="1291"/>
      <c r="F26" s="1297"/>
      <c r="G26" s="1291"/>
      <c r="H26" s="1291"/>
      <c r="I26" s="1291"/>
      <c r="J26" s="1291"/>
      <c r="K26" s="1291"/>
      <c r="L26" s="1291"/>
      <c r="M26" s="1291"/>
    </row>
    <row r="27" spans="1:21" x14ac:dyDescent="0.2">
      <c r="A27" s="1291"/>
      <c r="B27" s="1291"/>
      <c r="C27" s="1291"/>
      <c r="D27" s="1291"/>
      <c r="E27" s="1291"/>
      <c r="F27" s="1297"/>
      <c r="G27" s="1291"/>
      <c r="H27" s="1291"/>
      <c r="I27" s="1291"/>
      <c r="J27" s="1291"/>
      <c r="K27" s="1291"/>
      <c r="L27" s="1291"/>
      <c r="M27" s="1291"/>
    </row>
    <row r="28" spans="1:21" x14ac:dyDescent="0.2">
      <c r="A28" s="1291"/>
      <c r="B28" s="1291"/>
      <c r="C28" s="1294" t="s">
        <v>680</v>
      </c>
      <c r="D28" s="1291"/>
      <c r="E28" s="1291"/>
      <c r="F28" s="1297"/>
      <c r="G28" s="1291"/>
      <c r="H28" s="1291"/>
      <c r="I28" s="1291"/>
      <c r="J28" s="1291"/>
      <c r="K28" s="1291"/>
      <c r="L28" s="1291"/>
      <c r="M28" s="1291"/>
    </row>
    <row r="29" spans="1:21" x14ac:dyDescent="0.2">
      <c r="A29" s="1291"/>
      <c r="B29" s="1291"/>
      <c r="C29" s="1029" t="s">
        <v>1777</v>
      </c>
      <c r="D29" s="1029"/>
      <c r="E29" s="1029"/>
      <c r="F29" s="1029"/>
      <c r="G29" s="1032"/>
      <c r="H29" s="1029"/>
      <c r="I29" s="1029"/>
      <c r="J29" s="1291"/>
      <c r="K29" s="1291"/>
      <c r="L29" s="1291"/>
      <c r="M29" s="1291"/>
    </row>
    <row r="30" spans="1:21" x14ac:dyDescent="0.2">
      <c r="A30" s="1291"/>
      <c r="B30" s="1291"/>
      <c r="C30" s="1291"/>
      <c r="D30" s="1291"/>
      <c r="E30" s="1291"/>
      <c r="F30" s="1297"/>
      <c r="G30" s="1291"/>
      <c r="H30" s="1291"/>
      <c r="I30" s="1291"/>
      <c r="J30" s="1291"/>
      <c r="K30" s="1291"/>
      <c r="L30" s="1291"/>
      <c r="M30" s="1291"/>
    </row>
    <row r="31" spans="1:21" x14ac:dyDescent="0.2">
      <c r="F31" s="1026"/>
      <c r="G31" s="1026"/>
      <c r="H31" s="1027"/>
      <c r="I31" s="1028"/>
      <c r="J31" s="1026"/>
      <c r="K31" s="1026"/>
      <c r="L31" s="1026"/>
      <c r="M31" s="1026"/>
    </row>
    <row r="32" spans="1:21" x14ac:dyDescent="0.2">
      <c r="F32" s="1026"/>
    </row>
    <row r="33" spans="1:13" x14ac:dyDescent="0.2">
      <c r="A33" s="1029"/>
      <c r="B33" s="1029"/>
      <c r="C33" s="1029"/>
      <c r="D33" s="1029"/>
      <c r="E33" s="1029"/>
      <c r="F33" s="1030"/>
      <c r="G33" s="1030"/>
      <c r="H33" s="1030"/>
      <c r="I33" s="1031"/>
      <c r="J33" s="1030"/>
      <c r="K33" s="1030"/>
      <c r="L33" s="1030"/>
      <c r="M33" s="1030"/>
    </row>
    <row r="34" spans="1:13" x14ac:dyDescent="0.2">
      <c r="A34" s="1029"/>
      <c r="B34" s="1029"/>
      <c r="C34" s="1029"/>
      <c r="D34" s="1029"/>
      <c r="E34" s="1029"/>
      <c r="F34" s="1029"/>
      <c r="G34" s="1032"/>
      <c r="H34" s="1029"/>
      <c r="I34" s="1029"/>
      <c r="J34" s="1029"/>
      <c r="K34" s="1029"/>
      <c r="L34" s="1029"/>
      <c r="M34" s="1029"/>
    </row>
    <row r="35" spans="1:13" x14ac:dyDescent="0.2">
      <c r="A35" s="1029"/>
      <c r="B35" s="1029"/>
      <c r="C35" s="1029"/>
      <c r="D35" s="1029"/>
      <c r="E35" s="1029"/>
      <c r="F35" s="1029"/>
      <c r="G35" s="1032"/>
      <c r="H35" s="1029"/>
      <c r="I35" s="1029"/>
      <c r="J35" s="1029"/>
      <c r="K35" s="1029"/>
      <c r="L35" s="1029"/>
      <c r="M35" s="1029"/>
    </row>
    <row r="36" spans="1:13" x14ac:dyDescent="0.2">
      <c r="A36" s="1033"/>
      <c r="B36" s="1029"/>
      <c r="C36" s="1029"/>
      <c r="D36" s="1029"/>
      <c r="E36" s="1029"/>
      <c r="F36" s="1029"/>
      <c r="G36" s="1032"/>
      <c r="H36" s="1029"/>
      <c r="I36" s="1029"/>
      <c r="J36" s="1029"/>
      <c r="K36" s="1029"/>
      <c r="L36" s="1029"/>
      <c r="M36" s="1029"/>
    </row>
    <row r="37" spans="1:13" x14ac:dyDescent="0.2">
      <c r="A37" s="1029"/>
      <c r="B37" s="1029"/>
      <c r="C37" s="1029"/>
      <c r="D37" s="1029"/>
      <c r="E37" s="1029"/>
      <c r="F37" s="1029"/>
      <c r="G37" s="1032"/>
      <c r="H37" s="1029"/>
      <c r="I37" s="1029"/>
      <c r="J37" s="1029"/>
      <c r="K37" s="1029"/>
      <c r="L37" s="1029"/>
      <c r="M37" s="1029"/>
    </row>
    <row r="38" spans="1:13" x14ac:dyDescent="0.2">
      <c r="A38" s="1029"/>
      <c r="B38" s="1029"/>
      <c r="C38" s="1029"/>
      <c r="D38" s="1029"/>
      <c r="E38" s="1029"/>
      <c r="F38" s="1029"/>
      <c r="G38" s="1029"/>
      <c r="H38" s="1029"/>
      <c r="I38" s="1029"/>
      <c r="J38" s="1029"/>
      <c r="K38" s="1029"/>
      <c r="L38" s="1029"/>
      <c r="M38" s="1029"/>
    </row>
    <row r="39" spans="1:13" x14ac:dyDescent="0.2">
      <c r="A39" s="1034"/>
      <c r="B39" s="1029"/>
      <c r="C39" s="1029"/>
      <c r="D39" s="1029"/>
      <c r="E39" s="1029"/>
      <c r="F39" s="1029"/>
      <c r="G39" s="1029"/>
      <c r="H39" s="1029"/>
      <c r="I39" s="1029"/>
      <c r="J39" s="1029"/>
      <c r="K39" s="1034"/>
      <c r="L39" s="1029"/>
      <c r="M39" s="1029"/>
    </row>
    <row r="40" spans="1:13" x14ac:dyDescent="0.2">
      <c r="A40" s="1034"/>
      <c r="B40" s="1029"/>
      <c r="C40" s="1029"/>
      <c r="D40" s="1029"/>
      <c r="E40" s="1029"/>
      <c r="F40" s="1029"/>
      <c r="G40" s="1029"/>
      <c r="H40" s="1029"/>
      <c r="I40" s="1029"/>
      <c r="J40" s="1029"/>
      <c r="K40" s="1034"/>
      <c r="L40" s="1029"/>
      <c r="M40" s="1029"/>
    </row>
    <row r="41" spans="1:13" x14ac:dyDescent="0.2">
      <c r="A41" s="1034"/>
      <c r="B41" s="1029"/>
      <c r="C41" s="1029"/>
      <c r="D41" s="1029"/>
      <c r="E41" s="1029"/>
      <c r="F41" s="1029"/>
      <c r="G41" s="1029"/>
      <c r="H41" s="1029"/>
      <c r="I41" s="1029"/>
      <c r="J41" s="1029"/>
      <c r="K41" s="1034"/>
      <c r="L41" s="1029"/>
      <c r="M41" s="1029"/>
    </row>
    <row r="42" spans="1:13" x14ac:dyDescent="0.2">
      <c r="A42" s="1029"/>
      <c r="B42" s="1029"/>
      <c r="C42" s="1029"/>
      <c r="D42" s="1029"/>
      <c r="E42" s="1029"/>
      <c r="F42" s="1029"/>
      <c r="G42" s="1029"/>
      <c r="H42" s="1029"/>
      <c r="I42" s="1029"/>
      <c r="J42" s="1032"/>
      <c r="K42" s="1029"/>
      <c r="L42" s="1032"/>
      <c r="M42" s="1029"/>
    </row>
    <row r="43" spans="1:13" x14ac:dyDescent="0.2">
      <c r="A43" s="1032"/>
      <c r="B43" s="1029"/>
      <c r="C43" s="1029"/>
      <c r="D43" s="1029"/>
      <c r="E43" s="1029"/>
      <c r="F43" s="1032"/>
      <c r="G43" s="1029"/>
      <c r="H43" s="1032"/>
      <c r="I43" s="1029"/>
      <c r="J43" s="1032"/>
      <c r="K43" s="1029"/>
      <c r="L43" s="1032"/>
      <c r="M43" s="1029"/>
    </row>
    <row r="44" spans="1:13" x14ac:dyDescent="0.2">
      <c r="A44" s="1032"/>
      <c r="B44" s="1029"/>
      <c r="C44" s="1032"/>
      <c r="D44" s="1029"/>
      <c r="E44" s="1029"/>
      <c r="F44" s="1032"/>
      <c r="G44" s="1029"/>
      <c r="H44" s="1032"/>
      <c r="I44" s="1029"/>
      <c r="J44" s="1032"/>
      <c r="K44" s="1029"/>
      <c r="L44" s="1032"/>
      <c r="M44" s="1029"/>
    </row>
    <row r="45" spans="1:13" x14ac:dyDescent="0.2">
      <c r="A45" s="1029"/>
      <c r="B45" s="1029"/>
      <c r="C45" s="1032"/>
      <c r="D45" s="1029"/>
      <c r="E45" s="1029"/>
      <c r="F45" s="1032"/>
      <c r="G45" s="1029"/>
      <c r="H45" s="1032"/>
      <c r="I45" s="1029"/>
      <c r="J45" s="1032"/>
      <c r="K45" s="1029"/>
      <c r="L45" s="1032"/>
      <c r="M45" s="1029"/>
    </row>
    <row r="46" spans="1:13" x14ac:dyDescent="0.2">
      <c r="A46" s="1029"/>
      <c r="B46" s="1029"/>
      <c r="C46" s="1029"/>
      <c r="D46" s="1029"/>
      <c r="E46" s="1029"/>
      <c r="F46" s="1032"/>
      <c r="G46" s="1029"/>
      <c r="H46" s="1029"/>
      <c r="I46" s="1029"/>
      <c r="J46" s="1032"/>
      <c r="K46" s="1029"/>
      <c r="L46" s="1029"/>
      <c r="M46" s="1029"/>
    </row>
    <row r="47" spans="1:13" x14ac:dyDescent="0.2">
      <c r="A47" s="1029"/>
      <c r="B47" s="1029"/>
      <c r="C47" s="1029"/>
      <c r="D47" s="1029"/>
      <c r="E47" s="1029"/>
      <c r="F47" s="1029"/>
      <c r="G47" s="1029"/>
      <c r="H47" s="1029"/>
      <c r="I47" s="1029"/>
      <c r="J47" s="1029"/>
      <c r="K47" s="1029"/>
      <c r="L47" s="1029"/>
      <c r="M47" s="1029"/>
    </row>
    <row r="48" spans="1:13" x14ac:dyDescent="0.2">
      <c r="A48" s="1032"/>
      <c r="B48" s="1029"/>
      <c r="C48" s="1034"/>
      <c r="D48" s="1029"/>
      <c r="E48" s="1029"/>
      <c r="F48" s="1030"/>
      <c r="G48" s="1030"/>
      <c r="H48" s="1035"/>
      <c r="I48" s="1031"/>
      <c r="J48" s="1030"/>
      <c r="K48" s="1030"/>
      <c r="L48" s="1030"/>
      <c r="M48" s="1030"/>
    </row>
    <row r="49" spans="1:13" x14ac:dyDescent="0.2">
      <c r="A49" s="1032"/>
      <c r="B49" s="1029"/>
      <c r="C49" s="1034"/>
      <c r="D49" s="1029"/>
      <c r="E49" s="1029"/>
      <c r="F49" s="1030"/>
      <c r="G49" s="1029"/>
      <c r="H49" s="1035"/>
      <c r="I49" s="1029"/>
      <c r="J49" s="1030"/>
      <c r="K49" s="1029"/>
      <c r="L49" s="1029"/>
      <c r="M49" s="1029"/>
    </row>
    <row r="50" spans="1:13" x14ac:dyDescent="0.2">
      <c r="A50" s="1032"/>
      <c r="B50" s="1029"/>
      <c r="C50" s="1034"/>
      <c r="D50" s="1029"/>
      <c r="E50" s="1029"/>
      <c r="F50" s="1030"/>
      <c r="G50" s="1030"/>
      <c r="H50" s="1035"/>
      <c r="I50" s="1031"/>
      <c r="J50" s="1030"/>
      <c r="K50" s="1030"/>
      <c r="L50" s="1030"/>
      <c r="M50" s="1030"/>
    </row>
    <row r="51" spans="1:13" x14ac:dyDescent="0.2">
      <c r="A51" s="1032"/>
      <c r="B51" s="1029"/>
      <c r="C51" s="1034"/>
      <c r="D51" s="1029"/>
      <c r="E51" s="1029"/>
      <c r="F51" s="1030"/>
      <c r="G51" s="1030"/>
      <c r="H51" s="1035"/>
      <c r="I51" s="1031"/>
      <c r="J51" s="1030"/>
      <c r="K51" s="1030"/>
      <c r="L51" s="1030"/>
      <c r="M51" s="1030"/>
    </row>
    <row r="52" spans="1:13" x14ac:dyDescent="0.2">
      <c r="A52" s="1032"/>
      <c r="B52" s="1029"/>
      <c r="C52" s="1034"/>
      <c r="D52" s="1029"/>
      <c r="E52" s="1029"/>
      <c r="F52" s="1030"/>
      <c r="G52" s="1030"/>
      <c r="H52" s="1035"/>
      <c r="I52" s="1031"/>
      <c r="J52" s="1030"/>
      <c r="K52" s="1030"/>
      <c r="L52" s="1030"/>
      <c r="M52" s="1030"/>
    </row>
    <row r="53" spans="1:13" x14ac:dyDescent="0.2">
      <c r="A53" s="1032"/>
      <c r="B53" s="1029"/>
      <c r="C53" s="1034"/>
      <c r="D53" s="1029"/>
      <c r="E53" s="1029"/>
      <c r="F53" s="1030"/>
      <c r="G53" s="1030"/>
      <c r="H53" s="1035"/>
      <c r="I53" s="1030"/>
      <c r="J53" s="1030"/>
      <c r="K53" s="1030"/>
      <c r="L53" s="1030"/>
      <c r="M53" s="1030"/>
    </row>
    <row r="54" spans="1:13" x14ac:dyDescent="0.2">
      <c r="A54" s="1032"/>
      <c r="B54" s="1029"/>
      <c r="C54" s="1034"/>
      <c r="D54" s="1029"/>
      <c r="E54" s="1029"/>
      <c r="F54" s="1030"/>
      <c r="G54" s="1030"/>
      <c r="H54" s="1035"/>
      <c r="I54" s="1031"/>
      <c r="J54" s="1030"/>
      <c r="K54" s="1030"/>
      <c r="L54" s="1036"/>
      <c r="M54" s="1030"/>
    </row>
    <row r="55" spans="1:13" x14ac:dyDescent="0.2">
      <c r="A55" s="1032"/>
      <c r="B55" s="1029"/>
      <c r="C55" s="1034"/>
      <c r="D55" s="1029"/>
      <c r="E55" s="1029"/>
      <c r="F55" s="1030"/>
      <c r="G55" s="1030"/>
      <c r="H55" s="1035"/>
      <c r="I55" s="1031"/>
      <c r="J55" s="1030"/>
      <c r="K55" s="1030"/>
      <c r="L55" s="1030"/>
      <c r="M55" s="1030"/>
    </row>
    <row r="56" spans="1:13" x14ac:dyDescent="0.2">
      <c r="A56" s="1032"/>
      <c r="B56" s="1029"/>
      <c r="C56" s="1034"/>
      <c r="D56" s="1029"/>
      <c r="E56" s="1029"/>
      <c r="F56" s="1030"/>
      <c r="G56" s="1030"/>
      <c r="H56" s="1035"/>
      <c r="I56" s="1031"/>
      <c r="J56" s="1030"/>
      <c r="K56" s="1029"/>
      <c r="L56" s="1029"/>
      <c r="M56" s="1029"/>
    </row>
    <row r="57" spans="1:13" x14ac:dyDescent="0.2">
      <c r="A57" s="1032"/>
      <c r="B57" s="1029"/>
      <c r="C57" s="1034"/>
      <c r="D57" s="1029"/>
      <c r="E57" s="1029"/>
      <c r="F57" s="1030"/>
      <c r="G57" s="1030"/>
      <c r="H57" s="1035"/>
      <c r="I57" s="1031"/>
      <c r="J57" s="1030"/>
      <c r="K57" s="1029"/>
      <c r="L57" s="1029"/>
      <c r="M57" s="1029"/>
    </row>
    <row r="58" spans="1:13" x14ac:dyDescent="0.2">
      <c r="A58" s="1032"/>
      <c r="B58" s="1029"/>
      <c r="C58" s="1034"/>
      <c r="D58" s="1029"/>
      <c r="E58" s="1029"/>
      <c r="F58" s="1030"/>
      <c r="G58" s="1030"/>
      <c r="H58" s="1035"/>
      <c r="I58" s="1031"/>
      <c r="J58" s="1030"/>
      <c r="K58" s="1029"/>
      <c r="L58" s="1029"/>
      <c r="M58" s="1029"/>
    </row>
    <row r="59" spans="1:13" x14ac:dyDescent="0.2">
      <c r="A59" s="1032"/>
      <c r="B59" s="1029"/>
      <c r="C59" s="1034"/>
      <c r="D59" s="1029"/>
      <c r="E59" s="1029"/>
      <c r="F59" s="1030"/>
      <c r="G59" s="1030"/>
      <c r="H59" s="1035"/>
      <c r="I59" s="1031"/>
      <c r="J59" s="1030"/>
      <c r="K59" s="1029"/>
      <c r="L59" s="1029"/>
      <c r="M59" s="1029"/>
    </row>
    <row r="60" spans="1:13" x14ac:dyDescent="0.2">
      <c r="A60" s="1032"/>
      <c r="B60" s="1029"/>
      <c r="C60" s="1034"/>
      <c r="D60" s="1029"/>
      <c r="E60" s="1029"/>
      <c r="F60" s="1030"/>
      <c r="G60" s="1030"/>
      <c r="H60" s="1035"/>
      <c r="I60" s="1031"/>
      <c r="J60" s="1030"/>
      <c r="K60" s="1029"/>
      <c r="L60" s="1029"/>
      <c r="M60" s="1029"/>
    </row>
    <row r="61" spans="1:13" x14ac:dyDescent="0.2">
      <c r="A61" s="1032"/>
      <c r="B61" s="1029"/>
      <c r="C61" s="1034"/>
      <c r="D61" s="1029"/>
      <c r="E61" s="1029"/>
      <c r="F61" s="1030"/>
      <c r="G61" s="1030"/>
      <c r="H61" s="1035"/>
      <c r="I61" s="1031"/>
      <c r="J61" s="1030"/>
      <c r="K61" s="1029"/>
      <c r="L61" s="1029"/>
      <c r="M61" s="1029"/>
    </row>
    <row r="62" spans="1:13" x14ac:dyDescent="0.2">
      <c r="A62" s="1032"/>
      <c r="B62" s="1029"/>
      <c r="C62" s="1034"/>
      <c r="D62" s="1029"/>
      <c r="E62" s="1029"/>
      <c r="F62" s="1030"/>
      <c r="G62" s="1030"/>
      <c r="H62" s="1035"/>
      <c r="I62" s="1029"/>
      <c r="J62" s="1030"/>
      <c r="K62" s="1029"/>
      <c r="L62" s="1029"/>
      <c r="M62" s="1029"/>
    </row>
    <row r="63" spans="1:13" x14ac:dyDescent="0.2">
      <c r="A63" s="1032"/>
      <c r="B63" s="1029"/>
      <c r="C63" s="1034"/>
      <c r="D63" s="1029"/>
      <c r="E63" s="1029"/>
      <c r="F63" s="1030"/>
      <c r="G63" s="1029"/>
      <c r="H63" s="1035"/>
      <c r="I63" s="1029"/>
      <c r="J63" s="1030"/>
      <c r="K63" s="1029"/>
      <c r="L63" s="1029"/>
      <c r="M63" s="1029"/>
    </row>
    <row r="64" spans="1:13" x14ac:dyDescent="0.2">
      <c r="A64" s="1032"/>
      <c r="B64" s="1029"/>
      <c r="C64" s="1034"/>
      <c r="D64" s="1029"/>
      <c r="E64" s="1029"/>
      <c r="F64" s="1030"/>
      <c r="G64" s="1029"/>
      <c r="H64" s="1035"/>
      <c r="I64" s="1029"/>
      <c r="J64" s="1030"/>
      <c r="K64" s="1029"/>
      <c r="L64" s="1029"/>
      <c r="M64" s="1029"/>
    </row>
    <row r="65" spans="1:13" x14ac:dyDescent="0.2">
      <c r="A65" s="1032"/>
      <c r="B65" s="1029"/>
      <c r="C65" s="1034"/>
      <c r="D65" s="1029"/>
      <c r="E65" s="1029"/>
      <c r="F65" s="1030"/>
      <c r="G65" s="1029"/>
      <c r="H65" s="1035"/>
      <c r="I65" s="1029"/>
      <c r="J65" s="1030"/>
      <c r="K65" s="1029"/>
      <c r="L65" s="1029"/>
      <c r="M65" s="1029"/>
    </row>
    <row r="66" spans="1:13" x14ac:dyDescent="0.2">
      <c r="A66" s="1032"/>
      <c r="B66" s="1029"/>
      <c r="C66" s="1034"/>
      <c r="D66" s="1029"/>
      <c r="E66" s="1029"/>
      <c r="F66" s="1030"/>
      <c r="G66" s="1029"/>
      <c r="H66" s="1035"/>
      <c r="I66" s="1029"/>
      <c r="J66" s="1030"/>
      <c r="K66" s="1029"/>
      <c r="L66" s="1029"/>
      <c r="M66" s="1029"/>
    </row>
    <row r="67" spans="1:13" x14ac:dyDescent="0.2">
      <c r="A67" s="1032"/>
      <c r="B67" s="1029"/>
      <c r="C67" s="1034"/>
      <c r="D67" s="1029"/>
      <c r="E67" s="1029"/>
      <c r="F67" s="1030"/>
      <c r="G67" s="1029"/>
      <c r="H67" s="1035"/>
      <c r="I67" s="1029"/>
      <c r="J67" s="1030"/>
      <c r="K67" s="1029"/>
      <c r="L67" s="1029"/>
      <c r="M67" s="1029"/>
    </row>
    <row r="68" spans="1:13" x14ac:dyDescent="0.2">
      <c r="A68" s="1032"/>
      <c r="B68" s="1029"/>
      <c r="C68" s="1034"/>
      <c r="D68" s="1029"/>
      <c r="E68" s="1029"/>
      <c r="F68" s="1030"/>
      <c r="G68" s="1029"/>
      <c r="H68" s="1035"/>
      <c r="I68" s="1029"/>
      <c r="J68" s="1030"/>
      <c r="K68" s="1029"/>
      <c r="L68" s="1029"/>
      <c r="M68" s="1029"/>
    </row>
    <row r="69" spans="1:13" x14ac:dyDescent="0.2">
      <c r="A69" s="1032"/>
      <c r="B69" s="1029"/>
      <c r="C69" s="1034"/>
      <c r="D69" s="1029"/>
      <c r="E69" s="1029"/>
      <c r="F69" s="1030"/>
      <c r="G69" s="1029"/>
      <c r="H69" s="1035"/>
      <c r="I69" s="1029"/>
      <c r="J69" s="1030"/>
      <c r="K69" s="1029"/>
      <c r="L69" s="1029"/>
      <c r="M69" s="1029"/>
    </row>
    <row r="70" spans="1:13" x14ac:dyDescent="0.2">
      <c r="A70" s="1032"/>
      <c r="B70" s="1029"/>
      <c r="C70" s="1034"/>
      <c r="D70" s="1029"/>
      <c r="E70" s="1029"/>
      <c r="F70" s="1030"/>
      <c r="G70" s="1029"/>
      <c r="H70" s="1035"/>
      <c r="I70" s="1029"/>
      <c r="J70" s="1030"/>
      <c r="K70" s="1029"/>
      <c r="L70" s="1029"/>
      <c r="M70" s="1029"/>
    </row>
    <row r="71" spans="1:13" x14ac:dyDescent="0.2">
      <c r="A71" s="1037"/>
      <c r="B71" s="1029"/>
      <c r="C71" s="1034"/>
      <c r="D71" s="1029"/>
      <c r="E71" s="1029"/>
      <c r="F71" s="1030"/>
      <c r="G71" s="1029"/>
      <c r="H71" s="1035"/>
      <c r="I71" s="1029"/>
      <c r="J71" s="1030"/>
      <c r="K71" s="1029"/>
      <c r="L71" s="1029"/>
      <c r="M71" s="1029"/>
    </row>
    <row r="72" spans="1:13" x14ac:dyDescent="0.2">
      <c r="A72" s="1032"/>
      <c r="B72" s="1029"/>
      <c r="C72" s="1034"/>
      <c r="D72" s="1029"/>
      <c r="E72" s="1029"/>
      <c r="F72" s="1030"/>
      <c r="G72" s="1029"/>
      <c r="H72" s="1035"/>
      <c r="I72" s="1029"/>
      <c r="J72" s="1030"/>
      <c r="K72" s="1029"/>
      <c r="L72" s="1029"/>
      <c r="M72" s="1029"/>
    </row>
    <row r="73" spans="1:13" x14ac:dyDescent="0.2">
      <c r="A73" s="1032"/>
      <c r="B73" s="1029"/>
      <c r="C73" s="1034"/>
      <c r="D73" s="1029"/>
      <c r="E73" s="1029"/>
      <c r="F73" s="1030"/>
      <c r="G73" s="1029"/>
      <c r="H73" s="1035"/>
      <c r="I73" s="1029"/>
      <c r="J73" s="1030"/>
      <c r="K73" s="1029"/>
      <c r="L73" s="1029"/>
      <c r="M73" s="1029"/>
    </row>
    <row r="74" spans="1:13" x14ac:dyDescent="0.2">
      <c r="A74" s="1032"/>
      <c r="B74" s="1029"/>
      <c r="C74" s="1034"/>
      <c r="D74" s="1029"/>
      <c r="E74" s="1029"/>
      <c r="F74" s="1030"/>
      <c r="G74" s="1029"/>
      <c r="H74" s="1035"/>
      <c r="I74" s="1029"/>
      <c r="J74" s="1030"/>
      <c r="K74" s="1029"/>
      <c r="L74" s="1029"/>
      <c r="M74" s="1029"/>
    </row>
    <row r="75" spans="1:13" x14ac:dyDescent="0.2">
      <c r="A75" s="1032"/>
      <c r="B75" s="1029"/>
      <c r="C75" s="1034"/>
      <c r="D75" s="1029"/>
      <c r="E75" s="1029"/>
      <c r="F75" s="1030"/>
      <c r="G75" s="1029"/>
      <c r="H75" s="1035"/>
      <c r="I75" s="1029"/>
      <c r="J75" s="1030"/>
      <c r="K75" s="1029"/>
      <c r="L75" s="1029"/>
      <c r="M75" s="1029"/>
    </row>
    <row r="76" spans="1:13" x14ac:dyDescent="0.2">
      <c r="A76" s="1029"/>
      <c r="B76" s="1029"/>
      <c r="C76" s="1029"/>
      <c r="D76" s="1029"/>
      <c r="E76" s="1029"/>
      <c r="F76" s="1030"/>
      <c r="G76" s="1029"/>
      <c r="H76" s="1029"/>
      <c r="I76" s="1029"/>
      <c r="J76" s="1029"/>
      <c r="K76" s="1029"/>
      <c r="L76" s="1029"/>
      <c r="M76" s="1029"/>
    </row>
    <row r="77" spans="1:13" x14ac:dyDescent="0.2">
      <c r="A77" s="1032"/>
      <c r="B77" s="1029"/>
      <c r="C77" s="1034"/>
      <c r="D77" s="1029"/>
      <c r="E77" s="1029"/>
      <c r="F77" s="1038"/>
      <c r="G77" s="1029"/>
      <c r="H77" s="1029"/>
      <c r="I77" s="1029"/>
      <c r="J77" s="1038"/>
      <c r="K77" s="1029"/>
      <c r="L77" s="1039"/>
      <c r="M77" s="1029"/>
    </row>
    <row r="78" spans="1:13" x14ac:dyDescent="0.2">
      <c r="A78" s="1029"/>
      <c r="B78" s="1029"/>
      <c r="C78" s="1029"/>
      <c r="D78" s="1029"/>
      <c r="E78" s="1029"/>
      <c r="F78" s="1030"/>
      <c r="G78" s="1029"/>
      <c r="H78" s="1029"/>
      <c r="I78" s="1029"/>
      <c r="J78" s="1029"/>
      <c r="K78" s="1029"/>
      <c r="L78" s="1029"/>
      <c r="M78" s="1029"/>
    </row>
    <row r="79" spans="1:13" x14ac:dyDescent="0.2">
      <c r="A79" s="1029"/>
      <c r="B79" s="1029"/>
      <c r="C79" s="1029"/>
      <c r="D79" s="1029"/>
      <c r="E79" s="1029"/>
      <c r="F79" s="1030"/>
      <c r="G79" s="1029"/>
      <c r="H79" s="1029"/>
      <c r="I79" s="1029"/>
      <c r="J79" s="1029"/>
      <c r="K79" s="1029"/>
      <c r="L79" s="1029"/>
      <c r="M79" s="1029"/>
    </row>
    <row r="80" spans="1:13" x14ac:dyDescent="0.2">
      <c r="A80" s="1029"/>
      <c r="B80" s="1029"/>
      <c r="C80" s="1034"/>
      <c r="D80" s="1029"/>
      <c r="E80" s="1029"/>
      <c r="F80" s="1030"/>
      <c r="G80" s="1029"/>
      <c r="H80" s="1029"/>
      <c r="I80" s="1029"/>
      <c r="J80" s="1029"/>
      <c r="K80" s="1029"/>
      <c r="L80" s="1029"/>
      <c r="M80" s="1029"/>
    </row>
    <row r="81" spans="1:13" x14ac:dyDescent="0.2">
      <c r="A81" s="1029"/>
      <c r="B81" s="1029"/>
      <c r="C81" s="1034"/>
      <c r="D81" s="1029"/>
      <c r="E81" s="1029"/>
      <c r="F81" s="1030"/>
      <c r="G81" s="1029"/>
      <c r="H81" s="1029"/>
      <c r="I81" s="1029"/>
      <c r="J81" s="1029"/>
      <c r="K81" s="1029"/>
      <c r="L81" s="1029"/>
      <c r="M81" s="1029"/>
    </row>
    <row r="82" spans="1:13" x14ac:dyDescent="0.2">
      <c r="A82" s="1029"/>
      <c r="B82" s="1029"/>
      <c r="C82" s="1034"/>
      <c r="D82" s="1029"/>
      <c r="E82" s="1029"/>
      <c r="F82" s="1029"/>
      <c r="G82" s="1029"/>
      <c r="H82" s="1029"/>
      <c r="I82" s="1029"/>
      <c r="J82" s="1029"/>
      <c r="K82" s="1029"/>
      <c r="L82" s="1029"/>
      <c r="M82" s="1029"/>
    </row>
    <row r="83" spans="1:13" x14ac:dyDescent="0.2">
      <c r="A83" s="1029"/>
      <c r="B83" s="1029"/>
      <c r="C83" s="1029"/>
      <c r="D83" s="1029"/>
      <c r="E83" s="1029"/>
      <c r="F83" s="1029"/>
      <c r="G83" s="1029"/>
      <c r="H83" s="1029"/>
      <c r="I83" s="1029"/>
      <c r="J83" s="1029"/>
      <c r="K83" s="1029"/>
      <c r="L83" s="1029"/>
      <c r="M83" s="1029"/>
    </row>
    <row r="84" spans="1:13" x14ac:dyDescent="0.2">
      <c r="A84" s="1029"/>
      <c r="B84" s="1029"/>
      <c r="C84" s="1029"/>
      <c r="D84" s="1029"/>
      <c r="E84" s="1029"/>
      <c r="F84" s="1029"/>
      <c r="G84" s="1029"/>
      <c r="H84" s="1029"/>
      <c r="I84" s="1029"/>
      <c r="J84" s="1029"/>
      <c r="K84" s="1029"/>
      <c r="L84" s="1029"/>
      <c r="M84" s="1029"/>
    </row>
    <row r="85" spans="1:13" x14ac:dyDescent="0.2">
      <c r="A85" s="1029"/>
      <c r="B85" s="1029"/>
      <c r="C85" s="1029"/>
      <c r="D85" s="1029"/>
      <c r="E85" s="1029"/>
      <c r="F85" s="1029"/>
      <c r="G85" s="1029"/>
      <c r="H85" s="1029"/>
      <c r="I85" s="1029"/>
      <c r="J85" s="1029"/>
      <c r="K85" s="1029"/>
      <c r="L85" s="1029"/>
      <c r="M85" s="1029"/>
    </row>
    <row r="86" spans="1:13" x14ac:dyDescent="0.2">
      <c r="A86" s="1034"/>
      <c r="B86" s="1029"/>
      <c r="C86" s="1034"/>
      <c r="D86" s="1029"/>
      <c r="E86" s="1029"/>
      <c r="F86" s="1029"/>
      <c r="G86" s="1029"/>
      <c r="H86" s="1029"/>
      <c r="I86" s="1029"/>
      <c r="J86" s="1029"/>
      <c r="K86" s="1029"/>
      <c r="L86" s="1029"/>
      <c r="M86" s="1029"/>
    </row>
    <row r="87" spans="1:13" x14ac:dyDescent="0.2">
      <c r="A87" s="1029"/>
      <c r="B87" s="1029"/>
      <c r="C87" s="1034"/>
      <c r="D87" s="1029"/>
      <c r="E87" s="1029"/>
      <c r="F87" s="1029"/>
      <c r="G87" s="1029"/>
      <c r="H87" s="1029"/>
      <c r="I87" s="1029"/>
      <c r="J87" s="1029"/>
      <c r="K87" s="1029"/>
      <c r="L87" s="1029"/>
      <c r="M87" s="1029"/>
    </row>
    <row r="88" spans="1:13" x14ac:dyDescent="0.2">
      <c r="A88" s="1029"/>
      <c r="B88" s="1029"/>
      <c r="C88" s="1034"/>
      <c r="D88" s="1029"/>
      <c r="E88" s="1029"/>
      <c r="F88" s="1029"/>
      <c r="G88" s="1029"/>
      <c r="H88" s="1029"/>
      <c r="I88" s="1029"/>
      <c r="J88" s="1029"/>
      <c r="K88" s="1029"/>
      <c r="L88" s="1029"/>
      <c r="M88" s="1029"/>
    </row>
    <row r="89" spans="1:13" x14ac:dyDescent="0.2">
      <c r="A89" s="1029"/>
      <c r="B89" s="1029"/>
      <c r="C89" s="1034"/>
      <c r="D89" s="1029"/>
      <c r="E89" s="1029"/>
      <c r="F89" s="1029"/>
      <c r="G89" s="1029"/>
      <c r="H89" s="1029"/>
      <c r="I89" s="1029"/>
      <c r="J89" s="1029"/>
      <c r="K89" s="1029"/>
      <c r="L89" s="1029"/>
      <c r="M89" s="1029"/>
    </row>
    <row r="90" spans="1:13" x14ac:dyDescent="0.2">
      <c r="A90" s="1029"/>
      <c r="B90" s="1029"/>
      <c r="C90" s="1029"/>
      <c r="D90" s="1029"/>
      <c r="E90" s="1029"/>
      <c r="F90" s="1029"/>
      <c r="G90" s="1029"/>
      <c r="H90" s="1029"/>
      <c r="I90" s="1029"/>
      <c r="J90" s="1029"/>
      <c r="K90" s="1029"/>
      <c r="L90" s="1029"/>
      <c r="M90" s="1029"/>
    </row>
    <row r="91" spans="1:13" x14ac:dyDescent="0.2">
      <c r="A91" s="1029"/>
      <c r="B91" s="1029"/>
      <c r="C91" s="1029"/>
      <c r="D91" s="1029"/>
      <c r="E91" s="1029"/>
      <c r="F91" s="1029"/>
      <c r="G91" s="1029"/>
      <c r="H91" s="1029"/>
      <c r="I91" s="1029"/>
      <c r="J91" s="1029"/>
      <c r="K91" s="1029"/>
      <c r="L91" s="1029"/>
      <c r="M91" s="1029"/>
    </row>
    <row r="92" spans="1:13" x14ac:dyDescent="0.2">
      <c r="A92" s="1029"/>
      <c r="B92" s="1029"/>
      <c r="C92" s="1029"/>
      <c r="D92" s="1029"/>
      <c r="E92" s="1029"/>
      <c r="F92" s="1029"/>
      <c r="G92" s="1029"/>
      <c r="H92" s="1029"/>
      <c r="I92" s="1029"/>
      <c r="J92" s="1029"/>
      <c r="K92" s="1029"/>
      <c r="L92" s="1029"/>
      <c r="M92" s="1029"/>
    </row>
    <row r="93" spans="1:13" x14ac:dyDescent="0.2">
      <c r="A93" s="1029"/>
      <c r="B93" s="1029"/>
      <c r="C93" s="1029"/>
      <c r="D93" s="1029"/>
      <c r="E93" s="1029"/>
      <c r="F93" s="1029"/>
      <c r="G93" s="1029"/>
      <c r="H93" s="1029"/>
      <c r="I93" s="1029"/>
      <c r="J93" s="1029"/>
      <c r="K93" s="1029"/>
      <c r="L93" s="1029"/>
      <c r="M93" s="1029"/>
    </row>
    <row r="94" spans="1:13" x14ac:dyDescent="0.2">
      <c r="A94" s="1029"/>
      <c r="B94" s="1029"/>
      <c r="C94" s="1029"/>
      <c r="D94" s="1029"/>
      <c r="E94" s="1029"/>
      <c r="F94" s="1029"/>
      <c r="G94" s="1029"/>
      <c r="H94" s="1029"/>
      <c r="I94" s="1029"/>
      <c r="J94" s="1029"/>
      <c r="K94" s="1029"/>
      <c r="L94" s="1029"/>
      <c r="M94" s="1029"/>
    </row>
    <row r="95" spans="1:13" x14ac:dyDescent="0.2">
      <c r="A95" s="1029"/>
      <c r="B95" s="1029"/>
      <c r="C95" s="1029"/>
      <c r="D95" s="1029"/>
      <c r="E95" s="1029"/>
      <c r="F95" s="1029"/>
      <c r="G95" s="1029"/>
      <c r="H95" s="1029"/>
      <c r="I95" s="1029"/>
      <c r="J95" s="1029"/>
      <c r="K95" s="1029"/>
      <c r="L95" s="1029"/>
      <c r="M95" s="1029"/>
    </row>
    <row r="96" spans="1:13" x14ac:dyDescent="0.2">
      <c r="A96" s="1029"/>
      <c r="B96" s="1029"/>
      <c r="C96" s="1029"/>
      <c r="D96" s="1029"/>
      <c r="E96" s="1029"/>
      <c r="F96" s="1029"/>
      <c r="G96" s="1029"/>
      <c r="H96" s="1029"/>
      <c r="I96" s="1029"/>
      <c r="J96" s="1029"/>
      <c r="K96" s="1029"/>
      <c r="L96" s="1029"/>
      <c r="M96" s="1029"/>
    </row>
    <row r="97" spans="1:13" x14ac:dyDescent="0.2">
      <c r="A97" s="1029"/>
      <c r="B97" s="1029"/>
      <c r="C97" s="1029"/>
      <c r="D97" s="1029"/>
      <c r="E97" s="1029"/>
      <c r="F97" s="1029"/>
      <c r="G97" s="1029"/>
      <c r="H97" s="1029"/>
      <c r="I97" s="1029"/>
      <c r="J97" s="1029"/>
      <c r="K97" s="1029"/>
      <c r="L97" s="1029"/>
      <c r="M97" s="1029"/>
    </row>
  </sheetData>
  <mergeCells count="4">
    <mergeCell ref="A2:L2"/>
    <mergeCell ref="A1:L1"/>
    <mergeCell ref="A3:L3"/>
    <mergeCell ref="A4:L4"/>
  </mergeCells>
  <phoneticPr fontId="0" type="noConversion"/>
  <pageMargins left="1" right="0.5" top="1" bottom="1" header="0.5" footer="0.5"/>
  <pageSetup scale="85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 codeName="Sheet94"/>
  <dimension ref="A1:Y87"/>
  <sheetViews>
    <sheetView showGridLines="0" topLeftCell="A2" zoomScaleNormal="100" zoomScaleSheetLayoutView="90" workbookViewId="0">
      <selection activeCell="C27" sqref="C27"/>
    </sheetView>
  </sheetViews>
  <sheetFormatPr defaultColWidth="11.83203125" defaultRowHeight="12.75" x14ac:dyDescent="0.2"/>
  <cols>
    <col min="1" max="1" width="8.83203125" style="1040" customWidth="1"/>
    <col min="2" max="2" width="22" style="1040" customWidth="1"/>
    <col min="3" max="3" width="10.6640625" style="1040" customWidth="1"/>
    <col min="4" max="4" width="17" style="1040" customWidth="1"/>
    <col min="5" max="5" width="15.83203125" style="1040" customWidth="1"/>
    <col min="6" max="6" width="10.83203125" style="1040" customWidth="1"/>
    <col min="7" max="7" width="20.83203125" style="1040" customWidth="1"/>
    <col min="8" max="8" width="15.1640625" style="1040" customWidth="1"/>
    <col min="9" max="9" width="14.83203125" style="1040" customWidth="1"/>
    <col min="10" max="10" width="15.33203125" style="1040" bestFit="1" customWidth="1"/>
    <col min="11" max="17" width="11.83203125" style="1040"/>
    <col min="18" max="18" width="14.83203125" style="1040" customWidth="1"/>
    <col min="19" max="16384" width="11.83203125" style="1040"/>
  </cols>
  <sheetData>
    <row r="1" spans="1:10" x14ac:dyDescent="0.2">
      <c r="A1" s="2208" t="str">
        <f>co</f>
        <v>COLUMBIA GAS OF KENTUCKY, INC.</v>
      </c>
      <c r="B1" s="2208"/>
      <c r="C1" s="2208"/>
      <c r="D1" s="2208"/>
      <c r="E1" s="2208"/>
      <c r="F1" s="2208"/>
      <c r="G1" s="2208"/>
      <c r="H1" s="2208"/>
      <c r="I1" s="2208"/>
      <c r="J1" s="2208"/>
    </row>
    <row r="2" spans="1:10" x14ac:dyDescent="0.2">
      <c r="A2" s="2208" t="str">
        <f>'J-3'!A2:L2</f>
        <v>CASE NO. 2016 - 00162</v>
      </c>
      <c r="B2" s="2208"/>
      <c r="C2" s="2208"/>
      <c r="D2" s="2208"/>
      <c r="E2" s="2208"/>
      <c r="F2" s="2208"/>
      <c r="G2" s="2208"/>
      <c r="H2" s="2208"/>
      <c r="I2" s="2208"/>
      <c r="J2" s="2208"/>
    </row>
    <row r="3" spans="1:10" x14ac:dyDescent="0.2">
      <c r="A3" s="2209" t="s">
        <v>454</v>
      </c>
      <c r="B3" s="2209"/>
      <c r="C3" s="2209"/>
      <c r="D3" s="2209"/>
      <c r="E3" s="2209"/>
      <c r="F3" s="2209"/>
      <c r="G3" s="2209"/>
      <c r="H3" s="2209"/>
      <c r="I3" s="2209"/>
      <c r="J3" s="2209"/>
    </row>
    <row r="4" spans="1:10" x14ac:dyDescent="0.2">
      <c r="A4" s="1300"/>
      <c r="B4" s="1300"/>
      <c r="C4" s="1300"/>
      <c r="D4" s="1300"/>
      <c r="E4" s="1300"/>
      <c r="F4" s="1300"/>
      <c r="G4" s="1300"/>
      <c r="H4" s="1300"/>
      <c r="I4" s="1300"/>
      <c r="J4" s="1300"/>
    </row>
    <row r="5" spans="1:10" x14ac:dyDescent="0.2">
      <c r="A5" s="1300"/>
      <c r="B5" s="1300"/>
      <c r="C5" s="1300"/>
      <c r="D5" s="1300"/>
      <c r="E5" s="1300"/>
      <c r="F5" s="1300"/>
      <c r="G5" s="1300"/>
      <c r="H5" s="1300"/>
      <c r="I5" s="1300"/>
      <c r="J5" s="1300"/>
    </row>
    <row r="7" spans="1:10" x14ac:dyDescent="0.2">
      <c r="A7" s="990" t="s">
        <v>1109</v>
      </c>
      <c r="I7" s="1322"/>
      <c r="J7" s="1322" t="s">
        <v>481</v>
      </c>
    </row>
    <row r="8" spans="1:10" x14ac:dyDescent="0.2">
      <c r="A8" s="990" t="s">
        <v>977</v>
      </c>
      <c r="I8" s="1322"/>
      <c r="J8" s="1322" t="s">
        <v>1299</v>
      </c>
    </row>
    <row r="9" spans="1:10" x14ac:dyDescent="0.2">
      <c r="A9" s="992" t="s">
        <v>996</v>
      </c>
      <c r="B9" s="1043"/>
      <c r="C9" s="1043"/>
      <c r="D9" s="1043"/>
      <c r="E9" s="1043"/>
      <c r="F9" s="1043"/>
      <c r="G9" s="1043"/>
      <c r="H9" s="1043"/>
      <c r="I9" s="1323"/>
      <c r="J9" s="1323" t="s">
        <v>456</v>
      </c>
    </row>
    <row r="10" spans="1:10" ht="15.75" customHeight="1" x14ac:dyDescent="0.2"/>
    <row r="11" spans="1:10" x14ac:dyDescent="0.2">
      <c r="E11" s="1041" t="s">
        <v>482</v>
      </c>
      <c r="G11" s="1041" t="s">
        <v>483</v>
      </c>
    </row>
    <row r="12" spans="1:10" x14ac:dyDescent="0.2">
      <c r="A12" s="1041" t="s">
        <v>632</v>
      </c>
      <c r="B12" s="1041" t="s">
        <v>484</v>
      </c>
      <c r="C12" s="1041" t="s">
        <v>815</v>
      </c>
      <c r="D12" s="1041" t="s">
        <v>771</v>
      </c>
      <c r="E12" s="1041" t="s">
        <v>485</v>
      </c>
      <c r="F12" s="1041" t="s">
        <v>474</v>
      </c>
      <c r="G12" s="1041" t="s">
        <v>486</v>
      </c>
      <c r="H12" s="1041" t="s">
        <v>810</v>
      </c>
      <c r="I12" s="1041" t="s">
        <v>460</v>
      </c>
      <c r="J12" s="1041" t="s">
        <v>487</v>
      </c>
    </row>
    <row r="13" spans="1:10" x14ac:dyDescent="0.2">
      <c r="A13" s="1041" t="s">
        <v>635</v>
      </c>
      <c r="B13" s="1041" t="s">
        <v>488</v>
      </c>
      <c r="C13" s="1041" t="s">
        <v>489</v>
      </c>
      <c r="D13" s="1041" t="s">
        <v>475</v>
      </c>
      <c r="E13" s="1041" t="s">
        <v>490</v>
      </c>
      <c r="F13" s="1041" t="s">
        <v>848</v>
      </c>
      <c r="G13" s="1041" t="s">
        <v>491</v>
      </c>
      <c r="H13" s="1041" t="s">
        <v>492</v>
      </c>
      <c r="I13" s="1041" t="s">
        <v>493</v>
      </c>
      <c r="J13" s="1041" t="s">
        <v>494</v>
      </c>
    </row>
    <row r="14" spans="1:10" x14ac:dyDescent="0.2">
      <c r="A14" s="1043"/>
      <c r="B14" s="1043"/>
      <c r="C14" s="1045" t="s">
        <v>834</v>
      </c>
      <c r="D14" s="1045" t="s">
        <v>835</v>
      </c>
      <c r="E14" s="1045" t="s">
        <v>836</v>
      </c>
      <c r="F14" s="1045" t="s">
        <v>837</v>
      </c>
      <c r="G14" s="1045" t="s">
        <v>838</v>
      </c>
      <c r="H14" s="1045" t="s">
        <v>495</v>
      </c>
      <c r="I14" s="1045" t="s">
        <v>840</v>
      </c>
      <c r="J14" s="1045" t="s">
        <v>496</v>
      </c>
    </row>
    <row r="17" spans="3:9" x14ac:dyDescent="0.2">
      <c r="C17" s="1287"/>
      <c r="D17" s="1288"/>
      <c r="E17" s="1289"/>
      <c r="F17" s="1290" t="s">
        <v>1979</v>
      </c>
      <c r="G17" s="1288"/>
      <c r="H17" s="1288"/>
      <c r="I17" s="1288"/>
    </row>
    <row r="18" spans="3:9" x14ac:dyDescent="0.2">
      <c r="D18" s="1046"/>
      <c r="E18" s="1047"/>
      <c r="F18" s="1046"/>
      <c r="G18" s="1046"/>
      <c r="H18" s="1046"/>
      <c r="I18" s="1046"/>
    </row>
    <row r="19" spans="3:9" x14ac:dyDescent="0.2">
      <c r="D19" s="1046"/>
      <c r="E19" s="1047"/>
      <c r="F19" s="1046"/>
      <c r="G19" s="1046"/>
      <c r="H19" s="1046"/>
      <c r="I19" s="1046"/>
    </row>
    <row r="20" spans="3:9" x14ac:dyDescent="0.2">
      <c r="D20" s="1046"/>
      <c r="E20" s="1047"/>
      <c r="F20" s="1046"/>
      <c r="G20" s="1046"/>
      <c r="H20" s="1046"/>
      <c r="I20" s="1046"/>
    </row>
    <row r="21" spans="3:9" x14ac:dyDescent="0.2">
      <c r="D21" s="1046"/>
      <c r="E21" s="1046"/>
      <c r="F21" s="1046"/>
      <c r="G21" s="1046"/>
      <c r="H21" s="1046"/>
      <c r="I21" s="1046"/>
    </row>
    <row r="22" spans="3:9" x14ac:dyDescent="0.2">
      <c r="D22" s="1046"/>
      <c r="E22" s="1047"/>
      <c r="F22" s="1046"/>
      <c r="G22" s="1046"/>
      <c r="H22" s="1046"/>
      <c r="I22" s="1046"/>
    </row>
    <row r="23" spans="3:9" x14ac:dyDescent="0.2">
      <c r="D23" s="1046"/>
      <c r="E23" s="1047"/>
      <c r="F23" s="1046"/>
      <c r="G23" s="1046"/>
      <c r="H23" s="1046"/>
      <c r="I23" s="1046"/>
    </row>
    <row r="24" spans="3:9" x14ac:dyDescent="0.2">
      <c r="D24" s="1046"/>
      <c r="E24" s="1047"/>
    </row>
    <row r="25" spans="3:9" x14ac:dyDescent="0.2">
      <c r="D25" s="1046"/>
      <c r="E25" s="1047"/>
    </row>
    <row r="26" spans="3:9" x14ac:dyDescent="0.2">
      <c r="D26" s="1046"/>
      <c r="E26" s="1047"/>
    </row>
    <row r="27" spans="3:9" x14ac:dyDescent="0.2">
      <c r="D27" s="1046"/>
      <c r="E27" s="1047"/>
    </row>
    <row r="28" spans="3:9" x14ac:dyDescent="0.2">
      <c r="D28" s="1046"/>
      <c r="E28" s="1047"/>
    </row>
    <row r="29" spans="3:9" x14ac:dyDescent="0.2">
      <c r="D29" s="1046"/>
      <c r="E29" s="1047"/>
    </row>
    <row r="30" spans="3:9" x14ac:dyDescent="0.2">
      <c r="D30" s="1046"/>
    </row>
    <row r="36" spans="10:25" x14ac:dyDescent="0.2">
      <c r="J36" s="1048"/>
    </row>
    <row r="40" spans="10:25" x14ac:dyDescent="0.2">
      <c r="J40" s="1043"/>
      <c r="K40" s="1043"/>
      <c r="L40" s="1043"/>
      <c r="M40" s="1043"/>
      <c r="N40" s="1043"/>
      <c r="O40" s="1043"/>
      <c r="P40" s="1043"/>
      <c r="Q40" s="1043"/>
      <c r="R40" s="1043"/>
      <c r="S40" s="1043"/>
      <c r="T40" s="1043"/>
      <c r="U40" s="1043"/>
      <c r="V40" s="1043"/>
      <c r="W40" s="1043"/>
      <c r="X40" s="1043"/>
      <c r="Y40" s="1043"/>
    </row>
    <row r="44" spans="10:25" x14ac:dyDescent="0.2">
      <c r="T44" s="1044"/>
    </row>
    <row r="45" spans="10:25" x14ac:dyDescent="0.2">
      <c r="J45" s="1043"/>
      <c r="K45" s="1043"/>
      <c r="L45" s="1043"/>
      <c r="M45" s="1043"/>
      <c r="N45" s="1043"/>
      <c r="O45" s="1043"/>
      <c r="P45" s="1043"/>
      <c r="Q45" s="1043"/>
      <c r="R45" s="1043"/>
      <c r="S45" s="1043"/>
      <c r="T45" s="1043"/>
      <c r="U45" s="1043"/>
      <c r="V45" s="1043"/>
      <c r="W45" s="1043"/>
      <c r="X45" s="1043"/>
      <c r="Y45" s="1043"/>
    </row>
    <row r="53" spans="4:17" x14ac:dyDescent="0.2">
      <c r="O53" s="1046"/>
      <c r="P53" s="1047"/>
      <c r="Q53" s="1046"/>
    </row>
    <row r="54" spans="4:17" x14ac:dyDescent="0.2">
      <c r="O54" s="1046"/>
      <c r="P54" s="1046"/>
      <c r="Q54" s="1046"/>
    </row>
    <row r="55" spans="4:17" x14ac:dyDescent="0.2">
      <c r="O55" s="1046"/>
      <c r="P55" s="1047"/>
      <c r="Q55" s="1046"/>
    </row>
    <row r="56" spans="4:17" x14ac:dyDescent="0.2">
      <c r="O56" s="1046"/>
      <c r="P56" s="1047"/>
      <c r="Q56" s="1046"/>
    </row>
    <row r="57" spans="4:17" x14ac:dyDescent="0.2">
      <c r="D57" s="1046"/>
      <c r="E57" s="1047"/>
      <c r="F57" s="1046"/>
    </row>
    <row r="58" spans="4:17" x14ac:dyDescent="0.2">
      <c r="D58" s="1046"/>
      <c r="E58" s="1047"/>
      <c r="F58" s="1046"/>
    </row>
    <row r="59" spans="4:17" x14ac:dyDescent="0.2">
      <c r="D59" s="1046"/>
      <c r="E59" s="1047"/>
      <c r="F59" s="1046"/>
    </row>
    <row r="60" spans="4:17" x14ac:dyDescent="0.2">
      <c r="D60" s="1046"/>
      <c r="E60" s="1046"/>
      <c r="F60" s="1046"/>
    </row>
    <row r="84" spans="1:2" x14ac:dyDescent="0.2">
      <c r="A84" s="1042" t="s">
        <v>497</v>
      </c>
      <c r="B84" s="1042" t="s">
        <v>498</v>
      </c>
    </row>
    <row r="85" spans="1:2" x14ac:dyDescent="0.2">
      <c r="B85" s="1042" t="s">
        <v>499</v>
      </c>
    </row>
    <row r="86" spans="1:2" x14ac:dyDescent="0.2">
      <c r="B86" s="1042" t="s">
        <v>500</v>
      </c>
    </row>
    <row r="87" spans="1:2" x14ac:dyDescent="0.2">
      <c r="B87" s="1042" t="s">
        <v>501</v>
      </c>
    </row>
  </sheetData>
  <mergeCells count="3">
    <mergeCell ref="A1:J1"/>
    <mergeCell ref="A2:J2"/>
    <mergeCell ref="A3:J3"/>
  </mergeCells>
  <phoneticPr fontId="0" type="noConversion"/>
  <printOptions horizontalCentered="1"/>
  <pageMargins left="0.75" right="0.5" top="0.75" bottom="0.5" header="0.5" footer="0.5"/>
  <pageSetup scale="77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4" transitionEvaluation="1" codeName="Sheet95"/>
  <dimension ref="A3:I27"/>
  <sheetViews>
    <sheetView showGridLines="0" topLeftCell="A4" zoomScaleNormal="100" zoomScaleSheetLayoutView="120" workbookViewId="0">
      <selection activeCell="L38" sqref="L38"/>
    </sheetView>
  </sheetViews>
  <sheetFormatPr defaultColWidth="9.83203125" defaultRowHeight="12.75" x14ac:dyDescent="0.2"/>
  <cols>
    <col min="1" max="1" width="25.33203125" style="1050" customWidth="1"/>
    <col min="2" max="2" width="1.33203125" style="1050" customWidth="1"/>
    <col min="3" max="6" width="9.83203125" style="1050"/>
    <col min="7" max="7" width="9.83203125" style="1050" customWidth="1"/>
    <col min="8" max="8" width="6" style="1050" customWidth="1"/>
    <col min="9" max="9" width="11.6640625" style="1050" customWidth="1"/>
    <col min="10" max="16384" width="9.83203125" style="1050"/>
  </cols>
  <sheetData>
    <row r="3" spans="1:9" x14ac:dyDescent="0.2">
      <c r="A3" s="1049"/>
    </row>
    <row r="4" spans="1:9" x14ac:dyDescent="0.2">
      <c r="A4" s="1049"/>
    </row>
    <row r="5" spans="1:9" x14ac:dyDescent="0.2">
      <c r="A5" s="2210" t="s">
        <v>502</v>
      </c>
      <c r="B5" s="2210"/>
      <c r="C5" s="2210"/>
      <c r="D5" s="2210"/>
      <c r="E5" s="2210"/>
      <c r="F5" s="2210"/>
      <c r="G5" s="2210"/>
      <c r="H5" s="2210"/>
      <c r="I5" s="2210"/>
    </row>
    <row r="6" spans="1:9" x14ac:dyDescent="0.2">
      <c r="A6" s="1049"/>
    </row>
    <row r="7" spans="1:9" x14ac:dyDescent="0.2">
      <c r="A7" s="2210" t="s">
        <v>503</v>
      </c>
      <c r="B7" s="2210"/>
      <c r="C7" s="2210"/>
      <c r="D7" s="2210"/>
      <c r="E7" s="2210"/>
      <c r="F7" s="2210"/>
      <c r="G7" s="2210"/>
      <c r="H7" s="2210"/>
      <c r="I7" s="2210"/>
    </row>
    <row r="8" spans="1:9" x14ac:dyDescent="0.2">
      <c r="A8" s="2210" t="s">
        <v>504</v>
      </c>
      <c r="B8" s="2210"/>
      <c r="C8" s="2210"/>
      <c r="D8" s="2210"/>
      <c r="E8" s="2210"/>
      <c r="F8" s="2210"/>
      <c r="G8" s="2210"/>
      <c r="H8" s="2210"/>
      <c r="I8" s="2210"/>
    </row>
    <row r="9" spans="1:9" x14ac:dyDescent="0.2">
      <c r="A9" s="1049"/>
    </row>
    <row r="10" spans="1:9" x14ac:dyDescent="0.2">
      <c r="A10" s="1049"/>
    </row>
    <row r="11" spans="1:9" x14ac:dyDescent="0.2">
      <c r="A11" s="2210" t="s">
        <v>624</v>
      </c>
      <c r="B11" s="2210"/>
      <c r="C11" s="2210"/>
      <c r="D11" s="2210"/>
      <c r="E11" s="2210"/>
      <c r="F11" s="2210"/>
      <c r="G11" s="2210"/>
      <c r="H11" s="2210"/>
      <c r="I11" s="2210"/>
    </row>
    <row r="12" spans="1:9" x14ac:dyDescent="0.2">
      <c r="A12" s="1049"/>
    </row>
    <row r="13" spans="1:9" x14ac:dyDescent="0.2">
      <c r="A13" s="2210" t="str">
        <f>'K - Comparative Financial Data'!A3</f>
        <v>CASE NO. 2016 - 00162</v>
      </c>
      <c r="B13" s="2210"/>
      <c r="C13" s="2210"/>
      <c r="D13" s="2210"/>
      <c r="E13" s="2210"/>
      <c r="F13" s="2210"/>
      <c r="G13" s="2210"/>
      <c r="H13" s="2210"/>
      <c r="I13" s="2210"/>
    </row>
    <row r="14" spans="1:9" x14ac:dyDescent="0.2">
      <c r="A14" s="1051"/>
      <c r="B14" s="1051"/>
      <c r="C14" s="1051"/>
      <c r="D14" s="1051"/>
      <c r="E14" s="1051"/>
      <c r="F14" s="1051"/>
      <c r="G14" s="1051"/>
      <c r="H14" s="1051"/>
      <c r="I14" s="1051"/>
    </row>
    <row r="15" spans="1:9" x14ac:dyDescent="0.2">
      <c r="A15" s="1049"/>
    </row>
    <row r="16" spans="1:9" x14ac:dyDescent="0.2">
      <c r="A16" s="1052" t="s">
        <v>389</v>
      </c>
      <c r="C16" s="1053" t="str">
        <f>base</f>
        <v>FOR THE TWELVE MONTHS ENDED AUGUST 31, 2016</v>
      </c>
      <c r="E16" s="1051"/>
    </row>
    <row r="17" spans="1:6" x14ac:dyDescent="0.2">
      <c r="A17" s="1049"/>
      <c r="C17" s="1053"/>
    </row>
    <row r="18" spans="1:6" x14ac:dyDescent="0.2">
      <c r="A18" s="1052" t="s">
        <v>1253</v>
      </c>
      <c r="C18" s="1053" t="str">
        <f>forecast</f>
        <v>FOR THE TWELVE MONTHS ENDED DECEMBER 31, 2017</v>
      </c>
      <c r="E18" s="1051"/>
    </row>
    <row r="19" spans="1:6" x14ac:dyDescent="0.2">
      <c r="A19" s="1049"/>
    </row>
    <row r="20" spans="1:6" x14ac:dyDescent="0.2">
      <c r="A20" s="1439"/>
      <c r="B20" s="1440"/>
      <c r="C20" s="1440"/>
      <c r="D20" s="1440"/>
      <c r="E20" s="1440"/>
      <c r="F20" s="1440"/>
    </row>
    <row r="21" spans="1:6" x14ac:dyDescent="0.2">
      <c r="A21" s="1441" t="s">
        <v>633</v>
      </c>
      <c r="B21" s="1440"/>
      <c r="C21" s="1440"/>
      <c r="D21" s="1440"/>
      <c r="E21" s="1442" t="s">
        <v>778</v>
      </c>
      <c r="F21" s="1440"/>
    </row>
    <row r="22" spans="1:6" x14ac:dyDescent="0.2">
      <c r="A22" s="1049"/>
    </row>
    <row r="23" spans="1:6" x14ac:dyDescent="0.2">
      <c r="A23" s="1052" t="s">
        <v>505</v>
      </c>
      <c r="D23" s="1052" t="s">
        <v>506</v>
      </c>
    </row>
    <row r="24" spans="1:6" x14ac:dyDescent="0.2">
      <c r="A24" s="1049"/>
    </row>
    <row r="25" spans="1:6" x14ac:dyDescent="0.2">
      <c r="A25" s="1049"/>
    </row>
    <row r="26" spans="1:6" x14ac:dyDescent="0.2">
      <c r="A26" s="1049"/>
    </row>
    <row r="27" spans="1:6" x14ac:dyDescent="0.2">
      <c r="A27" s="1049"/>
    </row>
  </sheetData>
  <mergeCells count="5">
    <mergeCell ref="A13:I13"/>
    <mergeCell ref="A5:I5"/>
    <mergeCell ref="A7:I7"/>
    <mergeCell ref="A8:I8"/>
    <mergeCell ref="A11:I11"/>
  </mergeCells>
  <phoneticPr fontId="0" type="noConversion"/>
  <pageMargins left="1" right="0" top="1" bottom="1" header="0.5" footer="0.5"/>
  <pageSetup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57" transitionEvaluation="1" transitionEntry="1" codeName="Sheet96"/>
  <dimension ref="A2:AN185"/>
  <sheetViews>
    <sheetView showGridLines="0" topLeftCell="A57" zoomScaleNormal="100" zoomScaleSheetLayoutView="80" workbookViewId="0">
      <selection activeCell="L38" sqref="L38"/>
    </sheetView>
  </sheetViews>
  <sheetFormatPr defaultColWidth="7.5" defaultRowHeight="12" x14ac:dyDescent="0.2"/>
  <cols>
    <col min="1" max="1" width="5" style="1054" customWidth="1"/>
    <col min="2" max="2" width="17" style="1054" customWidth="1"/>
    <col min="3" max="4" width="7.5" style="1054"/>
    <col min="5" max="5" width="8.33203125" style="1054" customWidth="1"/>
    <col min="6" max="6" width="14.6640625" style="1054" customWidth="1"/>
    <col min="7" max="7" width="15.5" style="1054" customWidth="1"/>
    <col min="8" max="8" width="11.33203125" style="1054" customWidth="1"/>
    <col min="9" max="9" width="10.5" style="1054" customWidth="1"/>
    <col min="10" max="10" width="9" style="1054" customWidth="1"/>
    <col min="11" max="11" width="10" style="1054" customWidth="1"/>
    <col min="12" max="12" width="9.83203125" style="1054" customWidth="1"/>
    <col min="13" max="17" width="9.1640625" style="1054" customWidth="1"/>
    <col min="18" max="18" width="9.33203125" style="1054" customWidth="1"/>
    <col min="19" max="19" width="1.1640625" style="1531" customWidth="1"/>
    <col min="20" max="21" width="7.5" style="1054"/>
    <col min="22" max="22" width="5" style="1054" customWidth="1"/>
    <col min="23" max="23" width="8.33203125" style="1054" customWidth="1"/>
    <col min="24" max="24" width="7.5" style="1054"/>
    <col min="25" max="25" width="16" style="1054" customWidth="1"/>
    <col min="26" max="26" width="7.5" style="1054"/>
    <col min="27" max="27" width="12.5" style="1054" customWidth="1"/>
    <col min="28" max="28" width="7.5" style="1054"/>
    <col min="29" max="29" width="12.5" style="1054" customWidth="1"/>
    <col min="30" max="16384" width="7.5" style="1054"/>
  </cols>
  <sheetData>
    <row r="2" spans="1:40" x14ac:dyDescent="0.2">
      <c r="A2" s="2214" t="s">
        <v>624</v>
      </c>
      <c r="B2" s="2214"/>
      <c r="C2" s="2214"/>
      <c r="D2" s="2214"/>
      <c r="E2" s="2214"/>
      <c r="F2" s="2214"/>
      <c r="G2" s="2214"/>
      <c r="H2" s="2214"/>
      <c r="I2" s="2214"/>
      <c r="J2" s="2214"/>
      <c r="K2" s="2214"/>
      <c r="L2" s="2214"/>
      <c r="M2" s="2214"/>
      <c r="N2" s="2214"/>
      <c r="O2" s="2214"/>
      <c r="P2" s="2214"/>
      <c r="Q2" s="2214"/>
      <c r="R2" s="2214"/>
      <c r="T2" s="2217"/>
      <c r="U2" s="2217"/>
      <c r="V2" s="2217"/>
      <c r="W2" s="2217"/>
      <c r="X2" s="2217"/>
      <c r="Y2" s="2217"/>
    </row>
    <row r="3" spans="1:40" x14ac:dyDescent="0.2">
      <c r="A3" s="2215" t="str">
        <f>case</f>
        <v>CASE NO. 2016 - 00162</v>
      </c>
      <c r="B3" s="2215"/>
      <c r="C3" s="2215"/>
      <c r="D3" s="2215"/>
      <c r="E3" s="2215"/>
      <c r="F3" s="2215"/>
      <c r="G3" s="2215"/>
      <c r="H3" s="2215"/>
      <c r="I3" s="2215"/>
      <c r="J3" s="2215"/>
      <c r="K3" s="2215"/>
      <c r="L3" s="2215"/>
      <c r="M3" s="2215"/>
      <c r="N3" s="2215"/>
      <c r="O3" s="2215"/>
      <c r="P3" s="2215"/>
      <c r="Q3" s="2215"/>
      <c r="R3" s="2215"/>
      <c r="T3" s="2217"/>
      <c r="U3" s="2217"/>
      <c r="V3" s="2217"/>
      <c r="W3" s="2217"/>
      <c r="X3" s="2217"/>
      <c r="Y3" s="2217"/>
    </row>
    <row r="4" spans="1:40" x14ac:dyDescent="0.2">
      <c r="A4" s="2214" t="s">
        <v>506</v>
      </c>
      <c r="B4" s="2214"/>
      <c r="C4" s="2214"/>
      <c r="D4" s="2214"/>
      <c r="E4" s="2214"/>
      <c r="F4" s="2214"/>
      <c r="G4" s="2214"/>
      <c r="H4" s="2214"/>
      <c r="I4" s="2214"/>
      <c r="J4" s="2214"/>
      <c r="K4" s="2214"/>
      <c r="L4" s="2214"/>
      <c r="M4" s="2214"/>
      <c r="N4" s="2214"/>
      <c r="O4" s="2214"/>
      <c r="P4" s="2214"/>
      <c r="Q4" s="2214"/>
      <c r="R4" s="2214"/>
      <c r="W4" s="1055"/>
    </row>
    <row r="5" spans="1:40" x14ac:dyDescent="0.2">
      <c r="A5" s="2216" t="s">
        <v>1984</v>
      </c>
      <c r="B5" s="2216"/>
      <c r="C5" s="2216"/>
      <c r="D5" s="2216"/>
      <c r="E5" s="2216"/>
      <c r="F5" s="2216"/>
      <c r="G5" s="2216"/>
      <c r="H5" s="2216"/>
      <c r="I5" s="2216"/>
      <c r="J5" s="2216"/>
      <c r="K5" s="2216"/>
      <c r="L5" s="2216"/>
      <c r="M5" s="2216"/>
      <c r="N5" s="2216"/>
      <c r="O5" s="2216"/>
      <c r="P5" s="2216"/>
      <c r="Q5" s="2216"/>
      <c r="R5" s="2216"/>
    </row>
    <row r="6" spans="1:40" x14ac:dyDescent="0.2">
      <c r="A6" s="2216" t="s">
        <v>1985</v>
      </c>
      <c r="B6" s="2216"/>
      <c r="C6" s="2216"/>
      <c r="D6" s="2216"/>
      <c r="E6" s="2216"/>
      <c r="F6" s="2216"/>
      <c r="G6" s="2216"/>
      <c r="H6" s="2216"/>
      <c r="I6" s="2216"/>
      <c r="J6" s="2216"/>
      <c r="K6" s="2216"/>
      <c r="L6" s="2216"/>
      <c r="M6" s="2216"/>
      <c r="N6" s="2216"/>
      <c r="O6" s="2216"/>
      <c r="P6" s="2216"/>
      <c r="Q6" s="2216"/>
      <c r="R6" s="2216"/>
    </row>
    <row r="7" spans="1:40" x14ac:dyDescent="0.2">
      <c r="A7" s="1146"/>
      <c r="B7" s="1146"/>
      <c r="C7" s="1146"/>
      <c r="D7" s="1146"/>
      <c r="E7" s="1146"/>
      <c r="F7" s="1146"/>
      <c r="G7" s="1146"/>
      <c r="H7" s="1146"/>
      <c r="I7" s="1146"/>
      <c r="J7" s="1146"/>
      <c r="K7" s="1146"/>
      <c r="L7" s="1146"/>
      <c r="M7" s="1146"/>
      <c r="N7" s="1146"/>
      <c r="O7" s="1146"/>
      <c r="P7" s="1146"/>
      <c r="Q7" s="1146"/>
      <c r="R7" s="1146"/>
    </row>
    <row r="8" spans="1:40" x14ac:dyDescent="0.2">
      <c r="A8" s="1056" t="s">
        <v>1317</v>
      </c>
      <c r="P8" s="1057"/>
      <c r="R8" s="1057" t="s">
        <v>502</v>
      </c>
    </row>
    <row r="9" spans="1:40" x14ac:dyDescent="0.2">
      <c r="A9" s="1056" t="s">
        <v>977</v>
      </c>
      <c r="P9" s="1057"/>
      <c r="R9" s="1057" t="s">
        <v>864</v>
      </c>
    </row>
    <row r="10" spans="1:40" x14ac:dyDescent="0.2">
      <c r="A10" s="1058" t="s">
        <v>996</v>
      </c>
      <c r="B10" s="1059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59"/>
      <c r="P10" s="1814"/>
      <c r="Q10" s="1815"/>
      <c r="R10" s="1814" t="str">
        <f>JTC</f>
        <v>WITNESS:  J. T. CROOM</v>
      </c>
      <c r="S10" s="1550"/>
      <c r="T10" s="1146"/>
    </row>
    <row r="11" spans="1:40" x14ac:dyDescent="0.2">
      <c r="P11" s="1146"/>
      <c r="Q11" s="1146"/>
      <c r="R11" s="1146"/>
      <c r="S11" s="1550"/>
      <c r="T11" s="1146"/>
    </row>
    <row r="12" spans="1:40" x14ac:dyDescent="0.2">
      <c r="A12" s="1056" t="s">
        <v>632</v>
      </c>
      <c r="G12" s="1061" t="s">
        <v>1112</v>
      </c>
      <c r="H12" s="1061" t="s">
        <v>634</v>
      </c>
      <c r="I12" s="1059"/>
      <c r="J12" s="1059"/>
      <c r="K12" s="1059"/>
      <c r="L12" s="1059"/>
      <c r="M12" s="1062" t="s">
        <v>507</v>
      </c>
      <c r="N12" s="1059"/>
      <c r="O12" s="1059"/>
      <c r="P12" s="1816"/>
      <c r="Q12" s="1816"/>
      <c r="R12" s="1816"/>
      <c r="S12" s="1550"/>
      <c r="T12" s="1146"/>
    </row>
    <row r="13" spans="1:40" x14ac:dyDescent="0.2">
      <c r="A13" s="1058" t="s">
        <v>635</v>
      </c>
      <c r="B13" s="1059"/>
      <c r="C13" s="1062" t="s">
        <v>778</v>
      </c>
      <c r="D13" s="1059"/>
      <c r="E13" s="1059"/>
      <c r="F13" s="1059"/>
      <c r="G13" s="1062" t="s">
        <v>638</v>
      </c>
      <c r="H13" s="1062" t="s">
        <v>638</v>
      </c>
      <c r="I13" s="1062">
        <v>2015</v>
      </c>
      <c r="J13" s="1062">
        <v>2014</v>
      </c>
      <c r="K13" s="1062">
        <v>2013</v>
      </c>
      <c r="L13" s="1062">
        <v>2012</v>
      </c>
      <c r="M13" s="1062">
        <v>2011</v>
      </c>
      <c r="N13" s="1062">
        <v>2010</v>
      </c>
      <c r="O13" s="1062">
        <v>2009</v>
      </c>
      <c r="P13" s="1062">
        <v>2008</v>
      </c>
      <c r="Q13" s="1062">
        <v>2007</v>
      </c>
      <c r="R13" s="1062">
        <v>2006</v>
      </c>
      <c r="S13" s="1531">
        <v>2005</v>
      </c>
    </row>
    <row r="14" spans="1:40" x14ac:dyDescent="0.2">
      <c r="M14" s="1530"/>
      <c r="N14" s="1530"/>
      <c r="O14" s="1530"/>
      <c r="P14" s="1530"/>
      <c r="Q14" s="1530"/>
    </row>
    <row r="15" spans="1:40" x14ac:dyDescent="0.2">
      <c r="A15" s="1056" t="s">
        <v>1325</v>
      </c>
      <c r="B15" s="1063" t="s">
        <v>508</v>
      </c>
      <c r="C15" s="1064"/>
      <c r="M15" s="1531"/>
      <c r="N15" s="1531"/>
      <c r="O15" s="1531"/>
      <c r="P15" s="1531"/>
      <c r="Q15" s="1531"/>
      <c r="R15" s="1531"/>
      <c r="AB15" s="1065"/>
      <c r="AC15" s="1065"/>
      <c r="AD15" s="1065"/>
      <c r="AE15" s="1065"/>
      <c r="AF15" s="1065"/>
      <c r="AG15" s="1065"/>
      <c r="AH15" s="1065"/>
      <c r="AI15" s="1065"/>
      <c r="AJ15" s="1065"/>
      <c r="AK15" s="1065"/>
      <c r="AL15" s="1065"/>
      <c r="AM15" s="1065"/>
      <c r="AN15" s="1065"/>
    </row>
    <row r="16" spans="1:40" x14ac:dyDescent="0.2">
      <c r="A16" s="1056" t="s">
        <v>509</v>
      </c>
      <c r="B16" s="1056" t="s">
        <v>510</v>
      </c>
      <c r="I16" s="1146"/>
      <c r="AB16" s="1065"/>
      <c r="AC16" s="1065"/>
      <c r="AD16" s="1065"/>
      <c r="AE16" s="1065"/>
      <c r="AF16" s="1065"/>
      <c r="AG16" s="1065"/>
      <c r="AH16" s="1065"/>
      <c r="AI16" s="1065"/>
      <c r="AJ16" s="1065"/>
      <c r="AK16" s="1065"/>
      <c r="AL16" s="1065"/>
      <c r="AM16" s="1065"/>
      <c r="AN16" s="1065"/>
    </row>
    <row r="17" spans="1:40" ht="12" customHeight="1" x14ac:dyDescent="0.2">
      <c r="A17" s="1056" t="s">
        <v>511</v>
      </c>
      <c r="B17" s="1056" t="s">
        <v>512</v>
      </c>
      <c r="G17" s="1068">
        <f>'B-2 p.2 Grouping (Forecast)'!J16/1000</f>
        <v>8263.2239407692305</v>
      </c>
      <c r="H17" s="1068">
        <f>'B-2 p.1 Grouping (Base)'!I15/1000</f>
        <v>6097.07971</v>
      </c>
      <c r="I17" s="1066">
        <v>5341</v>
      </c>
      <c r="J17" s="1144">
        <v>4672</v>
      </c>
      <c r="K17" s="1144">
        <v>2935</v>
      </c>
      <c r="L17" s="1144">
        <v>2925</v>
      </c>
      <c r="M17" s="1144">
        <v>2358</v>
      </c>
      <c r="N17" s="1144">
        <v>2019</v>
      </c>
      <c r="O17" s="1144">
        <v>1425</v>
      </c>
      <c r="P17" s="1144">
        <v>1311</v>
      </c>
      <c r="Q17" s="1144">
        <v>1369</v>
      </c>
      <c r="R17" s="1144">
        <v>1074</v>
      </c>
      <c r="S17" s="1545">
        <v>1415</v>
      </c>
      <c r="AB17" s="1065"/>
      <c r="AC17" s="1065"/>
      <c r="AD17" s="1065"/>
      <c r="AE17" s="1065"/>
      <c r="AF17" s="1065"/>
      <c r="AG17" s="1065"/>
      <c r="AH17" s="1065"/>
      <c r="AI17" s="1065"/>
      <c r="AJ17" s="1065"/>
      <c r="AK17" s="1065"/>
      <c r="AL17" s="1065"/>
      <c r="AM17" s="1065"/>
      <c r="AN17" s="1065"/>
    </row>
    <row r="18" spans="1:40" x14ac:dyDescent="0.2">
      <c r="A18" s="1056" t="s">
        <v>513</v>
      </c>
      <c r="B18" s="1056" t="s">
        <v>514</v>
      </c>
      <c r="G18" s="1068">
        <f>'B-2 p.2 Grouping (Forecast)'!J24/1000</f>
        <v>421752.05961076927</v>
      </c>
      <c r="H18" s="1068">
        <f>'B-2 p.1 Grouping (Base)'!I23/1000</f>
        <v>402582.23437999992</v>
      </c>
      <c r="I18" s="1066">
        <f>383680+770</f>
        <v>384450</v>
      </c>
      <c r="J18" s="1144">
        <v>354921</v>
      </c>
      <c r="K18" s="1144">
        <v>327919</v>
      </c>
      <c r="L18" s="1144">
        <v>310090</v>
      </c>
      <c r="M18" s="1144">
        <v>295142</v>
      </c>
      <c r="N18" s="1144">
        <v>282966</v>
      </c>
      <c r="O18" s="1144">
        <v>275508</v>
      </c>
      <c r="P18" s="1144">
        <v>265760</v>
      </c>
      <c r="Q18" s="1144">
        <v>255069</v>
      </c>
      <c r="R18" s="1144">
        <v>248058</v>
      </c>
      <c r="S18" s="1545">
        <v>238359</v>
      </c>
      <c r="AB18" s="1065"/>
      <c r="AC18" s="1065"/>
      <c r="AD18" s="1065"/>
      <c r="AE18" s="1065"/>
      <c r="AF18" s="1065"/>
      <c r="AG18" s="1065"/>
      <c r="AH18" s="1065"/>
      <c r="AI18" s="1065"/>
      <c r="AJ18" s="1065"/>
      <c r="AK18" s="1065"/>
      <c r="AL18" s="1065"/>
      <c r="AM18" s="1065"/>
      <c r="AN18" s="1065"/>
    </row>
    <row r="19" spans="1:40" x14ac:dyDescent="0.2">
      <c r="A19" s="1056" t="s">
        <v>515</v>
      </c>
      <c r="B19" s="1056" t="s">
        <v>516</v>
      </c>
      <c r="G19" s="1068">
        <f>'B-2 p.2 Grouping (Forecast)'!J26/1000</f>
        <v>5922.4978184615375</v>
      </c>
      <c r="H19" s="1068">
        <f>'B-2 p.1 Grouping (Base)'!I25/1000</f>
        <v>5244.8242799999989</v>
      </c>
      <c r="I19" s="1066">
        <f>4825+7</f>
        <v>4832</v>
      </c>
      <c r="J19" s="1144">
        <v>4429</v>
      </c>
      <c r="K19" s="1144">
        <v>5201</v>
      </c>
      <c r="L19" s="1144">
        <v>5302</v>
      </c>
      <c r="M19" s="1144">
        <v>5086</v>
      </c>
      <c r="N19" s="1144">
        <v>4471</v>
      </c>
      <c r="O19" s="1144">
        <v>4398</v>
      </c>
      <c r="P19" s="1144">
        <v>4613</v>
      </c>
      <c r="Q19" s="1144">
        <v>4196</v>
      </c>
      <c r="R19" s="1144">
        <v>4608</v>
      </c>
      <c r="S19" s="1546">
        <v>4926</v>
      </c>
      <c r="T19" s="1159"/>
      <c r="U19" s="1159"/>
      <c r="V19" s="1159"/>
      <c r="W19" s="1159"/>
      <c r="X19" s="1159"/>
      <c r="Y19" s="1159"/>
      <c r="AB19" s="1065"/>
      <c r="AC19" s="1065"/>
      <c r="AD19" s="1065"/>
      <c r="AE19" s="1065"/>
      <c r="AF19" s="1065"/>
      <c r="AG19" s="1065"/>
      <c r="AH19" s="1065"/>
      <c r="AI19" s="1065"/>
      <c r="AJ19" s="1065"/>
      <c r="AK19" s="1065"/>
      <c r="AL19" s="1065"/>
      <c r="AM19" s="1065"/>
      <c r="AN19" s="1065"/>
    </row>
    <row r="20" spans="1:40" x14ac:dyDescent="0.2">
      <c r="A20" s="1056" t="s">
        <v>517</v>
      </c>
      <c r="B20" s="1056" t="s">
        <v>518</v>
      </c>
      <c r="G20" s="1068">
        <f>'B-2 p.2 Grouping (Forecast)'!J18/1000</f>
        <v>0</v>
      </c>
      <c r="H20" s="1068">
        <f>'B-2 p.1 Grouping (Base)'!I17/1000</f>
        <v>0</v>
      </c>
      <c r="I20" s="1066">
        <v>0</v>
      </c>
      <c r="J20" s="1144">
        <v>0</v>
      </c>
      <c r="K20" s="1144">
        <v>0</v>
      </c>
      <c r="L20" s="1144">
        <v>8</v>
      </c>
      <c r="M20" s="1144">
        <v>8</v>
      </c>
      <c r="N20" s="1144">
        <v>8</v>
      </c>
      <c r="O20" s="1144">
        <v>8</v>
      </c>
      <c r="P20" s="1144">
        <v>8</v>
      </c>
      <c r="Q20" s="1144">
        <v>8</v>
      </c>
      <c r="R20" s="1144">
        <v>8</v>
      </c>
      <c r="S20" s="1546">
        <v>8</v>
      </c>
      <c r="T20" s="2218"/>
      <c r="U20" s="2218"/>
      <c r="V20" s="2218"/>
      <c r="W20" s="2218"/>
      <c r="X20" s="2218"/>
      <c r="Y20" s="2218"/>
      <c r="Z20" s="1146"/>
      <c r="AA20" s="1146"/>
      <c r="AB20" s="1065"/>
      <c r="AC20" s="1065"/>
      <c r="AD20" s="1065"/>
      <c r="AE20" s="1065"/>
      <c r="AF20" s="1065"/>
      <c r="AG20" s="1065"/>
      <c r="AH20" s="1065"/>
      <c r="AI20" s="1065"/>
      <c r="AJ20" s="1065"/>
      <c r="AK20" s="1065"/>
      <c r="AL20" s="1065"/>
      <c r="AM20" s="1065"/>
      <c r="AN20" s="1065"/>
    </row>
    <row r="21" spans="1:40" x14ac:dyDescent="0.2">
      <c r="A21" s="1056" t="s">
        <v>520</v>
      </c>
      <c r="B21" s="1056" t="s">
        <v>521</v>
      </c>
      <c r="G21" s="1066">
        <v>0</v>
      </c>
      <c r="H21" s="1066">
        <v>0</v>
      </c>
      <c r="I21" s="1066">
        <v>0</v>
      </c>
      <c r="J21" s="1144">
        <v>0</v>
      </c>
      <c r="K21" s="1144">
        <v>0</v>
      </c>
      <c r="L21" s="1144">
        <v>0</v>
      </c>
      <c r="M21" s="1144">
        <v>0</v>
      </c>
      <c r="N21" s="1144">
        <v>0</v>
      </c>
      <c r="O21" s="1144">
        <v>0</v>
      </c>
      <c r="P21" s="1144">
        <v>0</v>
      </c>
      <c r="Q21" s="1144">
        <v>0</v>
      </c>
      <c r="R21" s="1144">
        <v>20</v>
      </c>
      <c r="S21" s="1546">
        <v>59</v>
      </c>
      <c r="T21" s="1145"/>
      <c r="U21" s="1145"/>
      <c r="V21" s="1145"/>
      <c r="W21" s="1145"/>
      <c r="X21" s="1145"/>
      <c r="Y21" s="1145"/>
      <c r="Z21" s="1146"/>
      <c r="AA21" s="1146"/>
      <c r="AB21" s="1065"/>
      <c r="AC21" s="1065"/>
      <c r="AD21" s="1065"/>
      <c r="AE21" s="1065"/>
      <c r="AF21" s="1065"/>
      <c r="AG21" s="1065"/>
      <c r="AH21" s="1065"/>
      <c r="AI21" s="1065"/>
      <c r="AJ21" s="1065"/>
      <c r="AK21" s="1065"/>
      <c r="AL21" s="1065"/>
      <c r="AM21" s="1065"/>
      <c r="AN21" s="1065"/>
    </row>
    <row r="22" spans="1:40" x14ac:dyDescent="0.2">
      <c r="A22" s="1056" t="s">
        <v>522</v>
      </c>
      <c r="B22" s="1056" t="s">
        <v>523</v>
      </c>
      <c r="G22" s="1066">
        <v>0</v>
      </c>
      <c r="H22" s="1066">
        <v>0</v>
      </c>
      <c r="I22" s="1066">
        <v>0</v>
      </c>
      <c r="J22" s="1144">
        <v>0</v>
      </c>
      <c r="K22" s="1144">
        <v>0</v>
      </c>
      <c r="L22" s="1144">
        <v>0</v>
      </c>
      <c r="M22" s="1144">
        <v>0</v>
      </c>
      <c r="N22" s="1144">
        <v>0</v>
      </c>
      <c r="O22" s="1144">
        <v>0</v>
      </c>
      <c r="P22" s="1144">
        <v>0</v>
      </c>
      <c r="Q22" s="1144">
        <v>0</v>
      </c>
      <c r="R22" s="1144">
        <v>0</v>
      </c>
      <c r="S22" s="1546">
        <v>0</v>
      </c>
      <c r="T22" s="2219"/>
      <c r="U22" s="2219"/>
      <c r="V22" s="2219"/>
      <c r="W22" s="2219"/>
      <c r="X22" s="2219"/>
      <c r="Y22" s="2219"/>
      <c r="Z22" s="1146"/>
      <c r="AA22" s="1146"/>
      <c r="AB22" s="1065"/>
      <c r="AC22" s="1065"/>
      <c r="AD22" s="1065"/>
      <c r="AE22" s="1065"/>
      <c r="AF22" s="1065"/>
      <c r="AG22" s="1065"/>
      <c r="AH22" s="1065"/>
      <c r="AI22" s="1065"/>
      <c r="AJ22" s="1065"/>
      <c r="AK22" s="1065"/>
      <c r="AL22" s="1065"/>
      <c r="AM22" s="1065"/>
      <c r="AN22" s="1065"/>
    </row>
    <row r="23" spans="1:40" x14ac:dyDescent="0.2">
      <c r="A23" s="1056" t="s">
        <v>524</v>
      </c>
      <c r="B23" s="1056" t="s">
        <v>525</v>
      </c>
      <c r="G23" s="1147">
        <f>'B-2 p.2 Grouping (Forecast)'!J30/1000</f>
        <v>-777.09199999999998</v>
      </c>
      <c r="H23" s="1147">
        <f>'B-2 p.1 Grouping (Base)'!I29/1000</f>
        <v>-777.09199999999998</v>
      </c>
      <c r="I23" s="1067">
        <v>-777</v>
      </c>
      <c r="J23" s="1532">
        <v>0</v>
      </c>
      <c r="K23" s="1532">
        <v>0</v>
      </c>
      <c r="L23" s="1532">
        <v>0</v>
      </c>
      <c r="M23" s="1532">
        <v>0</v>
      </c>
      <c r="N23" s="1532">
        <v>0</v>
      </c>
      <c r="O23" s="1532">
        <v>0</v>
      </c>
      <c r="P23" s="1532">
        <v>0</v>
      </c>
      <c r="Q23" s="1532">
        <v>0</v>
      </c>
      <c r="R23" s="1532">
        <v>0</v>
      </c>
      <c r="S23" s="1546">
        <v>0</v>
      </c>
      <c r="AC23" s="1065"/>
      <c r="AD23" s="1065"/>
      <c r="AE23" s="1065"/>
      <c r="AF23" s="1065"/>
      <c r="AG23" s="1065"/>
      <c r="AH23" s="1065"/>
      <c r="AI23" s="1065"/>
      <c r="AJ23" s="1065"/>
      <c r="AK23" s="1065"/>
      <c r="AL23" s="1065"/>
      <c r="AM23" s="1065"/>
      <c r="AN23" s="1065"/>
    </row>
    <row r="24" spans="1:40" x14ac:dyDescent="0.2">
      <c r="A24" s="1056" t="s">
        <v>526</v>
      </c>
      <c r="B24" s="1056" t="s">
        <v>527</v>
      </c>
      <c r="G24" s="1065">
        <f t="shared" ref="G24:S24" si="0">SUM(G17:G23)</f>
        <v>435160.68937000004</v>
      </c>
      <c r="H24" s="1065">
        <f t="shared" si="0"/>
        <v>413147.04636999994</v>
      </c>
      <c r="I24" s="1068">
        <f t="shared" si="0"/>
        <v>393846</v>
      </c>
      <c r="J24" s="1068">
        <f t="shared" si="0"/>
        <v>364022</v>
      </c>
      <c r="K24" s="1068">
        <f t="shared" si="0"/>
        <v>336055</v>
      </c>
      <c r="L24" s="1068">
        <f t="shared" si="0"/>
        <v>318325</v>
      </c>
      <c r="M24" s="1065">
        <f t="shared" si="0"/>
        <v>302594</v>
      </c>
      <c r="N24" s="1065">
        <f t="shared" si="0"/>
        <v>289464</v>
      </c>
      <c r="O24" s="1065">
        <f t="shared" si="0"/>
        <v>281339</v>
      </c>
      <c r="P24" s="1065">
        <f t="shared" si="0"/>
        <v>271692</v>
      </c>
      <c r="Q24" s="1065">
        <f t="shared" si="0"/>
        <v>260642</v>
      </c>
      <c r="R24" s="1068">
        <f t="shared" si="0"/>
        <v>253768</v>
      </c>
      <c r="S24" s="1547">
        <f t="shared" si="0"/>
        <v>244767</v>
      </c>
      <c r="AC24" s="1065"/>
      <c r="AD24" s="1065"/>
      <c r="AE24" s="1065"/>
      <c r="AF24" s="1065"/>
      <c r="AG24" s="1065"/>
      <c r="AH24" s="1065"/>
      <c r="AI24" s="1065"/>
      <c r="AJ24" s="1065"/>
      <c r="AK24" s="1065"/>
      <c r="AL24" s="1065"/>
      <c r="AM24" s="1065"/>
      <c r="AN24" s="1065"/>
    </row>
    <row r="25" spans="1:40" x14ac:dyDescent="0.2">
      <c r="A25" s="1056" t="s">
        <v>528</v>
      </c>
      <c r="B25" s="1056" t="s">
        <v>529</v>
      </c>
      <c r="G25" s="1147">
        <f>'B-3 Accum Dep&amp;A (Forecast)'!L98/1000</f>
        <v>152037.51257084685</v>
      </c>
      <c r="H25" s="1147">
        <f>'B-3 Accum Dep&amp; Amort (Base)'!K94/1000</f>
        <v>144486.93445738583</v>
      </c>
      <c r="I25" s="1067">
        <v>141164</v>
      </c>
      <c r="J25" s="1532">
        <v>135601</v>
      </c>
      <c r="K25" s="1532">
        <v>133426</v>
      </c>
      <c r="L25" s="1532">
        <v>131057</v>
      </c>
      <c r="M25" s="1532">
        <v>128017</v>
      </c>
      <c r="N25" s="1532">
        <v>124484</v>
      </c>
      <c r="O25" s="1532">
        <v>120164</v>
      </c>
      <c r="P25" s="1532">
        <v>118596</v>
      </c>
      <c r="Q25" s="1532">
        <v>115468</v>
      </c>
      <c r="R25" s="1532">
        <v>112846</v>
      </c>
      <c r="S25" s="1544">
        <v>110076</v>
      </c>
      <c r="AC25" s="1065"/>
      <c r="AD25" s="1065"/>
      <c r="AE25" s="1065"/>
      <c r="AF25" s="1065"/>
      <c r="AG25" s="1065"/>
      <c r="AH25" s="1065"/>
      <c r="AI25" s="1065"/>
      <c r="AJ25" s="1065"/>
      <c r="AK25" s="1065"/>
      <c r="AL25" s="1065"/>
      <c r="AM25" s="1065"/>
      <c r="AN25" s="1065"/>
    </row>
    <row r="26" spans="1:40" x14ac:dyDescent="0.2">
      <c r="A26" s="1056" t="s">
        <v>530</v>
      </c>
      <c r="B26" s="1056" t="s">
        <v>531</v>
      </c>
      <c r="G26" s="1065">
        <f t="shared" ref="G26:S26" si="1">G24-G25</f>
        <v>283123.17679915321</v>
      </c>
      <c r="H26" s="1065">
        <f t="shared" si="1"/>
        <v>268660.11191261408</v>
      </c>
      <c r="I26" s="1068">
        <f t="shared" si="1"/>
        <v>252682</v>
      </c>
      <c r="J26" s="1068">
        <f t="shared" si="1"/>
        <v>228421</v>
      </c>
      <c r="K26" s="1065">
        <f t="shared" si="1"/>
        <v>202629</v>
      </c>
      <c r="L26" s="1068">
        <f t="shared" si="1"/>
        <v>187268</v>
      </c>
      <c r="M26" s="1068">
        <f t="shared" si="1"/>
        <v>174577</v>
      </c>
      <c r="N26" s="1068">
        <f t="shared" si="1"/>
        <v>164980</v>
      </c>
      <c r="O26" s="1068">
        <f t="shared" si="1"/>
        <v>161175</v>
      </c>
      <c r="P26" s="1068">
        <f t="shared" si="1"/>
        <v>153096</v>
      </c>
      <c r="Q26" s="1068">
        <f t="shared" si="1"/>
        <v>145174</v>
      </c>
      <c r="R26" s="1068">
        <f t="shared" si="1"/>
        <v>140922</v>
      </c>
      <c r="S26" s="1548">
        <f t="shared" si="1"/>
        <v>134691</v>
      </c>
      <c r="AC26" s="1065"/>
      <c r="AD26" s="1065"/>
      <c r="AE26" s="1065"/>
      <c r="AF26" s="1065"/>
      <c r="AG26" s="1065"/>
      <c r="AH26" s="1065"/>
      <c r="AI26" s="1065"/>
      <c r="AJ26" s="1065"/>
      <c r="AK26" s="1065"/>
      <c r="AL26" s="1065"/>
      <c r="AM26" s="1065"/>
      <c r="AN26" s="1065"/>
    </row>
    <row r="27" spans="1:40" x14ac:dyDescent="0.2">
      <c r="G27" s="1065"/>
      <c r="H27" s="1065"/>
      <c r="I27" s="1068"/>
      <c r="J27" s="1068"/>
      <c r="K27" s="1065"/>
      <c r="L27" s="1068"/>
      <c r="M27" s="1068"/>
      <c r="N27" s="1068"/>
      <c r="O27" s="1068"/>
      <c r="P27" s="1068"/>
      <c r="Q27" s="1068"/>
      <c r="R27" s="1068"/>
    </row>
    <row r="28" spans="1:40" x14ac:dyDescent="0.2">
      <c r="A28" s="1056" t="s">
        <v>532</v>
      </c>
      <c r="B28" s="1056" t="s">
        <v>533</v>
      </c>
      <c r="G28" s="1065"/>
      <c r="H28" s="1065"/>
      <c r="I28" s="1068"/>
      <c r="J28" s="1068"/>
      <c r="K28" s="1065"/>
      <c r="L28" s="1068"/>
      <c r="M28" s="1068"/>
      <c r="N28" s="1068"/>
      <c r="O28" s="1068"/>
      <c r="P28" s="1068"/>
      <c r="Q28" s="1068"/>
      <c r="R28" s="1068"/>
      <c r="S28" s="1547"/>
      <c r="AC28" s="1065"/>
      <c r="AD28" s="1065"/>
      <c r="AE28" s="1065"/>
      <c r="AF28" s="1065"/>
      <c r="AG28" s="1065"/>
      <c r="AH28" s="1065"/>
      <c r="AI28" s="1065"/>
      <c r="AJ28" s="1065"/>
      <c r="AK28" s="1065"/>
      <c r="AL28" s="1065"/>
      <c r="AM28" s="1065"/>
      <c r="AN28" s="1065"/>
    </row>
    <row r="29" spans="1:40" x14ac:dyDescent="0.2">
      <c r="A29" s="1056" t="s">
        <v>534</v>
      </c>
      <c r="B29" s="1056" t="s">
        <v>512</v>
      </c>
      <c r="G29" s="1066">
        <v>0</v>
      </c>
      <c r="H29" s="1066">
        <v>0</v>
      </c>
      <c r="I29" s="1066">
        <v>900</v>
      </c>
      <c r="J29" s="1144">
        <v>851</v>
      </c>
      <c r="K29" s="1144">
        <v>1799</v>
      </c>
      <c r="L29" s="1144">
        <v>734</v>
      </c>
      <c r="M29" s="1144">
        <v>794</v>
      </c>
      <c r="N29" s="1144">
        <v>681</v>
      </c>
      <c r="O29" s="1144">
        <v>768</v>
      </c>
      <c r="P29" s="1144">
        <v>962</v>
      </c>
      <c r="Q29" s="1144">
        <v>501</v>
      </c>
      <c r="R29" s="1144">
        <v>1193</v>
      </c>
      <c r="S29" s="1547"/>
      <c r="AC29" s="1065"/>
      <c r="AD29" s="1065"/>
      <c r="AE29" s="1065"/>
      <c r="AF29" s="1065"/>
      <c r="AG29" s="1065"/>
      <c r="AH29" s="1065"/>
      <c r="AI29" s="1065"/>
      <c r="AJ29" s="1065"/>
      <c r="AK29" s="1065"/>
      <c r="AL29" s="1065"/>
      <c r="AM29" s="1065"/>
      <c r="AN29" s="1065"/>
    </row>
    <row r="30" spans="1:40" x14ac:dyDescent="0.2">
      <c r="A30" s="1056" t="s">
        <v>535</v>
      </c>
      <c r="B30" s="1056" t="s">
        <v>514</v>
      </c>
      <c r="G30" s="1066">
        <v>0</v>
      </c>
      <c r="H30" s="1066">
        <v>0</v>
      </c>
      <c r="I30" s="1066">
        <v>5961</v>
      </c>
      <c r="J30" s="1144">
        <v>5244</v>
      </c>
      <c r="K30" s="1144">
        <v>4266</v>
      </c>
      <c r="L30" s="1144">
        <v>2083</v>
      </c>
      <c r="M30" s="1144">
        <v>1788</v>
      </c>
      <c r="N30" s="1144">
        <v>2182</v>
      </c>
      <c r="O30" s="1144">
        <v>1732</v>
      </c>
      <c r="P30" s="1144">
        <v>1946</v>
      </c>
      <c r="Q30" s="1144">
        <v>1606</v>
      </c>
      <c r="R30" s="1144">
        <v>714</v>
      </c>
      <c r="S30" s="1547"/>
      <c r="AC30" s="1065"/>
      <c r="AD30" s="1065"/>
      <c r="AE30" s="1065"/>
      <c r="AF30" s="1065"/>
      <c r="AG30" s="1065"/>
      <c r="AH30" s="1065"/>
      <c r="AI30" s="1065"/>
      <c r="AJ30" s="1065"/>
      <c r="AK30" s="1065"/>
      <c r="AL30" s="1065"/>
      <c r="AM30" s="1065"/>
      <c r="AN30" s="1065"/>
    </row>
    <row r="31" spans="1:40" x14ac:dyDescent="0.2">
      <c r="A31" s="1056" t="s">
        <v>536</v>
      </c>
      <c r="B31" s="1056" t="s">
        <v>516</v>
      </c>
      <c r="G31" s="1066">
        <v>0</v>
      </c>
      <c r="H31" s="1066">
        <v>0</v>
      </c>
      <c r="I31" s="1066">
        <v>64</v>
      </c>
      <c r="J31" s="1144">
        <v>21</v>
      </c>
      <c r="K31" s="1144">
        <v>43</v>
      </c>
      <c r="L31" s="1144">
        <v>44</v>
      </c>
      <c r="M31" s="1144">
        <v>49</v>
      </c>
      <c r="N31" s="1144">
        <v>468</v>
      </c>
      <c r="O31" s="1144">
        <v>0</v>
      </c>
      <c r="P31" s="1144">
        <v>5</v>
      </c>
      <c r="Q31" s="1144">
        <v>102</v>
      </c>
      <c r="R31" s="1144">
        <v>16</v>
      </c>
      <c r="S31" s="1547"/>
      <c r="AC31" s="1065"/>
      <c r="AD31" s="1065"/>
      <c r="AE31" s="1065"/>
      <c r="AF31" s="1065"/>
      <c r="AG31" s="1065"/>
      <c r="AH31" s="1065"/>
      <c r="AI31" s="1065"/>
      <c r="AJ31" s="1065"/>
      <c r="AK31" s="1065"/>
      <c r="AL31" s="1065"/>
      <c r="AM31" s="1065"/>
      <c r="AN31" s="1065"/>
    </row>
    <row r="32" spans="1:40" x14ac:dyDescent="0.2">
      <c r="A32" s="1056" t="s">
        <v>537</v>
      </c>
      <c r="B32" s="1056" t="s">
        <v>518</v>
      </c>
      <c r="G32" s="1067">
        <v>0</v>
      </c>
      <c r="H32" s="1067">
        <v>0</v>
      </c>
      <c r="I32" s="1067">
        <v>0</v>
      </c>
      <c r="J32" s="1532">
        <v>0</v>
      </c>
      <c r="K32" s="1532">
        <v>0</v>
      </c>
      <c r="L32" s="1532">
        <v>0</v>
      </c>
      <c r="M32" s="1532">
        <v>0</v>
      </c>
      <c r="N32" s="1532">
        <v>0</v>
      </c>
      <c r="O32" s="1532">
        <v>0</v>
      </c>
      <c r="P32" s="1532">
        <v>0</v>
      </c>
      <c r="Q32" s="1532">
        <v>0</v>
      </c>
      <c r="R32" s="1532">
        <v>0</v>
      </c>
      <c r="S32" s="1547"/>
      <c r="AC32" s="1065"/>
      <c r="AD32" s="1065"/>
      <c r="AE32" s="1065"/>
      <c r="AF32" s="1065"/>
      <c r="AG32" s="1065"/>
      <c r="AH32" s="1065"/>
      <c r="AI32" s="1065"/>
      <c r="AJ32" s="1065"/>
      <c r="AK32" s="1065"/>
      <c r="AL32" s="1065"/>
      <c r="AM32" s="1065"/>
      <c r="AN32" s="1065"/>
    </row>
    <row r="33" spans="1:40" x14ac:dyDescent="0.2">
      <c r="A33" s="1056" t="s">
        <v>538</v>
      </c>
      <c r="B33" s="1056" t="s">
        <v>539</v>
      </c>
      <c r="G33" s="1065">
        <f t="shared" ref="G33:R33" si="2">SUM(G29:G32)</f>
        <v>0</v>
      </c>
      <c r="H33" s="1065">
        <f t="shared" si="2"/>
        <v>0</v>
      </c>
      <c r="I33" s="1065">
        <f t="shared" si="2"/>
        <v>6925</v>
      </c>
      <c r="J33" s="1068">
        <f t="shared" si="2"/>
        <v>6116</v>
      </c>
      <c r="K33" s="1065">
        <f t="shared" si="2"/>
        <v>6108</v>
      </c>
      <c r="L33" s="1065">
        <f t="shared" si="2"/>
        <v>2861</v>
      </c>
      <c r="M33" s="1068">
        <f t="shared" si="2"/>
        <v>2631</v>
      </c>
      <c r="N33" s="1068">
        <f t="shared" si="2"/>
        <v>3331</v>
      </c>
      <c r="O33" s="1068">
        <f t="shared" si="2"/>
        <v>2500</v>
      </c>
      <c r="P33" s="1068">
        <f t="shared" si="2"/>
        <v>2913</v>
      </c>
      <c r="Q33" s="1068">
        <f t="shared" si="2"/>
        <v>2209</v>
      </c>
      <c r="R33" s="1068">
        <f t="shared" si="2"/>
        <v>1923</v>
      </c>
      <c r="S33" s="1547"/>
      <c r="AC33" s="1065"/>
      <c r="AD33" s="1065"/>
      <c r="AE33" s="1065"/>
      <c r="AF33" s="1065"/>
      <c r="AG33" s="1065"/>
      <c r="AH33" s="1065"/>
      <c r="AI33" s="1065"/>
      <c r="AJ33" s="1065"/>
      <c r="AK33" s="1065"/>
      <c r="AL33" s="1065"/>
      <c r="AM33" s="1065"/>
      <c r="AN33" s="1065"/>
    </row>
    <row r="34" spans="1:40" x14ac:dyDescent="0.2">
      <c r="G34" s="1065"/>
      <c r="H34" s="1065"/>
      <c r="I34" s="1065"/>
      <c r="J34" s="1065"/>
      <c r="K34" s="1065"/>
      <c r="L34" s="1065"/>
      <c r="M34" s="1065"/>
      <c r="O34" s="1065"/>
      <c r="P34" s="1065"/>
      <c r="Q34" s="1065"/>
      <c r="R34" s="1065"/>
      <c r="S34" s="1547"/>
      <c r="AC34" s="1065"/>
      <c r="AD34" s="1065"/>
      <c r="AE34" s="1065"/>
      <c r="AF34" s="1065"/>
      <c r="AG34" s="1065"/>
      <c r="AH34" s="1065"/>
      <c r="AI34" s="1065"/>
      <c r="AJ34" s="1065"/>
      <c r="AK34" s="1065"/>
      <c r="AL34" s="1065"/>
      <c r="AM34" s="1065"/>
      <c r="AN34" s="1065"/>
    </row>
    <row r="35" spans="1:40" x14ac:dyDescent="0.2">
      <c r="A35" s="1056" t="s">
        <v>540</v>
      </c>
      <c r="B35" s="1056" t="s">
        <v>670</v>
      </c>
      <c r="G35" s="1069">
        <f t="shared" ref="G35:R35" si="3">G26+G33</f>
        <v>283123.17679915321</v>
      </c>
      <c r="H35" s="1069">
        <f t="shared" si="3"/>
        <v>268660.11191261408</v>
      </c>
      <c r="I35" s="1069">
        <f t="shared" si="3"/>
        <v>259607</v>
      </c>
      <c r="J35" s="1069">
        <f t="shared" si="3"/>
        <v>234537</v>
      </c>
      <c r="K35" s="1069">
        <f t="shared" si="3"/>
        <v>208737</v>
      </c>
      <c r="L35" s="1069">
        <f t="shared" si="3"/>
        <v>190129</v>
      </c>
      <c r="M35" s="1069">
        <f t="shared" si="3"/>
        <v>177208</v>
      </c>
      <c r="N35" s="1069">
        <f t="shared" si="3"/>
        <v>168311</v>
      </c>
      <c r="O35" s="1069">
        <f t="shared" si="3"/>
        <v>163675</v>
      </c>
      <c r="P35" s="1069">
        <f t="shared" si="3"/>
        <v>156009</v>
      </c>
      <c r="Q35" s="1069">
        <f t="shared" si="3"/>
        <v>147383</v>
      </c>
      <c r="R35" s="1069">
        <f t="shared" si="3"/>
        <v>142845</v>
      </c>
      <c r="S35" s="1547"/>
      <c r="AC35" s="1065"/>
      <c r="AD35" s="1065"/>
      <c r="AE35" s="1065"/>
      <c r="AF35" s="1065"/>
      <c r="AG35" s="1065"/>
      <c r="AH35" s="1065"/>
      <c r="AI35" s="1065"/>
      <c r="AJ35" s="1065"/>
      <c r="AK35" s="1065"/>
      <c r="AL35" s="1065"/>
      <c r="AM35" s="1065"/>
      <c r="AN35" s="1065"/>
    </row>
    <row r="36" spans="1:40" x14ac:dyDescent="0.2">
      <c r="G36" s="1065"/>
      <c r="I36" s="1065"/>
      <c r="J36" s="1065"/>
      <c r="L36" s="1065"/>
      <c r="M36" s="1065"/>
      <c r="N36" s="1065"/>
      <c r="O36" s="1065"/>
      <c r="P36" s="1065"/>
      <c r="Q36" s="1065"/>
      <c r="R36" s="1065"/>
      <c r="S36" s="1547"/>
      <c r="AC36" s="1065"/>
      <c r="AD36" s="1065"/>
      <c r="AE36" s="1065"/>
      <c r="AF36" s="1065"/>
      <c r="AG36" s="1065"/>
      <c r="AH36" s="1065"/>
      <c r="AI36" s="1065"/>
      <c r="AJ36" s="1065"/>
      <c r="AK36" s="1065"/>
      <c r="AL36" s="1065"/>
      <c r="AM36" s="1065"/>
      <c r="AN36" s="1065"/>
    </row>
    <row r="37" spans="1:40" x14ac:dyDescent="0.2">
      <c r="L37" s="1146"/>
      <c r="M37" s="1146"/>
      <c r="N37" s="1146"/>
      <c r="O37" s="1146"/>
      <c r="P37" s="1146"/>
      <c r="Q37" s="1146"/>
      <c r="R37" s="1146"/>
      <c r="AC37" s="1065"/>
      <c r="AD37" s="1065"/>
      <c r="AE37" s="1065"/>
      <c r="AF37" s="1065"/>
      <c r="AG37" s="1065"/>
      <c r="AH37" s="1065"/>
      <c r="AI37" s="1065"/>
      <c r="AJ37" s="1065"/>
      <c r="AK37" s="1065"/>
      <c r="AL37" s="1065"/>
      <c r="AM37" s="1065"/>
      <c r="AN37" s="1065"/>
    </row>
    <row r="39" spans="1:40" x14ac:dyDescent="0.2">
      <c r="A39" s="2211" t="s">
        <v>624</v>
      </c>
      <c r="B39" s="2211"/>
      <c r="C39" s="2211"/>
      <c r="D39" s="2211"/>
      <c r="E39" s="2211"/>
      <c r="F39" s="2211"/>
      <c r="G39" s="2211"/>
      <c r="H39" s="2211"/>
      <c r="I39" s="2211"/>
      <c r="J39" s="2211"/>
      <c r="K39" s="2211"/>
      <c r="L39" s="2211"/>
      <c r="M39" s="2211"/>
      <c r="N39" s="2211"/>
      <c r="O39" s="2211"/>
      <c r="P39" s="2211"/>
      <c r="Q39" s="2211"/>
      <c r="R39" s="2211"/>
    </row>
    <row r="40" spans="1:40" x14ac:dyDescent="0.2">
      <c r="A40" s="2211" t="str">
        <f>A3</f>
        <v>CASE NO. 2016 - 00162</v>
      </c>
      <c r="B40" s="2211"/>
      <c r="C40" s="2211"/>
      <c r="D40" s="2211"/>
      <c r="E40" s="2211"/>
      <c r="F40" s="2211"/>
      <c r="G40" s="2211"/>
      <c r="H40" s="2211"/>
      <c r="I40" s="2211"/>
      <c r="J40" s="2211"/>
      <c r="K40" s="2211"/>
      <c r="L40" s="2211"/>
      <c r="M40" s="2211"/>
      <c r="N40" s="2211"/>
      <c r="O40" s="2211"/>
      <c r="P40" s="2211"/>
      <c r="Q40" s="2211"/>
      <c r="R40" s="2211"/>
    </row>
    <row r="41" spans="1:40" x14ac:dyDescent="0.2">
      <c r="A41" s="2211" t="str">
        <f>A4</f>
        <v>COMPARATIVE FINANCIAL DATA</v>
      </c>
      <c r="B41" s="2211"/>
      <c r="C41" s="2211"/>
      <c r="D41" s="2211"/>
      <c r="E41" s="2211"/>
      <c r="F41" s="2211"/>
      <c r="G41" s="2211"/>
      <c r="H41" s="2211"/>
      <c r="I41" s="2211"/>
      <c r="J41" s="2211"/>
      <c r="K41" s="2211"/>
      <c r="L41" s="2211"/>
      <c r="M41" s="2211"/>
      <c r="N41" s="2211"/>
      <c r="O41" s="2211"/>
      <c r="P41" s="2211"/>
      <c r="Q41" s="2211"/>
      <c r="R41" s="2211"/>
    </row>
    <row r="42" spans="1:40" x14ac:dyDescent="0.2">
      <c r="A42" s="2211" t="str">
        <f>A5</f>
        <v>BASE PERIOD: TWELVE MONTHS ENDED AUGUST 31, 2016</v>
      </c>
      <c r="B42" s="2211"/>
      <c r="C42" s="2211"/>
      <c r="D42" s="2211"/>
      <c r="E42" s="2211"/>
      <c r="F42" s="2211"/>
      <c r="G42" s="2211"/>
      <c r="H42" s="2211"/>
      <c r="I42" s="2211"/>
      <c r="J42" s="2211"/>
      <c r="K42" s="2211"/>
      <c r="L42" s="2211"/>
      <c r="M42" s="2211"/>
      <c r="N42" s="2211"/>
      <c r="O42" s="2211"/>
      <c r="P42" s="2211"/>
      <c r="Q42" s="2211"/>
      <c r="R42" s="2211"/>
      <c r="W42" s="1065"/>
    </row>
    <row r="43" spans="1:40" x14ac:dyDescent="0.2">
      <c r="A43" s="2211" t="str">
        <f>A6</f>
        <v>FORECASTED PERIOD: TWELVE MONTHS ENDED DECEMBER 31, 2017</v>
      </c>
      <c r="B43" s="2211"/>
      <c r="C43" s="2211"/>
      <c r="D43" s="2211"/>
      <c r="E43" s="2211"/>
      <c r="F43" s="2211"/>
      <c r="G43" s="2211"/>
      <c r="H43" s="2211"/>
      <c r="I43" s="2211"/>
      <c r="J43" s="2211"/>
      <c r="K43" s="2211"/>
      <c r="L43" s="2211"/>
      <c r="M43" s="2211"/>
      <c r="N43" s="2211"/>
      <c r="O43" s="2211"/>
      <c r="P43" s="2211"/>
      <c r="Q43" s="2211"/>
      <c r="R43" s="2211"/>
      <c r="W43" s="1065"/>
      <c r="X43" s="1065"/>
      <c r="Y43" s="1065"/>
    </row>
    <row r="44" spans="1:40" x14ac:dyDescent="0.2">
      <c r="W44" s="1065"/>
      <c r="X44" s="1065"/>
      <c r="Y44" s="1065"/>
    </row>
    <row r="45" spans="1:40" x14ac:dyDescent="0.2">
      <c r="A45" s="1056" t="s">
        <v>1317</v>
      </c>
      <c r="P45" s="1056"/>
      <c r="R45" s="1057" t="s">
        <v>502</v>
      </c>
      <c r="W45" s="1065"/>
      <c r="X45" s="1065"/>
      <c r="Y45" s="1065"/>
    </row>
    <row r="46" spans="1:40" x14ac:dyDescent="0.2">
      <c r="A46" s="1056" t="s">
        <v>977</v>
      </c>
      <c r="P46" s="1056"/>
      <c r="R46" s="1057" t="s">
        <v>869</v>
      </c>
      <c r="W46" s="1065"/>
      <c r="X46" s="1065"/>
      <c r="Y46" s="1065"/>
    </row>
    <row r="47" spans="1:40" x14ac:dyDescent="0.2">
      <c r="A47" s="1058" t="s">
        <v>996</v>
      </c>
      <c r="B47" s="1059"/>
      <c r="C47" s="1059"/>
      <c r="D47" s="1059"/>
      <c r="E47" s="1059"/>
      <c r="F47" s="1059"/>
      <c r="G47" s="1059"/>
      <c r="H47" s="1059"/>
      <c r="I47" s="1059"/>
      <c r="J47" s="1059"/>
      <c r="K47" s="1059"/>
      <c r="L47" s="1059"/>
      <c r="M47" s="1059"/>
      <c r="N47" s="1059"/>
      <c r="O47" s="1059"/>
      <c r="P47" s="1058"/>
      <c r="Q47" s="1059"/>
      <c r="R47" s="1060" t="str">
        <f>R10</f>
        <v>WITNESS:  J. T. CROOM</v>
      </c>
      <c r="W47" s="1065"/>
      <c r="X47" s="1065"/>
      <c r="Y47" s="1065"/>
    </row>
    <row r="48" spans="1:40" x14ac:dyDescent="0.2">
      <c r="W48" s="1065"/>
      <c r="X48" s="1065"/>
      <c r="Y48" s="1065"/>
    </row>
    <row r="49" spans="1:38" x14ac:dyDescent="0.2">
      <c r="A49" s="1056" t="s">
        <v>632</v>
      </c>
      <c r="G49" s="1061" t="s">
        <v>1112</v>
      </c>
      <c r="H49" s="1061" t="s">
        <v>634</v>
      </c>
      <c r="I49" s="1059"/>
      <c r="J49" s="1059"/>
      <c r="K49" s="1059"/>
      <c r="L49" s="1059"/>
      <c r="M49" s="1062" t="s">
        <v>507</v>
      </c>
      <c r="N49" s="1059"/>
      <c r="O49" s="1059"/>
      <c r="P49" s="1059"/>
      <c r="Q49" s="1059"/>
      <c r="R49" s="1059"/>
      <c r="W49" s="1065"/>
      <c r="X49" s="1065"/>
      <c r="Y49" s="1065"/>
    </row>
    <row r="50" spans="1:38" x14ac:dyDescent="0.2">
      <c r="A50" s="1058" t="s">
        <v>635</v>
      </c>
      <c r="B50" s="1059"/>
      <c r="C50" s="1062" t="s">
        <v>778</v>
      </c>
      <c r="D50" s="1059"/>
      <c r="E50" s="1059"/>
      <c r="F50" s="1059"/>
      <c r="G50" s="1062" t="s">
        <v>2408</v>
      </c>
      <c r="H50" s="1062" t="s">
        <v>638</v>
      </c>
      <c r="I50" s="1062">
        <v>2015</v>
      </c>
      <c r="J50" s="1062">
        <v>2014</v>
      </c>
      <c r="K50" s="1062">
        <v>2013</v>
      </c>
      <c r="L50" s="1062">
        <v>2012</v>
      </c>
      <c r="M50" s="1062">
        <v>2011</v>
      </c>
      <c r="N50" s="1062">
        <v>2010</v>
      </c>
      <c r="O50" s="1062">
        <v>2009</v>
      </c>
      <c r="P50" s="1062">
        <v>2008</v>
      </c>
      <c r="Q50" s="1062">
        <v>2007</v>
      </c>
      <c r="R50" s="1062">
        <v>2006</v>
      </c>
      <c r="W50" s="1065"/>
      <c r="X50" s="1065"/>
      <c r="Y50" s="1065"/>
      <c r="AB50" s="1070"/>
      <c r="AE50" s="1070"/>
      <c r="AG50" s="1070"/>
      <c r="AH50" s="1070"/>
      <c r="AI50" s="1070"/>
      <c r="AJ50" s="1070"/>
      <c r="AK50" s="1070"/>
      <c r="AL50" s="1070"/>
    </row>
    <row r="51" spans="1:38" x14ac:dyDescent="0.2">
      <c r="M51" s="1530"/>
      <c r="N51" s="1530"/>
      <c r="O51" s="1530"/>
      <c r="P51" s="1530"/>
      <c r="Q51" s="1530"/>
      <c r="W51" s="1065"/>
      <c r="X51" s="1065"/>
      <c r="Y51" s="1065"/>
      <c r="AE51" s="1070"/>
    </row>
    <row r="52" spans="1:38" x14ac:dyDescent="0.2">
      <c r="A52" s="1061">
        <v>1</v>
      </c>
      <c r="B52" s="1063" t="s">
        <v>541</v>
      </c>
      <c r="C52" s="1064"/>
      <c r="D52" s="1064"/>
      <c r="R52" s="1064"/>
      <c r="W52" s="1065"/>
      <c r="X52" s="1065"/>
      <c r="Y52" s="1065"/>
      <c r="AB52" s="1070"/>
      <c r="AE52" s="1070"/>
      <c r="AG52" s="1070"/>
      <c r="AH52" s="1070"/>
      <c r="AI52" s="1070"/>
      <c r="AJ52" s="1070"/>
      <c r="AK52" s="1070"/>
      <c r="AL52" s="1070"/>
    </row>
    <row r="53" spans="1:38" x14ac:dyDescent="0.2">
      <c r="A53" s="1061">
        <f>A52+1</f>
        <v>2</v>
      </c>
      <c r="B53" s="1056" t="s">
        <v>542</v>
      </c>
      <c r="G53" s="1065"/>
      <c r="H53" s="1065"/>
      <c r="I53" s="1065"/>
      <c r="J53" s="1065"/>
      <c r="K53" s="1065"/>
      <c r="L53" s="1065"/>
      <c r="M53" s="1065"/>
      <c r="N53" s="1065"/>
      <c r="O53" s="1065"/>
      <c r="P53" s="1065"/>
      <c r="Q53" s="1065"/>
      <c r="R53" s="1065"/>
      <c r="S53" s="1547"/>
      <c r="T53" s="1065"/>
      <c r="U53" s="1065"/>
      <c r="V53" s="1065"/>
      <c r="W53" s="1065"/>
      <c r="X53" s="1065"/>
      <c r="Y53" s="1065"/>
      <c r="AE53" s="1070"/>
    </row>
    <row r="54" spans="1:38" x14ac:dyDescent="0.2">
      <c r="A54" s="1061">
        <f>A53+1</f>
        <v>3</v>
      </c>
      <c r="B54" s="1056" t="s">
        <v>543</v>
      </c>
      <c r="G54" s="1856">
        <f>'J-1.1, J-1.2 13 MO AVG WACC'!G16/1000</f>
        <v>3114.2310000000002</v>
      </c>
      <c r="H54" s="1856">
        <f>'J-1 Base Period Cost of Capital'!G16/1000</f>
        <v>5779</v>
      </c>
      <c r="I54" s="1533">
        <v>0</v>
      </c>
      <c r="J54" s="1533">
        <v>0</v>
      </c>
      <c r="K54" s="1533">
        <v>0</v>
      </c>
      <c r="L54" s="1533">
        <v>0</v>
      </c>
      <c r="M54" s="1533">
        <v>0</v>
      </c>
      <c r="N54" s="1533">
        <v>0</v>
      </c>
      <c r="O54" s="1533">
        <v>0</v>
      </c>
      <c r="P54" s="1533">
        <v>15599</v>
      </c>
      <c r="Q54" s="1533">
        <v>0</v>
      </c>
      <c r="R54" s="1533">
        <v>0</v>
      </c>
      <c r="S54" s="1549">
        <v>32172</v>
      </c>
      <c r="T54" s="2212"/>
      <c r="U54" s="2212"/>
      <c r="V54" s="2212"/>
      <c r="W54" s="2212"/>
      <c r="X54" s="2212"/>
      <c r="Y54" s="2212"/>
      <c r="AB54" s="1070"/>
      <c r="AD54" s="1070"/>
      <c r="AE54" s="1070"/>
      <c r="AG54" s="1070"/>
      <c r="AH54" s="1070"/>
      <c r="AI54" s="1070"/>
      <c r="AJ54" s="1070"/>
      <c r="AK54" s="1070"/>
      <c r="AL54" s="1070"/>
    </row>
    <row r="55" spans="1:38" x14ac:dyDescent="0.2">
      <c r="A55" s="1061">
        <f>A54+1</f>
        <v>4</v>
      </c>
      <c r="B55" s="1056" t="s">
        <v>544</v>
      </c>
      <c r="G55" s="1856">
        <f>'J-1.1, J-1.2 13 MO AVG WACC'!G18/1000</f>
        <v>114698.84600000001</v>
      </c>
      <c r="H55" s="1856">
        <f>'J-1 Base Period Cost of Capital'!G18/1000</f>
        <v>87585</v>
      </c>
      <c r="I55" s="1533">
        <v>98335</v>
      </c>
      <c r="J55" s="1533">
        <v>98335</v>
      </c>
      <c r="K55" s="1533">
        <v>93335</v>
      </c>
      <c r="L55" s="1533">
        <v>82055</v>
      </c>
      <c r="M55" s="1533">
        <v>82055</v>
      </c>
      <c r="N55" s="1533">
        <v>82055</v>
      </c>
      <c r="O55" s="1533">
        <v>72055</v>
      </c>
      <c r="P55" s="1533">
        <v>72055</v>
      </c>
      <c r="Q55" s="1533">
        <v>58055</v>
      </c>
      <c r="R55" s="1533">
        <v>58055</v>
      </c>
      <c r="S55" s="1549">
        <v>36250</v>
      </c>
      <c r="T55" s="1065"/>
      <c r="U55" s="1065"/>
      <c r="V55" s="1065"/>
      <c r="AE55" s="1070"/>
    </row>
    <row r="56" spans="1:38" x14ac:dyDescent="0.2">
      <c r="A56" s="1061">
        <f>A55+1</f>
        <v>5</v>
      </c>
      <c r="B56" s="1056" t="s">
        <v>545</v>
      </c>
      <c r="G56" s="1810" t="s">
        <v>546</v>
      </c>
      <c r="H56" s="1810" t="s">
        <v>546</v>
      </c>
      <c r="I56" s="1071" t="s">
        <v>546</v>
      </c>
      <c r="J56" s="1071" t="s">
        <v>546</v>
      </c>
      <c r="K56" s="1071" t="s">
        <v>546</v>
      </c>
      <c r="L56" s="1071" t="s">
        <v>546</v>
      </c>
      <c r="M56" s="1071" t="s">
        <v>546</v>
      </c>
      <c r="N56" s="1071" t="s">
        <v>546</v>
      </c>
      <c r="O56" s="1071" t="s">
        <v>546</v>
      </c>
      <c r="P56" s="1071" t="s">
        <v>546</v>
      </c>
      <c r="Q56" s="1071" t="s">
        <v>546</v>
      </c>
      <c r="R56" s="1071" t="s">
        <v>546</v>
      </c>
      <c r="S56" s="1549"/>
      <c r="T56" s="1065"/>
      <c r="U56" s="1065"/>
      <c r="V56" s="1065"/>
      <c r="AB56" s="1070"/>
      <c r="AE56" s="1070"/>
      <c r="AG56" s="1070"/>
      <c r="AH56" s="1070"/>
      <c r="AI56" s="1070"/>
      <c r="AJ56" s="1070"/>
      <c r="AK56" s="1070"/>
      <c r="AL56" s="1070"/>
    </row>
    <row r="57" spans="1:38" x14ac:dyDescent="0.2">
      <c r="A57" s="1061">
        <f>A56+1</f>
        <v>6</v>
      </c>
      <c r="B57" s="1056" t="s">
        <v>547</v>
      </c>
      <c r="G57" s="1857">
        <f>'J-1.1, J-1.2 13 MO AVG WACC'!G22/1000</f>
        <v>129778</v>
      </c>
      <c r="H57" s="1857">
        <f>'J-1 Base Period Cost of Capital'!G22/1000</f>
        <v>117614</v>
      </c>
      <c r="I57" s="1534">
        <v>114423</v>
      </c>
      <c r="J57" s="1534">
        <v>110501</v>
      </c>
      <c r="K57" s="1534">
        <v>100386</v>
      </c>
      <c r="L57" s="1534">
        <v>91857</v>
      </c>
      <c r="M57" s="1534">
        <v>90342</v>
      </c>
      <c r="N57" s="1534">
        <v>89397</v>
      </c>
      <c r="O57" s="1534">
        <v>88639</v>
      </c>
      <c r="P57" s="1534">
        <v>95419</v>
      </c>
      <c r="Q57" s="1534">
        <v>101871</v>
      </c>
      <c r="R57" s="1534">
        <v>87792</v>
      </c>
      <c r="S57" s="1549">
        <v>81533</v>
      </c>
      <c r="T57" s="1065"/>
      <c r="U57" s="1065"/>
      <c r="V57" s="1065"/>
      <c r="AE57" s="1070"/>
    </row>
    <row r="58" spans="1:38" x14ac:dyDescent="0.2">
      <c r="A58" s="1521"/>
      <c r="G58" s="1068"/>
      <c r="H58" s="1068"/>
      <c r="I58" s="1065"/>
      <c r="J58" s="1065"/>
      <c r="K58" s="1065"/>
      <c r="L58" s="1065"/>
      <c r="M58" s="1065"/>
      <c r="N58" s="1065"/>
      <c r="O58" s="1065"/>
      <c r="P58" s="1065"/>
      <c r="Q58" s="1065"/>
      <c r="R58" s="1065"/>
      <c r="S58" s="1547"/>
      <c r="T58" s="1065"/>
      <c r="U58" s="1065"/>
      <c r="V58" s="1065"/>
      <c r="AB58" s="1070"/>
      <c r="AD58" s="1070"/>
      <c r="AE58" s="1070"/>
      <c r="AG58" s="1070"/>
      <c r="AH58" s="1070"/>
      <c r="AI58" s="1070"/>
      <c r="AJ58" s="1070"/>
      <c r="AK58" s="1070"/>
      <c r="AL58" s="1070"/>
    </row>
    <row r="59" spans="1:38" x14ac:dyDescent="0.2">
      <c r="A59" s="1061">
        <f>A57+1</f>
        <v>7</v>
      </c>
      <c r="B59" s="1056" t="s">
        <v>670</v>
      </c>
      <c r="G59" s="1858">
        <f t="shared" ref="G59:R59" si="4">SUM(G54:G57)</f>
        <v>247591.07699999999</v>
      </c>
      <c r="H59" s="1858">
        <f t="shared" si="4"/>
        <v>210978</v>
      </c>
      <c r="I59" s="1069">
        <f t="shared" si="4"/>
        <v>212758</v>
      </c>
      <c r="J59" s="1069">
        <f t="shared" si="4"/>
        <v>208836</v>
      </c>
      <c r="K59" s="1069">
        <f t="shared" si="4"/>
        <v>193721</v>
      </c>
      <c r="L59" s="1069">
        <f t="shared" si="4"/>
        <v>173912</v>
      </c>
      <c r="M59" s="1069">
        <f t="shared" si="4"/>
        <v>172397</v>
      </c>
      <c r="N59" s="1069">
        <f t="shared" si="4"/>
        <v>171452</v>
      </c>
      <c r="O59" s="1069">
        <f t="shared" si="4"/>
        <v>160694</v>
      </c>
      <c r="P59" s="1069">
        <f t="shared" si="4"/>
        <v>183073</v>
      </c>
      <c r="Q59" s="1069">
        <f t="shared" si="4"/>
        <v>159926</v>
      </c>
      <c r="R59" s="1069">
        <f t="shared" si="4"/>
        <v>145847</v>
      </c>
      <c r="S59" s="1547"/>
      <c r="T59" s="1065"/>
      <c r="U59" s="1065"/>
      <c r="V59" s="1065"/>
      <c r="AE59" s="1070"/>
    </row>
    <row r="60" spans="1:38" x14ac:dyDescent="0.2">
      <c r="A60" s="1521"/>
      <c r="G60" s="1068"/>
      <c r="H60" s="1068"/>
      <c r="I60" s="1065"/>
      <c r="J60" s="1065"/>
      <c r="K60" s="1065"/>
      <c r="L60" s="1065"/>
      <c r="M60" s="1065"/>
      <c r="N60" s="1065"/>
      <c r="O60" s="1065"/>
      <c r="P60" s="1065"/>
      <c r="Q60" s="1065"/>
      <c r="R60" s="1065"/>
      <c r="S60" s="1547"/>
      <c r="T60" s="1065"/>
      <c r="U60" s="1065"/>
      <c r="V60" s="1065"/>
      <c r="AB60" s="1070"/>
      <c r="AD60" s="1070"/>
      <c r="AE60" s="1070"/>
      <c r="AF60" s="1070"/>
      <c r="AG60" s="1070"/>
      <c r="AH60" s="1070"/>
      <c r="AI60" s="1070"/>
      <c r="AJ60" s="1070"/>
      <c r="AK60" s="1070"/>
      <c r="AL60" s="1070"/>
    </row>
    <row r="61" spans="1:38" x14ac:dyDescent="0.2">
      <c r="A61" s="1061">
        <f>A59+1</f>
        <v>8</v>
      </c>
      <c r="B61" s="1063" t="s">
        <v>548</v>
      </c>
      <c r="C61" s="1064"/>
      <c r="D61" s="1064"/>
      <c r="E61" s="1064"/>
      <c r="F61" s="1064"/>
      <c r="G61" s="1068"/>
      <c r="H61" s="1068"/>
      <c r="I61" s="1065"/>
      <c r="J61" s="1065"/>
      <c r="K61" s="1065"/>
      <c r="L61" s="1065"/>
      <c r="M61" s="1065"/>
      <c r="N61" s="1065"/>
      <c r="O61" s="1065"/>
      <c r="P61" s="1065"/>
      <c r="Q61" s="1065"/>
      <c r="R61" s="1065"/>
      <c r="S61" s="1547"/>
      <c r="T61" s="1065"/>
      <c r="U61" s="1065"/>
      <c r="V61" s="1065"/>
      <c r="AE61" s="1070"/>
    </row>
    <row r="62" spans="1:38" x14ac:dyDescent="0.2">
      <c r="A62" s="1061">
        <f>A61+1</f>
        <v>9</v>
      </c>
      <c r="B62" s="1056" t="s">
        <v>549</v>
      </c>
      <c r="G62" s="1156">
        <f>'Operating Income Summary C-1'!I15/1000</f>
        <v>92682.16707000001</v>
      </c>
      <c r="H62" s="1156">
        <f>'Operating Income Summary C-1'!E15/1000</f>
        <v>102043.18386</v>
      </c>
      <c r="I62" s="1533">
        <v>131960</v>
      </c>
      <c r="J62" s="1533">
        <v>168059</v>
      </c>
      <c r="K62" s="1533">
        <v>137501</v>
      </c>
      <c r="L62" s="1533">
        <v>101085</v>
      </c>
      <c r="M62" s="1533">
        <v>145314</v>
      </c>
      <c r="N62" s="1533">
        <v>136789</v>
      </c>
      <c r="O62" s="1533">
        <v>156327</v>
      </c>
      <c r="P62" s="1533">
        <v>208429</v>
      </c>
      <c r="Q62" s="1533">
        <v>160751</v>
      </c>
      <c r="R62" s="1533">
        <v>164473</v>
      </c>
      <c r="S62" s="1547"/>
      <c r="T62" s="1065"/>
      <c r="U62" s="1065"/>
      <c r="V62" s="1065"/>
      <c r="AE62" s="1070"/>
    </row>
    <row r="63" spans="1:38" x14ac:dyDescent="0.2">
      <c r="A63" s="1061">
        <f>A62+1</f>
        <v>10</v>
      </c>
      <c r="B63" s="1056" t="s">
        <v>550</v>
      </c>
      <c r="G63" s="1065"/>
      <c r="H63" s="1065"/>
      <c r="I63" s="1068"/>
      <c r="J63" s="1068"/>
      <c r="K63" s="1068"/>
      <c r="L63" s="1068"/>
      <c r="M63" s="1068"/>
      <c r="N63" s="1068"/>
      <c r="O63" s="1068"/>
      <c r="P63" s="1068"/>
      <c r="Q63" s="1068"/>
      <c r="R63" s="1068"/>
      <c r="S63" s="1547"/>
      <c r="T63" s="1065"/>
      <c r="U63" s="1065"/>
      <c r="V63" s="1065"/>
      <c r="AB63" s="1070"/>
      <c r="AD63" s="1070"/>
      <c r="AE63" s="1070"/>
      <c r="AG63" s="1070"/>
      <c r="AH63" s="1070"/>
      <c r="AI63" s="1070"/>
      <c r="AJ63" s="1070"/>
      <c r="AK63" s="1070"/>
      <c r="AL63" s="1070"/>
    </row>
    <row r="64" spans="1:38" x14ac:dyDescent="0.2">
      <c r="A64" s="1521"/>
      <c r="B64" s="1056" t="s">
        <v>551</v>
      </c>
      <c r="G64" s="1156">
        <f>SUM('Operating Income Summary C-1'!I18:I21)/1000</f>
        <v>87189.999716995037</v>
      </c>
      <c r="H64" s="1156">
        <f>SUM('Operating Income Summary C-1'!E18:E21)/1000</f>
        <v>81822.175590719169</v>
      </c>
      <c r="I64" s="1533">
        <v>110672</v>
      </c>
      <c r="J64" s="1533">
        <v>144427</v>
      </c>
      <c r="K64" s="1533">
        <v>119443</v>
      </c>
      <c r="L64" s="1533">
        <v>85385</v>
      </c>
      <c r="M64" s="1533">
        <v>126137</v>
      </c>
      <c r="N64" s="1533">
        <v>119579</v>
      </c>
      <c r="O64" s="1533">
        <v>142446</v>
      </c>
      <c r="P64" s="1533">
        <v>191149</v>
      </c>
      <c r="Q64" s="1533">
        <v>143469</v>
      </c>
      <c r="R64" s="1533">
        <v>152076</v>
      </c>
      <c r="S64" s="1547"/>
      <c r="T64" s="1065"/>
      <c r="U64" s="1065"/>
      <c r="V64" s="1065"/>
      <c r="AD64" s="1070"/>
      <c r="AE64" s="1070"/>
    </row>
    <row r="65" spans="1:38" x14ac:dyDescent="0.2">
      <c r="A65" s="1061">
        <f>A63+1</f>
        <v>11</v>
      </c>
      <c r="B65" s="1056" t="s">
        <v>552</v>
      </c>
      <c r="G65" s="1156">
        <f>'Operating Income Summary C-1'!I26/1000</f>
        <v>-80.383698819701038</v>
      </c>
      <c r="H65" s="1156">
        <f>'Operating Income Summary C-1'!E26/1000</f>
        <v>1070.5021533333334</v>
      </c>
      <c r="I65" s="1533">
        <v>877</v>
      </c>
      <c r="J65" s="1533">
        <v>1407</v>
      </c>
      <c r="K65" s="1533">
        <v>282</v>
      </c>
      <c r="L65" s="1533">
        <v>624</v>
      </c>
      <c r="M65" s="1533">
        <v>957</v>
      </c>
      <c r="N65" s="1533">
        <v>950</v>
      </c>
      <c r="O65" s="1533">
        <v>830</v>
      </c>
      <c r="P65" s="1533">
        <v>1094</v>
      </c>
      <c r="Q65" s="1533">
        <v>629</v>
      </c>
      <c r="R65" s="1533">
        <v>585</v>
      </c>
      <c r="S65" s="1547"/>
      <c r="T65" s="1065"/>
      <c r="U65" s="1065"/>
      <c r="V65" s="1065"/>
      <c r="AB65" s="1070"/>
      <c r="AD65" s="1070"/>
      <c r="AE65" s="1070"/>
      <c r="AG65" s="1070"/>
      <c r="AH65" s="1070"/>
      <c r="AI65" s="1070"/>
      <c r="AJ65" s="1070"/>
      <c r="AK65" s="1070"/>
      <c r="AL65" s="1070"/>
    </row>
    <row r="66" spans="1:38" x14ac:dyDescent="0.2">
      <c r="A66" s="1061">
        <f>A65+1</f>
        <v>12</v>
      </c>
      <c r="B66" s="1056" t="s">
        <v>553</v>
      </c>
      <c r="G66" s="1156">
        <f>'Operating Income Summary C-1'!I25/1000-G68</f>
        <v>-392.10722237960755</v>
      </c>
      <c r="H66" s="1156">
        <f>'Operating Income Summary C-1'!E25/1000-H68</f>
        <v>4986.4967652621508</v>
      </c>
      <c r="I66" s="1533">
        <v>7201</v>
      </c>
      <c r="J66" s="1533">
        <v>5964</v>
      </c>
      <c r="K66" s="1533">
        <v>4792</v>
      </c>
      <c r="L66" s="1533">
        <v>4424</v>
      </c>
      <c r="M66" s="1533">
        <v>5679</v>
      </c>
      <c r="N66" s="1533">
        <v>5473</v>
      </c>
      <c r="O66" s="1533">
        <v>4261</v>
      </c>
      <c r="P66" s="1533">
        <v>5535</v>
      </c>
      <c r="Q66" s="1533">
        <v>6161</v>
      </c>
      <c r="R66" s="1533">
        <v>4348</v>
      </c>
      <c r="S66" s="1547"/>
      <c r="T66" s="1065"/>
      <c r="AD66" s="1070"/>
      <c r="AE66" s="1070"/>
    </row>
    <row r="67" spans="1:38" x14ac:dyDescent="0.2">
      <c r="A67" s="1061">
        <f t="shared" ref="A67:A76" si="5">A66+1</f>
        <v>13</v>
      </c>
      <c r="B67" s="1056" t="s">
        <v>554</v>
      </c>
      <c r="G67" s="1065">
        <f t="shared" ref="G67:R67" si="6">G65+G66</f>
        <v>-472.49092119930856</v>
      </c>
      <c r="H67" s="1065">
        <f t="shared" si="6"/>
        <v>6056.9989185954837</v>
      </c>
      <c r="I67" s="1068">
        <f t="shared" si="6"/>
        <v>8078</v>
      </c>
      <c r="J67" s="1068">
        <f t="shared" si="6"/>
        <v>7371</v>
      </c>
      <c r="K67" s="1068">
        <f t="shared" si="6"/>
        <v>5074</v>
      </c>
      <c r="L67" s="1068">
        <f t="shared" si="6"/>
        <v>5048</v>
      </c>
      <c r="M67" s="1068">
        <f t="shared" si="6"/>
        <v>6636</v>
      </c>
      <c r="N67" s="1068">
        <f t="shared" si="6"/>
        <v>6423</v>
      </c>
      <c r="O67" s="1068">
        <f t="shared" si="6"/>
        <v>5091</v>
      </c>
      <c r="P67" s="1068">
        <f t="shared" si="6"/>
        <v>6629</v>
      </c>
      <c r="Q67" s="1068">
        <f t="shared" si="6"/>
        <v>6790</v>
      </c>
      <c r="R67" s="1068">
        <f t="shared" si="6"/>
        <v>4933</v>
      </c>
      <c r="S67" s="1547"/>
      <c r="T67" s="1065"/>
      <c r="AB67" s="1070"/>
      <c r="AD67" s="1070"/>
      <c r="AE67" s="1070"/>
      <c r="AG67" s="1070"/>
      <c r="AH67" s="1070"/>
      <c r="AI67" s="1070"/>
      <c r="AJ67" s="1070"/>
      <c r="AK67" s="1070"/>
      <c r="AL67" s="1070"/>
    </row>
    <row r="68" spans="1:38" x14ac:dyDescent="0.2">
      <c r="A68" s="1061">
        <f t="shared" si="5"/>
        <v>14</v>
      </c>
      <c r="B68" s="1056" t="s">
        <v>555</v>
      </c>
      <c r="G68" s="1158">
        <f>'E-1.1 Fed &amp; State Income Taxes'!I51/1000</f>
        <v>-35.76</v>
      </c>
      <c r="H68" s="1158">
        <f>'E-1.1 Fed &amp; State Income Taxes'!E51/1000</f>
        <v>-54.497333333333337</v>
      </c>
      <c r="I68" s="1534">
        <v>-66</v>
      </c>
      <c r="J68" s="1534">
        <v>-75</v>
      </c>
      <c r="K68" s="1534">
        <v>-80</v>
      </c>
      <c r="L68" s="1534">
        <v>-80</v>
      </c>
      <c r="M68" s="1534">
        <v>-82</v>
      </c>
      <c r="N68" s="1534">
        <v>-85</v>
      </c>
      <c r="O68" s="1534">
        <v>-87</v>
      </c>
      <c r="P68" s="1534">
        <v>-87</v>
      </c>
      <c r="Q68" s="1534">
        <v>-87</v>
      </c>
      <c r="R68" s="1534">
        <v>-88</v>
      </c>
      <c r="S68" s="1547"/>
      <c r="T68" s="1065"/>
      <c r="AD68" s="1070"/>
      <c r="AE68" s="1070"/>
    </row>
    <row r="69" spans="1:38" x14ac:dyDescent="0.2">
      <c r="A69" s="1061">
        <f t="shared" si="5"/>
        <v>15</v>
      </c>
      <c r="B69" s="1056" t="s">
        <v>556</v>
      </c>
      <c r="G69" s="1065">
        <f t="shared" ref="G69:R69" si="7">G62-G64-G67-G68</f>
        <v>6000.4182742042831</v>
      </c>
      <c r="H69" s="1065">
        <f t="shared" si="7"/>
        <v>14218.506684018685</v>
      </c>
      <c r="I69" s="1068">
        <f t="shared" si="7"/>
        <v>13276</v>
      </c>
      <c r="J69" s="1068">
        <f t="shared" si="7"/>
        <v>16336</v>
      </c>
      <c r="K69" s="1068">
        <f t="shared" si="7"/>
        <v>13064</v>
      </c>
      <c r="L69" s="1068">
        <f t="shared" si="7"/>
        <v>10732</v>
      </c>
      <c r="M69" s="1068">
        <f t="shared" si="7"/>
        <v>12623</v>
      </c>
      <c r="N69" s="1068">
        <f t="shared" si="7"/>
        <v>10872</v>
      </c>
      <c r="O69" s="1068">
        <f t="shared" si="7"/>
        <v>8877</v>
      </c>
      <c r="P69" s="1068">
        <f t="shared" si="7"/>
        <v>10738</v>
      </c>
      <c r="Q69" s="1068">
        <f t="shared" si="7"/>
        <v>10579</v>
      </c>
      <c r="R69" s="1068">
        <f t="shared" si="7"/>
        <v>7552</v>
      </c>
      <c r="S69" s="1547"/>
      <c r="T69" s="1065"/>
      <c r="AD69" s="1070"/>
      <c r="AE69" s="1070"/>
    </row>
    <row r="70" spans="1:38" x14ac:dyDescent="0.2">
      <c r="A70" s="1061">
        <f t="shared" si="5"/>
        <v>16</v>
      </c>
      <c r="B70" s="1056" t="s">
        <v>557</v>
      </c>
      <c r="G70" s="1535">
        <v>134</v>
      </c>
      <c r="H70" s="1535">
        <v>122</v>
      </c>
      <c r="I70" s="1535">
        <v>106</v>
      </c>
      <c r="J70" s="1535">
        <v>152</v>
      </c>
      <c r="K70" s="1535">
        <v>99</v>
      </c>
      <c r="L70" s="1535">
        <v>42</v>
      </c>
      <c r="M70" s="1535">
        <v>18</v>
      </c>
      <c r="N70" s="1535">
        <v>34</v>
      </c>
      <c r="O70" s="1535">
        <v>22</v>
      </c>
      <c r="P70" s="1535">
        <v>31</v>
      </c>
      <c r="Q70" s="1533">
        <v>46</v>
      </c>
      <c r="R70" s="1533">
        <v>259</v>
      </c>
      <c r="S70" s="1547"/>
      <c r="T70" s="2212"/>
      <c r="U70" s="2212"/>
      <c r="V70" s="2212"/>
      <c r="W70" s="2212"/>
      <c r="X70" s="2212"/>
      <c r="Y70" s="2212"/>
      <c r="AD70" s="1070"/>
      <c r="AE70" s="1070"/>
      <c r="AG70" s="1070"/>
      <c r="AH70" s="1070"/>
      <c r="AI70" s="1070"/>
      <c r="AJ70" s="1070"/>
      <c r="AK70" s="1070"/>
      <c r="AL70" s="1070"/>
    </row>
    <row r="71" spans="1:38" x14ac:dyDescent="0.2">
      <c r="A71" s="1061">
        <f t="shared" si="5"/>
        <v>17</v>
      </c>
      <c r="B71" s="1056" t="s">
        <v>558</v>
      </c>
      <c r="G71" s="1158">
        <f>('I-1 Comp Income Statement'!J33+'I-1 Comp Income Statement'!J34)/1000</f>
        <v>3099</v>
      </c>
      <c r="H71" s="1158">
        <f>('I-1 Comp Income Statement'!I33+'I-1 Comp Income Statement'!I34)/1000</f>
        <v>2328</v>
      </c>
      <c r="I71" s="1536">
        <v>3461</v>
      </c>
      <c r="J71" s="1536">
        <v>1098</v>
      </c>
      <c r="K71" s="1536">
        <v>2340</v>
      </c>
      <c r="L71" s="1536">
        <v>2543</v>
      </c>
      <c r="M71" s="1536">
        <f>2992+50</f>
        <v>3042</v>
      </c>
      <c r="N71" s="1536">
        <f>4009+18</f>
        <v>4027</v>
      </c>
      <c r="O71" s="1536">
        <f>3527+46</f>
        <v>3573</v>
      </c>
      <c r="P71" s="1536">
        <f>3412+46</f>
        <v>3458</v>
      </c>
      <c r="Q71" s="1534">
        <v>4379</v>
      </c>
      <c r="R71" s="1534">
        <f>3559+24</f>
        <v>3583</v>
      </c>
      <c r="S71" s="1547"/>
      <c r="T71" s="2212"/>
      <c r="U71" s="2212"/>
      <c r="V71" s="2212"/>
      <c r="W71" s="2212"/>
      <c r="X71" s="2212"/>
      <c r="Y71" s="2212"/>
    </row>
    <row r="72" spans="1:38" x14ac:dyDescent="0.2">
      <c r="A72" s="1061">
        <f t="shared" si="5"/>
        <v>18</v>
      </c>
      <c r="B72" s="1056" t="s">
        <v>559</v>
      </c>
      <c r="G72" s="1068">
        <f t="shared" ref="G72:R72" si="8">G69+G70+G71</f>
        <v>9233.4182742042831</v>
      </c>
      <c r="H72" s="1068">
        <f t="shared" si="8"/>
        <v>16668.506684018685</v>
      </c>
      <c r="I72" s="1068">
        <f t="shared" si="8"/>
        <v>16843</v>
      </c>
      <c r="J72" s="1068">
        <f t="shared" si="8"/>
        <v>17586</v>
      </c>
      <c r="K72" s="1068">
        <f t="shared" si="8"/>
        <v>15503</v>
      </c>
      <c r="L72" s="1068">
        <f t="shared" si="8"/>
        <v>13317</v>
      </c>
      <c r="M72" s="1068">
        <f t="shared" si="8"/>
        <v>15683</v>
      </c>
      <c r="N72" s="1068">
        <f t="shared" si="8"/>
        <v>14933</v>
      </c>
      <c r="O72" s="1068">
        <f t="shared" si="8"/>
        <v>12472</v>
      </c>
      <c r="P72" s="1068">
        <f t="shared" si="8"/>
        <v>14227</v>
      </c>
      <c r="Q72" s="1068">
        <f t="shared" si="8"/>
        <v>15004</v>
      </c>
      <c r="R72" s="1068">
        <f t="shared" si="8"/>
        <v>11394</v>
      </c>
      <c r="S72" s="1547"/>
      <c r="T72" s="1068"/>
      <c r="U72" s="1146"/>
      <c r="V72" s="1146"/>
      <c r="W72" s="1146"/>
      <c r="X72" s="1146"/>
      <c r="Y72" s="1146"/>
    </row>
    <row r="73" spans="1:38" x14ac:dyDescent="0.2">
      <c r="A73" s="1061">
        <f t="shared" si="5"/>
        <v>19</v>
      </c>
      <c r="B73" s="1056" t="s">
        <v>560</v>
      </c>
      <c r="G73" s="1536">
        <v>6375</v>
      </c>
      <c r="H73" s="1536">
        <v>5437</v>
      </c>
      <c r="I73" s="1536">
        <v>5721</v>
      </c>
      <c r="J73" s="1536">
        <v>5513</v>
      </c>
      <c r="K73" s="1536">
        <v>5067</v>
      </c>
      <c r="L73" s="1536">
        <v>4802</v>
      </c>
      <c r="M73" s="1536">
        <f>4829</f>
        <v>4829</v>
      </c>
      <c r="N73" s="1536">
        <f>4243</f>
        <v>4243</v>
      </c>
      <c r="O73" s="1536">
        <f>4259</f>
        <v>4259</v>
      </c>
      <c r="P73" s="1536">
        <f>3763</f>
        <v>3763</v>
      </c>
      <c r="Q73" s="1534">
        <v>3437</v>
      </c>
      <c r="R73" s="1534">
        <v>2940</v>
      </c>
      <c r="S73" s="1547"/>
      <c r="T73" s="2212"/>
      <c r="U73" s="2212"/>
      <c r="V73" s="2212"/>
      <c r="W73" s="2212"/>
      <c r="X73" s="2212"/>
      <c r="Y73" s="2212"/>
    </row>
    <row r="74" spans="1:38" x14ac:dyDescent="0.2">
      <c r="A74" s="1061">
        <f t="shared" si="5"/>
        <v>20</v>
      </c>
      <c r="B74" s="1056" t="s">
        <v>561</v>
      </c>
      <c r="G74" s="1068">
        <f t="shared" ref="G74:R74" si="9">G72-G73</f>
        <v>2858.4182742042831</v>
      </c>
      <c r="H74" s="1065">
        <f t="shared" si="9"/>
        <v>11231.506684018685</v>
      </c>
      <c r="I74" s="1068">
        <f t="shared" si="9"/>
        <v>11122</v>
      </c>
      <c r="J74" s="1068">
        <f t="shared" si="9"/>
        <v>12073</v>
      </c>
      <c r="K74" s="1068">
        <f t="shared" si="9"/>
        <v>10436</v>
      </c>
      <c r="L74" s="1068">
        <f t="shared" si="9"/>
        <v>8515</v>
      </c>
      <c r="M74" s="1068">
        <f t="shared" si="9"/>
        <v>10854</v>
      </c>
      <c r="N74" s="1068">
        <f t="shared" si="9"/>
        <v>10690</v>
      </c>
      <c r="O74" s="1068">
        <f t="shared" si="9"/>
        <v>8213</v>
      </c>
      <c r="P74" s="1068">
        <f t="shared" si="9"/>
        <v>10464</v>
      </c>
      <c r="Q74" s="1068">
        <f t="shared" si="9"/>
        <v>11567</v>
      </c>
      <c r="R74" s="1068">
        <f t="shared" si="9"/>
        <v>8454</v>
      </c>
      <c r="S74" s="1547"/>
      <c r="T74" s="1065"/>
    </row>
    <row r="75" spans="1:38" x14ac:dyDescent="0.2">
      <c r="A75" s="1061">
        <f t="shared" si="5"/>
        <v>21</v>
      </c>
      <c r="B75" s="1056" t="s">
        <v>562</v>
      </c>
      <c r="G75" s="1072" t="s">
        <v>546</v>
      </c>
      <c r="H75" s="1072" t="s">
        <v>546</v>
      </c>
      <c r="I75" s="1072" t="s">
        <v>546</v>
      </c>
      <c r="J75" s="1073" t="s">
        <v>546</v>
      </c>
      <c r="K75" s="1072" t="s">
        <v>546</v>
      </c>
      <c r="L75" s="1072" t="s">
        <v>546</v>
      </c>
      <c r="M75" s="1072" t="s">
        <v>546</v>
      </c>
      <c r="N75" s="1073" t="s">
        <v>546</v>
      </c>
      <c r="O75" s="1072" t="s">
        <v>546</v>
      </c>
      <c r="P75" s="1072" t="s">
        <v>546</v>
      </c>
      <c r="Q75" s="1072" t="s">
        <v>546</v>
      </c>
      <c r="R75" s="1072" t="s">
        <v>546</v>
      </c>
      <c r="S75" s="1547"/>
      <c r="T75" s="1065"/>
    </row>
    <row r="76" spans="1:38" x14ac:dyDescent="0.2">
      <c r="A76" s="1061">
        <f t="shared" si="5"/>
        <v>22</v>
      </c>
      <c r="B76" s="1056" t="s">
        <v>563</v>
      </c>
      <c r="G76" s="1069">
        <f>G74</f>
        <v>2858.4182742042831</v>
      </c>
      <c r="H76" s="1069">
        <f>H74</f>
        <v>11231.506684018685</v>
      </c>
      <c r="I76" s="1069">
        <f>I74+I75</f>
        <v>11122</v>
      </c>
      <c r="J76" s="1069">
        <f t="shared" ref="J76:R76" si="10">J74+J75</f>
        <v>12073</v>
      </c>
      <c r="K76" s="1069">
        <f t="shared" si="10"/>
        <v>10436</v>
      </c>
      <c r="L76" s="1069">
        <f t="shared" si="10"/>
        <v>8515</v>
      </c>
      <c r="M76" s="1069">
        <f t="shared" si="10"/>
        <v>10854</v>
      </c>
      <c r="N76" s="1069">
        <f t="shared" si="10"/>
        <v>10690</v>
      </c>
      <c r="O76" s="1069">
        <f t="shared" si="10"/>
        <v>8213</v>
      </c>
      <c r="P76" s="1069">
        <f t="shared" si="10"/>
        <v>10464</v>
      </c>
      <c r="Q76" s="1069">
        <f t="shared" si="10"/>
        <v>11567</v>
      </c>
      <c r="R76" s="1069">
        <f t="shared" si="10"/>
        <v>8454</v>
      </c>
      <c r="S76" s="1547"/>
      <c r="T76" s="1065"/>
    </row>
    <row r="77" spans="1:38" x14ac:dyDescent="0.2">
      <c r="A77" s="1521"/>
    </row>
    <row r="78" spans="1:38" x14ac:dyDescent="0.2">
      <c r="A78" s="1061">
        <f>A76+1</f>
        <v>23</v>
      </c>
      <c r="B78" s="1056" t="s">
        <v>564</v>
      </c>
      <c r="G78" s="1074">
        <f t="shared" ref="G78:R78" si="11">ROUND(G70/G76,4)</f>
        <v>4.6899999999999997E-2</v>
      </c>
      <c r="H78" s="1074">
        <f t="shared" si="11"/>
        <v>1.09E-2</v>
      </c>
      <c r="I78" s="1074">
        <f t="shared" si="11"/>
        <v>9.4999999999999998E-3</v>
      </c>
      <c r="J78" s="1074">
        <f t="shared" si="11"/>
        <v>1.26E-2</v>
      </c>
      <c r="K78" s="1074">
        <f t="shared" si="11"/>
        <v>9.4999999999999998E-3</v>
      </c>
      <c r="L78" s="1074">
        <f t="shared" si="11"/>
        <v>4.8999999999999998E-3</v>
      </c>
      <c r="M78" s="1074">
        <f t="shared" si="11"/>
        <v>1.6999999999999999E-3</v>
      </c>
      <c r="N78" s="1074">
        <f t="shared" si="11"/>
        <v>3.2000000000000002E-3</v>
      </c>
      <c r="O78" s="1074">
        <f t="shared" si="11"/>
        <v>2.7000000000000001E-3</v>
      </c>
      <c r="P78" s="1074">
        <f t="shared" si="11"/>
        <v>3.0000000000000001E-3</v>
      </c>
      <c r="Q78" s="1074">
        <f t="shared" si="11"/>
        <v>4.0000000000000001E-3</v>
      </c>
      <c r="R78" s="1074">
        <f t="shared" si="11"/>
        <v>3.0599999999999999E-2</v>
      </c>
      <c r="S78" s="1547"/>
      <c r="T78" s="1065"/>
    </row>
    <row r="79" spans="1:38" x14ac:dyDescent="0.2">
      <c r="A79" s="1061">
        <f>A78+1</f>
        <v>24</v>
      </c>
      <c r="B79" s="1056" t="s">
        <v>565</v>
      </c>
      <c r="G79" s="1065"/>
      <c r="H79" s="1065"/>
      <c r="I79" s="1065"/>
      <c r="J79" s="1065"/>
      <c r="K79" s="1065"/>
      <c r="L79" s="1065"/>
      <c r="M79" s="1065"/>
      <c r="N79" s="1065"/>
      <c r="O79" s="1065"/>
      <c r="P79" s="1065"/>
      <c r="Q79" s="1065"/>
      <c r="R79" s="1065"/>
      <c r="S79" s="1547"/>
      <c r="T79" s="1065"/>
    </row>
    <row r="80" spans="1:38" x14ac:dyDescent="0.2">
      <c r="A80" s="1521"/>
      <c r="B80" s="1056" t="s">
        <v>566</v>
      </c>
      <c r="G80" s="1074">
        <f t="shared" ref="G80:R80" si="12">ROUND(G70/G76,4)</f>
        <v>4.6899999999999997E-2</v>
      </c>
      <c r="H80" s="1074">
        <f t="shared" si="12"/>
        <v>1.09E-2</v>
      </c>
      <c r="I80" s="1074">
        <f t="shared" si="12"/>
        <v>9.4999999999999998E-3</v>
      </c>
      <c r="J80" s="1074">
        <f t="shared" si="12"/>
        <v>1.26E-2</v>
      </c>
      <c r="K80" s="1074">
        <f t="shared" si="12"/>
        <v>9.4999999999999998E-3</v>
      </c>
      <c r="L80" s="1074">
        <f t="shared" si="12"/>
        <v>4.8999999999999998E-3</v>
      </c>
      <c r="M80" s="1074">
        <f t="shared" si="12"/>
        <v>1.6999999999999999E-3</v>
      </c>
      <c r="N80" s="1074">
        <f t="shared" si="12"/>
        <v>3.2000000000000002E-3</v>
      </c>
      <c r="O80" s="1074">
        <f t="shared" si="12"/>
        <v>2.7000000000000001E-3</v>
      </c>
      <c r="P80" s="1074">
        <f t="shared" si="12"/>
        <v>3.0000000000000001E-3</v>
      </c>
      <c r="Q80" s="1074">
        <f t="shared" si="12"/>
        <v>4.0000000000000001E-3</v>
      </c>
      <c r="R80" s="1074">
        <f t="shared" si="12"/>
        <v>3.0599999999999999E-2</v>
      </c>
      <c r="S80" s="1547"/>
      <c r="T80" s="1065"/>
    </row>
    <row r="81" spans="1:20" x14ac:dyDescent="0.2">
      <c r="A81" s="1521"/>
      <c r="B81" s="1056"/>
      <c r="G81" s="1074"/>
      <c r="H81" s="1074"/>
      <c r="I81" s="1074"/>
      <c r="J81" s="1074"/>
      <c r="K81" s="1074"/>
      <c r="L81" s="1074"/>
      <c r="M81" s="1074"/>
      <c r="N81" s="1074"/>
      <c r="O81" s="1074"/>
      <c r="P81" s="1074"/>
      <c r="Q81" s="1074"/>
      <c r="R81" s="1074"/>
      <c r="S81" s="1547"/>
      <c r="T81" s="1065"/>
    </row>
    <row r="82" spans="1:20" x14ac:dyDescent="0.2">
      <c r="A82" s="1054" t="s">
        <v>2409</v>
      </c>
    </row>
    <row r="84" spans="1:20" x14ac:dyDescent="0.2">
      <c r="A84" s="2211" t="s">
        <v>624</v>
      </c>
      <c r="B84" s="2211"/>
      <c r="C84" s="2211"/>
      <c r="D84" s="2211"/>
      <c r="E84" s="2211"/>
      <c r="F84" s="2211"/>
      <c r="G84" s="2211"/>
      <c r="H84" s="2211"/>
      <c r="I84" s="2211"/>
      <c r="J84" s="2211"/>
      <c r="K84" s="2211"/>
      <c r="L84" s="2211"/>
      <c r="M84" s="2211"/>
      <c r="N84" s="2211"/>
      <c r="O84" s="2211"/>
      <c r="P84" s="2211"/>
      <c r="Q84" s="2211"/>
      <c r="R84" s="2211"/>
      <c r="T84" s="1065"/>
    </row>
    <row r="85" spans="1:20" x14ac:dyDescent="0.2">
      <c r="A85" s="2211" t="str">
        <f>A40</f>
        <v>CASE NO. 2016 - 00162</v>
      </c>
      <c r="B85" s="2211"/>
      <c r="C85" s="2211"/>
      <c r="D85" s="2211"/>
      <c r="E85" s="2211"/>
      <c r="F85" s="2211"/>
      <c r="G85" s="2211"/>
      <c r="H85" s="2211"/>
      <c r="I85" s="2211"/>
      <c r="J85" s="2211"/>
      <c r="K85" s="2211"/>
      <c r="L85" s="2211"/>
      <c r="M85" s="2211"/>
      <c r="N85" s="2211"/>
      <c r="O85" s="2211"/>
      <c r="P85" s="2211"/>
      <c r="Q85" s="2211"/>
      <c r="R85" s="2211"/>
      <c r="T85" s="1065"/>
    </row>
    <row r="86" spans="1:20" x14ac:dyDescent="0.2">
      <c r="A86" s="2211" t="str">
        <f>A4</f>
        <v>COMPARATIVE FINANCIAL DATA</v>
      </c>
      <c r="B86" s="2211"/>
      <c r="C86" s="2211"/>
      <c r="D86" s="2211"/>
      <c r="E86" s="2211"/>
      <c r="F86" s="2211"/>
      <c r="G86" s="2211"/>
      <c r="H86" s="2211"/>
      <c r="I86" s="2211"/>
      <c r="J86" s="2211"/>
      <c r="K86" s="2211"/>
      <c r="L86" s="2211"/>
      <c r="M86" s="2211"/>
      <c r="N86" s="2211"/>
      <c r="O86" s="2211"/>
      <c r="P86" s="2211"/>
      <c r="Q86" s="2211"/>
      <c r="R86" s="2211"/>
      <c r="T86" s="1065"/>
    </row>
    <row r="87" spans="1:20" x14ac:dyDescent="0.2">
      <c r="A87" s="2211" t="str">
        <f>A42</f>
        <v>BASE PERIOD: TWELVE MONTHS ENDED AUGUST 31, 2016</v>
      </c>
      <c r="B87" s="2211"/>
      <c r="C87" s="2211"/>
      <c r="D87" s="2211"/>
      <c r="E87" s="2211"/>
      <c r="F87" s="2211"/>
      <c r="G87" s="2211"/>
      <c r="H87" s="2211"/>
      <c r="I87" s="2211"/>
      <c r="J87" s="2211"/>
      <c r="K87" s="2211"/>
      <c r="L87" s="2211"/>
      <c r="M87" s="2211"/>
      <c r="N87" s="2211"/>
      <c r="O87" s="2211"/>
      <c r="P87" s="2211"/>
      <c r="Q87" s="2211"/>
      <c r="R87" s="2211"/>
      <c r="T87" s="1065"/>
    </row>
    <row r="88" spans="1:20" x14ac:dyDescent="0.2">
      <c r="A88" s="2211" t="str">
        <f>A43</f>
        <v>FORECASTED PERIOD: TWELVE MONTHS ENDED DECEMBER 31, 2017</v>
      </c>
      <c r="B88" s="2211"/>
      <c r="C88" s="2211"/>
      <c r="D88" s="2211"/>
      <c r="E88" s="2211"/>
      <c r="F88" s="2211"/>
      <c r="G88" s="2211"/>
      <c r="H88" s="2211"/>
      <c r="I88" s="2211"/>
      <c r="J88" s="2211"/>
      <c r="K88" s="2211"/>
      <c r="L88" s="2211"/>
      <c r="M88" s="2211"/>
      <c r="N88" s="2211"/>
      <c r="O88" s="2211"/>
      <c r="P88" s="2211"/>
      <c r="Q88" s="2211"/>
      <c r="R88" s="2211"/>
      <c r="T88" s="1065"/>
    </row>
    <row r="89" spans="1:20" x14ac:dyDescent="0.2">
      <c r="T89" s="1065"/>
    </row>
    <row r="90" spans="1:20" x14ac:dyDescent="0.2">
      <c r="A90" s="1056" t="s">
        <v>1317</v>
      </c>
      <c r="P90" s="1056"/>
      <c r="R90" s="1057" t="s">
        <v>502</v>
      </c>
      <c r="T90" s="1065"/>
    </row>
    <row r="91" spans="1:20" x14ac:dyDescent="0.2">
      <c r="A91" s="1056" t="s">
        <v>977</v>
      </c>
      <c r="P91" s="1056"/>
      <c r="R91" s="1057" t="s">
        <v>567</v>
      </c>
      <c r="T91" s="1065"/>
    </row>
    <row r="92" spans="1:20" x14ac:dyDescent="0.2">
      <c r="A92" s="1058" t="s">
        <v>996</v>
      </c>
      <c r="B92" s="1059"/>
      <c r="C92" s="1059"/>
      <c r="D92" s="1059"/>
      <c r="E92" s="1059"/>
      <c r="F92" s="1059"/>
      <c r="G92" s="1059"/>
      <c r="H92" s="1059"/>
      <c r="I92" s="1059"/>
      <c r="J92" s="1059"/>
      <c r="K92" s="1059"/>
      <c r="L92" s="1059"/>
      <c r="M92" s="1059"/>
      <c r="N92" s="1059"/>
      <c r="O92" s="1059"/>
      <c r="P92" s="1058"/>
      <c r="Q92" s="1059"/>
      <c r="R92" s="1060" t="str">
        <f>R10</f>
        <v>WITNESS:  J. T. CROOM</v>
      </c>
      <c r="T92" s="1065"/>
    </row>
    <row r="93" spans="1:20" x14ac:dyDescent="0.2">
      <c r="T93" s="1065"/>
    </row>
    <row r="94" spans="1:20" x14ac:dyDescent="0.2">
      <c r="A94" s="1056" t="s">
        <v>632</v>
      </c>
      <c r="G94" s="1061" t="s">
        <v>1112</v>
      </c>
      <c r="H94" s="1061" t="s">
        <v>634</v>
      </c>
      <c r="I94" s="1059"/>
      <c r="J94" s="1059"/>
      <c r="K94" s="1059"/>
      <c r="L94" s="1059"/>
      <c r="M94" s="1062" t="s">
        <v>507</v>
      </c>
      <c r="N94" s="1059"/>
      <c r="O94" s="1059"/>
      <c r="P94" s="1059"/>
      <c r="Q94" s="1059"/>
      <c r="R94" s="1059"/>
      <c r="T94" s="1065"/>
    </row>
    <row r="95" spans="1:20" x14ac:dyDescent="0.2">
      <c r="A95" s="1058" t="s">
        <v>635</v>
      </c>
      <c r="B95" s="1059"/>
      <c r="C95" s="1062" t="s">
        <v>778</v>
      </c>
      <c r="D95" s="1059"/>
      <c r="E95" s="1059"/>
      <c r="F95" s="1059"/>
      <c r="G95" s="1062" t="s">
        <v>638</v>
      </c>
      <c r="H95" s="1062" t="s">
        <v>638</v>
      </c>
      <c r="I95" s="1062">
        <v>2015</v>
      </c>
      <c r="J95" s="1062">
        <v>2014</v>
      </c>
      <c r="K95" s="1062">
        <v>2013</v>
      </c>
      <c r="L95" s="1062">
        <v>2012</v>
      </c>
      <c r="M95" s="1062">
        <v>2011</v>
      </c>
      <c r="N95" s="1062">
        <v>2010</v>
      </c>
      <c r="O95" s="1062">
        <v>2009</v>
      </c>
      <c r="P95" s="1062">
        <v>2008</v>
      </c>
      <c r="Q95" s="1062">
        <v>2007</v>
      </c>
      <c r="R95" s="1062">
        <v>2006</v>
      </c>
      <c r="T95" s="1065"/>
    </row>
    <row r="96" spans="1:20" x14ac:dyDescent="0.2">
      <c r="A96" s="1061">
        <v>1</v>
      </c>
      <c r="B96" s="1063" t="s">
        <v>568</v>
      </c>
      <c r="T96" s="1065"/>
    </row>
    <row r="97" spans="1:25" x14ac:dyDescent="0.2">
      <c r="A97" s="1061">
        <f>A96+1</f>
        <v>2</v>
      </c>
      <c r="B97" s="1056" t="s">
        <v>569</v>
      </c>
      <c r="C97" s="1064"/>
      <c r="G97" s="1859">
        <f>'J-2'!H32</f>
        <v>2.5000000000000001E-2</v>
      </c>
      <c r="H97" s="1859">
        <f>'J-1 Base Period Cost of Capital'!K16</f>
        <v>1.7999999999999999E-2</v>
      </c>
      <c r="I97" s="1537">
        <v>7.1999999999999998E-3</v>
      </c>
      <c r="J97" s="1537">
        <v>8.0999999999999996E-3</v>
      </c>
      <c r="K97" s="1537">
        <v>7.1000000000000004E-3</v>
      </c>
      <c r="L97" s="1537">
        <v>1.2800000000000001E-2</v>
      </c>
      <c r="M97" s="1537">
        <v>1.6199999999999999E-2</v>
      </c>
      <c r="N97" s="1537">
        <v>7.9000000000000008E-3</v>
      </c>
      <c r="O97" s="1537">
        <v>7.0000000000000001E-3</v>
      </c>
      <c r="P97" s="1537">
        <v>1.9300000000000001E-2</v>
      </c>
      <c r="Q97" s="1537">
        <v>5.3499999999999999E-2</v>
      </c>
      <c r="R97" s="1537">
        <v>5.7500000000000002E-2</v>
      </c>
      <c r="S97" s="1550"/>
      <c r="T97" s="2212"/>
      <c r="U97" s="2212"/>
      <c r="V97" s="2212"/>
      <c r="W97" s="2212"/>
      <c r="X97" s="2212"/>
      <c r="Y97" s="2212"/>
    </row>
    <row r="98" spans="1:25" x14ac:dyDescent="0.2">
      <c r="A98" s="1061">
        <f>A97+1</f>
        <v>3</v>
      </c>
      <c r="B98" s="1056" t="s">
        <v>570</v>
      </c>
      <c r="F98" s="1065"/>
      <c r="G98" s="1859">
        <f>'J-3'!L25</f>
        <v>5.6361941139320616E-2</v>
      </c>
      <c r="H98" s="1859">
        <f>'J-1 Base Period Cost of Capital'!K18</f>
        <v>5.8700000000000002E-2</v>
      </c>
      <c r="I98" s="1537">
        <v>5.8200000000000002E-2</v>
      </c>
      <c r="J98" s="1537">
        <v>5.8200000000000002E-2</v>
      </c>
      <c r="K98" s="1537">
        <v>5.8900000000000001E-2</v>
      </c>
      <c r="L98" s="1537">
        <v>5.6800000000000003E-2</v>
      </c>
      <c r="M98" s="1537">
        <v>5.6800000000000003E-2</v>
      </c>
      <c r="N98" s="1537">
        <v>5.6800000000000003E-2</v>
      </c>
      <c r="O98" s="1537">
        <v>5.6300000000000003E-2</v>
      </c>
      <c r="P98" s="1537">
        <v>5.6300000000000003E-2</v>
      </c>
      <c r="Q98" s="1537">
        <v>5.6599999999999998E-2</v>
      </c>
      <c r="R98" s="1537">
        <v>5.6599999999999998E-2</v>
      </c>
      <c r="S98" s="1548"/>
      <c r="T98" s="1068"/>
      <c r="U98" s="1146"/>
      <c r="V98" s="1146"/>
      <c r="W98" s="1146"/>
      <c r="X98" s="1146"/>
      <c r="Y98" s="1146"/>
    </row>
    <row r="99" spans="1:25" x14ac:dyDescent="0.2">
      <c r="A99" s="1061">
        <f>A98+1</f>
        <v>4</v>
      </c>
      <c r="B99" s="1056" t="s">
        <v>571</v>
      </c>
      <c r="F99" s="1065"/>
      <c r="G99" s="1075" t="s">
        <v>546</v>
      </c>
      <c r="H99" s="1075" t="s">
        <v>546</v>
      </c>
      <c r="I99" s="1075" t="s">
        <v>546</v>
      </c>
      <c r="J99" s="1075" t="s">
        <v>546</v>
      </c>
      <c r="K99" s="1075" t="s">
        <v>546</v>
      </c>
      <c r="L99" s="1075" t="s">
        <v>546</v>
      </c>
      <c r="M99" s="1075" t="s">
        <v>546</v>
      </c>
      <c r="N99" s="1075" t="s">
        <v>546</v>
      </c>
      <c r="O99" s="1075" t="s">
        <v>546</v>
      </c>
      <c r="P99" s="1075" t="s">
        <v>546</v>
      </c>
      <c r="Q99" s="1075" t="s">
        <v>546</v>
      </c>
      <c r="R99" s="1075" t="s">
        <v>546</v>
      </c>
      <c r="S99" s="1548"/>
      <c r="T99" s="1068"/>
      <c r="U99" s="1146"/>
      <c r="V99" s="1146"/>
      <c r="W99" s="1146"/>
      <c r="X99" s="1146"/>
      <c r="Y99" s="1146"/>
    </row>
    <row r="100" spans="1:25" x14ac:dyDescent="0.2">
      <c r="A100" s="1521"/>
      <c r="F100" s="1065"/>
      <c r="G100" s="1065"/>
      <c r="H100" s="1065"/>
      <c r="I100" s="1065"/>
      <c r="J100" s="1065"/>
      <c r="K100" s="1065"/>
      <c r="L100" s="1068"/>
      <c r="M100" s="1068"/>
      <c r="N100" s="1068"/>
      <c r="O100" s="1068"/>
      <c r="P100" s="1068"/>
      <c r="Q100" s="1068"/>
      <c r="R100" s="1068"/>
      <c r="S100" s="1548"/>
      <c r="T100" s="1068"/>
      <c r="U100" s="1146"/>
      <c r="V100" s="1146"/>
      <c r="W100" s="1146"/>
      <c r="X100" s="1146"/>
      <c r="Y100" s="1146"/>
    </row>
    <row r="101" spans="1:25" x14ac:dyDescent="0.2">
      <c r="A101" s="1061">
        <f>A99+1</f>
        <v>5</v>
      </c>
      <c r="B101" s="1063" t="s">
        <v>572</v>
      </c>
      <c r="F101" s="1065"/>
      <c r="G101" s="1068"/>
      <c r="H101" s="1068"/>
      <c r="I101" s="1068"/>
      <c r="J101" s="1065"/>
      <c r="K101" s="1065"/>
      <c r="L101" s="1065"/>
      <c r="M101" s="1065"/>
      <c r="N101" s="1065"/>
      <c r="O101" s="1065"/>
      <c r="P101" s="1065"/>
      <c r="Q101" s="1065"/>
      <c r="R101" s="1065"/>
      <c r="S101" s="1547"/>
      <c r="T101" s="1068"/>
      <c r="U101" s="1146"/>
      <c r="V101" s="1146"/>
      <c r="W101" s="1146"/>
      <c r="X101" s="1146"/>
      <c r="Y101" s="1146"/>
    </row>
    <row r="102" spans="1:25" x14ac:dyDescent="0.2">
      <c r="A102" s="1061">
        <f t="shared" ref="A102:A107" si="13">A101+1</f>
        <v>6</v>
      </c>
      <c r="B102" s="1056" t="s">
        <v>573</v>
      </c>
      <c r="C102" s="1064"/>
      <c r="D102" s="1064"/>
      <c r="F102" s="1065"/>
      <c r="G102" s="1809">
        <f t="shared" ref="G102:O102" si="14">(G62-G64+G71)/(G73-G70)</f>
        <v>1.3765690358924809</v>
      </c>
      <c r="H102" s="1809">
        <f t="shared" si="14"/>
        <v>4.2425227223482285</v>
      </c>
      <c r="I102" s="1809">
        <f t="shared" si="14"/>
        <v>4.4076580587711485</v>
      </c>
      <c r="J102" s="1809">
        <f t="shared" si="14"/>
        <v>4.6129453460175345</v>
      </c>
      <c r="K102" s="1809">
        <f t="shared" si="14"/>
        <v>4.1058776167471818</v>
      </c>
      <c r="L102" s="1809">
        <f t="shared" si="14"/>
        <v>3.8325630252100842</v>
      </c>
      <c r="M102" s="1809">
        <f t="shared" si="14"/>
        <v>4.6183745583038869</v>
      </c>
      <c r="N102" s="1809">
        <f t="shared" si="14"/>
        <v>5.0456165359942977</v>
      </c>
      <c r="O102" s="1809">
        <f t="shared" si="14"/>
        <v>4.1194241208402174</v>
      </c>
      <c r="P102" s="1809">
        <v>3.99</v>
      </c>
      <c r="Q102" s="1809">
        <v>6.387791212031849</v>
      </c>
      <c r="R102" s="1809">
        <v>5.9604625139873182</v>
      </c>
      <c r="S102" s="1547"/>
      <c r="T102" s="1146"/>
      <c r="U102" s="1146"/>
      <c r="V102" s="1146"/>
      <c r="W102" s="1146"/>
      <c r="X102" s="1146"/>
      <c r="Y102" s="1146"/>
    </row>
    <row r="103" spans="1:25" x14ac:dyDescent="0.2">
      <c r="A103" s="1061">
        <f t="shared" si="13"/>
        <v>7</v>
      </c>
      <c r="B103" s="1056" t="s">
        <v>574</v>
      </c>
      <c r="F103" s="1065"/>
      <c r="G103" s="1809">
        <f t="shared" ref="G103:O103" si="15">(G62-G64+G71)/G73</f>
        <v>1.3476340945890155</v>
      </c>
      <c r="H103" s="1809">
        <f t="shared" si="15"/>
        <v>4.14732541277926</v>
      </c>
      <c r="I103" s="1809">
        <f t="shared" si="15"/>
        <v>4.3259919594476486</v>
      </c>
      <c r="J103" s="1809">
        <f t="shared" si="15"/>
        <v>4.4857609287139493</v>
      </c>
      <c r="K103" s="1809">
        <f t="shared" si="15"/>
        <v>4.025656206828498</v>
      </c>
      <c r="L103" s="1809">
        <f t="shared" si="15"/>
        <v>3.7990420658059141</v>
      </c>
      <c r="M103" s="1809">
        <f t="shared" si="15"/>
        <v>4.6011596603851732</v>
      </c>
      <c r="N103" s="1809">
        <f t="shared" si="15"/>
        <v>5.0051850106057039</v>
      </c>
      <c r="O103" s="1809">
        <f t="shared" si="15"/>
        <v>4.0981451044846207</v>
      </c>
      <c r="P103" s="1809">
        <v>3.95</v>
      </c>
      <c r="Q103" s="1809">
        <v>6.3022985161478031</v>
      </c>
      <c r="R103" s="1809">
        <v>5.4353741496598635</v>
      </c>
      <c r="S103" s="1547"/>
      <c r="T103" s="1068"/>
      <c r="U103" s="1146"/>
      <c r="V103" s="2029"/>
      <c r="W103" s="1146"/>
      <c r="X103" s="1146"/>
      <c r="Y103" s="1146"/>
    </row>
    <row r="104" spans="1:25" x14ac:dyDescent="0.2">
      <c r="A104" s="1061">
        <f t="shared" si="13"/>
        <v>8</v>
      </c>
      <c r="B104" s="1056" t="s">
        <v>575</v>
      </c>
      <c r="F104" s="1065"/>
      <c r="G104" s="1809">
        <f t="shared" ref="G104:O104" si="16">(G69+G71)/(G73-G70)</f>
        <v>1.4580064531652432</v>
      </c>
      <c r="H104" s="1809">
        <f t="shared" si="16"/>
        <v>3.1131715303892165</v>
      </c>
      <c r="I104" s="1809">
        <f t="shared" si="16"/>
        <v>2.9807658058771147</v>
      </c>
      <c r="J104" s="1809">
        <f t="shared" si="16"/>
        <v>3.2520052229061744</v>
      </c>
      <c r="K104" s="1809">
        <f t="shared" si="16"/>
        <v>3.1006441223832528</v>
      </c>
      <c r="L104" s="1809">
        <f t="shared" si="16"/>
        <v>2.7888655462184873</v>
      </c>
      <c r="M104" s="1809">
        <f t="shared" si="16"/>
        <v>3.2560798170858449</v>
      </c>
      <c r="N104" s="1809">
        <f t="shared" si="16"/>
        <v>3.5397956759325258</v>
      </c>
      <c r="O104" s="1809">
        <f t="shared" si="16"/>
        <v>2.9383998111871605</v>
      </c>
      <c r="P104" s="1809">
        <v>2.77</v>
      </c>
      <c r="Q104" s="1809">
        <v>4.4110881745797696</v>
      </c>
      <c r="R104" s="1809">
        <v>4.1533010070869079</v>
      </c>
      <c r="S104" s="1547"/>
      <c r="T104" s="1068"/>
      <c r="U104" s="1146"/>
      <c r="V104" s="2029"/>
      <c r="W104" s="1146"/>
      <c r="X104" s="1146"/>
      <c r="Y104" s="1146"/>
    </row>
    <row r="105" spans="1:25" x14ac:dyDescent="0.2">
      <c r="A105" s="1061">
        <f t="shared" si="13"/>
        <v>9</v>
      </c>
      <c r="B105" s="1056" t="s">
        <v>576</v>
      </c>
      <c r="F105" s="1065"/>
      <c r="G105" s="1809">
        <f t="shared" ref="G105:O105" si="17">(G69+G71)/G73</f>
        <v>1.4273597292869464</v>
      </c>
      <c r="H105" s="1809">
        <f t="shared" si="17"/>
        <v>3.0433155571121362</v>
      </c>
      <c r="I105" s="1809">
        <f t="shared" si="17"/>
        <v>2.9255374934452019</v>
      </c>
      <c r="J105" s="1809">
        <f t="shared" si="17"/>
        <v>3.1623435516052965</v>
      </c>
      <c r="K105" s="1809">
        <f t="shared" si="17"/>
        <v>3.0400631537398857</v>
      </c>
      <c r="L105" s="1809">
        <f t="shared" si="17"/>
        <v>2.7644731361932529</v>
      </c>
      <c r="M105" s="1809">
        <f t="shared" si="17"/>
        <v>3.2439428453095878</v>
      </c>
      <c r="N105" s="1809">
        <f t="shared" si="17"/>
        <v>3.5114305915625739</v>
      </c>
      <c r="O105" s="1809">
        <f t="shared" si="17"/>
        <v>2.923221413477342</v>
      </c>
      <c r="P105" s="1809">
        <v>2.75</v>
      </c>
      <c r="Q105" s="1809">
        <v>4.3520512074483557</v>
      </c>
      <c r="R105" s="1809">
        <v>3.7874149659863945</v>
      </c>
      <c r="S105" s="1547"/>
      <c r="T105" s="1068"/>
      <c r="U105" s="1146"/>
      <c r="V105" s="1146"/>
      <c r="W105" s="1146"/>
      <c r="X105" s="1146"/>
      <c r="Y105" s="1146"/>
    </row>
    <row r="106" spans="1:25" x14ac:dyDescent="0.2">
      <c r="A106" s="1061">
        <f t="shared" si="13"/>
        <v>10</v>
      </c>
      <c r="B106" s="1056" t="s">
        <v>577</v>
      </c>
      <c r="F106" s="1065"/>
      <c r="G106" s="1810" t="s">
        <v>546</v>
      </c>
      <c r="H106" s="1810" t="s">
        <v>546</v>
      </c>
      <c r="I106" s="1810" t="s">
        <v>546</v>
      </c>
      <c r="J106" s="1810" t="s">
        <v>546</v>
      </c>
      <c r="K106" s="1810" t="s">
        <v>546</v>
      </c>
      <c r="L106" s="1810" t="s">
        <v>546</v>
      </c>
      <c r="M106" s="1810" t="s">
        <v>546</v>
      </c>
      <c r="N106" s="1810" t="s">
        <v>546</v>
      </c>
      <c r="O106" s="1810" t="s">
        <v>546</v>
      </c>
      <c r="P106" s="1810" t="s">
        <v>546</v>
      </c>
      <c r="Q106" s="1810" t="s">
        <v>546</v>
      </c>
      <c r="R106" s="1810" t="s">
        <v>546</v>
      </c>
      <c r="S106" s="1547"/>
      <c r="T106" s="1068"/>
      <c r="U106" s="1146"/>
      <c r="V106" s="1146"/>
      <c r="W106" s="1146"/>
      <c r="X106" s="1146"/>
      <c r="Y106" s="1146"/>
    </row>
    <row r="107" spans="1:25" x14ac:dyDescent="0.2">
      <c r="A107" s="1061">
        <f t="shared" si="13"/>
        <v>11</v>
      </c>
      <c r="B107" s="1056" t="s">
        <v>578</v>
      </c>
      <c r="G107" s="1809">
        <f t="shared" ref="G107:O107" si="18">G76/(G73-G70)</f>
        <v>0.45800645316524324</v>
      </c>
      <c r="H107" s="1809">
        <f t="shared" si="18"/>
        <v>2.1131715303892165</v>
      </c>
      <c r="I107" s="1809">
        <f t="shared" si="18"/>
        <v>1.9807658058771149</v>
      </c>
      <c r="J107" s="1809">
        <f t="shared" si="18"/>
        <v>2.2520052229061744</v>
      </c>
      <c r="K107" s="1809">
        <f t="shared" si="18"/>
        <v>2.1006441223832528</v>
      </c>
      <c r="L107" s="1809">
        <f t="shared" si="18"/>
        <v>1.7888655462184875</v>
      </c>
      <c r="M107" s="1809">
        <f t="shared" si="18"/>
        <v>2.2560798170858449</v>
      </c>
      <c r="N107" s="1809">
        <f t="shared" si="18"/>
        <v>2.5397956759325258</v>
      </c>
      <c r="O107" s="1809">
        <f t="shared" si="18"/>
        <v>1.9383998111871608</v>
      </c>
      <c r="P107" s="1809">
        <v>1.88</v>
      </c>
      <c r="Q107" s="1809">
        <v>3.4110881745797701</v>
      </c>
      <c r="R107" s="1809">
        <v>3.1533010070869079</v>
      </c>
      <c r="S107" s="1547"/>
      <c r="T107" s="1068"/>
      <c r="U107" s="1146"/>
      <c r="V107" s="1146"/>
      <c r="W107" s="1146"/>
      <c r="X107" s="1146"/>
      <c r="Y107" s="1146"/>
    </row>
    <row r="108" spans="1:25" x14ac:dyDescent="0.2">
      <c r="A108" s="1521"/>
      <c r="E108" s="1146"/>
      <c r="F108" s="1519"/>
      <c r="G108" s="1068"/>
      <c r="H108" s="1068"/>
      <c r="I108" s="1068"/>
      <c r="J108" s="1068"/>
      <c r="K108" s="1068"/>
      <c r="L108" s="1068"/>
      <c r="M108" s="1068"/>
      <c r="N108" s="1068"/>
      <c r="O108" s="1068"/>
      <c r="P108" s="1068"/>
      <c r="Q108" s="1068"/>
      <c r="R108" s="1065"/>
      <c r="S108" s="1547"/>
      <c r="T108" s="1068"/>
      <c r="U108" s="1146"/>
      <c r="V108" s="1146"/>
      <c r="W108" s="1146"/>
      <c r="X108" s="1146"/>
      <c r="Y108" s="1146"/>
    </row>
    <row r="109" spans="1:25" x14ac:dyDescent="0.2">
      <c r="A109" s="1061">
        <f>A107+1</f>
        <v>12</v>
      </c>
      <c r="B109" s="1063" t="s">
        <v>579</v>
      </c>
      <c r="E109" s="1146"/>
      <c r="F109" s="1146"/>
      <c r="G109" s="1068"/>
      <c r="H109" s="1068"/>
      <c r="I109" s="1068"/>
      <c r="J109" s="1068"/>
      <c r="K109" s="1068"/>
      <c r="L109" s="1068"/>
      <c r="M109" s="1068"/>
      <c r="N109" s="1068"/>
      <c r="O109" s="1068"/>
      <c r="P109" s="1068"/>
      <c r="Q109" s="1068"/>
      <c r="R109" s="1065"/>
      <c r="S109" s="1547"/>
      <c r="T109" s="1068"/>
      <c r="U109" s="1146"/>
      <c r="V109" s="1146"/>
      <c r="W109" s="1146"/>
      <c r="X109" s="1146"/>
      <c r="Y109" s="1146"/>
    </row>
    <row r="110" spans="1:25" x14ac:dyDescent="0.2">
      <c r="A110" s="1061">
        <f>A109+1</f>
        <v>13</v>
      </c>
      <c r="B110" s="1056" t="s">
        <v>580</v>
      </c>
      <c r="C110" s="1064"/>
      <c r="D110" s="1064"/>
      <c r="E110" s="1146"/>
      <c r="F110" s="1146"/>
      <c r="G110" s="1075" t="s">
        <v>546</v>
      </c>
      <c r="H110" s="1068"/>
      <c r="I110" s="1909" t="s">
        <v>2350</v>
      </c>
      <c r="J110" s="1068"/>
      <c r="K110" s="1068"/>
      <c r="L110" s="1068"/>
      <c r="M110" s="1068"/>
      <c r="N110" s="1068"/>
      <c r="O110" s="1068"/>
      <c r="P110" s="1068"/>
      <c r="Q110" s="1068"/>
      <c r="R110" s="1065"/>
      <c r="S110" s="1547"/>
      <c r="T110" s="2212"/>
      <c r="U110" s="2212"/>
      <c r="V110" s="2212"/>
      <c r="W110" s="1146"/>
      <c r="X110" s="1146"/>
      <c r="Y110" s="1146"/>
    </row>
    <row r="111" spans="1:25" x14ac:dyDescent="0.2">
      <c r="A111" s="1061">
        <f>A110+1</f>
        <v>14</v>
      </c>
      <c r="B111" s="1056" t="s">
        <v>581</v>
      </c>
      <c r="E111" s="1146"/>
      <c r="F111" s="1068"/>
      <c r="G111" s="1075" t="s">
        <v>546</v>
      </c>
      <c r="H111" s="1068"/>
      <c r="I111" s="1909" t="s">
        <v>582</v>
      </c>
      <c r="J111" s="1068"/>
      <c r="K111" s="1068"/>
      <c r="L111" s="1068"/>
      <c r="M111" s="1068"/>
      <c r="N111" s="1068"/>
      <c r="O111" s="1068"/>
      <c r="P111" s="1068"/>
      <c r="Q111" s="1068"/>
      <c r="R111" s="1065"/>
      <c r="S111" s="1547"/>
      <c r="T111" s="1065"/>
    </row>
    <row r="112" spans="1:25" x14ac:dyDescent="0.2">
      <c r="A112" s="1061">
        <f>A111+1</f>
        <v>15</v>
      </c>
      <c r="B112" s="1056" t="s">
        <v>583</v>
      </c>
      <c r="E112" s="1146"/>
      <c r="F112" s="1146"/>
      <c r="G112" s="1075" t="s">
        <v>546</v>
      </c>
      <c r="H112" s="1068"/>
      <c r="I112" s="1068"/>
      <c r="J112" s="1068"/>
      <c r="K112" s="1068"/>
      <c r="L112" s="1068"/>
      <c r="M112" s="1068"/>
      <c r="N112" s="1068"/>
      <c r="O112" s="1068"/>
      <c r="P112" s="1068"/>
      <c r="Q112" s="1068"/>
      <c r="R112" s="1065"/>
      <c r="S112" s="1547"/>
      <c r="T112" s="1065"/>
    </row>
    <row r="113" spans="1:25" x14ac:dyDescent="0.2">
      <c r="A113" s="1061">
        <f>A112+1</f>
        <v>16</v>
      </c>
      <c r="B113" s="1056" t="s">
        <v>584</v>
      </c>
      <c r="E113" s="1146"/>
      <c r="F113" s="1146"/>
      <c r="G113" s="1075" t="s">
        <v>546</v>
      </c>
      <c r="H113" s="1068"/>
      <c r="I113" s="1068"/>
      <c r="J113" s="1068"/>
      <c r="K113" s="1068"/>
      <c r="L113" s="1068"/>
      <c r="M113" s="1068"/>
      <c r="N113" s="1068"/>
      <c r="O113" s="1068"/>
      <c r="P113" s="1068"/>
      <c r="Q113" s="1068"/>
      <c r="R113" s="1065"/>
      <c r="S113" s="1547"/>
      <c r="T113" s="1065"/>
    </row>
    <row r="114" spans="1:25" x14ac:dyDescent="0.2">
      <c r="A114" s="1521"/>
      <c r="E114" s="1146"/>
      <c r="F114" s="1146"/>
      <c r="G114" s="1068"/>
      <c r="H114" s="1068"/>
      <c r="I114" s="1068"/>
      <c r="J114" s="1068"/>
      <c r="K114" s="1068"/>
      <c r="L114" s="1068"/>
      <c r="M114" s="1068"/>
      <c r="N114" s="1068"/>
      <c r="O114" s="1068"/>
      <c r="P114" s="1068"/>
      <c r="Q114" s="1068"/>
      <c r="R114" s="1065"/>
      <c r="S114" s="1547"/>
      <c r="T114" s="1065"/>
    </row>
    <row r="115" spans="1:25" x14ac:dyDescent="0.2">
      <c r="A115" s="1521">
        <f>A113+1</f>
        <v>17</v>
      </c>
      <c r="B115" s="1063" t="s">
        <v>585</v>
      </c>
      <c r="E115" s="1146"/>
      <c r="F115" s="1146"/>
      <c r="G115" s="1068"/>
      <c r="H115" s="1068"/>
      <c r="I115" s="1068"/>
      <c r="J115" s="1068"/>
      <c r="K115" s="1068"/>
      <c r="L115" s="1068"/>
      <c r="M115" s="1068"/>
      <c r="N115" s="1068"/>
      <c r="O115" s="1068"/>
      <c r="P115" s="1068"/>
      <c r="Q115" s="1068"/>
      <c r="R115" s="1068"/>
      <c r="S115" s="1547"/>
      <c r="T115" s="1065"/>
    </row>
    <row r="116" spans="1:25" x14ac:dyDescent="0.2">
      <c r="A116" s="1061">
        <f t="shared" ref="A116:A122" si="19">A115+1</f>
        <v>18</v>
      </c>
      <c r="B116" s="1056" t="s">
        <v>586</v>
      </c>
      <c r="C116" s="1064"/>
      <c r="D116" s="1064"/>
      <c r="E116" s="1520"/>
      <c r="F116" s="1146"/>
      <c r="G116" s="1066">
        <v>952248</v>
      </c>
      <c r="H116" s="1066">
        <v>952248</v>
      </c>
      <c r="I116" s="1066">
        <v>952248</v>
      </c>
      <c r="J116" s="1066">
        <v>952248</v>
      </c>
      <c r="K116" s="1066">
        <v>952248</v>
      </c>
      <c r="L116" s="1066">
        <v>952248</v>
      </c>
      <c r="M116" s="1066">
        <v>952248</v>
      </c>
      <c r="N116" s="1066">
        <v>952248</v>
      </c>
      <c r="O116" s="1066">
        <v>952248</v>
      </c>
      <c r="P116" s="1066">
        <v>952248</v>
      </c>
      <c r="Q116" s="1066">
        <v>952248</v>
      </c>
      <c r="R116" s="1066">
        <v>952248</v>
      </c>
      <c r="S116" s="1547"/>
      <c r="T116" s="1065"/>
    </row>
    <row r="117" spans="1:25" x14ac:dyDescent="0.2">
      <c r="A117" s="1061">
        <f t="shared" si="19"/>
        <v>19</v>
      </c>
      <c r="B117" s="1056" t="s">
        <v>587</v>
      </c>
      <c r="E117" s="1146"/>
      <c r="F117" s="1146"/>
      <c r="G117" s="1144"/>
      <c r="H117" s="1144"/>
      <c r="I117" s="1066"/>
      <c r="J117" s="1066"/>
      <c r="K117" s="1066"/>
      <c r="L117" s="1066"/>
      <c r="M117" s="1066"/>
      <c r="N117" s="1066"/>
      <c r="O117" s="1066"/>
      <c r="P117" s="1066"/>
      <c r="Q117" s="1066"/>
      <c r="R117" s="1066"/>
      <c r="S117" s="1547"/>
      <c r="T117" s="1065"/>
    </row>
    <row r="118" spans="1:25" x14ac:dyDescent="0.2">
      <c r="A118" s="1061">
        <f t="shared" si="19"/>
        <v>20</v>
      </c>
      <c r="B118" s="1056" t="s">
        <v>588</v>
      </c>
      <c r="E118" s="1146"/>
      <c r="F118" s="1146"/>
      <c r="G118" s="1066">
        <v>952248</v>
      </c>
      <c r="H118" s="1066">
        <v>952248</v>
      </c>
      <c r="I118" s="1066">
        <v>952248</v>
      </c>
      <c r="J118" s="1066">
        <v>952248</v>
      </c>
      <c r="K118" s="1066">
        <v>952248</v>
      </c>
      <c r="L118" s="1066">
        <v>952248</v>
      </c>
      <c r="M118" s="1066">
        <v>952248</v>
      </c>
      <c r="N118" s="1066">
        <v>952248</v>
      </c>
      <c r="O118" s="1066">
        <v>952248</v>
      </c>
      <c r="P118" s="1066">
        <v>952248</v>
      </c>
      <c r="Q118" s="1066">
        <v>952248</v>
      </c>
      <c r="R118" s="1066">
        <v>952248</v>
      </c>
      <c r="S118" s="1547"/>
      <c r="T118" s="1065"/>
    </row>
    <row r="119" spans="1:25" x14ac:dyDescent="0.2">
      <c r="A119" s="1061">
        <f t="shared" si="19"/>
        <v>21</v>
      </c>
      <c r="B119" s="1056" t="s">
        <v>589</v>
      </c>
      <c r="E119" s="1146"/>
      <c r="F119" s="1146"/>
      <c r="G119" s="1077">
        <f t="shared" ref="G119:R119" si="20">(G76*1000)/G116</f>
        <v>3.0017582333638746</v>
      </c>
      <c r="H119" s="1077">
        <f t="shared" si="20"/>
        <v>11.79472856232692</v>
      </c>
      <c r="I119" s="1077">
        <f t="shared" si="20"/>
        <v>11.679730490376457</v>
      </c>
      <c r="J119" s="1077">
        <f t="shared" si="20"/>
        <v>12.678419907419075</v>
      </c>
      <c r="K119" s="1077">
        <f t="shared" si="20"/>
        <v>10.959329922457176</v>
      </c>
      <c r="L119" s="1077">
        <f t="shared" si="20"/>
        <v>8.9419983029630945</v>
      </c>
      <c r="M119" s="1077">
        <f t="shared" si="20"/>
        <v>11.398291201451723</v>
      </c>
      <c r="N119" s="1077">
        <f t="shared" si="20"/>
        <v>11.226067158975393</v>
      </c>
      <c r="O119" s="1077">
        <f t="shared" si="20"/>
        <v>8.6248540296225347</v>
      </c>
      <c r="P119" s="1077">
        <f t="shared" si="20"/>
        <v>10.988734027270207</v>
      </c>
      <c r="Q119" s="1077">
        <f t="shared" si="20"/>
        <v>12.147045727583571</v>
      </c>
      <c r="R119" s="1077">
        <f t="shared" si="20"/>
        <v>8.8779393603347021</v>
      </c>
      <c r="S119" s="1547"/>
      <c r="T119" s="1065"/>
    </row>
    <row r="120" spans="1:25" x14ac:dyDescent="0.2">
      <c r="A120" s="1061">
        <f t="shared" si="19"/>
        <v>22</v>
      </c>
      <c r="B120" s="1056" t="s">
        <v>590</v>
      </c>
      <c r="E120" s="1146"/>
      <c r="F120" s="1146"/>
      <c r="G120" s="1538">
        <f>ROUND(0/G116,2)</f>
        <v>0</v>
      </c>
      <c r="H120" s="1538">
        <f>ROUND(4000000/H116,2)</f>
        <v>4.2</v>
      </c>
      <c r="I120" s="1538">
        <f>ROUND(8000000/I116,2)</f>
        <v>8.4</v>
      </c>
      <c r="J120" s="1538">
        <f>ROUND(2000000/J116,2)</f>
        <v>2.1</v>
      </c>
      <c r="K120" s="1539">
        <f>ROUND(2000000/K116,2)</f>
        <v>2.1</v>
      </c>
      <c r="L120" s="1538">
        <f>ROUND(7000000/L116,2)</f>
        <v>7.35</v>
      </c>
      <c r="M120" s="1538">
        <f>ROUND(10000000/M116,2)</f>
        <v>10.5</v>
      </c>
      <c r="N120" s="1539">
        <f>ROUND(10000000/N116,2)</f>
        <v>10.5</v>
      </c>
      <c r="O120" s="1539">
        <f>ROUND(15000000/O116,2)</f>
        <v>15.75</v>
      </c>
      <c r="P120" s="1538">
        <f>ROUND(17000000/P116,2)</f>
        <v>17.850000000000001</v>
      </c>
      <c r="Q120" s="1538">
        <v>0</v>
      </c>
      <c r="R120" s="1539">
        <v>0</v>
      </c>
      <c r="S120" s="1547"/>
      <c r="T120" s="2212"/>
      <c r="U120" s="2212"/>
      <c r="V120" s="2212"/>
      <c r="W120" s="2212"/>
      <c r="X120" s="2212"/>
      <c r="Y120" s="2212"/>
    </row>
    <row r="121" spans="1:25" x14ac:dyDescent="0.2">
      <c r="A121" s="1061">
        <f t="shared" si="19"/>
        <v>23</v>
      </c>
      <c r="B121" s="1056" t="s">
        <v>591</v>
      </c>
      <c r="E121" s="1146"/>
      <c r="F121" s="1146"/>
      <c r="G121" s="1155">
        <f>G120</f>
        <v>0</v>
      </c>
      <c r="H121" s="1155">
        <f>H120</f>
        <v>4.2</v>
      </c>
      <c r="I121" s="1155">
        <f>I120</f>
        <v>8.4</v>
      </c>
      <c r="J121" s="1155">
        <f t="shared" ref="J121:R121" si="21">J120</f>
        <v>2.1</v>
      </c>
      <c r="K121" s="1155">
        <f t="shared" si="21"/>
        <v>2.1</v>
      </c>
      <c r="L121" s="1155">
        <f t="shared" si="21"/>
        <v>7.35</v>
      </c>
      <c r="M121" s="1155">
        <f t="shared" si="21"/>
        <v>10.5</v>
      </c>
      <c r="N121" s="1155">
        <f t="shared" si="21"/>
        <v>10.5</v>
      </c>
      <c r="O121" s="1155">
        <f t="shared" si="21"/>
        <v>15.75</v>
      </c>
      <c r="P121" s="1155">
        <f t="shared" si="21"/>
        <v>17.850000000000001</v>
      </c>
      <c r="Q121" s="1155">
        <f t="shared" si="21"/>
        <v>0</v>
      </c>
      <c r="R121" s="1155">
        <f t="shared" si="21"/>
        <v>0</v>
      </c>
      <c r="S121" s="1547"/>
      <c r="T121" s="1068"/>
      <c r="U121" s="1146"/>
      <c r="V121" s="1146"/>
      <c r="W121" s="1146"/>
      <c r="X121" s="1146"/>
      <c r="Y121" s="1146"/>
    </row>
    <row r="122" spans="1:25" x14ac:dyDescent="0.2">
      <c r="A122" s="1061">
        <f t="shared" si="19"/>
        <v>24</v>
      </c>
      <c r="B122" s="1056" t="s">
        <v>1961</v>
      </c>
      <c r="E122" s="1146"/>
      <c r="F122" s="1146"/>
      <c r="G122" s="1066"/>
      <c r="H122" s="1066"/>
      <c r="I122" s="1066"/>
      <c r="J122" s="1075"/>
      <c r="K122" s="1066"/>
      <c r="L122" s="1066"/>
      <c r="M122" s="1066"/>
      <c r="N122" s="1075"/>
      <c r="O122" s="1066"/>
      <c r="P122" s="1066"/>
      <c r="Q122" s="1066"/>
      <c r="R122" s="1075"/>
      <c r="S122" s="1547"/>
      <c r="T122" s="1068"/>
      <c r="U122" s="1146"/>
      <c r="V122" s="1146"/>
      <c r="W122" s="1146"/>
      <c r="X122" s="1146"/>
      <c r="Y122" s="1146"/>
    </row>
    <row r="123" spans="1:25" x14ac:dyDescent="0.2">
      <c r="A123" s="1521"/>
      <c r="B123" s="1056" t="s">
        <v>592</v>
      </c>
      <c r="E123" s="1146"/>
      <c r="F123" s="1146"/>
      <c r="G123" s="2042">
        <f>ROUND(0/7442000,2)</f>
        <v>0</v>
      </c>
      <c r="H123" s="2042">
        <f>ROUND(5000000/8480000,2)</f>
        <v>0.59</v>
      </c>
      <c r="I123" s="2042">
        <f>ROUND(8000000/11121651,2)</f>
        <v>0.72</v>
      </c>
      <c r="J123" s="2042">
        <f>ROUND(2000000/12071974,2)</f>
        <v>0.17</v>
      </c>
      <c r="K123" s="2043">
        <f>ROUND(2000000/10436591,2)</f>
        <v>0.19</v>
      </c>
      <c r="L123" s="2042">
        <f>ROUND(7000000/8515721,2)</f>
        <v>0.82</v>
      </c>
      <c r="M123" s="2042">
        <f>ROUND(10000000/10854259,2)</f>
        <v>0.92</v>
      </c>
      <c r="N123" s="2043">
        <f>ROUND(10000000/10690159,2)</f>
        <v>0.94</v>
      </c>
      <c r="O123" s="2043">
        <f>ROUND(15000000/8212250,2)</f>
        <v>1.83</v>
      </c>
      <c r="P123" s="2042">
        <f>ROUND(17000000/10463850,2)</f>
        <v>1.62</v>
      </c>
      <c r="Q123" s="2042">
        <v>0</v>
      </c>
      <c r="R123" s="2043">
        <v>0</v>
      </c>
      <c r="S123" s="1547"/>
      <c r="T123" s="1068"/>
      <c r="U123" s="1146"/>
      <c r="V123" s="1146"/>
      <c r="W123" s="1146"/>
      <c r="X123" s="1146"/>
      <c r="Y123" s="1146"/>
    </row>
    <row r="124" spans="1:25" x14ac:dyDescent="0.2">
      <c r="A124" s="1061">
        <f>A122+1</f>
        <v>25</v>
      </c>
      <c r="B124" s="1056" t="s">
        <v>593</v>
      </c>
      <c r="E124" s="1146"/>
      <c r="F124" s="1146"/>
      <c r="G124" s="1066"/>
      <c r="H124" s="1066"/>
      <c r="I124" s="1066"/>
      <c r="J124" s="1066"/>
      <c r="K124" s="1066"/>
      <c r="L124" s="1066"/>
      <c r="M124" s="1066"/>
      <c r="N124" s="1066"/>
      <c r="O124" s="1066"/>
      <c r="P124" s="1066"/>
      <c r="Q124" s="1066"/>
      <c r="R124" s="1076"/>
      <c r="S124" s="1547"/>
      <c r="T124" s="1068"/>
      <c r="U124" s="1146"/>
      <c r="V124" s="1146"/>
      <c r="W124" s="1146"/>
      <c r="X124" s="1146"/>
      <c r="Y124" s="1146"/>
    </row>
    <row r="125" spans="1:25" x14ac:dyDescent="0.2">
      <c r="A125" s="1061">
        <f>A124+1</f>
        <v>26</v>
      </c>
      <c r="B125" s="1056" t="s">
        <v>594</v>
      </c>
      <c r="E125" s="1146"/>
      <c r="F125" s="1146"/>
      <c r="G125" s="1075" t="s">
        <v>546</v>
      </c>
      <c r="H125" s="1066"/>
      <c r="I125" s="1909" t="s">
        <v>2350</v>
      </c>
      <c r="J125" s="1910"/>
      <c r="K125" s="1910"/>
      <c r="L125" s="1910"/>
      <c r="M125" s="1910"/>
      <c r="N125" s="1910"/>
      <c r="O125" s="1910"/>
      <c r="P125" s="1910"/>
      <c r="Q125" s="1066"/>
      <c r="R125" s="1066"/>
      <c r="S125" s="1547"/>
      <c r="T125" s="2212"/>
      <c r="U125" s="2212"/>
      <c r="V125" s="2212"/>
      <c r="W125" s="1146"/>
      <c r="X125" s="1146"/>
      <c r="Y125" s="1146"/>
    </row>
    <row r="126" spans="1:25" x14ac:dyDescent="0.2">
      <c r="A126" s="1061">
        <f t="shared" ref="A126:A133" si="22">A125+1</f>
        <v>27</v>
      </c>
      <c r="B126" s="1056" t="s">
        <v>595</v>
      </c>
      <c r="E126" s="1146"/>
      <c r="F126" s="1146"/>
      <c r="G126" s="1075" t="s">
        <v>546</v>
      </c>
      <c r="H126" s="1066"/>
      <c r="I126" s="1911" t="s">
        <v>582</v>
      </c>
      <c r="J126" s="1910"/>
      <c r="K126" s="1910"/>
      <c r="L126" s="1910"/>
      <c r="M126" s="1910"/>
      <c r="N126" s="1910"/>
      <c r="O126" s="1910"/>
      <c r="P126" s="1910"/>
      <c r="Q126" s="1066"/>
      <c r="R126" s="1066"/>
      <c r="S126" s="1547"/>
      <c r="T126" s="1065"/>
    </row>
    <row r="127" spans="1:25" x14ac:dyDescent="0.2">
      <c r="A127" s="1061">
        <f t="shared" si="22"/>
        <v>28</v>
      </c>
      <c r="B127" s="1056" t="s">
        <v>596</v>
      </c>
      <c r="E127" s="1146"/>
      <c r="F127" s="1146"/>
      <c r="G127" s="1075" t="s">
        <v>546</v>
      </c>
      <c r="H127" s="1066"/>
      <c r="I127" s="1066"/>
      <c r="J127" s="1066"/>
      <c r="K127" s="1066"/>
      <c r="L127" s="1066"/>
      <c r="M127" s="1066"/>
      <c r="N127" s="1066"/>
      <c r="O127" s="1066"/>
      <c r="P127" s="1066"/>
      <c r="Q127" s="1066"/>
      <c r="R127" s="1066"/>
      <c r="S127" s="1547"/>
      <c r="T127" s="1065"/>
    </row>
    <row r="128" spans="1:25" x14ac:dyDescent="0.2">
      <c r="A128" s="1061">
        <f t="shared" si="22"/>
        <v>29</v>
      </c>
      <c r="B128" s="1056" t="s">
        <v>597</v>
      </c>
      <c r="E128" s="1146"/>
      <c r="F128" s="1146"/>
      <c r="G128" s="1075" t="s">
        <v>546</v>
      </c>
      <c r="H128" s="1066"/>
      <c r="I128" s="1066"/>
      <c r="J128" s="1066"/>
      <c r="K128" s="1066"/>
      <c r="L128" s="1066"/>
      <c r="M128" s="1066"/>
      <c r="N128" s="1066"/>
      <c r="O128" s="1066"/>
      <c r="P128" s="1066"/>
      <c r="Q128" s="1066"/>
      <c r="R128" s="1066"/>
      <c r="S128" s="1547"/>
      <c r="T128" s="1065"/>
    </row>
    <row r="129" spans="1:20" x14ac:dyDescent="0.2">
      <c r="A129" s="1061">
        <f t="shared" si="22"/>
        <v>30</v>
      </c>
      <c r="B129" s="1056" t="s">
        <v>598</v>
      </c>
      <c r="E129" s="1146"/>
      <c r="F129" s="1146"/>
      <c r="G129" s="1075" t="s">
        <v>546</v>
      </c>
      <c r="H129" s="1066"/>
      <c r="I129" s="1066"/>
      <c r="J129" s="1066"/>
      <c r="K129" s="1066"/>
      <c r="L129" s="1066"/>
      <c r="M129" s="1066"/>
      <c r="N129" s="1066"/>
      <c r="O129" s="1066"/>
      <c r="P129" s="1066"/>
      <c r="Q129" s="1066"/>
      <c r="R129" s="1066"/>
      <c r="S129" s="1547"/>
      <c r="T129" s="1065"/>
    </row>
    <row r="130" spans="1:20" x14ac:dyDescent="0.2">
      <c r="A130" s="1061">
        <f t="shared" si="22"/>
        <v>31</v>
      </c>
      <c r="B130" s="1056" t="s">
        <v>599</v>
      </c>
      <c r="E130" s="1146"/>
      <c r="F130" s="1146"/>
      <c r="G130" s="1075" t="s">
        <v>546</v>
      </c>
      <c r="H130" s="1066"/>
      <c r="I130" s="1066"/>
      <c r="J130" s="1066"/>
      <c r="K130" s="1066"/>
      <c r="L130" s="1066"/>
      <c r="M130" s="1066"/>
      <c r="N130" s="1066"/>
      <c r="O130" s="1066"/>
      <c r="P130" s="1066"/>
      <c r="Q130" s="1066"/>
      <c r="R130" s="1066"/>
      <c r="S130" s="1547"/>
      <c r="T130" s="1065"/>
    </row>
    <row r="131" spans="1:20" x14ac:dyDescent="0.2">
      <c r="A131" s="1061">
        <f t="shared" si="22"/>
        <v>32</v>
      </c>
      <c r="B131" s="1056" t="s">
        <v>600</v>
      </c>
      <c r="E131" s="1146"/>
      <c r="F131" s="1146"/>
      <c r="G131" s="1075" t="s">
        <v>546</v>
      </c>
      <c r="H131" s="1066"/>
      <c r="I131" s="1066"/>
      <c r="J131" s="1066"/>
      <c r="K131" s="1066"/>
      <c r="L131" s="1066"/>
      <c r="M131" s="1066"/>
      <c r="N131" s="1066"/>
      <c r="O131" s="1066"/>
      <c r="P131" s="1066"/>
      <c r="Q131" s="1066"/>
      <c r="R131" s="1066"/>
      <c r="S131" s="1547"/>
      <c r="T131" s="1065"/>
    </row>
    <row r="132" spans="1:20" x14ac:dyDescent="0.2">
      <c r="A132" s="1061">
        <f t="shared" si="22"/>
        <v>33</v>
      </c>
      <c r="B132" s="1056" t="s">
        <v>601</v>
      </c>
      <c r="E132" s="1146"/>
      <c r="F132" s="1146"/>
      <c r="G132" s="1075" t="s">
        <v>546</v>
      </c>
      <c r="H132" s="1066"/>
      <c r="I132" s="1066"/>
      <c r="J132" s="1066"/>
      <c r="K132" s="1066"/>
      <c r="L132" s="1066"/>
      <c r="M132" s="1066"/>
      <c r="N132" s="1066"/>
      <c r="O132" s="1066"/>
      <c r="P132" s="1066"/>
      <c r="Q132" s="1066"/>
      <c r="R132" s="1066"/>
      <c r="S132" s="1547"/>
      <c r="T132" s="1065"/>
    </row>
    <row r="133" spans="1:20" x14ac:dyDescent="0.2">
      <c r="A133" s="1061">
        <f t="shared" si="22"/>
        <v>34</v>
      </c>
      <c r="B133" s="1056" t="s">
        <v>602</v>
      </c>
      <c r="G133" s="1078">
        <f t="shared" ref="G133:R133" si="23">(G57*1000)/G116</f>
        <v>136.28592551520191</v>
      </c>
      <c r="H133" s="1078">
        <f t="shared" si="23"/>
        <v>123.5119422671405</v>
      </c>
      <c r="I133" s="1078">
        <f t="shared" si="23"/>
        <v>120.16092446505532</v>
      </c>
      <c r="J133" s="1078">
        <f t="shared" si="23"/>
        <v>116.04224949802993</v>
      </c>
      <c r="K133" s="1078">
        <f t="shared" si="23"/>
        <v>105.42001663432215</v>
      </c>
      <c r="L133" s="1078">
        <f t="shared" si="23"/>
        <v>96.463316278952547</v>
      </c>
      <c r="M133" s="1078">
        <f t="shared" si="23"/>
        <v>94.87234417924742</v>
      </c>
      <c r="N133" s="1078">
        <f t="shared" si="23"/>
        <v>93.879955641807598</v>
      </c>
      <c r="O133" s="1078">
        <f t="shared" si="23"/>
        <v>93.083944518654803</v>
      </c>
      <c r="P133" s="1078">
        <f t="shared" si="23"/>
        <v>100.20393846981038</v>
      </c>
      <c r="Q133" s="1078">
        <f t="shared" si="23"/>
        <v>106.97948433601331</v>
      </c>
      <c r="R133" s="1078">
        <f t="shared" si="23"/>
        <v>92.194470348060591</v>
      </c>
      <c r="S133" s="1547"/>
      <c r="T133" s="1065"/>
    </row>
    <row r="134" spans="1:20" x14ac:dyDescent="0.2">
      <c r="G134" s="1065"/>
      <c r="H134" s="1065"/>
      <c r="I134" s="1065"/>
      <c r="J134" s="1065"/>
      <c r="K134" s="1065"/>
      <c r="L134" s="1065"/>
      <c r="M134" s="1065"/>
      <c r="N134" s="1065"/>
      <c r="O134" s="1065"/>
      <c r="P134" s="1065"/>
      <c r="Q134" s="1065"/>
      <c r="R134" s="1065"/>
      <c r="S134" s="1547"/>
      <c r="T134" s="1065"/>
    </row>
    <row r="135" spans="1:20" x14ac:dyDescent="0.2">
      <c r="G135" s="1065"/>
    </row>
    <row r="136" spans="1:20" x14ac:dyDescent="0.2">
      <c r="A136" s="2211" t="s">
        <v>624</v>
      </c>
      <c r="B136" s="2211"/>
      <c r="C136" s="2211"/>
      <c r="D136" s="2211"/>
      <c r="E136" s="2211"/>
      <c r="F136" s="2211"/>
      <c r="G136" s="2211"/>
      <c r="H136" s="2211"/>
      <c r="I136" s="2211"/>
      <c r="J136" s="2211"/>
      <c r="K136" s="2211"/>
      <c r="L136" s="2211"/>
      <c r="M136" s="2211"/>
      <c r="N136" s="2211"/>
      <c r="O136" s="2211"/>
      <c r="P136" s="2211"/>
      <c r="Q136" s="2211"/>
      <c r="R136" s="2211"/>
      <c r="T136" s="1065"/>
    </row>
    <row r="137" spans="1:20" x14ac:dyDescent="0.2">
      <c r="A137" s="2211" t="str">
        <f>A85</f>
        <v>CASE NO. 2016 - 00162</v>
      </c>
      <c r="B137" s="2211"/>
      <c r="C137" s="2211"/>
      <c r="D137" s="2211"/>
      <c r="E137" s="2211"/>
      <c r="F137" s="2211"/>
      <c r="G137" s="2211"/>
      <c r="H137" s="2211"/>
      <c r="I137" s="2211"/>
      <c r="J137" s="2211"/>
      <c r="K137" s="2211"/>
      <c r="L137" s="2211"/>
      <c r="M137" s="2211"/>
      <c r="N137" s="2211"/>
      <c r="O137" s="2211"/>
      <c r="P137" s="2211"/>
      <c r="Q137" s="2211"/>
      <c r="R137" s="2211"/>
      <c r="T137" s="1065"/>
    </row>
    <row r="138" spans="1:20" x14ac:dyDescent="0.2">
      <c r="A138" s="2211" t="str">
        <f>A86</f>
        <v>COMPARATIVE FINANCIAL DATA</v>
      </c>
      <c r="B138" s="2211"/>
      <c r="C138" s="2211"/>
      <c r="D138" s="2211"/>
      <c r="E138" s="2211"/>
      <c r="F138" s="2211"/>
      <c r="G138" s="2211"/>
      <c r="H138" s="2211"/>
      <c r="I138" s="2211"/>
      <c r="J138" s="2211"/>
      <c r="K138" s="2211"/>
      <c r="L138" s="2211"/>
      <c r="M138" s="2211"/>
      <c r="N138" s="2211"/>
      <c r="O138" s="2211"/>
      <c r="P138" s="2211"/>
      <c r="Q138" s="2211"/>
      <c r="R138" s="2211"/>
      <c r="T138" s="1065"/>
    </row>
    <row r="139" spans="1:20" x14ac:dyDescent="0.2">
      <c r="A139" s="2211" t="str">
        <f>A87</f>
        <v>BASE PERIOD: TWELVE MONTHS ENDED AUGUST 31, 2016</v>
      </c>
      <c r="B139" s="2211"/>
      <c r="C139" s="2211"/>
      <c r="D139" s="2211"/>
      <c r="E139" s="2211"/>
      <c r="F139" s="2211"/>
      <c r="G139" s="2211"/>
      <c r="H139" s="2211"/>
      <c r="I139" s="2211"/>
      <c r="J139" s="2211"/>
      <c r="K139" s="2211"/>
      <c r="L139" s="2211"/>
      <c r="M139" s="2211"/>
      <c r="N139" s="2211"/>
      <c r="O139" s="2211"/>
      <c r="P139" s="2211"/>
      <c r="Q139" s="2211"/>
      <c r="R139" s="2211"/>
      <c r="T139" s="1065"/>
    </row>
    <row r="140" spans="1:20" x14ac:dyDescent="0.2">
      <c r="A140" s="2211" t="str">
        <f>A88</f>
        <v>FORECASTED PERIOD: TWELVE MONTHS ENDED DECEMBER 31, 2017</v>
      </c>
      <c r="B140" s="2211"/>
      <c r="C140" s="2211"/>
      <c r="D140" s="2211"/>
      <c r="E140" s="2211"/>
      <c r="F140" s="2211"/>
      <c r="G140" s="2211"/>
      <c r="H140" s="2211"/>
      <c r="I140" s="2211"/>
      <c r="J140" s="2211"/>
      <c r="K140" s="2211"/>
      <c r="L140" s="2211"/>
      <c r="M140" s="2211"/>
      <c r="N140" s="2211"/>
      <c r="O140" s="2211"/>
      <c r="P140" s="2211"/>
      <c r="Q140" s="2211"/>
      <c r="R140" s="2211"/>
      <c r="T140" s="1065"/>
    </row>
    <row r="141" spans="1:20" x14ac:dyDescent="0.2">
      <c r="T141" s="1065"/>
    </row>
    <row r="142" spans="1:20" x14ac:dyDescent="0.2">
      <c r="A142" s="1056" t="s">
        <v>1317</v>
      </c>
      <c r="P142" s="1056"/>
      <c r="R142" s="1057" t="s">
        <v>502</v>
      </c>
      <c r="T142" s="1065"/>
    </row>
    <row r="143" spans="1:20" x14ac:dyDescent="0.2">
      <c r="A143" s="1056" t="s">
        <v>977</v>
      </c>
      <c r="P143" s="1056"/>
      <c r="R143" s="1057" t="s">
        <v>603</v>
      </c>
      <c r="T143" s="1065"/>
    </row>
    <row r="144" spans="1:20" x14ac:dyDescent="0.2">
      <c r="A144" s="1058" t="s">
        <v>996</v>
      </c>
      <c r="B144" s="1059"/>
      <c r="C144" s="1059"/>
      <c r="D144" s="1059"/>
      <c r="E144" s="1059"/>
      <c r="F144" s="1059"/>
      <c r="G144" s="1059"/>
      <c r="H144" s="1059"/>
      <c r="I144" s="1059"/>
      <c r="J144" s="1059"/>
      <c r="K144" s="1059"/>
      <c r="L144" s="1059"/>
      <c r="M144" s="1059"/>
      <c r="N144" s="1059"/>
      <c r="O144" s="1059"/>
      <c r="P144" s="1058"/>
      <c r="Q144" s="1059"/>
      <c r="R144" s="1060" t="str">
        <f>R10</f>
        <v>WITNESS:  J. T. CROOM</v>
      </c>
      <c r="T144" s="1065"/>
    </row>
    <row r="145" spans="1:25" x14ac:dyDescent="0.2">
      <c r="T145" s="1065"/>
    </row>
    <row r="146" spans="1:25" x14ac:dyDescent="0.2">
      <c r="A146" s="1056" t="s">
        <v>632</v>
      </c>
      <c r="G146" s="1061" t="s">
        <v>1112</v>
      </c>
      <c r="H146" s="1061" t="s">
        <v>634</v>
      </c>
      <c r="I146" s="1059"/>
      <c r="J146" s="1059"/>
      <c r="K146" s="1059"/>
      <c r="L146" s="1059"/>
      <c r="M146" s="1062" t="s">
        <v>507</v>
      </c>
      <c r="N146" s="1059"/>
      <c r="O146" s="1059"/>
      <c r="P146" s="1059"/>
      <c r="Q146" s="1059"/>
      <c r="R146" s="1059"/>
      <c r="T146" s="1065"/>
    </row>
    <row r="147" spans="1:25" x14ac:dyDescent="0.2">
      <c r="A147" s="1058" t="s">
        <v>635</v>
      </c>
      <c r="B147" s="1059"/>
      <c r="C147" s="1062" t="s">
        <v>778</v>
      </c>
      <c r="D147" s="1059"/>
      <c r="E147" s="1059"/>
      <c r="F147" s="1059"/>
      <c r="G147" s="1062" t="s">
        <v>638</v>
      </c>
      <c r="H147" s="1062" t="s">
        <v>638</v>
      </c>
      <c r="I147" s="1062">
        <v>2015</v>
      </c>
      <c r="J147" s="1062">
        <v>2014</v>
      </c>
      <c r="K147" s="1062">
        <v>2013</v>
      </c>
      <c r="L147" s="1062">
        <v>2012</v>
      </c>
      <c r="M147" s="1062">
        <v>2011</v>
      </c>
      <c r="N147" s="1062">
        <v>2010</v>
      </c>
      <c r="O147" s="1062">
        <v>2009</v>
      </c>
      <c r="P147" s="1062">
        <v>2008</v>
      </c>
      <c r="Q147" s="1062">
        <v>2007</v>
      </c>
      <c r="R147" s="1062">
        <v>2006</v>
      </c>
      <c r="T147" s="1065"/>
    </row>
    <row r="148" spans="1:25" x14ac:dyDescent="0.2">
      <c r="G148" s="1065"/>
      <c r="H148" s="1065"/>
      <c r="I148" s="1065"/>
      <c r="J148" s="1065"/>
      <c r="K148" s="1065"/>
      <c r="L148" s="1065"/>
      <c r="M148" s="1065"/>
      <c r="N148" s="1065"/>
      <c r="O148" s="1065"/>
      <c r="P148" s="1065"/>
      <c r="Q148" s="1065"/>
      <c r="R148" s="1065"/>
      <c r="S148" s="1547"/>
      <c r="T148" s="1065"/>
    </row>
    <row r="149" spans="1:25" x14ac:dyDescent="0.2">
      <c r="A149" s="1056" t="s">
        <v>1325</v>
      </c>
      <c r="B149" s="1063" t="s">
        <v>604</v>
      </c>
      <c r="C149" s="1064"/>
      <c r="D149" s="1064"/>
      <c r="E149" s="1064"/>
      <c r="G149" s="1065"/>
      <c r="H149" s="1065"/>
      <c r="I149" s="1065"/>
      <c r="J149" s="1065"/>
      <c r="K149" s="1065"/>
      <c r="L149" s="1065"/>
      <c r="M149" s="1065"/>
      <c r="N149" s="1065"/>
      <c r="O149" s="1065"/>
      <c r="P149" s="1065"/>
      <c r="Q149" s="1065"/>
      <c r="R149" s="1065"/>
      <c r="S149" s="1547"/>
      <c r="T149" s="1065"/>
    </row>
    <row r="150" spans="1:25" x14ac:dyDescent="0.2">
      <c r="A150" s="1056" t="s">
        <v>509</v>
      </c>
      <c r="B150" s="1056" t="s">
        <v>605</v>
      </c>
      <c r="G150" s="1811">
        <f t="shared" ref="G150:R150" si="24">G74/((G57+H57)/2)</f>
        <v>2.3108413159716425E-2</v>
      </c>
      <c r="H150" s="1811">
        <f t="shared" si="24"/>
        <v>9.6807894292881599E-2</v>
      </c>
      <c r="I150" s="1811">
        <f t="shared" si="24"/>
        <v>9.8895626967331188E-2</v>
      </c>
      <c r="J150" s="1811">
        <f t="shared" si="24"/>
        <v>0.11449733743663668</v>
      </c>
      <c r="K150" s="1811">
        <f t="shared" si="24"/>
        <v>0.10857092325858418</v>
      </c>
      <c r="L150" s="1811">
        <f t="shared" si="24"/>
        <v>9.3469228700486837E-2</v>
      </c>
      <c r="M150" s="1811">
        <f t="shared" si="24"/>
        <v>0.12077512392969807</v>
      </c>
      <c r="N150" s="1811">
        <f t="shared" si="24"/>
        <v>0.12008807207531061</v>
      </c>
      <c r="O150" s="1811">
        <f t="shared" si="24"/>
        <v>8.9243607993132593E-2</v>
      </c>
      <c r="P150" s="1811">
        <f t="shared" si="24"/>
        <v>0.10607734806629834</v>
      </c>
      <c r="Q150" s="1811">
        <f t="shared" si="24"/>
        <v>0.12197423851779209</v>
      </c>
      <c r="R150" s="1811">
        <f t="shared" si="24"/>
        <v>9.9855307839952751E-2</v>
      </c>
      <c r="S150" s="1547"/>
      <c r="T150" s="2212"/>
      <c r="U150" s="2212"/>
      <c r="V150" s="2212"/>
      <c r="W150" s="2212"/>
      <c r="X150" s="2212"/>
      <c r="Y150" s="2212"/>
    </row>
    <row r="151" spans="1:25" x14ac:dyDescent="0.2">
      <c r="A151" s="1056" t="s">
        <v>511</v>
      </c>
      <c r="B151" s="1056" t="s">
        <v>606</v>
      </c>
      <c r="G151" s="1811">
        <f>G74/((G54+G55+G57+H54+H55+H57)/2)</f>
        <v>1.2466685686284437E-2</v>
      </c>
      <c r="H151" s="1811">
        <f>H74/((H54+H55+H57+I54+I55+I57)/2)</f>
        <v>5.3011812468228732E-2</v>
      </c>
      <c r="I151" s="1811">
        <f t="shared" ref="I151:R151" si="25">I69/((I54+I55+I57+J54+J55+J57)/2)</f>
        <v>6.2980023434868623E-2</v>
      </c>
      <c r="J151" s="1811">
        <f t="shared" si="25"/>
        <v>8.1161177174909394E-2</v>
      </c>
      <c r="K151" s="1811">
        <f t="shared" si="25"/>
        <v>7.1070877750365177E-2</v>
      </c>
      <c r="L151" s="1811">
        <f t="shared" si="25"/>
        <v>6.197933059781871E-2</v>
      </c>
      <c r="M151" s="1811">
        <f t="shared" si="25"/>
        <v>7.3421763622985678E-2</v>
      </c>
      <c r="N151" s="1811">
        <f t="shared" si="25"/>
        <v>6.5465186996080033E-2</v>
      </c>
      <c r="O151" s="1811">
        <f t="shared" si="25"/>
        <v>5.1645445897948318E-2</v>
      </c>
      <c r="P151" s="1811">
        <f t="shared" si="25"/>
        <v>6.2612427441479421E-2</v>
      </c>
      <c r="Q151" s="1811">
        <f t="shared" si="25"/>
        <v>6.9195121871453658E-2</v>
      </c>
      <c r="R151" s="1811">
        <f t="shared" si="25"/>
        <v>5.1061182818236524E-2</v>
      </c>
      <c r="S151" s="1547"/>
      <c r="T151" s="1065"/>
    </row>
    <row r="152" spans="1:25" x14ac:dyDescent="0.2">
      <c r="A152" s="1056" t="s">
        <v>513</v>
      </c>
      <c r="B152" s="1056" t="s">
        <v>607</v>
      </c>
      <c r="G152" s="1811">
        <f t="shared" ref="G152:R152" si="26">G69/((G26+H26)/2)</f>
        <v>2.1749184496737073E-2</v>
      </c>
      <c r="H152" s="1811">
        <f t="shared" si="26"/>
        <v>5.4545782353380846E-2</v>
      </c>
      <c r="I152" s="1811">
        <f t="shared" si="26"/>
        <v>5.5189845002005807E-2</v>
      </c>
      <c r="J152" s="1811">
        <f t="shared" si="26"/>
        <v>7.5796311332792021E-2</v>
      </c>
      <c r="K152" s="1811">
        <f t="shared" si="26"/>
        <v>6.7012569986432319E-2</v>
      </c>
      <c r="L152" s="1811">
        <f t="shared" si="26"/>
        <v>5.9318216363360002E-2</v>
      </c>
      <c r="M152" s="1811">
        <f t="shared" si="26"/>
        <v>7.434981461139073E-2</v>
      </c>
      <c r="N152" s="1811">
        <f t="shared" si="26"/>
        <v>6.666768867562968E-2</v>
      </c>
      <c r="O152" s="1811">
        <f t="shared" si="26"/>
        <v>5.6492644882919517E-2</v>
      </c>
      <c r="P152" s="1811">
        <f t="shared" si="26"/>
        <v>7.2001877493546113E-2</v>
      </c>
      <c r="Q152" s="1811">
        <f t="shared" si="26"/>
        <v>7.3954197192550752E-2</v>
      </c>
      <c r="R152" s="1811">
        <f t="shared" si="26"/>
        <v>5.4801478885248521E-2</v>
      </c>
      <c r="S152" s="1547"/>
      <c r="T152" s="1065"/>
    </row>
    <row r="153" spans="1:25" x14ac:dyDescent="0.2">
      <c r="G153" s="1065"/>
      <c r="H153" s="1065"/>
      <c r="I153" s="1065"/>
      <c r="J153" s="1065"/>
      <c r="K153" s="1065"/>
      <c r="L153" s="1065"/>
      <c r="M153" s="1068"/>
      <c r="N153" s="1068"/>
      <c r="O153" s="1068"/>
      <c r="P153" s="1068"/>
      <c r="Q153" s="1068"/>
      <c r="R153" s="1068"/>
      <c r="S153" s="1547"/>
      <c r="T153" s="1065"/>
    </row>
    <row r="154" spans="1:25" x14ac:dyDescent="0.2">
      <c r="A154" s="1056" t="s">
        <v>515</v>
      </c>
      <c r="B154" s="1063" t="s">
        <v>608</v>
      </c>
      <c r="C154" s="1064"/>
      <c r="D154" s="1064"/>
      <c r="E154" s="1064"/>
      <c r="G154" s="1065"/>
      <c r="H154" s="1065"/>
      <c r="I154" s="1065"/>
      <c r="J154" s="1065"/>
      <c r="K154" s="1065"/>
      <c r="L154" s="1065"/>
      <c r="M154" s="1068"/>
      <c r="N154" s="1068"/>
      <c r="O154" s="1068"/>
      <c r="P154" s="1068"/>
      <c r="Q154" s="1068"/>
      <c r="R154" s="1068"/>
      <c r="S154" s="1547"/>
      <c r="T154" s="1065"/>
    </row>
    <row r="155" spans="1:25" x14ac:dyDescent="0.2">
      <c r="A155" s="1056" t="s">
        <v>517</v>
      </c>
      <c r="B155" s="1056" t="s">
        <v>609</v>
      </c>
      <c r="D155" s="1056" t="s">
        <v>610</v>
      </c>
      <c r="G155" s="1065"/>
      <c r="H155" s="1065"/>
      <c r="I155" s="1065"/>
      <c r="J155" s="1065"/>
      <c r="K155" s="1065"/>
      <c r="L155" s="1065"/>
      <c r="M155" s="1068"/>
      <c r="N155" s="1068"/>
      <c r="O155" s="1068"/>
      <c r="P155" s="1068"/>
      <c r="Q155" s="1068"/>
      <c r="R155" s="1068"/>
      <c r="S155" s="1547"/>
      <c r="T155" s="1065"/>
    </row>
    <row r="156" spans="1:25" x14ac:dyDescent="0.2">
      <c r="A156" s="1056" t="s">
        <v>519</v>
      </c>
      <c r="B156" s="1056" t="s">
        <v>611</v>
      </c>
      <c r="G156" s="1068">
        <f>'I-3 Sales Stats'!J17/1000</f>
        <v>6253.0000999999993</v>
      </c>
      <c r="H156" s="1068">
        <f>'I-3 Sales Stats'!I17/1000</f>
        <v>5761.5540000000001</v>
      </c>
      <c r="I156" s="1540">
        <f>6570-278</f>
        <v>6292</v>
      </c>
      <c r="J156" s="1540">
        <f>7544-33</f>
        <v>7511</v>
      </c>
      <c r="K156" s="1540">
        <f>6962+48</f>
        <v>7010</v>
      </c>
      <c r="L156" s="1540">
        <v>5551.6019999999999</v>
      </c>
      <c r="M156" s="1540">
        <v>6381.4849999999997</v>
      </c>
      <c r="N156" s="1540">
        <v>6829.4639999999999</v>
      </c>
      <c r="O156" s="1540">
        <v>6628.8540000000003</v>
      </c>
      <c r="P156" s="1540">
        <v>7358.5420000000004</v>
      </c>
      <c r="Q156" s="1066">
        <f>6812+118</f>
        <v>6930</v>
      </c>
      <c r="R156" s="1066">
        <f>6578-304</f>
        <v>6274</v>
      </c>
      <c r="S156" s="1547"/>
      <c r="T156" s="2213"/>
      <c r="U156" s="2213"/>
      <c r="V156" s="2213"/>
      <c r="W156" s="2213"/>
      <c r="X156" s="2213"/>
    </row>
    <row r="157" spans="1:25" x14ac:dyDescent="0.2">
      <c r="A157" s="1056" t="s">
        <v>520</v>
      </c>
      <c r="B157" s="1056" t="s">
        <v>612</v>
      </c>
      <c r="G157" s="1068">
        <f>'I-3 Sales Stats'!J18/1000</f>
        <v>3110.6926000000003</v>
      </c>
      <c r="H157" s="1068">
        <f>'I-3 Sales Stats'!I18/1000</f>
        <v>2847.8359999999998</v>
      </c>
      <c r="I157" s="1540">
        <f>3291-134</f>
        <v>3157</v>
      </c>
      <c r="J157" s="1540">
        <v>3613</v>
      </c>
      <c r="K157" s="1540">
        <f>3357+44</f>
        <v>3401</v>
      </c>
      <c r="L157" s="1540">
        <v>2697.1370000000002</v>
      </c>
      <c r="M157" s="1540">
        <v>3282.674</v>
      </c>
      <c r="N157" s="1540">
        <v>3801.1779999999999</v>
      </c>
      <c r="O157" s="1540">
        <v>3909.32</v>
      </c>
      <c r="P157" s="1540">
        <v>4234.8710000000001</v>
      </c>
      <c r="Q157" s="1066">
        <f>3960+30</f>
        <v>3990</v>
      </c>
      <c r="R157" s="1066">
        <f>3858-35</f>
        <v>3823</v>
      </c>
      <c r="S157" s="1547"/>
      <c r="T157" s="2213"/>
      <c r="U157" s="2213"/>
      <c r="V157" s="2213"/>
      <c r="W157" s="2213"/>
      <c r="X157" s="2213"/>
    </row>
    <row r="158" spans="1:25" x14ac:dyDescent="0.2">
      <c r="A158" s="1056" t="s">
        <v>522</v>
      </c>
      <c r="B158" s="1056" t="s">
        <v>613</v>
      </c>
      <c r="G158" s="1068">
        <f>'I-3 Sales Stats'!J19/1000</f>
        <v>122.0005</v>
      </c>
      <c r="H158" s="1068">
        <f>'I-3 Sales Stats'!I19/1000</f>
        <v>212.99700000000001</v>
      </c>
      <c r="I158" s="1540">
        <v>194</v>
      </c>
      <c r="J158" s="1540">
        <f>133</f>
        <v>133</v>
      </c>
      <c r="K158" s="1540">
        <f>300-1</f>
        <v>299</v>
      </c>
      <c r="L158" s="1540">
        <v>217.02199999999999</v>
      </c>
      <c r="M158" s="1540">
        <v>170.49199999999999</v>
      </c>
      <c r="N158" s="1540">
        <v>141.74100000000001</v>
      </c>
      <c r="O158" s="1540">
        <v>133.52099999999999</v>
      </c>
      <c r="P158" s="1540">
        <v>185.80600000000001</v>
      </c>
      <c r="Q158" s="1066">
        <v>179</v>
      </c>
      <c r="R158" s="1066">
        <v>217</v>
      </c>
      <c r="S158" s="1547"/>
      <c r="T158" s="1068"/>
      <c r="U158" s="1146"/>
      <c r="V158" s="1146"/>
      <c r="W158" s="1146"/>
      <c r="X158" s="1146"/>
    </row>
    <row r="159" spans="1:25" x14ac:dyDescent="0.2">
      <c r="A159" s="1056" t="s">
        <v>524</v>
      </c>
      <c r="B159" s="1056" t="s">
        <v>614</v>
      </c>
      <c r="G159" s="1157">
        <f>'I-3 Sales Stats'!J20/1000</f>
        <v>11.3207</v>
      </c>
      <c r="H159" s="1157">
        <f>'I-3 Sales Stats'!I20/1000</f>
        <v>8.6739999999999995</v>
      </c>
      <c r="I159" s="1541">
        <v>12</v>
      </c>
      <c r="J159" s="1541">
        <v>17</v>
      </c>
      <c r="K159" s="1541">
        <v>18</v>
      </c>
      <c r="L159" s="1541">
        <v>10.923</v>
      </c>
      <c r="M159" s="1541">
        <v>16.489000000000001</v>
      </c>
      <c r="N159" s="1541">
        <v>16.082999999999998</v>
      </c>
      <c r="O159" s="1541">
        <v>17.797999999999998</v>
      </c>
      <c r="P159" s="1541">
        <v>18.817</v>
      </c>
      <c r="Q159" s="1542">
        <v>19</v>
      </c>
      <c r="R159" s="1542">
        <v>20</v>
      </c>
      <c r="S159" s="1547"/>
      <c r="T159" s="1068"/>
      <c r="U159" s="1146"/>
      <c r="V159" s="1146"/>
      <c r="W159" s="1146"/>
      <c r="X159" s="1146"/>
    </row>
    <row r="160" spans="1:25" x14ac:dyDescent="0.2">
      <c r="G160" s="1065"/>
      <c r="H160" s="1068"/>
      <c r="I160" s="1065"/>
      <c r="J160" s="1065"/>
      <c r="K160" s="1065"/>
      <c r="L160" s="1068"/>
      <c r="M160" s="1065"/>
      <c r="N160" s="1068"/>
      <c r="O160" s="1065"/>
      <c r="P160" s="1065"/>
      <c r="Q160" s="1065"/>
      <c r="R160" s="1068"/>
      <c r="S160" s="1547"/>
      <c r="T160" s="1068"/>
      <c r="U160" s="1146"/>
      <c r="V160" s="1146"/>
      <c r="W160" s="1146"/>
      <c r="X160" s="1146"/>
    </row>
    <row r="161" spans="1:24" x14ac:dyDescent="0.2">
      <c r="A161" s="1056" t="s">
        <v>526</v>
      </c>
      <c r="B161" s="1056" t="s">
        <v>615</v>
      </c>
      <c r="G161" s="1065">
        <f t="shared" ref="G161:R161" si="27">G156+G157+G158+G159</f>
        <v>9497.0138999999999</v>
      </c>
      <c r="H161" s="1068">
        <f t="shared" si="27"/>
        <v>8831.0609999999997</v>
      </c>
      <c r="I161" s="1065">
        <f t="shared" si="27"/>
        <v>9655</v>
      </c>
      <c r="J161" s="1065">
        <f t="shared" si="27"/>
        <v>11274</v>
      </c>
      <c r="K161" s="1065">
        <f t="shared" si="27"/>
        <v>10728</v>
      </c>
      <c r="L161" s="1065">
        <f t="shared" si="27"/>
        <v>8476.6840000000011</v>
      </c>
      <c r="M161" s="1065">
        <f t="shared" si="27"/>
        <v>9851.14</v>
      </c>
      <c r="N161" s="1068">
        <f t="shared" si="27"/>
        <v>10788.466</v>
      </c>
      <c r="O161" s="1065">
        <f t="shared" si="27"/>
        <v>10689.493000000002</v>
      </c>
      <c r="P161" s="1065">
        <f t="shared" si="27"/>
        <v>11798.036</v>
      </c>
      <c r="Q161" s="1065">
        <f t="shared" si="27"/>
        <v>11118</v>
      </c>
      <c r="R161" s="1068">
        <f t="shared" si="27"/>
        <v>10334</v>
      </c>
      <c r="S161" s="1547"/>
      <c r="T161" s="2212"/>
      <c r="U161" s="2212"/>
      <c r="V161" s="2212"/>
      <c r="W161" s="2212"/>
      <c r="X161" s="2212"/>
    </row>
    <row r="162" spans="1:24" x14ac:dyDescent="0.2">
      <c r="G162" s="1065"/>
      <c r="H162" s="1068"/>
      <c r="I162" s="1065"/>
      <c r="J162" s="1065"/>
      <c r="K162" s="1065"/>
      <c r="L162" s="1065"/>
      <c r="M162" s="1065"/>
      <c r="N162" s="1068"/>
      <c r="O162" s="1065"/>
      <c r="P162" s="1065"/>
      <c r="Q162" s="1065"/>
      <c r="R162" s="1068"/>
      <c r="S162" s="1547"/>
      <c r="T162" s="1068"/>
      <c r="U162" s="1146"/>
      <c r="V162" s="1146"/>
      <c r="W162" s="1146"/>
      <c r="X162" s="1146"/>
    </row>
    <row r="163" spans="1:24" x14ac:dyDescent="0.2">
      <c r="A163" s="1056" t="s">
        <v>528</v>
      </c>
      <c r="B163" s="1056" t="s">
        <v>616</v>
      </c>
      <c r="D163" s="1056" t="s">
        <v>610</v>
      </c>
      <c r="G163" s="1065"/>
      <c r="H163" s="1068"/>
      <c r="I163" s="1068"/>
      <c r="J163" s="1068"/>
      <c r="K163" s="1068"/>
      <c r="L163" s="1068"/>
      <c r="M163" s="1065"/>
      <c r="N163" s="1068"/>
      <c r="O163" s="1065"/>
      <c r="P163" s="1065"/>
      <c r="Q163" s="1065"/>
      <c r="R163" s="1068"/>
      <c r="S163" s="1547"/>
      <c r="T163" s="1068"/>
      <c r="U163" s="1146"/>
      <c r="V163" s="1146"/>
      <c r="W163" s="1146"/>
      <c r="X163" s="1146"/>
    </row>
    <row r="164" spans="1:24" ht="12" customHeight="1" x14ac:dyDescent="0.2">
      <c r="A164" s="1056" t="s">
        <v>530</v>
      </c>
      <c r="B164" s="1056" t="s">
        <v>617</v>
      </c>
      <c r="G164" s="1066">
        <v>0</v>
      </c>
      <c r="H164" s="1066">
        <v>0</v>
      </c>
      <c r="I164" s="1066">
        <v>0</v>
      </c>
      <c r="J164" s="1066">
        <v>0</v>
      </c>
      <c r="K164" s="1066">
        <v>0</v>
      </c>
      <c r="L164" s="1066">
        <v>0</v>
      </c>
      <c r="M164" s="1066">
        <v>0</v>
      </c>
      <c r="N164" s="1066">
        <v>0</v>
      </c>
      <c r="O164" s="1066">
        <v>0</v>
      </c>
      <c r="P164" s="1066">
        <v>0</v>
      </c>
      <c r="Q164" s="1066">
        <v>0</v>
      </c>
      <c r="R164" s="1066">
        <v>0</v>
      </c>
      <c r="S164" s="1547"/>
      <c r="T164" s="2213"/>
      <c r="U164" s="2213"/>
      <c r="V164" s="2213"/>
      <c r="W164" s="2213"/>
      <c r="X164" s="2213"/>
    </row>
    <row r="165" spans="1:24" x14ac:dyDescent="0.2">
      <c r="A165" s="1056" t="s">
        <v>532</v>
      </c>
      <c r="B165" s="1056" t="s">
        <v>618</v>
      </c>
      <c r="G165" s="1542">
        <v>0</v>
      </c>
      <c r="H165" s="1542">
        <v>0</v>
      </c>
      <c r="I165" s="1542">
        <v>0</v>
      </c>
      <c r="J165" s="1542">
        <v>0</v>
      </c>
      <c r="K165" s="1542">
        <v>0</v>
      </c>
      <c r="L165" s="1542">
        <v>0</v>
      </c>
      <c r="M165" s="1542">
        <v>0</v>
      </c>
      <c r="N165" s="1542">
        <v>0</v>
      </c>
      <c r="O165" s="1542">
        <v>0</v>
      </c>
      <c r="P165" s="1542">
        <v>0</v>
      </c>
      <c r="Q165" s="1542">
        <v>0</v>
      </c>
      <c r="R165" s="1542">
        <v>0</v>
      </c>
      <c r="S165" s="1547"/>
      <c r="T165" s="2213"/>
      <c r="U165" s="2213"/>
      <c r="V165" s="2213"/>
      <c r="W165" s="2213"/>
      <c r="X165" s="2213"/>
    </row>
    <row r="166" spans="1:24" x14ac:dyDescent="0.2">
      <c r="G166" s="1065"/>
      <c r="H166" s="1065"/>
      <c r="I166" s="1065"/>
      <c r="J166" s="1065"/>
      <c r="K166" s="1065"/>
      <c r="L166" s="1068"/>
      <c r="M166" s="1068"/>
      <c r="N166" s="1068"/>
      <c r="O166" s="1068"/>
      <c r="P166" s="1068"/>
      <c r="Q166" s="1068"/>
      <c r="R166" s="1068"/>
      <c r="S166" s="1547"/>
      <c r="T166" s="1068"/>
      <c r="U166" s="1146"/>
      <c r="V166" s="1146"/>
      <c r="W166" s="1146"/>
      <c r="X166" s="1146"/>
    </row>
    <row r="167" spans="1:24" x14ac:dyDescent="0.2">
      <c r="A167" s="1056" t="s">
        <v>534</v>
      </c>
      <c r="B167" s="1056" t="s">
        <v>619</v>
      </c>
      <c r="G167" s="1065">
        <f t="shared" ref="G167:R167" si="28">G164+G165</f>
        <v>0</v>
      </c>
      <c r="H167" s="1065">
        <f t="shared" si="28"/>
        <v>0</v>
      </c>
      <c r="I167" s="1065">
        <f t="shared" si="28"/>
        <v>0</v>
      </c>
      <c r="J167" s="1065">
        <f t="shared" si="28"/>
        <v>0</v>
      </c>
      <c r="K167" s="1065">
        <f t="shared" si="28"/>
        <v>0</v>
      </c>
      <c r="L167" s="1065">
        <f t="shared" si="28"/>
        <v>0</v>
      </c>
      <c r="M167" s="1065">
        <f t="shared" si="28"/>
        <v>0</v>
      </c>
      <c r="N167" s="1065">
        <f t="shared" si="28"/>
        <v>0</v>
      </c>
      <c r="O167" s="1065">
        <f t="shared" si="28"/>
        <v>0</v>
      </c>
      <c r="P167" s="1065">
        <f t="shared" si="28"/>
        <v>0</v>
      </c>
      <c r="Q167" s="1065">
        <f t="shared" si="28"/>
        <v>0</v>
      </c>
      <c r="R167" s="1065">
        <f t="shared" si="28"/>
        <v>0</v>
      </c>
      <c r="S167" s="1547"/>
      <c r="T167" s="2212"/>
      <c r="U167" s="2212"/>
      <c r="V167" s="2212"/>
      <c r="W167" s="2212"/>
      <c r="X167" s="2212"/>
    </row>
    <row r="168" spans="1:24" x14ac:dyDescent="0.2">
      <c r="G168" s="1065"/>
      <c r="H168" s="1065"/>
      <c r="I168" s="1065"/>
      <c r="J168" s="1065"/>
      <c r="K168" s="1065"/>
      <c r="L168" s="1065"/>
      <c r="M168" s="1065"/>
      <c r="N168" s="1065"/>
      <c r="O168" s="1065"/>
      <c r="P168" s="1065"/>
      <c r="Q168" s="1065"/>
      <c r="R168" s="1065"/>
      <c r="S168" s="1547"/>
      <c r="T168" s="1068"/>
      <c r="U168" s="1146"/>
      <c r="V168" s="1146"/>
      <c r="W168" s="1146"/>
      <c r="X168" s="1146"/>
    </row>
    <row r="169" spans="1:24" ht="12" customHeight="1" x14ac:dyDescent="0.2">
      <c r="A169" s="1056" t="s">
        <v>535</v>
      </c>
      <c r="B169" s="1056" t="s">
        <v>620</v>
      </c>
      <c r="G169" s="1519">
        <f>'Total Co Accts Activ C2.2B'!P13/'WPB-2.1 13 mo avg'!S90</f>
        <v>3.6373085951192138E-2</v>
      </c>
      <c r="H169" s="1519">
        <f>'Total Co Accts Activ C2.2A'!P13/AVERAGE('WPB-2.1 Base Period'!F91:Q91)</f>
        <v>2.2143246429054561E-2</v>
      </c>
      <c r="I169" s="1543">
        <v>2.0182054540541946E-2</v>
      </c>
      <c r="J169" s="1543">
        <v>2.0205808054816449E-2</v>
      </c>
      <c r="K169" s="1543">
        <v>2.0169695837589645E-2</v>
      </c>
      <c r="L169" s="1543">
        <v>2.0299999999999999E-2</v>
      </c>
      <c r="M169" s="1543">
        <v>0.02</v>
      </c>
      <c r="N169" s="1543">
        <v>2.01E-2</v>
      </c>
      <c r="O169" s="1543">
        <v>2.0199999999999999E-2</v>
      </c>
      <c r="P169" s="1543">
        <v>2.0199999999999999E-2</v>
      </c>
      <c r="Q169" s="1543">
        <v>2.06E-2</v>
      </c>
      <c r="R169" s="1543">
        <v>2.0799999999999999E-2</v>
      </c>
      <c r="S169" s="1547"/>
      <c r="T169" s="2213"/>
      <c r="U169" s="2213"/>
      <c r="V169" s="2213"/>
      <c r="W169" s="2213"/>
      <c r="X169" s="2213"/>
    </row>
    <row r="170" spans="1:24" x14ac:dyDescent="0.2">
      <c r="T170" s="2213"/>
      <c r="U170" s="2213"/>
      <c r="V170" s="2213"/>
      <c r="W170" s="2213"/>
      <c r="X170" s="2213"/>
    </row>
    <row r="171" spans="1:24" x14ac:dyDescent="0.2">
      <c r="T171" s="2213"/>
      <c r="U171" s="2213"/>
      <c r="V171" s="2213"/>
      <c r="W171" s="2213"/>
      <c r="X171" s="2213"/>
    </row>
    <row r="172" spans="1:24" x14ac:dyDescent="0.2">
      <c r="T172" s="2213"/>
      <c r="U172" s="2213"/>
      <c r="V172" s="2213"/>
      <c r="W172" s="2213"/>
      <c r="X172" s="2213"/>
    </row>
    <row r="178" spans="1:2" x14ac:dyDescent="0.2">
      <c r="A178" s="1056"/>
      <c r="B178" s="1056"/>
    </row>
    <row r="179" spans="1:2" x14ac:dyDescent="0.2">
      <c r="B179" s="1056"/>
    </row>
    <row r="180" spans="1:2" x14ac:dyDescent="0.2">
      <c r="B180" s="1056"/>
    </row>
    <row r="181" spans="1:2" x14ac:dyDescent="0.2">
      <c r="B181" s="1056"/>
    </row>
    <row r="182" spans="1:2" x14ac:dyDescent="0.2">
      <c r="B182" s="1056"/>
    </row>
    <row r="183" spans="1:2" x14ac:dyDescent="0.2">
      <c r="B183" s="1056"/>
    </row>
    <row r="184" spans="1:2" x14ac:dyDescent="0.2">
      <c r="B184" s="1056"/>
    </row>
    <row r="185" spans="1:2" x14ac:dyDescent="0.2">
      <c r="B185" s="1056"/>
    </row>
  </sheetData>
  <mergeCells count="37">
    <mergeCell ref="A42:R42"/>
    <mergeCell ref="T22:Y22"/>
    <mergeCell ref="A41:R41"/>
    <mergeCell ref="A85:R85"/>
    <mergeCell ref="A86:R86"/>
    <mergeCell ref="A84:R84"/>
    <mergeCell ref="A43:R43"/>
    <mergeCell ref="A39:R39"/>
    <mergeCell ref="T54:Y54"/>
    <mergeCell ref="T70:Y70"/>
    <mergeCell ref="T71:Y71"/>
    <mergeCell ref="T73:Y73"/>
    <mergeCell ref="T169:X172"/>
    <mergeCell ref="A2:R2"/>
    <mergeCell ref="A3:R3"/>
    <mergeCell ref="A4:R4"/>
    <mergeCell ref="A5:R5"/>
    <mergeCell ref="A6:R6"/>
    <mergeCell ref="T2:Y3"/>
    <mergeCell ref="T20:Y20"/>
    <mergeCell ref="A40:R40"/>
    <mergeCell ref="A136:R136"/>
    <mergeCell ref="A88:R88"/>
    <mergeCell ref="T110:V110"/>
    <mergeCell ref="T125:V125"/>
    <mergeCell ref="A87:R87"/>
    <mergeCell ref="T161:X161"/>
    <mergeCell ref="T167:X167"/>
    <mergeCell ref="A137:R137"/>
    <mergeCell ref="T97:Y97"/>
    <mergeCell ref="T156:X157"/>
    <mergeCell ref="T164:X165"/>
    <mergeCell ref="A140:R140"/>
    <mergeCell ref="A138:R138"/>
    <mergeCell ref="A139:R139"/>
    <mergeCell ref="T120:Y120"/>
    <mergeCell ref="T150:Y150"/>
  </mergeCells>
  <phoneticPr fontId="0" type="noConversion"/>
  <printOptions horizontalCentered="1"/>
  <pageMargins left="0.5" right="0.5" top="1" bottom="0.5" header="0.5" footer="0.5"/>
  <pageSetup scale="82" orientation="landscape" r:id="rId1"/>
  <headerFooter alignWithMargins="0"/>
  <rowBreaks count="3" manualBreakCount="3">
    <brk id="37" max="17" man="1"/>
    <brk id="82" max="17" man="1"/>
    <brk id="133" max="17" man="1"/>
  </rowBreaks>
  <ignoredErrors>
    <ignoredError sqref="M71:R71 G54:H71" unlockedFormula="1"/>
    <ignoredError sqref="A86" formula="1"/>
  </ignoredError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1:H125"/>
  <sheetViews>
    <sheetView zoomScaleNormal="100" workbookViewId="0">
      <selection activeCell="F18" sqref="F18"/>
    </sheetView>
  </sheetViews>
  <sheetFormatPr defaultColWidth="9.83203125" defaultRowHeight="10.5" x14ac:dyDescent="0.15"/>
  <cols>
    <col min="1" max="1" width="31.1640625" customWidth="1"/>
    <col min="2" max="2" width="2.83203125" customWidth="1"/>
    <col min="3" max="3" width="62.1640625" bestFit="1" customWidth="1"/>
    <col min="8" max="8" width="9.83203125" customWidth="1"/>
    <col min="10" max="10" width="1.83203125" customWidth="1"/>
    <col min="11" max="11" width="7.83203125" customWidth="1"/>
    <col min="12" max="12" width="6.83203125" customWidth="1"/>
  </cols>
  <sheetData>
    <row r="1" spans="1:8" ht="12.75" x14ac:dyDescent="0.2">
      <c r="A1" s="1787"/>
      <c r="B1" s="1869"/>
      <c r="C1" s="1869"/>
      <c r="D1" s="1869"/>
      <c r="E1" s="2"/>
      <c r="F1" s="2"/>
      <c r="G1" s="2"/>
      <c r="H1" s="2"/>
    </row>
    <row r="2" spans="1:8" ht="12.75" x14ac:dyDescent="0.2">
      <c r="A2" s="1869"/>
      <c r="B2" s="1869"/>
      <c r="C2" s="1869"/>
      <c r="D2" s="1869"/>
      <c r="E2" s="2"/>
      <c r="F2" s="2"/>
      <c r="G2" s="2"/>
      <c r="H2" s="2"/>
    </row>
    <row r="3" spans="1:8" ht="12.75" x14ac:dyDescent="0.2">
      <c r="A3" s="1869"/>
      <c r="B3" s="1869"/>
      <c r="C3" s="1913" t="s">
        <v>2352</v>
      </c>
      <c r="D3" s="1869"/>
      <c r="E3" s="2"/>
      <c r="F3" s="2"/>
      <c r="G3" s="2"/>
      <c r="H3" s="2"/>
    </row>
    <row r="4" spans="1:8" ht="12.75" x14ac:dyDescent="0.2">
      <c r="A4" s="1869"/>
      <c r="B4" s="1869"/>
      <c r="C4" s="1869"/>
      <c r="D4" s="1869"/>
      <c r="E4" s="2"/>
      <c r="F4" s="2"/>
      <c r="G4" s="2"/>
      <c r="H4" s="2"/>
    </row>
    <row r="5" spans="1:8" ht="12.75" x14ac:dyDescent="0.2">
      <c r="A5" s="1869"/>
      <c r="B5" s="1869"/>
      <c r="C5" s="1913" t="s">
        <v>2353</v>
      </c>
      <c r="D5" s="1869"/>
      <c r="E5" s="2"/>
      <c r="F5" s="2"/>
      <c r="G5" s="2"/>
      <c r="H5" s="2"/>
    </row>
    <row r="6" spans="1:8" ht="12.75" x14ac:dyDescent="0.2">
      <c r="A6" s="1869"/>
      <c r="B6" s="1869"/>
      <c r="C6" s="1869"/>
      <c r="D6" s="1869"/>
      <c r="E6" s="2"/>
      <c r="F6" s="2"/>
      <c r="G6" s="2"/>
      <c r="H6" s="2"/>
    </row>
    <row r="7" spans="1:8" ht="12.75" x14ac:dyDescent="0.2">
      <c r="A7" s="1787" t="s">
        <v>2354</v>
      </c>
      <c r="B7" s="1869"/>
      <c r="C7" s="1913" t="s">
        <v>624</v>
      </c>
      <c r="D7" s="1869"/>
      <c r="E7" s="2"/>
      <c r="F7" s="2"/>
      <c r="G7" s="2"/>
      <c r="H7" s="2"/>
    </row>
    <row r="8" spans="1:8" ht="12.75" x14ac:dyDescent="0.2">
      <c r="A8" s="1869"/>
      <c r="B8" s="1869"/>
      <c r="C8" s="1919"/>
      <c r="D8" s="1869"/>
      <c r="E8" s="2"/>
      <c r="F8" s="2"/>
      <c r="G8" s="2"/>
      <c r="H8" s="2"/>
    </row>
    <row r="9" spans="1:8" ht="12.75" x14ac:dyDescent="0.2">
      <c r="A9" s="1787" t="s">
        <v>2355</v>
      </c>
      <c r="B9" s="1869"/>
      <c r="C9" s="1920" t="str">
        <f>case</f>
        <v>CASE NO. 2016 - 00162</v>
      </c>
      <c r="D9" s="1869"/>
      <c r="E9" s="2"/>
      <c r="F9" s="2"/>
      <c r="G9" s="2"/>
      <c r="H9" s="2"/>
    </row>
    <row r="10" spans="1:8" ht="12.75" x14ac:dyDescent="0.2">
      <c r="A10" s="1787"/>
      <c r="B10" s="1869"/>
      <c r="C10" s="1920"/>
      <c r="D10" s="1869"/>
      <c r="E10" s="2"/>
      <c r="F10" s="2"/>
      <c r="G10" s="2"/>
      <c r="H10" s="2"/>
    </row>
    <row r="11" spans="1:8" ht="12.75" x14ac:dyDescent="0.2">
      <c r="A11" s="1787" t="s">
        <v>1252</v>
      </c>
      <c r="B11" s="1869"/>
      <c r="C11" s="1920" t="str">
        <f>base</f>
        <v>FOR THE TWELVE MONTHS ENDED AUGUST 31, 2016</v>
      </c>
      <c r="D11" s="1869"/>
      <c r="E11" s="2"/>
      <c r="F11" s="2"/>
      <c r="G11" s="2"/>
      <c r="H11" s="2"/>
    </row>
    <row r="12" spans="1:8" ht="12.75" x14ac:dyDescent="0.2">
      <c r="A12" s="1869"/>
      <c r="B12" s="1869"/>
      <c r="C12" s="1919"/>
      <c r="D12" s="1869"/>
      <c r="E12" s="2"/>
      <c r="F12" s="2"/>
      <c r="G12" s="2"/>
      <c r="H12" s="2"/>
    </row>
    <row r="13" spans="1:8" ht="12.75" x14ac:dyDescent="0.2">
      <c r="A13" s="1787" t="s">
        <v>2356</v>
      </c>
      <c r="B13" s="1869"/>
      <c r="C13" s="1920" t="str">
        <f>forecast</f>
        <v>FOR THE TWELVE MONTHS ENDED DECEMBER 31, 2017</v>
      </c>
      <c r="D13" s="1869"/>
      <c r="E13" s="2"/>
      <c r="F13" s="2"/>
      <c r="G13" s="2"/>
      <c r="H13" s="2"/>
    </row>
    <row r="14" spans="1:8" ht="12.75" x14ac:dyDescent="0.2">
      <c r="A14" s="1869"/>
      <c r="B14" s="1869"/>
      <c r="C14" s="1919"/>
      <c r="D14" s="1869"/>
      <c r="E14" s="2"/>
      <c r="F14" s="2"/>
      <c r="G14" s="2"/>
      <c r="H14" s="2"/>
    </row>
    <row r="15" spans="1:8" ht="12.75" x14ac:dyDescent="0.2">
      <c r="A15" s="1869"/>
      <c r="B15" s="1869"/>
      <c r="C15" s="1919"/>
      <c r="D15" s="1869"/>
      <c r="E15" s="2"/>
      <c r="F15" s="2"/>
      <c r="G15" s="2"/>
      <c r="H15" s="2"/>
    </row>
    <row r="16" spans="1:8" ht="12.75" x14ac:dyDescent="0.2">
      <c r="A16" s="1914" t="s">
        <v>633</v>
      </c>
      <c r="B16" s="1915"/>
      <c r="C16" s="1912" t="s">
        <v>778</v>
      </c>
      <c r="D16" s="1915"/>
      <c r="E16" s="1916"/>
      <c r="F16" s="1916"/>
      <c r="G16" s="1916"/>
      <c r="H16" s="1916"/>
    </row>
    <row r="17" spans="1:8" ht="12.75" x14ac:dyDescent="0.2">
      <c r="A17" s="1869"/>
      <c r="B17" s="1869"/>
      <c r="C17" s="1919"/>
      <c r="D17" s="1869"/>
      <c r="E17" s="2"/>
      <c r="F17" s="2"/>
      <c r="G17" s="2"/>
      <c r="H17" s="2"/>
    </row>
    <row r="18" spans="1:8" ht="12.75" x14ac:dyDescent="0.2">
      <c r="A18" s="1917" t="s">
        <v>2357</v>
      </c>
      <c r="B18" s="1869"/>
      <c r="C18" s="1919" t="s">
        <v>2358</v>
      </c>
      <c r="D18" s="1869"/>
      <c r="E18" s="2"/>
      <c r="F18" s="2"/>
      <c r="G18" s="2"/>
      <c r="H18" s="2"/>
    </row>
    <row r="19" spans="1:8" ht="12.75" x14ac:dyDescent="0.2">
      <c r="A19" s="1787" t="s">
        <v>2359</v>
      </c>
      <c r="B19" s="1869"/>
      <c r="C19" s="1787" t="s">
        <v>2360</v>
      </c>
      <c r="D19" s="1869"/>
      <c r="E19" s="2"/>
      <c r="F19" s="2"/>
      <c r="G19" s="2"/>
      <c r="H19" s="2"/>
    </row>
    <row r="20" spans="1:8" ht="12.75" x14ac:dyDescent="0.2">
      <c r="A20" s="1787" t="s">
        <v>2361</v>
      </c>
      <c r="B20" s="1869"/>
      <c r="C20" s="1787" t="s">
        <v>2362</v>
      </c>
      <c r="D20" s="1869"/>
      <c r="E20" s="2"/>
      <c r="F20" s="2"/>
      <c r="G20" s="2"/>
      <c r="H20" s="2"/>
    </row>
    <row r="21" spans="1:8" ht="12.75" x14ac:dyDescent="0.2">
      <c r="A21" s="1787"/>
      <c r="B21" s="1869"/>
      <c r="C21" s="1869"/>
      <c r="D21" s="1869"/>
      <c r="E21" s="2"/>
      <c r="F21" s="2"/>
      <c r="G21" s="2"/>
      <c r="H21" s="2"/>
    </row>
    <row r="22" spans="1:8" ht="12.75" x14ac:dyDescent="0.2">
      <c r="A22" s="1787"/>
      <c r="B22" s="1869"/>
      <c r="C22" s="1869"/>
      <c r="D22" s="1869"/>
      <c r="E22" s="2"/>
      <c r="F22" s="2"/>
      <c r="G22" s="2"/>
      <c r="H22" s="2"/>
    </row>
    <row r="23" spans="1:8" ht="11.25" x14ac:dyDescent="0.2">
      <c r="A23" s="1918"/>
      <c r="B23" s="2"/>
      <c r="C23" s="2"/>
      <c r="D23" s="2"/>
      <c r="E23" s="2"/>
      <c r="F23" s="2"/>
      <c r="G23" s="2"/>
      <c r="H23" s="2"/>
    </row>
    <row r="24" spans="1:8" ht="11.25" x14ac:dyDescent="0.2">
      <c r="A24" s="1918"/>
      <c r="B24" s="2"/>
      <c r="C24" s="2"/>
      <c r="D24" s="2"/>
      <c r="E24" s="2"/>
      <c r="F24" s="2"/>
      <c r="G24" s="2"/>
      <c r="H24" s="2"/>
    </row>
    <row r="25" spans="1:8" ht="11.25" x14ac:dyDescent="0.2">
      <c r="A25" s="1918"/>
      <c r="B25" s="2"/>
      <c r="C25" s="2"/>
      <c r="D25" s="2"/>
      <c r="E25" s="2"/>
      <c r="F25" s="2"/>
      <c r="G25" s="2"/>
      <c r="H25" s="2"/>
    </row>
    <row r="26" spans="1:8" ht="11.25" x14ac:dyDescent="0.2">
      <c r="A26" s="1918"/>
      <c r="B26" s="2"/>
      <c r="C26" s="2"/>
      <c r="D26" s="2"/>
      <c r="E26" s="2"/>
      <c r="F26" s="2"/>
      <c r="G26" s="2"/>
      <c r="H26" s="2"/>
    </row>
    <row r="27" spans="1:8" ht="11.25" x14ac:dyDescent="0.2">
      <c r="A27" s="1918"/>
      <c r="B27" s="2"/>
      <c r="C27" s="2"/>
      <c r="D27" s="2"/>
      <c r="E27" s="2"/>
      <c r="F27" s="2"/>
      <c r="G27" s="2"/>
      <c r="H27" s="2"/>
    </row>
    <row r="28" spans="1:8" ht="11.25" x14ac:dyDescent="0.2">
      <c r="A28" s="1918"/>
      <c r="B28" s="2"/>
      <c r="C28" s="2"/>
      <c r="D28" s="2"/>
      <c r="E28" s="2"/>
      <c r="F28" s="2"/>
      <c r="G28" s="2"/>
      <c r="H28" s="2"/>
    </row>
    <row r="29" spans="1:8" ht="11.25" x14ac:dyDescent="0.2">
      <c r="A29" s="1918"/>
      <c r="B29" s="2"/>
      <c r="C29" s="2"/>
      <c r="D29" s="2"/>
      <c r="E29" s="2"/>
      <c r="F29" s="2"/>
      <c r="G29" s="2"/>
      <c r="H29" s="2"/>
    </row>
    <row r="30" spans="1:8" ht="11.25" x14ac:dyDescent="0.2">
      <c r="A30" s="1918"/>
      <c r="B30" s="2"/>
      <c r="C30" s="2"/>
      <c r="D30" s="2"/>
      <c r="E30" s="2"/>
      <c r="F30" s="2"/>
      <c r="G30" s="2"/>
      <c r="H30" s="2"/>
    </row>
    <row r="31" spans="1:8" ht="11.25" x14ac:dyDescent="0.2">
      <c r="A31" s="1918"/>
      <c r="B31" s="2"/>
      <c r="C31" s="2"/>
      <c r="D31" s="2"/>
      <c r="E31" s="2"/>
      <c r="F31" s="2"/>
      <c r="G31" s="2"/>
      <c r="H31" s="2"/>
    </row>
    <row r="32" spans="1:8" ht="11.25" x14ac:dyDescent="0.2">
      <c r="A32" s="1918"/>
      <c r="B32" s="2"/>
      <c r="C32" s="2"/>
      <c r="D32" s="2"/>
      <c r="E32" s="2"/>
      <c r="F32" s="2"/>
      <c r="G32" s="2"/>
      <c r="H32" s="2"/>
    </row>
    <row r="33" spans="1:8" ht="11.25" x14ac:dyDescent="0.2">
      <c r="A33" s="1918"/>
      <c r="B33" s="2"/>
      <c r="C33" s="2"/>
      <c r="D33" s="2"/>
      <c r="E33" s="2"/>
      <c r="F33" s="2"/>
      <c r="G33" s="2"/>
      <c r="H33" s="2"/>
    </row>
    <row r="34" spans="1:8" ht="11.25" x14ac:dyDescent="0.2">
      <c r="A34" s="1918"/>
      <c r="B34" s="2"/>
      <c r="C34" s="2"/>
      <c r="D34" s="2"/>
      <c r="E34" s="2"/>
      <c r="F34" s="2"/>
      <c r="G34" s="2"/>
      <c r="H34" s="2"/>
    </row>
    <row r="35" spans="1:8" ht="11.25" x14ac:dyDescent="0.2">
      <c r="A35" s="1918"/>
      <c r="B35" s="2"/>
      <c r="C35" s="2"/>
      <c r="D35" s="2"/>
      <c r="E35" s="2"/>
      <c r="F35" s="2"/>
      <c r="G35" s="2"/>
      <c r="H35" s="2"/>
    </row>
    <row r="36" spans="1:8" ht="11.25" x14ac:dyDescent="0.2">
      <c r="A36" s="1918"/>
      <c r="B36" s="2"/>
      <c r="C36" s="2"/>
      <c r="D36" s="2"/>
      <c r="E36" s="2"/>
      <c r="F36" s="2"/>
      <c r="G36" s="2"/>
      <c r="H36" s="2"/>
    </row>
    <row r="37" spans="1:8" ht="11.25" x14ac:dyDescent="0.2">
      <c r="A37" s="1918"/>
      <c r="B37" s="2"/>
      <c r="C37" s="2"/>
      <c r="D37" s="2"/>
      <c r="E37" s="2"/>
      <c r="F37" s="2"/>
      <c r="G37" s="2"/>
      <c r="H37" s="2"/>
    </row>
    <row r="38" spans="1:8" ht="11.25" x14ac:dyDescent="0.2">
      <c r="A38" s="1918"/>
      <c r="B38" s="2"/>
      <c r="C38" s="2"/>
      <c r="D38" s="2"/>
      <c r="E38" s="2"/>
      <c r="F38" s="2"/>
      <c r="G38" s="2"/>
      <c r="H38" s="2"/>
    </row>
    <row r="39" spans="1:8" ht="11.25" x14ac:dyDescent="0.2">
      <c r="A39" s="1918"/>
      <c r="B39" s="2"/>
      <c r="C39" s="2"/>
      <c r="D39" s="2"/>
      <c r="E39" s="2"/>
      <c r="F39" s="2"/>
      <c r="G39" s="2"/>
      <c r="H39" s="2"/>
    </row>
    <row r="40" spans="1:8" ht="11.25" x14ac:dyDescent="0.2">
      <c r="A40" s="1918"/>
      <c r="B40" s="2"/>
      <c r="C40" s="2"/>
      <c r="D40" s="2"/>
      <c r="E40" s="2"/>
      <c r="F40" s="2"/>
      <c r="G40" s="2"/>
      <c r="H40" s="2"/>
    </row>
    <row r="41" spans="1:8" ht="11.25" x14ac:dyDescent="0.2">
      <c r="A41" s="2"/>
      <c r="B41" s="2"/>
      <c r="C41" s="2"/>
      <c r="D41" s="2"/>
      <c r="E41" s="2"/>
      <c r="F41" s="2"/>
      <c r="G41" s="2"/>
      <c r="H41" s="2"/>
    </row>
    <row r="42" spans="1:8" ht="11.25" x14ac:dyDescent="0.2">
      <c r="A42" s="2"/>
      <c r="B42" s="2"/>
      <c r="C42" s="2"/>
      <c r="D42" s="2"/>
      <c r="E42" s="2"/>
      <c r="F42" s="2"/>
      <c r="G42" s="2"/>
      <c r="H42" s="2"/>
    </row>
    <row r="43" spans="1:8" ht="11.25" x14ac:dyDescent="0.2">
      <c r="A43" s="2"/>
      <c r="B43" s="2"/>
      <c r="C43" s="2"/>
      <c r="D43" s="2"/>
      <c r="E43" s="2"/>
      <c r="F43" s="2"/>
      <c r="G43" s="2"/>
      <c r="H43" s="2"/>
    </row>
    <row r="44" spans="1:8" ht="11.25" x14ac:dyDescent="0.2">
      <c r="A44" s="2"/>
      <c r="B44" s="2"/>
      <c r="C44" s="2"/>
      <c r="D44" s="2"/>
      <c r="E44" s="2"/>
      <c r="F44" s="2"/>
      <c r="G44" s="2"/>
      <c r="H44" s="2"/>
    </row>
    <row r="45" spans="1:8" ht="11.25" x14ac:dyDescent="0.2">
      <c r="A45" s="2"/>
      <c r="B45" s="2"/>
      <c r="C45" s="2"/>
      <c r="D45" s="2"/>
      <c r="E45" s="2"/>
      <c r="F45" s="2"/>
      <c r="G45" s="2"/>
      <c r="H45" s="2"/>
    </row>
    <row r="46" spans="1:8" ht="11.25" x14ac:dyDescent="0.2">
      <c r="A46" s="2"/>
      <c r="B46" s="2"/>
      <c r="C46" s="2"/>
      <c r="D46" s="2"/>
      <c r="E46" s="2"/>
      <c r="F46" s="2"/>
      <c r="G46" s="2"/>
      <c r="H46" s="2"/>
    </row>
    <row r="47" spans="1:8" ht="11.25" x14ac:dyDescent="0.2">
      <c r="A47" s="2"/>
      <c r="B47" s="2"/>
      <c r="C47" s="2"/>
      <c r="D47" s="2"/>
      <c r="E47" s="2"/>
      <c r="F47" s="2"/>
      <c r="G47" s="2"/>
      <c r="H47" s="2"/>
    </row>
    <row r="48" spans="1:8" ht="11.25" x14ac:dyDescent="0.2">
      <c r="A48" s="2"/>
      <c r="B48" s="2"/>
      <c r="C48" s="2"/>
      <c r="D48" s="2"/>
      <c r="E48" s="2"/>
      <c r="F48" s="2"/>
      <c r="G48" s="2"/>
      <c r="H48" s="2"/>
    </row>
    <row r="49" spans="1:8" ht="11.25" x14ac:dyDescent="0.2">
      <c r="A49" s="2"/>
      <c r="B49" s="2"/>
      <c r="C49" s="2"/>
      <c r="D49" s="2"/>
      <c r="E49" s="2"/>
      <c r="F49" s="2"/>
      <c r="G49" s="2"/>
      <c r="H49" s="2"/>
    </row>
    <row r="50" spans="1:8" ht="11.25" x14ac:dyDescent="0.2">
      <c r="A50" s="2"/>
      <c r="B50" s="2"/>
      <c r="C50" s="2"/>
      <c r="D50" s="2"/>
      <c r="E50" s="2"/>
      <c r="F50" s="2"/>
      <c r="G50" s="2"/>
      <c r="H50" s="2"/>
    </row>
    <row r="51" spans="1:8" ht="11.25" x14ac:dyDescent="0.2">
      <c r="A51" s="2"/>
      <c r="B51" s="2"/>
      <c r="C51" s="2"/>
      <c r="D51" s="2"/>
      <c r="E51" s="2"/>
      <c r="F51" s="2"/>
      <c r="G51" s="2"/>
      <c r="H51" s="2"/>
    </row>
    <row r="52" spans="1:8" ht="11.25" x14ac:dyDescent="0.2">
      <c r="A52" s="2"/>
      <c r="B52" s="2"/>
      <c r="C52" s="2"/>
      <c r="D52" s="2"/>
      <c r="E52" s="2"/>
      <c r="F52" s="2"/>
      <c r="G52" s="2"/>
      <c r="H52" s="2"/>
    </row>
    <row r="53" spans="1:8" ht="11.25" x14ac:dyDescent="0.2">
      <c r="A53" s="2"/>
      <c r="B53" s="2"/>
      <c r="C53" s="2"/>
      <c r="D53" s="2"/>
      <c r="E53" s="2"/>
      <c r="F53" s="2"/>
      <c r="G53" s="2"/>
      <c r="H53" s="2"/>
    </row>
    <row r="54" spans="1:8" ht="11.25" x14ac:dyDescent="0.2">
      <c r="A54" s="2"/>
      <c r="B54" s="2"/>
      <c r="C54" s="2"/>
      <c r="D54" s="2"/>
      <c r="E54" s="2"/>
      <c r="F54" s="2"/>
      <c r="G54" s="2"/>
      <c r="H54" s="2"/>
    </row>
    <row r="55" spans="1:8" ht="11.25" x14ac:dyDescent="0.2">
      <c r="A55" s="2"/>
      <c r="B55" s="2"/>
      <c r="C55" s="2"/>
      <c r="D55" s="2"/>
      <c r="E55" s="2"/>
      <c r="F55" s="2"/>
      <c r="G55" s="2"/>
      <c r="H55" s="2"/>
    </row>
    <row r="56" spans="1:8" ht="11.25" x14ac:dyDescent="0.2">
      <c r="A56" s="2"/>
      <c r="B56" s="2"/>
      <c r="C56" s="2"/>
      <c r="D56" s="2"/>
      <c r="E56" s="2"/>
      <c r="F56" s="2"/>
      <c r="G56" s="2"/>
      <c r="H56" s="2"/>
    </row>
    <row r="57" spans="1:8" ht="11.25" x14ac:dyDescent="0.2">
      <c r="A57" s="2"/>
      <c r="B57" s="2"/>
      <c r="C57" s="2"/>
      <c r="D57" s="2"/>
      <c r="E57" s="2"/>
      <c r="F57" s="2"/>
      <c r="G57" s="2"/>
      <c r="H57" s="2"/>
    </row>
    <row r="58" spans="1:8" ht="11.25" x14ac:dyDescent="0.2">
      <c r="A58" s="2"/>
      <c r="B58" s="2"/>
      <c r="C58" s="2"/>
      <c r="D58" s="2"/>
      <c r="E58" s="2"/>
      <c r="F58" s="2"/>
      <c r="G58" s="2"/>
      <c r="H58" s="2"/>
    </row>
    <row r="59" spans="1:8" ht="11.25" x14ac:dyDescent="0.2">
      <c r="A59" s="2"/>
      <c r="B59" s="2"/>
      <c r="C59" s="2"/>
      <c r="D59" s="2"/>
      <c r="E59" s="2"/>
      <c r="F59" s="2"/>
      <c r="G59" s="2"/>
      <c r="H59" s="2"/>
    </row>
    <row r="60" spans="1:8" ht="11.25" x14ac:dyDescent="0.2">
      <c r="A60" s="2"/>
      <c r="B60" s="2"/>
      <c r="C60" s="2"/>
      <c r="D60" s="2"/>
      <c r="E60" s="2"/>
      <c r="F60" s="2"/>
      <c r="G60" s="2"/>
      <c r="H60" s="2"/>
    </row>
    <row r="61" spans="1:8" ht="11.25" x14ac:dyDescent="0.2">
      <c r="A61" s="2"/>
      <c r="B61" s="2"/>
      <c r="C61" s="2"/>
      <c r="D61" s="2"/>
      <c r="E61" s="2"/>
      <c r="F61" s="2"/>
      <c r="G61" s="2"/>
      <c r="H61" s="2"/>
    </row>
    <row r="62" spans="1:8" ht="11.25" x14ac:dyDescent="0.2">
      <c r="A62" s="2"/>
      <c r="B62" s="2"/>
      <c r="C62" s="2"/>
      <c r="D62" s="2"/>
      <c r="E62" s="2"/>
      <c r="F62" s="2"/>
      <c r="G62" s="2"/>
      <c r="H62" s="2"/>
    </row>
    <row r="63" spans="1:8" ht="11.25" x14ac:dyDescent="0.2">
      <c r="A63" s="2"/>
      <c r="B63" s="2"/>
      <c r="C63" s="2"/>
      <c r="D63" s="2"/>
      <c r="E63" s="2"/>
      <c r="F63" s="2"/>
      <c r="G63" s="2"/>
      <c r="H63" s="2"/>
    </row>
    <row r="64" spans="1:8" ht="11.25" x14ac:dyDescent="0.2">
      <c r="A64" s="2"/>
      <c r="B64" s="2"/>
      <c r="C64" s="2"/>
      <c r="D64" s="2"/>
      <c r="E64" s="2"/>
      <c r="F64" s="2"/>
      <c r="G64" s="2"/>
      <c r="H64" s="2"/>
    </row>
    <row r="65" spans="1:8" ht="11.25" x14ac:dyDescent="0.2">
      <c r="A65" s="2"/>
      <c r="B65" s="2"/>
      <c r="C65" s="2"/>
      <c r="D65" s="2"/>
      <c r="E65" s="2"/>
      <c r="F65" s="2"/>
      <c r="G65" s="2"/>
      <c r="H65" s="2"/>
    </row>
    <row r="66" spans="1:8" ht="11.25" x14ac:dyDescent="0.2">
      <c r="A66" s="2"/>
      <c r="B66" s="2"/>
      <c r="C66" s="2"/>
      <c r="D66" s="2"/>
      <c r="E66" s="2"/>
      <c r="F66" s="2"/>
      <c r="G66" s="2"/>
      <c r="H66" s="2"/>
    </row>
    <row r="67" spans="1:8" ht="11.25" x14ac:dyDescent="0.2">
      <c r="A67" s="2"/>
      <c r="B67" s="2"/>
      <c r="C67" s="2"/>
      <c r="D67" s="2"/>
      <c r="E67" s="2"/>
      <c r="F67" s="2"/>
      <c r="G67" s="2"/>
      <c r="H67" s="2"/>
    </row>
    <row r="68" spans="1:8" ht="11.25" x14ac:dyDescent="0.2">
      <c r="A68" s="2"/>
      <c r="B68" s="2"/>
      <c r="C68" s="2"/>
      <c r="D68" s="2"/>
      <c r="E68" s="2"/>
      <c r="F68" s="2"/>
      <c r="G68" s="2"/>
      <c r="H68" s="2"/>
    </row>
    <row r="69" spans="1:8" ht="11.25" x14ac:dyDescent="0.2">
      <c r="A69" s="2"/>
      <c r="B69" s="2"/>
      <c r="C69" s="2"/>
      <c r="D69" s="2"/>
      <c r="E69" s="2"/>
      <c r="F69" s="2"/>
      <c r="G69" s="2"/>
      <c r="H69" s="2"/>
    </row>
    <row r="70" spans="1:8" ht="11.25" x14ac:dyDescent="0.2">
      <c r="A70" s="2"/>
      <c r="B70" s="2"/>
      <c r="C70" s="2"/>
      <c r="D70" s="2"/>
      <c r="E70" s="2"/>
      <c r="F70" s="2"/>
      <c r="G70" s="2"/>
      <c r="H70" s="2"/>
    </row>
    <row r="71" spans="1:8" ht="11.25" x14ac:dyDescent="0.2">
      <c r="A71" s="2"/>
      <c r="B71" s="2"/>
      <c r="C71" s="2"/>
      <c r="D71" s="2"/>
      <c r="E71" s="2"/>
      <c r="F71" s="2"/>
      <c r="G71" s="2"/>
      <c r="H71" s="2"/>
    </row>
    <row r="72" spans="1:8" ht="11.25" x14ac:dyDescent="0.2">
      <c r="A72" s="2"/>
      <c r="B72" s="2"/>
      <c r="C72" s="2"/>
      <c r="D72" s="2"/>
      <c r="E72" s="2"/>
      <c r="F72" s="2"/>
      <c r="G72" s="2"/>
      <c r="H72" s="2"/>
    </row>
    <row r="73" spans="1:8" ht="11.25" x14ac:dyDescent="0.2">
      <c r="A73" s="2"/>
      <c r="B73" s="2"/>
      <c r="C73" s="2"/>
      <c r="D73" s="2"/>
      <c r="E73" s="2"/>
      <c r="F73" s="2"/>
      <c r="G73" s="2"/>
      <c r="H73" s="2"/>
    </row>
    <row r="74" spans="1:8" ht="11.25" x14ac:dyDescent="0.2">
      <c r="A74" s="2"/>
      <c r="B74" s="2"/>
      <c r="C74" s="2"/>
      <c r="D74" s="2"/>
      <c r="E74" s="2"/>
      <c r="F74" s="2"/>
      <c r="G74" s="2"/>
      <c r="H74" s="2"/>
    </row>
    <row r="75" spans="1:8" ht="11.25" x14ac:dyDescent="0.2">
      <c r="A75" s="2"/>
      <c r="B75" s="2"/>
      <c r="C75" s="2"/>
      <c r="D75" s="2"/>
      <c r="E75" s="2"/>
      <c r="F75" s="2"/>
      <c r="G75" s="2"/>
      <c r="H75" s="2"/>
    </row>
    <row r="76" spans="1:8" ht="11.25" x14ac:dyDescent="0.2">
      <c r="A76" s="2"/>
      <c r="B76" s="2"/>
      <c r="C76" s="2"/>
      <c r="D76" s="2"/>
      <c r="E76" s="2"/>
      <c r="F76" s="2"/>
      <c r="G76" s="2"/>
      <c r="H76" s="2"/>
    </row>
    <row r="77" spans="1:8" ht="11.25" x14ac:dyDescent="0.2">
      <c r="A77" s="2"/>
      <c r="B77" s="2"/>
      <c r="C77" s="2"/>
      <c r="D77" s="2"/>
      <c r="E77" s="2"/>
      <c r="F77" s="2"/>
      <c r="G77" s="2"/>
      <c r="H77" s="2"/>
    </row>
    <row r="78" spans="1:8" ht="11.25" x14ac:dyDescent="0.2">
      <c r="A78" s="2"/>
      <c r="B78" s="2"/>
      <c r="C78" s="2"/>
      <c r="D78" s="2"/>
      <c r="E78" s="2"/>
      <c r="F78" s="2"/>
      <c r="G78" s="2"/>
      <c r="H78" s="2"/>
    </row>
    <row r="79" spans="1:8" ht="11.25" x14ac:dyDescent="0.2">
      <c r="A79" s="2"/>
      <c r="B79" s="2"/>
      <c r="C79" s="2"/>
      <c r="D79" s="2"/>
      <c r="E79" s="2"/>
      <c r="F79" s="2"/>
      <c r="G79" s="2"/>
      <c r="H79" s="2"/>
    </row>
    <row r="80" spans="1:8" ht="11.25" x14ac:dyDescent="0.2">
      <c r="A80" s="2"/>
      <c r="B80" s="2"/>
      <c r="C80" s="2"/>
      <c r="D80" s="2"/>
      <c r="E80" s="2"/>
      <c r="F80" s="2"/>
      <c r="G80" s="2"/>
      <c r="H80" s="2"/>
    </row>
    <row r="81" spans="1:8" ht="11.25" x14ac:dyDescent="0.2">
      <c r="A81" s="2"/>
      <c r="B81" s="2"/>
      <c r="C81" s="2"/>
      <c r="D81" s="2"/>
      <c r="E81" s="2"/>
      <c r="F81" s="2"/>
      <c r="G81" s="2"/>
      <c r="H81" s="2"/>
    </row>
    <row r="82" spans="1:8" ht="11.25" x14ac:dyDescent="0.2">
      <c r="A82" s="2"/>
      <c r="B82" s="2"/>
      <c r="C82" s="2"/>
      <c r="D82" s="2"/>
      <c r="E82" s="2"/>
      <c r="F82" s="2"/>
      <c r="G82" s="2"/>
      <c r="H82" s="2"/>
    </row>
    <row r="83" spans="1:8" ht="11.25" x14ac:dyDescent="0.2">
      <c r="A83" s="2"/>
      <c r="B83" s="2"/>
      <c r="C83" s="2"/>
      <c r="D83" s="2"/>
      <c r="E83" s="2"/>
      <c r="F83" s="2"/>
      <c r="G83" s="2"/>
      <c r="H83" s="2"/>
    </row>
    <row r="84" spans="1:8" ht="11.25" x14ac:dyDescent="0.2">
      <c r="A84" s="2"/>
      <c r="B84" s="2"/>
      <c r="C84" s="2"/>
      <c r="D84" s="2"/>
      <c r="E84" s="2"/>
      <c r="F84" s="2"/>
      <c r="G84" s="2"/>
      <c r="H84" s="2"/>
    </row>
    <row r="85" spans="1:8" ht="11.25" x14ac:dyDescent="0.2">
      <c r="A85" s="2"/>
      <c r="B85" s="2"/>
      <c r="C85" s="2"/>
      <c r="D85" s="2"/>
      <c r="E85" s="2"/>
      <c r="F85" s="2"/>
      <c r="G85" s="2"/>
      <c r="H85" s="2"/>
    </row>
    <row r="86" spans="1:8" ht="11.25" x14ac:dyDescent="0.2">
      <c r="A86" s="2"/>
      <c r="B86" s="2"/>
      <c r="C86" s="2"/>
      <c r="D86" s="2"/>
      <c r="E86" s="2"/>
      <c r="F86" s="2"/>
      <c r="G86" s="2"/>
      <c r="H86" s="2"/>
    </row>
    <row r="87" spans="1:8" ht="11.25" x14ac:dyDescent="0.2">
      <c r="A87" s="2"/>
      <c r="B87" s="2"/>
      <c r="C87" s="2"/>
      <c r="D87" s="2"/>
      <c r="E87" s="2"/>
      <c r="F87" s="2"/>
      <c r="G87" s="2"/>
      <c r="H87" s="2"/>
    </row>
    <row r="88" spans="1:8" ht="11.25" x14ac:dyDescent="0.2">
      <c r="A88" s="2"/>
      <c r="B88" s="2"/>
      <c r="C88" s="2"/>
      <c r="D88" s="2"/>
      <c r="E88" s="2"/>
      <c r="F88" s="2"/>
      <c r="G88" s="2"/>
      <c r="H88" s="2"/>
    </row>
    <row r="89" spans="1:8" ht="11.25" x14ac:dyDescent="0.2">
      <c r="A89" s="2"/>
      <c r="B89" s="2"/>
      <c r="C89" s="2"/>
      <c r="D89" s="2"/>
      <c r="E89" s="2"/>
      <c r="F89" s="2"/>
      <c r="G89" s="2"/>
      <c r="H89" s="2"/>
    </row>
    <row r="90" spans="1:8" ht="11.25" x14ac:dyDescent="0.2">
      <c r="A90" s="2"/>
      <c r="B90" s="2"/>
      <c r="C90" s="2"/>
      <c r="D90" s="2"/>
      <c r="E90" s="2"/>
      <c r="F90" s="2"/>
      <c r="G90" s="2"/>
      <c r="H90" s="2"/>
    </row>
    <row r="91" spans="1:8" ht="11.25" x14ac:dyDescent="0.2">
      <c r="A91" s="2"/>
      <c r="B91" s="2"/>
      <c r="C91" s="2"/>
      <c r="D91" s="2"/>
      <c r="E91" s="2"/>
      <c r="F91" s="2"/>
      <c r="G91" s="2"/>
      <c r="H91" s="2"/>
    </row>
    <row r="92" spans="1:8" ht="11.25" x14ac:dyDescent="0.2">
      <c r="A92" s="2"/>
      <c r="B92" s="2"/>
      <c r="C92" s="2"/>
      <c r="D92" s="2"/>
      <c r="E92" s="2"/>
      <c r="F92" s="2"/>
      <c r="G92" s="2"/>
      <c r="H92" s="2"/>
    </row>
    <row r="93" spans="1:8" ht="11.25" x14ac:dyDescent="0.2">
      <c r="A93" s="2"/>
      <c r="B93" s="2"/>
      <c r="C93" s="2"/>
      <c r="D93" s="2"/>
      <c r="E93" s="2"/>
      <c r="F93" s="2"/>
      <c r="G93" s="2"/>
      <c r="H93" s="2"/>
    </row>
    <row r="94" spans="1:8" ht="11.25" x14ac:dyDescent="0.2">
      <c r="A94" s="2"/>
      <c r="B94" s="2"/>
      <c r="C94" s="2"/>
      <c r="D94" s="2"/>
      <c r="E94" s="2"/>
      <c r="F94" s="2"/>
      <c r="G94" s="2"/>
      <c r="H94" s="2"/>
    </row>
    <row r="95" spans="1:8" ht="11.25" x14ac:dyDescent="0.2">
      <c r="A95" s="2"/>
      <c r="B95" s="2"/>
      <c r="C95" s="2"/>
      <c r="D95" s="2"/>
      <c r="E95" s="2"/>
      <c r="F95" s="2"/>
      <c r="G95" s="2"/>
      <c r="H95" s="2"/>
    </row>
    <row r="96" spans="1:8" ht="11.25" x14ac:dyDescent="0.2">
      <c r="A96" s="2"/>
      <c r="B96" s="2"/>
      <c r="C96" s="2"/>
      <c r="D96" s="2"/>
      <c r="E96" s="2"/>
      <c r="F96" s="2"/>
      <c r="G96" s="2"/>
      <c r="H96" s="2"/>
    </row>
    <row r="97" spans="1:8" ht="11.25" x14ac:dyDescent="0.2">
      <c r="A97" s="2"/>
      <c r="B97" s="2"/>
      <c r="C97" s="2"/>
      <c r="D97" s="2"/>
      <c r="E97" s="2"/>
      <c r="F97" s="2"/>
      <c r="G97" s="2"/>
      <c r="H97" s="2"/>
    </row>
    <row r="98" spans="1:8" ht="11.25" x14ac:dyDescent="0.2">
      <c r="A98" s="2"/>
      <c r="B98" s="2"/>
      <c r="C98" s="2"/>
      <c r="D98" s="2"/>
      <c r="E98" s="2"/>
      <c r="F98" s="2"/>
      <c r="G98" s="2"/>
      <c r="H98" s="2"/>
    </row>
    <row r="99" spans="1:8" ht="11.25" x14ac:dyDescent="0.2">
      <c r="A99" s="2"/>
      <c r="B99" s="2"/>
      <c r="C99" s="2"/>
      <c r="D99" s="2"/>
      <c r="E99" s="2"/>
      <c r="F99" s="2"/>
      <c r="G99" s="2"/>
      <c r="H99" s="2"/>
    </row>
    <row r="100" spans="1:8" ht="11.25" x14ac:dyDescent="0.2">
      <c r="A100" s="2"/>
      <c r="B100" s="2"/>
      <c r="C100" s="2"/>
      <c r="D100" s="2"/>
      <c r="E100" s="2"/>
      <c r="F100" s="2"/>
      <c r="G100" s="2"/>
      <c r="H100" s="2"/>
    </row>
    <row r="101" spans="1:8" ht="11.25" x14ac:dyDescent="0.2">
      <c r="A101" s="2"/>
      <c r="B101" s="2"/>
      <c r="C101" s="2"/>
      <c r="D101" s="2"/>
      <c r="E101" s="2"/>
      <c r="F101" s="2"/>
      <c r="G101" s="2"/>
      <c r="H101" s="2"/>
    </row>
    <row r="102" spans="1:8" ht="11.25" x14ac:dyDescent="0.2">
      <c r="A102" s="2"/>
      <c r="B102" s="2"/>
      <c r="C102" s="2"/>
      <c r="D102" s="2"/>
      <c r="E102" s="2"/>
      <c r="F102" s="2"/>
      <c r="G102" s="2"/>
      <c r="H102" s="2"/>
    </row>
    <row r="103" spans="1:8" ht="11.25" x14ac:dyDescent="0.2">
      <c r="A103" s="2"/>
      <c r="B103" s="2"/>
      <c r="C103" s="2"/>
      <c r="D103" s="2"/>
      <c r="E103" s="2"/>
      <c r="F103" s="2"/>
      <c r="G103" s="2"/>
      <c r="H103" s="2"/>
    </row>
    <row r="104" spans="1:8" ht="11.25" x14ac:dyDescent="0.2">
      <c r="A104" s="2"/>
      <c r="B104" s="2"/>
      <c r="C104" s="2"/>
      <c r="D104" s="2"/>
      <c r="E104" s="2"/>
      <c r="F104" s="2"/>
      <c r="G104" s="2"/>
      <c r="H104" s="2"/>
    </row>
    <row r="105" spans="1:8" ht="11.25" x14ac:dyDescent="0.2">
      <c r="A105" s="2"/>
      <c r="B105" s="2"/>
      <c r="C105" s="2"/>
      <c r="D105" s="2"/>
      <c r="E105" s="2"/>
      <c r="F105" s="2"/>
      <c r="G105" s="2"/>
      <c r="H105" s="2"/>
    </row>
    <row r="106" spans="1:8" ht="11.25" x14ac:dyDescent="0.2">
      <c r="A106" s="2"/>
      <c r="B106" s="2"/>
      <c r="C106" s="2"/>
      <c r="D106" s="2"/>
      <c r="E106" s="2"/>
      <c r="F106" s="2"/>
      <c r="G106" s="2"/>
      <c r="H106" s="2"/>
    </row>
    <row r="107" spans="1:8" ht="11.25" x14ac:dyDescent="0.2">
      <c r="A107" s="2"/>
      <c r="B107" s="2"/>
      <c r="C107" s="2"/>
      <c r="D107" s="2"/>
      <c r="E107" s="2"/>
      <c r="F107" s="2"/>
      <c r="G107" s="2"/>
      <c r="H107" s="2"/>
    </row>
    <row r="108" spans="1:8" ht="11.25" x14ac:dyDescent="0.2">
      <c r="A108" s="2"/>
      <c r="B108" s="2"/>
      <c r="C108" s="2"/>
      <c r="D108" s="2"/>
      <c r="E108" s="2"/>
      <c r="F108" s="2"/>
      <c r="G108" s="2"/>
      <c r="H108" s="2"/>
    </row>
    <row r="109" spans="1:8" ht="11.25" x14ac:dyDescent="0.2">
      <c r="A109" s="2"/>
      <c r="B109" s="2"/>
      <c r="C109" s="2"/>
      <c r="D109" s="2"/>
      <c r="E109" s="2"/>
      <c r="F109" s="2"/>
      <c r="G109" s="2"/>
      <c r="H109" s="2"/>
    </row>
    <row r="110" spans="1:8" ht="11.25" x14ac:dyDescent="0.2">
      <c r="A110" s="2"/>
      <c r="B110" s="2"/>
      <c r="C110" s="2"/>
      <c r="D110" s="2"/>
      <c r="E110" s="2"/>
      <c r="F110" s="2"/>
      <c r="G110" s="2"/>
      <c r="H110" s="2"/>
    </row>
    <row r="111" spans="1:8" ht="11.25" x14ac:dyDescent="0.2">
      <c r="A111" s="2"/>
      <c r="B111" s="2"/>
      <c r="C111" s="2"/>
      <c r="D111" s="2"/>
      <c r="E111" s="2"/>
      <c r="F111" s="2"/>
      <c r="G111" s="2"/>
      <c r="H111" s="2"/>
    </row>
    <row r="112" spans="1:8" ht="11.25" x14ac:dyDescent="0.2">
      <c r="A112" s="2"/>
      <c r="B112" s="2"/>
      <c r="C112" s="2"/>
      <c r="D112" s="2"/>
      <c r="E112" s="2"/>
      <c r="F112" s="2"/>
      <c r="G112" s="2"/>
      <c r="H112" s="2"/>
    </row>
    <row r="113" spans="1:8" ht="11.25" x14ac:dyDescent="0.2">
      <c r="A113" s="2"/>
      <c r="B113" s="2"/>
      <c r="C113" s="2"/>
      <c r="D113" s="2"/>
      <c r="E113" s="2"/>
      <c r="F113" s="2"/>
      <c r="G113" s="2"/>
      <c r="H113" s="2"/>
    </row>
    <row r="114" spans="1:8" ht="11.25" x14ac:dyDescent="0.2">
      <c r="A114" s="2"/>
      <c r="B114" s="2"/>
      <c r="C114" s="2"/>
      <c r="D114" s="2"/>
      <c r="E114" s="2"/>
      <c r="F114" s="2"/>
      <c r="G114" s="2"/>
      <c r="H114" s="2"/>
    </row>
    <row r="115" spans="1:8" ht="11.25" x14ac:dyDescent="0.2">
      <c r="A115" s="2"/>
      <c r="B115" s="2"/>
      <c r="C115" s="2"/>
      <c r="D115" s="2"/>
      <c r="E115" s="2"/>
      <c r="F115" s="2"/>
      <c r="G115" s="2"/>
      <c r="H115" s="2"/>
    </row>
    <row r="116" spans="1:8" ht="11.25" x14ac:dyDescent="0.2">
      <c r="A116" s="2"/>
      <c r="B116" s="2"/>
      <c r="C116" s="2"/>
      <c r="D116" s="2"/>
      <c r="E116" s="2"/>
      <c r="F116" s="2"/>
      <c r="G116" s="2"/>
      <c r="H116" s="2"/>
    </row>
    <row r="117" spans="1:8" ht="11.25" x14ac:dyDescent="0.2">
      <c r="A117" s="2"/>
      <c r="B117" s="2"/>
      <c r="C117" s="2"/>
      <c r="D117" s="2"/>
      <c r="E117" s="2"/>
      <c r="F117" s="2"/>
      <c r="G117" s="2"/>
      <c r="H117" s="2"/>
    </row>
    <row r="118" spans="1:8" ht="11.25" x14ac:dyDescent="0.2">
      <c r="A118" s="2"/>
      <c r="B118" s="2"/>
      <c r="C118" s="2"/>
      <c r="D118" s="2"/>
      <c r="E118" s="2"/>
      <c r="F118" s="2"/>
      <c r="G118" s="2"/>
      <c r="H118" s="2"/>
    </row>
    <row r="119" spans="1:8" ht="11.25" x14ac:dyDescent="0.2">
      <c r="A119" s="2"/>
      <c r="B119" s="2"/>
      <c r="C119" s="2"/>
      <c r="D119" s="2"/>
      <c r="E119" s="2"/>
      <c r="F119" s="2"/>
      <c r="G119" s="2"/>
      <c r="H119" s="2"/>
    </row>
    <row r="120" spans="1:8" ht="11.25" x14ac:dyDescent="0.2">
      <c r="A120" s="2"/>
      <c r="B120" s="2"/>
      <c r="C120" s="2"/>
      <c r="D120" s="2"/>
      <c r="E120" s="2"/>
      <c r="F120" s="2"/>
      <c r="G120" s="2"/>
      <c r="H120" s="2"/>
    </row>
    <row r="121" spans="1:8" ht="11.25" x14ac:dyDescent="0.2">
      <c r="A121" s="2"/>
      <c r="B121" s="2"/>
      <c r="C121" s="2"/>
      <c r="D121" s="2"/>
      <c r="E121" s="2"/>
      <c r="F121" s="2"/>
      <c r="G121" s="2"/>
      <c r="H121" s="2"/>
    </row>
    <row r="122" spans="1:8" ht="11.25" x14ac:dyDescent="0.2">
      <c r="A122" s="2"/>
      <c r="B122" s="2"/>
      <c r="C122" s="2"/>
      <c r="D122" s="2"/>
      <c r="E122" s="2"/>
      <c r="F122" s="2"/>
      <c r="G122" s="2"/>
      <c r="H122" s="2"/>
    </row>
    <row r="123" spans="1:8" ht="11.25" x14ac:dyDescent="0.2">
      <c r="A123" s="2"/>
      <c r="B123" s="2"/>
      <c r="C123" s="2"/>
      <c r="D123" s="2"/>
      <c r="E123" s="2"/>
      <c r="F123" s="2"/>
      <c r="G123" s="2"/>
      <c r="H123" s="2"/>
    </row>
    <row r="124" spans="1:8" ht="11.25" x14ac:dyDescent="0.2">
      <c r="A124" s="2"/>
      <c r="B124" s="2"/>
      <c r="C124" s="2"/>
      <c r="D124" s="2"/>
      <c r="E124" s="2"/>
      <c r="F124" s="2"/>
      <c r="G124" s="2"/>
      <c r="H124" s="2"/>
    </row>
    <row r="125" spans="1:8" ht="11.25" x14ac:dyDescent="0.2">
      <c r="A125" s="2"/>
      <c r="B125" s="2"/>
      <c r="C125" s="2"/>
      <c r="D125" s="2"/>
      <c r="E125" s="2"/>
      <c r="F125" s="2"/>
      <c r="G125" s="2"/>
      <c r="H125" s="2"/>
    </row>
  </sheetData>
  <printOptions horizontalCentered="1"/>
  <pageMargins left="0.5" right="0.5" top="1" bottom="1" header="0.5" footer="0.5"/>
  <pageSetup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zoomScaleNormal="100" workbookViewId="0">
      <selection activeCell="Q34" sqref="Q34"/>
    </sheetView>
  </sheetViews>
  <sheetFormatPr defaultRowHeight="10.5" x14ac:dyDescent="0.15"/>
  <cols>
    <col min="1" max="8" width="12.83203125" customWidth="1"/>
  </cols>
  <sheetData>
    <row r="1" spans="1:9" ht="12.75" x14ac:dyDescent="0.2">
      <c r="A1" s="2220" t="s">
        <v>2363</v>
      </c>
      <c r="B1" s="2220"/>
      <c r="C1" s="2220"/>
      <c r="D1" s="2220"/>
      <c r="E1" s="2220"/>
      <c r="F1" s="2220"/>
      <c r="G1" s="2220"/>
      <c r="H1" s="2220"/>
      <c r="I1" s="2"/>
    </row>
    <row r="2" spans="1:9" ht="12.75" x14ac:dyDescent="0.2">
      <c r="A2" s="2220" t="str">
        <f>'SCH L - Tariff'!C9</f>
        <v>CASE NO. 2016 - 00162</v>
      </c>
      <c r="B2" s="2220"/>
      <c r="C2" s="2220"/>
      <c r="D2" s="2220"/>
      <c r="E2" s="2220"/>
      <c r="F2" s="2220"/>
      <c r="G2" s="2220"/>
      <c r="H2" s="2220"/>
      <c r="I2" s="2"/>
    </row>
    <row r="3" spans="1:9" ht="12.75" x14ac:dyDescent="0.2">
      <c r="A3" s="2220" t="s">
        <v>2358</v>
      </c>
      <c r="B3" s="2220"/>
      <c r="C3" s="2220"/>
      <c r="D3" s="2220"/>
      <c r="E3" s="2220"/>
      <c r="F3" s="2220"/>
      <c r="G3" s="2220"/>
      <c r="H3" s="2220"/>
      <c r="I3" s="2"/>
    </row>
    <row r="4" spans="1:9" ht="12.75" x14ac:dyDescent="0.2">
      <c r="A4" s="2221" t="s">
        <v>1983</v>
      </c>
      <c r="B4" s="2221"/>
      <c r="C4" s="2221"/>
      <c r="D4" s="2221"/>
      <c r="E4" s="2221"/>
      <c r="F4" s="2221"/>
      <c r="G4" s="2221"/>
      <c r="H4" s="2221"/>
      <c r="I4" s="2"/>
    </row>
    <row r="5" spans="1:9" ht="12.75" x14ac:dyDescent="0.2">
      <c r="A5" s="1869"/>
      <c r="B5" s="1869"/>
      <c r="C5" s="1869"/>
      <c r="D5" s="1869"/>
      <c r="E5" s="1869"/>
      <c r="F5" s="1869"/>
      <c r="G5" s="1869"/>
      <c r="H5" s="1869"/>
      <c r="I5" s="2"/>
    </row>
    <row r="6" spans="1:9" ht="12.75" x14ac:dyDescent="0.2">
      <c r="A6" s="1919"/>
      <c r="B6" s="1919"/>
      <c r="C6" s="1919"/>
      <c r="D6" s="1919"/>
      <c r="E6" s="1919"/>
      <c r="F6" s="1919"/>
      <c r="G6" s="1919"/>
      <c r="H6" s="1919"/>
      <c r="I6" s="1921"/>
    </row>
    <row r="7" spans="1:9" ht="12.75" x14ac:dyDescent="0.2">
      <c r="A7" s="1873" t="s">
        <v>2364</v>
      </c>
      <c r="B7" s="1919"/>
      <c r="C7" s="1919"/>
      <c r="D7" s="1919"/>
      <c r="E7" s="1919"/>
      <c r="F7" s="1919"/>
      <c r="G7" s="1921"/>
      <c r="H7" s="1922" t="s">
        <v>2365</v>
      </c>
      <c r="I7" s="1921"/>
    </row>
    <row r="8" spans="1:9" ht="12.75" x14ac:dyDescent="0.2">
      <c r="A8" s="1873" t="s">
        <v>627</v>
      </c>
      <c r="B8" s="1919"/>
      <c r="C8" s="1919"/>
      <c r="D8" s="1919"/>
      <c r="E8" s="1919"/>
      <c r="F8" s="1919"/>
      <c r="G8" s="1921"/>
      <c r="H8" s="1922" t="s">
        <v>1299</v>
      </c>
      <c r="I8" s="1921"/>
    </row>
    <row r="9" spans="1:9" ht="12.75" x14ac:dyDescent="0.2">
      <c r="A9" s="1923" t="s">
        <v>850</v>
      </c>
      <c r="B9" s="1924"/>
      <c r="C9" s="1924"/>
      <c r="D9" s="1924"/>
      <c r="E9" s="1924"/>
      <c r="F9" s="1925"/>
      <c r="G9" s="1926"/>
      <c r="H9" s="1927" t="s">
        <v>2367</v>
      </c>
      <c r="I9" s="1921"/>
    </row>
    <row r="10" spans="1:9" ht="12.75" x14ac:dyDescent="0.2">
      <c r="A10" s="1919"/>
      <c r="B10" s="1919"/>
      <c r="C10" s="1919"/>
      <c r="D10" s="1919"/>
      <c r="E10" s="1919"/>
      <c r="F10" s="1919"/>
      <c r="G10" s="1919"/>
      <c r="H10" s="1919"/>
      <c r="I10" s="1921"/>
    </row>
    <row r="11" spans="1:9" ht="12.75" x14ac:dyDescent="0.2">
      <c r="A11" s="1919"/>
      <c r="B11" s="1919"/>
      <c r="C11" s="1919"/>
      <c r="D11" s="1919"/>
      <c r="E11" s="1919"/>
      <c r="F11" s="1919"/>
      <c r="G11" s="1919"/>
      <c r="H11" s="1919"/>
      <c r="I11" s="1921"/>
    </row>
    <row r="12" spans="1:9" ht="12.75" x14ac:dyDescent="0.2">
      <c r="A12" s="2222" t="s">
        <v>2366</v>
      </c>
      <c r="B12" s="2222"/>
      <c r="C12" s="2222"/>
      <c r="D12" s="2222"/>
      <c r="E12" s="2222"/>
      <c r="F12" s="2222"/>
      <c r="G12" s="2222"/>
      <c r="H12" s="2222"/>
      <c r="I12" s="2"/>
    </row>
    <row r="13" spans="1:9" ht="12.75" x14ac:dyDescent="0.2">
      <c r="A13" s="1869"/>
      <c r="B13" s="1869"/>
      <c r="C13" s="1869"/>
      <c r="D13" s="1869"/>
      <c r="E13" s="1869"/>
      <c r="F13" s="1869"/>
      <c r="G13" s="1869"/>
      <c r="H13" s="1869"/>
      <c r="I13" s="2"/>
    </row>
    <row r="14" spans="1:9" ht="12.75" x14ac:dyDescent="0.2">
      <c r="A14" s="1869"/>
      <c r="B14" s="1869"/>
      <c r="C14" s="1869"/>
      <c r="D14" s="1869"/>
      <c r="E14" s="1869"/>
      <c r="F14" s="1869"/>
      <c r="G14" s="1869"/>
      <c r="H14" s="1869"/>
      <c r="I14" s="2"/>
    </row>
    <row r="15" spans="1:9" ht="11.25" x14ac:dyDescent="0.2">
      <c r="A15" s="2"/>
      <c r="B15" s="2"/>
      <c r="C15" s="2"/>
      <c r="D15" s="2"/>
      <c r="E15" s="2"/>
      <c r="F15" s="2"/>
      <c r="G15" s="2"/>
      <c r="H15" s="2"/>
      <c r="I15" s="2"/>
    </row>
    <row r="16" spans="1:9" ht="11.25" x14ac:dyDescent="0.2">
      <c r="A16" s="2"/>
      <c r="B16" s="2"/>
      <c r="C16" s="2"/>
      <c r="D16" s="2"/>
      <c r="E16" s="2"/>
      <c r="F16" s="2"/>
      <c r="G16" s="2"/>
      <c r="H16" s="2"/>
      <c r="I16" s="2"/>
    </row>
    <row r="17" spans="1:9" ht="11.25" x14ac:dyDescent="0.2">
      <c r="A17" s="2"/>
      <c r="B17" s="2"/>
      <c r="C17" s="2"/>
      <c r="D17" s="2"/>
      <c r="E17" s="2"/>
      <c r="F17" s="2"/>
      <c r="G17" s="2"/>
      <c r="H17" s="2"/>
      <c r="I17" s="2"/>
    </row>
  </sheetData>
  <mergeCells count="5">
    <mergeCell ref="A1:H1"/>
    <mergeCell ref="A2:H2"/>
    <mergeCell ref="A3:H3"/>
    <mergeCell ref="A4:H4"/>
    <mergeCell ref="A12:H12"/>
  </mergeCells>
  <printOptions horizontalCentered="1"/>
  <pageMargins left="0.25" right="0.25" top="1" bottom="1" header="0.5" footer="0.5"/>
  <pageSetup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29">
    <pageSetUpPr fitToPage="1"/>
  </sheetPr>
  <dimension ref="A1:U94"/>
  <sheetViews>
    <sheetView showGridLines="0" view="pageBreakPreview" zoomScale="80" zoomScaleNormal="80" zoomScaleSheetLayoutView="80" workbookViewId="0">
      <selection activeCell="F46" sqref="F46"/>
    </sheetView>
  </sheetViews>
  <sheetFormatPr defaultColWidth="12.5" defaultRowHeight="12.75" x14ac:dyDescent="0.2"/>
  <cols>
    <col min="1" max="1" width="4.1640625" style="42" customWidth="1"/>
    <col min="2" max="2" width="1.6640625" style="42" customWidth="1"/>
    <col min="3" max="3" width="8.33203125" style="119" customWidth="1"/>
    <col min="4" max="4" width="1.6640625" style="42" customWidth="1"/>
    <col min="5" max="5" width="7.6640625" style="42" customWidth="1"/>
    <col min="6" max="19" width="14.5" style="42" customWidth="1"/>
    <col min="20" max="23" width="12" style="42" customWidth="1"/>
    <col min="24" max="16384" width="12.5" style="42"/>
  </cols>
  <sheetData>
    <row r="1" spans="1:19" x14ac:dyDescent="0.2">
      <c r="A1" s="2064" t="str">
        <f>co</f>
        <v>COLUMBIA GAS OF KENTUCKY, INC.</v>
      </c>
      <c r="B1" s="2064"/>
      <c r="C1" s="2064"/>
      <c r="D1" s="2064"/>
      <c r="E1" s="2064"/>
      <c r="F1" s="2064"/>
      <c r="G1" s="2064"/>
      <c r="H1" s="2064"/>
      <c r="I1" s="2064"/>
      <c r="J1" s="2064"/>
      <c r="K1" s="2064"/>
      <c r="L1" s="2064"/>
      <c r="M1" s="2064"/>
      <c r="N1" s="2064"/>
      <c r="O1" s="2064"/>
      <c r="P1" s="2064"/>
      <c r="Q1" s="2064"/>
      <c r="R1" s="2064"/>
      <c r="S1" s="2064"/>
    </row>
    <row r="2" spans="1:19" x14ac:dyDescent="0.2">
      <c r="A2" s="2066" t="str">
        <f>case</f>
        <v>CASE NO. 2016 - 00162</v>
      </c>
      <c r="B2" s="2066"/>
      <c r="C2" s="2066"/>
      <c r="D2" s="2066"/>
      <c r="E2" s="2066"/>
      <c r="F2" s="2066"/>
      <c r="G2" s="2066"/>
      <c r="H2" s="2066"/>
      <c r="I2" s="2066"/>
      <c r="J2" s="2066"/>
      <c r="K2" s="2066"/>
      <c r="L2" s="2066"/>
      <c r="M2" s="2066"/>
      <c r="N2" s="2066"/>
      <c r="O2" s="2066"/>
      <c r="P2" s="2066"/>
      <c r="Q2" s="2066"/>
      <c r="R2" s="2066"/>
      <c r="S2" s="2066"/>
    </row>
    <row r="3" spans="1:19" x14ac:dyDescent="0.2">
      <c r="A3" s="2067" t="s">
        <v>2243</v>
      </c>
      <c r="B3" s="2067"/>
      <c r="C3" s="2067"/>
      <c r="D3" s="2067"/>
      <c r="E3" s="2067"/>
      <c r="F3" s="2067"/>
      <c r="G3" s="2067"/>
      <c r="H3" s="2067"/>
      <c r="I3" s="2067"/>
      <c r="J3" s="2067"/>
      <c r="K3" s="2067"/>
      <c r="L3" s="2067"/>
      <c r="M3" s="2067"/>
      <c r="N3" s="2067"/>
      <c r="O3" s="2067"/>
      <c r="P3" s="2067"/>
      <c r="Q3" s="2067"/>
      <c r="R3" s="2067"/>
      <c r="S3" s="2067"/>
    </row>
    <row r="4" spans="1:19" x14ac:dyDescent="0.2">
      <c r="A4" s="2072" t="s">
        <v>2027</v>
      </c>
      <c r="B4" s="2069"/>
      <c r="C4" s="2069"/>
      <c r="D4" s="2069"/>
      <c r="E4" s="2069"/>
      <c r="F4" s="2069"/>
      <c r="G4" s="2069"/>
      <c r="H4" s="2069"/>
      <c r="I4" s="2069"/>
      <c r="J4" s="2069"/>
      <c r="K4" s="2069"/>
      <c r="L4" s="2069"/>
      <c r="M4" s="2069"/>
      <c r="N4" s="2069"/>
      <c r="O4" s="2069"/>
      <c r="P4" s="2069"/>
      <c r="Q4" s="2069"/>
      <c r="R4" s="2069"/>
      <c r="S4" s="2069"/>
    </row>
    <row r="5" spans="1:19" x14ac:dyDescent="0.2">
      <c r="H5" s="43"/>
    </row>
    <row r="6" spans="1:19" x14ac:dyDescent="0.2">
      <c r="S6" s="1128" t="s">
        <v>960</v>
      </c>
    </row>
    <row r="7" spans="1:19" x14ac:dyDescent="0.2">
      <c r="A7" s="287" t="s">
        <v>1103</v>
      </c>
      <c r="S7" s="1129" t="s">
        <v>567</v>
      </c>
    </row>
    <row r="8" spans="1:19" x14ac:dyDescent="0.2">
      <c r="A8" s="44" t="s">
        <v>690</v>
      </c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96" t="str">
        <f>SMK</f>
        <v>WITNESS:  S. M. KATKO</v>
      </c>
    </row>
    <row r="9" spans="1:19" x14ac:dyDescent="0.2">
      <c r="A9" s="45"/>
      <c r="B9" s="46"/>
      <c r="C9" s="120"/>
      <c r="D9" s="46"/>
      <c r="E9" s="46"/>
      <c r="F9" s="46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</row>
    <row r="10" spans="1:19" x14ac:dyDescent="0.2">
      <c r="A10" s="44" t="s">
        <v>632</v>
      </c>
      <c r="C10" s="121" t="s">
        <v>692</v>
      </c>
      <c r="E10" s="43"/>
      <c r="H10" s="106"/>
      <c r="I10" s="104"/>
      <c r="J10" s="106"/>
      <c r="K10" s="104"/>
      <c r="L10" s="104"/>
      <c r="M10" s="104"/>
      <c r="N10" s="106"/>
      <c r="O10" s="104"/>
      <c r="P10" s="106"/>
      <c r="S10" s="304" t="s">
        <v>673</v>
      </c>
    </row>
    <row r="11" spans="1:19" x14ac:dyDescent="0.2">
      <c r="A11" s="111" t="s">
        <v>635</v>
      </c>
      <c r="B11" s="112"/>
      <c r="C11" s="122" t="s">
        <v>635</v>
      </c>
      <c r="D11" s="112"/>
      <c r="E11" s="111"/>
      <c r="F11" s="1659" t="s">
        <v>2143</v>
      </c>
      <c r="G11" s="1659" t="s">
        <v>2144</v>
      </c>
      <c r="H11" s="1659" t="s">
        <v>2145</v>
      </c>
      <c r="I11" s="1659" t="s">
        <v>2146</v>
      </c>
      <c r="J11" s="1659" t="s">
        <v>2147</v>
      </c>
      <c r="K11" s="1659" t="s">
        <v>2148</v>
      </c>
      <c r="L11" s="1659" t="s">
        <v>2149</v>
      </c>
      <c r="M11" s="1659" t="s">
        <v>2150</v>
      </c>
      <c r="N11" s="1659" t="s">
        <v>2151</v>
      </c>
      <c r="O11" s="1659" t="s">
        <v>2152</v>
      </c>
      <c r="P11" s="1659" t="s">
        <v>2153</v>
      </c>
      <c r="Q11" s="1659" t="s">
        <v>2154</v>
      </c>
      <c r="R11" s="1659" t="s">
        <v>2155</v>
      </c>
      <c r="S11" s="114" t="s">
        <v>631</v>
      </c>
    </row>
    <row r="12" spans="1:19" x14ac:dyDescent="0.2">
      <c r="E12" s="104"/>
      <c r="F12" s="43" t="s">
        <v>639</v>
      </c>
      <c r="G12" s="43" t="s">
        <v>639</v>
      </c>
      <c r="H12" s="43" t="s">
        <v>639</v>
      </c>
      <c r="I12" s="43" t="s">
        <v>639</v>
      </c>
      <c r="J12" s="43" t="s">
        <v>639</v>
      </c>
      <c r="K12" s="43" t="s">
        <v>639</v>
      </c>
      <c r="L12" s="43" t="s">
        <v>639</v>
      </c>
      <c r="M12" s="43" t="s">
        <v>639</v>
      </c>
      <c r="N12" s="43" t="s">
        <v>639</v>
      </c>
      <c r="O12" s="43" t="s">
        <v>639</v>
      </c>
      <c r="P12" s="43" t="s">
        <v>639</v>
      </c>
      <c r="Q12" s="43" t="s">
        <v>639</v>
      </c>
      <c r="R12" s="43" t="s">
        <v>639</v>
      </c>
      <c r="S12" s="43" t="s">
        <v>639</v>
      </c>
    </row>
    <row r="13" spans="1:19" x14ac:dyDescent="0.2">
      <c r="A13" s="48"/>
      <c r="C13" s="123"/>
      <c r="E13" s="109"/>
      <c r="F13" s="51"/>
      <c r="G13" s="51"/>
      <c r="H13" s="104"/>
      <c r="I13" s="107"/>
      <c r="J13" s="104"/>
      <c r="K13" s="107"/>
      <c r="L13" s="107"/>
      <c r="M13" s="107"/>
      <c r="N13" s="107"/>
      <c r="O13" s="107"/>
      <c r="P13" s="107"/>
    </row>
    <row r="14" spans="1:19" x14ac:dyDescent="0.2">
      <c r="A14" s="48">
        <f t="shared" ref="A14:A19" si="0">A13+1</f>
        <v>1</v>
      </c>
      <c r="C14" s="123">
        <v>301</v>
      </c>
      <c r="E14" s="110"/>
      <c r="F14" s="301">
        <f>'WPB2.2 Plant detail-w slippage'!G1018</f>
        <v>521.20000000000005</v>
      </c>
      <c r="G14" s="301">
        <f>'WPB2.2 Plant detail-w slippage'!G1124</f>
        <v>521.20000000000005</v>
      </c>
      <c r="H14" s="301">
        <f>'WPB2.2 Plant detail-w slippage'!G1230</f>
        <v>521.20000000000005</v>
      </c>
      <c r="I14" s="301">
        <f>'WPB2.2 Plant detail-w slippage'!G1336</f>
        <v>521.20000000000005</v>
      </c>
      <c r="J14" s="301">
        <f>'WPB2.2 Plant detail-w slippage'!G1442</f>
        <v>521.20000000000005</v>
      </c>
      <c r="K14" s="301">
        <f>'WPB2.2 Plant detail-w slippage'!G1548</f>
        <v>521.20000000000005</v>
      </c>
      <c r="L14" s="301">
        <f>'WPB2.2 Plant detail-w slippage'!G1654</f>
        <v>521.20000000000005</v>
      </c>
      <c r="M14" s="301">
        <f>'WPB2.2 Plant detail-w slippage'!G1760</f>
        <v>521.20000000000005</v>
      </c>
      <c r="N14" s="301">
        <f>'WPB2.2 Plant detail-w slippage'!G1866</f>
        <v>521.20000000000005</v>
      </c>
      <c r="O14" s="301">
        <f>'WPB2.2 Plant detail-w slippage'!G1972</f>
        <v>521.20000000000005</v>
      </c>
      <c r="P14" s="301">
        <f>'WPB2.2 Plant detail-w slippage'!G2078</f>
        <v>521.20000000000005</v>
      </c>
      <c r="Q14" s="301">
        <f>'WPB2.2 Plant detail-w slippage'!G2184</f>
        <v>521.20000000000005</v>
      </c>
      <c r="R14" s="301">
        <f>'WPB2.2 Plant detail-w slippage'!G2290</f>
        <v>521.20000000000005</v>
      </c>
      <c r="S14" s="116">
        <f>AVERAGE(F14:R14)</f>
        <v>521.19999999999993</v>
      </c>
    </row>
    <row r="15" spans="1:19" x14ac:dyDescent="0.2">
      <c r="A15" s="48">
        <f t="shared" si="0"/>
        <v>2</v>
      </c>
      <c r="C15" s="123">
        <v>303</v>
      </c>
      <c r="E15" s="110"/>
      <c r="F15" s="301">
        <f>'WPB2.2 Plant detail-w slippage'!G1019</f>
        <v>74347.509999999995</v>
      </c>
      <c r="G15" s="301">
        <f>'WPB2.2 Plant detail-w slippage'!G1125</f>
        <v>74347.509999999995</v>
      </c>
      <c r="H15" s="301">
        <f>'WPB2.2 Plant detail-w slippage'!G1231</f>
        <v>74347.509999999995</v>
      </c>
      <c r="I15" s="301">
        <f>'WPB2.2 Plant detail-w slippage'!G1337</f>
        <v>74347.509999999995</v>
      </c>
      <c r="J15" s="301">
        <f>'WPB2.2 Plant detail-w slippage'!G1443</f>
        <v>74347.509999999995</v>
      </c>
      <c r="K15" s="301">
        <f>'WPB2.2 Plant detail-w slippage'!G1549</f>
        <v>74347.509999999995</v>
      </c>
      <c r="L15" s="301">
        <f>'WPB2.2 Plant detail-w slippage'!G1655</f>
        <v>74347.509999999995</v>
      </c>
      <c r="M15" s="301">
        <f>'WPB2.2 Plant detail-w slippage'!G1761</f>
        <v>74347.509999999995</v>
      </c>
      <c r="N15" s="301">
        <f>'WPB2.2 Plant detail-w slippage'!G1867</f>
        <v>74347.509999999995</v>
      </c>
      <c r="O15" s="301">
        <f>'WPB2.2 Plant detail-w slippage'!G1973</f>
        <v>74347.509999999995</v>
      </c>
      <c r="P15" s="301">
        <f>'WPB2.2 Plant detail-w slippage'!G2079</f>
        <v>74347.509999999995</v>
      </c>
      <c r="Q15" s="301">
        <f>'WPB2.2 Plant detail-w slippage'!G2185</f>
        <v>74347.509999999995</v>
      </c>
      <c r="R15" s="301">
        <f>'WPB2.2 Plant detail-w slippage'!G2291</f>
        <v>74347.509999999995</v>
      </c>
      <c r="S15" s="116">
        <f>AVERAGE(F15:R15)</f>
        <v>74347.509999999995</v>
      </c>
    </row>
    <row r="16" spans="1:19" x14ac:dyDescent="0.2">
      <c r="A16" s="48">
        <f t="shared" si="0"/>
        <v>3</v>
      </c>
      <c r="C16" s="123">
        <v>303.10000000000002</v>
      </c>
      <c r="E16" s="110"/>
      <c r="F16" s="301">
        <f>'WPB2.2 Plant detail-w slippage'!G1020</f>
        <v>0</v>
      </c>
      <c r="G16" s="301">
        <f>'WPB2.2 Plant detail-w slippage'!G1126</f>
        <v>0</v>
      </c>
      <c r="H16" s="301">
        <f>'WPB2.2 Plant detail-w slippage'!G1232</f>
        <v>0</v>
      </c>
      <c r="I16" s="301">
        <f>'WPB2.2 Plant detail-w slippage'!G1338</f>
        <v>0</v>
      </c>
      <c r="J16" s="301">
        <f>'WPB2.2 Plant detail-w slippage'!G1444</f>
        <v>0</v>
      </c>
      <c r="K16" s="301">
        <f>'WPB2.2 Plant detail-w slippage'!G1550</f>
        <v>0</v>
      </c>
      <c r="L16" s="301">
        <f>'WPB2.2 Plant detail-w slippage'!G1656</f>
        <v>0</v>
      </c>
      <c r="M16" s="301">
        <f>'WPB2.2 Plant detail-w slippage'!G1762</f>
        <v>0</v>
      </c>
      <c r="N16" s="301">
        <f>'WPB2.2 Plant detail-w slippage'!G1868</f>
        <v>0</v>
      </c>
      <c r="O16" s="301">
        <f>'WPB2.2 Plant detail-w slippage'!G1974</f>
        <v>0</v>
      </c>
      <c r="P16" s="301">
        <f>'WPB2.2 Plant detail-w slippage'!G2080</f>
        <v>0</v>
      </c>
      <c r="Q16" s="301">
        <f>'WPB2.2 Plant detail-w slippage'!G2186</f>
        <v>0</v>
      </c>
      <c r="R16" s="301">
        <f>'WPB2.2 Plant detail-w slippage'!G2292</f>
        <v>0</v>
      </c>
      <c r="S16" s="116">
        <f>AVERAGE(F16:R16)</f>
        <v>0</v>
      </c>
    </row>
    <row r="17" spans="1:19" x14ac:dyDescent="0.2">
      <c r="A17" s="48">
        <f t="shared" si="0"/>
        <v>4</v>
      </c>
      <c r="C17" s="123">
        <v>303.2</v>
      </c>
      <c r="E17" s="110"/>
      <c r="F17" s="301">
        <f>'WPB2.2 Plant detail-w slippage'!G1021</f>
        <v>0</v>
      </c>
      <c r="G17" s="301">
        <f>'WPB2.2 Plant detail-w slippage'!G1127</f>
        <v>0</v>
      </c>
      <c r="H17" s="301">
        <f>'WPB2.2 Plant detail-w slippage'!G1233</f>
        <v>0</v>
      </c>
      <c r="I17" s="301">
        <f>'WPB2.2 Plant detail-w slippage'!G1339</f>
        <v>0</v>
      </c>
      <c r="J17" s="301">
        <f>'WPB2.2 Plant detail-w slippage'!G1445</f>
        <v>0</v>
      </c>
      <c r="K17" s="301">
        <f>'WPB2.2 Plant detail-w slippage'!G1551</f>
        <v>0</v>
      </c>
      <c r="L17" s="301">
        <f>'WPB2.2 Plant detail-w slippage'!G1657</f>
        <v>0</v>
      </c>
      <c r="M17" s="301">
        <f>'WPB2.2 Plant detail-w slippage'!G1763</f>
        <v>0</v>
      </c>
      <c r="N17" s="301">
        <f>'WPB2.2 Plant detail-w slippage'!G1869</f>
        <v>0</v>
      </c>
      <c r="O17" s="301">
        <f>'WPB2.2 Plant detail-w slippage'!G1975</f>
        <v>0</v>
      </c>
      <c r="P17" s="301">
        <f>'WPB2.2 Plant detail-w slippage'!G2081</f>
        <v>0</v>
      </c>
      <c r="Q17" s="301">
        <f>'WPB2.2 Plant detail-w slippage'!G2187</f>
        <v>0</v>
      </c>
      <c r="R17" s="301">
        <f>'WPB2.2 Plant detail-w slippage'!G2293</f>
        <v>0</v>
      </c>
      <c r="S17" s="116">
        <f>AVERAGE(F17:R17)</f>
        <v>0</v>
      </c>
    </row>
    <row r="18" spans="1:19" x14ac:dyDescent="0.2">
      <c r="A18" s="48">
        <f t="shared" si="0"/>
        <v>5</v>
      </c>
      <c r="C18" s="123">
        <v>303.3</v>
      </c>
      <c r="E18" s="110"/>
      <c r="F18" s="302">
        <f>'WPB2.2 Plant detail-w slippage'!G1022</f>
        <v>6830686</v>
      </c>
      <c r="G18" s="302">
        <f>'WPB2.2 Plant detail-w slippage'!G1128</f>
        <v>6830686</v>
      </c>
      <c r="H18" s="302">
        <f>'WPB2.2 Plant detail-w slippage'!G1234</f>
        <v>6830686</v>
      </c>
      <c r="I18" s="302">
        <f>'WPB2.2 Plant detail-w slippage'!G1340</f>
        <v>6830686</v>
      </c>
      <c r="J18" s="302">
        <f>'WPB2.2 Plant detail-w slippage'!G1446</f>
        <v>7018586</v>
      </c>
      <c r="K18" s="302">
        <f>'WPB2.2 Plant detail-w slippage'!G1552</f>
        <v>7018586</v>
      </c>
      <c r="L18" s="302">
        <f>'WPB2.2 Plant detail-w slippage'!G1658</f>
        <v>7018586</v>
      </c>
      <c r="M18" s="302">
        <f>'WPB2.2 Plant detail-w slippage'!G1764</f>
        <v>9670586</v>
      </c>
      <c r="N18" s="302">
        <f>'WPB2.2 Plant detail-w slippage'!G1870</f>
        <v>9670586</v>
      </c>
      <c r="O18" s="302">
        <f>'WPB2.2 Plant detail-w slippage'!G1976</f>
        <v>9670586</v>
      </c>
      <c r="P18" s="302">
        <f>'WPB2.2 Plant detail-w slippage'!G2082</f>
        <v>9670586</v>
      </c>
      <c r="Q18" s="302">
        <f>'WPB2.2 Plant detail-w slippage'!G2188</f>
        <v>9670586</v>
      </c>
      <c r="R18" s="302">
        <f>'WPB2.2 Plant detail-w slippage'!G2294</f>
        <v>9717186</v>
      </c>
      <c r="S18" s="117">
        <f>AVERAGE(F18:R18)</f>
        <v>8188355.230769231</v>
      </c>
    </row>
    <row r="19" spans="1:19" x14ac:dyDescent="0.2">
      <c r="A19" s="48">
        <f t="shared" si="0"/>
        <v>6</v>
      </c>
      <c r="C19" s="52" t="s">
        <v>959</v>
      </c>
      <c r="F19" s="51">
        <f>SUM(F14:F18)</f>
        <v>6905554.71</v>
      </c>
      <c r="G19" s="51">
        <f t="shared" ref="G19:S19" si="1">SUM(G14:G18)</f>
        <v>6905554.71</v>
      </c>
      <c r="H19" s="51">
        <f t="shared" si="1"/>
        <v>6905554.71</v>
      </c>
      <c r="I19" s="51">
        <f t="shared" si="1"/>
        <v>6905554.71</v>
      </c>
      <c r="J19" s="51">
        <f t="shared" si="1"/>
        <v>7093454.71</v>
      </c>
      <c r="K19" s="51">
        <f t="shared" si="1"/>
        <v>7093454.71</v>
      </c>
      <c r="L19" s="51">
        <f t="shared" si="1"/>
        <v>7093454.71</v>
      </c>
      <c r="M19" s="51">
        <f t="shared" si="1"/>
        <v>9745454.7100000009</v>
      </c>
      <c r="N19" s="51">
        <f t="shared" si="1"/>
        <v>9745454.7100000009</v>
      </c>
      <c r="O19" s="51">
        <f t="shared" si="1"/>
        <v>9745454.7100000009</v>
      </c>
      <c r="P19" s="51">
        <f t="shared" si="1"/>
        <v>9745454.7100000009</v>
      </c>
      <c r="Q19" s="51">
        <f t="shared" si="1"/>
        <v>9745454.7100000009</v>
      </c>
      <c r="R19" s="51">
        <f t="shared" si="1"/>
        <v>9792054.7100000009</v>
      </c>
      <c r="S19" s="51">
        <f t="shared" si="1"/>
        <v>8263223.9407692309</v>
      </c>
    </row>
    <row r="20" spans="1:19" x14ac:dyDescent="0.2">
      <c r="A20" s="48"/>
      <c r="C20" s="123"/>
      <c r="E20" s="49"/>
      <c r="F20" s="51"/>
      <c r="G20" s="51"/>
      <c r="H20" s="107"/>
      <c r="I20" s="107"/>
      <c r="J20" s="108"/>
      <c r="K20" s="107"/>
      <c r="L20" s="107"/>
      <c r="M20" s="107"/>
      <c r="N20" s="108"/>
      <c r="O20" s="107"/>
      <c r="P20" s="107"/>
    </row>
    <row r="21" spans="1:19" x14ac:dyDescent="0.2">
      <c r="A21" s="48"/>
      <c r="C21" s="123"/>
      <c r="E21" s="109"/>
      <c r="F21" s="51"/>
      <c r="G21" s="51"/>
      <c r="H21" s="107"/>
      <c r="I21" s="107"/>
      <c r="J21" s="108"/>
      <c r="K21" s="107"/>
      <c r="L21" s="107"/>
      <c r="M21" s="107"/>
      <c r="N21" s="108"/>
      <c r="O21" s="107"/>
      <c r="P21" s="107"/>
    </row>
    <row r="22" spans="1:19" x14ac:dyDescent="0.2">
      <c r="A22" s="48">
        <f>A19+1</f>
        <v>7</v>
      </c>
      <c r="C22" s="123">
        <v>304.10000000000002</v>
      </c>
      <c r="E22" s="110"/>
      <c r="F22" s="302">
        <f>'WPB2.2 Plant detail-w slippage'!G1026</f>
        <v>0</v>
      </c>
      <c r="G22" s="302">
        <f>'WPB2.2 Plant detail-w slippage'!G1132</f>
        <v>0</v>
      </c>
      <c r="H22" s="302">
        <f>'WPB2.2 Plant detail-w slippage'!G1238</f>
        <v>0</v>
      </c>
      <c r="I22" s="302">
        <f>'WPB2.2 Plant detail-w slippage'!G1344</f>
        <v>0</v>
      </c>
      <c r="J22" s="302">
        <f>'WPB2.2 Plant detail-w slippage'!G1450</f>
        <v>0</v>
      </c>
      <c r="K22" s="302">
        <f>'WPB2.2 Plant detail-w slippage'!G1556</f>
        <v>0</v>
      </c>
      <c r="L22" s="302">
        <f>'WPB2.2 Plant detail-w slippage'!G1662</f>
        <v>0</v>
      </c>
      <c r="M22" s="302">
        <f>'WPB2.2 Plant detail-w slippage'!G1768</f>
        <v>0</v>
      </c>
      <c r="N22" s="302">
        <f>'WPB2.2 Plant detail-w slippage'!G1874</f>
        <v>0</v>
      </c>
      <c r="O22" s="302">
        <f>'WPB2.2 Plant detail-w slippage'!G1980</f>
        <v>0</v>
      </c>
      <c r="P22" s="302">
        <f>'WPB2.2 Plant detail-w slippage'!G2086</f>
        <v>0</v>
      </c>
      <c r="Q22" s="302">
        <f>'WPB2.2 Plant detail-w slippage'!G2192</f>
        <v>0</v>
      </c>
      <c r="R22" s="302">
        <f>'WPB2.2 Plant detail-w slippage'!G2298</f>
        <v>0</v>
      </c>
      <c r="S22" s="117">
        <f>AVERAGE(F22:R22)</f>
        <v>0</v>
      </c>
    </row>
    <row r="23" spans="1:19" x14ac:dyDescent="0.2">
      <c r="A23" s="48">
        <f>A22+1</f>
        <v>8</v>
      </c>
      <c r="C23" s="52" t="s">
        <v>679</v>
      </c>
      <c r="F23" s="51">
        <f>SUM(F22:F22)</f>
        <v>0</v>
      </c>
      <c r="G23" s="51">
        <f t="shared" ref="G23:S23" si="2">SUM(G22:G22)</f>
        <v>0</v>
      </c>
      <c r="H23" s="51">
        <f t="shared" si="2"/>
        <v>0</v>
      </c>
      <c r="I23" s="51">
        <f t="shared" si="2"/>
        <v>0</v>
      </c>
      <c r="J23" s="51">
        <f t="shared" si="2"/>
        <v>0</v>
      </c>
      <c r="K23" s="51">
        <f t="shared" si="2"/>
        <v>0</v>
      </c>
      <c r="L23" s="51">
        <f t="shared" si="2"/>
        <v>0</v>
      </c>
      <c r="M23" s="51">
        <f t="shared" si="2"/>
        <v>0</v>
      </c>
      <c r="N23" s="51">
        <f t="shared" si="2"/>
        <v>0</v>
      </c>
      <c r="O23" s="51">
        <f t="shared" si="2"/>
        <v>0</v>
      </c>
      <c r="P23" s="51">
        <f t="shared" si="2"/>
        <v>0</v>
      </c>
      <c r="Q23" s="51">
        <f t="shared" si="2"/>
        <v>0</v>
      </c>
      <c r="R23" s="51">
        <f t="shared" si="2"/>
        <v>0</v>
      </c>
      <c r="S23" s="51">
        <f t="shared" si="2"/>
        <v>0</v>
      </c>
    </row>
    <row r="24" spans="1:19" x14ac:dyDescent="0.2">
      <c r="A24" s="48"/>
      <c r="C24" s="123"/>
      <c r="E24" s="49"/>
      <c r="F24" s="51"/>
      <c r="G24" s="51"/>
      <c r="H24" s="107"/>
      <c r="I24" s="107"/>
      <c r="J24" s="108"/>
      <c r="K24" s="107"/>
      <c r="L24" s="107"/>
      <c r="M24" s="107"/>
      <c r="N24" s="108"/>
      <c r="O24" s="107"/>
      <c r="P24" s="107"/>
    </row>
    <row r="25" spans="1:19" x14ac:dyDescent="0.2">
      <c r="A25" s="48">
        <f>A23+1</f>
        <v>9</v>
      </c>
      <c r="C25" s="123"/>
      <c r="E25" s="50"/>
      <c r="F25" s="51"/>
      <c r="G25" s="51"/>
      <c r="H25" s="107"/>
      <c r="I25" s="107"/>
      <c r="J25" s="108"/>
      <c r="K25" s="107"/>
      <c r="L25" s="107"/>
      <c r="M25" s="107"/>
      <c r="N25" s="108"/>
      <c r="O25" s="107"/>
      <c r="P25" s="107"/>
    </row>
    <row r="26" spans="1:19" x14ac:dyDescent="0.2">
      <c r="A26" s="48">
        <f t="shared" ref="A26:A42" si="3">A25+1</f>
        <v>10</v>
      </c>
      <c r="C26" s="123">
        <v>374.1</v>
      </c>
      <c r="E26" s="52"/>
      <c r="F26" s="301">
        <f>'WPB2.2 Plant detail-w slippage'!G1030</f>
        <v>206</v>
      </c>
      <c r="G26" s="301">
        <f>'WPB2.2 Plant detail-w slippage'!G1136</f>
        <v>206</v>
      </c>
      <c r="H26" s="301">
        <f>'WPB2.2 Plant detail-w slippage'!G1242</f>
        <v>206</v>
      </c>
      <c r="I26" s="301">
        <f>'WPB2.2 Plant detail-w slippage'!G1348</f>
        <v>206</v>
      </c>
      <c r="J26" s="301">
        <f>'WPB2.2 Plant detail-w slippage'!G1454</f>
        <v>206</v>
      </c>
      <c r="K26" s="301">
        <f>'WPB2.2 Plant detail-w slippage'!G1560</f>
        <v>206</v>
      </c>
      <c r="L26" s="301">
        <f>'WPB2.2 Plant detail-w slippage'!G1666</f>
        <v>206</v>
      </c>
      <c r="M26" s="301">
        <f>'WPB2.2 Plant detail-w slippage'!G1772</f>
        <v>206</v>
      </c>
      <c r="N26" s="301">
        <f>'WPB2.2 Plant detail-w slippage'!G1878</f>
        <v>206</v>
      </c>
      <c r="O26" s="301">
        <f>'WPB2.2 Plant detail-w slippage'!G1984</f>
        <v>206</v>
      </c>
      <c r="P26" s="301">
        <f>'WPB2.2 Plant detail-w slippage'!G2090</f>
        <v>206</v>
      </c>
      <c r="Q26" s="301">
        <f>'WPB2.2 Plant detail-w slippage'!G2196</f>
        <v>206</v>
      </c>
      <c r="R26" s="301">
        <f>'WPB2.2 Plant detail-w slippage'!G2302</f>
        <v>206</v>
      </c>
      <c r="S26" s="116">
        <f>AVERAGE(F26:R26)</f>
        <v>206</v>
      </c>
    </row>
    <row r="27" spans="1:19" x14ac:dyDescent="0.2">
      <c r="A27" s="48">
        <f t="shared" si="3"/>
        <v>11</v>
      </c>
      <c r="C27" s="123">
        <v>374.2</v>
      </c>
      <c r="E27" s="52"/>
      <c r="F27" s="301">
        <f>'WPB2.2 Plant detail-w slippage'!G1031</f>
        <v>877756.18</v>
      </c>
      <c r="G27" s="301">
        <f>'WPB2.2 Plant detail-w slippage'!G1137</f>
        <v>877756.18</v>
      </c>
      <c r="H27" s="301">
        <f>'WPB2.2 Plant detail-w slippage'!G1243</f>
        <v>877756.18</v>
      </c>
      <c r="I27" s="301">
        <f>'WPB2.2 Plant detail-w slippage'!G1349</f>
        <v>877756.18</v>
      </c>
      <c r="J27" s="301">
        <f>'WPB2.2 Plant detail-w slippage'!G1455</f>
        <v>877756.18</v>
      </c>
      <c r="K27" s="301">
        <f>'WPB2.2 Plant detail-w slippage'!G1561</f>
        <v>877756.18</v>
      </c>
      <c r="L27" s="301">
        <f>'WPB2.2 Plant detail-w slippage'!G1667</f>
        <v>877756.18</v>
      </c>
      <c r="M27" s="301">
        <f>'WPB2.2 Plant detail-w slippage'!G1773</f>
        <v>877756.18</v>
      </c>
      <c r="N27" s="301">
        <f>'WPB2.2 Plant detail-w slippage'!G1879</f>
        <v>877756.18</v>
      </c>
      <c r="O27" s="301">
        <f>'WPB2.2 Plant detail-w slippage'!G1985</f>
        <v>877756.18</v>
      </c>
      <c r="P27" s="301">
        <f>'WPB2.2 Plant detail-w slippage'!G2091</f>
        <v>877756.18</v>
      </c>
      <c r="Q27" s="301">
        <f>'WPB2.2 Plant detail-w slippage'!G2197</f>
        <v>877756.18</v>
      </c>
      <c r="R27" s="301">
        <f>'WPB2.2 Plant detail-w slippage'!G2303</f>
        <v>877756.18</v>
      </c>
      <c r="S27" s="116">
        <f t="shared" ref="S27:S42" si="4">AVERAGE(F27:R27)</f>
        <v>877756.17999999982</v>
      </c>
    </row>
    <row r="28" spans="1:19" x14ac:dyDescent="0.2">
      <c r="A28" s="48">
        <f t="shared" si="3"/>
        <v>12</v>
      </c>
      <c r="C28" s="123">
        <v>374.4</v>
      </c>
      <c r="E28" s="52"/>
      <c r="F28" s="301">
        <f>'WPB2.2 Plant detail-w slippage'!G1032</f>
        <v>661305.66</v>
      </c>
      <c r="G28" s="301">
        <f>'WPB2.2 Plant detail-w slippage'!G1138</f>
        <v>661305.66</v>
      </c>
      <c r="H28" s="301">
        <f>'WPB2.2 Plant detail-w slippage'!G1244</f>
        <v>661305.66</v>
      </c>
      <c r="I28" s="301">
        <f>'WPB2.2 Plant detail-w slippage'!G1350</f>
        <v>661305.66</v>
      </c>
      <c r="J28" s="301">
        <f>'WPB2.2 Plant detail-w slippage'!G1456</f>
        <v>661305.66</v>
      </c>
      <c r="K28" s="301">
        <f>'WPB2.2 Plant detail-w slippage'!G1562</f>
        <v>661305.66</v>
      </c>
      <c r="L28" s="301">
        <f>'WPB2.2 Plant detail-w slippage'!G1668</f>
        <v>661305.66</v>
      </c>
      <c r="M28" s="301">
        <f>'WPB2.2 Plant detail-w slippage'!G1774</f>
        <v>661305.66</v>
      </c>
      <c r="N28" s="301">
        <f>'WPB2.2 Plant detail-w slippage'!G1880</f>
        <v>661305.66</v>
      </c>
      <c r="O28" s="301">
        <f>'WPB2.2 Plant detail-w slippage'!G1986</f>
        <v>661305.66</v>
      </c>
      <c r="P28" s="301">
        <f>'WPB2.2 Plant detail-w slippage'!G2092</f>
        <v>661305.66</v>
      </c>
      <c r="Q28" s="301">
        <f>'WPB2.2 Plant detail-w slippage'!G2198</f>
        <v>661305.66</v>
      </c>
      <c r="R28" s="301">
        <f>'WPB2.2 Plant detail-w slippage'!G2304</f>
        <v>661305.66</v>
      </c>
      <c r="S28" s="116">
        <f t="shared" si="4"/>
        <v>661305.66</v>
      </c>
    </row>
    <row r="29" spans="1:19" x14ac:dyDescent="0.2">
      <c r="A29" s="48">
        <f t="shared" si="3"/>
        <v>13</v>
      </c>
      <c r="C29" s="123">
        <v>374.5</v>
      </c>
      <c r="E29" s="52"/>
      <c r="F29" s="301">
        <f>'WPB2.2 Plant detail-w slippage'!G1033</f>
        <v>2703772.55</v>
      </c>
      <c r="G29" s="301">
        <f>'WPB2.2 Plant detail-w slippage'!G1139</f>
        <v>2705872.55</v>
      </c>
      <c r="H29" s="301">
        <f>'WPB2.2 Plant detail-w slippage'!G1245</f>
        <v>2709572.55</v>
      </c>
      <c r="I29" s="301">
        <f>'WPB2.2 Plant detail-w slippage'!G1351</f>
        <v>2712672.55</v>
      </c>
      <c r="J29" s="301">
        <f>'WPB2.2 Plant detail-w slippage'!G1457</f>
        <v>2717772.55</v>
      </c>
      <c r="K29" s="301">
        <f>'WPB2.2 Plant detail-w slippage'!G1563</f>
        <v>2721972.55</v>
      </c>
      <c r="L29" s="301">
        <f>'WPB2.2 Plant detail-w slippage'!G1669</f>
        <v>2726172.55</v>
      </c>
      <c r="M29" s="301">
        <f>'WPB2.2 Plant detail-w slippage'!G1775</f>
        <v>2731072.55</v>
      </c>
      <c r="N29" s="301">
        <f>'WPB2.2 Plant detail-w slippage'!G1881</f>
        <v>2734772.55</v>
      </c>
      <c r="O29" s="301">
        <f>'WPB2.2 Plant detail-w slippage'!G1987</f>
        <v>2739572.55</v>
      </c>
      <c r="P29" s="301">
        <f>'WPB2.2 Plant detail-w slippage'!G2093</f>
        <v>2744372.55</v>
      </c>
      <c r="Q29" s="301">
        <f>'WPB2.2 Plant detail-w slippage'!G2199</f>
        <v>2747772.55</v>
      </c>
      <c r="R29" s="301">
        <f>'WPB2.2 Plant detail-w slippage'!G2305</f>
        <v>2750972.55</v>
      </c>
      <c r="S29" s="116">
        <f t="shared" si="4"/>
        <v>2726641.7807692313</v>
      </c>
    </row>
    <row r="30" spans="1:19" x14ac:dyDescent="0.2">
      <c r="A30" s="48">
        <f t="shared" si="3"/>
        <v>14</v>
      </c>
      <c r="C30" s="123">
        <v>375.2</v>
      </c>
      <c r="E30" s="52"/>
      <c r="F30" s="301">
        <f>'WPB2.2 Plant detail-w slippage'!G1034</f>
        <v>2124.98</v>
      </c>
      <c r="G30" s="301">
        <f>'WPB2.2 Plant detail-w slippage'!G1140</f>
        <v>2124.98</v>
      </c>
      <c r="H30" s="301">
        <f>'WPB2.2 Plant detail-w slippage'!G1246</f>
        <v>2124.98</v>
      </c>
      <c r="I30" s="301">
        <f>'WPB2.2 Plant detail-w slippage'!G1352</f>
        <v>2124.98</v>
      </c>
      <c r="J30" s="301">
        <f>'WPB2.2 Plant detail-w slippage'!G1458</f>
        <v>2124.98</v>
      </c>
      <c r="K30" s="301">
        <f>'WPB2.2 Plant detail-w slippage'!G1564</f>
        <v>2124.98</v>
      </c>
      <c r="L30" s="301">
        <f>'WPB2.2 Plant detail-w slippage'!G1670</f>
        <v>2124.98</v>
      </c>
      <c r="M30" s="301">
        <f>'WPB2.2 Plant detail-w slippage'!G1776</f>
        <v>2124.98</v>
      </c>
      <c r="N30" s="301">
        <f>'WPB2.2 Plant detail-w slippage'!G1882</f>
        <v>2124.98</v>
      </c>
      <c r="O30" s="301">
        <f>'WPB2.2 Plant detail-w slippage'!G1988</f>
        <v>2124.98</v>
      </c>
      <c r="P30" s="301">
        <f>'WPB2.2 Plant detail-w slippage'!G2094</f>
        <v>2124.98</v>
      </c>
      <c r="Q30" s="301">
        <f>'WPB2.2 Plant detail-w slippage'!G2200</f>
        <v>2124.98</v>
      </c>
      <c r="R30" s="301">
        <f>'WPB2.2 Plant detail-w slippage'!G2306</f>
        <v>2124.98</v>
      </c>
      <c r="S30" s="116">
        <f t="shared" si="4"/>
        <v>2124.98</v>
      </c>
    </row>
    <row r="31" spans="1:19" x14ac:dyDescent="0.2">
      <c r="A31" s="48">
        <f t="shared" si="3"/>
        <v>15</v>
      </c>
      <c r="C31" s="123">
        <v>375.3</v>
      </c>
      <c r="E31" s="52"/>
      <c r="F31" s="301">
        <f>'WPB2.2 Plant detail-w slippage'!G1035</f>
        <v>0</v>
      </c>
      <c r="G31" s="301">
        <f>'WPB2.2 Plant detail-w slippage'!G1141</f>
        <v>0</v>
      </c>
      <c r="H31" s="301">
        <f>'WPB2.2 Plant detail-w slippage'!G1247</f>
        <v>0</v>
      </c>
      <c r="I31" s="301">
        <f>'WPB2.2 Plant detail-w slippage'!G1353</f>
        <v>0</v>
      </c>
      <c r="J31" s="301">
        <f>'WPB2.2 Plant detail-w slippage'!G1459</f>
        <v>0</v>
      </c>
      <c r="K31" s="301">
        <f>'WPB2.2 Plant detail-w slippage'!G1565</f>
        <v>0</v>
      </c>
      <c r="L31" s="301">
        <f>'WPB2.2 Plant detail-w slippage'!G1671</f>
        <v>0</v>
      </c>
      <c r="M31" s="301">
        <f>'WPB2.2 Plant detail-w slippage'!G1777</f>
        <v>0</v>
      </c>
      <c r="N31" s="301">
        <f>'WPB2.2 Plant detail-w slippage'!G1883</f>
        <v>0</v>
      </c>
      <c r="O31" s="301">
        <f>'WPB2.2 Plant detail-w slippage'!G1989</f>
        <v>0</v>
      </c>
      <c r="P31" s="301">
        <f>'WPB2.2 Plant detail-w slippage'!G2095</f>
        <v>0</v>
      </c>
      <c r="Q31" s="301">
        <f>'WPB2.2 Plant detail-w slippage'!G2201</f>
        <v>0</v>
      </c>
      <c r="R31" s="301">
        <f>'WPB2.2 Plant detail-w slippage'!G2307</f>
        <v>0</v>
      </c>
      <c r="S31" s="116">
        <f t="shared" si="4"/>
        <v>0</v>
      </c>
    </row>
    <row r="32" spans="1:19" x14ac:dyDescent="0.2">
      <c r="A32" s="48">
        <f t="shared" si="3"/>
        <v>16</v>
      </c>
      <c r="C32" s="123">
        <v>375.4</v>
      </c>
      <c r="E32" s="52"/>
      <c r="F32" s="301">
        <f>'WPB2.2 Plant detail-w slippage'!G1036</f>
        <v>2098430.02</v>
      </c>
      <c r="G32" s="301">
        <f>'WPB2.2 Plant detail-w slippage'!G1142</f>
        <v>2108930.02</v>
      </c>
      <c r="H32" s="301">
        <f>'WPB2.2 Plant detail-w slippage'!G1248</f>
        <v>2119430.02</v>
      </c>
      <c r="I32" s="301">
        <f>'WPB2.2 Plant detail-w slippage'!G1354</f>
        <v>2129430.02</v>
      </c>
      <c r="J32" s="301">
        <f>'WPB2.2 Plant detail-w slippage'!G1460</f>
        <v>2145330.02</v>
      </c>
      <c r="K32" s="301">
        <f>'WPB2.2 Plant detail-w slippage'!G1566</f>
        <v>2163430.02</v>
      </c>
      <c r="L32" s="301">
        <f>'WPB2.2 Plant detail-w slippage'!G1672</f>
        <v>2185530.02</v>
      </c>
      <c r="M32" s="301">
        <f>'WPB2.2 Plant detail-w slippage'!G1778</f>
        <v>2209130.02</v>
      </c>
      <c r="N32" s="301">
        <f>'WPB2.2 Plant detail-w slippage'!G1884</f>
        <v>2241230.02</v>
      </c>
      <c r="O32" s="301">
        <f>'WPB2.2 Plant detail-w slippage'!G1990</f>
        <v>2274930.02</v>
      </c>
      <c r="P32" s="301">
        <f>'WPB2.2 Plant detail-w slippage'!G2096</f>
        <v>2309130.02</v>
      </c>
      <c r="Q32" s="301">
        <f>'WPB2.2 Plant detail-w slippage'!G2202</f>
        <v>2330830.02</v>
      </c>
      <c r="R32" s="301">
        <f>'WPB2.2 Plant detail-w slippage'!G2308</f>
        <v>2351830.02</v>
      </c>
      <c r="S32" s="116">
        <f t="shared" si="4"/>
        <v>2205199.2507692305</v>
      </c>
    </row>
    <row r="33" spans="1:21" x14ac:dyDescent="0.2">
      <c r="A33" s="48">
        <f t="shared" si="3"/>
        <v>17</v>
      </c>
      <c r="C33" s="123">
        <v>375.6</v>
      </c>
      <c r="E33" s="52"/>
      <c r="F33" s="301">
        <f>'WPB2.2 Plant detail-w slippage'!G1037</f>
        <v>0</v>
      </c>
      <c r="G33" s="301">
        <f>'WPB2.2 Plant detail-w slippage'!G1143</f>
        <v>0</v>
      </c>
      <c r="H33" s="301">
        <f>'WPB2.2 Plant detail-w slippage'!G1249</f>
        <v>0</v>
      </c>
      <c r="I33" s="301">
        <f>'WPB2.2 Plant detail-w slippage'!G1355</f>
        <v>0</v>
      </c>
      <c r="J33" s="301">
        <f>'WPB2.2 Plant detail-w slippage'!G1461</f>
        <v>0</v>
      </c>
      <c r="K33" s="301">
        <f>'WPB2.2 Plant detail-w slippage'!G1567</f>
        <v>0</v>
      </c>
      <c r="L33" s="301">
        <f>'WPB2.2 Plant detail-w slippage'!G1673</f>
        <v>0</v>
      </c>
      <c r="M33" s="301">
        <f>'WPB2.2 Plant detail-w slippage'!G1779</f>
        <v>0</v>
      </c>
      <c r="N33" s="301">
        <f>'WPB2.2 Plant detail-w slippage'!G1885</f>
        <v>0</v>
      </c>
      <c r="O33" s="301">
        <f>'WPB2.2 Plant detail-w slippage'!G1991</f>
        <v>0</v>
      </c>
      <c r="P33" s="301">
        <f>'WPB2.2 Plant detail-w slippage'!G2097</f>
        <v>0</v>
      </c>
      <c r="Q33" s="301">
        <f>'WPB2.2 Plant detail-w slippage'!G2203</f>
        <v>0</v>
      </c>
      <c r="R33" s="301">
        <f>'WPB2.2 Plant detail-w slippage'!G2309</f>
        <v>0</v>
      </c>
      <c r="S33" s="116">
        <f t="shared" si="4"/>
        <v>0</v>
      </c>
    </row>
    <row r="34" spans="1:21" x14ac:dyDescent="0.2">
      <c r="A34" s="48">
        <f t="shared" si="3"/>
        <v>18</v>
      </c>
      <c r="C34" s="123">
        <v>375.7</v>
      </c>
      <c r="E34" s="52"/>
      <c r="F34" s="301">
        <f>'WPB2.2 Plant detail-w slippage'!G1038</f>
        <v>8255550.21</v>
      </c>
      <c r="G34" s="301">
        <f>'WPB2.2 Plant detail-w slippage'!G1144</f>
        <v>8298050.21</v>
      </c>
      <c r="H34" s="301">
        <f>'WPB2.2 Plant detail-w slippage'!G1250</f>
        <v>8340550.21</v>
      </c>
      <c r="I34" s="301">
        <f>'WPB2.2 Plant detail-w slippage'!G1356</f>
        <v>8383050.2100000009</v>
      </c>
      <c r="J34" s="301">
        <f>'WPB2.2 Plant detail-w slippage'!G1462</f>
        <v>8425550.2100000009</v>
      </c>
      <c r="K34" s="301">
        <f>'WPB2.2 Plant detail-w slippage'!G1568</f>
        <v>8468050.2100000009</v>
      </c>
      <c r="L34" s="301">
        <f>'WPB2.2 Plant detail-w slippage'!G1674</f>
        <v>8510550.2100000009</v>
      </c>
      <c r="M34" s="301">
        <f>'WPB2.2 Plant detail-w slippage'!G1780</f>
        <v>8553050.2100000009</v>
      </c>
      <c r="N34" s="301">
        <f>'WPB2.2 Plant detail-w slippage'!G1886</f>
        <v>8595550.2100000009</v>
      </c>
      <c r="O34" s="301">
        <f>'WPB2.2 Plant detail-w slippage'!G1992</f>
        <v>8638050.2100000009</v>
      </c>
      <c r="P34" s="301">
        <f>'WPB2.2 Plant detail-w slippage'!G2098</f>
        <v>8680550.2100000009</v>
      </c>
      <c r="Q34" s="301">
        <f>'WPB2.2 Plant detail-w slippage'!G2204</f>
        <v>10095450.210000001</v>
      </c>
      <c r="R34" s="301">
        <f>'WPB2.2 Plant detail-w slippage'!G2310</f>
        <v>10137950.210000001</v>
      </c>
      <c r="S34" s="116">
        <f t="shared" si="4"/>
        <v>8721688.6715384647</v>
      </c>
    </row>
    <row r="35" spans="1:21" x14ac:dyDescent="0.2">
      <c r="A35" s="48">
        <f t="shared" si="3"/>
        <v>19</v>
      </c>
      <c r="C35" s="123">
        <v>375.71</v>
      </c>
      <c r="E35" s="52"/>
      <c r="F35" s="301">
        <f>'WPB2.2 Plant detail-w slippage'!G1039</f>
        <v>259808.94</v>
      </c>
      <c r="G35" s="301">
        <f>'WPB2.2 Plant detail-w slippage'!G1145</f>
        <v>259808.94</v>
      </c>
      <c r="H35" s="301">
        <f>'WPB2.2 Plant detail-w slippage'!G1251</f>
        <v>259808.94</v>
      </c>
      <c r="I35" s="301">
        <f>'WPB2.2 Plant detail-w slippage'!G1357</f>
        <v>259808.94</v>
      </c>
      <c r="J35" s="301">
        <f>'WPB2.2 Plant detail-w slippage'!G1463</f>
        <v>259808.94</v>
      </c>
      <c r="K35" s="301">
        <f>'WPB2.2 Plant detail-w slippage'!G1569</f>
        <v>259808.94</v>
      </c>
      <c r="L35" s="301">
        <f>'WPB2.2 Plant detail-w slippage'!G1675</f>
        <v>259808.94</v>
      </c>
      <c r="M35" s="301">
        <f>'WPB2.2 Plant detail-w slippage'!G1781</f>
        <v>259808.94</v>
      </c>
      <c r="N35" s="301">
        <f>'WPB2.2 Plant detail-w slippage'!G1887</f>
        <v>259808.94</v>
      </c>
      <c r="O35" s="301">
        <f>'WPB2.2 Plant detail-w slippage'!G1993</f>
        <v>259808.94</v>
      </c>
      <c r="P35" s="301">
        <f>'WPB2.2 Plant detail-w slippage'!G2099</f>
        <v>259808.94</v>
      </c>
      <c r="Q35" s="301">
        <f>'WPB2.2 Plant detail-w slippage'!G2205</f>
        <v>259808.94</v>
      </c>
      <c r="R35" s="301">
        <f>'WPB2.2 Plant detail-w slippage'!G2311</f>
        <v>259808.94</v>
      </c>
      <c r="S35" s="116">
        <f t="shared" si="4"/>
        <v>259808.93999999997</v>
      </c>
    </row>
    <row r="36" spans="1:21" x14ac:dyDescent="0.2">
      <c r="A36" s="48">
        <f t="shared" si="3"/>
        <v>20</v>
      </c>
      <c r="C36" s="123">
        <v>375.8</v>
      </c>
      <c r="E36" s="52"/>
      <c r="F36" s="301">
        <f>'WPB2.2 Plant detail-w slippage'!G1040</f>
        <v>0</v>
      </c>
      <c r="G36" s="301">
        <f>'WPB2.2 Plant detail-w slippage'!G1146</f>
        <v>0</v>
      </c>
      <c r="H36" s="301">
        <f>'WPB2.2 Plant detail-w slippage'!G1252</f>
        <v>0</v>
      </c>
      <c r="I36" s="301">
        <f>'WPB2.2 Plant detail-w slippage'!G1358</f>
        <v>0</v>
      </c>
      <c r="J36" s="301">
        <f>'WPB2.2 Plant detail-w slippage'!G1464</f>
        <v>0</v>
      </c>
      <c r="K36" s="301">
        <f>'WPB2.2 Plant detail-w slippage'!G1570</f>
        <v>0</v>
      </c>
      <c r="L36" s="301">
        <f>'WPB2.2 Plant detail-w slippage'!G1676</f>
        <v>0</v>
      </c>
      <c r="M36" s="301">
        <f>'WPB2.2 Plant detail-w slippage'!G1782</f>
        <v>0</v>
      </c>
      <c r="N36" s="301">
        <f>'WPB2.2 Plant detail-w slippage'!G1888</f>
        <v>0</v>
      </c>
      <c r="O36" s="301">
        <f>'WPB2.2 Plant detail-w slippage'!G1994</f>
        <v>0</v>
      </c>
      <c r="P36" s="301">
        <f>'WPB2.2 Plant detail-w slippage'!G2100</f>
        <v>0</v>
      </c>
      <c r="Q36" s="301">
        <f>'WPB2.2 Plant detail-w slippage'!G2206</f>
        <v>0</v>
      </c>
      <c r="R36" s="301">
        <f>'WPB2.2 Plant detail-w slippage'!G2312</f>
        <v>0</v>
      </c>
      <c r="S36" s="116">
        <f t="shared" si="4"/>
        <v>0</v>
      </c>
    </row>
    <row r="37" spans="1:21" s="161" customFormat="1" x14ac:dyDescent="0.2">
      <c r="A37" s="1727">
        <f t="shared" si="3"/>
        <v>21</v>
      </c>
      <c r="C37" s="1728">
        <v>376</v>
      </c>
      <c r="E37" s="178"/>
      <c r="F37" s="301">
        <f>SUM('WPB2.2 Plant detail-w slippage'!G1042:G1046)</f>
        <v>213379005.44</v>
      </c>
      <c r="G37" s="301">
        <f>SUM('WPB2.2 Plant detail-w slippage'!G1148:G1152)</f>
        <v>213870725.44</v>
      </c>
      <c r="H37" s="301">
        <f>SUM('WPB2.2 Plant detail-w slippage'!G1254:G1258)</f>
        <v>214363445.44</v>
      </c>
      <c r="I37" s="301">
        <f>SUM('WPB2.2 Plant detail-w slippage'!G1360:G1364)</f>
        <v>214934165.44</v>
      </c>
      <c r="J37" s="301">
        <f>SUM('WPB2.2 Plant detail-w slippage'!G1466:G1470)</f>
        <v>215804785.44</v>
      </c>
      <c r="K37" s="301">
        <f>SUM('WPB2.2 Plant detail-w slippage'!G1572:G1576)</f>
        <v>216878305.44</v>
      </c>
      <c r="L37" s="301">
        <f>SUM('WPB2.2 Plant detail-w slippage'!G1678:G1682)</f>
        <v>218450525.44</v>
      </c>
      <c r="M37" s="301">
        <f>SUM('WPB2.2 Plant detail-w slippage'!G1784:G1788)</f>
        <v>219871345.44</v>
      </c>
      <c r="N37" s="301">
        <f>SUM('WPB2.2 Plant detail-w slippage'!G1890:G1894)</f>
        <v>222026665.44</v>
      </c>
      <c r="O37" s="301">
        <f>SUM('WPB2.2 Plant detail-w slippage'!G1996:G2000)</f>
        <v>223834385.44</v>
      </c>
      <c r="P37" s="301">
        <f>SUM('WPB2.2 Plant detail-w slippage'!G2102:G2106)</f>
        <v>225744205.44</v>
      </c>
      <c r="Q37" s="301">
        <f>SUM('WPB2.2 Plant detail-w slippage'!G2208:G2212)</f>
        <v>227065325.44</v>
      </c>
      <c r="R37" s="301">
        <f>SUM('WPB2.2 Plant detail-w slippage'!G2314:G2318)</f>
        <v>228158045.44</v>
      </c>
      <c r="S37" s="1885">
        <f t="shared" si="4"/>
        <v>219567763.90153849</v>
      </c>
      <c r="U37" s="1807"/>
    </row>
    <row r="38" spans="1:21" x14ac:dyDescent="0.2">
      <c r="A38" s="48">
        <f t="shared" si="3"/>
        <v>22</v>
      </c>
      <c r="C38" s="123">
        <v>378.1</v>
      </c>
      <c r="E38" s="52"/>
      <c r="F38" s="301">
        <f>'WPB2.2 Plant detail-w slippage'!G1047</f>
        <v>518504.18</v>
      </c>
      <c r="G38" s="301">
        <f>'WPB2.2 Plant detail-w slippage'!G1153</f>
        <v>518504.18</v>
      </c>
      <c r="H38" s="301">
        <f>'WPB2.2 Plant detail-w slippage'!G1259</f>
        <v>518504.18</v>
      </c>
      <c r="I38" s="301">
        <f>'WPB2.2 Plant detail-w slippage'!G1365</f>
        <v>518504.18</v>
      </c>
      <c r="J38" s="301">
        <f>'WPB2.2 Plant detail-w slippage'!G1471</f>
        <v>518504.18</v>
      </c>
      <c r="K38" s="301">
        <f>'WPB2.2 Plant detail-w slippage'!G1577</f>
        <v>518504.18</v>
      </c>
      <c r="L38" s="301">
        <f>'WPB2.2 Plant detail-w slippage'!G1683</f>
        <v>518504.18</v>
      </c>
      <c r="M38" s="301">
        <f>'WPB2.2 Plant detail-w slippage'!G1789</f>
        <v>518504.18</v>
      </c>
      <c r="N38" s="301">
        <f>'WPB2.2 Plant detail-w slippage'!G1895</f>
        <v>518504.18</v>
      </c>
      <c r="O38" s="301">
        <f>'WPB2.2 Plant detail-w slippage'!G2001</f>
        <v>518504.18</v>
      </c>
      <c r="P38" s="301">
        <f>'WPB2.2 Plant detail-w slippage'!G2107</f>
        <v>518504.18</v>
      </c>
      <c r="Q38" s="301">
        <f>'WPB2.2 Plant detail-w slippage'!G2213</f>
        <v>518504.18</v>
      </c>
      <c r="R38" s="301">
        <f>'WPB2.2 Plant detail-w slippage'!G2319</f>
        <v>518504.18</v>
      </c>
      <c r="S38" s="116">
        <f t="shared" si="4"/>
        <v>518504.17999999993</v>
      </c>
    </row>
    <row r="39" spans="1:21" x14ac:dyDescent="0.2">
      <c r="A39" s="48">
        <f t="shared" si="3"/>
        <v>23</v>
      </c>
      <c r="C39" s="123">
        <v>378.2</v>
      </c>
      <c r="E39" s="52"/>
      <c r="F39" s="301">
        <f>'WPB2.2 Plant detail-w slippage'!G1048</f>
        <v>9783924</v>
      </c>
      <c r="G39" s="301">
        <f>'WPB2.2 Plant detail-w slippage'!G1154</f>
        <v>9798624</v>
      </c>
      <c r="H39" s="301">
        <f>'WPB2.2 Plant detail-w slippage'!G1260</f>
        <v>9808624</v>
      </c>
      <c r="I39" s="301">
        <f>'WPB2.2 Plant detail-w slippage'!G1366</f>
        <v>9819524</v>
      </c>
      <c r="J39" s="301">
        <f>'WPB2.2 Plant detail-w slippage'!G1472</f>
        <v>9836424</v>
      </c>
      <c r="K39" s="301">
        <f>'WPB2.2 Plant detail-w slippage'!G1578</f>
        <v>9860324</v>
      </c>
      <c r="L39" s="301">
        <f>'WPB2.2 Plant detail-w slippage'!G1684</f>
        <v>9892224</v>
      </c>
      <c r="M39" s="301">
        <f>'WPB2.2 Plant detail-w slippage'!G1790</f>
        <v>9924824</v>
      </c>
      <c r="N39" s="301">
        <f>'WPB2.2 Plant detail-w slippage'!G1896</f>
        <v>9978024</v>
      </c>
      <c r="O39" s="301">
        <f>'WPB2.2 Plant detail-w slippage'!G2002</f>
        <v>10031124</v>
      </c>
      <c r="P39" s="301">
        <f>'WPB2.2 Plant detail-w slippage'!G2108</f>
        <v>10085324</v>
      </c>
      <c r="Q39" s="301">
        <f>'WPB2.2 Plant detail-w slippage'!G2214</f>
        <v>10118424</v>
      </c>
      <c r="R39" s="301">
        <f>'WPB2.2 Plant detail-w slippage'!G2320</f>
        <v>10151124</v>
      </c>
      <c r="S39" s="116">
        <f t="shared" si="4"/>
        <v>9929885.538461538</v>
      </c>
    </row>
    <row r="40" spans="1:21" x14ac:dyDescent="0.2">
      <c r="A40" s="48">
        <f t="shared" si="3"/>
        <v>24</v>
      </c>
      <c r="C40" s="123">
        <v>378.3</v>
      </c>
      <c r="E40" s="52"/>
      <c r="F40" s="301">
        <f>'WPB2.2 Plant detail-w slippage'!G1049</f>
        <v>45443.08</v>
      </c>
      <c r="G40" s="301">
        <f>'WPB2.2 Plant detail-w slippage'!G1155</f>
        <v>45443.08</v>
      </c>
      <c r="H40" s="301">
        <f>'WPB2.2 Plant detail-w slippage'!G1261</f>
        <v>45443.08</v>
      </c>
      <c r="I40" s="301">
        <f>'WPB2.2 Plant detail-w slippage'!G1367</f>
        <v>45443.08</v>
      </c>
      <c r="J40" s="301">
        <f>'WPB2.2 Plant detail-w slippage'!G1473</f>
        <v>45443.08</v>
      </c>
      <c r="K40" s="301">
        <f>'WPB2.2 Plant detail-w slippage'!G1579</f>
        <v>45443.08</v>
      </c>
      <c r="L40" s="301">
        <f>'WPB2.2 Plant detail-w slippage'!G1685</f>
        <v>45443.08</v>
      </c>
      <c r="M40" s="301">
        <f>'WPB2.2 Plant detail-w slippage'!G1791</f>
        <v>45443.08</v>
      </c>
      <c r="N40" s="301">
        <f>'WPB2.2 Plant detail-w slippage'!G1897</f>
        <v>45443.08</v>
      </c>
      <c r="O40" s="301">
        <f>'WPB2.2 Plant detail-w slippage'!G2003</f>
        <v>45443.08</v>
      </c>
      <c r="P40" s="301">
        <f>'WPB2.2 Plant detail-w slippage'!G2109</f>
        <v>45443.08</v>
      </c>
      <c r="Q40" s="301">
        <f>'WPB2.2 Plant detail-w slippage'!G2215</f>
        <v>45443.08</v>
      </c>
      <c r="R40" s="301">
        <f>'WPB2.2 Plant detail-w slippage'!G2321</f>
        <v>45443.08</v>
      </c>
      <c r="S40" s="116">
        <f t="shared" si="4"/>
        <v>45443.08</v>
      </c>
    </row>
    <row r="41" spans="1:21" x14ac:dyDescent="0.2">
      <c r="A41" s="48">
        <f t="shared" si="3"/>
        <v>25</v>
      </c>
      <c r="C41" s="123">
        <v>379.1</v>
      </c>
      <c r="E41" s="52"/>
      <c r="F41" s="301">
        <f>'WPB2.2 Plant detail-w slippage'!G1050</f>
        <v>254900.59</v>
      </c>
      <c r="G41" s="301">
        <f>'WPB2.2 Plant detail-w slippage'!G1156</f>
        <v>254900.59</v>
      </c>
      <c r="H41" s="301">
        <f>'WPB2.2 Plant detail-w slippage'!G1262</f>
        <v>254900.59</v>
      </c>
      <c r="I41" s="301">
        <f>'WPB2.2 Plant detail-w slippage'!G1368</f>
        <v>254900.59</v>
      </c>
      <c r="J41" s="301">
        <f>'WPB2.2 Plant detail-w slippage'!G1474</f>
        <v>254900.59</v>
      </c>
      <c r="K41" s="301">
        <f>'WPB2.2 Plant detail-w slippage'!G1580</f>
        <v>254900.59</v>
      </c>
      <c r="L41" s="301">
        <f>'WPB2.2 Plant detail-w slippage'!G1686</f>
        <v>254900.59</v>
      </c>
      <c r="M41" s="301">
        <f>'WPB2.2 Plant detail-w slippage'!G1792</f>
        <v>254900.59</v>
      </c>
      <c r="N41" s="301">
        <f>'WPB2.2 Plant detail-w slippage'!G1898</f>
        <v>254900.59</v>
      </c>
      <c r="O41" s="301">
        <f>'WPB2.2 Plant detail-w slippage'!G2004</f>
        <v>254900.59</v>
      </c>
      <c r="P41" s="301">
        <f>'WPB2.2 Plant detail-w slippage'!G2110</f>
        <v>254900.59</v>
      </c>
      <c r="Q41" s="301">
        <f>'WPB2.2 Plant detail-w slippage'!G2216</f>
        <v>254900.59</v>
      </c>
      <c r="R41" s="301">
        <f>'WPB2.2 Plant detail-w slippage'!G2322</f>
        <v>254900.59</v>
      </c>
      <c r="S41" s="116">
        <f t="shared" si="4"/>
        <v>254900.58999999997</v>
      </c>
    </row>
    <row r="42" spans="1:21" x14ac:dyDescent="0.2">
      <c r="A42" s="48">
        <f t="shared" si="3"/>
        <v>26</v>
      </c>
      <c r="C42" s="123">
        <v>380</v>
      </c>
      <c r="E42" s="52"/>
      <c r="F42" s="301">
        <f>'WPB2.2 Plant detail-w slippage'!G1051</f>
        <v>123059032.77</v>
      </c>
      <c r="G42" s="301">
        <f>'WPB2.2 Plant detail-w slippage'!G1157</f>
        <v>123450478.77</v>
      </c>
      <c r="H42" s="301">
        <f>'WPB2.2 Plant detail-w slippage'!G1263</f>
        <v>123769224.77</v>
      </c>
      <c r="I42" s="301">
        <f>'WPB2.2 Plant detail-w slippage'!G1369</f>
        <v>124095970.77</v>
      </c>
      <c r="J42" s="301">
        <f>'WPB2.2 Plant detail-w slippage'!G1475</f>
        <v>124596216.77</v>
      </c>
      <c r="K42" s="301">
        <f>'WPB2.2 Plant detail-w slippage'!G1581</f>
        <v>125236062.77</v>
      </c>
      <c r="L42" s="301">
        <f>'WPB2.2 Plant detail-w slippage'!G1687</f>
        <v>126053208.77</v>
      </c>
      <c r="M42" s="301">
        <f>'WPB2.2 Plant detail-w slippage'!G1793</f>
        <v>126902854.77</v>
      </c>
      <c r="N42" s="301">
        <f>'WPB2.2 Plant detail-w slippage'!G1899</f>
        <v>128188400.77</v>
      </c>
      <c r="O42" s="301">
        <f>'WPB2.2 Plant detail-w slippage'!G2005</f>
        <v>129494446.77</v>
      </c>
      <c r="P42" s="301">
        <f>'WPB2.2 Plant detail-w slippage'!G2111</f>
        <v>130825392.77</v>
      </c>
      <c r="Q42" s="301">
        <f>'WPB2.2 Plant detail-w slippage'!G2217</f>
        <v>131655138.77</v>
      </c>
      <c r="R42" s="301">
        <f>'WPB2.2 Plant detail-w slippage'!G2323</f>
        <v>132472184.77</v>
      </c>
      <c r="S42" s="116">
        <f t="shared" si="4"/>
        <v>126907585.69307692</v>
      </c>
    </row>
    <row r="43" spans="1:21" x14ac:dyDescent="0.2">
      <c r="A43" s="48"/>
      <c r="C43" s="123"/>
      <c r="E43" s="52"/>
      <c r="F43" s="283"/>
      <c r="G43" s="179"/>
      <c r="H43" s="284"/>
      <c r="I43" s="284"/>
      <c r="J43" s="284"/>
      <c r="K43" s="284"/>
      <c r="L43" s="284"/>
      <c r="M43" s="107"/>
      <c r="N43" s="107"/>
      <c r="O43" s="107"/>
      <c r="P43" s="107"/>
    </row>
    <row r="44" spans="1:21" x14ac:dyDescent="0.2">
      <c r="A44" s="2064" t="str">
        <f>co</f>
        <v>COLUMBIA GAS OF KENTUCKY, INC.</v>
      </c>
      <c r="B44" s="2064"/>
      <c r="C44" s="2064"/>
      <c r="D44" s="2064"/>
      <c r="E44" s="2064"/>
      <c r="F44" s="2064"/>
      <c r="G44" s="2064"/>
      <c r="H44" s="2064"/>
      <c r="I44" s="2064"/>
      <c r="J44" s="2064"/>
      <c r="K44" s="2064"/>
      <c r="L44" s="2064"/>
      <c r="M44" s="2064"/>
      <c r="N44" s="2064"/>
      <c r="O44" s="2064"/>
      <c r="P44" s="2064"/>
      <c r="Q44" s="2064"/>
      <c r="R44" s="2064"/>
      <c r="S44" s="2064"/>
    </row>
    <row r="45" spans="1:21" x14ac:dyDescent="0.2">
      <c r="A45" s="2064" t="str">
        <f>case</f>
        <v>CASE NO. 2016 - 00162</v>
      </c>
      <c r="B45" s="2064"/>
      <c r="C45" s="2064"/>
      <c r="D45" s="2064"/>
      <c r="E45" s="2064"/>
      <c r="F45" s="2064"/>
      <c r="G45" s="2064"/>
      <c r="H45" s="2064"/>
      <c r="I45" s="2064"/>
      <c r="J45" s="2064"/>
      <c r="K45" s="2064"/>
      <c r="L45" s="2064"/>
      <c r="M45" s="2064"/>
      <c r="N45" s="2064"/>
      <c r="O45" s="2064"/>
      <c r="P45" s="2064"/>
      <c r="Q45" s="2064"/>
      <c r="R45" s="2064"/>
      <c r="S45" s="2064"/>
    </row>
    <row r="46" spans="1:21" x14ac:dyDescent="0.2">
      <c r="A46" s="2067" t="s">
        <v>2243</v>
      </c>
      <c r="B46" s="2067"/>
      <c r="C46" s="2067"/>
      <c r="D46" s="2067"/>
      <c r="E46" s="2067"/>
      <c r="F46" s="2067"/>
      <c r="G46" s="2067"/>
      <c r="H46" s="2067"/>
      <c r="I46" s="2067"/>
      <c r="J46" s="2067"/>
      <c r="K46" s="2067"/>
      <c r="L46" s="2067"/>
      <c r="M46" s="2067"/>
      <c r="N46" s="2067"/>
      <c r="O46" s="2067"/>
      <c r="P46" s="2067"/>
      <c r="Q46" s="2067"/>
      <c r="R46" s="2067"/>
      <c r="S46" s="2067"/>
    </row>
    <row r="47" spans="1:21" x14ac:dyDescent="0.2">
      <c r="A47" s="2070" t="str">
        <f>A4</f>
        <v>FORECASTED TEST PERIOD 12/31/2016 to 12/31/2017</v>
      </c>
      <c r="B47" s="2071"/>
      <c r="C47" s="2071"/>
      <c r="D47" s="2071"/>
      <c r="E47" s="2071"/>
      <c r="F47" s="2071"/>
      <c r="G47" s="2071"/>
      <c r="H47" s="2071"/>
      <c r="I47" s="2071"/>
      <c r="J47" s="2071"/>
      <c r="K47" s="2071"/>
      <c r="L47" s="2071"/>
      <c r="M47" s="2071"/>
      <c r="N47" s="2071"/>
      <c r="O47" s="2071"/>
      <c r="P47" s="2071"/>
      <c r="Q47" s="2071"/>
      <c r="R47" s="2071"/>
      <c r="S47" s="2071"/>
    </row>
    <row r="48" spans="1:21" x14ac:dyDescent="0.2">
      <c r="H48" s="106"/>
      <c r="I48" s="104"/>
      <c r="J48" s="104"/>
      <c r="K48" s="104"/>
      <c r="L48" s="104"/>
      <c r="M48" s="104"/>
      <c r="N48" s="104"/>
      <c r="O48" s="104"/>
      <c r="P48" s="104"/>
      <c r="S48" s="1128" t="s">
        <v>960</v>
      </c>
    </row>
    <row r="49" spans="1:19" x14ac:dyDescent="0.2">
      <c r="A49" s="287" t="s">
        <v>1103</v>
      </c>
      <c r="H49" s="104"/>
      <c r="I49" s="104"/>
      <c r="J49" s="104"/>
      <c r="K49" s="104"/>
      <c r="L49" s="104"/>
      <c r="M49" s="104"/>
      <c r="N49" s="105"/>
      <c r="O49" s="104"/>
      <c r="P49" s="104"/>
      <c r="S49" s="1129" t="s">
        <v>603</v>
      </c>
    </row>
    <row r="50" spans="1:19" x14ac:dyDescent="0.2">
      <c r="A50" s="44" t="s">
        <v>690</v>
      </c>
      <c r="H50" s="104"/>
      <c r="I50" s="104"/>
      <c r="J50" s="104"/>
      <c r="K50" s="104"/>
      <c r="L50" s="104"/>
      <c r="M50" s="104"/>
      <c r="N50" s="105"/>
      <c r="O50" s="104"/>
      <c r="P50" s="104"/>
      <c r="S50" s="196" t="str">
        <f>SMK</f>
        <v>WITNESS:  S. M. KATKO</v>
      </c>
    </row>
    <row r="51" spans="1:19" x14ac:dyDescent="0.2">
      <c r="A51" s="45"/>
      <c r="B51" s="46"/>
      <c r="C51" s="120"/>
      <c r="D51" s="46"/>
      <c r="E51" s="46"/>
      <c r="F51" s="46"/>
      <c r="G51" s="46"/>
      <c r="H51" s="112"/>
      <c r="I51" s="112"/>
      <c r="J51" s="112"/>
      <c r="K51" s="112"/>
      <c r="L51" s="112"/>
      <c r="M51" s="112"/>
      <c r="N51" s="115"/>
      <c r="O51" s="112"/>
      <c r="P51" s="112"/>
      <c r="Q51" s="112"/>
      <c r="R51" s="112"/>
      <c r="S51" s="112"/>
    </row>
    <row r="52" spans="1:19" x14ac:dyDescent="0.2">
      <c r="A52" s="44" t="s">
        <v>632</v>
      </c>
      <c r="C52" s="121" t="s">
        <v>692</v>
      </c>
      <c r="E52" s="43"/>
      <c r="H52" s="106"/>
      <c r="I52" s="104"/>
      <c r="J52" s="106"/>
      <c r="K52" s="104"/>
      <c r="L52" s="104"/>
      <c r="M52" s="104"/>
      <c r="N52" s="106"/>
      <c r="O52" s="104"/>
      <c r="P52" s="106"/>
      <c r="S52" s="304" t="s">
        <v>673</v>
      </c>
    </row>
    <row r="53" spans="1:19" x14ac:dyDescent="0.2">
      <c r="A53" s="111" t="s">
        <v>635</v>
      </c>
      <c r="B53" s="112"/>
      <c r="C53" s="122" t="s">
        <v>635</v>
      </c>
      <c r="D53" s="112"/>
      <c r="E53" s="111"/>
      <c r="F53" s="113" t="str">
        <f t="shared" ref="F53:R53" si="5">F11</f>
        <v>12/31/2016</v>
      </c>
      <c r="G53" s="113" t="str">
        <f t="shared" si="5"/>
        <v>01/31/2017</v>
      </c>
      <c r="H53" s="113" t="str">
        <f t="shared" si="5"/>
        <v>02/28/2017</v>
      </c>
      <c r="I53" s="113" t="str">
        <f t="shared" si="5"/>
        <v>03/31/2017</v>
      </c>
      <c r="J53" s="113" t="str">
        <f t="shared" si="5"/>
        <v>04/30/2017</v>
      </c>
      <c r="K53" s="113" t="str">
        <f t="shared" si="5"/>
        <v>05/31/2017</v>
      </c>
      <c r="L53" s="113" t="str">
        <f t="shared" si="5"/>
        <v>06/30/2017</v>
      </c>
      <c r="M53" s="113" t="str">
        <f t="shared" si="5"/>
        <v>07/31/2017</v>
      </c>
      <c r="N53" s="113" t="str">
        <f t="shared" si="5"/>
        <v>08/31/2017</v>
      </c>
      <c r="O53" s="113" t="str">
        <f t="shared" si="5"/>
        <v>09/30/2017</v>
      </c>
      <c r="P53" s="113" t="str">
        <f t="shared" si="5"/>
        <v>10/31/2017</v>
      </c>
      <c r="Q53" s="113" t="str">
        <f t="shared" si="5"/>
        <v>11/30/2017</v>
      </c>
      <c r="R53" s="113" t="str">
        <f t="shared" si="5"/>
        <v>12/31/2017</v>
      </c>
      <c r="S53" s="114" t="s">
        <v>631</v>
      </c>
    </row>
    <row r="54" spans="1:19" x14ac:dyDescent="0.2">
      <c r="F54" s="43" t="s">
        <v>639</v>
      </c>
      <c r="G54" s="43" t="s">
        <v>639</v>
      </c>
      <c r="H54" s="43" t="s">
        <v>639</v>
      </c>
      <c r="I54" s="43" t="s">
        <v>639</v>
      </c>
      <c r="J54" s="43" t="s">
        <v>639</v>
      </c>
      <c r="K54" s="43" t="s">
        <v>639</v>
      </c>
      <c r="L54" s="43" t="s">
        <v>639</v>
      </c>
      <c r="M54" s="43" t="s">
        <v>639</v>
      </c>
      <c r="N54" s="43" t="s">
        <v>639</v>
      </c>
      <c r="O54" s="43" t="s">
        <v>639</v>
      </c>
      <c r="P54" s="43" t="s">
        <v>639</v>
      </c>
      <c r="Q54" s="43" t="s">
        <v>639</v>
      </c>
      <c r="R54" s="43" t="s">
        <v>639</v>
      </c>
      <c r="S54" s="43" t="s">
        <v>639</v>
      </c>
    </row>
    <row r="55" spans="1:19" x14ac:dyDescent="0.2">
      <c r="H55" s="104"/>
      <c r="I55" s="104"/>
      <c r="J55" s="104"/>
      <c r="K55" s="104"/>
      <c r="L55" s="104"/>
      <c r="M55" s="104"/>
      <c r="N55" s="104"/>
      <c r="O55" s="104"/>
      <c r="P55" s="104"/>
    </row>
    <row r="56" spans="1:19" x14ac:dyDescent="0.2">
      <c r="A56" s="48">
        <v>1</v>
      </c>
      <c r="C56" s="123">
        <v>381</v>
      </c>
      <c r="E56" s="52"/>
      <c r="F56" s="301">
        <f>'WPB2.2 Plant detail-w slippage'!G1070</f>
        <v>13721908.550000001</v>
      </c>
      <c r="G56" s="301">
        <f>'WPB2.2 Plant detail-w slippage'!G1176</f>
        <v>13742908.550000001</v>
      </c>
      <c r="H56" s="301">
        <f>'WPB2.2 Plant detail-w slippage'!G1282</f>
        <v>13756108.550000001</v>
      </c>
      <c r="I56" s="301">
        <f>'WPB2.2 Plant detail-w slippage'!G1388</f>
        <v>13771008.550000001</v>
      </c>
      <c r="J56" s="301">
        <f>'WPB2.2 Plant detail-w slippage'!G1494</f>
        <v>13793808.550000001</v>
      </c>
      <c r="K56" s="301">
        <f>'WPB2.2 Plant detail-w slippage'!G1600</f>
        <v>13827608.550000001</v>
      </c>
      <c r="L56" s="301">
        <f>'WPB2.2 Plant detail-w slippage'!G1706</f>
        <v>13873308.550000001</v>
      </c>
      <c r="M56" s="301">
        <f>'WPB2.2 Plant detail-w slippage'!G1812</f>
        <v>13919708.550000001</v>
      </c>
      <c r="N56" s="301">
        <f>'WPB2.2 Plant detail-w slippage'!G1918</f>
        <v>13997508.550000001</v>
      </c>
      <c r="O56" s="301">
        <f>'WPB2.2 Plant detail-w slippage'!G2024</f>
        <v>14074708.550000001</v>
      </c>
      <c r="P56" s="301">
        <f>'WPB2.2 Plant detail-w slippage'!G2130</f>
        <v>14153508.550000001</v>
      </c>
      <c r="Q56" s="301">
        <f>'WPB2.2 Plant detail-w slippage'!G2236</f>
        <v>14201408.550000001</v>
      </c>
      <c r="R56" s="301">
        <f>'WPB2.2 Plant detail-w slippage'!G2342</f>
        <v>14249008.550000001</v>
      </c>
      <c r="S56" s="116">
        <f t="shared" ref="S56:S67" si="6">AVERAGE(F56:R56)</f>
        <v>13929423.934615387</v>
      </c>
    </row>
    <row r="57" spans="1:19" x14ac:dyDescent="0.2">
      <c r="A57" s="48">
        <f>A56+1</f>
        <v>2</v>
      </c>
      <c r="C57" s="123">
        <v>381.1</v>
      </c>
      <c r="E57" s="52"/>
      <c r="F57" s="301">
        <f>'WPB2.2 Plant detail-w slippage'!G1071</f>
        <v>8776012.0600000005</v>
      </c>
      <c r="G57" s="301">
        <f>'WPB2.2 Plant detail-w slippage'!G1177</f>
        <v>8799312.0600000005</v>
      </c>
      <c r="H57" s="301">
        <f>'WPB2.2 Plant detail-w slippage'!G1283</f>
        <v>8804012.0600000005</v>
      </c>
      <c r="I57" s="301">
        <f>'WPB2.2 Plant detail-w slippage'!G1389</f>
        <v>8808712.0600000005</v>
      </c>
      <c r="J57" s="301">
        <f>'WPB2.2 Plant detail-w slippage'!G1495</f>
        <v>8813412.0600000005</v>
      </c>
      <c r="K57" s="301">
        <f>'WPB2.2 Plant detail-w slippage'!G1601</f>
        <v>8822712.0600000005</v>
      </c>
      <c r="L57" s="301">
        <f>'WPB2.2 Plant detail-w slippage'!G1707</f>
        <v>8827412.0600000005</v>
      </c>
      <c r="M57" s="301">
        <f>'WPB2.2 Plant detail-w slippage'!G1813</f>
        <v>8832112.0600000005</v>
      </c>
      <c r="N57" s="301">
        <f>'WPB2.2 Plant detail-w slippage'!G1919</f>
        <v>8836812.0600000005</v>
      </c>
      <c r="O57" s="301">
        <f>'WPB2.2 Plant detail-w slippage'!G2025</f>
        <v>8841512.0600000005</v>
      </c>
      <c r="P57" s="301">
        <f>'WPB2.2 Plant detail-w slippage'!G2131</f>
        <v>8846212.0600000005</v>
      </c>
      <c r="Q57" s="301">
        <f>'WPB2.2 Plant detail-w slippage'!G2237</f>
        <v>8850912.0600000005</v>
      </c>
      <c r="R57" s="301">
        <f>'WPB2.2 Plant detail-w slippage'!G2343</f>
        <v>8855612.0600000005</v>
      </c>
      <c r="S57" s="116">
        <f t="shared" si="6"/>
        <v>8824212.0600000005</v>
      </c>
    </row>
    <row r="58" spans="1:19" x14ac:dyDescent="0.2">
      <c r="A58" s="48">
        <f>A57+1</f>
        <v>3</v>
      </c>
      <c r="C58" s="123">
        <v>382</v>
      </c>
      <c r="E58" s="52"/>
      <c r="F58" s="301">
        <f>'WPB2.2 Plant detail-w slippage'!G1072</f>
        <v>9287592.6500000004</v>
      </c>
      <c r="G58" s="301">
        <f>'WPB2.2 Plant detail-w slippage'!G1178</f>
        <v>9302192.6500000004</v>
      </c>
      <c r="H58" s="301">
        <f>'WPB2.2 Plant detail-w slippage'!G1284</f>
        <v>9320092.6500000004</v>
      </c>
      <c r="I58" s="301">
        <f>'WPB2.2 Plant detail-w slippage'!G1390</f>
        <v>9336192.6500000004</v>
      </c>
      <c r="J58" s="301">
        <f>'WPB2.2 Plant detail-w slippage'!G1496</f>
        <v>9362192.6500000004</v>
      </c>
      <c r="K58" s="301">
        <f>'WPB2.2 Plant detail-w slippage'!G1602</f>
        <v>9388592.6500000004</v>
      </c>
      <c r="L58" s="301">
        <f>'WPB2.2 Plant detail-w slippage'!G1708</f>
        <v>9418992.6500000004</v>
      </c>
      <c r="M58" s="301">
        <f>'WPB2.2 Plant detail-w slippage'!G1814</f>
        <v>9452392.6500000004</v>
      </c>
      <c r="N58" s="301">
        <f>'WPB2.2 Plant detail-w slippage'!G1920</f>
        <v>9491792.6500000004</v>
      </c>
      <c r="O58" s="301">
        <f>'WPB2.2 Plant detail-w slippage'!G2026</f>
        <v>9534992.6500000004</v>
      </c>
      <c r="P58" s="301">
        <f>'WPB2.2 Plant detail-w slippage'!G2132</f>
        <v>9578592.6500000004</v>
      </c>
      <c r="Q58" s="301">
        <f>'WPB2.2 Plant detail-w slippage'!G2238</f>
        <v>9606992.6500000004</v>
      </c>
      <c r="R58" s="301">
        <f>'WPB2.2 Plant detail-w slippage'!G2344</f>
        <v>9634192.6500000004</v>
      </c>
      <c r="S58" s="116">
        <f t="shared" si="6"/>
        <v>9439600.3423076943</v>
      </c>
    </row>
    <row r="59" spans="1:19" x14ac:dyDescent="0.2">
      <c r="A59" s="48">
        <f>A58+1</f>
        <v>4</v>
      </c>
      <c r="C59" s="123">
        <v>383</v>
      </c>
      <c r="E59" s="52"/>
      <c r="F59" s="301">
        <f>'WPB2.2 Plant detail-w slippage'!G1073</f>
        <v>5666420.7599999998</v>
      </c>
      <c r="G59" s="301">
        <f>'WPB2.2 Plant detail-w slippage'!G1179</f>
        <v>5674820.7599999998</v>
      </c>
      <c r="H59" s="301">
        <f>'WPB2.2 Plant detail-w slippage'!G1285</f>
        <v>5689620.7599999998</v>
      </c>
      <c r="I59" s="301">
        <f>'WPB2.2 Plant detail-w slippage'!G1391</f>
        <v>5701820.7599999998</v>
      </c>
      <c r="J59" s="301">
        <f>'WPB2.2 Plant detail-w slippage'!G1497</f>
        <v>5722020.7599999998</v>
      </c>
      <c r="K59" s="301">
        <f>'WPB2.2 Plant detail-w slippage'!G1603</f>
        <v>5738720.7599999998</v>
      </c>
      <c r="L59" s="301">
        <f>'WPB2.2 Plant detail-w slippage'!G1709</f>
        <v>5755520.7599999998</v>
      </c>
      <c r="M59" s="301">
        <f>'WPB2.2 Plant detail-w slippage'!G1815</f>
        <v>5775320.7599999998</v>
      </c>
      <c r="N59" s="301">
        <f>'WPB2.2 Plant detail-w slippage'!G1921</f>
        <v>5790520.7599999998</v>
      </c>
      <c r="O59" s="301">
        <f>'WPB2.2 Plant detail-w slippage'!G2027</f>
        <v>5810120.7599999998</v>
      </c>
      <c r="P59" s="301">
        <f>'WPB2.2 Plant detail-w slippage'!G2133</f>
        <v>5829520.7599999998</v>
      </c>
      <c r="Q59" s="301">
        <f>'WPB2.2 Plant detail-w slippage'!G2239</f>
        <v>5843420.7599999998</v>
      </c>
      <c r="R59" s="301">
        <f>'WPB2.2 Plant detail-w slippage'!G2345</f>
        <v>5856120.7599999998</v>
      </c>
      <c r="S59" s="116">
        <f t="shared" si="6"/>
        <v>5757997.6830769228</v>
      </c>
    </row>
    <row r="60" spans="1:19" x14ac:dyDescent="0.2">
      <c r="A60" s="48">
        <f t="shared" ref="A60:A68" si="7">A59+1</f>
        <v>5</v>
      </c>
      <c r="C60" s="123">
        <v>384</v>
      </c>
      <c r="E60" s="52"/>
      <c r="F60" s="301">
        <f>'WPB2.2 Plant detail-w slippage'!G1074</f>
        <v>2257522</v>
      </c>
      <c r="G60" s="301">
        <f>'WPB2.2 Plant detail-w slippage'!G1180</f>
        <v>2257522</v>
      </c>
      <c r="H60" s="301">
        <f>'WPB2.2 Plant detail-w slippage'!G1286</f>
        <v>2257522</v>
      </c>
      <c r="I60" s="301">
        <f>'WPB2.2 Plant detail-w slippage'!G1392</f>
        <v>2257522</v>
      </c>
      <c r="J60" s="301">
        <f>'WPB2.2 Plant detail-w slippage'!G1498</f>
        <v>2257522</v>
      </c>
      <c r="K60" s="301">
        <f>'WPB2.2 Plant detail-w slippage'!G1604</f>
        <v>2257522</v>
      </c>
      <c r="L60" s="301">
        <f>'WPB2.2 Plant detail-w slippage'!G1710</f>
        <v>2257522</v>
      </c>
      <c r="M60" s="301">
        <f>'WPB2.2 Plant detail-w slippage'!G1816</f>
        <v>2257522</v>
      </c>
      <c r="N60" s="301">
        <f>'WPB2.2 Plant detail-w slippage'!G1922</f>
        <v>2257522</v>
      </c>
      <c r="O60" s="301">
        <f>'WPB2.2 Plant detail-w slippage'!G2028</f>
        <v>2257522</v>
      </c>
      <c r="P60" s="301">
        <f>'WPB2.2 Plant detail-w slippage'!G2134</f>
        <v>2257522</v>
      </c>
      <c r="Q60" s="301">
        <f>'WPB2.2 Plant detail-w slippage'!G2240</f>
        <v>2257522</v>
      </c>
      <c r="R60" s="301">
        <f>'WPB2.2 Plant detail-w slippage'!G2346</f>
        <v>2257522</v>
      </c>
      <c r="S60" s="116">
        <f t="shared" si="6"/>
        <v>2257522</v>
      </c>
    </row>
    <row r="61" spans="1:19" x14ac:dyDescent="0.2">
      <c r="A61" s="48">
        <f t="shared" si="7"/>
        <v>6</v>
      </c>
      <c r="C61" s="123">
        <v>385</v>
      </c>
      <c r="E61" s="52"/>
      <c r="F61" s="301">
        <f>'WPB2.2 Plant detail-w slippage'!G1075</f>
        <v>3252183.36</v>
      </c>
      <c r="G61" s="301">
        <f>'WPB2.2 Plant detail-w slippage'!G1181</f>
        <v>3262683.36</v>
      </c>
      <c r="H61" s="301">
        <f>'WPB2.2 Plant detail-w slippage'!G1287</f>
        <v>3273183.36</v>
      </c>
      <c r="I61" s="301">
        <f>'WPB2.2 Plant detail-w slippage'!G1393</f>
        <v>3283183.36</v>
      </c>
      <c r="J61" s="301">
        <f>'WPB2.2 Plant detail-w slippage'!G1499</f>
        <v>3299083.36</v>
      </c>
      <c r="K61" s="301">
        <f>'WPB2.2 Plant detail-w slippage'!G1605</f>
        <v>3317183.36</v>
      </c>
      <c r="L61" s="301">
        <f>'WPB2.2 Plant detail-w slippage'!G1711</f>
        <v>3339283.36</v>
      </c>
      <c r="M61" s="301">
        <f>'WPB2.2 Plant detail-w slippage'!G1817</f>
        <v>3362883.36</v>
      </c>
      <c r="N61" s="301">
        <f>'WPB2.2 Plant detail-w slippage'!G1923</f>
        <v>3394983.36</v>
      </c>
      <c r="O61" s="301">
        <f>'WPB2.2 Plant detail-w slippage'!G2029</f>
        <v>3428683.36</v>
      </c>
      <c r="P61" s="301">
        <f>'WPB2.2 Plant detail-w slippage'!G2135</f>
        <v>3462883.36</v>
      </c>
      <c r="Q61" s="301">
        <f>'WPB2.2 Plant detail-w slippage'!G2241</f>
        <v>3484583.36</v>
      </c>
      <c r="R61" s="301">
        <f>'WPB2.2 Plant detail-w slippage'!G2347</f>
        <v>3505583.36</v>
      </c>
      <c r="S61" s="116">
        <f t="shared" si="6"/>
        <v>3358952.5907692309</v>
      </c>
    </row>
    <row r="62" spans="1:19" x14ac:dyDescent="0.2">
      <c r="A62" s="48">
        <f t="shared" si="7"/>
        <v>7</v>
      </c>
      <c r="C62" s="123">
        <v>387.2</v>
      </c>
      <c r="E62" s="52"/>
      <c r="F62" s="301">
        <f>'WPB2.2 Plant detail-w slippage'!G1076</f>
        <v>0</v>
      </c>
      <c r="G62" s="301">
        <f>'WPB2.2 Plant detail-w slippage'!G1182</f>
        <v>0</v>
      </c>
      <c r="H62" s="301">
        <f>'WPB2.2 Plant detail-w slippage'!G1288</f>
        <v>0</v>
      </c>
      <c r="I62" s="301">
        <f>'WPB2.2 Plant detail-w slippage'!G1394</f>
        <v>0</v>
      </c>
      <c r="J62" s="301">
        <f>'WPB2.2 Plant detail-w slippage'!G1500</f>
        <v>0</v>
      </c>
      <c r="K62" s="301">
        <f>'WPB2.2 Plant detail-w slippage'!G1606</f>
        <v>0</v>
      </c>
      <c r="L62" s="301">
        <f>'WPB2.2 Plant detail-w slippage'!G1712</f>
        <v>0</v>
      </c>
      <c r="M62" s="301">
        <f>'WPB2.2 Plant detail-w slippage'!G1818</f>
        <v>0</v>
      </c>
      <c r="N62" s="301">
        <f>'WPB2.2 Plant detail-w slippage'!G1924</f>
        <v>0</v>
      </c>
      <c r="O62" s="301">
        <f>'WPB2.2 Plant detail-w slippage'!G2030</f>
        <v>0</v>
      </c>
      <c r="P62" s="301">
        <f>'WPB2.2 Plant detail-w slippage'!G2136</f>
        <v>0</v>
      </c>
      <c r="Q62" s="301">
        <f>'WPB2.2 Plant detail-w slippage'!G2242</f>
        <v>0</v>
      </c>
      <c r="R62" s="301">
        <f>'WPB2.2 Plant detail-w slippage'!G2348</f>
        <v>0</v>
      </c>
      <c r="S62" s="116">
        <f t="shared" si="6"/>
        <v>0</v>
      </c>
    </row>
    <row r="63" spans="1:19" x14ac:dyDescent="0.2">
      <c r="A63" s="48">
        <f t="shared" si="7"/>
        <v>8</v>
      </c>
      <c r="C63" s="123">
        <v>387.41</v>
      </c>
      <c r="E63" s="52"/>
      <c r="F63" s="301">
        <f>'WPB2.2 Plant detail-w slippage'!G1077</f>
        <v>735770.76</v>
      </c>
      <c r="G63" s="301">
        <f>'WPB2.2 Plant detail-w slippage'!G1183</f>
        <v>735770.76</v>
      </c>
      <c r="H63" s="301">
        <f>'WPB2.2 Plant detail-w slippage'!G1289</f>
        <v>735770.76</v>
      </c>
      <c r="I63" s="301">
        <f>'WPB2.2 Plant detail-w slippage'!G1395</f>
        <v>735770.76</v>
      </c>
      <c r="J63" s="301">
        <f>'WPB2.2 Plant detail-w slippage'!G1501</f>
        <v>735770.76</v>
      </c>
      <c r="K63" s="301">
        <f>'WPB2.2 Plant detail-w slippage'!G1607</f>
        <v>735770.76</v>
      </c>
      <c r="L63" s="301">
        <f>'WPB2.2 Plant detail-w slippage'!G1713</f>
        <v>735770.76</v>
      </c>
      <c r="M63" s="301">
        <f>'WPB2.2 Plant detail-w slippage'!G1819</f>
        <v>735770.76</v>
      </c>
      <c r="N63" s="301">
        <f>'WPB2.2 Plant detail-w slippage'!G1925</f>
        <v>735770.76</v>
      </c>
      <c r="O63" s="301">
        <f>'WPB2.2 Plant detail-w slippage'!G2031</f>
        <v>735770.76</v>
      </c>
      <c r="P63" s="301">
        <f>'WPB2.2 Plant detail-w slippage'!G2137</f>
        <v>735770.76</v>
      </c>
      <c r="Q63" s="301">
        <f>'WPB2.2 Plant detail-w slippage'!G2243</f>
        <v>735770.76</v>
      </c>
      <c r="R63" s="301">
        <f>'WPB2.2 Plant detail-w slippage'!G2349</f>
        <v>735770.76</v>
      </c>
      <c r="S63" s="116">
        <f t="shared" si="6"/>
        <v>735770.75999999989</v>
      </c>
    </row>
    <row r="64" spans="1:19" x14ac:dyDescent="0.2">
      <c r="A64" s="48">
        <f t="shared" si="7"/>
        <v>9</v>
      </c>
      <c r="C64" s="123">
        <v>387.42</v>
      </c>
      <c r="E64" s="52"/>
      <c r="F64" s="301">
        <f>'WPB2.2 Plant detail-w slippage'!G1078</f>
        <v>795186.58</v>
      </c>
      <c r="G64" s="301">
        <f>'WPB2.2 Plant detail-w slippage'!G1184</f>
        <v>795186.58</v>
      </c>
      <c r="H64" s="301">
        <f>'WPB2.2 Plant detail-w slippage'!G1290</f>
        <v>795186.58</v>
      </c>
      <c r="I64" s="301">
        <f>'WPB2.2 Plant detail-w slippage'!G1396</f>
        <v>795186.58</v>
      </c>
      <c r="J64" s="301">
        <f>'WPB2.2 Plant detail-w slippage'!G1502</f>
        <v>795186.58</v>
      </c>
      <c r="K64" s="301">
        <f>'WPB2.2 Plant detail-w slippage'!G1608</f>
        <v>795186.58</v>
      </c>
      <c r="L64" s="301">
        <f>'WPB2.2 Plant detail-w slippage'!G1714</f>
        <v>795186.58</v>
      </c>
      <c r="M64" s="301">
        <f>'WPB2.2 Plant detail-w slippage'!G1820</f>
        <v>795186.58</v>
      </c>
      <c r="N64" s="301">
        <f>'WPB2.2 Plant detail-w slippage'!G1926</f>
        <v>795186.58</v>
      </c>
      <c r="O64" s="301">
        <f>'WPB2.2 Plant detail-w slippage'!G2032</f>
        <v>795186.58</v>
      </c>
      <c r="P64" s="301">
        <f>'WPB2.2 Plant detail-w slippage'!G2138</f>
        <v>795186.58</v>
      </c>
      <c r="Q64" s="301">
        <f>'WPB2.2 Plant detail-w slippage'!G2244</f>
        <v>795186.58</v>
      </c>
      <c r="R64" s="301">
        <f>'WPB2.2 Plant detail-w slippage'!G2350</f>
        <v>795186.58</v>
      </c>
      <c r="S64" s="116">
        <f t="shared" si="6"/>
        <v>795186.58</v>
      </c>
    </row>
    <row r="65" spans="1:19" x14ac:dyDescent="0.2">
      <c r="A65" s="48">
        <f t="shared" si="7"/>
        <v>10</v>
      </c>
      <c r="C65" s="123">
        <v>387.44</v>
      </c>
      <c r="E65" s="52"/>
      <c r="F65" s="301">
        <f>'WPB2.2 Plant detail-w slippage'!G1079</f>
        <v>143283.93</v>
      </c>
      <c r="G65" s="301">
        <f>'WPB2.2 Plant detail-w slippage'!G1185</f>
        <v>143283.93</v>
      </c>
      <c r="H65" s="301">
        <f>'WPB2.2 Plant detail-w slippage'!G1291</f>
        <v>143283.93</v>
      </c>
      <c r="I65" s="301">
        <f>'WPB2.2 Plant detail-w slippage'!G1397</f>
        <v>143283.93</v>
      </c>
      <c r="J65" s="301">
        <f>'WPB2.2 Plant detail-w slippage'!G1503</f>
        <v>143283.93</v>
      </c>
      <c r="K65" s="301">
        <f>'WPB2.2 Plant detail-w slippage'!G1609</f>
        <v>143283.93</v>
      </c>
      <c r="L65" s="301">
        <f>'WPB2.2 Plant detail-w slippage'!G1715</f>
        <v>143283.93</v>
      </c>
      <c r="M65" s="301">
        <f>'WPB2.2 Plant detail-w slippage'!G1821</f>
        <v>143283.93</v>
      </c>
      <c r="N65" s="301">
        <f>'WPB2.2 Plant detail-w slippage'!G1927</f>
        <v>143283.93</v>
      </c>
      <c r="O65" s="301">
        <f>'WPB2.2 Plant detail-w slippage'!G2033</f>
        <v>143283.93</v>
      </c>
      <c r="P65" s="301">
        <f>'WPB2.2 Plant detail-w slippage'!G2139</f>
        <v>143283.93</v>
      </c>
      <c r="Q65" s="301">
        <f>'WPB2.2 Plant detail-w slippage'!G2245</f>
        <v>143283.93</v>
      </c>
      <c r="R65" s="301">
        <f>'WPB2.2 Plant detail-w slippage'!G2351</f>
        <v>143283.93</v>
      </c>
      <c r="S65" s="116">
        <f t="shared" si="6"/>
        <v>143283.92999999996</v>
      </c>
    </row>
    <row r="66" spans="1:19" x14ac:dyDescent="0.2">
      <c r="A66" s="48">
        <f t="shared" si="7"/>
        <v>11</v>
      </c>
      <c r="C66" s="123">
        <v>387.45</v>
      </c>
      <c r="E66" s="52"/>
      <c r="F66" s="301">
        <f>'WPB2.2 Plant detail-w slippage'!G1080</f>
        <v>3265504.66</v>
      </c>
      <c r="G66" s="301">
        <f>'WPB2.2 Plant detail-w slippage'!G1186</f>
        <v>3247904.66</v>
      </c>
      <c r="H66" s="301">
        <f>'WPB2.2 Plant detail-w slippage'!G1292</f>
        <v>3230304.66</v>
      </c>
      <c r="I66" s="301">
        <f>'WPB2.2 Plant detail-w slippage'!G1398</f>
        <v>3303604.66</v>
      </c>
      <c r="J66" s="301">
        <f>'WPB2.2 Plant detail-w slippage'!G1504</f>
        <v>3376904.66</v>
      </c>
      <c r="K66" s="301">
        <f>'WPB2.2 Plant detail-w slippage'!G1610</f>
        <v>3518404.66</v>
      </c>
      <c r="L66" s="301">
        <f>'WPB2.2 Plant detail-w slippage'!G1716</f>
        <v>3625904.66</v>
      </c>
      <c r="M66" s="301">
        <f>'WPB2.2 Plant detail-w slippage'!G1822</f>
        <v>3747004.66</v>
      </c>
      <c r="N66" s="301">
        <f>'WPB2.2 Plant detail-w slippage'!G1928</f>
        <v>3888504.66</v>
      </c>
      <c r="O66" s="301">
        <f>'WPB2.2 Plant detail-w slippage'!G2034</f>
        <v>4064204.66</v>
      </c>
      <c r="P66" s="301">
        <f>'WPB2.2 Plant detail-w slippage'!G2140</f>
        <v>4205704.66</v>
      </c>
      <c r="Q66" s="301">
        <f>'WPB2.2 Plant detail-w slippage'!G2246</f>
        <v>4366604.66</v>
      </c>
      <c r="R66" s="301">
        <f>'WPB2.2 Plant detail-w slippage'!G2352</f>
        <v>4488904.66</v>
      </c>
      <c r="S66" s="116">
        <f t="shared" si="6"/>
        <v>3717650.8138461537</v>
      </c>
    </row>
    <row r="67" spans="1:19" x14ac:dyDescent="0.2">
      <c r="A67" s="48">
        <f t="shared" si="7"/>
        <v>12</v>
      </c>
      <c r="C67" s="123">
        <v>387.46</v>
      </c>
      <c r="E67" s="52"/>
      <c r="F67" s="302">
        <f>'WPB2.2 Plant detail-w slippage'!G1081</f>
        <v>113644.47</v>
      </c>
      <c r="G67" s="302">
        <f>'WPB2.2 Plant detail-w slippage'!G1187</f>
        <v>113644.47</v>
      </c>
      <c r="H67" s="302">
        <f>'WPB2.2 Plant detail-w slippage'!G1293</f>
        <v>113644.47</v>
      </c>
      <c r="I67" s="302">
        <f>'WPB2.2 Plant detail-w slippage'!G1399</f>
        <v>113644.47</v>
      </c>
      <c r="J67" s="302">
        <f>'WPB2.2 Plant detail-w slippage'!G1505</f>
        <v>113644.47</v>
      </c>
      <c r="K67" s="302">
        <f>'WPB2.2 Plant detail-w slippage'!G1611</f>
        <v>113644.47</v>
      </c>
      <c r="L67" s="302">
        <f>'WPB2.2 Plant detail-w slippage'!G1717</f>
        <v>113644.47</v>
      </c>
      <c r="M67" s="302">
        <f>'WPB2.2 Plant detail-w slippage'!G1823</f>
        <v>113644.47</v>
      </c>
      <c r="N67" s="302">
        <f>'WPB2.2 Plant detail-w slippage'!G1929</f>
        <v>113644.47</v>
      </c>
      <c r="O67" s="302">
        <f>'WPB2.2 Plant detail-w slippage'!G2035</f>
        <v>113644.47</v>
      </c>
      <c r="P67" s="302">
        <f>'WPB2.2 Plant detail-w slippage'!G2141</f>
        <v>113644.47</v>
      </c>
      <c r="Q67" s="302">
        <f>'WPB2.2 Plant detail-w slippage'!G2247</f>
        <v>113644.47</v>
      </c>
      <c r="R67" s="302">
        <f>'WPB2.2 Plant detail-w slippage'!G2353</f>
        <v>113644.47</v>
      </c>
      <c r="S67" s="117">
        <f t="shared" si="6"/>
        <v>113644.46999999999</v>
      </c>
    </row>
    <row r="68" spans="1:19" x14ac:dyDescent="0.2">
      <c r="A68" s="48">
        <f t="shared" si="7"/>
        <v>13</v>
      </c>
      <c r="C68" s="52" t="s">
        <v>683</v>
      </c>
      <c r="F68" s="51">
        <f t="shared" ref="F68:S68" si="8">SUM(F26:F42,F56:F67)</f>
        <v>409914794.38000005</v>
      </c>
      <c r="G68" s="51">
        <f t="shared" si="8"/>
        <v>410927960.38000005</v>
      </c>
      <c r="H68" s="51">
        <f t="shared" si="8"/>
        <v>411849626.38000005</v>
      </c>
      <c r="I68" s="51">
        <f t="shared" si="8"/>
        <v>412944792.38000005</v>
      </c>
      <c r="J68" s="51">
        <f t="shared" si="8"/>
        <v>414558958.38000005</v>
      </c>
      <c r="K68" s="51">
        <f t="shared" si="8"/>
        <v>416606824.38000005</v>
      </c>
      <c r="L68" s="51">
        <f t="shared" si="8"/>
        <v>419324090.38000005</v>
      </c>
      <c r="M68" s="51">
        <f t="shared" si="8"/>
        <v>421947156.38000005</v>
      </c>
      <c r="N68" s="51">
        <f t="shared" si="8"/>
        <v>425830222.38000005</v>
      </c>
      <c r="O68" s="51">
        <f t="shared" si="8"/>
        <v>429432188.38000005</v>
      </c>
      <c r="P68" s="51">
        <f t="shared" si="8"/>
        <v>433130854.38000005</v>
      </c>
      <c r="Q68" s="51">
        <f t="shared" si="8"/>
        <v>437032320.38000005</v>
      </c>
      <c r="R68" s="51">
        <f t="shared" si="8"/>
        <v>439276986.38000005</v>
      </c>
      <c r="S68" s="51">
        <f t="shared" si="8"/>
        <v>421752059.61076927</v>
      </c>
    </row>
    <row r="69" spans="1:19" x14ac:dyDescent="0.2">
      <c r="A69" s="48"/>
      <c r="C69" s="123"/>
      <c r="E69" s="49"/>
      <c r="F69" s="51"/>
      <c r="G69" s="51"/>
      <c r="H69" s="107"/>
      <c r="I69" s="107"/>
      <c r="J69" s="108"/>
      <c r="K69" s="107"/>
      <c r="L69" s="107"/>
      <c r="M69" s="107"/>
      <c r="N69" s="108"/>
      <c r="O69" s="107"/>
      <c r="P69" s="107"/>
    </row>
    <row r="70" spans="1:19" x14ac:dyDescent="0.2">
      <c r="A70" s="48"/>
      <c r="C70" s="123"/>
      <c r="E70" s="50"/>
      <c r="F70" s="51"/>
      <c r="G70" s="51"/>
      <c r="H70" s="107"/>
      <c r="I70" s="107"/>
      <c r="J70" s="108"/>
      <c r="K70" s="107"/>
      <c r="L70" s="107"/>
      <c r="M70" s="107"/>
      <c r="N70" s="108"/>
      <c r="O70" s="107"/>
      <c r="P70" s="107"/>
    </row>
    <row r="71" spans="1:19" x14ac:dyDescent="0.2">
      <c r="A71" s="48">
        <f>A68+1</f>
        <v>14</v>
      </c>
      <c r="C71" s="123">
        <v>391.1</v>
      </c>
      <c r="E71" s="52"/>
      <c r="F71" s="301">
        <f>'WPB2.2 Plant detail-w slippage'!G1085</f>
        <v>713480.71</v>
      </c>
      <c r="G71" s="301">
        <f>'WPB2.2 Plant detail-w slippage'!G1191</f>
        <v>713480.71</v>
      </c>
      <c r="H71" s="301">
        <f>'WPB2.2 Plant detail-w slippage'!G1297</f>
        <v>713480.71</v>
      </c>
      <c r="I71" s="301">
        <f>'WPB2.2 Plant detail-w slippage'!G1403</f>
        <v>713480.71</v>
      </c>
      <c r="J71" s="301">
        <f>'WPB2.2 Plant detail-w slippage'!G1509</f>
        <v>713480.71</v>
      </c>
      <c r="K71" s="301">
        <f>'WPB2.2 Plant detail-w slippage'!G1615</f>
        <v>713480.71</v>
      </c>
      <c r="L71" s="303">
        <f>'WPB2.2 Plant detail-w slippage'!G1721</f>
        <v>713480.71</v>
      </c>
      <c r="M71" s="301">
        <f>'WPB2.2 Plant detail-w slippage'!G1827</f>
        <v>713480.71</v>
      </c>
      <c r="N71" s="301">
        <f>'WPB2.2 Plant detail-w slippage'!G1933</f>
        <v>713480.71</v>
      </c>
      <c r="O71" s="301">
        <f>'WPB2.2 Plant detail-w slippage'!G2039</f>
        <v>713480.71</v>
      </c>
      <c r="P71" s="301">
        <f>'WPB2.2 Plant detail-w slippage'!G2145</f>
        <v>713480.71</v>
      </c>
      <c r="Q71" s="301">
        <f>'WPB2.2 Plant detail-w slippage'!G2251</f>
        <v>848030.71</v>
      </c>
      <c r="R71" s="301">
        <f>'WPB2.2 Plant detail-w slippage'!G2357</f>
        <v>848030.71</v>
      </c>
      <c r="S71" s="116">
        <f t="shared" ref="S71:S84" si="9">AVERAGE(F71:R71)</f>
        <v>734180.71000000008</v>
      </c>
    </row>
    <row r="72" spans="1:19" x14ac:dyDescent="0.2">
      <c r="A72" s="48">
        <f t="shared" ref="A72:A85" si="10">A71+1</f>
        <v>15</v>
      </c>
      <c r="C72" s="123">
        <v>391.11</v>
      </c>
      <c r="E72" s="52"/>
      <c r="F72" s="301">
        <f>'WPB2.2 Plant detail-w slippage'!G1086</f>
        <v>18815.57</v>
      </c>
      <c r="G72" s="301">
        <f>'WPB2.2 Plant detail-w slippage'!G1192</f>
        <v>18815.57</v>
      </c>
      <c r="H72" s="301">
        <f>'WPB2.2 Plant detail-w slippage'!G1298</f>
        <v>18815.57</v>
      </c>
      <c r="I72" s="301">
        <f>'WPB2.2 Plant detail-w slippage'!G1404</f>
        <v>18815.57</v>
      </c>
      <c r="J72" s="301">
        <f>'WPB2.2 Plant detail-w slippage'!G1510</f>
        <v>18815.57</v>
      </c>
      <c r="K72" s="301">
        <f>'WPB2.2 Plant detail-w slippage'!G1616</f>
        <v>18815.57</v>
      </c>
      <c r="L72" s="303">
        <f>'WPB2.2 Plant detail-w slippage'!G1722</f>
        <v>18815.57</v>
      </c>
      <c r="M72" s="301">
        <f>'WPB2.2 Plant detail-w slippage'!G1828</f>
        <v>18815.57</v>
      </c>
      <c r="N72" s="301">
        <f>'WPB2.2 Plant detail-w slippage'!G1934</f>
        <v>18815.57</v>
      </c>
      <c r="O72" s="301">
        <f>'WPB2.2 Plant detail-w slippage'!G2040</f>
        <v>18815.57</v>
      </c>
      <c r="P72" s="301">
        <f>'WPB2.2 Plant detail-w slippage'!G2146</f>
        <v>18815.57</v>
      </c>
      <c r="Q72" s="301">
        <f>'WPB2.2 Plant detail-w slippage'!G2252</f>
        <v>18815.57</v>
      </c>
      <c r="R72" s="301">
        <f>'WPB2.2 Plant detail-w slippage'!G2358</f>
        <v>18815.57</v>
      </c>
      <c r="S72" s="116">
        <f t="shared" si="9"/>
        <v>18815.570000000003</v>
      </c>
    </row>
    <row r="73" spans="1:19" x14ac:dyDescent="0.2">
      <c r="A73" s="48">
        <f t="shared" si="10"/>
        <v>16</v>
      </c>
      <c r="C73" s="123">
        <v>391.12</v>
      </c>
      <c r="E73" s="52"/>
      <c r="F73" s="301">
        <f>'WPB2.2 Plant detail-w slippage'!G1087</f>
        <v>853483.41</v>
      </c>
      <c r="G73" s="301">
        <f>'WPB2.2 Plant detail-w slippage'!G1193</f>
        <v>853483.41</v>
      </c>
      <c r="H73" s="301">
        <f>'WPB2.2 Plant detail-w slippage'!G1299</f>
        <v>853483.41</v>
      </c>
      <c r="I73" s="301">
        <f>'WPB2.2 Plant detail-w slippage'!G1405</f>
        <v>853483.41</v>
      </c>
      <c r="J73" s="301">
        <f>'WPB2.2 Plant detail-w slippage'!G1511</f>
        <v>1407883.4100000001</v>
      </c>
      <c r="K73" s="301">
        <f>'WPB2.2 Plant detail-w slippage'!G1617</f>
        <v>1407883.4100000001</v>
      </c>
      <c r="L73" s="303">
        <f>'WPB2.2 Plant detail-w slippage'!G1723</f>
        <v>1407883.4100000001</v>
      </c>
      <c r="M73" s="301">
        <f>'WPB2.2 Plant detail-w slippage'!G1829</f>
        <v>1407883.4100000001</v>
      </c>
      <c r="N73" s="301">
        <f>'WPB2.2 Plant detail-w slippage'!G1935</f>
        <v>1407883.4100000001</v>
      </c>
      <c r="O73" s="301">
        <f>'WPB2.2 Plant detail-w slippage'!G2041</f>
        <v>1407883.4100000001</v>
      </c>
      <c r="P73" s="301">
        <f>'WPB2.2 Plant detail-w slippage'!G2147</f>
        <v>1407883.4100000001</v>
      </c>
      <c r="Q73" s="301">
        <f>'WPB2.2 Plant detail-w slippage'!G2253</f>
        <v>1407883.4100000001</v>
      </c>
      <c r="R73" s="301">
        <f>'WPB2.2 Plant detail-w slippage'!G2359</f>
        <v>1407883.4100000001</v>
      </c>
      <c r="S73" s="116">
        <f t="shared" si="9"/>
        <v>1237298.7946153847</v>
      </c>
    </row>
    <row r="74" spans="1:19" x14ac:dyDescent="0.2">
      <c r="A74" s="48">
        <f t="shared" si="10"/>
        <v>17</v>
      </c>
      <c r="C74" s="123">
        <v>392.2</v>
      </c>
      <c r="E74" s="52"/>
      <c r="F74" s="301">
        <f>'WPB2.2 Plant detail-w slippage'!G1088</f>
        <v>95778</v>
      </c>
      <c r="G74" s="301">
        <f>'WPB2.2 Plant detail-w slippage'!G1194</f>
        <v>95778</v>
      </c>
      <c r="H74" s="301">
        <f>'WPB2.2 Plant detail-w slippage'!G1300</f>
        <v>95778</v>
      </c>
      <c r="I74" s="301">
        <f>'WPB2.2 Plant detail-w slippage'!G1406</f>
        <v>95778</v>
      </c>
      <c r="J74" s="301">
        <f>'WPB2.2 Plant detail-w slippage'!G1512</f>
        <v>95778</v>
      </c>
      <c r="K74" s="301">
        <f>'WPB2.2 Plant detail-w slippage'!G1618</f>
        <v>95778</v>
      </c>
      <c r="L74" s="303">
        <f>'WPB2.2 Plant detail-w slippage'!G1724</f>
        <v>95778</v>
      </c>
      <c r="M74" s="301">
        <f>'WPB2.2 Plant detail-w slippage'!G1830</f>
        <v>95778</v>
      </c>
      <c r="N74" s="301">
        <f>'WPB2.2 Plant detail-w slippage'!G1936</f>
        <v>95778</v>
      </c>
      <c r="O74" s="301">
        <f>'WPB2.2 Plant detail-w slippage'!G2042</f>
        <v>95778</v>
      </c>
      <c r="P74" s="301">
        <f>'WPB2.2 Plant detail-w slippage'!G2148</f>
        <v>95778</v>
      </c>
      <c r="Q74" s="301">
        <f>'WPB2.2 Plant detail-w slippage'!G2254</f>
        <v>95778</v>
      </c>
      <c r="R74" s="301">
        <f>'WPB2.2 Plant detail-w slippage'!G2360</f>
        <v>95778</v>
      </c>
      <c r="S74" s="116">
        <f t="shared" si="9"/>
        <v>95778</v>
      </c>
    </row>
    <row r="75" spans="1:19" x14ac:dyDescent="0.2">
      <c r="A75" s="48">
        <f t="shared" si="10"/>
        <v>18</v>
      </c>
      <c r="C75" s="123">
        <v>392.21</v>
      </c>
      <c r="E75" s="52"/>
      <c r="F75" s="301">
        <f>'WPB2.2 Plant detail-w slippage'!G1089</f>
        <v>24462.2</v>
      </c>
      <c r="G75" s="301">
        <f>'WPB2.2 Plant detail-w slippage'!G1195</f>
        <v>24462.2</v>
      </c>
      <c r="H75" s="301">
        <f>'WPB2.2 Plant detail-w slippage'!G1301</f>
        <v>24462.2</v>
      </c>
      <c r="I75" s="301">
        <f>'WPB2.2 Plant detail-w slippage'!G1407</f>
        <v>24462.2</v>
      </c>
      <c r="J75" s="301">
        <f>'WPB2.2 Plant detail-w slippage'!G1513</f>
        <v>24462.2</v>
      </c>
      <c r="K75" s="301">
        <f>'WPB2.2 Plant detail-w slippage'!G1619</f>
        <v>24462.2</v>
      </c>
      <c r="L75" s="303">
        <f>'WPB2.2 Plant detail-w slippage'!G1725</f>
        <v>24462.2</v>
      </c>
      <c r="M75" s="301">
        <f>'WPB2.2 Plant detail-w slippage'!G1831</f>
        <v>24462.2</v>
      </c>
      <c r="N75" s="301">
        <f>'WPB2.2 Plant detail-w slippage'!G1937</f>
        <v>24462.2</v>
      </c>
      <c r="O75" s="301">
        <f>'WPB2.2 Plant detail-w slippage'!G2043</f>
        <v>24462.2</v>
      </c>
      <c r="P75" s="301">
        <f>'WPB2.2 Plant detail-w slippage'!G2149</f>
        <v>24462.2</v>
      </c>
      <c r="Q75" s="301">
        <f>'WPB2.2 Plant detail-w slippage'!G2255</f>
        <v>24462.2</v>
      </c>
      <c r="R75" s="301">
        <f>'WPB2.2 Plant detail-w slippage'!G2361</f>
        <v>24462.2</v>
      </c>
      <c r="S75" s="116">
        <f t="shared" si="9"/>
        <v>24462.200000000008</v>
      </c>
    </row>
    <row r="76" spans="1:19" x14ac:dyDescent="0.2">
      <c r="A76" s="48">
        <f t="shared" si="10"/>
        <v>19</v>
      </c>
      <c r="C76" s="123">
        <v>393</v>
      </c>
      <c r="E76" s="52"/>
      <c r="F76" s="301">
        <f>'WPB2.2 Plant detail-w slippage'!G1090</f>
        <v>0</v>
      </c>
      <c r="G76" s="301">
        <f>'WPB2.2 Plant detail-w slippage'!G1196</f>
        <v>0</v>
      </c>
      <c r="H76" s="301">
        <f>'WPB2.2 Plant detail-w slippage'!G1302</f>
        <v>0</v>
      </c>
      <c r="I76" s="301">
        <f>'WPB2.2 Plant detail-w slippage'!G1408</f>
        <v>0</v>
      </c>
      <c r="J76" s="301">
        <f>'WPB2.2 Plant detail-w slippage'!G1514</f>
        <v>0</v>
      </c>
      <c r="K76" s="301">
        <f>'WPB2.2 Plant detail-w slippage'!G1620</f>
        <v>0</v>
      </c>
      <c r="L76" s="303">
        <f>'WPB2.2 Plant detail-w slippage'!G1726</f>
        <v>0</v>
      </c>
      <c r="M76" s="301">
        <f>'WPB2.2 Plant detail-w slippage'!G1832</f>
        <v>0</v>
      </c>
      <c r="N76" s="301">
        <f>'WPB2.2 Plant detail-w slippage'!G1938</f>
        <v>0</v>
      </c>
      <c r="O76" s="301">
        <f>'WPB2.2 Plant detail-w slippage'!G2044</f>
        <v>0</v>
      </c>
      <c r="P76" s="301">
        <f>'WPB2.2 Plant detail-w slippage'!G2150</f>
        <v>0</v>
      </c>
      <c r="Q76" s="301">
        <f>'WPB2.2 Plant detail-w slippage'!G2256</f>
        <v>0</v>
      </c>
      <c r="R76" s="301">
        <f>'WPB2.2 Plant detail-w slippage'!G2362</f>
        <v>0</v>
      </c>
      <c r="S76" s="116">
        <f t="shared" si="9"/>
        <v>0</v>
      </c>
    </row>
    <row r="77" spans="1:19" x14ac:dyDescent="0.2">
      <c r="A77" s="48">
        <f t="shared" si="10"/>
        <v>20</v>
      </c>
      <c r="C77" s="123">
        <v>394.1</v>
      </c>
      <c r="E77" s="52"/>
      <c r="F77" s="301">
        <f>'WPB2.2 Plant detail-w slippage'!G1091</f>
        <v>24240.799999999999</v>
      </c>
      <c r="G77" s="301">
        <f>'WPB2.2 Plant detail-w slippage'!G1197</f>
        <v>24240.799999999999</v>
      </c>
      <c r="H77" s="301">
        <f>'WPB2.2 Plant detail-w slippage'!G1303</f>
        <v>24240.799999999999</v>
      </c>
      <c r="I77" s="301">
        <f>'WPB2.2 Plant detail-w slippage'!G1409</f>
        <v>24240.799999999999</v>
      </c>
      <c r="J77" s="301">
        <f>'WPB2.2 Plant detail-w slippage'!G1515</f>
        <v>24240.799999999999</v>
      </c>
      <c r="K77" s="301">
        <f>'WPB2.2 Plant detail-w slippage'!G1621</f>
        <v>24240.799999999999</v>
      </c>
      <c r="L77" s="303">
        <f>'WPB2.2 Plant detail-w slippage'!G1727</f>
        <v>24240.799999999999</v>
      </c>
      <c r="M77" s="301">
        <f>'WPB2.2 Plant detail-w slippage'!G1833</f>
        <v>24240.799999999999</v>
      </c>
      <c r="N77" s="301">
        <f>'WPB2.2 Plant detail-w slippage'!G1939</f>
        <v>24240.799999999999</v>
      </c>
      <c r="O77" s="301">
        <f>'WPB2.2 Plant detail-w slippage'!G2045</f>
        <v>24240.799999999999</v>
      </c>
      <c r="P77" s="301">
        <f>'WPB2.2 Plant detail-w slippage'!G2151</f>
        <v>24240.799999999999</v>
      </c>
      <c r="Q77" s="301">
        <f>'WPB2.2 Plant detail-w slippage'!G2257</f>
        <v>24240.799999999999</v>
      </c>
      <c r="R77" s="301">
        <f>'WPB2.2 Plant detail-w slippage'!G2363</f>
        <v>24240.799999999999</v>
      </c>
      <c r="S77" s="116">
        <f t="shared" si="9"/>
        <v>24240.799999999992</v>
      </c>
    </row>
    <row r="78" spans="1:19" x14ac:dyDescent="0.2">
      <c r="A78" s="48">
        <f t="shared" si="10"/>
        <v>21</v>
      </c>
      <c r="C78" s="123">
        <v>394.11</v>
      </c>
      <c r="E78" s="52"/>
      <c r="F78" s="301">
        <f>'WPB2.2 Plant detail-w slippage'!G1092</f>
        <v>0</v>
      </c>
      <c r="G78" s="301">
        <f>'WPB2.2 Plant detail-w slippage'!G1198</f>
        <v>0</v>
      </c>
      <c r="H78" s="301">
        <f>'WPB2.2 Plant detail-w slippage'!G1304</f>
        <v>0</v>
      </c>
      <c r="I78" s="301">
        <f>'WPB2.2 Plant detail-w slippage'!G1410</f>
        <v>0</v>
      </c>
      <c r="J78" s="301">
        <f>'WPB2.2 Plant detail-w slippage'!G1516</f>
        <v>0</v>
      </c>
      <c r="K78" s="301">
        <f>'WPB2.2 Plant detail-w slippage'!G1622</f>
        <v>0</v>
      </c>
      <c r="L78" s="303">
        <f>'WPB2.2 Plant detail-w slippage'!G1728</f>
        <v>0</v>
      </c>
      <c r="M78" s="301">
        <f>'WPB2.2 Plant detail-w slippage'!G1834</f>
        <v>0</v>
      </c>
      <c r="N78" s="301">
        <f>'WPB2.2 Plant detail-w slippage'!G1940</f>
        <v>0</v>
      </c>
      <c r="O78" s="301">
        <f>'WPB2.2 Plant detail-w slippage'!G2046</f>
        <v>0</v>
      </c>
      <c r="P78" s="301">
        <f>'WPB2.2 Plant detail-w slippage'!G2152</f>
        <v>0</v>
      </c>
      <c r="Q78" s="301">
        <f>'WPB2.2 Plant detail-w slippage'!G2258</f>
        <v>0</v>
      </c>
      <c r="R78" s="301">
        <f>'WPB2.2 Plant detail-w slippage'!G2364</f>
        <v>0</v>
      </c>
      <c r="S78" s="116">
        <f t="shared" si="9"/>
        <v>0</v>
      </c>
    </row>
    <row r="79" spans="1:19" x14ac:dyDescent="0.2">
      <c r="A79" s="48">
        <f t="shared" si="10"/>
        <v>22</v>
      </c>
      <c r="C79" s="123">
        <v>394.13</v>
      </c>
      <c r="E79" s="52"/>
      <c r="F79" s="301">
        <f>'WPB2.2 Plant detail-w slippage'!G1093</f>
        <v>0</v>
      </c>
      <c r="G79" s="301">
        <f>'WPB2.2 Plant detail-w slippage'!G1199</f>
        <v>0</v>
      </c>
      <c r="H79" s="301">
        <f>'WPB2.2 Plant detail-w slippage'!G1305</f>
        <v>0</v>
      </c>
      <c r="I79" s="301">
        <f>'WPB2.2 Plant detail-w slippage'!G1411</f>
        <v>0</v>
      </c>
      <c r="J79" s="301">
        <f>'WPB2.2 Plant detail-w slippage'!G1517</f>
        <v>0</v>
      </c>
      <c r="K79" s="301">
        <f>'WPB2.2 Plant detail-w slippage'!G1623</f>
        <v>0</v>
      </c>
      <c r="L79" s="303">
        <f>'WPB2.2 Plant detail-w slippage'!G1729</f>
        <v>0</v>
      </c>
      <c r="M79" s="301">
        <f>'WPB2.2 Plant detail-w slippage'!G1835</f>
        <v>0</v>
      </c>
      <c r="N79" s="301">
        <f>'WPB2.2 Plant detail-w slippage'!G1941</f>
        <v>0</v>
      </c>
      <c r="O79" s="301">
        <f>'WPB2.2 Plant detail-w slippage'!G2047</f>
        <v>0</v>
      </c>
      <c r="P79" s="301">
        <f>'WPB2.2 Plant detail-w slippage'!G2153</f>
        <v>0</v>
      </c>
      <c r="Q79" s="301">
        <f>'WPB2.2 Plant detail-w slippage'!G2259</f>
        <v>0</v>
      </c>
      <c r="R79" s="301">
        <f>'WPB2.2 Plant detail-w slippage'!G2365</f>
        <v>0</v>
      </c>
      <c r="S79" s="116">
        <f t="shared" si="9"/>
        <v>0</v>
      </c>
    </row>
    <row r="80" spans="1:19" x14ac:dyDescent="0.2">
      <c r="A80" s="48">
        <f t="shared" si="10"/>
        <v>23</v>
      </c>
      <c r="C80" s="123">
        <v>394.2</v>
      </c>
      <c r="E80" s="52"/>
      <c r="F80" s="301">
        <f>'WPB2.2 Plant detail-w slippage'!G1094</f>
        <v>0</v>
      </c>
      <c r="G80" s="301">
        <f>'WPB2.2 Plant detail-w slippage'!G1200</f>
        <v>0</v>
      </c>
      <c r="H80" s="301">
        <f>'WPB2.2 Plant detail-w slippage'!G1306</f>
        <v>0</v>
      </c>
      <c r="I80" s="301">
        <f>'WPB2.2 Plant detail-w slippage'!G1412</f>
        <v>0</v>
      </c>
      <c r="J80" s="301">
        <f>'WPB2.2 Plant detail-w slippage'!G1518</f>
        <v>0</v>
      </c>
      <c r="K80" s="301">
        <f>'WPB2.2 Plant detail-w slippage'!G1624</f>
        <v>0</v>
      </c>
      <c r="L80" s="303">
        <f>'WPB2.2 Plant detail-w slippage'!G1730</f>
        <v>0</v>
      </c>
      <c r="M80" s="301">
        <f>'WPB2.2 Plant detail-w slippage'!G1836</f>
        <v>0</v>
      </c>
      <c r="N80" s="301">
        <f>'WPB2.2 Plant detail-w slippage'!G1942</f>
        <v>0</v>
      </c>
      <c r="O80" s="301">
        <f>'WPB2.2 Plant detail-w slippage'!G2048</f>
        <v>0</v>
      </c>
      <c r="P80" s="301">
        <f>'WPB2.2 Plant detail-w slippage'!G2154</f>
        <v>0</v>
      </c>
      <c r="Q80" s="301">
        <f>'WPB2.2 Plant detail-w slippage'!G2260</f>
        <v>0</v>
      </c>
      <c r="R80" s="301">
        <f>'WPB2.2 Plant detail-w slippage'!G2366</f>
        <v>0</v>
      </c>
      <c r="S80" s="116">
        <f t="shared" si="9"/>
        <v>0</v>
      </c>
    </row>
    <row r="81" spans="1:19" x14ac:dyDescent="0.2">
      <c r="A81" s="48">
        <f t="shared" si="10"/>
        <v>24</v>
      </c>
      <c r="C81" s="123">
        <v>394.3</v>
      </c>
      <c r="E81" s="52"/>
      <c r="F81" s="301">
        <f>'WPB2.2 Plant detail-w slippage'!G1095</f>
        <v>3103121.16</v>
      </c>
      <c r="G81" s="301">
        <f>'WPB2.2 Plant detail-w slippage'!G1201</f>
        <v>3094521.16</v>
      </c>
      <c r="H81" s="301">
        <f>'WPB2.2 Plant detail-w slippage'!G1307</f>
        <v>3085921.16</v>
      </c>
      <c r="I81" s="301">
        <f>'WPB2.2 Plant detail-w slippage'!G1413</f>
        <v>3087321.16</v>
      </c>
      <c r="J81" s="301">
        <f>'WPB2.2 Plant detail-w slippage'!G1519</f>
        <v>3088721.16</v>
      </c>
      <c r="K81" s="301">
        <f>'WPB2.2 Plant detail-w slippage'!G1625</f>
        <v>3123721.16</v>
      </c>
      <c r="L81" s="303">
        <f>'WPB2.2 Plant detail-w slippage'!G1731</f>
        <v>3141921.16</v>
      </c>
      <c r="M81" s="301">
        <f>'WPB2.2 Plant detail-w slippage'!G1837</f>
        <v>3166921.16</v>
      </c>
      <c r="N81" s="301">
        <f>'WPB2.2 Plant detail-w slippage'!G1943</f>
        <v>3201921.16</v>
      </c>
      <c r="O81" s="301">
        <f>'WPB2.2 Plant detail-w slippage'!G2049</f>
        <v>3253721.16</v>
      </c>
      <c r="P81" s="301">
        <f>'WPB2.2 Plant detail-w slippage'!G2155</f>
        <v>3288721.16</v>
      </c>
      <c r="Q81" s="301">
        <f>'WPB2.2 Plant detail-w slippage'!G2261</f>
        <v>3720721.16</v>
      </c>
      <c r="R81" s="301">
        <f>'WPB2.2 Plant detail-w slippage'!G2367</f>
        <v>3780921.16</v>
      </c>
      <c r="S81" s="116">
        <f t="shared" si="9"/>
        <v>3241398.0830769232</v>
      </c>
    </row>
    <row r="82" spans="1:19" x14ac:dyDescent="0.2">
      <c r="A82" s="48">
        <f t="shared" si="10"/>
        <v>25</v>
      </c>
      <c r="C82" s="123">
        <v>395</v>
      </c>
      <c r="E82" s="52"/>
      <c r="F82" s="301">
        <f>'WPB2.2 Plant detail-w slippage'!G1096</f>
        <v>9257.77</v>
      </c>
      <c r="G82" s="301">
        <f>'WPB2.2 Plant detail-w slippage'!G1202</f>
        <v>9257.77</v>
      </c>
      <c r="H82" s="301">
        <f>'WPB2.2 Plant detail-w slippage'!G1308</f>
        <v>9257.77</v>
      </c>
      <c r="I82" s="301">
        <f>'WPB2.2 Plant detail-w slippage'!G1414</f>
        <v>9257.77</v>
      </c>
      <c r="J82" s="301">
        <f>'WPB2.2 Plant detail-w slippage'!G1520</f>
        <v>9257.77</v>
      </c>
      <c r="K82" s="301">
        <f>'WPB2.2 Plant detail-w slippage'!G1626</f>
        <v>9257.77</v>
      </c>
      <c r="L82" s="303">
        <f>'WPB2.2 Plant detail-w slippage'!G1732</f>
        <v>9257.77</v>
      </c>
      <c r="M82" s="301">
        <f>'WPB2.2 Plant detail-w slippage'!G1838</f>
        <v>9257.77</v>
      </c>
      <c r="N82" s="301">
        <f>'WPB2.2 Plant detail-w slippage'!G1944</f>
        <v>9257.77</v>
      </c>
      <c r="O82" s="301">
        <f>'WPB2.2 Plant detail-w slippage'!G2050</f>
        <v>9257.77</v>
      </c>
      <c r="P82" s="301">
        <f>'WPB2.2 Plant detail-w slippage'!G2156</f>
        <v>9257.77</v>
      </c>
      <c r="Q82" s="301">
        <f>'WPB2.2 Plant detail-w slippage'!G2262</f>
        <v>9257.77</v>
      </c>
      <c r="R82" s="301">
        <f>'WPB2.2 Plant detail-w slippage'!G2368</f>
        <v>9257.77</v>
      </c>
      <c r="S82" s="116">
        <f t="shared" si="9"/>
        <v>9257.7700000000023</v>
      </c>
    </row>
    <row r="83" spans="1:19" x14ac:dyDescent="0.2">
      <c r="A83" s="48">
        <f t="shared" si="10"/>
        <v>26</v>
      </c>
      <c r="C83" s="123">
        <v>396</v>
      </c>
      <c r="E83" s="52"/>
      <c r="F83" s="301">
        <f>'WPB2.2 Plant detail-w slippage'!G1097</f>
        <v>253134.72</v>
      </c>
      <c r="G83" s="301">
        <f>'WPB2.2 Plant detail-w slippage'!G1203</f>
        <v>253134.72</v>
      </c>
      <c r="H83" s="301">
        <f>'WPB2.2 Plant detail-w slippage'!G1309</f>
        <v>253134.72</v>
      </c>
      <c r="I83" s="301">
        <f>'WPB2.2 Plant detail-w slippage'!G1415</f>
        <v>253134.72</v>
      </c>
      <c r="J83" s="301">
        <f>'WPB2.2 Plant detail-w slippage'!G1521</f>
        <v>253134.72</v>
      </c>
      <c r="K83" s="301">
        <f>'WPB2.2 Plant detail-w slippage'!G1627</f>
        <v>253134.72</v>
      </c>
      <c r="L83" s="303">
        <f>'WPB2.2 Plant detail-w slippage'!G1733</f>
        <v>253134.72</v>
      </c>
      <c r="M83" s="301">
        <f>'WPB2.2 Plant detail-w slippage'!G1839</f>
        <v>253134.72</v>
      </c>
      <c r="N83" s="301">
        <f>'WPB2.2 Plant detail-w slippage'!G1945</f>
        <v>253134.72</v>
      </c>
      <c r="O83" s="301">
        <f>'WPB2.2 Plant detail-w slippage'!G2051</f>
        <v>253134.72</v>
      </c>
      <c r="P83" s="301">
        <f>'WPB2.2 Plant detail-w slippage'!G2157</f>
        <v>253134.72</v>
      </c>
      <c r="Q83" s="301">
        <f>'WPB2.2 Plant detail-w slippage'!G2263</f>
        <v>253134.72</v>
      </c>
      <c r="R83" s="301">
        <f>'WPB2.2 Plant detail-w slippage'!G2369</f>
        <v>253134.72</v>
      </c>
      <c r="S83" s="116">
        <f t="shared" si="9"/>
        <v>253134.72000000006</v>
      </c>
    </row>
    <row r="84" spans="1:19" x14ac:dyDescent="0.2">
      <c r="A84" s="48">
        <f t="shared" si="10"/>
        <v>27</v>
      </c>
      <c r="C84" s="123">
        <v>398</v>
      </c>
      <c r="E84" s="52"/>
      <c r="F84" s="302">
        <f>'WPB2.2 Plant detail-w slippage'!G1098</f>
        <v>259161.94</v>
      </c>
      <c r="G84" s="302">
        <f>'WPB2.2 Plant detail-w slippage'!G1204</f>
        <v>263161.94</v>
      </c>
      <c r="H84" s="302">
        <f>'WPB2.2 Plant detail-w slippage'!G1310</f>
        <v>267161.94</v>
      </c>
      <c r="I84" s="302">
        <f>'WPB2.2 Plant detail-w slippage'!G1416</f>
        <v>271161.94</v>
      </c>
      <c r="J84" s="302">
        <f>'WPB2.2 Plant detail-w slippage'!G1522</f>
        <v>275161.94</v>
      </c>
      <c r="K84" s="302">
        <f>'WPB2.2 Plant detail-w slippage'!G1628</f>
        <v>279161.94</v>
      </c>
      <c r="L84" s="302">
        <f>'WPB2.2 Plant detail-w slippage'!G1734</f>
        <v>283161.94</v>
      </c>
      <c r="M84" s="302">
        <f>'WPB2.2 Plant detail-w slippage'!G1840</f>
        <v>287161.94</v>
      </c>
      <c r="N84" s="302">
        <f>'WPB2.2 Plant detail-w slippage'!G1946</f>
        <v>291161.94</v>
      </c>
      <c r="O84" s="302">
        <f>'WPB2.2 Plant detail-w slippage'!G2052</f>
        <v>295161.94</v>
      </c>
      <c r="P84" s="302">
        <f>'WPB2.2 Plant detail-w slippage'!G2158</f>
        <v>299161.94</v>
      </c>
      <c r="Q84" s="302">
        <f>'WPB2.2 Plant detail-w slippage'!G2264</f>
        <v>308161.94</v>
      </c>
      <c r="R84" s="302">
        <f>'WPB2.2 Plant detail-w slippage'!G2370</f>
        <v>312161.94</v>
      </c>
      <c r="S84" s="117">
        <f t="shared" si="9"/>
        <v>283931.17076923075</v>
      </c>
    </row>
    <row r="85" spans="1:19" x14ac:dyDescent="0.2">
      <c r="A85" s="48">
        <f t="shared" si="10"/>
        <v>28</v>
      </c>
      <c r="C85" s="52" t="s">
        <v>684</v>
      </c>
      <c r="F85" s="51">
        <f t="shared" ref="F85:S85" si="11">SUM(F71:F84)</f>
        <v>5354936.2799999993</v>
      </c>
      <c r="G85" s="51">
        <f t="shared" si="11"/>
        <v>5350336.2799999993</v>
      </c>
      <c r="H85" s="51">
        <f t="shared" si="11"/>
        <v>5345736.2799999993</v>
      </c>
      <c r="I85" s="51">
        <f t="shared" si="11"/>
        <v>5351136.2799999993</v>
      </c>
      <c r="J85" s="51">
        <f t="shared" si="11"/>
        <v>5910936.2799999993</v>
      </c>
      <c r="K85" s="51">
        <f t="shared" si="11"/>
        <v>5949936.2799999993</v>
      </c>
      <c r="L85" s="51">
        <f t="shared" si="11"/>
        <v>5972136.2799999993</v>
      </c>
      <c r="M85" s="51">
        <f t="shared" si="11"/>
        <v>6001136.2799999993</v>
      </c>
      <c r="N85" s="51">
        <f t="shared" si="11"/>
        <v>6040136.2799999993</v>
      </c>
      <c r="O85" s="51">
        <f t="shared" si="11"/>
        <v>6095936.2799999993</v>
      </c>
      <c r="P85" s="51">
        <f t="shared" si="11"/>
        <v>6134936.2799999993</v>
      </c>
      <c r="Q85" s="51">
        <f t="shared" si="11"/>
        <v>6710486.2799999993</v>
      </c>
      <c r="R85" s="51">
        <f t="shared" si="11"/>
        <v>6774686.2799999993</v>
      </c>
      <c r="S85" s="51">
        <f t="shared" si="11"/>
        <v>5922497.8184615374</v>
      </c>
    </row>
    <row r="86" spans="1:19" x14ac:dyDescent="0.2">
      <c r="A86" s="48"/>
      <c r="C86" s="52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</row>
    <row r="87" spans="1:19" x14ac:dyDescent="0.2">
      <c r="A87" s="1727">
        <f>A85+1</f>
        <v>29</v>
      </c>
      <c r="B87" s="161"/>
      <c r="C87" s="1728">
        <v>378.21</v>
      </c>
      <c r="D87" s="161"/>
      <c r="E87" s="161"/>
      <c r="F87" s="302">
        <f>'WPB2.2 Plant detail-w slippage'!G1102</f>
        <v>-777092</v>
      </c>
      <c r="G87" s="302">
        <f>'WPB2.2 Plant detail-w slippage'!G1208</f>
        <v>-777092</v>
      </c>
      <c r="H87" s="302">
        <f>'WPB2.2 Plant detail-w slippage'!G1314</f>
        <v>-777092</v>
      </c>
      <c r="I87" s="302">
        <f>'WPB2.2 Plant detail-w slippage'!G1420</f>
        <v>-777092</v>
      </c>
      <c r="J87" s="302">
        <f>'WPB2.2 Plant detail-w slippage'!G1526</f>
        <v>-777092</v>
      </c>
      <c r="K87" s="302">
        <f>'WPB2.2 Plant detail-w slippage'!G1632</f>
        <v>-777092</v>
      </c>
      <c r="L87" s="302">
        <f>'WPB2.2 Plant detail-w slippage'!G1738</f>
        <v>-777092</v>
      </c>
      <c r="M87" s="302">
        <f>'WPB2.2 Plant detail-w slippage'!G1844</f>
        <v>-777092</v>
      </c>
      <c r="N87" s="302">
        <f>'WPB2.2 Plant detail-w slippage'!G1950</f>
        <v>-777092</v>
      </c>
      <c r="O87" s="302">
        <f>'WPB2.2 Plant detail-w slippage'!G2056</f>
        <v>-777092</v>
      </c>
      <c r="P87" s="302">
        <f>'WPB2.2 Plant detail-w slippage'!G2162</f>
        <v>-777092</v>
      </c>
      <c r="Q87" s="302">
        <f>'WPB2.2 Plant detail-w slippage'!G2268</f>
        <v>-777092</v>
      </c>
      <c r="R87" s="302">
        <f>'WPB2.2 Plant detail-w slippage'!G2374</f>
        <v>-777092</v>
      </c>
      <c r="S87" s="117">
        <f t="shared" ref="S87" si="12">AVERAGE(F87:R87)</f>
        <v>-777092</v>
      </c>
    </row>
    <row r="88" spans="1:19" x14ac:dyDescent="0.2">
      <c r="A88" s="48">
        <f t="shared" ref="A88" si="13">A87+1</f>
        <v>30</v>
      </c>
      <c r="C88" s="1726" t="s">
        <v>686</v>
      </c>
      <c r="F88" s="51">
        <f>SUM(F87)</f>
        <v>-777092</v>
      </c>
      <c r="G88" s="51">
        <f t="shared" ref="G88:Q88" si="14">SUM(G87)</f>
        <v>-777092</v>
      </c>
      <c r="H88" s="51">
        <f t="shared" si="14"/>
        <v>-777092</v>
      </c>
      <c r="I88" s="51">
        <f t="shared" si="14"/>
        <v>-777092</v>
      </c>
      <c r="J88" s="51">
        <f t="shared" si="14"/>
        <v>-777092</v>
      </c>
      <c r="K88" s="51">
        <f t="shared" si="14"/>
        <v>-777092</v>
      </c>
      <c r="L88" s="51">
        <f t="shared" si="14"/>
        <v>-777092</v>
      </c>
      <c r="M88" s="51">
        <f t="shared" si="14"/>
        <v>-777092</v>
      </c>
      <c r="N88" s="51">
        <f t="shared" si="14"/>
        <v>-777092</v>
      </c>
      <c r="O88" s="51">
        <f t="shared" si="14"/>
        <v>-777092</v>
      </c>
      <c r="P88" s="51">
        <f t="shared" si="14"/>
        <v>-777092</v>
      </c>
      <c r="Q88" s="51">
        <f t="shared" si="14"/>
        <v>-777092</v>
      </c>
      <c r="R88" s="51">
        <f t="shared" ref="R88" si="15">SUM(R87)</f>
        <v>-777092</v>
      </c>
      <c r="S88" s="51">
        <f t="shared" ref="S88" si="16">SUM(S87)</f>
        <v>-777092</v>
      </c>
    </row>
    <row r="89" spans="1:19" x14ac:dyDescent="0.2">
      <c r="A89" s="48"/>
      <c r="C89" s="123"/>
      <c r="E89" s="49"/>
      <c r="G89" s="51"/>
      <c r="H89" s="107"/>
      <c r="I89" s="107"/>
      <c r="J89" s="108"/>
      <c r="K89" s="107"/>
      <c r="L89" s="107"/>
      <c r="M89" s="107"/>
      <c r="N89" s="108"/>
      <c r="O89" s="107"/>
      <c r="P89" s="107"/>
    </row>
    <row r="90" spans="1:19" ht="13.5" thickBot="1" x14ac:dyDescent="0.25">
      <c r="A90" s="48">
        <f>A87+1</f>
        <v>30</v>
      </c>
      <c r="C90" s="251" t="s">
        <v>872</v>
      </c>
      <c r="F90" s="118">
        <f>F19+F23+F68+F85+F88</f>
        <v>421398193.37</v>
      </c>
      <c r="G90" s="118">
        <f t="shared" ref="G90:S90" si="17">G19+G23+G68+G85+G88</f>
        <v>422406759.37</v>
      </c>
      <c r="H90" s="118">
        <f t="shared" si="17"/>
        <v>423323825.37</v>
      </c>
      <c r="I90" s="118">
        <f t="shared" si="17"/>
        <v>424424391.37</v>
      </c>
      <c r="J90" s="118">
        <f t="shared" si="17"/>
        <v>426786257.37</v>
      </c>
      <c r="K90" s="118">
        <f t="shared" si="17"/>
        <v>428873123.37</v>
      </c>
      <c r="L90" s="118">
        <f t="shared" si="17"/>
        <v>431612589.37</v>
      </c>
      <c r="M90" s="118">
        <f t="shared" si="17"/>
        <v>436916655.37</v>
      </c>
      <c r="N90" s="118">
        <f t="shared" si="17"/>
        <v>440838721.37</v>
      </c>
      <c r="O90" s="118">
        <f t="shared" si="17"/>
        <v>444496487.37</v>
      </c>
      <c r="P90" s="118">
        <f t="shared" si="17"/>
        <v>448234153.37</v>
      </c>
      <c r="Q90" s="118">
        <f t="shared" si="17"/>
        <v>452711169.37</v>
      </c>
      <c r="R90" s="118">
        <f t="shared" si="17"/>
        <v>455066635.37</v>
      </c>
      <c r="S90" s="118">
        <f t="shared" si="17"/>
        <v>435160689.37000006</v>
      </c>
    </row>
    <row r="91" spans="1:19" ht="13.5" thickTop="1" x14ac:dyDescent="0.2">
      <c r="G91" s="51"/>
      <c r="H91" s="107"/>
      <c r="I91" s="107"/>
      <c r="J91" s="104"/>
      <c r="K91" s="107"/>
      <c r="L91" s="104"/>
      <c r="M91" s="107"/>
      <c r="N91" s="104"/>
      <c r="O91" s="107"/>
      <c r="P91" s="107"/>
    </row>
    <row r="92" spans="1:19" x14ac:dyDescent="0.2">
      <c r="H92" s="104"/>
      <c r="I92" s="104"/>
      <c r="J92" s="104"/>
      <c r="K92" s="104"/>
      <c r="L92" s="104"/>
      <c r="M92" s="104"/>
      <c r="N92" s="104"/>
      <c r="O92" s="104"/>
      <c r="P92" s="104"/>
      <c r="S92" s="27"/>
    </row>
    <row r="94" spans="1:19" x14ac:dyDescent="0.2">
      <c r="H94" s="104"/>
      <c r="I94" s="104"/>
      <c r="J94" s="104"/>
      <c r="K94" s="104"/>
      <c r="L94" s="104"/>
      <c r="M94" s="104"/>
      <c r="N94" s="104"/>
      <c r="O94" s="104"/>
      <c r="P94" s="104"/>
      <c r="S94" s="27"/>
    </row>
  </sheetData>
  <mergeCells count="8">
    <mergeCell ref="A45:S45"/>
    <mergeCell ref="A46:S46"/>
    <mergeCell ref="A47:S47"/>
    <mergeCell ref="A1:S1"/>
    <mergeCell ref="A2:S2"/>
    <mergeCell ref="A3:S3"/>
    <mergeCell ref="A4:S4"/>
    <mergeCell ref="A44:S44"/>
  </mergeCells>
  <phoneticPr fontId="0" type="noConversion"/>
  <pageMargins left="1" right="0.5" top="1" bottom="0.75" header="0.3" footer="0.3"/>
  <pageSetup scale="68" fitToHeight="0" orientation="landscape" r:id="rId1"/>
  <headerFooter>
    <oddHeader>&amp;R&amp;"Arial,Regular"&amp;10KY PSC Case No. 2016-00162, Attachment A to Staff 3-4</oddHeader>
  </headerFooter>
  <rowBreaks count="1" manualBreakCount="1">
    <brk id="4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3" transitionEvaluation="1" transitionEntry="1" codeName="Sheet28">
    <tabColor rgb="FFFF0000"/>
  </sheetPr>
  <dimension ref="A1:T2378"/>
  <sheetViews>
    <sheetView showGridLines="0" topLeftCell="A13" zoomScale="90" zoomScaleNormal="90" zoomScaleSheetLayoutView="70" workbookViewId="0">
      <selection activeCell="O32" sqref="O32"/>
    </sheetView>
  </sheetViews>
  <sheetFormatPr defaultColWidth="8.33203125" defaultRowHeight="12.75" x14ac:dyDescent="0.2"/>
  <cols>
    <col min="1" max="1" width="5.1640625" style="405" customWidth="1"/>
    <col min="2" max="2" width="8.5" style="383" customWidth="1"/>
    <col min="3" max="3" width="45.6640625" style="383" customWidth="1"/>
    <col min="4" max="4" width="15" style="383" bestFit="1" customWidth="1"/>
    <col min="5" max="5" width="15.33203125" style="383" customWidth="1"/>
    <col min="6" max="6" width="16.5" style="383" bestFit="1" customWidth="1"/>
    <col min="7" max="7" width="15" style="383" bestFit="1" customWidth="1"/>
    <col min="8" max="8" width="1.83203125" style="383" customWidth="1"/>
    <col min="9" max="9" width="15" style="383" bestFit="1" customWidth="1"/>
    <col min="10" max="10" width="14.1640625" style="383" bestFit="1" customWidth="1"/>
    <col min="11" max="11" width="21" style="383" bestFit="1" customWidth="1"/>
    <col min="12" max="12" width="13.33203125" style="383" bestFit="1" customWidth="1"/>
    <col min="13" max="13" width="15" style="383" bestFit="1" customWidth="1"/>
    <col min="14" max="14" width="17.33203125" style="383" customWidth="1"/>
    <col min="15" max="15" width="18.1640625" style="383" customWidth="1"/>
    <col min="16" max="16" width="17.6640625" style="383" customWidth="1"/>
    <col min="17" max="17" width="18.6640625" style="383" customWidth="1"/>
    <col min="18" max="18" width="17" style="383" customWidth="1"/>
    <col min="19" max="19" width="21.6640625" style="383" customWidth="1"/>
    <col min="20" max="20" width="14.1640625" style="383" bestFit="1" customWidth="1"/>
    <col min="21" max="16384" width="8.33203125" style="383"/>
  </cols>
  <sheetData>
    <row r="1" spans="1:14" x14ac:dyDescent="0.2">
      <c r="A1" s="2073" t="str">
        <f>co</f>
        <v>COLUMBIA GAS OF KENTUCKY, INC.</v>
      </c>
      <c r="B1" s="2073"/>
      <c r="C1" s="2073"/>
      <c r="D1" s="2073"/>
      <c r="E1" s="2073"/>
      <c r="F1" s="2073"/>
      <c r="G1" s="2073"/>
      <c r="H1" s="2073"/>
      <c r="I1" s="2073"/>
      <c r="J1" s="2073"/>
      <c r="K1" s="2073"/>
      <c r="L1" s="2073"/>
      <c r="M1" s="2073"/>
      <c r="N1" s="2073"/>
    </row>
    <row r="2" spans="1:14" x14ac:dyDescent="0.2">
      <c r="A2" s="2073" t="str">
        <f>case</f>
        <v>CASE NO. 2016 - 00162</v>
      </c>
      <c r="B2" s="2073"/>
      <c r="C2" s="2073"/>
      <c r="D2" s="2073"/>
      <c r="E2" s="2073"/>
      <c r="F2" s="2073"/>
      <c r="G2" s="2073"/>
      <c r="H2" s="2073"/>
      <c r="I2" s="2073"/>
      <c r="J2" s="2073"/>
      <c r="K2" s="2073"/>
      <c r="L2" s="2073"/>
      <c r="M2" s="2073"/>
      <c r="N2" s="2073"/>
    </row>
    <row r="3" spans="1:14" x14ac:dyDescent="0.2">
      <c r="A3" s="2074" t="s">
        <v>1106</v>
      </c>
      <c r="B3" s="2073"/>
      <c r="C3" s="2073"/>
      <c r="D3" s="2073"/>
      <c r="E3" s="2073"/>
      <c r="F3" s="2073"/>
      <c r="G3" s="2073"/>
      <c r="H3" s="2073"/>
      <c r="I3" s="2073"/>
      <c r="J3" s="2073"/>
      <c r="K3" s="2073"/>
      <c r="L3" s="2073"/>
      <c r="M3" s="2073"/>
      <c r="N3" s="2073"/>
    </row>
    <row r="4" spans="1:14" x14ac:dyDescent="0.2">
      <c r="A4" s="2074" t="s">
        <v>2142</v>
      </c>
      <c r="B4" s="2073"/>
      <c r="C4" s="2073"/>
      <c r="D4" s="2073"/>
      <c r="E4" s="2073"/>
      <c r="F4" s="2073"/>
      <c r="G4" s="2073"/>
      <c r="H4" s="2073"/>
      <c r="I4" s="2073"/>
      <c r="J4" s="2073"/>
      <c r="K4" s="2073"/>
      <c r="L4" s="2073"/>
      <c r="M4" s="2073"/>
      <c r="N4" s="2073"/>
    </row>
    <row r="5" spans="1:14" x14ac:dyDescent="0.2">
      <c r="A5" s="384"/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</row>
    <row r="6" spans="1:14" x14ac:dyDescent="0.2">
      <c r="A6" s="385" t="s">
        <v>1095</v>
      </c>
      <c r="I6" s="386"/>
      <c r="N6" s="387" t="s">
        <v>763</v>
      </c>
    </row>
    <row r="7" spans="1:14" x14ac:dyDescent="0.2">
      <c r="A7" s="388" t="s">
        <v>977</v>
      </c>
      <c r="I7" s="386"/>
      <c r="N7" s="389" t="s">
        <v>1107</v>
      </c>
    </row>
    <row r="8" spans="1:14" x14ac:dyDescent="0.2">
      <c r="A8" s="390" t="s">
        <v>997</v>
      </c>
      <c r="B8" s="391"/>
      <c r="C8" s="391"/>
      <c r="D8" s="391"/>
      <c r="E8" s="391"/>
      <c r="F8" s="391"/>
      <c r="G8" s="391"/>
      <c r="H8" s="391"/>
      <c r="I8" s="392"/>
      <c r="L8" s="386"/>
      <c r="M8" s="386"/>
      <c r="N8" s="393" t="str">
        <f>SMK</f>
        <v>WITNESS:  S. M. KATKO</v>
      </c>
    </row>
    <row r="9" spans="1:14" x14ac:dyDescent="0.2">
      <c r="A9" s="390"/>
      <c r="B9" s="391"/>
      <c r="C9" s="391"/>
      <c r="D9" s="391"/>
      <c r="E9" s="391"/>
      <c r="F9" s="391"/>
      <c r="G9" s="391"/>
      <c r="H9" s="391"/>
      <c r="I9" s="392"/>
      <c r="J9" s="393"/>
      <c r="L9" s="386"/>
      <c r="M9" s="386"/>
    </row>
    <row r="10" spans="1:14" x14ac:dyDescent="0.2">
      <c r="A10" s="390"/>
      <c r="B10" s="391"/>
      <c r="C10" s="391"/>
      <c r="D10" s="2075" t="s">
        <v>1088</v>
      </c>
      <c r="E10" s="2075"/>
      <c r="F10" s="2075"/>
      <c r="G10" s="2075"/>
      <c r="H10" s="391"/>
      <c r="I10" s="2076" t="s">
        <v>1093</v>
      </c>
      <c r="J10" s="2077"/>
      <c r="K10" s="2077"/>
      <c r="L10" s="2077"/>
      <c r="M10" s="2077"/>
      <c r="N10" s="2077"/>
    </row>
    <row r="11" spans="1:14" x14ac:dyDescent="0.2">
      <c r="A11" s="394"/>
      <c r="B11" s="391"/>
      <c r="C11" s="391"/>
      <c r="E11" s="391"/>
      <c r="F11" s="391"/>
      <c r="G11" s="395"/>
      <c r="H11" s="395"/>
      <c r="J11" s="396"/>
      <c r="M11" s="386"/>
    </row>
    <row r="12" spans="1:14" x14ac:dyDescent="0.2">
      <c r="A12" s="383"/>
      <c r="D12" s="396" t="s">
        <v>1084</v>
      </c>
      <c r="G12" s="397" t="s">
        <v>1084</v>
      </c>
      <c r="H12" s="398"/>
      <c r="I12" s="397" t="s">
        <v>1089</v>
      </c>
      <c r="L12" s="386"/>
      <c r="M12" s="397" t="s">
        <v>1089</v>
      </c>
    </row>
    <row r="13" spans="1:14" x14ac:dyDescent="0.2">
      <c r="A13" s="397" t="s">
        <v>1080</v>
      </c>
      <c r="B13" s="397"/>
      <c r="D13" s="397" t="s">
        <v>865</v>
      </c>
      <c r="G13" s="399" t="s">
        <v>866</v>
      </c>
      <c r="H13" s="398"/>
      <c r="I13" s="397" t="s">
        <v>865</v>
      </c>
      <c r="J13" s="397" t="s">
        <v>956</v>
      </c>
      <c r="L13" s="399" t="s">
        <v>1092</v>
      </c>
      <c r="M13" s="399" t="s">
        <v>866</v>
      </c>
    </row>
    <row r="14" spans="1:14" x14ac:dyDescent="0.2">
      <c r="A14" s="400" t="s">
        <v>1081</v>
      </c>
      <c r="C14" s="401" t="s">
        <v>1127</v>
      </c>
      <c r="D14" s="402" t="s">
        <v>867</v>
      </c>
      <c r="E14" s="400" t="s">
        <v>1085</v>
      </c>
      <c r="F14" s="400" t="s">
        <v>1086</v>
      </c>
      <c r="G14" s="400" t="s">
        <v>867</v>
      </c>
      <c r="H14" s="398"/>
      <c r="I14" s="403" t="s">
        <v>867</v>
      </c>
      <c r="J14" s="402" t="s">
        <v>1090</v>
      </c>
      <c r="K14" s="402" t="s">
        <v>1086</v>
      </c>
      <c r="L14" s="402" t="s">
        <v>955</v>
      </c>
      <c r="M14" s="404" t="s">
        <v>867</v>
      </c>
    </row>
    <row r="15" spans="1:14" x14ac:dyDescent="0.2">
      <c r="D15" s="406" t="str">
        <f>"(1)"</f>
        <v>(1)</v>
      </c>
      <c r="E15" s="406" t="str">
        <f>"(2)"</f>
        <v>(2)</v>
      </c>
      <c r="F15" s="406" t="str">
        <f>"(3)"</f>
        <v>(3)</v>
      </c>
      <c r="G15" s="406" t="str">
        <f>"(4)=(1+2+3)"</f>
        <v>(4)=(1+2+3)</v>
      </c>
      <c r="H15" s="406"/>
      <c r="I15" s="406" t="str">
        <f>"(5)"</f>
        <v>(5)</v>
      </c>
      <c r="J15" s="406" t="str">
        <f>"(6)"</f>
        <v>(6)</v>
      </c>
      <c r="K15" s="406" t="str">
        <f>"(7)"</f>
        <v>(7)</v>
      </c>
      <c r="L15" s="406" t="str">
        <f>"(8)"</f>
        <v>(8)</v>
      </c>
      <c r="M15" s="406" t="str">
        <f>"(9= 5+6-7+8)"</f>
        <v>(9= 5+6-7+8)</v>
      </c>
    </row>
    <row r="16" spans="1:14" x14ac:dyDescent="0.2">
      <c r="D16" s="406" t="s">
        <v>639</v>
      </c>
      <c r="E16" s="406" t="s">
        <v>639</v>
      </c>
      <c r="F16" s="406" t="s">
        <v>639</v>
      </c>
      <c r="G16" s="406" t="s">
        <v>639</v>
      </c>
      <c r="H16" s="406"/>
      <c r="I16" s="406" t="s">
        <v>639</v>
      </c>
      <c r="J16" s="406" t="s">
        <v>639</v>
      </c>
      <c r="K16" s="406" t="s">
        <v>639</v>
      </c>
      <c r="L16" s="406" t="s">
        <v>639</v>
      </c>
      <c r="M16" s="406" t="s">
        <v>639</v>
      </c>
    </row>
    <row r="17" spans="1:15" x14ac:dyDescent="0.2">
      <c r="A17" s="405">
        <v>1</v>
      </c>
      <c r="C17" s="407" t="s">
        <v>2207</v>
      </c>
      <c r="G17" s="408">
        <f>D152</f>
        <v>397468366.36999989</v>
      </c>
      <c r="M17" s="408">
        <f>I152</f>
        <v>142470378.60000002</v>
      </c>
      <c r="O17" s="408"/>
    </row>
    <row r="18" spans="1:15" x14ac:dyDescent="0.2">
      <c r="A18" s="405">
        <f t="shared" ref="A18:A39" si="0">A17+1</f>
        <v>2</v>
      </c>
      <c r="C18" s="407" t="s">
        <v>2208</v>
      </c>
      <c r="D18" s="408">
        <f>G17</f>
        <v>397468366.36999989</v>
      </c>
      <c r="E18" s="408">
        <f>E152</f>
        <v>2922324</v>
      </c>
      <c r="F18" s="408">
        <f>F152</f>
        <v>-344422</v>
      </c>
      <c r="G18" s="408">
        <f>SUM(D18:F18)</f>
        <v>400046268.36999989</v>
      </c>
      <c r="I18" s="408">
        <f>M17</f>
        <v>142470378.60000002</v>
      </c>
      <c r="J18" s="408">
        <f>K152</f>
        <v>726857.26289764023</v>
      </c>
      <c r="K18" s="408">
        <f>L152</f>
        <v>344422</v>
      </c>
      <c r="L18" s="408">
        <f>M152</f>
        <v>-78658</v>
      </c>
      <c r="M18" s="408">
        <f>I18+J18-K18+L18</f>
        <v>142774155.86289766</v>
      </c>
      <c r="O18" s="408"/>
    </row>
    <row r="19" spans="1:15" x14ac:dyDescent="0.2">
      <c r="A19" s="405">
        <f t="shared" si="0"/>
        <v>3</v>
      </c>
      <c r="C19" s="407" t="s">
        <v>2211</v>
      </c>
      <c r="D19" s="408">
        <f t="shared" ref="D19:D39" si="1">G18</f>
        <v>400046268.36999989</v>
      </c>
      <c r="E19" s="408">
        <f>E258</f>
        <v>4194215</v>
      </c>
      <c r="F19" s="408">
        <f>F258</f>
        <v>-491908</v>
      </c>
      <c r="G19" s="408">
        <f t="shared" ref="G19:G39" si="2">SUM(D19:F19)</f>
        <v>403748575.36999989</v>
      </c>
      <c r="I19" s="408">
        <f t="shared" ref="I19:I39" si="3">M18</f>
        <v>142774155.86289766</v>
      </c>
      <c r="J19" s="408">
        <f>K258</f>
        <v>743715.17956430686</v>
      </c>
      <c r="K19" s="408">
        <f>L258</f>
        <v>491908</v>
      </c>
      <c r="L19" s="408">
        <f>M258</f>
        <v>-106857</v>
      </c>
      <c r="M19" s="408">
        <f t="shared" ref="M19:M39" si="4">I19+J19-K19+L19</f>
        <v>142919106.04246196</v>
      </c>
      <c r="N19" s="434"/>
      <c r="O19" s="408"/>
    </row>
    <row r="20" spans="1:15" x14ac:dyDescent="0.2">
      <c r="A20" s="405">
        <f t="shared" si="0"/>
        <v>4</v>
      </c>
      <c r="C20" s="407" t="s">
        <v>2212</v>
      </c>
      <c r="D20" s="408">
        <f t="shared" si="1"/>
        <v>403748575.36999989</v>
      </c>
      <c r="E20" s="408">
        <f>E364</f>
        <v>3334044</v>
      </c>
      <c r="F20" s="408">
        <f>F364</f>
        <v>-380615</v>
      </c>
      <c r="G20" s="408">
        <f t="shared" si="2"/>
        <v>406702004.36999989</v>
      </c>
      <c r="I20" s="408">
        <f t="shared" si="3"/>
        <v>142919106.04246196</v>
      </c>
      <c r="J20" s="408">
        <f>K364</f>
        <v>750849.17956430686</v>
      </c>
      <c r="K20" s="408">
        <f>L364</f>
        <v>380615</v>
      </c>
      <c r="L20" s="408">
        <f>M364</f>
        <v>-86922</v>
      </c>
      <c r="M20" s="408">
        <f t="shared" si="4"/>
        <v>143202418.22202626</v>
      </c>
      <c r="N20" s="434"/>
      <c r="O20" s="408"/>
    </row>
    <row r="21" spans="1:15" x14ac:dyDescent="0.2">
      <c r="A21" s="405">
        <f t="shared" si="0"/>
        <v>5</v>
      </c>
      <c r="C21" s="407" t="s">
        <v>2213</v>
      </c>
      <c r="D21" s="408">
        <f t="shared" si="1"/>
        <v>406702004.36999989</v>
      </c>
      <c r="E21" s="408">
        <f>E470</f>
        <v>2909740</v>
      </c>
      <c r="F21" s="408">
        <f>F470</f>
        <v>-336002</v>
      </c>
      <c r="G21" s="408">
        <f t="shared" si="2"/>
        <v>409275742.36999989</v>
      </c>
      <c r="I21" s="408">
        <f t="shared" si="3"/>
        <v>143202418.22202626</v>
      </c>
      <c r="J21" s="408">
        <f>K470</f>
        <v>757383.16289764026</v>
      </c>
      <c r="K21" s="408">
        <f>L470</f>
        <v>336002</v>
      </c>
      <c r="L21" s="408">
        <f>M470</f>
        <v>-89808</v>
      </c>
      <c r="M21" s="408">
        <f t="shared" si="4"/>
        <v>143533991.38492391</v>
      </c>
      <c r="N21" s="434"/>
      <c r="O21" s="408"/>
    </row>
    <row r="22" spans="1:15" x14ac:dyDescent="0.2">
      <c r="A22" s="405">
        <f t="shared" si="0"/>
        <v>6</v>
      </c>
      <c r="C22" s="407" t="s">
        <v>2214</v>
      </c>
      <c r="D22" s="408">
        <f t="shared" si="1"/>
        <v>409275742.36999989</v>
      </c>
      <c r="E22" s="408">
        <f>E576</f>
        <v>2041602</v>
      </c>
      <c r="F22" s="408">
        <f>F576</f>
        <v>-233085</v>
      </c>
      <c r="G22" s="408">
        <f t="shared" si="2"/>
        <v>411084259.36999989</v>
      </c>
      <c r="I22" s="408">
        <f t="shared" si="3"/>
        <v>143533991.38492391</v>
      </c>
      <c r="J22" s="408">
        <f>K576</f>
        <v>762670.16289764026</v>
      </c>
      <c r="K22" s="408">
        <f>L576</f>
        <v>233085</v>
      </c>
      <c r="L22" s="408">
        <f>M576</f>
        <v>-63961</v>
      </c>
      <c r="M22" s="408">
        <f t="shared" si="4"/>
        <v>143999615.54782155</v>
      </c>
      <c r="N22" s="434"/>
      <c r="O22" s="408"/>
    </row>
    <row r="23" spans="1:15" x14ac:dyDescent="0.2">
      <c r="A23" s="405">
        <f t="shared" si="0"/>
        <v>7</v>
      </c>
      <c r="C23" s="407" t="s">
        <v>2215</v>
      </c>
      <c r="D23" s="408">
        <f t="shared" si="1"/>
        <v>411084259.36999989</v>
      </c>
      <c r="E23" s="408">
        <f>E682</f>
        <v>2316514</v>
      </c>
      <c r="F23" s="408">
        <f>F682</f>
        <v>-253727</v>
      </c>
      <c r="G23" s="408">
        <f t="shared" si="2"/>
        <v>413147046.36999989</v>
      </c>
      <c r="I23" s="408">
        <f t="shared" si="3"/>
        <v>143999615.54782155</v>
      </c>
      <c r="J23" s="408">
        <f>K682</f>
        <v>768287.16289764026</v>
      </c>
      <c r="K23" s="408">
        <f>L682</f>
        <v>253727</v>
      </c>
      <c r="L23" s="408">
        <f>M682</f>
        <v>-61002</v>
      </c>
      <c r="M23" s="408">
        <f t="shared" si="4"/>
        <v>144453173.7107192</v>
      </c>
      <c r="N23" s="434"/>
      <c r="O23" s="408"/>
    </row>
    <row r="24" spans="1:15" x14ac:dyDescent="0.2">
      <c r="A24" s="405">
        <f t="shared" si="0"/>
        <v>8</v>
      </c>
      <c r="C24" s="407" t="s">
        <v>2216</v>
      </c>
      <c r="D24" s="408">
        <f t="shared" si="1"/>
        <v>413147046.36999989</v>
      </c>
      <c r="E24" s="408">
        <f>E788</f>
        <v>2316514</v>
      </c>
      <c r="F24" s="408">
        <f>F788</f>
        <v>-253727</v>
      </c>
      <c r="G24" s="408">
        <f t="shared" si="2"/>
        <v>415209833.36999989</v>
      </c>
      <c r="I24" s="408">
        <f t="shared" si="3"/>
        <v>144453173.7107192</v>
      </c>
      <c r="J24" s="408">
        <f>K788</f>
        <v>773125.61674379406</v>
      </c>
      <c r="K24" s="408">
        <f>L788</f>
        <v>253727</v>
      </c>
      <c r="L24" s="408">
        <f>M788</f>
        <v>-61002</v>
      </c>
      <c r="M24" s="408">
        <f t="shared" si="4"/>
        <v>144911570.327463</v>
      </c>
      <c r="N24" s="434"/>
      <c r="O24" s="408"/>
    </row>
    <row r="25" spans="1:15" x14ac:dyDescent="0.2">
      <c r="A25" s="405">
        <f t="shared" si="0"/>
        <v>9</v>
      </c>
      <c r="C25" s="407" t="s">
        <v>2217</v>
      </c>
      <c r="D25" s="408">
        <f t="shared" si="1"/>
        <v>415209833.36999989</v>
      </c>
      <c r="E25" s="408">
        <f>E894</f>
        <v>2316514</v>
      </c>
      <c r="F25" s="408">
        <f>F894</f>
        <v>-253727</v>
      </c>
      <c r="G25" s="408">
        <f t="shared" si="2"/>
        <v>417272620.36999989</v>
      </c>
      <c r="I25" s="408">
        <f t="shared" si="3"/>
        <v>144911570.327463</v>
      </c>
      <c r="J25" s="408">
        <f>K894</f>
        <v>777966.07058994798</v>
      </c>
      <c r="K25" s="408">
        <f>L894</f>
        <v>253727</v>
      </c>
      <c r="L25" s="408">
        <f>M894</f>
        <v>-61002</v>
      </c>
      <c r="M25" s="408">
        <f t="shared" si="4"/>
        <v>145374807.39805296</v>
      </c>
      <c r="N25" s="434"/>
      <c r="O25" s="408"/>
    </row>
    <row r="26" spans="1:15" x14ac:dyDescent="0.2">
      <c r="A26" s="405">
        <f t="shared" si="0"/>
        <v>10</v>
      </c>
      <c r="C26" s="407" t="s">
        <v>2218</v>
      </c>
      <c r="D26" s="408">
        <f t="shared" si="1"/>
        <v>417272620.36999989</v>
      </c>
      <c r="E26" s="408">
        <f>E1000</f>
        <v>2316514</v>
      </c>
      <c r="F26" s="408">
        <f>F1000</f>
        <v>-253727</v>
      </c>
      <c r="G26" s="408">
        <f t="shared" si="2"/>
        <v>419335407.36999989</v>
      </c>
      <c r="I26" s="408">
        <f t="shared" si="3"/>
        <v>145374807.39805296</v>
      </c>
      <c r="J26" s="408">
        <f>K1000</f>
        <v>784587.07058994798</v>
      </c>
      <c r="K26" s="408">
        <f>L1000</f>
        <v>253727</v>
      </c>
      <c r="L26" s="408">
        <f>M1000</f>
        <v>-61002</v>
      </c>
      <c r="M26" s="408">
        <f t="shared" si="4"/>
        <v>145844665.46864292</v>
      </c>
      <c r="N26" s="434"/>
      <c r="O26" s="408"/>
    </row>
    <row r="27" spans="1:15" x14ac:dyDescent="0.2">
      <c r="A27" s="405">
        <f t="shared" si="0"/>
        <v>11</v>
      </c>
      <c r="C27" s="407" t="s">
        <v>2219</v>
      </c>
      <c r="D27" s="408">
        <f t="shared" si="1"/>
        <v>419335407.36999989</v>
      </c>
      <c r="E27" s="408">
        <f>E1106</f>
        <v>2316513</v>
      </c>
      <c r="F27" s="408">
        <f>F1106</f>
        <v>-253727</v>
      </c>
      <c r="G27" s="408">
        <f t="shared" si="2"/>
        <v>421398193.36999989</v>
      </c>
      <c r="I27" s="408">
        <f t="shared" si="3"/>
        <v>145844665.46864292</v>
      </c>
      <c r="J27" s="408">
        <f>K1106</f>
        <v>791145.84427415847</v>
      </c>
      <c r="K27" s="408">
        <f>L1106</f>
        <v>253727</v>
      </c>
      <c r="L27" s="408">
        <f>M1106</f>
        <v>-61002</v>
      </c>
      <c r="M27" s="408">
        <f t="shared" si="4"/>
        <v>146321082.31291708</v>
      </c>
      <c r="N27" s="434"/>
      <c r="O27" s="408"/>
    </row>
    <row r="28" spans="1:15" x14ac:dyDescent="0.2">
      <c r="A28" s="405">
        <f t="shared" si="0"/>
        <v>12</v>
      </c>
      <c r="C28" s="407" t="s">
        <v>2220</v>
      </c>
      <c r="D28" s="408">
        <f t="shared" si="1"/>
        <v>421398193.36999989</v>
      </c>
      <c r="E28" s="408">
        <f>E1212</f>
        <v>1146066</v>
      </c>
      <c r="F28" s="408">
        <f>F1212</f>
        <v>-137500</v>
      </c>
      <c r="G28" s="408">
        <f t="shared" si="2"/>
        <v>422406759.36999989</v>
      </c>
      <c r="I28" s="408">
        <f t="shared" si="3"/>
        <v>146321082.31291708</v>
      </c>
      <c r="J28" s="408">
        <f>K1212</f>
        <v>1262041.3489107501</v>
      </c>
      <c r="K28" s="408">
        <f>L1212</f>
        <v>137500</v>
      </c>
      <c r="L28" s="408">
        <f>M1212</f>
        <v>-37300</v>
      </c>
      <c r="M28" s="408">
        <f t="shared" si="4"/>
        <v>147408323.66182783</v>
      </c>
      <c r="N28" s="434"/>
      <c r="O28" s="408"/>
    </row>
    <row r="29" spans="1:15" x14ac:dyDescent="0.2">
      <c r="A29" s="405">
        <f t="shared" si="0"/>
        <v>13</v>
      </c>
      <c r="C29" s="407" t="s">
        <v>2209</v>
      </c>
      <c r="D29" s="408">
        <f t="shared" si="1"/>
        <v>422406759.36999989</v>
      </c>
      <c r="E29" s="408">
        <f>E1318</f>
        <v>1042066</v>
      </c>
      <c r="F29" s="408">
        <f>F1318</f>
        <v>-125000</v>
      </c>
      <c r="G29" s="408">
        <f t="shared" si="2"/>
        <v>423323825.36999989</v>
      </c>
      <c r="I29" s="408">
        <f t="shared" si="3"/>
        <v>147408323.66182783</v>
      </c>
      <c r="J29" s="408">
        <f>K1318</f>
        <v>1262191.0631964644</v>
      </c>
      <c r="K29" s="408">
        <f>L1318</f>
        <v>125000</v>
      </c>
      <c r="L29" s="408">
        <f>M1318</f>
        <v>-32300</v>
      </c>
      <c r="M29" s="408">
        <f t="shared" si="4"/>
        <v>148513214.72502428</v>
      </c>
      <c r="N29" s="434"/>
      <c r="O29" s="408"/>
    </row>
    <row r="30" spans="1:15" x14ac:dyDescent="0.2">
      <c r="A30" s="405">
        <f t="shared" si="0"/>
        <v>14</v>
      </c>
      <c r="C30" s="407" t="s">
        <v>2210</v>
      </c>
      <c r="D30" s="408">
        <f t="shared" si="1"/>
        <v>423323825.36999989</v>
      </c>
      <c r="E30" s="408">
        <f>E1424</f>
        <v>1250666</v>
      </c>
      <c r="F30" s="408">
        <f>F1424</f>
        <v>-150100</v>
      </c>
      <c r="G30" s="408">
        <f t="shared" si="2"/>
        <v>424424391.36999989</v>
      </c>
      <c r="I30" s="408">
        <f t="shared" si="3"/>
        <v>148513214.72502428</v>
      </c>
      <c r="J30" s="408">
        <f>K1424</f>
        <v>1264992.0631964644</v>
      </c>
      <c r="K30" s="408">
        <f>L1424</f>
        <v>150100</v>
      </c>
      <c r="L30" s="408">
        <f>M1424</f>
        <v>-34500</v>
      </c>
      <c r="M30" s="408">
        <f t="shared" si="4"/>
        <v>149593606.78822073</v>
      </c>
      <c r="N30" s="434"/>
      <c r="O30" s="408"/>
    </row>
    <row r="31" spans="1:15" x14ac:dyDescent="0.2">
      <c r="A31" s="405">
        <f t="shared" si="0"/>
        <v>15</v>
      </c>
      <c r="C31" s="407" t="s">
        <v>2221</v>
      </c>
      <c r="D31" s="408">
        <f t="shared" si="1"/>
        <v>424424391.36999989</v>
      </c>
      <c r="E31" s="408">
        <f>E1530</f>
        <v>2658266</v>
      </c>
      <c r="F31" s="408">
        <f>F1530</f>
        <v>-296400</v>
      </c>
      <c r="G31" s="408">
        <f t="shared" si="2"/>
        <v>426786257.36999989</v>
      </c>
      <c r="I31" s="408">
        <f t="shared" si="3"/>
        <v>149593606.78822073</v>
      </c>
      <c r="J31" s="408">
        <f>K1530</f>
        <v>1274942.0631964644</v>
      </c>
      <c r="K31" s="408">
        <f>L1530</f>
        <v>296400</v>
      </c>
      <c r="L31" s="408">
        <f>M1530</f>
        <v>-52600</v>
      </c>
      <c r="M31" s="408">
        <f t="shared" si="4"/>
        <v>150519548.85141718</v>
      </c>
      <c r="N31" s="434"/>
      <c r="O31" s="408"/>
    </row>
    <row r="32" spans="1:15" x14ac:dyDescent="0.2">
      <c r="A32" s="405">
        <f t="shared" si="0"/>
        <v>16</v>
      </c>
      <c r="C32" s="407" t="s">
        <v>2222</v>
      </c>
      <c r="D32" s="408">
        <f t="shared" si="1"/>
        <v>426786257.36999989</v>
      </c>
      <c r="E32" s="408">
        <f>E1636</f>
        <v>2371766</v>
      </c>
      <c r="F32" s="408">
        <f>F1636</f>
        <v>-284900</v>
      </c>
      <c r="G32" s="408">
        <f t="shared" si="2"/>
        <v>428873123.36999989</v>
      </c>
      <c r="I32" s="408">
        <f t="shared" si="3"/>
        <v>150519548.85141718</v>
      </c>
      <c r="J32" s="408">
        <f>K1636</f>
        <v>1286305.0631964644</v>
      </c>
      <c r="K32" s="408">
        <f>L1636</f>
        <v>284900</v>
      </c>
      <c r="L32" s="408">
        <f>M1636</f>
        <v>-66400</v>
      </c>
      <c r="M32" s="408">
        <f t="shared" si="4"/>
        <v>151454553.91461363</v>
      </c>
      <c r="N32" s="434"/>
      <c r="O32" s="408"/>
    </row>
    <row r="33" spans="1:15" x14ac:dyDescent="0.2">
      <c r="A33" s="405">
        <f t="shared" si="0"/>
        <v>17</v>
      </c>
      <c r="C33" s="407" t="s">
        <v>2223</v>
      </c>
      <c r="D33" s="408">
        <f t="shared" si="1"/>
        <v>428873123.36999989</v>
      </c>
      <c r="E33" s="408">
        <f>E1742</f>
        <v>3112866</v>
      </c>
      <c r="F33" s="408">
        <f>F1742</f>
        <v>-373400</v>
      </c>
      <c r="G33" s="408">
        <f t="shared" si="2"/>
        <v>431612589.36999989</v>
      </c>
      <c r="I33" s="408">
        <f t="shared" si="3"/>
        <v>151454553.91461363</v>
      </c>
      <c r="J33" s="408">
        <f>K1742</f>
        <v>1292441.8122287225</v>
      </c>
      <c r="K33" s="408">
        <f>L1742</f>
        <v>373400</v>
      </c>
      <c r="L33" s="408">
        <f>M1742</f>
        <v>-88900</v>
      </c>
      <c r="M33" s="408">
        <f t="shared" si="4"/>
        <v>152284695.72684234</v>
      </c>
      <c r="N33" s="434"/>
      <c r="O33" s="408"/>
    </row>
    <row r="34" spans="1:15" x14ac:dyDescent="0.2">
      <c r="A34" s="405">
        <f t="shared" si="0"/>
        <v>18</v>
      </c>
      <c r="C34" s="407" t="s">
        <v>2224</v>
      </c>
      <c r="D34" s="408">
        <f t="shared" si="1"/>
        <v>431612589.36999989</v>
      </c>
      <c r="E34" s="408">
        <f>E1848</f>
        <v>5665666</v>
      </c>
      <c r="F34" s="408">
        <f>F1848</f>
        <v>-361600</v>
      </c>
      <c r="G34" s="408">
        <f t="shared" si="2"/>
        <v>436916655.36999989</v>
      </c>
      <c r="I34" s="408">
        <f t="shared" si="3"/>
        <v>152284695.72684234</v>
      </c>
      <c r="J34" s="408">
        <f>K1848</f>
        <v>1321362.0961094652</v>
      </c>
      <c r="K34" s="408">
        <f>L1848</f>
        <v>361600</v>
      </c>
      <c r="L34" s="408">
        <f>M1848</f>
        <v>-88000</v>
      </c>
      <c r="M34" s="408">
        <f t="shared" si="4"/>
        <v>153156457.82295182</v>
      </c>
      <c r="N34" s="434"/>
      <c r="O34" s="408"/>
    </row>
    <row r="35" spans="1:15" x14ac:dyDescent="0.2">
      <c r="A35" s="405">
        <f t="shared" si="0"/>
        <v>19</v>
      </c>
      <c r="C35" s="407" t="s">
        <v>2225</v>
      </c>
      <c r="D35" s="408">
        <f t="shared" si="1"/>
        <v>436916655.36999989</v>
      </c>
      <c r="E35" s="408">
        <f>E1954</f>
        <v>4456966</v>
      </c>
      <c r="F35" s="408">
        <f>F1954</f>
        <v>-534900</v>
      </c>
      <c r="G35" s="408">
        <f t="shared" si="2"/>
        <v>440838721.36999989</v>
      </c>
      <c r="I35" s="408">
        <f t="shared" si="3"/>
        <v>153156457.82295182</v>
      </c>
      <c r="J35" s="408">
        <f>K1954</f>
        <v>1352543.6083865217</v>
      </c>
      <c r="K35" s="408">
        <f>L1954</f>
        <v>534900</v>
      </c>
      <c r="L35" s="408">
        <f>M1954</f>
        <v>-133200</v>
      </c>
      <c r="M35" s="408">
        <f t="shared" si="4"/>
        <v>153840901.43133834</v>
      </c>
      <c r="N35" s="434"/>
      <c r="O35" s="408"/>
    </row>
    <row r="36" spans="1:15" x14ac:dyDescent="0.2">
      <c r="A36" s="405">
        <f t="shared" si="0"/>
        <v>20</v>
      </c>
      <c r="C36" s="407" t="s">
        <v>2226</v>
      </c>
      <c r="D36" s="408">
        <f t="shared" si="1"/>
        <v>440838721.36999989</v>
      </c>
      <c r="E36" s="408">
        <f>E2060</f>
        <v>4156566</v>
      </c>
      <c r="F36" s="408">
        <f>F2060</f>
        <v>-498800</v>
      </c>
      <c r="G36" s="408">
        <f t="shared" si="2"/>
        <v>444496487.36999989</v>
      </c>
      <c r="I36" s="408">
        <f t="shared" si="3"/>
        <v>153840901.43133834</v>
      </c>
      <c r="J36" s="408">
        <f>K2060</f>
        <v>1363297.585815093</v>
      </c>
      <c r="K36" s="408">
        <f>L2060</f>
        <v>498800</v>
      </c>
      <c r="L36" s="408">
        <f>M2060</f>
        <v>-127500</v>
      </c>
      <c r="M36" s="408">
        <f t="shared" si="4"/>
        <v>154577899.01715344</v>
      </c>
      <c r="N36" s="434"/>
      <c r="O36" s="408"/>
    </row>
    <row r="37" spans="1:15" x14ac:dyDescent="0.2">
      <c r="A37" s="405">
        <f t="shared" si="0"/>
        <v>21</v>
      </c>
      <c r="C37" s="407" t="s">
        <v>2227</v>
      </c>
      <c r="D37" s="408">
        <f t="shared" si="1"/>
        <v>444496487.36999989</v>
      </c>
      <c r="E37" s="408">
        <f>E2166</f>
        <v>4247666</v>
      </c>
      <c r="F37" s="408">
        <f>F2166</f>
        <v>-510000</v>
      </c>
      <c r="G37" s="408">
        <f t="shared" si="2"/>
        <v>448234153.36999989</v>
      </c>
      <c r="I37" s="408">
        <f t="shared" si="3"/>
        <v>154577899.01715344</v>
      </c>
      <c r="J37" s="408">
        <f>K2166</f>
        <v>1373501.6537638109</v>
      </c>
      <c r="K37" s="408">
        <f>L2166</f>
        <v>510000</v>
      </c>
      <c r="L37" s="408">
        <f>M2166</f>
        <v>-131300</v>
      </c>
      <c r="M37" s="408">
        <f t="shared" si="4"/>
        <v>155310100.67091724</v>
      </c>
      <c r="N37" s="434"/>
      <c r="O37" s="408"/>
    </row>
    <row r="38" spans="1:15" x14ac:dyDescent="0.2">
      <c r="A38" s="405">
        <f t="shared" si="0"/>
        <v>22</v>
      </c>
      <c r="C38" s="407" t="s">
        <v>2228</v>
      </c>
      <c r="D38" s="408">
        <f t="shared" si="1"/>
        <v>448234153.36999989</v>
      </c>
      <c r="E38" s="408">
        <f>E2272</f>
        <v>4830816</v>
      </c>
      <c r="F38" s="408">
        <f>F2272</f>
        <v>-353800</v>
      </c>
      <c r="G38" s="408">
        <f t="shared" si="2"/>
        <v>452711169.36999989</v>
      </c>
      <c r="I38" s="408">
        <f t="shared" si="3"/>
        <v>155310100.67091724</v>
      </c>
      <c r="J38" s="408">
        <f>K2272</f>
        <v>1383056.8402491142</v>
      </c>
      <c r="K38" s="408">
        <f>L2272</f>
        <v>353800</v>
      </c>
      <c r="L38" s="408">
        <f>M2272</f>
        <v>-84500</v>
      </c>
      <c r="M38" s="408">
        <f t="shared" si="4"/>
        <v>156254857.51116636</v>
      </c>
      <c r="N38" s="434"/>
      <c r="O38" s="408"/>
    </row>
    <row r="39" spans="1:15" x14ac:dyDescent="0.2">
      <c r="A39" s="405">
        <f t="shared" si="0"/>
        <v>23</v>
      </c>
      <c r="C39" s="407" t="s">
        <v>2229</v>
      </c>
      <c r="D39" s="408">
        <f t="shared" si="1"/>
        <v>452711169.36999989</v>
      </c>
      <c r="E39" s="408">
        <f>E2378</f>
        <v>2670366</v>
      </c>
      <c r="F39" s="408">
        <f>F2378</f>
        <v>-314900</v>
      </c>
      <c r="G39" s="408">
        <f t="shared" si="2"/>
        <v>455066635.36999989</v>
      </c>
      <c r="I39" s="408">
        <f t="shared" si="3"/>
        <v>156254857.51116636</v>
      </c>
      <c r="J39" s="408">
        <f>K2378</f>
        <v>1391461.9587856997</v>
      </c>
      <c r="K39" s="408">
        <f>L2378</f>
        <v>314900</v>
      </c>
      <c r="L39" s="408">
        <f>M2378</f>
        <v>-79000</v>
      </c>
      <c r="M39" s="408">
        <f t="shared" si="4"/>
        <v>157252419.46995208</v>
      </c>
      <c r="N39" s="434"/>
      <c r="O39" s="408"/>
    </row>
    <row r="41" spans="1:15" x14ac:dyDescent="0.2">
      <c r="C41" s="1746" t="s">
        <v>2262</v>
      </c>
      <c r="G41" s="408">
        <f>AVERAGE(G27:G39)</f>
        <v>435160689.36999989</v>
      </c>
      <c r="M41" s="408">
        <f>AVERAGE(M27:M39)</f>
        <v>152037512.45418018</v>
      </c>
      <c r="O41" s="408"/>
    </row>
    <row r="43" spans="1:15" x14ac:dyDescent="0.2">
      <c r="C43" s="1747" t="s">
        <v>2263</v>
      </c>
      <c r="J43" s="408">
        <f>SUM(J28:J39)</f>
        <v>15828137.157035034</v>
      </c>
    </row>
    <row r="48" spans="1:15" x14ac:dyDescent="0.2">
      <c r="A48" s="2073" t="str">
        <f>co</f>
        <v>COLUMBIA GAS OF KENTUCKY, INC.</v>
      </c>
      <c r="B48" s="2073"/>
      <c r="C48" s="2073"/>
      <c r="D48" s="2073"/>
      <c r="E48" s="2073"/>
      <c r="F48" s="2073"/>
      <c r="G48" s="2073"/>
      <c r="H48" s="2073"/>
      <c r="I48" s="2073"/>
      <c r="J48" s="2073"/>
      <c r="K48" s="2073"/>
      <c r="L48" s="2073"/>
      <c r="M48" s="2073"/>
      <c r="N48" s="2073"/>
    </row>
    <row r="49" spans="1:14" x14ac:dyDescent="0.2">
      <c r="A49" s="2073" t="str">
        <f>case</f>
        <v>CASE NO. 2016 - 00162</v>
      </c>
      <c r="B49" s="2073"/>
      <c r="C49" s="2073"/>
      <c r="D49" s="2073"/>
      <c r="E49" s="2073"/>
      <c r="F49" s="2073"/>
      <c r="G49" s="2073"/>
      <c r="H49" s="2073"/>
      <c r="I49" s="2073"/>
      <c r="J49" s="2073"/>
      <c r="K49" s="2073"/>
      <c r="L49" s="2073"/>
      <c r="M49" s="2073"/>
      <c r="N49" s="2073"/>
    </row>
    <row r="50" spans="1:14" x14ac:dyDescent="0.2">
      <c r="A50" s="2074" t="s">
        <v>1106</v>
      </c>
      <c r="B50" s="2073"/>
      <c r="C50" s="2073"/>
      <c r="D50" s="2073"/>
      <c r="E50" s="2073"/>
      <c r="F50" s="2073"/>
      <c r="G50" s="2073"/>
      <c r="H50" s="2073"/>
      <c r="I50" s="2073"/>
      <c r="J50" s="2073"/>
      <c r="K50" s="2073"/>
      <c r="L50" s="2073"/>
      <c r="M50" s="2073"/>
      <c r="N50" s="2073"/>
    </row>
    <row r="51" spans="1:14" x14ac:dyDescent="0.2">
      <c r="A51" s="2078" t="s">
        <v>2142</v>
      </c>
      <c r="B51" s="2078"/>
      <c r="C51" s="2078"/>
      <c r="D51" s="2078"/>
      <c r="E51" s="2078"/>
      <c r="F51" s="2078"/>
      <c r="G51" s="2078"/>
      <c r="H51" s="2078"/>
      <c r="I51" s="2078"/>
      <c r="J51" s="2078"/>
      <c r="K51" s="2078"/>
      <c r="L51" s="2078"/>
      <c r="M51" s="2078"/>
      <c r="N51" s="2078"/>
    </row>
    <row r="53" spans="1:14" x14ac:dyDescent="0.2">
      <c r="A53" s="385" t="s">
        <v>1095</v>
      </c>
      <c r="I53" s="386"/>
      <c r="N53" s="387" t="s">
        <v>763</v>
      </c>
    </row>
    <row r="54" spans="1:14" x14ac:dyDescent="0.2">
      <c r="A54" s="388" t="s">
        <v>977</v>
      </c>
      <c r="I54" s="386"/>
      <c r="N54" s="389" t="s">
        <v>1107</v>
      </c>
    </row>
    <row r="55" spans="1:14" x14ac:dyDescent="0.2">
      <c r="A55" s="390" t="s">
        <v>997</v>
      </c>
      <c r="B55" s="391"/>
      <c r="C55" s="391"/>
      <c r="D55" s="391"/>
      <c r="E55" s="391"/>
      <c r="F55" s="391"/>
      <c r="G55" s="391"/>
      <c r="H55" s="391"/>
      <c r="I55" s="392"/>
      <c r="L55" s="386"/>
      <c r="M55" s="386"/>
      <c r="N55" s="393" t="str">
        <f>SMK</f>
        <v>WITNESS:  S. M. KATKO</v>
      </c>
    </row>
    <row r="56" spans="1:14" x14ac:dyDescent="0.2">
      <c r="A56" s="390"/>
      <c r="B56" s="391"/>
      <c r="C56" s="391"/>
      <c r="D56" s="391"/>
      <c r="E56" s="391"/>
      <c r="F56" s="391"/>
      <c r="G56" s="391"/>
      <c r="H56" s="391"/>
      <c r="I56" s="392"/>
      <c r="J56" s="393"/>
      <c r="L56" s="386"/>
      <c r="M56" s="386"/>
    </row>
    <row r="57" spans="1:14" x14ac:dyDescent="0.2">
      <c r="A57" s="390"/>
      <c r="B57" s="391"/>
      <c r="C57" s="391"/>
      <c r="D57" s="2075" t="s">
        <v>1088</v>
      </c>
      <c r="E57" s="2075"/>
      <c r="F57" s="2075"/>
      <c r="G57" s="2075"/>
      <c r="H57" s="391"/>
      <c r="I57" s="2076" t="s">
        <v>1093</v>
      </c>
      <c r="J57" s="2077"/>
      <c r="K57" s="2077"/>
      <c r="L57" s="2077"/>
      <c r="M57" s="2077"/>
      <c r="N57" s="2077"/>
    </row>
    <row r="58" spans="1:14" x14ac:dyDescent="0.2">
      <c r="A58" s="394"/>
      <c r="B58" s="391"/>
      <c r="C58" s="391"/>
      <c r="D58" s="396" t="s">
        <v>1084</v>
      </c>
      <c r="E58" s="391"/>
      <c r="F58" s="391"/>
      <c r="G58" s="395"/>
      <c r="H58" s="395"/>
      <c r="I58" s="397" t="s">
        <v>1089</v>
      </c>
      <c r="J58" s="396"/>
      <c r="M58" s="386"/>
    </row>
    <row r="59" spans="1:14" x14ac:dyDescent="0.2">
      <c r="A59" s="383"/>
      <c r="D59" s="397" t="s">
        <v>865</v>
      </c>
      <c r="G59" s="397" t="s">
        <v>867</v>
      </c>
      <c r="H59" s="398"/>
      <c r="I59" s="397" t="s">
        <v>865</v>
      </c>
      <c r="J59" s="397" t="s">
        <v>956</v>
      </c>
      <c r="M59" s="386"/>
      <c r="N59" s="397" t="s">
        <v>867</v>
      </c>
    </row>
    <row r="60" spans="1:14" x14ac:dyDescent="0.2">
      <c r="A60" s="397" t="s">
        <v>1080</v>
      </c>
      <c r="B60" s="397" t="s">
        <v>1082</v>
      </c>
      <c r="D60" s="397" t="s">
        <v>867</v>
      </c>
      <c r="G60" s="399" t="s">
        <v>1087</v>
      </c>
      <c r="H60" s="398"/>
      <c r="I60" s="399" t="s">
        <v>867</v>
      </c>
      <c r="J60" s="1799" t="s">
        <v>1090</v>
      </c>
      <c r="K60" s="397" t="s">
        <v>956</v>
      </c>
      <c r="M60" s="399" t="s">
        <v>1092</v>
      </c>
      <c r="N60" s="399" t="s">
        <v>1087</v>
      </c>
    </row>
    <row r="61" spans="1:14" x14ac:dyDescent="0.2">
      <c r="A61" s="400" t="s">
        <v>1081</v>
      </c>
      <c r="B61" s="400" t="s">
        <v>1081</v>
      </c>
      <c r="C61" s="401" t="s">
        <v>1083</v>
      </c>
      <c r="D61" s="409" t="str">
        <f>"02/29/2016"</f>
        <v>02/29/2016</v>
      </c>
      <c r="E61" s="400" t="s">
        <v>1085</v>
      </c>
      <c r="F61" s="400" t="s">
        <v>1086</v>
      </c>
      <c r="G61" s="409" t="str">
        <f>"03/31/2016"</f>
        <v>03/31/2016</v>
      </c>
      <c r="H61" s="398"/>
      <c r="I61" s="404" t="str">
        <f>D61</f>
        <v>02/29/2016</v>
      </c>
      <c r="J61" s="400" t="s">
        <v>1091</v>
      </c>
      <c r="K61" s="402" t="s">
        <v>1090</v>
      </c>
      <c r="L61" s="402" t="s">
        <v>1086</v>
      </c>
      <c r="M61" s="402" t="s">
        <v>955</v>
      </c>
      <c r="N61" s="404" t="str">
        <f>G61</f>
        <v>03/31/2016</v>
      </c>
    </row>
    <row r="62" spans="1:14" x14ac:dyDescent="0.2">
      <c r="A62" s="406"/>
      <c r="B62" s="406"/>
      <c r="C62" s="406"/>
      <c r="D62" s="406" t="str">
        <f>"(1)"</f>
        <v>(1)</v>
      </c>
      <c r="E62" s="406" t="str">
        <f>"(2)"</f>
        <v>(2)</v>
      </c>
      <c r="F62" s="406" t="str">
        <f>"(3)"</f>
        <v>(3)</v>
      </c>
      <c r="G62" s="406" t="str">
        <f>"(4)=(1+2+3)"</f>
        <v>(4)=(1+2+3)</v>
      </c>
      <c r="H62" s="406"/>
      <c r="I62" s="406" t="str">
        <f>"(5)"</f>
        <v>(5)</v>
      </c>
      <c r="J62" s="406" t="str">
        <f>"(6)"</f>
        <v>(6)</v>
      </c>
      <c r="K62" s="406" t="str">
        <f>"(7)=((1+4)/2*6/12))"</f>
        <v>(7)=((1+4)/2*6/12))</v>
      </c>
      <c r="L62" s="406" t="str">
        <f>"(8)"</f>
        <v>(8)</v>
      </c>
      <c r="M62" s="406" t="str">
        <f>"(9)"</f>
        <v>(9)</v>
      </c>
      <c r="N62" s="406" t="str">
        <f>"(10)=(5+7-8+9)"</f>
        <v>(10)=(5+7-8+9)</v>
      </c>
    </row>
    <row r="63" spans="1:14" x14ac:dyDescent="0.2">
      <c r="D63" s="410" t="s">
        <v>639</v>
      </c>
      <c r="E63" s="410" t="s">
        <v>639</v>
      </c>
      <c r="F63" s="410" t="s">
        <v>639</v>
      </c>
      <c r="G63" s="410" t="s">
        <v>639</v>
      </c>
      <c r="H63" s="410"/>
      <c r="I63" s="410" t="s">
        <v>639</v>
      </c>
      <c r="J63" s="410" t="s">
        <v>639</v>
      </c>
      <c r="K63" s="410" t="s">
        <v>639</v>
      </c>
      <c r="L63" s="410" t="s">
        <v>639</v>
      </c>
      <c r="M63" s="410" t="s">
        <v>639</v>
      </c>
      <c r="N63" s="410" t="s">
        <v>639</v>
      </c>
    </row>
    <row r="64" spans="1:14" x14ac:dyDescent="0.2">
      <c r="A64" s="410">
        <v>1</v>
      </c>
      <c r="B64" s="411" t="s">
        <v>1025</v>
      </c>
      <c r="C64" s="412"/>
      <c r="M64" s="386"/>
    </row>
    <row r="65" spans="1:16" x14ac:dyDescent="0.2">
      <c r="A65" s="410">
        <f>A64+1</f>
        <v>2</v>
      </c>
      <c r="C65" s="411" t="s">
        <v>697</v>
      </c>
      <c r="M65" s="386"/>
    </row>
    <row r="66" spans="1:16" x14ac:dyDescent="0.2">
      <c r="A66" s="410">
        <f t="shared" ref="A66:A71" si="5">A65+1</f>
        <v>3</v>
      </c>
      <c r="B66" s="413">
        <v>301</v>
      </c>
      <c r="C66" s="414" t="s">
        <v>1026</v>
      </c>
      <c r="D66" s="415">
        <f>'WPB-2.1 Base Period'!K14</f>
        <v>521.20000000000005</v>
      </c>
      <c r="E66" s="417">
        <v>0</v>
      </c>
      <c r="F66" s="417">
        <v>0</v>
      </c>
      <c r="G66" s="415">
        <f>SUM(D66:F66)</f>
        <v>521.20000000000005</v>
      </c>
      <c r="H66" s="418"/>
      <c r="I66" s="415">
        <f>'WPB-3.1 AD&amp;A (Base)'!K13</f>
        <v>0</v>
      </c>
      <c r="J66" s="419" t="s">
        <v>1094</v>
      </c>
      <c r="K66" s="417">
        <v>0</v>
      </c>
      <c r="L66" s="418">
        <f>-F66</f>
        <v>0</v>
      </c>
      <c r="M66" s="417">
        <v>0</v>
      </c>
      <c r="N66" s="408">
        <f>I66+K66-L66+M66</f>
        <v>0</v>
      </c>
    </row>
    <row r="67" spans="1:16" x14ac:dyDescent="0.2">
      <c r="A67" s="410">
        <f t="shared" si="5"/>
        <v>4</v>
      </c>
      <c r="B67" s="413">
        <v>303</v>
      </c>
      <c r="C67" s="414" t="s">
        <v>1027</v>
      </c>
      <c r="D67" s="415">
        <f>'WPB-2.1 Base Period'!K15</f>
        <v>74347.509999999995</v>
      </c>
      <c r="E67" s="417">
        <v>0</v>
      </c>
      <c r="F67" s="417">
        <v>0</v>
      </c>
      <c r="G67" s="415">
        <f>SUM(D67:F67)</f>
        <v>74347.509999999995</v>
      </c>
      <c r="H67" s="418"/>
      <c r="I67" s="415">
        <f>'WPB-3.1 AD&amp;A (Base)'!K14</f>
        <v>45799.43</v>
      </c>
      <c r="J67" s="419" t="s">
        <v>1094</v>
      </c>
      <c r="K67" s="415">
        <f>'Intangible Amort.'!H$20</f>
        <v>206.52</v>
      </c>
      <c r="L67" s="418">
        <f>-F67</f>
        <v>0</v>
      </c>
      <c r="M67" s="417">
        <v>0</v>
      </c>
      <c r="N67" s="408">
        <f>I67+K67-L67+M67</f>
        <v>46005.95</v>
      </c>
      <c r="O67" s="408"/>
      <c r="P67" s="420"/>
    </row>
    <row r="68" spans="1:16" x14ac:dyDescent="0.2">
      <c r="A68" s="410">
        <f t="shared" si="5"/>
        <v>5</v>
      </c>
      <c r="B68" s="413">
        <v>303.10000000000002</v>
      </c>
      <c r="C68" s="414" t="s">
        <v>1028</v>
      </c>
      <c r="D68" s="415">
        <f>'WPB-2.1 Base Period'!K16</f>
        <v>0</v>
      </c>
      <c r="E68" s="417">
        <v>0</v>
      </c>
      <c r="F68" s="417">
        <v>0</v>
      </c>
      <c r="G68" s="415">
        <f>SUM(D68:F68)</f>
        <v>0</v>
      </c>
      <c r="H68" s="418"/>
      <c r="I68" s="415">
        <f>'WPB-3.1 AD&amp;A (Base)'!K15</f>
        <v>0</v>
      </c>
      <c r="J68" s="419" t="s">
        <v>1094</v>
      </c>
      <c r="K68" s="417">
        <v>0</v>
      </c>
      <c r="L68" s="418">
        <f>-F68</f>
        <v>0</v>
      </c>
      <c r="M68" s="417">
        <v>0</v>
      </c>
      <c r="N68" s="408">
        <f>I68+K68-L68+M68</f>
        <v>0</v>
      </c>
      <c r="O68" s="408"/>
      <c r="P68" s="420"/>
    </row>
    <row r="69" spans="1:16" x14ac:dyDescent="0.2">
      <c r="A69" s="410">
        <f t="shared" si="5"/>
        <v>6</v>
      </c>
      <c r="B69" s="413">
        <v>303.2</v>
      </c>
      <c r="C69" s="414" t="s">
        <v>1029</v>
      </c>
      <c r="D69" s="415">
        <f>'WPB-2.1 Base Period'!K17</f>
        <v>0</v>
      </c>
      <c r="E69" s="417">
        <v>0</v>
      </c>
      <c r="F69" s="417">
        <v>0</v>
      </c>
      <c r="G69" s="415">
        <f>SUM(D69:F69)</f>
        <v>0</v>
      </c>
      <c r="H69" s="418"/>
      <c r="I69" s="415">
        <f>'WPB-3.1 AD&amp;A (Base)'!K16</f>
        <v>0</v>
      </c>
      <c r="J69" s="419" t="s">
        <v>1094</v>
      </c>
      <c r="K69" s="417">
        <v>0</v>
      </c>
      <c r="L69" s="418">
        <f>-F69</f>
        <v>0</v>
      </c>
      <c r="M69" s="417">
        <v>0</v>
      </c>
      <c r="N69" s="408">
        <f>I69+K69-L69+M69</f>
        <v>0</v>
      </c>
      <c r="O69" s="408"/>
      <c r="P69" s="420"/>
    </row>
    <row r="70" spans="1:16" x14ac:dyDescent="0.2">
      <c r="A70" s="410">
        <f t="shared" si="5"/>
        <v>7</v>
      </c>
      <c r="B70" s="413">
        <v>303.3</v>
      </c>
      <c r="C70" s="414" t="s">
        <v>1030</v>
      </c>
      <c r="D70" s="421">
        <f>'WPB-2.1 Base Period'!K18</f>
        <v>5301761</v>
      </c>
      <c r="E70" s="422">
        <v>52132</v>
      </c>
      <c r="F70" s="422">
        <v>0</v>
      </c>
      <c r="G70" s="421">
        <f>SUM(D70:F70)</f>
        <v>5353893</v>
      </c>
      <c r="H70" s="418"/>
      <c r="I70" s="421">
        <f>'WPB-3.1 AD&amp;A (Base)'!K17</f>
        <v>2150290.4</v>
      </c>
      <c r="J70" s="419" t="s">
        <v>1094</v>
      </c>
      <c r="K70" s="421">
        <f>'Intangible Amort.'!H$93</f>
        <v>65769.193423955992</v>
      </c>
      <c r="L70" s="421">
        <f>-F70</f>
        <v>0</v>
      </c>
      <c r="M70" s="422">
        <v>0</v>
      </c>
      <c r="N70" s="423">
        <f>I70+K70-L70+M70</f>
        <v>2216059.5934239561</v>
      </c>
      <c r="O70" s="408"/>
      <c r="P70" s="420"/>
    </row>
    <row r="71" spans="1:16" x14ac:dyDescent="0.2">
      <c r="A71" s="410">
        <f t="shared" si="5"/>
        <v>8</v>
      </c>
      <c r="B71" s="413"/>
      <c r="C71" s="414" t="s">
        <v>1031</v>
      </c>
      <c r="D71" s="418">
        <f>SUM(D66:D70)</f>
        <v>5376629.71</v>
      </c>
      <c r="E71" s="418">
        <f>SUM(E66:E70)</f>
        <v>52132</v>
      </c>
      <c r="F71" s="418">
        <f>SUM(F66:F70)</f>
        <v>0</v>
      </c>
      <c r="G71" s="418">
        <f>SUM(G66:G70)</f>
        <v>5428761.71</v>
      </c>
      <c r="H71" s="418"/>
      <c r="I71" s="418">
        <f>SUM(I66:I70)</f>
        <v>2196089.83</v>
      </c>
      <c r="J71" s="424"/>
      <c r="K71" s="418">
        <f>SUM(K66:K70)</f>
        <v>65975.713423955996</v>
      </c>
      <c r="L71" s="418">
        <f>SUM(L66:L70)</f>
        <v>0</v>
      </c>
      <c r="M71" s="418">
        <f>SUM(M66:M70)</f>
        <v>0</v>
      </c>
      <c r="N71" s="418">
        <f>SUM(N66:N70)</f>
        <v>2262065.5434239563</v>
      </c>
      <c r="O71" s="408"/>
      <c r="P71" s="420"/>
    </row>
    <row r="72" spans="1:16" x14ac:dyDescent="0.2">
      <c r="B72" s="425"/>
      <c r="D72" s="418"/>
      <c r="E72" s="418"/>
      <c r="F72" s="418"/>
      <c r="G72" s="418"/>
      <c r="H72" s="418"/>
      <c r="I72" s="418"/>
      <c r="J72" s="424"/>
      <c r="K72" s="418"/>
      <c r="L72" s="418"/>
      <c r="M72" s="418"/>
    </row>
    <row r="73" spans="1:16" x14ac:dyDescent="0.2">
      <c r="A73" s="410">
        <f>A71+1</f>
        <v>9</v>
      </c>
      <c r="B73" s="425"/>
      <c r="C73" s="411" t="s">
        <v>704</v>
      </c>
      <c r="D73" s="418"/>
      <c r="E73" s="418"/>
      <c r="F73" s="418"/>
      <c r="G73" s="418"/>
      <c r="H73" s="418"/>
      <c r="I73" s="418"/>
      <c r="J73" s="424"/>
      <c r="K73" s="418"/>
      <c r="L73" s="418"/>
      <c r="M73" s="418"/>
    </row>
    <row r="74" spans="1:16" x14ac:dyDescent="0.2">
      <c r="A74" s="410">
        <f>A73+1</f>
        <v>10</v>
      </c>
      <c r="B74" s="426">
        <v>304.10000000000002</v>
      </c>
      <c r="C74" s="427" t="s">
        <v>1032</v>
      </c>
      <c r="D74" s="428">
        <f>'WPB-2.1 Base Period'!K22</f>
        <v>0</v>
      </c>
      <c r="E74" s="1662">
        <v>0</v>
      </c>
      <c r="F74" s="422">
        <v>0</v>
      </c>
      <c r="G74" s="421">
        <f>SUM(D74:F74)</f>
        <v>0</v>
      </c>
      <c r="H74" s="418"/>
      <c r="I74" s="428">
        <f>'WPB-3.1 AD&amp;A (Base)'!K21</f>
        <v>0</v>
      </c>
      <c r="J74" s="429" t="s">
        <v>1102</v>
      </c>
      <c r="K74" s="430">
        <v>0</v>
      </c>
      <c r="L74" s="421">
        <f>-F74</f>
        <v>0</v>
      </c>
      <c r="M74" s="422">
        <v>0</v>
      </c>
      <c r="N74" s="423">
        <f>I74+K74-L74+M74</f>
        <v>0</v>
      </c>
    </row>
    <row r="75" spans="1:16" x14ac:dyDescent="0.2">
      <c r="A75" s="410">
        <f>A74+1</f>
        <v>11</v>
      </c>
      <c r="B75" s="426"/>
      <c r="C75" s="431" t="s">
        <v>1079</v>
      </c>
      <c r="D75" s="418">
        <f>D74</f>
        <v>0</v>
      </c>
      <c r="E75" s="418">
        <f>E74</f>
        <v>0</v>
      </c>
      <c r="F75" s="418">
        <f>F74</f>
        <v>0</v>
      </c>
      <c r="G75" s="418">
        <f>G74</f>
        <v>0</v>
      </c>
      <c r="H75" s="418"/>
      <c r="I75" s="418">
        <f>I74</f>
        <v>0</v>
      </c>
      <c r="J75" s="432"/>
      <c r="K75" s="418">
        <f>SUM(K74)</f>
        <v>0</v>
      </c>
      <c r="L75" s="418">
        <f>SUM(L74)</f>
        <v>0</v>
      </c>
      <c r="M75" s="418">
        <f>M74</f>
        <v>0</v>
      </c>
      <c r="N75" s="418">
        <f>N74</f>
        <v>0</v>
      </c>
    </row>
    <row r="76" spans="1:16" x14ac:dyDescent="0.2">
      <c r="B76" s="425"/>
      <c r="D76" s="418"/>
      <c r="E76" s="418"/>
      <c r="F76" s="418"/>
      <c r="G76" s="418"/>
      <c r="H76" s="418"/>
      <c r="I76" s="418"/>
      <c r="J76" s="432"/>
      <c r="K76" s="418"/>
      <c r="L76" s="418"/>
      <c r="M76" s="418"/>
    </row>
    <row r="77" spans="1:16" x14ac:dyDescent="0.2">
      <c r="A77" s="410">
        <f>A75+1</f>
        <v>12</v>
      </c>
      <c r="B77" s="425"/>
      <c r="C77" s="411" t="s">
        <v>707</v>
      </c>
      <c r="D77" s="418"/>
      <c r="E77" s="418"/>
      <c r="F77" s="418"/>
      <c r="G77" s="418"/>
      <c r="H77" s="418"/>
      <c r="I77" s="418"/>
      <c r="J77" s="432"/>
      <c r="K77" s="418"/>
      <c r="L77" s="418"/>
      <c r="M77" s="418"/>
    </row>
    <row r="78" spans="1:16" x14ac:dyDescent="0.2">
      <c r="A78" s="410">
        <f>A77+1</f>
        <v>13</v>
      </c>
      <c r="B78" s="413">
        <v>374.1</v>
      </c>
      <c r="C78" s="414" t="s">
        <v>1035</v>
      </c>
      <c r="D78" s="415">
        <f>'WPB-2.1 Base Period'!K25</f>
        <v>206</v>
      </c>
      <c r="E78" s="417">
        <v>0</v>
      </c>
      <c r="F78" s="417">
        <v>0</v>
      </c>
      <c r="G78" s="415">
        <f>SUM(D78:F78)</f>
        <v>206</v>
      </c>
      <c r="H78" s="418"/>
      <c r="I78" s="415">
        <f>'WPB-3.1 AD&amp;A (Base)'!K25</f>
        <v>0</v>
      </c>
      <c r="J78" s="429" t="s">
        <v>1102</v>
      </c>
      <c r="K78" s="417">
        <v>0</v>
      </c>
      <c r="L78" s="418">
        <f t="shared" ref="L78:L99" si="6">-F78</f>
        <v>0</v>
      </c>
      <c r="M78" s="417">
        <v>0</v>
      </c>
      <c r="N78" s="408">
        <f t="shared" ref="N78:N88" si="7">I78+K78-L78+M78</f>
        <v>0</v>
      </c>
    </row>
    <row r="79" spans="1:16" x14ac:dyDescent="0.2">
      <c r="A79" s="410">
        <f t="shared" ref="A79:A99" si="8">A78+1</f>
        <v>14</v>
      </c>
      <c r="B79" s="413">
        <v>374.2</v>
      </c>
      <c r="C79" s="414" t="s">
        <v>1036</v>
      </c>
      <c r="D79" s="415">
        <f>'WPB-2.1 Base Period'!K26</f>
        <v>877756.18</v>
      </c>
      <c r="E79" s="417">
        <v>0</v>
      </c>
      <c r="F79" s="417">
        <v>0</v>
      </c>
      <c r="G79" s="415">
        <f t="shared" ref="G79:G99" si="9">SUM(D79:F79)</f>
        <v>877756.18</v>
      </c>
      <c r="H79" s="418"/>
      <c r="I79" s="415">
        <f>'WPB-3.1 AD&amp;A (Base)'!K26</f>
        <v>-523.13</v>
      </c>
      <c r="J79" s="429" t="s">
        <v>1102</v>
      </c>
      <c r="K79" s="417">
        <v>0</v>
      </c>
      <c r="L79" s="418">
        <f t="shared" si="6"/>
        <v>0</v>
      </c>
      <c r="M79" s="417">
        <v>0</v>
      </c>
      <c r="N79" s="408">
        <f t="shared" si="7"/>
        <v>-523.13</v>
      </c>
    </row>
    <row r="80" spans="1:16" x14ac:dyDescent="0.2">
      <c r="A80" s="410">
        <f t="shared" si="8"/>
        <v>15</v>
      </c>
      <c r="B80" s="413">
        <v>374.4</v>
      </c>
      <c r="C80" s="414" t="s">
        <v>1037</v>
      </c>
      <c r="D80" s="415">
        <f>'WPB-2.1 Base Period'!K27</f>
        <v>661305.66</v>
      </c>
      <c r="E80" s="417">
        <v>0</v>
      </c>
      <c r="F80" s="417">
        <v>0</v>
      </c>
      <c r="G80" s="415">
        <f t="shared" si="9"/>
        <v>661305.66</v>
      </c>
      <c r="H80" s="418"/>
      <c r="I80" s="415">
        <f>'WPB-3.1 AD&amp;A (Base)'!K27</f>
        <v>170453.36</v>
      </c>
      <c r="J80" s="433">
        <v>1.5299999999999999E-2</v>
      </c>
      <c r="K80" s="418">
        <f>ROUND((G80+D80)/2*J80/12,0)</f>
        <v>843</v>
      </c>
      <c r="L80" s="418">
        <f t="shared" si="6"/>
        <v>0</v>
      </c>
      <c r="M80" s="417">
        <v>0</v>
      </c>
      <c r="N80" s="408">
        <f t="shared" si="7"/>
        <v>171296.36</v>
      </c>
      <c r="O80" s="408"/>
      <c r="P80" s="408"/>
    </row>
    <row r="81" spans="1:20" x14ac:dyDescent="0.2">
      <c r="A81" s="410">
        <f t="shared" si="8"/>
        <v>16</v>
      </c>
      <c r="B81" s="413">
        <v>374.5</v>
      </c>
      <c r="C81" s="414" t="s">
        <v>1038</v>
      </c>
      <c r="D81" s="415">
        <f>'WPB-2.1 Base Period'!K28</f>
        <v>2666575.5499999998</v>
      </c>
      <c r="E81" s="417">
        <v>154</v>
      </c>
      <c r="F81" s="417">
        <v>-18</v>
      </c>
      <c r="G81" s="415">
        <f t="shared" si="9"/>
        <v>2666711.5499999998</v>
      </c>
      <c r="H81" s="418"/>
      <c r="I81" s="415">
        <f>'WPB-3.1 AD&amp;A (Base)'!K28</f>
        <v>906530.23</v>
      </c>
      <c r="J81" s="433">
        <v>1.2200000000000001E-2</v>
      </c>
      <c r="K81" s="418">
        <f t="shared" ref="K81:K99" si="10">ROUND((G81+D81)/2*J81/12,0)</f>
        <v>2711</v>
      </c>
      <c r="L81" s="418">
        <f t="shared" si="6"/>
        <v>18</v>
      </c>
      <c r="M81" s="417">
        <v>0</v>
      </c>
      <c r="N81" s="408">
        <f t="shared" si="7"/>
        <v>909223.23</v>
      </c>
      <c r="O81" s="408"/>
      <c r="S81" s="434"/>
      <c r="T81" s="435"/>
    </row>
    <row r="82" spans="1:20" x14ac:dyDescent="0.2">
      <c r="A82" s="410">
        <f t="shared" si="8"/>
        <v>17</v>
      </c>
      <c r="B82" s="413">
        <v>375.2</v>
      </c>
      <c r="C82" s="414" t="s">
        <v>1039</v>
      </c>
      <c r="D82" s="415">
        <f>'WPB-2.1 Base Period'!K29</f>
        <v>2124.98</v>
      </c>
      <c r="E82" s="417">
        <v>0</v>
      </c>
      <c r="F82" s="417">
        <v>0</v>
      </c>
      <c r="G82" s="415">
        <f t="shared" si="9"/>
        <v>2124.98</v>
      </c>
      <c r="H82" s="418"/>
      <c r="I82" s="415">
        <f>'WPB-3.1 AD&amp;A (Base)'!K29</f>
        <v>1997.32</v>
      </c>
      <c r="J82" s="433">
        <v>1.9599999999999999E-2</v>
      </c>
      <c r="K82" s="418">
        <f t="shared" si="10"/>
        <v>3</v>
      </c>
      <c r="L82" s="418">
        <f t="shared" si="6"/>
        <v>0</v>
      </c>
      <c r="M82" s="417">
        <v>0</v>
      </c>
      <c r="N82" s="408">
        <f t="shared" si="7"/>
        <v>2000.32</v>
      </c>
      <c r="O82" s="408"/>
      <c r="S82" s="434"/>
      <c r="T82" s="435"/>
    </row>
    <row r="83" spans="1:20" x14ac:dyDescent="0.2">
      <c r="A83" s="410">
        <f t="shared" si="8"/>
        <v>18</v>
      </c>
      <c r="B83" s="413">
        <v>375.3</v>
      </c>
      <c r="C83" s="414" t="s">
        <v>1040</v>
      </c>
      <c r="D83" s="415">
        <f>'WPB-2.1 Base Period'!K30</f>
        <v>0</v>
      </c>
      <c r="E83" s="417">
        <v>0</v>
      </c>
      <c r="F83" s="417">
        <v>0</v>
      </c>
      <c r="G83" s="415">
        <f t="shared" si="9"/>
        <v>0</v>
      </c>
      <c r="H83" s="418"/>
      <c r="I83" s="415">
        <f>'WPB-3.1 AD&amp;A (Base)'!K30</f>
        <v>-77.66</v>
      </c>
      <c r="J83" s="433">
        <v>1.9599999999999999E-2</v>
      </c>
      <c r="K83" s="418">
        <f t="shared" si="10"/>
        <v>0</v>
      </c>
      <c r="L83" s="418">
        <f t="shared" si="6"/>
        <v>0</v>
      </c>
      <c r="M83" s="417">
        <v>0</v>
      </c>
      <c r="N83" s="408">
        <f t="shared" si="7"/>
        <v>-77.66</v>
      </c>
      <c r="O83" s="408"/>
      <c r="S83" s="434"/>
      <c r="T83" s="435"/>
    </row>
    <row r="84" spans="1:20" x14ac:dyDescent="0.2">
      <c r="A84" s="410">
        <f t="shared" si="8"/>
        <v>19</v>
      </c>
      <c r="B84" s="413">
        <v>375.4</v>
      </c>
      <c r="C84" s="414" t="s">
        <v>1041</v>
      </c>
      <c r="D84" s="415">
        <f>'WPB-2.1 Base Period'!K31</f>
        <v>1871441.02</v>
      </c>
      <c r="E84" s="417">
        <v>185</v>
      </c>
      <c r="F84" s="417">
        <v>-22</v>
      </c>
      <c r="G84" s="415">
        <f t="shared" si="9"/>
        <v>1871604.02</v>
      </c>
      <c r="H84" s="418"/>
      <c r="I84" s="415">
        <f>'WPB-3.1 AD&amp;A (Base)'!K31</f>
        <v>486466.37</v>
      </c>
      <c r="J84" s="433">
        <v>1.9599999999999999E-2</v>
      </c>
      <c r="K84" s="418">
        <f t="shared" si="10"/>
        <v>3057</v>
      </c>
      <c r="L84" s="418">
        <f t="shared" si="6"/>
        <v>22</v>
      </c>
      <c r="M84" s="417">
        <v>-2</v>
      </c>
      <c r="N84" s="408">
        <f t="shared" si="7"/>
        <v>489499.37</v>
      </c>
      <c r="O84" s="408"/>
      <c r="S84" s="434"/>
      <c r="T84" s="436"/>
    </row>
    <row r="85" spans="1:20" x14ac:dyDescent="0.2">
      <c r="A85" s="410">
        <f t="shared" si="8"/>
        <v>20</v>
      </c>
      <c r="B85" s="413">
        <v>375.6</v>
      </c>
      <c r="C85" s="414" t="s">
        <v>1042</v>
      </c>
      <c r="D85" s="415">
        <f>'WPB-2.1 Base Period'!K32</f>
        <v>0</v>
      </c>
      <c r="E85" s="417">
        <v>0</v>
      </c>
      <c r="F85" s="417">
        <v>0</v>
      </c>
      <c r="G85" s="415">
        <f t="shared" si="9"/>
        <v>0</v>
      </c>
      <c r="H85" s="418"/>
      <c r="I85" s="415">
        <f>'WPB-3.1 AD&amp;A (Base)'!K32</f>
        <v>0.02</v>
      </c>
      <c r="J85" s="433">
        <v>1.9599999999999999E-2</v>
      </c>
      <c r="K85" s="418">
        <f t="shared" si="10"/>
        <v>0</v>
      </c>
      <c r="L85" s="418">
        <f t="shared" si="6"/>
        <v>0</v>
      </c>
      <c r="M85" s="417">
        <v>0</v>
      </c>
      <c r="N85" s="408">
        <f t="shared" si="7"/>
        <v>0.02</v>
      </c>
      <c r="O85" s="408"/>
      <c r="S85" s="437"/>
      <c r="T85" s="435"/>
    </row>
    <row r="86" spans="1:20" x14ac:dyDescent="0.2">
      <c r="A86" s="410">
        <f t="shared" si="8"/>
        <v>21</v>
      </c>
      <c r="B86" s="413">
        <v>375.7</v>
      </c>
      <c r="C86" s="414" t="s">
        <v>1043</v>
      </c>
      <c r="D86" s="415">
        <f>'WPB-2.1 Base Period'!K33</f>
        <v>7980989.21</v>
      </c>
      <c r="E86" s="417">
        <v>0</v>
      </c>
      <c r="F86" s="417">
        <v>0</v>
      </c>
      <c r="G86" s="415">
        <f t="shared" si="9"/>
        <v>7980989.21</v>
      </c>
      <c r="H86" s="418"/>
      <c r="I86" s="415">
        <f>'WPB-3.1 AD&amp;A (Base)'!K33</f>
        <v>3220067.06</v>
      </c>
      <c r="J86" s="433">
        <v>1.9900000000000001E-2</v>
      </c>
      <c r="K86" s="418">
        <f t="shared" si="10"/>
        <v>13235</v>
      </c>
      <c r="L86" s="418">
        <f t="shared" si="6"/>
        <v>0</v>
      </c>
      <c r="M86" s="417">
        <v>0</v>
      </c>
      <c r="N86" s="408">
        <f t="shared" si="7"/>
        <v>3233302.06</v>
      </c>
      <c r="O86" s="408"/>
    </row>
    <row r="87" spans="1:20" x14ac:dyDescent="0.2">
      <c r="A87" s="410">
        <f t="shared" si="8"/>
        <v>22</v>
      </c>
      <c r="B87" s="413">
        <v>375.71</v>
      </c>
      <c r="C87" s="414" t="s">
        <v>1044</v>
      </c>
      <c r="D87" s="415">
        <f>'WPB-2.1 Base Period'!K34</f>
        <v>259808.94</v>
      </c>
      <c r="E87" s="417">
        <v>0</v>
      </c>
      <c r="F87" s="417">
        <v>0</v>
      </c>
      <c r="G87" s="415">
        <f t="shared" si="9"/>
        <v>259808.94</v>
      </c>
      <c r="H87" s="418"/>
      <c r="I87" s="415">
        <f>'WPB-3.1 AD&amp;A (Base)'!K34</f>
        <v>155155.06</v>
      </c>
      <c r="J87" s="419" t="s">
        <v>1094</v>
      </c>
      <c r="K87" s="417">
        <f>104653.88/38</f>
        <v>2754.0494736842106</v>
      </c>
      <c r="L87" s="418">
        <f t="shared" si="6"/>
        <v>0</v>
      </c>
      <c r="M87" s="417">
        <v>0</v>
      </c>
      <c r="N87" s="408">
        <f t="shared" si="7"/>
        <v>157909.10947368422</v>
      </c>
      <c r="O87" s="408"/>
    </row>
    <row r="88" spans="1:20" x14ac:dyDescent="0.2">
      <c r="A88" s="410">
        <f t="shared" si="8"/>
        <v>23</v>
      </c>
      <c r="B88" s="413">
        <v>375.8</v>
      </c>
      <c r="C88" s="414" t="s">
        <v>1045</v>
      </c>
      <c r="D88" s="415">
        <f>'WPB-2.1 Base Period'!K35</f>
        <v>0</v>
      </c>
      <c r="E88" s="417">
        <v>0</v>
      </c>
      <c r="F88" s="417">
        <v>0</v>
      </c>
      <c r="G88" s="415">
        <f t="shared" si="9"/>
        <v>0</v>
      </c>
      <c r="H88" s="418"/>
      <c r="I88" s="415">
        <f>'WPB-3.1 AD&amp;A (Base)'!K35</f>
        <v>0</v>
      </c>
      <c r="J88" s="433">
        <v>5.3199999999999997E-2</v>
      </c>
      <c r="K88" s="418">
        <f t="shared" si="10"/>
        <v>0</v>
      </c>
      <c r="L88" s="418">
        <f t="shared" si="6"/>
        <v>0</v>
      </c>
      <c r="M88" s="417">
        <v>0</v>
      </c>
      <c r="N88" s="408">
        <f t="shared" si="7"/>
        <v>0</v>
      </c>
      <c r="O88" s="408"/>
    </row>
    <row r="89" spans="1:20" x14ac:dyDescent="0.2">
      <c r="A89" s="410">
        <f>A88+1</f>
        <v>24</v>
      </c>
      <c r="B89" s="413">
        <v>376</v>
      </c>
      <c r="C89" s="438" t="s">
        <v>1096</v>
      </c>
      <c r="D89" s="415"/>
      <c r="E89" s="417"/>
      <c r="F89" s="417"/>
      <c r="G89" s="415"/>
      <c r="H89" s="418"/>
      <c r="I89" s="439"/>
      <c r="J89" s="432"/>
      <c r="K89" s="418"/>
      <c r="L89" s="418"/>
      <c r="M89" s="417"/>
    </row>
    <row r="90" spans="1:20" x14ac:dyDescent="0.2">
      <c r="A90" s="410"/>
      <c r="B90" s="413"/>
      <c r="C90" s="440" t="s">
        <v>1097</v>
      </c>
      <c r="D90" s="440"/>
      <c r="E90" s="417"/>
      <c r="F90" s="417"/>
      <c r="G90" s="415"/>
      <c r="H90" s="418"/>
      <c r="I90" s="415"/>
      <c r="J90" s="433"/>
      <c r="K90" s="418"/>
      <c r="L90" s="418"/>
      <c r="M90" s="417"/>
      <c r="N90" s="408"/>
      <c r="O90" s="408"/>
      <c r="R90" s="441"/>
    </row>
    <row r="91" spans="1:20" x14ac:dyDescent="0.2">
      <c r="A91" s="410"/>
      <c r="B91" s="413"/>
      <c r="C91" s="440" t="s">
        <v>1098</v>
      </c>
      <c r="D91" s="440"/>
      <c r="E91" s="417"/>
      <c r="F91" s="417"/>
      <c r="G91" s="415"/>
      <c r="H91" s="418"/>
      <c r="I91" s="415"/>
      <c r="J91" s="433"/>
      <c r="K91" s="418"/>
      <c r="L91" s="418"/>
      <c r="M91" s="417"/>
      <c r="N91" s="408"/>
      <c r="O91" s="408"/>
      <c r="R91" s="441"/>
    </row>
    <row r="92" spans="1:20" x14ac:dyDescent="0.2">
      <c r="A92" s="410"/>
      <c r="B92" s="413"/>
      <c r="C92" s="440" t="s">
        <v>1099</v>
      </c>
      <c r="D92" s="440"/>
      <c r="E92" s="417"/>
      <c r="F92" s="417"/>
      <c r="G92" s="415"/>
      <c r="H92" s="418"/>
      <c r="I92" s="415"/>
      <c r="J92" s="433"/>
      <c r="K92" s="418"/>
      <c r="L92" s="418"/>
      <c r="M92" s="417"/>
      <c r="N92" s="408"/>
      <c r="O92" s="408"/>
      <c r="R92" s="441"/>
    </row>
    <row r="93" spans="1:20" x14ac:dyDescent="0.2">
      <c r="A93" s="410"/>
      <c r="B93" s="413"/>
      <c r="C93" s="440" t="s">
        <v>1100</v>
      </c>
      <c r="D93" s="440"/>
      <c r="E93" s="417"/>
      <c r="F93" s="417"/>
      <c r="G93" s="415"/>
      <c r="H93" s="418"/>
      <c r="I93" s="415"/>
      <c r="J93" s="433"/>
      <c r="K93" s="418"/>
      <c r="L93" s="418"/>
      <c r="M93" s="417"/>
      <c r="N93" s="408"/>
      <c r="O93" s="408"/>
      <c r="R93" s="441"/>
    </row>
    <row r="94" spans="1:20" x14ac:dyDescent="0.2">
      <c r="A94" s="410"/>
      <c r="B94" s="413"/>
      <c r="C94" s="440" t="s">
        <v>1101</v>
      </c>
      <c r="D94" s="415">
        <f>'WPB-2.1 Base Period'!K36</f>
        <v>200467453.44</v>
      </c>
      <c r="E94" s="417">
        <v>1887950</v>
      </c>
      <c r="F94" s="417">
        <v>-226554</v>
      </c>
      <c r="G94" s="415">
        <f>SUM(D94:F94)</f>
        <v>202128849.44</v>
      </c>
      <c r="H94" s="418"/>
      <c r="I94" s="415">
        <f>'WPB-3.1 AD&amp;A (Base)'!K36</f>
        <v>56755635.609999999</v>
      </c>
      <c r="J94" s="433">
        <v>1.5699999999999999E-2</v>
      </c>
      <c r="K94" s="418">
        <f t="shared" si="10"/>
        <v>263365</v>
      </c>
      <c r="L94" s="418">
        <f t="shared" si="6"/>
        <v>226554</v>
      </c>
      <c r="M94" s="417">
        <v>-33983</v>
      </c>
      <c r="N94" s="408">
        <f t="shared" ref="N94:N99" si="11">I94+K94-L94+M94</f>
        <v>56758463.609999999</v>
      </c>
      <c r="O94" s="408"/>
      <c r="R94" s="443"/>
    </row>
    <row r="95" spans="1:20" x14ac:dyDescent="0.2">
      <c r="A95" s="410">
        <f>A89+1</f>
        <v>25</v>
      </c>
      <c r="B95" s="413">
        <v>378.1</v>
      </c>
      <c r="C95" s="414" t="s">
        <v>1047</v>
      </c>
      <c r="D95" s="415">
        <f>'WPB-2.1 Base Period'!K37</f>
        <v>518504.18</v>
      </c>
      <c r="E95" s="417">
        <v>0</v>
      </c>
      <c r="F95" s="417">
        <v>0</v>
      </c>
      <c r="G95" s="415">
        <f t="shared" si="9"/>
        <v>518504.18</v>
      </c>
      <c r="H95" s="418"/>
      <c r="I95" s="415">
        <f>'WPB-3.1 AD&amp;A (Base)'!K37</f>
        <v>353311.81</v>
      </c>
      <c r="J95" s="433">
        <v>2.35E-2</v>
      </c>
      <c r="K95" s="418">
        <f t="shared" si="10"/>
        <v>1015</v>
      </c>
      <c r="L95" s="418">
        <f t="shared" si="6"/>
        <v>0</v>
      </c>
      <c r="M95" s="417">
        <v>0</v>
      </c>
      <c r="N95" s="408">
        <f t="shared" si="11"/>
        <v>354326.81</v>
      </c>
      <c r="O95" s="408"/>
    </row>
    <row r="96" spans="1:20" x14ac:dyDescent="0.2">
      <c r="A96" s="410">
        <f t="shared" si="8"/>
        <v>26</v>
      </c>
      <c r="B96" s="413">
        <v>378.2</v>
      </c>
      <c r="C96" s="414" t="s">
        <v>1048</v>
      </c>
      <c r="D96" s="415">
        <f>'WPB-2.1 Base Period'!K38</f>
        <v>9495354</v>
      </c>
      <c r="E96" s="417">
        <v>13744</v>
      </c>
      <c r="F96" s="417">
        <v>-1649</v>
      </c>
      <c r="G96" s="415">
        <f t="shared" si="9"/>
        <v>9507449</v>
      </c>
      <c r="H96" s="418"/>
      <c r="I96" s="415">
        <f>'WPB-3.1 AD&amp;A (Base)'!K38</f>
        <v>3221847.91</v>
      </c>
      <c r="J96" s="433">
        <v>2.35E-2</v>
      </c>
      <c r="K96" s="418">
        <f t="shared" si="10"/>
        <v>18607</v>
      </c>
      <c r="L96" s="418">
        <f t="shared" si="6"/>
        <v>1649</v>
      </c>
      <c r="M96" s="417">
        <v>-82</v>
      </c>
      <c r="N96" s="408">
        <f t="shared" si="11"/>
        <v>3238723.91</v>
      </c>
      <c r="O96" s="408"/>
    </row>
    <row r="97" spans="1:15" x14ac:dyDescent="0.2">
      <c r="A97" s="410">
        <f t="shared" si="8"/>
        <v>27</v>
      </c>
      <c r="B97" s="413">
        <v>378.3</v>
      </c>
      <c r="C97" s="414" t="s">
        <v>1049</v>
      </c>
      <c r="D97" s="415">
        <f>'WPB-2.1 Base Period'!K39</f>
        <v>45443.08</v>
      </c>
      <c r="E97" s="417">
        <v>0</v>
      </c>
      <c r="F97" s="417">
        <v>0</v>
      </c>
      <c r="G97" s="415">
        <f t="shared" si="9"/>
        <v>45443.08</v>
      </c>
      <c r="H97" s="418"/>
      <c r="I97" s="415">
        <f>'WPB-3.1 AD&amp;A (Base)'!K39</f>
        <v>34988.04</v>
      </c>
      <c r="J97" s="433">
        <v>2.35E-2</v>
      </c>
      <c r="K97" s="418">
        <f t="shared" si="10"/>
        <v>89</v>
      </c>
      <c r="L97" s="418">
        <f t="shared" si="6"/>
        <v>0</v>
      </c>
      <c r="M97" s="417">
        <v>0</v>
      </c>
      <c r="N97" s="408">
        <f t="shared" si="11"/>
        <v>35077.040000000001</v>
      </c>
      <c r="O97" s="408"/>
    </row>
    <row r="98" spans="1:15" x14ac:dyDescent="0.2">
      <c r="A98" s="410">
        <f t="shared" si="8"/>
        <v>28</v>
      </c>
      <c r="B98" s="413">
        <v>379.1</v>
      </c>
      <c r="C98" s="414" t="s">
        <v>1050</v>
      </c>
      <c r="D98" s="415">
        <f>'WPB-2.1 Base Period'!K40</f>
        <v>254900.59</v>
      </c>
      <c r="E98" s="417">
        <v>0</v>
      </c>
      <c r="F98" s="417">
        <v>0</v>
      </c>
      <c r="G98" s="415">
        <f t="shared" si="9"/>
        <v>254900.59</v>
      </c>
      <c r="H98" s="418"/>
      <c r="I98" s="415">
        <f>'WPB-3.1 AD&amp;A (Base)'!K40</f>
        <v>267730.57</v>
      </c>
      <c r="J98" s="433">
        <v>2.2700000000000001E-2</v>
      </c>
      <c r="K98" s="417">
        <v>0</v>
      </c>
      <c r="L98" s="418">
        <f t="shared" si="6"/>
        <v>0</v>
      </c>
      <c r="M98" s="417">
        <v>0</v>
      </c>
      <c r="N98" s="408">
        <f t="shared" si="11"/>
        <v>267730.57</v>
      </c>
      <c r="O98" s="408"/>
    </row>
    <row r="99" spans="1:15" x14ac:dyDescent="0.2">
      <c r="A99" s="410">
        <f t="shared" si="8"/>
        <v>29</v>
      </c>
      <c r="B99" s="413">
        <v>380</v>
      </c>
      <c r="C99" s="414" t="s">
        <v>1051</v>
      </c>
      <c r="D99" s="415">
        <f>'WPB-2.1 Base Period'!K41</f>
        <v>116344343.77</v>
      </c>
      <c r="E99" s="417">
        <v>738026</v>
      </c>
      <c r="F99" s="417">
        <v>-88563</v>
      </c>
      <c r="G99" s="415">
        <f t="shared" si="9"/>
        <v>116993806.77</v>
      </c>
      <c r="H99" s="418"/>
      <c r="I99" s="415">
        <f>'WPB-3.1 AD&amp;A (Base)'!K41</f>
        <v>57575962.520000003</v>
      </c>
      <c r="J99" s="433">
        <v>2.5899999999999999E-2</v>
      </c>
      <c r="K99" s="418">
        <f t="shared" si="10"/>
        <v>251811</v>
      </c>
      <c r="L99" s="418">
        <f t="shared" si="6"/>
        <v>88563</v>
      </c>
      <c r="M99" s="417">
        <v>-44282</v>
      </c>
      <c r="N99" s="408">
        <f t="shared" si="11"/>
        <v>57694928.520000003</v>
      </c>
      <c r="O99" s="408"/>
    </row>
    <row r="100" spans="1:15" x14ac:dyDescent="0.2">
      <c r="A100" s="410"/>
      <c r="B100" s="444"/>
      <c r="C100" s="414"/>
      <c r="D100" s="439"/>
      <c r="E100" s="418"/>
      <c r="F100" s="418"/>
      <c r="G100" s="439"/>
      <c r="H100" s="418"/>
      <c r="I100" s="418"/>
      <c r="J100" s="418"/>
      <c r="K100" s="418"/>
      <c r="L100" s="418"/>
    </row>
    <row r="101" spans="1:15" x14ac:dyDescent="0.2">
      <c r="A101" s="2073" t="str">
        <f>co</f>
        <v>COLUMBIA GAS OF KENTUCKY, INC.</v>
      </c>
      <c r="B101" s="2073"/>
      <c r="C101" s="2073"/>
      <c r="D101" s="2073"/>
      <c r="E101" s="2073"/>
      <c r="F101" s="2073"/>
      <c r="G101" s="2073"/>
      <c r="H101" s="2073"/>
      <c r="I101" s="2073"/>
      <c r="J101" s="2073"/>
      <c r="K101" s="2073"/>
      <c r="L101" s="2073"/>
      <c r="M101" s="2073"/>
      <c r="N101" s="2073"/>
    </row>
    <row r="102" spans="1:15" x14ac:dyDescent="0.2">
      <c r="A102" s="2073" t="str">
        <f>case</f>
        <v>CASE NO. 2016 - 00162</v>
      </c>
      <c r="B102" s="2073"/>
      <c r="C102" s="2073"/>
      <c r="D102" s="2073"/>
      <c r="E102" s="2073"/>
      <c r="F102" s="2073"/>
      <c r="G102" s="2073"/>
      <c r="H102" s="2073"/>
      <c r="I102" s="2073"/>
      <c r="J102" s="2073"/>
      <c r="K102" s="2073"/>
      <c r="L102" s="2073"/>
      <c r="M102" s="2073"/>
      <c r="N102" s="2073"/>
    </row>
    <row r="103" spans="1:15" x14ac:dyDescent="0.2">
      <c r="A103" s="2074" t="s">
        <v>1106</v>
      </c>
      <c r="B103" s="2073"/>
      <c r="C103" s="2073"/>
      <c r="D103" s="2073"/>
      <c r="E103" s="2073"/>
      <c r="F103" s="2073"/>
      <c r="G103" s="2073"/>
      <c r="H103" s="2073"/>
      <c r="I103" s="2073"/>
      <c r="J103" s="2073"/>
      <c r="K103" s="2073"/>
      <c r="L103" s="2073"/>
      <c r="M103" s="2073"/>
      <c r="N103" s="2073"/>
    </row>
    <row r="104" spans="1:15" x14ac:dyDescent="0.2">
      <c r="A104" s="2078" t="s">
        <v>2142</v>
      </c>
      <c r="B104" s="2078"/>
      <c r="C104" s="2078"/>
      <c r="D104" s="2078"/>
      <c r="E104" s="2078"/>
      <c r="F104" s="2078"/>
      <c r="G104" s="2078"/>
      <c r="H104" s="2078"/>
      <c r="I104" s="2078"/>
      <c r="J104" s="2078"/>
      <c r="K104" s="2078"/>
      <c r="L104" s="2078"/>
      <c r="M104" s="2078"/>
      <c r="N104" s="2078"/>
    </row>
    <row r="106" spans="1:15" x14ac:dyDescent="0.2">
      <c r="A106" s="388" t="s">
        <v>976</v>
      </c>
      <c r="M106" s="386"/>
      <c r="N106" s="387" t="s">
        <v>763</v>
      </c>
    </row>
    <row r="107" spans="1:15" x14ac:dyDescent="0.2">
      <c r="A107" s="388" t="s">
        <v>977</v>
      </c>
      <c r="M107" s="386"/>
      <c r="N107" s="389" t="s">
        <v>1108</v>
      </c>
    </row>
    <row r="108" spans="1:15" x14ac:dyDescent="0.2">
      <c r="A108" s="445" t="str">
        <f>A55</f>
        <v>WORKPAPER REFERENCE NO(S).: WPB-2.3</v>
      </c>
      <c r="B108" s="391"/>
      <c r="C108" s="391"/>
      <c r="D108" s="391"/>
      <c r="E108" s="391"/>
      <c r="F108" s="391"/>
      <c r="G108" s="391"/>
      <c r="H108" s="391"/>
      <c r="M108" s="392"/>
      <c r="N108" s="393" t="str">
        <f>SMK</f>
        <v>WITNESS:  S. M. KATKO</v>
      </c>
    </row>
    <row r="109" spans="1:15" x14ac:dyDescent="0.2">
      <c r="A109" s="390"/>
      <c r="B109" s="391"/>
      <c r="C109" s="391"/>
      <c r="D109" s="391"/>
      <c r="E109" s="391"/>
      <c r="F109" s="391"/>
      <c r="G109" s="391"/>
      <c r="H109" s="391"/>
      <c r="I109" s="392"/>
      <c r="J109" s="393"/>
      <c r="L109" s="386"/>
      <c r="M109" s="386"/>
    </row>
    <row r="110" spans="1:15" x14ac:dyDescent="0.2">
      <c r="A110" s="390"/>
      <c r="B110" s="391"/>
      <c r="C110" s="391"/>
      <c r="D110" s="2075" t="s">
        <v>1088</v>
      </c>
      <c r="E110" s="2075"/>
      <c r="F110" s="2075"/>
      <c r="G110" s="2075"/>
      <c r="H110" s="391"/>
      <c r="I110" s="2076" t="s">
        <v>1093</v>
      </c>
      <c r="J110" s="2077"/>
      <c r="K110" s="2077"/>
      <c r="L110" s="2077"/>
      <c r="M110" s="2077"/>
      <c r="N110" s="2077"/>
    </row>
    <row r="111" spans="1:15" x14ac:dyDescent="0.2">
      <c r="A111" s="394"/>
      <c r="B111" s="391"/>
      <c r="C111" s="391"/>
      <c r="D111" s="396" t="s">
        <v>1084</v>
      </c>
      <c r="E111" s="391"/>
      <c r="F111" s="391"/>
      <c r="G111" s="395"/>
      <c r="H111" s="395"/>
      <c r="I111" s="397" t="s">
        <v>1089</v>
      </c>
      <c r="J111" s="396"/>
      <c r="M111" s="386"/>
    </row>
    <row r="112" spans="1:15" x14ac:dyDescent="0.2">
      <c r="A112" s="383"/>
      <c r="D112" s="397" t="s">
        <v>865</v>
      </c>
      <c r="G112" s="397" t="s">
        <v>867</v>
      </c>
      <c r="H112" s="398"/>
      <c r="I112" s="397" t="s">
        <v>865</v>
      </c>
      <c r="J112" s="397" t="s">
        <v>956</v>
      </c>
      <c r="M112" s="386"/>
      <c r="N112" s="397" t="s">
        <v>867</v>
      </c>
    </row>
    <row r="113" spans="1:15" x14ac:dyDescent="0.2">
      <c r="A113" s="397" t="s">
        <v>1080</v>
      </c>
      <c r="B113" s="397" t="s">
        <v>1082</v>
      </c>
      <c r="D113" s="397" t="s">
        <v>867</v>
      </c>
      <c r="G113" s="399" t="s">
        <v>1087</v>
      </c>
      <c r="H113" s="398"/>
      <c r="I113" s="399" t="s">
        <v>867</v>
      </c>
      <c r="J113" s="397" t="s">
        <v>1090</v>
      </c>
      <c r="K113" s="397" t="s">
        <v>956</v>
      </c>
      <c r="M113" s="399" t="s">
        <v>1092</v>
      </c>
      <c r="N113" s="399" t="s">
        <v>1087</v>
      </c>
    </row>
    <row r="114" spans="1:15" x14ac:dyDescent="0.2">
      <c r="A114" s="400" t="s">
        <v>1081</v>
      </c>
      <c r="B114" s="400" t="s">
        <v>1081</v>
      </c>
      <c r="C114" s="401" t="s">
        <v>1083</v>
      </c>
      <c r="D114" s="404" t="str">
        <f>D61</f>
        <v>02/29/2016</v>
      </c>
      <c r="E114" s="400" t="s">
        <v>1085</v>
      </c>
      <c r="F114" s="400" t="s">
        <v>1086</v>
      </c>
      <c r="G114" s="404" t="str">
        <f>G61</f>
        <v>03/31/2016</v>
      </c>
      <c r="H114" s="398"/>
      <c r="I114" s="404" t="str">
        <f>D114</f>
        <v>02/29/2016</v>
      </c>
      <c r="J114" s="400" t="s">
        <v>1091</v>
      </c>
      <c r="K114" s="402" t="s">
        <v>1090</v>
      </c>
      <c r="L114" s="402" t="s">
        <v>1086</v>
      </c>
      <c r="M114" s="402" t="s">
        <v>955</v>
      </c>
      <c r="N114" s="404" t="str">
        <f>G114</f>
        <v>03/31/2016</v>
      </c>
    </row>
    <row r="115" spans="1:15" x14ac:dyDescent="0.2">
      <c r="A115" s="406"/>
      <c r="B115" s="406"/>
      <c r="C115" s="406"/>
      <c r="D115" s="406" t="str">
        <f>"(1)"</f>
        <v>(1)</v>
      </c>
      <c r="E115" s="406" t="str">
        <f>"(2)"</f>
        <v>(2)</v>
      </c>
      <c r="F115" s="406" t="str">
        <f>"(3)"</f>
        <v>(3)</v>
      </c>
      <c r="G115" s="406" t="str">
        <f>"(4)=(1+2+3)"</f>
        <v>(4)=(1+2+3)</v>
      </c>
      <c r="H115" s="406"/>
      <c r="I115" s="406" t="str">
        <f>"(5)"</f>
        <v>(5)</v>
      </c>
      <c r="J115" s="406" t="str">
        <f>"(6)"</f>
        <v>(6)</v>
      </c>
      <c r="K115" s="406" t="str">
        <f>"(7)=((1+4)/2*6/12))"</f>
        <v>(7)=((1+4)/2*6/12))</v>
      </c>
      <c r="L115" s="406" t="str">
        <f>"(8)"</f>
        <v>(8)</v>
      </c>
      <c r="M115" s="406" t="str">
        <f>"(9)"</f>
        <v>(9)</v>
      </c>
      <c r="N115" s="406" t="str">
        <f>"(10)=(5+7-8+9)"</f>
        <v>(10)=(5+7-8+9)</v>
      </c>
    </row>
    <row r="116" spans="1:15" x14ac:dyDescent="0.2">
      <c r="D116" s="410" t="s">
        <v>639</v>
      </c>
      <c r="E116" s="410" t="s">
        <v>639</v>
      </c>
      <c r="F116" s="410" t="s">
        <v>639</v>
      </c>
      <c r="G116" s="410" t="s">
        <v>639</v>
      </c>
      <c r="H116" s="410"/>
      <c r="I116" s="410" t="s">
        <v>639</v>
      </c>
      <c r="J116" s="410" t="s">
        <v>639</v>
      </c>
      <c r="K116" s="410" t="s">
        <v>639</v>
      </c>
      <c r="L116" s="410" t="s">
        <v>639</v>
      </c>
      <c r="M116" s="410" t="s">
        <v>639</v>
      </c>
      <c r="N116" s="410" t="s">
        <v>639</v>
      </c>
    </row>
    <row r="117" spans="1:15" x14ac:dyDescent="0.2">
      <c r="C117" s="411" t="s">
        <v>707</v>
      </c>
      <c r="D117" s="410"/>
      <c r="E117" s="410"/>
      <c r="F117" s="410"/>
      <c r="G117" s="410"/>
      <c r="J117" s="410"/>
    </row>
    <row r="118" spans="1:15" x14ac:dyDescent="0.2">
      <c r="A118" s="405">
        <v>1</v>
      </c>
      <c r="B118" s="446">
        <v>381</v>
      </c>
      <c r="C118" s="414" t="s">
        <v>1052</v>
      </c>
      <c r="D118" s="415">
        <f>'WPB-2.1 Base Period'!K55</f>
        <v>13358440.550000001</v>
      </c>
      <c r="E118" s="417">
        <v>89304</v>
      </c>
      <c r="F118" s="417">
        <v>-10716</v>
      </c>
      <c r="G118" s="415">
        <f>SUM(D118:F118)</f>
        <v>13437028.550000001</v>
      </c>
      <c r="H118" s="418"/>
      <c r="I118" s="415">
        <f>'WPB-3.1 AD&amp;A (Base)'!K55</f>
        <v>4686265.8899999997</v>
      </c>
      <c r="J118" s="433">
        <v>2.5899999999999999E-2</v>
      </c>
      <c r="K118" s="418">
        <f t="shared" ref="K118:K129" si="12">ROUND((G118+D118)/2*J118/12,0)</f>
        <v>28917</v>
      </c>
      <c r="L118" s="418">
        <f t="shared" ref="L118:L129" si="13">-F118</f>
        <v>10716</v>
      </c>
      <c r="M118" s="417">
        <v>0</v>
      </c>
      <c r="N118" s="408">
        <f t="shared" ref="N118:N129" si="14">I118+K118-L118+M118</f>
        <v>4704466.8899999997</v>
      </c>
      <c r="O118" s="408"/>
    </row>
    <row r="119" spans="1:15" x14ac:dyDescent="0.2">
      <c r="A119" s="405">
        <f>A118+1</f>
        <v>2</v>
      </c>
      <c r="B119" s="446">
        <v>381.1</v>
      </c>
      <c r="C119" s="414" t="s">
        <v>1052</v>
      </c>
      <c r="D119" s="415">
        <f>'WPB-2.1 Base Period'!K56</f>
        <v>8705079.0600000005</v>
      </c>
      <c r="E119" s="417">
        <v>1030</v>
      </c>
      <c r="F119" s="417">
        <v>-124</v>
      </c>
      <c r="G119" s="415">
        <f>SUM(D119:F119)</f>
        <v>8705985.0600000005</v>
      </c>
      <c r="H119" s="418"/>
      <c r="I119" s="415">
        <f>'WPB-3.1 AD&amp;A (Base)'!K56</f>
        <v>373391.5</v>
      </c>
      <c r="J119" s="433">
        <v>2.5899999999999999E-2</v>
      </c>
      <c r="K119" s="418">
        <f t="shared" si="12"/>
        <v>18789</v>
      </c>
      <c r="L119" s="418">
        <f t="shared" si="13"/>
        <v>124</v>
      </c>
      <c r="M119" s="417">
        <v>0</v>
      </c>
      <c r="N119" s="408">
        <f t="shared" si="14"/>
        <v>392056.5</v>
      </c>
      <c r="O119" s="408"/>
    </row>
    <row r="120" spans="1:15" x14ac:dyDescent="0.2">
      <c r="A120" s="405">
        <f t="shared" ref="A120:A130" si="15">A119+1</f>
        <v>3</v>
      </c>
      <c r="B120" s="446">
        <v>382</v>
      </c>
      <c r="C120" s="414" t="s">
        <v>1053</v>
      </c>
      <c r="D120" s="415">
        <f>'WPB-2.1 Base Period'!K57</f>
        <v>9009270.6500000004</v>
      </c>
      <c r="E120" s="417">
        <v>11268</v>
      </c>
      <c r="F120" s="417">
        <v>-1352</v>
      </c>
      <c r="G120" s="415">
        <f t="shared" ref="G120:G125" si="16">SUM(D120:F120)</f>
        <v>9019186.6500000004</v>
      </c>
      <c r="H120" s="418"/>
      <c r="I120" s="415">
        <f>'WPB-3.1 AD&amp;A (Base)'!K57</f>
        <v>4482538.3</v>
      </c>
      <c r="J120" s="433">
        <v>2.3900000000000001E-2</v>
      </c>
      <c r="K120" s="418">
        <f t="shared" si="12"/>
        <v>17953</v>
      </c>
      <c r="L120" s="418">
        <f t="shared" si="13"/>
        <v>1352</v>
      </c>
      <c r="M120" s="417">
        <v>-68</v>
      </c>
      <c r="N120" s="408">
        <f t="shared" si="14"/>
        <v>4499071.3</v>
      </c>
      <c r="O120" s="408"/>
    </row>
    <row r="121" spans="1:15" x14ac:dyDescent="0.2">
      <c r="A121" s="405">
        <f t="shared" si="15"/>
        <v>4</v>
      </c>
      <c r="B121" s="446">
        <v>383</v>
      </c>
      <c r="C121" s="414" t="s">
        <v>1054</v>
      </c>
      <c r="D121" s="415">
        <f>'WPB-2.1 Base Period'!K58</f>
        <v>5526144.7599999998</v>
      </c>
      <c r="E121" s="417">
        <v>12034</v>
      </c>
      <c r="F121" s="417">
        <v>-1444</v>
      </c>
      <c r="G121" s="415">
        <f t="shared" si="16"/>
        <v>5536734.7599999998</v>
      </c>
      <c r="H121" s="418"/>
      <c r="I121" s="415">
        <f>'WPB-3.1 AD&amp;A (Base)'!K58</f>
        <v>1460409.41</v>
      </c>
      <c r="J121" s="433">
        <v>1.3899999999999999E-2</v>
      </c>
      <c r="K121" s="418">
        <f t="shared" si="12"/>
        <v>6407</v>
      </c>
      <c r="L121" s="418">
        <f t="shared" si="13"/>
        <v>1444</v>
      </c>
      <c r="M121" s="417">
        <v>-72</v>
      </c>
      <c r="N121" s="408">
        <f t="shared" si="14"/>
        <v>1465300.41</v>
      </c>
      <c r="O121" s="408"/>
    </row>
    <row r="122" spans="1:15" x14ac:dyDescent="0.2">
      <c r="A122" s="405">
        <f t="shared" si="15"/>
        <v>5</v>
      </c>
      <c r="B122" s="446">
        <v>384</v>
      </c>
      <c r="C122" s="414" t="s">
        <v>1055</v>
      </c>
      <c r="D122" s="415">
        <f>'WPB-2.1 Base Period'!K59</f>
        <v>2257522</v>
      </c>
      <c r="E122" s="417">
        <v>0</v>
      </c>
      <c r="F122" s="417">
        <v>0</v>
      </c>
      <c r="G122" s="415">
        <f t="shared" si="16"/>
        <v>2257522</v>
      </c>
      <c r="H122" s="418"/>
      <c r="I122" s="415">
        <f>'WPB-3.1 AD&amp;A (Base)'!K59</f>
        <v>1748638.73</v>
      </c>
      <c r="J122" s="433">
        <v>1.0999999999999999E-2</v>
      </c>
      <c r="K122" s="418">
        <f t="shared" si="12"/>
        <v>2069</v>
      </c>
      <c r="L122" s="418">
        <f t="shared" si="13"/>
        <v>0</v>
      </c>
      <c r="M122" s="417">
        <v>0</v>
      </c>
      <c r="N122" s="408">
        <f t="shared" si="14"/>
        <v>1750707.73</v>
      </c>
      <c r="O122" s="408"/>
    </row>
    <row r="123" spans="1:15" x14ac:dyDescent="0.2">
      <c r="A123" s="405">
        <f t="shared" si="15"/>
        <v>6</v>
      </c>
      <c r="B123" s="446">
        <v>385</v>
      </c>
      <c r="C123" s="414" t="s">
        <v>1056</v>
      </c>
      <c r="D123" s="415">
        <f>'WPB-2.1 Base Period'!K60</f>
        <v>3049398.36</v>
      </c>
      <c r="E123" s="417">
        <v>28235</v>
      </c>
      <c r="F123" s="417">
        <v>-3388</v>
      </c>
      <c r="G123" s="415">
        <f t="shared" si="16"/>
        <v>3074245.36</v>
      </c>
      <c r="H123" s="418"/>
      <c r="I123" s="415">
        <f>'WPB-3.1 AD&amp;A (Base)'!K60</f>
        <v>864244.55</v>
      </c>
      <c r="J123" s="433">
        <v>2.0899999999999998E-2</v>
      </c>
      <c r="K123" s="418">
        <f t="shared" si="12"/>
        <v>5333</v>
      </c>
      <c r="L123" s="418">
        <f t="shared" si="13"/>
        <v>3388</v>
      </c>
      <c r="M123" s="417">
        <v>-169</v>
      </c>
      <c r="N123" s="408">
        <f t="shared" si="14"/>
        <v>866020.55</v>
      </c>
      <c r="O123" s="408"/>
    </row>
    <row r="124" spans="1:15" x14ac:dyDescent="0.2">
      <c r="A124" s="405">
        <f t="shared" si="15"/>
        <v>7</v>
      </c>
      <c r="B124" s="446">
        <v>387.2</v>
      </c>
      <c r="C124" s="414" t="s">
        <v>1057</v>
      </c>
      <c r="D124" s="415">
        <f>'WPB-2.1 Base Period'!K61</f>
        <v>0</v>
      </c>
      <c r="E124" s="417">
        <v>0</v>
      </c>
      <c r="F124" s="417">
        <v>0</v>
      </c>
      <c r="G124" s="415">
        <f t="shared" si="16"/>
        <v>0</v>
      </c>
      <c r="H124" s="418"/>
      <c r="I124" s="415">
        <f>'WPB-3.1 AD&amp;A (Base)'!K61</f>
        <v>-59912.03</v>
      </c>
      <c r="J124" s="433">
        <v>2.3199999999999998E-2</v>
      </c>
      <c r="K124" s="418">
        <f t="shared" si="12"/>
        <v>0</v>
      </c>
      <c r="L124" s="418">
        <f t="shared" si="13"/>
        <v>0</v>
      </c>
      <c r="M124" s="417">
        <v>0</v>
      </c>
      <c r="N124" s="408">
        <f t="shared" si="14"/>
        <v>-59912.03</v>
      </c>
      <c r="O124" s="408"/>
    </row>
    <row r="125" spans="1:15" x14ac:dyDescent="0.2">
      <c r="A125" s="405">
        <f t="shared" si="15"/>
        <v>8</v>
      </c>
      <c r="B125" s="446">
        <v>387.41</v>
      </c>
      <c r="C125" s="414" t="s">
        <v>1058</v>
      </c>
      <c r="D125" s="415">
        <f>'WPB-2.1 Base Period'!K62</f>
        <v>735770.76</v>
      </c>
      <c r="E125" s="417">
        <v>0</v>
      </c>
      <c r="F125" s="417">
        <v>0</v>
      </c>
      <c r="G125" s="415">
        <f t="shared" si="16"/>
        <v>735770.76</v>
      </c>
      <c r="H125" s="418"/>
      <c r="I125" s="415">
        <f>'WPB-3.1 AD&amp;A (Base)'!K62</f>
        <v>371707.95</v>
      </c>
      <c r="J125" s="433">
        <v>2.3400000000000001E-2</v>
      </c>
      <c r="K125" s="418">
        <f t="shared" si="12"/>
        <v>1435</v>
      </c>
      <c r="L125" s="418">
        <f t="shared" si="13"/>
        <v>0</v>
      </c>
      <c r="M125" s="417">
        <v>0</v>
      </c>
      <c r="N125" s="408">
        <f t="shared" si="14"/>
        <v>373142.95</v>
      </c>
      <c r="O125" s="408"/>
    </row>
    <row r="126" spans="1:15" x14ac:dyDescent="0.2">
      <c r="A126" s="405">
        <f t="shared" si="15"/>
        <v>9</v>
      </c>
      <c r="B126" s="446">
        <v>387.42</v>
      </c>
      <c r="C126" s="414" t="s">
        <v>1059</v>
      </c>
      <c r="D126" s="415">
        <f>'WPB-2.1 Base Period'!K63</f>
        <v>795186.58</v>
      </c>
      <c r="E126" s="417">
        <v>0</v>
      </c>
      <c r="F126" s="417">
        <v>0</v>
      </c>
      <c r="G126" s="415">
        <f>SUM(D126:F126)</f>
        <v>795186.58</v>
      </c>
      <c r="H126" s="418"/>
      <c r="I126" s="415">
        <f>'WPB-3.1 AD&amp;A (Base)'!K63</f>
        <v>537035.94999999995</v>
      </c>
      <c r="J126" s="433">
        <v>2.3400000000000001E-2</v>
      </c>
      <c r="K126" s="418">
        <f t="shared" si="12"/>
        <v>1551</v>
      </c>
      <c r="L126" s="418">
        <f t="shared" si="13"/>
        <v>0</v>
      </c>
      <c r="M126" s="417">
        <v>0</v>
      </c>
      <c r="N126" s="408">
        <f t="shared" si="14"/>
        <v>538586.94999999995</v>
      </c>
      <c r="O126" s="408"/>
    </row>
    <row r="127" spans="1:15" x14ac:dyDescent="0.2">
      <c r="A127" s="405">
        <f t="shared" si="15"/>
        <v>10</v>
      </c>
      <c r="B127" s="446">
        <v>387.44</v>
      </c>
      <c r="C127" s="414" t="s">
        <v>1060</v>
      </c>
      <c r="D127" s="415">
        <f>'WPB-2.1 Base Period'!K64</f>
        <v>133589.93</v>
      </c>
      <c r="E127" s="417">
        <v>0</v>
      </c>
      <c r="F127" s="417">
        <v>0</v>
      </c>
      <c r="G127" s="415">
        <f>SUM(D127:F127)</f>
        <v>133589.93</v>
      </c>
      <c r="H127" s="418"/>
      <c r="I127" s="415">
        <f>'WPB-3.1 AD&amp;A (Base)'!K64</f>
        <v>45543.55</v>
      </c>
      <c r="J127" s="433">
        <v>2.3400000000000001E-2</v>
      </c>
      <c r="K127" s="418">
        <f t="shared" si="12"/>
        <v>261</v>
      </c>
      <c r="L127" s="418">
        <f t="shared" si="13"/>
        <v>0</v>
      </c>
      <c r="M127" s="417">
        <v>0</v>
      </c>
      <c r="N127" s="408">
        <f t="shared" si="14"/>
        <v>45804.55</v>
      </c>
      <c r="O127" s="408"/>
    </row>
    <row r="128" spans="1:15" x14ac:dyDescent="0.2">
      <c r="A128" s="405">
        <f t="shared" si="15"/>
        <v>11</v>
      </c>
      <c r="B128" s="446">
        <v>387.45</v>
      </c>
      <c r="C128" s="414" t="s">
        <v>1061</v>
      </c>
      <c r="D128" s="415">
        <f>'WPB-2.1 Base Period'!K65</f>
        <v>2744230.66</v>
      </c>
      <c r="E128" s="417">
        <v>13623</v>
      </c>
      <c r="F128" s="417">
        <v>-1635</v>
      </c>
      <c r="G128" s="415">
        <f>SUM(D128:F128)</f>
        <v>2756218.66</v>
      </c>
      <c r="H128" s="418"/>
      <c r="I128" s="415">
        <f>'WPB-3.1 AD&amp;A (Base)'!K65</f>
        <v>547160.06000000006</v>
      </c>
      <c r="J128" s="433">
        <v>2.3400000000000001E-2</v>
      </c>
      <c r="K128" s="418">
        <f t="shared" si="12"/>
        <v>5363</v>
      </c>
      <c r="L128" s="418">
        <f t="shared" si="13"/>
        <v>1635</v>
      </c>
      <c r="M128" s="417">
        <v>0</v>
      </c>
      <c r="N128" s="408">
        <f t="shared" si="14"/>
        <v>550888.06000000006</v>
      </c>
      <c r="O128" s="408"/>
    </row>
    <row r="129" spans="1:15" x14ac:dyDescent="0.2">
      <c r="A129" s="405">
        <f t="shared" si="15"/>
        <v>12</v>
      </c>
      <c r="B129" s="446">
        <v>387.46</v>
      </c>
      <c r="C129" s="414" t="s">
        <v>1062</v>
      </c>
      <c r="D129" s="421">
        <f>'WPB-2.1 Base Period'!K66</f>
        <v>113644.47</v>
      </c>
      <c r="E129" s="1662">
        <v>0</v>
      </c>
      <c r="F129" s="1662">
        <v>0</v>
      </c>
      <c r="G129" s="428">
        <f>SUM(D129:F129)</f>
        <v>113644.47</v>
      </c>
      <c r="H129" s="447"/>
      <c r="I129" s="421">
        <f>'WPB-3.1 AD&amp;A (Base)'!K66</f>
        <v>110012.83</v>
      </c>
      <c r="J129" s="433">
        <v>2.3400000000000001E-2</v>
      </c>
      <c r="K129" s="421">
        <f t="shared" si="12"/>
        <v>222</v>
      </c>
      <c r="L129" s="421">
        <f t="shared" si="13"/>
        <v>0</v>
      </c>
      <c r="M129" s="422">
        <v>0</v>
      </c>
      <c r="N129" s="423">
        <f t="shared" si="14"/>
        <v>110234.83</v>
      </c>
      <c r="O129" s="408"/>
    </row>
    <row r="130" spans="1:15" x14ac:dyDescent="0.2">
      <c r="A130" s="405">
        <f t="shared" si="15"/>
        <v>13</v>
      </c>
      <c r="B130" s="448"/>
      <c r="C130" s="386" t="s">
        <v>1063</v>
      </c>
      <c r="D130" s="418">
        <f>SUM(D118:D129,D78:D99)</f>
        <v>387874484.37999994</v>
      </c>
      <c r="E130" s="418">
        <f>SUM(E118:E129,E78:E99)</f>
        <v>2795553</v>
      </c>
      <c r="F130" s="418">
        <f>SUM(F118:F129,F78:F99)</f>
        <v>-335465</v>
      </c>
      <c r="G130" s="418">
        <f>SUM(G118:G129,G78:G99)</f>
        <v>390334572.37999994</v>
      </c>
      <c r="H130" s="418"/>
      <c r="I130" s="418">
        <f>SUM(I118:I129,I78:I99)</f>
        <v>138316581.78</v>
      </c>
      <c r="J130" s="418"/>
      <c r="K130" s="418">
        <f>SUM(K118:K129,K78:K99)</f>
        <v>645790.04947368428</v>
      </c>
      <c r="L130" s="418">
        <f>SUM(L118:L129,L78:L99)</f>
        <v>335465</v>
      </c>
      <c r="M130" s="418">
        <f>SUM(M118:M129,M78:M99)</f>
        <v>-78658</v>
      </c>
      <c r="N130" s="418">
        <f>SUM(N118:N129,N78:N99)</f>
        <v>138548248.82947367</v>
      </c>
    </row>
    <row r="131" spans="1:15" x14ac:dyDescent="0.2">
      <c r="B131" s="448"/>
      <c r="D131" s="418"/>
      <c r="E131" s="418"/>
      <c r="F131" s="418"/>
      <c r="G131" s="418"/>
      <c r="H131" s="418"/>
      <c r="I131" s="439"/>
      <c r="J131" s="418"/>
      <c r="K131" s="418"/>
      <c r="L131" s="418"/>
      <c r="M131" s="418"/>
    </row>
    <row r="132" spans="1:15" x14ac:dyDescent="0.2">
      <c r="A132" s="405">
        <f>A130+1</f>
        <v>14</v>
      </c>
      <c r="B132" s="448"/>
      <c r="C132" s="411" t="s">
        <v>737</v>
      </c>
      <c r="D132" s="418"/>
      <c r="E132" s="418"/>
      <c r="F132" s="418"/>
      <c r="G132" s="418"/>
      <c r="H132" s="418"/>
      <c r="I132" s="439"/>
      <c r="J132" s="418"/>
      <c r="K132" s="418"/>
      <c r="L132" s="418"/>
      <c r="M132" s="418"/>
    </row>
    <row r="133" spans="1:15" x14ac:dyDescent="0.2">
      <c r="A133" s="410">
        <f>A132+1</f>
        <v>15</v>
      </c>
      <c r="B133" s="446">
        <v>391.1</v>
      </c>
      <c r="C133" s="414" t="s">
        <v>1064</v>
      </c>
      <c r="D133" s="415">
        <f>'WPB-2.1 Base Period'!K70</f>
        <v>713480.71</v>
      </c>
      <c r="E133" s="417">
        <v>22697</v>
      </c>
      <c r="F133" s="417">
        <v>-2724</v>
      </c>
      <c r="G133" s="415">
        <f t="shared" ref="G133:G146" si="17">SUM(D133:F133)</f>
        <v>733453.71</v>
      </c>
      <c r="H133" s="418"/>
      <c r="I133" s="419">
        <f>'WPB-3.1 AD&amp;A (Base)'!K70</f>
        <v>-80906.22</v>
      </c>
      <c r="J133" s="433">
        <v>0.05</v>
      </c>
      <c r="K133" s="418">
        <f>ROUND((G133+D133)/2*J133/12,0)</f>
        <v>3014</v>
      </c>
      <c r="L133" s="418">
        <f t="shared" ref="L133:L146" si="18">-F133</f>
        <v>2724</v>
      </c>
      <c r="M133" s="417">
        <v>0</v>
      </c>
      <c r="N133" s="408">
        <f t="shared" ref="N133:N146" si="19">I133+K133-L133+M133</f>
        <v>-80616.22</v>
      </c>
      <c r="O133" s="408"/>
    </row>
    <row r="134" spans="1:15" x14ac:dyDescent="0.2">
      <c r="A134" s="410">
        <f t="shared" ref="A134:A147" si="20">A133+1</f>
        <v>16</v>
      </c>
      <c r="B134" s="446">
        <v>391.11</v>
      </c>
      <c r="C134" s="414" t="s">
        <v>1065</v>
      </c>
      <c r="D134" s="415">
        <f>'WPB-2.1 Base Period'!K71</f>
        <v>18815.57</v>
      </c>
      <c r="E134" s="417">
        <v>0</v>
      </c>
      <c r="F134" s="417">
        <v>0</v>
      </c>
      <c r="G134" s="415">
        <f t="shared" si="17"/>
        <v>18815.57</v>
      </c>
      <c r="H134" s="418"/>
      <c r="I134" s="419">
        <f>'WPB-3.1 AD&amp;A (Base)'!K71</f>
        <v>-13034.77</v>
      </c>
      <c r="J134" s="433">
        <v>6.6699999999999995E-2</v>
      </c>
      <c r="K134" s="418">
        <f>ROUND((G134+D134)/2*J134/12,0)</f>
        <v>105</v>
      </c>
      <c r="L134" s="418">
        <f t="shared" si="18"/>
        <v>0</v>
      </c>
      <c r="M134" s="417">
        <v>0</v>
      </c>
      <c r="N134" s="408">
        <f t="shared" si="19"/>
        <v>-12929.77</v>
      </c>
      <c r="O134" s="408"/>
    </row>
    <row r="135" spans="1:15" x14ac:dyDescent="0.2">
      <c r="A135" s="410">
        <f t="shared" si="20"/>
        <v>17</v>
      </c>
      <c r="B135" s="446">
        <v>391.12</v>
      </c>
      <c r="C135" s="414" t="s">
        <v>1066</v>
      </c>
      <c r="D135" s="415">
        <f>'WPB-2.1 Base Period'!K72</f>
        <v>853483.41</v>
      </c>
      <c r="E135" s="417">
        <v>0</v>
      </c>
      <c r="F135" s="417">
        <v>0</v>
      </c>
      <c r="G135" s="415">
        <f t="shared" si="17"/>
        <v>853483.41</v>
      </c>
      <c r="H135" s="418"/>
      <c r="I135" s="419">
        <f>'WPB-3.1 AD&amp;A (Base)'!K72</f>
        <v>547335.37</v>
      </c>
      <c r="J135" s="433">
        <v>0.2</v>
      </c>
      <c r="K135" s="418">
        <f>ROUND((G135+D135)/2*J135/12,0)</f>
        <v>14225</v>
      </c>
      <c r="L135" s="418">
        <f t="shared" si="18"/>
        <v>0</v>
      </c>
      <c r="M135" s="417">
        <v>0</v>
      </c>
      <c r="N135" s="408">
        <f t="shared" si="19"/>
        <v>561560.37</v>
      </c>
      <c r="O135" s="408"/>
    </row>
    <row r="136" spans="1:15" x14ac:dyDescent="0.2">
      <c r="A136" s="410">
        <f t="shared" si="20"/>
        <v>18</v>
      </c>
      <c r="B136" s="446">
        <v>392.2</v>
      </c>
      <c r="C136" s="414" t="s">
        <v>1067</v>
      </c>
      <c r="D136" s="415">
        <f>'WPB-2.1 Base Period'!K73</f>
        <v>95778</v>
      </c>
      <c r="E136" s="417">
        <v>0</v>
      </c>
      <c r="F136" s="417">
        <v>0</v>
      </c>
      <c r="G136" s="415">
        <f t="shared" si="17"/>
        <v>95778</v>
      </c>
      <c r="H136" s="418"/>
      <c r="I136" s="419">
        <f>'WPB-3.1 AD&amp;A (Base)'!K73</f>
        <v>20305.05</v>
      </c>
      <c r="J136" s="433">
        <v>2.9399999999999999E-2</v>
      </c>
      <c r="K136" s="418">
        <f>ROUND((G136+D136)/2*J136/12,0)</f>
        <v>235</v>
      </c>
      <c r="L136" s="418">
        <f t="shared" si="18"/>
        <v>0</v>
      </c>
      <c r="M136" s="417">
        <v>0</v>
      </c>
      <c r="N136" s="408">
        <f t="shared" si="19"/>
        <v>20540.05</v>
      </c>
      <c r="O136" s="408"/>
    </row>
    <row r="137" spans="1:15" x14ac:dyDescent="0.2">
      <c r="A137" s="410">
        <f t="shared" si="20"/>
        <v>19</v>
      </c>
      <c r="B137" s="446">
        <v>392.21</v>
      </c>
      <c r="C137" s="414" t="s">
        <v>1068</v>
      </c>
      <c r="D137" s="415">
        <f>'WPB-2.1 Base Period'!K74</f>
        <v>24462.2</v>
      </c>
      <c r="E137" s="417">
        <v>0</v>
      </c>
      <c r="F137" s="417">
        <v>0</v>
      </c>
      <c r="G137" s="415">
        <f t="shared" si="17"/>
        <v>24462.2</v>
      </c>
      <c r="H137" s="418"/>
      <c r="I137" s="419">
        <f>'WPB-3.1 AD&amp;A (Base)'!K74</f>
        <v>4587.3999999999996</v>
      </c>
      <c r="J137" s="433">
        <v>2.9399999999999999E-2</v>
      </c>
      <c r="K137" s="418">
        <f>ROUND((G137+D137)/2*J137/12,0)</f>
        <v>60</v>
      </c>
      <c r="L137" s="418">
        <f t="shared" si="18"/>
        <v>0</v>
      </c>
      <c r="M137" s="417">
        <v>0</v>
      </c>
      <c r="N137" s="408">
        <f t="shared" si="19"/>
        <v>4647.3999999999996</v>
      </c>
      <c r="O137" s="408"/>
    </row>
    <row r="138" spans="1:15" x14ac:dyDescent="0.2">
      <c r="A138" s="410">
        <f t="shared" si="20"/>
        <v>20</v>
      </c>
      <c r="B138" s="446">
        <v>393</v>
      </c>
      <c r="C138" s="414" t="s">
        <v>1069</v>
      </c>
      <c r="D138" s="415">
        <f>'WPB-2.1 Base Period'!K75</f>
        <v>0</v>
      </c>
      <c r="E138" s="417">
        <v>0</v>
      </c>
      <c r="F138" s="417">
        <v>0</v>
      </c>
      <c r="G138" s="415">
        <f t="shared" si="17"/>
        <v>0</v>
      </c>
      <c r="H138" s="418"/>
      <c r="I138" s="419">
        <f>'WPB-3.1 AD&amp;A (Base)'!K75</f>
        <v>0</v>
      </c>
      <c r="J138" s="419" t="s">
        <v>1094</v>
      </c>
      <c r="K138" s="417">
        <v>0</v>
      </c>
      <c r="L138" s="418">
        <f t="shared" si="18"/>
        <v>0</v>
      </c>
      <c r="M138" s="417">
        <v>0</v>
      </c>
      <c r="N138" s="408">
        <f t="shared" si="19"/>
        <v>0</v>
      </c>
      <c r="O138" s="408"/>
    </row>
    <row r="139" spans="1:15" x14ac:dyDescent="0.2">
      <c r="A139" s="410">
        <f t="shared" si="20"/>
        <v>21</v>
      </c>
      <c r="B139" s="446">
        <v>394.1</v>
      </c>
      <c r="C139" s="414" t="s">
        <v>1070</v>
      </c>
      <c r="D139" s="415">
        <f>'WPB-2.1 Base Period'!K76</f>
        <v>24240.799999999999</v>
      </c>
      <c r="E139" s="417">
        <v>0</v>
      </c>
      <c r="F139" s="417">
        <v>0</v>
      </c>
      <c r="G139" s="415">
        <f t="shared" si="17"/>
        <v>24240.799999999999</v>
      </c>
      <c r="H139" s="418"/>
      <c r="I139" s="419">
        <f>'WPB-3.1 AD&amp;A (Base)'!K76</f>
        <v>13798.82</v>
      </c>
      <c r="J139" s="433">
        <v>0.04</v>
      </c>
      <c r="K139" s="418">
        <f t="shared" ref="K139:K146" si="21">ROUND((G139+D139)/2*J139/12,0)</f>
        <v>81</v>
      </c>
      <c r="L139" s="418">
        <f t="shared" si="18"/>
        <v>0</v>
      </c>
      <c r="M139" s="417">
        <v>0</v>
      </c>
      <c r="N139" s="408">
        <f t="shared" si="19"/>
        <v>13879.82</v>
      </c>
      <c r="O139" s="408"/>
    </row>
    <row r="140" spans="1:15" x14ac:dyDescent="0.2">
      <c r="A140" s="410">
        <f t="shared" si="20"/>
        <v>22</v>
      </c>
      <c r="B140" s="446">
        <v>394.11</v>
      </c>
      <c r="C140" s="414" t="s">
        <v>1071</v>
      </c>
      <c r="D140" s="415">
        <f>'WPB-2.1 Base Period'!K77</f>
        <v>0</v>
      </c>
      <c r="E140" s="417">
        <v>0</v>
      </c>
      <c r="F140" s="417">
        <v>0</v>
      </c>
      <c r="G140" s="415">
        <f t="shared" si="17"/>
        <v>0</v>
      </c>
      <c r="H140" s="418"/>
      <c r="I140" s="419">
        <f>'WPB-3.1 AD&amp;A (Base)'!K77</f>
        <v>0</v>
      </c>
      <c r="J140" s="433">
        <v>0.13769999999999999</v>
      </c>
      <c r="K140" s="418">
        <f t="shared" si="21"/>
        <v>0</v>
      </c>
      <c r="L140" s="418">
        <f t="shared" si="18"/>
        <v>0</v>
      </c>
      <c r="M140" s="417">
        <v>0</v>
      </c>
      <c r="N140" s="408">
        <f t="shared" si="19"/>
        <v>0</v>
      </c>
      <c r="O140" s="408"/>
    </row>
    <row r="141" spans="1:15" x14ac:dyDescent="0.2">
      <c r="A141" s="410">
        <f t="shared" si="20"/>
        <v>23</v>
      </c>
      <c r="B141" s="446">
        <v>394.13</v>
      </c>
      <c r="C141" s="438" t="s">
        <v>1072</v>
      </c>
      <c r="D141" s="415">
        <f>'WPB-2.1 Base Period'!K78</f>
        <v>0</v>
      </c>
      <c r="E141" s="417">
        <v>0</v>
      </c>
      <c r="F141" s="417">
        <v>0</v>
      </c>
      <c r="G141" s="415">
        <f t="shared" si="17"/>
        <v>0</v>
      </c>
      <c r="H141" s="418"/>
      <c r="I141" s="419">
        <f>'WPB-3.1 AD&amp;A (Base)'!K78</f>
        <v>37937.360000000001</v>
      </c>
      <c r="J141" s="419" t="s">
        <v>1094</v>
      </c>
      <c r="K141" s="417">
        <v>0</v>
      </c>
      <c r="L141" s="418">
        <f t="shared" si="18"/>
        <v>0</v>
      </c>
      <c r="M141" s="417">
        <v>0</v>
      </c>
      <c r="N141" s="408">
        <f t="shared" si="19"/>
        <v>37937.360000000001</v>
      </c>
      <c r="O141" s="408"/>
    </row>
    <row r="142" spans="1:15" x14ac:dyDescent="0.2">
      <c r="A142" s="410">
        <f t="shared" si="20"/>
        <v>24</v>
      </c>
      <c r="B142" s="446">
        <v>394.2</v>
      </c>
      <c r="C142" s="414" t="s">
        <v>1073</v>
      </c>
      <c r="D142" s="415">
        <f>'WPB-2.1 Base Period'!K79</f>
        <v>0</v>
      </c>
      <c r="E142" s="417">
        <v>0</v>
      </c>
      <c r="F142" s="417">
        <v>0</v>
      </c>
      <c r="G142" s="415">
        <f t="shared" si="17"/>
        <v>0</v>
      </c>
      <c r="H142" s="418"/>
      <c r="I142" s="419">
        <f>'WPB-3.1 AD&amp;A (Base)'!K79</f>
        <v>185.21</v>
      </c>
      <c r="J142" s="433">
        <v>0.04</v>
      </c>
      <c r="K142" s="418">
        <f t="shared" si="21"/>
        <v>0</v>
      </c>
      <c r="L142" s="418">
        <f t="shared" si="18"/>
        <v>0</v>
      </c>
      <c r="M142" s="417">
        <v>0</v>
      </c>
      <c r="N142" s="408">
        <f t="shared" si="19"/>
        <v>185.21</v>
      </c>
      <c r="O142" s="408"/>
    </row>
    <row r="143" spans="1:15" x14ac:dyDescent="0.2">
      <c r="A143" s="410">
        <f t="shared" si="20"/>
        <v>25</v>
      </c>
      <c r="B143" s="446">
        <v>394.3</v>
      </c>
      <c r="C143" s="414" t="s">
        <v>1074</v>
      </c>
      <c r="D143" s="415">
        <f>'WPB-2.1 Base Period'!K80</f>
        <v>2910614.16</v>
      </c>
      <c r="E143" s="417">
        <v>51942</v>
      </c>
      <c r="F143" s="417">
        <v>-6233</v>
      </c>
      <c r="G143" s="415">
        <f t="shared" si="17"/>
        <v>2956323.16</v>
      </c>
      <c r="H143" s="418"/>
      <c r="I143" s="419">
        <f>'WPB-3.1 AD&amp;A (Base)'!K80</f>
        <v>1210842.1499999999</v>
      </c>
      <c r="J143" s="433">
        <v>0.04</v>
      </c>
      <c r="K143" s="418">
        <f t="shared" si="21"/>
        <v>9778</v>
      </c>
      <c r="L143" s="418">
        <f t="shared" si="18"/>
        <v>6233</v>
      </c>
      <c r="M143" s="417">
        <v>0</v>
      </c>
      <c r="N143" s="408">
        <f t="shared" si="19"/>
        <v>1214387.1499999999</v>
      </c>
      <c r="O143" s="408"/>
    </row>
    <row r="144" spans="1:15" x14ac:dyDescent="0.2">
      <c r="A144" s="410">
        <f t="shared" si="20"/>
        <v>26</v>
      </c>
      <c r="B144" s="446">
        <v>395</v>
      </c>
      <c r="C144" s="414" t="s">
        <v>1075</v>
      </c>
      <c r="D144" s="415">
        <f>'WPB-2.1 Base Period'!K81</f>
        <v>9257.77</v>
      </c>
      <c r="E144" s="417">
        <v>0</v>
      </c>
      <c r="F144" s="417">
        <v>0</v>
      </c>
      <c r="G144" s="415">
        <f t="shared" si="17"/>
        <v>9257.77</v>
      </c>
      <c r="H144" s="418"/>
      <c r="I144" s="419">
        <f>'WPB-3.1 AD&amp;A (Base)'!K81</f>
        <v>7139.59</v>
      </c>
      <c r="J144" s="433">
        <v>0.05</v>
      </c>
      <c r="K144" s="418">
        <f t="shared" si="21"/>
        <v>39</v>
      </c>
      <c r="L144" s="418">
        <f t="shared" si="18"/>
        <v>0</v>
      </c>
      <c r="M144" s="417">
        <v>0</v>
      </c>
      <c r="N144" s="408">
        <f t="shared" si="19"/>
        <v>7178.59</v>
      </c>
      <c r="O144" s="408"/>
    </row>
    <row r="145" spans="1:16" x14ac:dyDescent="0.2">
      <c r="A145" s="410">
        <f t="shared" si="20"/>
        <v>27</v>
      </c>
      <c r="B145" s="446">
        <v>396</v>
      </c>
      <c r="C145" s="414" t="s">
        <v>1076</v>
      </c>
      <c r="D145" s="415">
        <f>'WPB-2.1 Base Period'!K82</f>
        <v>253134.72</v>
      </c>
      <c r="E145" s="417">
        <v>0</v>
      </c>
      <c r="F145" s="417">
        <v>0</v>
      </c>
      <c r="G145" s="415">
        <f t="shared" si="17"/>
        <v>253134.72</v>
      </c>
      <c r="H145" s="418"/>
      <c r="I145" s="419">
        <f>'WPB-3.1 AD&amp;A (Base)'!K82</f>
        <v>199321.72</v>
      </c>
      <c r="J145" s="433">
        <v>0</v>
      </c>
      <c r="K145" s="418">
        <f t="shared" si="21"/>
        <v>0</v>
      </c>
      <c r="L145" s="418">
        <f t="shared" si="18"/>
        <v>0</v>
      </c>
      <c r="M145" s="417">
        <v>0</v>
      </c>
      <c r="N145" s="408">
        <f t="shared" si="19"/>
        <v>199321.72</v>
      </c>
      <c r="O145" s="408"/>
    </row>
    <row r="146" spans="1:16" x14ac:dyDescent="0.2">
      <c r="A146" s="410">
        <f t="shared" si="20"/>
        <v>28</v>
      </c>
      <c r="B146" s="446">
        <v>398</v>
      </c>
      <c r="C146" s="414" t="s">
        <v>1077</v>
      </c>
      <c r="D146" s="421">
        <f>'WPB-2.1 Base Period'!K83</f>
        <v>91076.94</v>
      </c>
      <c r="E146" s="1662">
        <v>0</v>
      </c>
      <c r="F146" s="1662">
        <v>0</v>
      </c>
      <c r="G146" s="421">
        <f t="shared" si="17"/>
        <v>91076.94</v>
      </c>
      <c r="H146" s="447"/>
      <c r="I146" s="449">
        <f>'WPB-3.1 AD&amp;A (Base)'!K83</f>
        <v>20211.59</v>
      </c>
      <c r="J146" s="433">
        <v>6.6699999999999995E-2</v>
      </c>
      <c r="K146" s="421">
        <f t="shared" si="21"/>
        <v>506</v>
      </c>
      <c r="L146" s="421">
        <f t="shared" si="18"/>
        <v>0</v>
      </c>
      <c r="M146" s="430">
        <v>0</v>
      </c>
      <c r="N146" s="423">
        <f t="shared" si="19"/>
        <v>20717.59</v>
      </c>
      <c r="O146" s="408"/>
    </row>
    <row r="147" spans="1:16" x14ac:dyDescent="0.2">
      <c r="A147" s="410">
        <f t="shared" si="20"/>
        <v>29</v>
      </c>
      <c r="C147" s="386" t="s">
        <v>1078</v>
      </c>
      <c r="D147" s="447">
        <f>SUM(D133:D146)</f>
        <v>4994344.2799999993</v>
      </c>
      <c r="E147" s="447">
        <f>SUM(E133:E146)</f>
        <v>74639</v>
      </c>
      <c r="F147" s="447">
        <f>SUM(F133:F146)</f>
        <v>-8957</v>
      </c>
      <c r="G147" s="447">
        <f>SUM(G133:G146)</f>
        <v>5060026.2799999993</v>
      </c>
      <c r="H147" s="447"/>
      <c r="I147" s="447">
        <f>SUM(I133:I146)</f>
        <v>1967723.27</v>
      </c>
      <c r="J147" s="424"/>
      <c r="K147" s="447">
        <f>SUM(K133:K146)</f>
        <v>28043</v>
      </c>
      <c r="L147" s="447">
        <f>SUM(L133:L146)</f>
        <v>8957</v>
      </c>
      <c r="M147" s="447">
        <f>SUM(M133:M146)</f>
        <v>0</v>
      </c>
      <c r="N147" s="447">
        <f>SUM(N133:N146)</f>
        <v>1986809.27</v>
      </c>
    </row>
    <row r="148" spans="1:16" x14ac:dyDescent="0.2">
      <c r="A148" s="1722"/>
      <c r="C148" s="386"/>
      <c r="D148" s="447"/>
      <c r="E148" s="447"/>
      <c r="F148" s="447"/>
      <c r="G148" s="447"/>
      <c r="H148" s="447"/>
      <c r="I148" s="447"/>
      <c r="J148" s="424"/>
      <c r="K148" s="447"/>
      <c r="L148" s="447"/>
      <c r="M148" s="447"/>
      <c r="N148" s="447"/>
    </row>
    <row r="149" spans="1:16" x14ac:dyDescent="0.2">
      <c r="A149" s="405">
        <f>A147+1</f>
        <v>30</v>
      </c>
      <c r="B149" s="448"/>
      <c r="C149" s="411" t="s">
        <v>2287</v>
      </c>
      <c r="D149" s="418"/>
      <c r="E149" s="418"/>
      <c r="F149" s="418"/>
      <c r="G149" s="418"/>
      <c r="H149" s="418"/>
      <c r="I149" s="439"/>
      <c r="J149" s="418"/>
      <c r="K149" s="418"/>
      <c r="L149" s="418"/>
      <c r="M149" s="418"/>
    </row>
    <row r="150" spans="1:16" x14ac:dyDescent="0.2">
      <c r="A150" s="1722">
        <f>A149+1</f>
        <v>31</v>
      </c>
      <c r="B150" s="446">
        <v>378.21</v>
      </c>
      <c r="C150" s="1725" t="s">
        <v>2244</v>
      </c>
      <c r="D150" s="415">
        <f>'WPB-2.1 Base Period'!K88</f>
        <v>-777092</v>
      </c>
      <c r="E150" s="417">
        <v>0</v>
      </c>
      <c r="F150" s="417">
        <v>0</v>
      </c>
      <c r="G150" s="415">
        <f t="shared" ref="G150" si="22">SUM(D150:F150)</f>
        <v>-777092</v>
      </c>
      <c r="H150" s="418"/>
      <c r="I150" s="419">
        <f>'WPB-3.1 AD&amp;A (Base)'!K88</f>
        <v>-10016.279999999999</v>
      </c>
      <c r="J150" s="419" t="s">
        <v>1094</v>
      </c>
      <c r="K150" s="417">
        <v>-12951.5</v>
      </c>
      <c r="L150" s="418">
        <f t="shared" ref="L150" si="23">-F150</f>
        <v>0</v>
      </c>
      <c r="M150" s="417">
        <v>0</v>
      </c>
      <c r="N150" s="408">
        <f t="shared" ref="N150" si="24">I150+K150-L150+M150</f>
        <v>-22967.78</v>
      </c>
      <c r="O150" s="408"/>
    </row>
    <row r="151" spans="1:16" x14ac:dyDescent="0.2">
      <c r="D151" s="418"/>
      <c r="E151" s="418"/>
      <c r="F151" s="418"/>
      <c r="G151" s="418"/>
      <c r="H151" s="418"/>
      <c r="I151" s="418"/>
      <c r="J151" s="432"/>
      <c r="K151" s="418"/>
      <c r="L151" s="418"/>
      <c r="M151" s="418"/>
    </row>
    <row r="152" spans="1:16" x14ac:dyDescent="0.2">
      <c r="A152" s="410">
        <f>A150+1</f>
        <v>32</v>
      </c>
      <c r="C152" s="386" t="s">
        <v>774</v>
      </c>
      <c r="D152" s="450">
        <f>D147+D130+D75+D71+D150</f>
        <v>397468366.36999989</v>
      </c>
      <c r="E152" s="450">
        <f>E147+E130+E75+E71+E150</f>
        <v>2922324</v>
      </c>
      <c r="F152" s="450">
        <f>F147+F130+F75+F71+F150</f>
        <v>-344422</v>
      </c>
      <c r="G152" s="450">
        <f>G147+G130+G75+G71+G150</f>
        <v>400046268.36999989</v>
      </c>
      <c r="H152" s="418"/>
      <c r="I152" s="450">
        <f>I147+I130+I75+I71+I150</f>
        <v>142470378.60000002</v>
      </c>
      <c r="J152" s="451"/>
      <c r="K152" s="450">
        <f>K147+K130+K75+K71+K150</f>
        <v>726857.26289764023</v>
      </c>
      <c r="L152" s="450">
        <f>L147+L130+L75+L71+L150</f>
        <v>344422</v>
      </c>
      <c r="M152" s="450">
        <f>M147+M130+M75+M71+M150</f>
        <v>-78658</v>
      </c>
      <c r="N152" s="450">
        <f>N147+N130+N75+N71+N150</f>
        <v>142774155.86289763</v>
      </c>
    </row>
    <row r="153" spans="1:16" x14ac:dyDescent="0.2">
      <c r="P153" s="408"/>
    </row>
    <row r="154" spans="1:16" x14ac:dyDescent="0.2">
      <c r="A154" s="2073" t="str">
        <f>co</f>
        <v>COLUMBIA GAS OF KENTUCKY, INC.</v>
      </c>
      <c r="B154" s="2073"/>
      <c r="C154" s="2073"/>
      <c r="D154" s="2073"/>
      <c r="E154" s="2073"/>
      <c r="F154" s="2073"/>
      <c r="G154" s="2073"/>
      <c r="H154" s="2073"/>
      <c r="I154" s="2073"/>
      <c r="J154" s="2073"/>
      <c r="K154" s="2073"/>
      <c r="L154" s="2073"/>
      <c r="M154" s="2073"/>
      <c r="N154" s="2073"/>
    </row>
    <row r="155" spans="1:16" x14ac:dyDescent="0.2">
      <c r="A155" s="2073" t="str">
        <f>case</f>
        <v>CASE NO. 2016 - 00162</v>
      </c>
      <c r="B155" s="2073"/>
      <c r="C155" s="2073"/>
      <c r="D155" s="2073"/>
      <c r="E155" s="2073"/>
      <c r="F155" s="2073"/>
      <c r="G155" s="2073"/>
      <c r="H155" s="2073"/>
      <c r="I155" s="2073"/>
      <c r="J155" s="2073"/>
      <c r="K155" s="2073"/>
      <c r="L155" s="2073"/>
      <c r="M155" s="2073"/>
      <c r="N155" s="2073"/>
    </row>
    <row r="156" spans="1:16" x14ac:dyDescent="0.2">
      <c r="A156" s="2074" t="s">
        <v>1106</v>
      </c>
      <c r="B156" s="2073"/>
      <c r="C156" s="2073"/>
      <c r="D156" s="2073"/>
      <c r="E156" s="2073"/>
      <c r="F156" s="2073"/>
      <c r="G156" s="2073"/>
      <c r="H156" s="2073"/>
      <c r="I156" s="2073"/>
      <c r="J156" s="2073"/>
      <c r="K156" s="2073"/>
      <c r="L156" s="2073"/>
      <c r="M156" s="2073"/>
      <c r="N156" s="2073"/>
    </row>
    <row r="157" spans="1:16" x14ac:dyDescent="0.2">
      <c r="A157" s="2078" t="s">
        <v>2142</v>
      </c>
      <c r="B157" s="2078"/>
      <c r="C157" s="2078"/>
      <c r="D157" s="2078"/>
      <c r="E157" s="2078"/>
      <c r="F157" s="2078"/>
      <c r="G157" s="2078"/>
      <c r="H157" s="2078"/>
      <c r="I157" s="2078"/>
      <c r="J157" s="2078"/>
      <c r="K157" s="2078"/>
      <c r="L157" s="2078"/>
      <c r="M157" s="2078"/>
      <c r="N157" s="2078"/>
    </row>
    <row r="159" spans="1:16" x14ac:dyDescent="0.2">
      <c r="A159" s="385" t="s">
        <v>1095</v>
      </c>
      <c r="I159" s="386"/>
      <c r="N159" s="387" t="s">
        <v>763</v>
      </c>
    </row>
    <row r="160" spans="1:16" x14ac:dyDescent="0.2">
      <c r="A160" s="388" t="s">
        <v>977</v>
      </c>
      <c r="I160" s="386"/>
      <c r="N160" s="387" t="s">
        <v>998</v>
      </c>
    </row>
    <row r="161" spans="1:14" x14ac:dyDescent="0.2">
      <c r="A161" s="390" t="s">
        <v>997</v>
      </c>
      <c r="B161" s="391"/>
      <c r="C161" s="391"/>
      <c r="D161" s="391"/>
      <c r="E161" s="391"/>
      <c r="F161" s="391"/>
      <c r="G161" s="391"/>
      <c r="H161" s="391"/>
      <c r="I161" s="392"/>
      <c r="L161" s="386"/>
      <c r="M161" s="386"/>
      <c r="N161" s="393" t="str">
        <f>SMK</f>
        <v>WITNESS:  S. M. KATKO</v>
      </c>
    </row>
    <row r="162" spans="1:14" x14ac:dyDescent="0.2">
      <c r="A162" s="390"/>
      <c r="B162" s="391"/>
      <c r="C162" s="391"/>
      <c r="D162" s="391"/>
      <c r="E162" s="391"/>
      <c r="F162" s="391"/>
      <c r="G162" s="391"/>
      <c r="H162" s="391"/>
      <c r="I162" s="392"/>
      <c r="J162" s="393"/>
      <c r="L162" s="386"/>
      <c r="M162" s="386"/>
    </row>
    <row r="163" spans="1:14" x14ac:dyDescent="0.2">
      <c r="A163" s="390"/>
      <c r="B163" s="391"/>
      <c r="C163" s="391"/>
      <c r="D163" s="2075" t="s">
        <v>1088</v>
      </c>
      <c r="E163" s="2075"/>
      <c r="F163" s="2075"/>
      <c r="G163" s="2075"/>
      <c r="H163" s="391"/>
      <c r="I163" s="2076" t="s">
        <v>1093</v>
      </c>
      <c r="J163" s="2077"/>
      <c r="K163" s="2077"/>
      <c r="L163" s="2077"/>
      <c r="M163" s="2077"/>
      <c r="N163" s="2077"/>
    </row>
    <row r="164" spans="1:14" x14ac:dyDescent="0.2">
      <c r="A164" s="394"/>
      <c r="B164" s="391"/>
      <c r="C164" s="391"/>
      <c r="D164" s="396" t="s">
        <v>1084</v>
      </c>
      <c r="E164" s="391"/>
      <c r="F164" s="391"/>
      <c r="G164" s="395"/>
      <c r="H164" s="395"/>
      <c r="I164" s="397" t="s">
        <v>1089</v>
      </c>
      <c r="J164" s="396"/>
      <c r="M164" s="386"/>
    </row>
    <row r="165" spans="1:14" x14ac:dyDescent="0.2">
      <c r="A165" s="383"/>
      <c r="D165" s="397" t="s">
        <v>865</v>
      </c>
      <c r="G165" s="397" t="s">
        <v>867</v>
      </c>
      <c r="H165" s="398"/>
      <c r="I165" s="397" t="s">
        <v>865</v>
      </c>
      <c r="J165" s="397" t="s">
        <v>956</v>
      </c>
      <c r="M165" s="386"/>
      <c r="N165" s="397" t="s">
        <v>867</v>
      </c>
    </row>
    <row r="166" spans="1:14" x14ac:dyDescent="0.2">
      <c r="A166" s="397" t="s">
        <v>1080</v>
      </c>
      <c r="B166" s="397" t="s">
        <v>1082</v>
      </c>
      <c r="D166" s="397" t="s">
        <v>867</v>
      </c>
      <c r="G166" s="399" t="s">
        <v>1087</v>
      </c>
      <c r="H166" s="398"/>
      <c r="I166" s="399" t="s">
        <v>867</v>
      </c>
      <c r="J166" s="397" t="s">
        <v>1090</v>
      </c>
      <c r="K166" s="397" t="s">
        <v>956</v>
      </c>
      <c r="M166" s="399" t="s">
        <v>1092</v>
      </c>
      <c r="N166" s="399" t="s">
        <v>1087</v>
      </c>
    </row>
    <row r="167" spans="1:14" x14ac:dyDescent="0.2">
      <c r="A167" s="400" t="s">
        <v>1081</v>
      </c>
      <c r="B167" s="400" t="s">
        <v>1081</v>
      </c>
      <c r="C167" s="401" t="s">
        <v>1083</v>
      </c>
      <c r="D167" s="409" t="str">
        <f>"03/31/2016"</f>
        <v>03/31/2016</v>
      </c>
      <c r="E167" s="400" t="s">
        <v>1085</v>
      </c>
      <c r="F167" s="400" t="s">
        <v>1086</v>
      </c>
      <c r="G167" s="409" t="str">
        <f>"04/30/2016"</f>
        <v>04/30/2016</v>
      </c>
      <c r="H167" s="398"/>
      <c r="I167" s="404" t="str">
        <f>D167</f>
        <v>03/31/2016</v>
      </c>
      <c r="J167" s="400" t="s">
        <v>1091</v>
      </c>
      <c r="K167" s="402" t="s">
        <v>1090</v>
      </c>
      <c r="L167" s="402" t="s">
        <v>1086</v>
      </c>
      <c r="M167" s="402" t="s">
        <v>955</v>
      </c>
      <c r="N167" s="404" t="str">
        <f>G167</f>
        <v>04/30/2016</v>
      </c>
    </row>
    <row r="168" spans="1:14" x14ac:dyDescent="0.2">
      <c r="A168" s="406"/>
      <c r="B168" s="406"/>
      <c r="C168" s="406"/>
      <c r="D168" s="406" t="str">
        <f>"(1)"</f>
        <v>(1)</v>
      </c>
      <c r="E168" s="406" t="str">
        <f>"(2)"</f>
        <v>(2)</v>
      </c>
      <c r="F168" s="406" t="str">
        <f>"(3)"</f>
        <v>(3)</v>
      </c>
      <c r="G168" s="406" t="str">
        <f>"(4)=(1+2+3)"</f>
        <v>(4)=(1+2+3)</v>
      </c>
      <c r="H168" s="406"/>
      <c r="I168" s="406" t="str">
        <f>"(5)"</f>
        <v>(5)</v>
      </c>
      <c r="J168" s="406" t="str">
        <f>"(6)"</f>
        <v>(6)</v>
      </c>
      <c r="K168" s="406" t="str">
        <f>"(7)=((1+4)/2*6/12))"</f>
        <v>(7)=((1+4)/2*6/12))</v>
      </c>
      <c r="L168" s="406" t="str">
        <f>"(8)"</f>
        <v>(8)</v>
      </c>
      <c r="M168" s="406" t="str">
        <f>"(9)"</f>
        <v>(9)</v>
      </c>
      <c r="N168" s="406" t="str">
        <f>"(10)=(5+7-8+9)"</f>
        <v>(10)=(5+7-8+9)</v>
      </c>
    </row>
    <row r="169" spans="1:14" x14ac:dyDescent="0.2">
      <c r="D169" s="410" t="s">
        <v>639</v>
      </c>
      <c r="E169" s="410" t="s">
        <v>639</v>
      </c>
      <c r="F169" s="410" t="s">
        <v>639</v>
      </c>
      <c r="G169" s="410" t="s">
        <v>639</v>
      </c>
      <c r="H169" s="410"/>
      <c r="I169" s="410" t="s">
        <v>639</v>
      </c>
      <c r="J169" s="410" t="s">
        <v>639</v>
      </c>
      <c r="K169" s="410" t="s">
        <v>639</v>
      </c>
      <c r="L169" s="410" t="s">
        <v>639</v>
      </c>
      <c r="M169" s="410" t="s">
        <v>639</v>
      </c>
      <c r="N169" s="410" t="s">
        <v>639</v>
      </c>
    </row>
    <row r="170" spans="1:14" x14ac:dyDescent="0.2">
      <c r="A170" s="410">
        <v>1</v>
      </c>
      <c r="B170" s="411" t="s">
        <v>1025</v>
      </c>
      <c r="C170" s="412"/>
      <c r="M170" s="386"/>
    </row>
    <row r="171" spans="1:14" x14ac:dyDescent="0.2">
      <c r="A171" s="410">
        <f>A170+1</f>
        <v>2</v>
      </c>
      <c r="C171" s="411" t="s">
        <v>697</v>
      </c>
      <c r="M171" s="386"/>
    </row>
    <row r="172" spans="1:14" x14ac:dyDescent="0.2">
      <c r="A172" s="410">
        <f t="shared" ref="A172:A177" si="25">A171+1</f>
        <v>3</v>
      </c>
      <c r="B172" s="413">
        <v>301</v>
      </c>
      <c r="C172" s="414" t="s">
        <v>1026</v>
      </c>
      <c r="D172" s="415">
        <f>G66</f>
        <v>521.20000000000005</v>
      </c>
      <c r="E172" s="417">
        <v>0</v>
      </c>
      <c r="F172" s="417">
        <v>0</v>
      </c>
      <c r="G172" s="415">
        <f>SUM(D172:F172)</f>
        <v>521.20000000000005</v>
      </c>
      <c r="H172" s="418"/>
      <c r="I172" s="415">
        <f>N66</f>
        <v>0</v>
      </c>
      <c r="J172" s="442" t="str">
        <f>J66</f>
        <v>Amort.</v>
      </c>
      <c r="K172" s="417">
        <v>0</v>
      </c>
      <c r="L172" s="418">
        <f>-F172</f>
        <v>0</v>
      </c>
      <c r="M172" s="417">
        <v>0</v>
      </c>
      <c r="N172" s="408">
        <f>I172+K172-L172+M172</f>
        <v>0</v>
      </c>
    </row>
    <row r="173" spans="1:14" x14ac:dyDescent="0.2">
      <c r="A173" s="410">
        <f t="shared" si="25"/>
        <v>4</v>
      </c>
      <c r="B173" s="413">
        <v>303</v>
      </c>
      <c r="C173" s="414" t="s">
        <v>1027</v>
      </c>
      <c r="D173" s="415">
        <f>G67</f>
        <v>74347.509999999995</v>
      </c>
      <c r="E173" s="417">
        <v>0</v>
      </c>
      <c r="F173" s="417">
        <v>0</v>
      </c>
      <c r="G173" s="415">
        <f>SUM(D173:F173)</f>
        <v>74347.509999999995</v>
      </c>
      <c r="H173" s="418"/>
      <c r="I173" s="415">
        <f>N67</f>
        <v>46005.95</v>
      </c>
      <c r="J173" s="442" t="str">
        <f>J67</f>
        <v>Amort.</v>
      </c>
      <c r="K173" s="415">
        <f>'Intangible Amort.'!I$20</f>
        <v>206.52</v>
      </c>
      <c r="L173" s="418">
        <f>-F173</f>
        <v>0</v>
      </c>
      <c r="M173" s="417">
        <v>0</v>
      </c>
      <c r="N173" s="408">
        <f>I173+K173-L173+M173</f>
        <v>46212.469999999994</v>
      </c>
    </row>
    <row r="174" spans="1:14" x14ac:dyDescent="0.2">
      <c r="A174" s="410">
        <f t="shared" si="25"/>
        <v>5</v>
      </c>
      <c r="B174" s="413">
        <v>303.10000000000002</v>
      </c>
      <c r="C174" s="414" t="s">
        <v>1028</v>
      </c>
      <c r="D174" s="415">
        <f>G68</f>
        <v>0</v>
      </c>
      <c r="E174" s="417">
        <v>0</v>
      </c>
      <c r="F174" s="417">
        <v>0</v>
      </c>
      <c r="G174" s="415">
        <f>SUM(D174:F174)</f>
        <v>0</v>
      </c>
      <c r="H174" s="418"/>
      <c r="I174" s="415">
        <f>N68</f>
        <v>0</v>
      </c>
      <c r="J174" s="442" t="str">
        <f>J68</f>
        <v>Amort.</v>
      </c>
      <c r="K174" s="417">
        <v>0</v>
      </c>
      <c r="L174" s="418">
        <f>-F174</f>
        <v>0</v>
      </c>
      <c r="M174" s="417">
        <v>0</v>
      </c>
      <c r="N174" s="408">
        <f>I174+K174-L174+M174</f>
        <v>0</v>
      </c>
    </row>
    <row r="175" spans="1:14" x14ac:dyDescent="0.2">
      <c r="A175" s="410">
        <f t="shared" si="25"/>
        <v>6</v>
      </c>
      <c r="B175" s="413">
        <v>303.2</v>
      </c>
      <c r="C175" s="414" t="s">
        <v>1029</v>
      </c>
      <c r="D175" s="415">
        <f>G69</f>
        <v>0</v>
      </c>
      <c r="E175" s="417">
        <v>0</v>
      </c>
      <c r="F175" s="417">
        <v>0</v>
      </c>
      <c r="G175" s="415">
        <f>SUM(D175:F175)</f>
        <v>0</v>
      </c>
      <c r="H175" s="418"/>
      <c r="I175" s="415">
        <f>N69</f>
        <v>0</v>
      </c>
      <c r="J175" s="442" t="str">
        <f>J69</f>
        <v>Amort.</v>
      </c>
      <c r="K175" s="417">
        <v>0</v>
      </c>
      <c r="L175" s="418">
        <f>-F175</f>
        <v>0</v>
      </c>
      <c r="M175" s="417">
        <v>0</v>
      </c>
      <c r="N175" s="408">
        <f>I175+K175-L175+M175</f>
        <v>0</v>
      </c>
    </row>
    <row r="176" spans="1:14" x14ac:dyDescent="0.2">
      <c r="A176" s="410">
        <f t="shared" si="25"/>
        <v>7</v>
      </c>
      <c r="B176" s="413">
        <v>303.3</v>
      </c>
      <c r="C176" s="414" t="s">
        <v>1030</v>
      </c>
      <c r="D176" s="421">
        <f>G70</f>
        <v>5353893</v>
      </c>
      <c r="E176" s="422">
        <v>94979</v>
      </c>
      <c r="F176" s="422">
        <v>0</v>
      </c>
      <c r="G176" s="421">
        <f>SUM(D176:F176)</f>
        <v>5448872</v>
      </c>
      <c r="H176" s="418"/>
      <c r="I176" s="421">
        <f>N70</f>
        <v>2216059.5934239561</v>
      </c>
      <c r="J176" s="442" t="str">
        <f>J70</f>
        <v>Amort.</v>
      </c>
      <c r="K176" s="421">
        <f>'Intangible Amort.'!I$93</f>
        <v>66995.193423955992</v>
      </c>
      <c r="L176" s="421">
        <f>-F176</f>
        <v>0</v>
      </c>
      <c r="M176" s="422">
        <v>0</v>
      </c>
      <c r="N176" s="423">
        <f>I176+K176-L176+M176</f>
        <v>2283054.7868479122</v>
      </c>
    </row>
    <row r="177" spans="1:14" x14ac:dyDescent="0.2">
      <c r="A177" s="410">
        <f t="shared" si="25"/>
        <v>8</v>
      </c>
      <c r="B177" s="413"/>
      <c r="C177" s="414" t="s">
        <v>1031</v>
      </c>
      <c r="D177" s="418">
        <f>SUM(D172:D176)</f>
        <v>5428761.71</v>
      </c>
      <c r="E177" s="418">
        <f>SUM(E172:E176)</f>
        <v>94979</v>
      </c>
      <c r="F177" s="418">
        <f>SUM(F172:F176)</f>
        <v>0</v>
      </c>
      <c r="G177" s="418">
        <f>SUM(G172:G176)</f>
        <v>5523740.71</v>
      </c>
      <c r="H177" s="418"/>
      <c r="I177" s="418">
        <f>SUM(I172:I176)</f>
        <v>2262065.5434239563</v>
      </c>
      <c r="J177" s="424"/>
      <c r="K177" s="418">
        <f>SUM(K172:K176)</f>
        <v>67201.713423955996</v>
      </c>
      <c r="L177" s="418">
        <f>SUM(L172:L176)</f>
        <v>0</v>
      </c>
      <c r="M177" s="418">
        <f>SUM(M172:M176)</f>
        <v>0</v>
      </c>
      <c r="N177" s="418">
        <f>SUM(N172:N176)</f>
        <v>2329267.2568479124</v>
      </c>
    </row>
    <row r="178" spans="1:14" x14ac:dyDescent="0.2">
      <c r="B178" s="425"/>
      <c r="D178" s="418"/>
      <c r="E178" s="418"/>
      <c r="F178" s="418"/>
      <c r="G178" s="418"/>
      <c r="H178" s="418"/>
      <c r="I178" s="418"/>
      <c r="J178" s="424"/>
      <c r="K178" s="418"/>
      <c r="L178" s="418"/>
      <c r="M178" s="418"/>
    </row>
    <row r="179" spans="1:14" x14ac:dyDescent="0.2">
      <c r="A179" s="410">
        <f>A177+1</f>
        <v>9</v>
      </c>
      <c r="B179" s="425"/>
      <c r="C179" s="411" t="s">
        <v>704</v>
      </c>
      <c r="D179" s="418"/>
      <c r="E179" s="418"/>
      <c r="F179" s="418"/>
      <c r="G179" s="418"/>
      <c r="H179" s="418"/>
      <c r="I179" s="418"/>
      <c r="J179" s="424"/>
      <c r="K179" s="418"/>
      <c r="L179" s="418"/>
      <c r="M179" s="418"/>
    </row>
    <row r="180" spans="1:14" x14ac:dyDescent="0.2">
      <c r="A180" s="410">
        <f>A179+1</f>
        <v>10</v>
      </c>
      <c r="B180" s="426">
        <v>304.10000000000002</v>
      </c>
      <c r="C180" s="427" t="s">
        <v>1032</v>
      </c>
      <c r="D180" s="421">
        <f>G74</f>
        <v>0</v>
      </c>
      <c r="E180" s="1662">
        <v>0</v>
      </c>
      <c r="F180" s="1662">
        <v>0</v>
      </c>
      <c r="G180" s="421">
        <f>SUM(D180:F180)</f>
        <v>0</v>
      </c>
      <c r="H180" s="418"/>
      <c r="I180" s="421">
        <f>N74</f>
        <v>0</v>
      </c>
      <c r="J180" s="442" t="str">
        <f>J74</f>
        <v>Non-Dep.</v>
      </c>
      <c r="K180" s="430">
        <v>0</v>
      </c>
      <c r="L180" s="421">
        <f>-F180</f>
        <v>0</v>
      </c>
      <c r="M180" s="422">
        <v>0</v>
      </c>
      <c r="N180" s="423">
        <f>I180+K180-L180+M180</f>
        <v>0</v>
      </c>
    </row>
    <row r="181" spans="1:14" x14ac:dyDescent="0.2">
      <c r="A181" s="410">
        <f>A180+1</f>
        <v>11</v>
      </c>
      <c r="B181" s="426"/>
      <c r="C181" s="431" t="s">
        <v>1079</v>
      </c>
      <c r="D181" s="418">
        <f>D180</f>
        <v>0</v>
      </c>
      <c r="E181" s="418">
        <f>E180</f>
        <v>0</v>
      </c>
      <c r="F181" s="418">
        <f>F180</f>
        <v>0</v>
      </c>
      <c r="G181" s="418">
        <f>G180</f>
        <v>0</v>
      </c>
      <c r="H181" s="418"/>
      <c r="I181" s="418">
        <f>I180</f>
        <v>0</v>
      </c>
      <c r="J181" s="432"/>
      <c r="K181" s="418">
        <f>SUM(K180)</f>
        <v>0</v>
      </c>
      <c r="L181" s="418">
        <f>SUM(L180)</f>
        <v>0</v>
      </c>
      <c r="M181" s="418">
        <f>M180</f>
        <v>0</v>
      </c>
      <c r="N181" s="418">
        <f>N180</f>
        <v>0</v>
      </c>
    </row>
    <row r="182" spans="1:14" x14ac:dyDescent="0.2">
      <c r="B182" s="425"/>
      <c r="D182" s="418"/>
      <c r="E182" s="418"/>
      <c r="F182" s="418"/>
      <c r="G182" s="418"/>
      <c r="H182" s="418"/>
      <c r="I182" s="418"/>
      <c r="J182" s="432"/>
      <c r="K182" s="418"/>
      <c r="L182" s="418"/>
      <c r="M182" s="418"/>
    </row>
    <row r="183" spans="1:14" x14ac:dyDescent="0.2">
      <c r="A183" s="410">
        <f>A181+1</f>
        <v>12</v>
      </c>
      <c r="B183" s="425"/>
      <c r="C183" s="411" t="s">
        <v>707</v>
      </c>
      <c r="D183" s="418"/>
      <c r="E183" s="418"/>
      <c r="F183" s="418"/>
      <c r="G183" s="418"/>
      <c r="H183" s="418"/>
      <c r="I183" s="418"/>
      <c r="J183" s="432"/>
      <c r="K183" s="418"/>
      <c r="L183" s="418"/>
      <c r="M183" s="418"/>
    </row>
    <row r="184" spans="1:14" x14ac:dyDescent="0.2">
      <c r="A184" s="410">
        <f>A183+1</f>
        <v>13</v>
      </c>
      <c r="B184" s="413">
        <v>374.1</v>
      </c>
      <c r="C184" s="414" t="s">
        <v>1035</v>
      </c>
      <c r="D184" s="415">
        <f t="shared" ref="D184:D194" si="26">G78</f>
        <v>206</v>
      </c>
      <c r="E184" s="417">
        <v>0</v>
      </c>
      <c r="F184" s="417">
        <v>0</v>
      </c>
      <c r="G184" s="415">
        <f>SUM(D184:F184)</f>
        <v>206</v>
      </c>
      <c r="H184" s="418"/>
      <c r="I184" s="415">
        <f t="shared" ref="I184:I194" si="27">N78</f>
        <v>0</v>
      </c>
      <c r="J184" s="442" t="str">
        <f t="shared" ref="J184:J194" si="28">J78</f>
        <v>Non-Dep.</v>
      </c>
      <c r="K184" s="417">
        <v>0</v>
      </c>
      <c r="L184" s="418">
        <f t="shared" ref="L184:L194" si="29">-F184</f>
        <v>0</v>
      </c>
      <c r="M184" s="417">
        <v>0</v>
      </c>
      <c r="N184" s="408">
        <f t="shared" ref="N184:N194" si="30">I184+K184-L184+M184</f>
        <v>0</v>
      </c>
    </row>
    <row r="185" spans="1:14" x14ac:dyDescent="0.2">
      <c r="A185" s="410">
        <f t="shared" ref="A185:A205" si="31">A184+1</f>
        <v>14</v>
      </c>
      <c r="B185" s="413">
        <v>374.2</v>
      </c>
      <c r="C185" s="414" t="s">
        <v>1036</v>
      </c>
      <c r="D185" s="415">
        <f t="shared" si="26"/>
        <v>877756.18</v>
      </c>
      <c r="E185" s="417">
        <v>0</v>
      </c>
      <c r="F185" s="417">
        <v>0</v>
      </c>
      <c r="G185" s="415">
        <f t="shared" ref="G185:G194" si="32">SUM(D185:F185)</f>
        <v>877756.18</v>
      </c>
      <c r="H185" s="418"/>
      <c r="I185" s="415">
        <f t="shared" si="27"/>
        <v>-523.13</v>
      </c>
      <c r="J185" s="442" t="str">
        <f t="shared" si="28"/>
        <v>Non-Dep.</v>
      </c>
      <c r="K185" s="417">
        <v>0</v>
      </c>
      <c r="L185" s="418">
        <f t="shared" si="29"/>
        <v>0</v>
      </c>
      <c r="M185" s="417">
        <v>0</v>
      </c>
      <c r="N185" s="408">
        <f t="shared" si="30"/>
        <v>-523.13</v>
      </c>
    </row>
    <row r="186" spans="1:14" x14ac:dyDescent="0.2">
      <c r="A186" s="410">
        <f t="shared" si="31"/>
        <v>15</v>
      </c>
      <c r="B186" s="413">
        <v>374.4</v>
      </c>
      <c r="C186" s="414" t="s">
        <v>1037</v>
      </c>
      <c r="D186" s="415">
        <f t="shared" si="26"/>
        <v>661305.66</v>
      </c>
      <c r="E186" s="417">
        <v>0</v>
      </c>
      <c r="F186" s="417">
        <v>0</v>
      </c>
      <c r="G186" s="415">
        <f t="shared" si="32"/>
        <v>661305.66</v>
      </c>
      <c r="H186" s="418"/>
      <c r="I186" s="415">
        <f t="shared" si="27"/>
        <v>171296.36</v>
      </c>
      <c r="J186" s="442">
        <f t="shared" si="28"/>
        <v>1.5299999999999999E-2</v>
      </c>
      <c r="K186" s="418">
        <f>ROUND((G186+D186)/2*J186/12,0)</f>
        <v>843</v>
      </c>
      <c r="L186" s="418">
        <f t="shared" si="29"/>
        <v>0</v>
      </c>
      <c r="M186" s="417">
        <v>0</v>
      </c>
      <c r="N186" s="408">
        <f t="shared" si="30"/>
        <v>172139.36</v>
      </c>
    </row>
    <row r="187" spans="1:14" x14ac:dyDescent="0.2">
      <c r="A187" s="410">
        <f t="shared" si="31"/>
        <v>16</v>
      </c>
      <c r="B187" s="413">
        <v>374.5</v>
      </c>
      <c r="C187" s="414" t="s">
        <v>1038</v>
      </c>
      <c r="D187" s="415">
        <f t="shared" si="26"/>
        <v>2666711.5499999998</v>
      </c>
      <c r="E187" s="417">
        <v>26124</v>
      </c>
      <c r="F187" s="417">
        <v>-3135</v>
      </c>
      <c r="G187" s="415">
        <f t="shared" si="32"/>
        <v>2689700.55</v>
      </c>
      <c r="H187" s="418"/>
      <c r="I187" s="415">
        <f t="shared" si="27"/>
        <v>909223.23</v>
      </c>
      <c r="J187" s="442">
        <f t="shared" si="28"/>
        <v>1.2200000000000001E-2</v>
      </c>
      <c r="K187" s="418">
        <f t="shared" ref="K187:K192" si="33">ROUND((G187+D187)/2*J187/12,0)</f>
        <v>2723</v>
      </c>
      <c r="L187" s="418">
        <f t="shared" si="29"/>
        <v>3135</v>
      </c>
      <c r="M187" s="417">
        <v>0</v>
      </c>
      <c r="N187" s="408">
        <f t="shared" si="30"/>
        <v>908811.23</v>
      </c>
    </row>
    <row r="188" spans="1:14" x14ac:dyDescent="0.2">
      <c r="A188" s="410">
        <f t="shared" si="31"/>
        <v>17</v>
      </c>
      <c r="B188" s="413">
        <v>375.2</v>
      </c>
      <c r="C188" s="414" t="s">
        <v>1039</v>
      </c>
      <c r="D188" s="415">
        <f t="shared" si="26"/>
        <v>2124.98</v>
      </c>
      <c r="E188" s="417">
        <v>0</v>
      </c>
      <c r="F188" s="417">
        <v>0</v>
      </c>
      <c r="G188" s="415">
        <f t="shared" si="32"/>
        <v>2124.98</v>
      </c>
      <c r="H188" s="418"/>
      <c r="I188" s="415">
        <f t="shared" si="27"/>
        <v>2000.32</v>
      </c>
      <c r="J188" s="442">
        <f t="shared" si="28"/>
        <v>1.9599999999999999E-2</v>
      </c>
      <c r="K188" s="418">
        <f t="shared" si="33"/>
        <v>3</v>
      </c>
      <c r="L188" s="418">
        <f t="shared" si="29"/>
        <v>0</v>
      </c>
      <c r="M188" s="417">
        <v>0</v>
      </c>
      <c r="N188" s="408">
        <f t="shared" si="30"/>
        <v>2003.32</v>
      </c>
    </row>
    <row r="189" spans="1:14" x14ac:dyDescent="0.2">
      <c r="A189" s="410">
        <f t="shared" si="31"/>
        <v>18</v>
      </c>
      <c r="B189" s="413">
        <v>375.3</v>
      </c>
      <c r="C189" s="414" t="s">
        <v>1040</v>
      </c>
      <c r="D189" s="415">
        <f t="shared" si="26"/>
        <v>0</v>
      </c>
      <c r="E189" s="417">
        <v>0</v>
      </c>
      <c r="F189" s="417">
        <v>0</v>
      </c>
      <c r="G189" s="415">
        <f t="shared" si="32"/>
        <v>0</v>
      </c>
      <c r="H189" s="418"/>
      <c r="I189" s="415">
        <f t="shared" si="27"/>
        <v>-77.66</v>
      </c>
      <c r="J189" s="442">
        <f t="shared" si="28"/>
        <v>1.9599999999999999E-2</v>
      </c>
      <c r="K189" s="418">
        <f t="shared" si="33"/>
        <v>0</v>
      </c>
      <c r="L189" s="418">
        <f t="shared" si="29"/>
        <v>0</v>
      </c>
      <c r="M189" s="417">
        <v>0</v>
      </c>
      <c r="N189" s="408">
        <f t="shared" si="30"/>
        <v>-77.66</v>
      </c>
    </row>
    <row r="190" spans="1:14" x14ac:dyDescent="0.2">
      <c r="A190" s="410">
        <f t="shared" si="31"/>
        <v>19</v>
      </c>
      <c r="B190" s="413">
        <v>375.4</v>
      </c>
      <c r="C190" s="414" t="s">
        <v>1041</v>
      </c>
      <c r="D190" s="415">
        <f t="shared" si="26"/>
        <v>1871604.02</v>
      </c>
      <c r="E190" s="417">
        <v>185</v>
      </c>
      <c r="F190" s="417">
        <v>-22</v>
      </c>
      <c r="G190" s="415">
        <f t="shared" si="32"/>
        <v>1871767.02</v>
      </c>
      <c r="H190" s="418"/>
      <c r="I190" s="415">
        <f t="shared" si="27"/>
        <v>489499.37</v>
      </c>
      <c r="J190" s="442">
        <f t="shared" si="28"/>
        <v>1.9599999999999999E-2</v>
      </c>
      <c r="K190" s="418">
        <f t="shared" si="33"/>
        <v>3057</v>
      </c>
      <c r="L190" s="418">
        <f t="shared" si="29"/>
        <v>22</v>
      </c>
      <c r="M190" s="417">
        <v>-2</v>
      </c>
      <c r="N190" s="408">
        <f t="shared" si="30"/>
        <v>492532.37</v>
      </c>
    </row>
    <row r="191" spans="1:14" x14ac:dyDescent="0.2">
      <c r="A191" s="410">
        <f t="shared" si="31"/>
        <v>20</v>
      </c>
      <c r="B191" s="413">
        <v>375.6</v>
      </c>
      <c r="C191" s="414" t="s">
        <v>1042</v>
      </c>
      <c r="D191" s="415">
        <f t="shared" si="26"/>
        <v>0</v>
      </c>
      <c r="E191" s="417">
        <v>0</v>
      </c>
      <c r="F191" s="417">
        <v>0</v>
      </c>
      <c r="G191" s="415">
        <f t="shared" si="32"/>
        <v>0</v>
      </c>
      <c r="H191" s="418"/>
      <c r="I191" s="415">
        <f t="shared" si="27"/>
        <v>0.02</v>
      </c>
      <c r="J191" s="442">
        <f t="shared" si="28"/>
        <v>1.9599999999999999E-2</v>
      </c>
      <c r="K191" s="418">
        <f t="shared" si="33"/>
        <v>0</v>
      </c>
      <c r="L191" s="418">
        <f t="shared" si="29"/>
        <v>0</v>
      </c>
      <c r="M191" s="417">
        <v>0</v>
      </c>
      <c r="N191" s="408">
        <f t="shared" si="30"/>
        <v>0.02</v>
      </c>
    </row>
    <row r="192" spans="1:14" x14ac:dyDescent="0.2">
      <c r="A192" s="410">
        <f t="shared" si="31"/>
        <v>21</v>
      </c>
      <c r="B192" s="413">
        <v>375.7</v>
      </c>
      <c r="C192" s="414" t="s">
        <v>1043</v>
      </c>
      <c r="D192" s="415">
        <f t="shared" si="26"/>
        <v>7980989.21</v>
      </c>
      <c r="E192" s="417">
        <v>0</v>
      </c>
      <c r="F192" s="417">
        <v>0</v>
      </c>
      <c r="G192" s="415">
        <f t="shared" si="32"/>
        <v>7980989.21</v>
      </c>
      <c r="H192" s="418"/>
      <c r="I192" s="415">
        <f t="shared" si="27"/>
        <v>3233302.06</v>
      </c>
      <c r="J192" s="442">
        <f t="shared" si="28"/>
        <v>1.9900000000000001E-2</v>
      </c>
      <c r="K192" s="418">
        <f t="shared" si="33"/>
        <v>13235</v>
      </c>
      <c r="L192" s="418">
        <f t="shared" si="29"/>
        <v>0</v>
      </c>
      <c r="M192" s="417">
        <v>0</v>
      </c>
      <c r="N192" s="408">
        <f t="shared" si="30"/>
        <v>3246537.06</v>
      </c>
    </row>
    <row r="193" spans="1:14" x14ac:dyDescent="0.2">
      <c r="A193" s="410">
        <f t="shared" si="31"/>
        <v>22</v>
      </c>
      <c r="B193" s="413">
        <v>375.71</v>
      </c>
      <c r="C193" s="414" t="s">
        <v>1044</v>
      </c>
      <c r="D193" s="415">
        <f t="shared" si="26"/>
        <v>259808.94</v>
      </c>
      <c r="E193" s="417">
        <v>0</v>
      </c>
      <c r="F193" s="417">
        <v>0</v>
      </c>
      <c r="G193" s="415">
        <f t="shared" si="32"/>
        <v>259808.94</v>
      </c>
      <c r="H193" s="418"/>
      <c r="I193" s="415">
        <f t="shared" si="27"/>
        <v>157909.10947368422</v>
      </c>
      <c r="J193" s="442" t="str">
        <f t="shared" si="28"/>
        <v>Amort.</v>
      </c>
      <c r="K193" s="417">
        <f>104653.88/38</f>
        <v>2754.0494736842106</v>
      </c>
      <c r="L193" s="418">
        <f t="shared" si="29"/>
        <v>0</v>
      </c>
      <c r="M193" s="417">
        <v>0</v>
      </c>
      <c r="N193" s="408">
        <f t="shared" si="30"/>
        <v>160663.15894736844</v>
      </c>
    </row>
    <row r="194" spans="1:14" x14ac:dyDescent="0.2">
      <c r="A194" s="410">
        <f t="shared" si="31"/>
        <v>23</v>
      </c>
      <c r="B194" s="413">
        <v>375.8</v>
      </c>
      <c r="C194" s="414" t="s">
        <v>1045</v>
      </c>
      <c r="D194" s="415">
        <f t="shared" si="26"/>
        <v>0</v>
      </c>
      <c r="E194" s="417">
        <v>0</v>
      </c>
      <c r="F194" s="417">
        <v>0</v>
      </c>
      <c r="G194" s="415">
        <f t="shared" si="32"/>
        <v>0</v>
      </c>
      <c r="H194" s="418"/>
      <c r="I194" s="415">
        <f t="shared" si="27"/>
        <v>0</v>
      </c>
      <c r="J194" s="442">
        <f t="shared" si="28"/>
        <v>5.3199999999999997E-2</v>
      </c>
      <c r="K194" s="417">
        <v>0</v>
      </c>
      <c r="L194" s="418">
        <f t="shared" si="29"/>
        <v>0</v>
      </c>
      <c r="M194" s="417">
        <v>0</v>
      </c>
      <c r="N194" s="408">
        <f t="shared" si="30"/>
        <v>0</v>
      </c>
    </row>
    <row r="195" spans="1:14" x14ac:dyDescent="0.2">
      <c r="A195" s="410">
        <f>A194+1</f>
        <v>24</v>
      </c>
      <c r="B195" s="413">
        <v>376</v>
      </c>
      <c r="C195" s="438" t="s">
        <v>1096</v>
      </c>
      <c r="D195" s="415"/>
      <c r="E195" s="417"/>
      <c r="F195" s="417"/>
      <c r="G195" s="415"/>
      <c r="H195" s="418"/>
      <c r="I195" s="439"/>
      <c r="J195" s="432"/>
      <c r="K195" s="418"/>
      <c r="L195" s="418"/>
      <c r="M195" s="417"/>
    </row>
    <row r="196" spans="1:14" x14ac:dyDescent="0.2">
      <c r="A196" s="410"/>
      <c r="B196" s="413"/>
      <c r="C196" s="440" t="s">
        <v>1097</v>
      </c>
      <c r="D196" s="415"/>
      <c r="E196" s="417"/>
      <c r="F196" s="417"/>
      <c r="G196" s="415"/>
      <c r="H196" s="418"/>
      <c r="I196" s="415"/>
      <c r="J196" s="442"/>
      <c r="K196" s="418"/>
      <c r="L196" s="418"/>
      <c r="M196" s="417"/>
      <c r="N196" s="408"/>
    </row>
    <row r="197" spans="1:14" x14ac:dyDescent="0.2">
      <c r="A197" s="410"/>
      <c r="B197" s="413"/>
      <c r="C197" s="440" t="s">
        <v>1098</v>
      </c>
      <c r="D197" s="415"/>
      <c r="E197" s="417"/>
      <c r="F197" s="417"/>
      <c r="G197" s="415"/>
      <c r="H197" s="418"/>
      <c r="I197" s="415"/>
      <c r="J197" s="442"/>
      <c r="K197" s="418"/>
      <c r="L197" s="418"/>
      <c r="M197" s="417"/>
      <c r="N197" s="408"/>
    </row>
    <row r="198" spans="1:14" x14ac:dyDescent="0.2">
      <c r="A198" s="410"/>
      <c r="B198" s="413"/>
      <c r="C198" s="440" t="s">
        <v>1099</v>
      </c>
      <c r="D198" s="415"/>
      <c r="E198" s="417"/>
      <c r="F198" s="417"/>
      <c r="G198" s="415"/>
      <c r="H198" s="418"/>
      <c r="I198" s="415"/>
      <c r="J198" s="442"/>
      <c r="K198" s="418"/>
      <c r="L198" s="418"/>
      <c r="M198" s="417"/>
      <c r="N198" s="408"/>
    </row>
    <row r="199" spans="1:14" x14ac:dyDescent="0.2">
      <c r="A199" s="410"/>
      <c r="B199" s="413"/>
      <c r="C199" s="440" t="s">
        <v>1100</v>
      </c>
      <c r="D199" s="415"/>
      <c r="E199" s="417"/>
      <c r="F199" s="417"/>
      <c r="G199" s="415"/>
      <c r="H199" s="418"/>
      <c r="I199" s="415"/>
      <c r="J199" s="442"/>
      <c r="K199" s="418"/>
      <c r="L199" s="418"/>
      <c r="M199" s="417"/>
      <c r="N199" s="408"/>
    </row>
    <row r="200" spans="1:14" x14ac:dyDescent="0.2">
      <c r="A200" s="410"/>
      <c r="B200" s="413"/>
      <c r="C200" s="440" t="s">
        <v>1101</v>
      </c>
      <c r="D200" s="415">
        <f t="shared" ref="D200:D205" si="34">G94</f>
        <v>202128849.44</v>
      </c>
      <c r="E200" s="417">
        <v>2935619</v>
      </c>
      <c r="F200" s="417">
        <v>-352274</v>
      </c>
      <c r="G200" s="415">
        <f t="shared" ref="G200:G205" si="35">SUM(D200:F200)</f>
        <v>204712194.44</v>
      </c>
      <c r="H200" s="418"/>
      <c r="I200" s="415">
        <f t="shared" ref="I200:I205" si="36">N94</f>
        <v>56758463.609999999</v>
      </c>
      <c r="J200" s="442">
        <f t="shared" ref="J200:J205" si="37">J94</f>
        <v>1.5699999999999999E-2</v>
      </c>
      <c r="K200" s="418">
        <f t="shared" ref="K200:K205" si="38">ROUND((G200+D200)/2*J200/12,0)</f>
        <v>266142</v>
      </c>
      <c r="L200" s="418">
        <f t="shared" ref="L200:L205" si="39">-F200</f>
        <v>352274</v>
      </c>
      <c r="M200" s="417">
        <v>-52841</v>
      </c>
      <c r="N200" s="408">
        <f t="shared" ref="N200:N205" si="40">I200+K200-L200+M200</f>
        <v>56619490.609999999</v>
      </c>
    </row>
    <row r="201" spans="1:14" x14ac:dyDescent="0.2">
      <c r="A201" s="410">
        <f>A195+1</f>
        <v>25</v>
      </c>
      <c r="B201" s="413">
        <v>378.1</v>
      </c>
      <c r="C201" s="414" t="s">
        <v>1047</v>
      </c>
      <c r="D201" s="415">
        <f t="shared" si="34"/>
        <v>518504.18</v>
      </c>
      <c r="E201" s="417">
        <v>0</v>
      </c>
      <c r="F201" s="417">
        <v>0</v>
      </c>
      <c r="G201" s="415">
        <f t="shared" si="35"/>
        <v>518504.18</v>
      </c>
      <c r="H201" s="418"/>
      <c r="I201" s="415">
        <f t="shared" si="36"/>
        <v>354326.81</v>
      </c>
      <c r="J201" s="442">
        <f t="shared" si="37"/>
        <v>2.35E-2</v>
      </c>
      <c r="K201" s="418">
        <f t="shared" si="38"/>
        <v>1015</v>
      </c>
      <c r="L201" s="418">
        <f t="shared" si="39"/>
        <v>0</v>
      </c>
      <c r="M201" s="417">
        <v>0</v>
      </c>
      <c r="N201" s="408">
        <f t="shared" si="40"/>
        <v>355341.81</v>
      </c>
    </row>
    <row r="202" spans="1:14" x14ac:dyDescent="0.2">
      <c r="A202" s="410">
        <f t="shared" si="31"/>
        <v>26</v>
      </c>
      <c r="B202" s="413">
        <v>378.2</v>
      </c>
      <c r="C202" s="414" t="s">
        <v>1048</v>
      </c>
      <c r="D202" s="415">
        <f t="shared" si="34"/>
        <v>9507449</v>
      </c>
      <c r="E202" s="417">
        <v>24034</v>
      </c>
      <c r="F202" s="417">
        <v>-2884</v>
      </c>
      <c r="G202" s="415">
        <f t="shared" si="35"/>
        <v>9528599</v>
      </c>
      <c r="H202" s="418"/>
      <c r="I202" s="415">
        <f t="shared" si="36"/>
        <v>3238723.91</v>
      </c>
      <c r="J202" s="442">
        <f t="shared" si="37"/>
        <v>2.35E-2</v>
      </c>
      <c r="K202" s="418">
        <f t="shared" si="38"/>
        <v>18639</v>
      </c>
      <c r="L202" s="418">
        <f t="shared" si="39"/>
        <v>2884</v>
      </c>
      <c r="M202" s="417">
        <v>-144</v>
      </c>
      <c r="N202" s="408">
        <f t="shared" si="40"/>
        <v>3254334.91</v>
      </c>
    </row>
    <row r="203" spans="1:14" x14ac:dyDescent="0.2">
      <c r="A203" s="410">
        <f t="shared" si="31"/>
        <v>27</v>
      </c>
      <c r="B203" s="413">
        <v>378.3</v>
      </c>
      <c r="C203" s="414" t="s">
        <v>1049</v>
      </c>
      <c r="D203" s="415">
        <f t="shared" si="34"/>
        <v>45443.08</v>
      </c>
      <c r="E203" s="417">
        <v>0</v>
      </c>
      <c r="F203" s="417">
        <v>0</v>
      </c>
      <c r="G203" s="415">
        <f t="shared" si="35"/>
        <v>45443.08</v>
      </c>
      <c r="H203" s="418"/>
      <c r="I203" s="415">
        <f t="shared" si="36"/>
        <v>35077.040000000001</v>
      </c>
      <c r="J203" s="442">
        <f t="shared" si="37"/>
        <v>2.35E-2</v>
      </c>
      <c r="K203" s="418">
        <f t="shared" si="38"/>
        <v>89</v>
      </c>
      <c r="L203" s="418">
        <f t="shared" si="39"/>
        <v>0</v>
      </c>
      <c r="M203" s="417">
        <v>0</v>
      </c>
      <c r="N203" s="408">
        <f t="shared" si="40"/>
        <v>35166.04</v>
      </c>
    </row>
    <row r="204" spans="1:14" x14ac:dyDescent="0.2">
      <c r="A204" s="410">
        <f t="shared" si="31"/>
        <v>28</v>
      </c>
      <c r="B204" s="413">
        <v>379.1</v>
      </c>
      <c r="C204" s="414" t="s">
        <v>1050</v>
      </c>
      <c r="D204" s="415">
        <f t="shared" si="34"/>
        <v>254900.59</v>
      </c>
      <c r="E204" s="417">
        <v>0</v>
      </c>
      <c r="F204" s="417">
        <v>0</v>
      </c>
      <c r="G204" s="415">
        <f t="shared" si="35"/>
        <v>254900.59</v>
      </c>
      <c r="H204" s="418"/>
      <c r="I204" s="415">
        <f t="shared" si="36"/>
        <v>267730.57</v>
      </c>
      <c r="J204" s="442">
        <f t="shared" si="37"/>
        <v>2.2700000000000001E-2</v>
      </c>
      <c r="K204" s="417">
        <v>0</v>
      </c>
      <c r="L204" s="418">
        <f t="shared" si="39"/>
        <v>0</v>
      </c>
      <c r="M204" s="417">
        <v>0</v>
      </c>
      <c r="N204" s="408">
        <f t="shared" si="40"/>
        <v>267730.57</v>
      </c>
    </row>
    <row r="205" spans="1:14" x14ac:dyDescent="0.2">
      <c r="A205" s="410">
        <f t="shared" si="31"/>
        <v>29</v>
      </c>
      <c r="B205" s="413">
        <v>380</v>
      </c>
      <c r="C205" s="414" t="s">
        <v>1051</v>
      </c>
      <c r="D205" s="415">
        <f t="shared" si="34"/>
        <v>116993806.77</v>
      </c>
      <c r="E205" s="417">
        <v>892430</v>
      </c>
      <c r="F205" s="417">
        <v>-107092</v>
      </c>
      <c r="G205" s="415">
        <f t="shared" si="35"/>
        <v>117779144.77</v>
      </c>
      <c r="H205" s="418"/>
      <c r="I205" s="415">
        <f t="shared" si="36"/>
        <v>57694928.520000003</v>
      </c>
      <c r="J205" s="442">
        <f t="shared" si="37"/>
        <v>2.5899999999999999E-2</v>
      </c>
      <c r="K205" s="418">
        <f t="shared" si="38"/>
        <v>253359</v>
      </c>
      <c r="L205" s="418">
        <f t="shared" si="39"/>
        <v>107092</v>
      </c>
      <c r="M205" s="417">
        <v>-53546</v>
      </c>
      <c r="N205" s="408">
        <f t="shared" si="40"/>
        <v>57787649.520000003</v>
      </c>
    </row>
    <row r="206" spans="1:14" x14ac:dyDescent="0.2">
      <c r="A206" s="410"/>
      <c r="B206" s="444"/>
      <c r="C206" s="414"/>
      <c r="D206" s="439"/>
      <c r="E206" s="418"/>
      <c r="F206" s="418"/>
      <c r="G206" s="439"/>
      <c r="H206" s="418"/>
      <c r="I206" s="418"/>
      <c r="J206" s="418"/>
      <c r="K206" s="418"/>
      <c r="L206" s="418"/>
    </row>
    <row r="207" spans="1:14" x14ac:dyDescent="0.2">
      <c r="A207" s="2073" t="str">
        <f>co</f>
        <v>COLUMBIA GAS OF KENTUCKY, INC.</v>
      </c>
      <c r="B207" s="2073"/>
      <c r="C207" s="2073"/>
      <c r="D207" s="2073"/>
      <c r="E207" s="2073"/>
      <c r="F207" s="2073"/>
      <c r="G207" s="2073"/>
      <c r="H207" s="2073"/>
      <c r="I207" s="2073"/>
      <c r="J207" s="2073"/>
      <c r="K207" s="2073"/>
      <c r="L207" s="2073"/>
      <c r="M207" s="2073"/>
      <c r="N207" s="2073"/>
    </row>
    <row r="208" spans="1:14" x14ac:dyDescent="0.2">
      <c r="A208" s="2073" t="str">
        <f>case</f>
        <v>CASE NO. 2016 - 00162</v>
      </c>
      <c r="B208" s="2073"/>
      <c r="C208" s="2073"/>
      <c r="D208" s="2073"/>
      <c r="E208" s="2073"/>
      <c r="F208" s="2073"/>
      <c r="G208" s="2073"/>
      <c r="H208" s="2073"/>
      <c r="I208" s="2073"/>
      <c r="J208" s="2073"/>
      <c r="K208" s="2073"/>
      <c r="L208" s="2073"/>
      <c r="M208" s="2073"/>
      <c r="N208" s="2073"/>
    </row>
    <row r="209" spans="1:14" x14ac:dyDescent="0.2">
      <c r="A209" s="2074" t="s">
        <v>1106</v>
      </c>
      <c r="B209" s="2073"/>
      <c r="C209" s="2073"/>
      <c r="D209" s="2073"/>
      <c r="E209" s="2073"/>
      <c r="F209" s="2073"/>
      <c r="G209" s="2073"/>
      <c r="H209" s="2073"/>
      <c r="I209" s="2073"/>
      <c r="J209" s="2073"/>
      <c r="K209" s="2073"/>
      <c r="L209" s="2073"/>
      <c r="M209" s="2073"/>
      <c r="N209" s="2073"/>
    </row>
    <row r="210" spans="1:14" x14ac:dyDescent="0.2">
      <c r="A210" s="2078" t="s">
        <v>2142</v>
      </c>
      <c r="B210" s="2078"/>
      <c r="C210" s="2078"/>
      <c r="D210" s="2078"/>
      <c r="E210" s="2078"/>
      <c r="F210" s="2078"/>
      <c r="G210" s="2078"/>
      <c r="H210" s="2078"/>
      <c r="I210" s="2078"/>
      <c r="J210" s="2078"/>
      <c r="K210" s="2078"/>
      <c r="L210" s="2078"/>
      <c r="M210" s="2078"/>
      <c r="N210" s="2078"/>
    </row>
    <row r="212" spans="1:14" x14ac:dyDescent="0.2">
      <c r="A212" s="388" t="s">
        <v>976</v>
      </c>
      <c r="M212" s="386"/>
      <c r="N212" s="387" t="s">
        <v>763</v>
      </c>
    </row>
    <row r="213" spans="1:14" x14ac:dyDescent="0.2">
      <c r="A213" s="388" t="s">
        <v>977</v>
      </c>
      <c r="M213" s="386"/>
      <c r="N213" s="387" t="s">
        <v>999</v>
      </c>
    </row>
    <row r="214" spans="1:14" x14ac:dyDescent="0.2">
      <c r="A214" s="445" t="str">
        <f>A161</f>
        <v>WORKPAPER REFERENCE NO(S).: WPB-2.3</v>
      </c>
      <c r="B214" s="391"/>
      <c r="C214" s="391"/>
      <c r="D214" s="391"/>
      <c r="E214" s="391"/>
      <c r="F214" s="391"/>
      <c r="G214" s="391"/>
      <c r="H214" s="391"/>
      <c r="M214" s="392"/>
      <c r="N214" s="393" t="str">
        <f>SMK</f>
        <v>WITNESS:  S. M. KATKO</v>
      </c>
    </row>
    <row r="215" spans="1:14" x14ac:dyDescent="0.2">
      <c r="A215" s="390"/>
      <c r="B215" s="391"/>
      <c r="C215" s="391"/>
      <c r="D215" s="391"/>
      <c r="E215" s="391"/>
      <c r="F215" s="391"/>
      <c r="G215" s="391"/>
      <c r="H215" s="391"/>
      <c r="I215" s="392"/>
      <c r="J215" s="393"/>
      <c r="L215" s="386"/>
      <c r="M215" s="386"/>
    </row>
    <row r="216" spans="1:14" x14ac:dyDescent="0.2">
      <c r="A216" s="390"/>
      <c r="B216" s="391"/>
      <c r="C216" s="391"/>
      <c r="D216" s="2075" t="s">
        <v>1088</v>
      </c>
      <c r="E216" s="2075"/>
      <c r="F216" s="2075"/>
      <c r="G216" s="2075"/>
      <c r="H216" s="391"/>
      <c r="I216" s="2076" t="s">
        <v>1093</v>
      </c>
      <c r="J216" s="2077"/>
      <c r="K216" s="2077"/>
      <c r="L216" s="2077"/>
      <c r="M216" s="2077"/>
      <c r="N216" s="2077"/>
    </row>
    <row r="217" spans="1:14" x14ac:dyDescent="0.2">
      <c r="A217" s="394"/>
      <c r="B217" s="391"/>
      <c r="C217" s="391"/>
      <c r="D217" s="396" t="s">
        <v>1084</v>
      </c>
      <c r="E217" s="391"/>
      <c r="F217" s="391"/>
      <c r="G217" s="395"/>
      <c r="H217" s="395"/>
      <c r="I217" s="397" t="s">
        <v>1089</v>
      </c>
      <c r="J217" s="396"/>
      <c r="M217" s="386"/>
    </row>
    <row r="218" spans="1:14" x14ac:dyDescent="0.2">
      <c r="A218" s="383"/>
      <c r="D218" s="397" t="s">
        <v>865</v>
      </c>
      <c r="G218" s="397" t="s">
        <v>867</v>
      </c>
      <c r="H218" s="398"/>
      <c r="I218" s="397" t="s">
        <v>865</v>
      </c>
      <c r="J218" s="397" t="s">
        <v>956</v>
      </c>
      <c r="M218" s="386"/>
      <c r="N218" s="397" t="s">
        <v>867</v>
      </c>
    </row>
    <row r="219" spans="1:14" x14ac:dyDescent="0.2">
      <c r="A219" s="397" t="s">
        <v>1080</v>
      </c>
      <c r="B219" s="397" t="s">
        <v>1082</v>
      </c>
      <c r="D219" s="397" t="s">
        <v>867</v>
      </c>
      <c r="G219" s="399" t="s">
        <v>1087</v>
      </c>
      <c r="H219" s="398"/>
      <c r="I219" s="399" t="s">
        <v>867</v>
      </c>
      <c r="J219" s="397" t="s">
        <v>1090</v>
      </c>
      <c r="K219" s="397" t="s">
        <v>956</v>
      </c>
      <c r="M219" s="399" t="s">
        <v>1092</v>
      </c>
      <c r="N219" s="399" t="s">
        <v>1087</v>
      </c>
    </row>
    <row r="220" spans="1:14" x14ac:dyDescent="0.2">
      <c r="A220" s="400" t="s">
        <v>1081</v>
      </c>
      <c r="B220" s="400" t="s">
        <v>1081</v>
      </c>
      <c r="C220" s="401" t="s">
        <v>1083</v>
      </c>
      <c r="D220" s="404" t="str">
        <f>D167</f>
        <v>03/31/2016</v>
      </c>
      <c r="E220" s="400" t="s">
        <v>1085</v>
      </c>
      <c r="F220" s="400" t="s">
        <v>1086</v>
      </c>
      <c r="G220" s="404" t="str">
        <f>G167</f>
        <v>04/30/2016</v>
      </c>
      <c r="H220" s="398"/>
      <c r="I220" s="404" t="str">
        <f>D220</f>
        <v>03/31/2016</v>
      </c>
      <c r="J220" s="400" t="s">
        <v>1091</v>
      </c>
      <c r="K220" s="402" t="s">
        <v>1090</v>
      </c>
      <c r="L220" s="402" t="s">
        <v>1086</v>
      </c>
      <c r="M220" s="402" t="s">
        <v>955</v>
      </c>
      <c r="N220" s="404" t="str">
        <f>G220</f>
        <v>04/30/2016</v>
      </c>
    </row>
    <row r="221" spans="1:14" x14ac:dyDescent="0.2">
      <c r="A221" s="406"/>
      <c r="B221" s="406"/>
      <c r="C221" s="406"/>
      <c r="D221" s="406" t="str">
        <f>"(1)"</f>
        <v>(1)</v>
      </c>
      <c r="E221" s="406" t="str">
        <f>"(2)"</f>
        <v>(2)</v>
      </c>
      <c r="F221" s="406" t="str">
        <f>"(3)"</f>
        <v>(3)</v>
      </c>
      <c r="G221" s="406" t="str">
        <f>"(4)=(1+2+3)"</f>
        <v>(4)=(1+2+3)</v>
      </c>
      <c r="H221" s="406"/>
      <c r="I221" s="406" t="str">
        <f>"(5)"</f>
        <v>(5)</v>
      </c>
      <c r="J221" s="406" t="str">
        <f>"(6)"</f>
        <v>(6)</v>
      </c>
      <c r="K221" s="406" t="str">
        <f>"(7)=((1+4)/2*6/12))"</f>
        <v>(7)=((1+4)/2*6/12))</v>
      </c>
      <c r="L221" s="406" t="str">
        <f>"(8)"</f>
        <v>(8)</v>
      </c>
      <c r="M221" s="406" t="str">
        <f>"(9)"</f>
        <v>(9)</v>
      </c>
      <c r="N221" s="406" t="str">
        <f>"(10)=(5+7-8+9)"</f>
        <v>(10)=(5+7-8+9)</v>
      </c>
    </row>
    <row r="222" spans="1:14" x14ac:dyDescent="0.2">
      <c r="D222" s="410" t="s">
        <v>639</v>
      </c>
      <c r="E222" s="410" t="s">
        <v>639</v>
      </c>
      <c r="F222" s="410" t="s">
        <v>639</v>
      </c>
      <c r="G222" s="410" t="s">
        <v>639</v>
      </c>
      <c r="H222" s="410"/>
      <c r="I222" s="410" t="s">
        <v>639</v>
      </c>
      <c r="J222" s="410" t="s">
        <v>639</v>
      </c>
      <c r="K222" s="410" t="s">
        <v>639</v>
      </c>
      <c r="L222" s="410" t="s">
        <v>639</v>
      </c>
      <c r="M222" s="410" t="s">
        <v>639</v>
      </c>
      <c r="N222" s="410" t="s">
        <v>639</v>
      </c>
    </row>
    <row r="223" spans="1:14" x14ac:dyDescent="0.2">
      <c r="C223" s="411" t="s">
        <v>707</v>
      </c>
      <c r="D223" s="410"/>
      <c r="E223" s="410"/>
      <c r="F223" s="410"/>
      <c r="G223" s="410"/>
      <c r="J223" s="410"/>
    </row>
    <row r="224" spans="1:14" x14ac:dyDescent="0.2">
      <c r="A224" s="405">
        <v>1</v>
      </c>
      <c r="B224" s="446">
        <v>381</v>
      </c>
      <c r="C224" s="414" t="s">
        <v>1052</v>
      </c>
      <c r="D224" s="415">
        <f t="shared" ref="D224:D235" si="41">G118</f>
        <v>13437028.550000001</v>
      </c>
      <c r="E224" s="417">
        <v>68258</v>
      </c>
      <c r="F224" s="417">
        <v>-8191</v>
      </c>
      <c r="G224" s="415">
        <f>SUM(D224:F224)</f>
        <v>13497095.550000001</v>
      </c>
      <c r="H224" s="418"/>
      <c r="I224" s="415">
        <f t="shared" ref="I224:I235" si="42">N118</f>
        <v>4704466.8899999997</v>
      </c>
      <c r="J224" s="442">
        <f t="shared" ref="J224:J235" si="43">J118</f>
        <v>2.5899999999999999E-2</v>
      </c>
      <c r="K224" s="418">
        <f t="shared" ref="K224:K235" si="44">ROUND((G224+D224)/2*J224/12,0)</f>
        <v>29066</v>
      </c>
      <c r="L224" s="418">
        <f t="shared" ref="L224:L235" si="45">-F224</f>
        <v>8191</v>
      </c>
      <c r="M224" s="417">
        <v>0</v>
      </c>
      <c r="N224" s="408">
        <f t="shared" ref="N224:N235" si="46">I224+K224-L224+M224</f>
        <v>4725341.8899999997</v>
      </c>
    </row>
    <row r="225" spans="1:14" x14ac:dyDescent="0.2">
      <c r="A225" s="405">
        <f>A224+1</f>
        <v>2</v>
      </c>
      <c r="B225" s="446">
        <v>381.1</v>
      </c>
      <c r="C225" s="414" t="s">
        <v>1052</v>
      </c>
      <c r="D225" s="415">
        <f t="shared" si="41"/>
        <v>8705985.0600000005</v>
      </c>
      <c r="E225" s="417">
        <v>54586</v>
      </c>
      <c r="F225" s="417">
        <v>-6550</v>
      </c>
      <c r="G225" s="415">
        <f>SUM(D225:F225)</f>
        <v>8754021.0600000005</v>
      </c>
      <c r="H225" s="418"/>
      <c r="I225" s="415">
        <f t="shared" si="42"/>
        <v>392056.5</v>
      </c>
      <c r="J225" s="442">
        <f t="shared" si="43"/>
        <v>2.5899999999999999E-2</v>
      </c>
      <c r="K225" s="418">
        <f t="shared" si="44"/>
        <v>18842</v>
      </c>
      <c r="L225" s="418">
        <f t="shared" si="45"/>
        <v>6550</v>
      </c>
      <c r="M225" s="417">
        <v>0</v>
      </c>
      <c r="N225" s="408">
        <f t="shared" si="46"/>
        <v>404348.5</v>
      </c>
    </row>
    <row r="226" spans="1:14" x14ac:dyDescent="0.2">
      <c r="A226" s="405">
        <f t="shared" ref="A226:A236" si="47">A225+1</f>
        <v>3</v>
      </c>
      <c r="B226" s="446">
        <v>382</v>
      </c>
      <c r="C226" s="414" t="s">
        <v>1053</v>
      </c>
      <c r="D226" s="415">
        <f t="shared" si="41"/>
        <v>9019186.6500000004</v>
      </c>
      <c r="E226" s="417">
        <v>16332</v>
      </c>
      <c r="F226" s="417">
        <v>-1960</v>
      </c>
      <c r="G226" s="415">
        <f t="shared" ref="G226:G231" si="48">SUM(D226:F226)</f>
        <v>9033558.6500000004</v>
      </c>
      <c r="H226" s="418"/>
      <c r="I226" s="415">
        <f t="shared" si="42"/>
        <v>4499071.3</v>
      </c>
      <c r="J226" s="442">
        <f t="shared" si="43"/>
        <v>2.3900000000000001E-2</v>
      </c>
      <c r="K226" s="418">
        <f t="shared" si="44"/>
        <v>17978</v>
      </c>
      <c r="L226" s="418">
        <f t="shared" si="45"/>
        <v>1960</v>
      </c>
      <c r="M226" s="417">
        <v>-98</v>
      </c>
      <c r="N226" s="408">
        <f t="shared" si="46"/>
        <v>4514991.3</v>
      </c>
    </row>
    <row r="227" spans="1:14" x14ac:dyDescent="0.2">
      <c r="A227" s="405">
        <f t="shared" si="47"/>
        <v>4</v>
      </c>
      <c r="B227" s="446">
        <v>383</v>
      </c>
      <c r="C227" s="414" t="s">
        <v>1054</v>
      </c>
      <c r="D227" s="415">
        <f t="shared" si="41"/>
        <v>5536734.7599999998</v>
      </c>
      <c r="E227" s="417">
        <v>10572</v>
      </c>
      <c r="F227" s="417">
        <v>-1269</v>
      </c>
      <c r="G227" s="415">
        <f t="shared" si="48"/>
        <v>5546037.7599999998</v>
      </c>
      <c r="H227" s="418"/>
      <c r="I227" s="415">
        <f t="shared" si="42"/>
        <v>1465300.41</v>
      </c>
      <c r="J227" s="442">
        <f t="shared" si="43"/>
        <v>1.3899999999999999E-2</v>
      </c>
      <c r="K227" s="418">
        <f t="shared" si="44"/>
        <v>6419</v>
      </c>
      <c r="L227" s="418">
        <f t="shared" si="45"/>
        <v>1269</v>
      </c>
      <c r="M227" s="417">
        <v>-63</v>
      </c>
      <c r="N227" s="408">
        <f t="shared" si="46"/>
        <v>1470387.41</v>
      </c>
    </row>
    <row r="228" spans="1:14" x14ac:dyDescent="0.2">
      <c r="A228" s="405">
        <f t="shared" si="47"/>
        <v>5</v>
      </c>
      <c r="B228" s="446">
        <v>384</v>
      </c>
      <c r="C228" s="414" t="s">
        <v>1055</v>
      </c>
      <c r="D228" s="415">
        <f t="shared" si="41"/>
        <v>2257522</v>
      </c>
      <c r="E228" s="417">
        <v>0</v>
      </c>
      <c r="F228" s="417">
        <v>0</v>
      </c>
      <c r="G228" s="415">
        <f t="shared" si="48"/>
        <v>2257522</v>
      </c>
      <c r="H228" s="418"/>
      <c r="I228" s="415">
        <f t="shared" si="42"/>
        <v>1750707.73</v>
      </c>
      <c r="J228" s="442">
        <f t="shared" si="43"/>
        <v>1.0999999999999999E-2</v>
      </c>
      <c r="K228" s="418">
        <f t="shared" si="44"/>
        <v>2069</v>
      </c>
      <c r="L228" s="418">
        <f t="shared" si="45"/>
        <v>0</v>
      </c>
      <c r="M228" s="417">
        <v>0</v>
      </c>
      <c r="N228" s="408">
        <f t="shared" si="46"/>
        <v>1752776.73</v>
      </c>
    </row>
    <row r="229" spans="1:14" x14ac:dyDescent="0.2">
      <c r="A229" s="405">
        <f t="shared" si="47"/>
        <v>6</v>
      </c>
      <c r="B229" s="446">
        <v>385</v>
      </c>
      <c r="C229" s="414" t="s">
        <v>1056</v>
      </c>
      <c r="D229" s="415">
        <f t="shared" si="41"/>
        <v>3074245.36</v>
      </c>
      <c r="E229" s="417">
        <v>27101</v>
      </c>
      <c r="F229" s="417">
        <v>-3252</v>
      </c>
      <c r="G229" s="415">
        <f t="shared" si="48"/>
        <v>3098094.36</v>
      </c>
      <c r="H229" s="418"/>
      <c r="I229" s="415">
        <f t="shared" si="42"/>
        <v>866020.55</v>
      </c>
      <c r="J229" s="442">
        <f t="shared" si="43"/>
        <v>2.0899999999999998E-2</v>
      </c>
      <c r="K229" s="418">
        <f t="shared" si="44"/>
        <v>5375</v>
      </c>
      <c r="L229" s="418">
        <f t="shared" si="45"/>
        <v>3252</v>
      </c>
      <c r="M229" s="417">
        <v>-163</v>
      </c>
      <c r="N229" s="408">
        <f t="shared" si="46"/>
        <v>867980.55</v>
      </c>
    </row>
    <row r="230" spans="1:14" x14ac:dyDescent="0.2">
      <c r="A230" s="405">
        <f t="shared" si="47"/>
        <v>7</v>
      </c>
      <c r="B230" s="446">
        <v>387.2</v>
      </c>
      <c r="C230" s="414" t="s">
        <v>1057</v>
      </c>
      <c r="D230" s="415">
        <f t="shared" si="41"/>
        <v>0</v>
      </c>
      <c r="E230" s="417">
        <v>0</v>
      </c>
      <c r="F230" s="417">
        <v>0</v>
      </c>
      <c r="G230" s="415">
        <f t="shared" si="48"/>
        <v>0</v>
      </c>
      <c r="H230" s="418"/>
      <c r="I230" s="415">
        <f t="shared" si="42"/>
        <v>-59912.03</v>
      </c>
      <c r="J230" s="442">
        <f t="shared" si="43"/>
        <v>2.3199999999999998E-2</v>
      </c>
      <c r="K230" s="418">
        <f t="shared" si="44"/>
        <v>0</v>
      </c>
      <c r="L230" s="418">
        <f t="shared" si="45"/>
        <v>0</v>
      </c>
      <c r="M230" s="417">
        <v>0</v>
      </c>
      <c r="N230" s="408">
        <f t="shared" si="46"/>
        <v>-59912.03</v>
      </c>
    </row>
    <row r="231" spans="1:14" x14ac:dyDescent="0.2">
      <c r="A231" s="405">
        <f t="shared" si="47"/>
        <v>8</v>
      </c>
      <c r="B231" s="446">
        <v>387.41</v>
      </c>
      <c r="C231" s="414" t="s">
        <v>1058</v>
      </c>
      <c r="D231" s="415">
        <f t="shared" si="41"/>
        <v>735770.76</v>
      </c>
      <c r="E231" s="417">
        <v>0</v>
      </c>
      <c r="F231" s="417">
        <v>0</v>
      </c>
      <c r="G231" s="415">
        <f t="shared" si="48"/>
        <v>735770.76</v>
      </c>
      <c r="H231" s="418"/>
      <c r="I231" s="415">
        <f t="shared" si="42"/>
        <v>373142.95</v>
      </c>
      <c r="J231" s="442">
        <f t="shared" si="43"/>
        <v>2.3400000000000001E-2</v>
      </c>
      <c r="K231" s="418">
        <f t="shared" si="44"/>
        <v>1435</v>
      </c>
      <c r="L231" s="418">
        <f t="shared" si="45"/>
        <v>0</v>
      </c>
      <c r="M231" s="417">
        <v>0</v>
      </c>
      <c r="N231" s="408">
        <f t="shared" si="46"/>
        <v>374577.95</v>
      </c>
    </row>
    <row r="232" spans="1:14" x14ac:dyDescent="0.2">
      <c r="A232" s="405">
        <f t="shared" si="47"/>
        <v>9</v>
      </c>
      <c r="B232" s="446">
        <v>387.42</v>
      </c>
      <c r="C232" s="414" t="s">
        <v>1059</v>
      </c>
      <c r="D232" s="415">
        <f t="shared" si="41"/>
        <v>795186.58</v>
      </c>
      <c r="E232" s="417">
        <v>0</v>
      </c>
      <c r="F232" s="417">
        <v>0</v>
      </c>
      <c r="G232" s="415">
        <f>SUM(D232:F232)</f>
        <v>795186.58</v>
      </c>
      <c r="H232" s="418"/>
      <c r="I232" s="415">
        <f t="shared" si="42"/>
        <v>538586.94999999995</v>
      </c>
      <c r="J232" s="442">
        <f t="shared" si="43"/>
        <v>2.3400000000000001E-2</v>
      </c>
      <c r="K232" s="418">
        <f t="shared" si="44"/>
        <v>1551</v>
      </c>
      <c r="L232" s="418">
        <f t="shared" si="45"/>
        <v>0</v>
      </c>
      <c r="M232" s="417">
        <v>0</v>
      </c>
      <c r="N232" s="408">
        <f t="shared" si="46"/>
        <v>540137.94999999995</v>
      </c>
    </row>
    <row r="233" spans="1:14" x14ac:dyDescent="0.2">
      <c r="A233" s="405">
        <f t="shared" si="47"/>
        <v>10</v>
      </c>
      <c r="B233" s="446">
        <v>387.44</v>
      </c>
      <c r="C233" s="414" t="s">
        <v>1060</v>
      </c>
      <c r="D233" s="415">
        <f t="shared" si="41"/>
        <v>133589.93</v>
      </c>
      <c r="E233" s="417">
        <v>0</v>
      </c>
      <c r="F233" s="417">
        <v>0</v>
      </c>
      <c r="G233" s="415">
        <f>SUM(D233:F233)</f>
        <v>133589.93</v>
      </c>
      <c r="H233" s="418"/>
      <c r="I233" s="415">
        <f t="shared" si="42"/>
        <v>45804.55</v>
      </c>
      <c r="J233" s="442">
        <f t="shared" si="43"/>
        <v>2.3400000000000001E-2</v>
      </c>
      <c r="K233" s="418">
        <f t="shared" si="44"/>
        <v>261</v>
      </c>
      <c r="L233" s="418">
        <f t="shared" si="45"/>
        <v>0</v>
      </c>
      <c r="M233" s="417">
        <v>0</v>
      </c>
      <c r="N233" s="408">
        <f t="shared" si="46"/>
        <v>46065.55</v>
      </c>
    </row>
    <row r="234" spans="1:14" x14ac:dyDescent="0.2">
      <c r="A234" s="405">
        <f t="shared" si="47"/>
        <v>11</v>
      </c>
      <c r="B234" s="446">
        <v>387.45</v>
      </c>
      <c r="C234" s="414" t="s">
        <v>1061</v>
      </c>
      <c r="D234" s="415">
        <f t="shared" si="41"/>
        <v>2756218.66</v>
      </c>
      <c r="E234" s="417">
        <v>9281</v>
      </c>
      <c r="F234" s="417">
        <v>-1114</v>
      </c>
      <c r="G234" s="415">
        <f>SUM(D234:F234)</f>
        <v>2764385.66</v>
      </c>
      <c r="H234" s="418"/>
      <c r="I234" s="415">
        <f t="shared" si="42"/>
        <v>550888.06000000006</v>
      </c>
      <c r="J234" s="442">
        <f t="shared" si="43"/>
        <v>2.3400000000000001E-2</v>
      </c>
      <c r="K234" s="418">
        <f t="shared" si="44"/>
        <v>5383</v>
      </c>
      <c r="L234" s="418">
        <f t="shared" si="45"/>
        <v>1114</v>
      </c>
      <c r="M234" s="417">
        <v>0</v>
      </c>
      <c r="N234" s="408">
        <f t="shared" si="46"/>
        <v>555157.06000000006</v>
      </c>
    </row>
    <row r="235" spans="1:14" x14ac:dyDescent="0.2">
      <c r="A235" s="405">
        <f t="shared" si="47"/>
        <v>12</v>
      </c>
      <c r="B235" s="446">
        <v>387.46</v>
      </c>
      <c r="C235" s="414" t="s">
        <v>1062</v>
      </c>
      <c r="D235" s="421">
        <f t="shared" si="41"/>
        <v>113644.47</v>
      </c>
      <c r="E235" s="1662">
        <v>0</v>
      </c>
      <c r="F235" s="1662">
        <v>0</v>
      </c>
      <c r="G235" s="428">
        <f>SUM(D235:F235)</f>
        <v>113644.47</v>
      </c>
      <c r="H235" s="447"/>
      <c r="I235" s="421">
        <f t="shared" si="42"/>
        <v>110234.83</v>
      </c>
      <c r="J235" s="442">
        <f t="shared" si="43"/>
        <v>2.3400000000000001E-2</v>
      </c>
      <c r="K235" s="421">
        <f t="shared" si="44"/>
        <v>222</v>
      </c>
      <c r="L235" s="421">
        <f t="shared" si="45"/>
        <v>0</v>
      </c>
      <c r="M235" s="422">
        <v>0</v>
      </c>
      <c r="N235" s="423">
        <f t="shared" si="46"/>
        <v>110456.83</v>
      </c>
    </row>
    <row r="236" spans="1:14" x14ac:dyDescent="0.2">
      <c r="A236" s="405">
        <f t="shared" si="47"/>
        <v>13</v>
      </c>
      <c r="B236" s="448"/>
      <c r="C236" s="386" t="s">
        <v>1063</v>
      </c>
      <c r="D236" s="418">
        <f>SUM(D224:D235,D184:D205)</f>
        <v>390334572.37999994</v>
      </c>
      <c r="E236" s="418">
        <f>SUM(E224:E235,E184:E205)</f>
        <v>4064522</v>
      </c>
      <c r="F236" s="418">
        <f>SUM(F224:F235,F184:F205)</f>
        <v>-487743</v>
      </c>
      <c r="G236" s="418">
        <f>SUM(G224:G235,G184:G205)</f>
        <v>393911351.37999994</v>
      </c>
      <c r="H236" s="418"/>
      <c r="I236" s="418">
        <f>SUM(I224:I235,I184:I205)</f>
        <v>138548248.82947367</v>
      </c>
      <c r="J236" s="418"/>
      <c r="K236" s="418">
        <f>SUM(K224:K235,K184:K205)</f>
        <v>650460.04947368428</v>
      </c>
      <c r="L236" s="418">
        <f>SUM(L224:L235,L184:L205)</f>
        <v>487743</v>
      </c>
      <c r="M236" s="418">
        <f>SUM(M224:M235,M184:M205)</f>
        <v>-106857</v>
      </c>
      <c r="N236" s="418">
        <f>SUM(N224:N235,N184:N205)</f>
        <v>138604108.87894738</v>
      </c>
    </row>
    <row r="237" spans="1:14" x14ac:dyDescent="0.2">
      <c r="B237" s="448"/>
      <c r="D237" s="418"/>
      <c r="E237" s="418"/>
      <c r="F237" s="418"/>
      <c r="G237" s="418"/>
      <c r="H237" s="418"/>
      <c r="I237" s="439"/>
      <c r="J237" s="418"/>
      <c r="K237" s="418"/>
      <c r="L237" s="418"/>
      <c r="M237" s="418"/>
    </row>
    <row r="238" spans="1:14" x14ac:dyDescent="0.2">
      <c r="A238" s="405">
        <f>A236+1</f>
        <v>14</v>
      </c>
      <c r="B238" s="448"/>
      <c r="C238" s="411" t="s">
        <v>737</v>
      </c>
      <c r="D238" s="418"/>
      <c r="E238" s="418"/>
      <c r="F238" s="418"/>
      <c r="G238" s="418"/>
      <c r="H238" s="418"/>
      <c r="I238" s="439"/>
      <c r="J238" s="418"/>
      <c r="K238" s="418"/>
      <c r="L238" s="418"/>
      <c r="M238" s="418"/>
    </row>
    <row r="239" spans="1:14" x14ac:dyDescent="0.2">
      <c r="A239" s="410">
        <f>A238+1</f>
        <v>15</v>
      </c>
      <c r="B239" s="446">
        <v>391.1</v>
      </c>
      <c r="C239" s="414" t="s">
        <v>1064</v>
      </c>
      <c r="D239" s="415">
        <f t="shared" ref="D239:D252" si="49">G133</f>
        <v>733453.71</v>
      </c>
      <c r="E239" s="417">
        <v>62</v>
      </c>
      <c r="F239" s="417">
        <v>-7</v>
      </c>
      <c r="G239" s="415">
        <f t="shared" ref="G239:G252" si="50">SUM(D239:F239)</f>
        <v>733508.71</v>
      </c>
      <c r="H239" s="418"/>
      <c r="I239" s="415">
        <f t="shared" ref="I239:I252" si="51">N133</f>
        <v>-80616.22</v>
      </c>
      <c r="J239" s="442">
        <f t="shared" ref="J239:J252" si="52">J133</f>
        <v>0.05</v>
      </c>
      <c r="K239" s="418">
        <f>ROUND((G239+D239)/2*J239/12,0)</f>
        <v>3056</v>
      </c>
      <c r="L239" s="418">
        <f t="shared" ref="L239:L252" si="53">-F239</f>
        <v>7</v>
      </c>
      <c r="M239" s="417">
        <v>0</v>
      </c>
      <c r="N239" s="408">
        <f t="shared" ref="N239:N252" si="54">I239+K239-L239+M239</f>
        <v>-77567.22</v>
      </c>
    </row>
    <row r="240" spans="1:14" x14ac:dyDescent="0.2">
      <c r="A240" s="410">
        <f t="shared" ref="A240:A253" si="55">A239+1</f>
        <v>16</v>
      </c>
      <c r="B240" s="446">
        <v>391.11</v>
      </c>
      <c r="C240" s="414" t="s">
        <v>1065</v>
      </c>
      <c r="D240" s="415">
        <f t="shared" si="49"/>
        <v>18815.57</v>
      </c>
      <c r="E240" s="417">
        <v>0</v>
      </c>
      <c r="F240" s="417">
        <v>0</v>
      </c>
      <c r="G240" s="415">
        <f t="shared" si="50"/>
        <v>18815.57</v>
      </c>
      <c r="H240" s="418"/>
      <c r="I240" s="415">
        <f t="shared" si="51"/>
        <v>-12929.77</v>
      </c>
      <c r="J240" s="442">
        <f t="shared" si="52"/>
        <v>6.6699999999999995E-2</v>
      </c>
      <c r="K240" s="418">
        <f>ROUND((G240+D240)/2*J240/12,0)</f>
        <v>105</v>
      </c>
      <c r="L240" s="418">
        <f t="shared" si="53"/>
        <v>0</v>
      </c>
      <c r="M240" s="417">
        <v>0</v>
      </c>
      <c r="N240" s="408">
        <f t="shared" si="54"/>
        <v>-12824.77</v>
      </c>
    </row>
    <row r="241" spans="1:15" x14ac:dyDescent="0.2">
      <c r="A241" s="410">
        <f t="shared" si="55"/>
        <v>17</v>
      </c>
      <c r="B241" s="446">
        <v>391.12</v>
      </c>
      <c r="C241" s="414" t="s">
        <v>1066</v>
      </c>
      <c r="D241" s="415">
        <f t="shared" si="49"/>
        <v>853483.41</v>
      </c>
      <c r="E241" s="417">
        <v>0</v>
      </c>
      <c r="F241" s="417">
        <v>0</v>
      </c>
      <c r="G241" s="415">
        <f t="shared" si="50"/>
        <v>853483.41</v>
      </c>
      <c r="H241" s="418"/>
      <c r="I241" s="415">
        <f t="shared" si="51"/>
        <v>561560.37</v>
      </c>
      <c r="J241" s="442">
        <f t="shared" si="52"/>
        <v>0.2</v>
      </c>
      <c r="K241" s="418">
        <f>ROUND((G241+D241)/2*J241/12,0)</f>
        <v>14225</v>
      </c>
      <c r="L241" s="418">
        <f t="shared" si="53"/>
        <v>0</v>
      </c>
      <c r="M241" s="417">
        <v>0</v>
      </c>
      <c r="N241" s="408">
        <f t="shared" si="54"/>
        <v>575785.37</v>
      </c>
    </row>
    <row r="242" spans="1:15" x14ac:dyDescent="0.2">
      <c r="A242" s="410">
        <f t="shared" si="55"/>
        <v>18</v>
      </c>
      <c r="B242" s="446">
        <v>392.2</v>
      </c>
      <c r="C242" s="414" t="s">
        <v>1067</v>
      </c>
      <c r="D242" s="415">
        <f t="shared" si="49"/>
        <v>95778</v>
      </c>
      <c r="E242" s="417">
        <v>0</v>
      </c>
      <c r="F242" s="417">
        <v>0</v>
      </c>
      <c r="G242" s="415">
        <f t="shared" si="50"/>
        <v>95778</v>
      </c>
      <c r="H242" s="418"/>
      <c r="I242" s="415">
        <f t="shared" si="51"/>
        <v>20540.05</v>
      </c>
      <c r="J242" s="442">
        <f t="shared" si="52"/>
        <v>2.9399999999999999E-2</v>
      </c>
      <c r="K242" s="418">
        <f>ROUND((G242+D242)/2*J242/12,0)</f>
        <v>235</v>
      </c>
      <c r="L242" s="418">
        <f t="shared" si="53"/>
        <v>0</v>
      </c>
      <c r="M242" s="417">
        <v>0</v>
      </c>
      <c r="N242" s="408">
        <f t="shared" si="54"/>
        <v>20775.05</v>
      </c>
    </row>
    <row r="243" spans="1:15" x14ac:dyDescent="0.2">
      <c r="A243" s="410">
        <f t="shared" si="55"/>
        <v>19</v>
      </c>
      <c r="B243" s="446">
        <v>392.21</v>
      </c>
      <c r="C243" s="414" t="s">
        <v>1068</v>
      </c>
      <c r="D243" s="415">
        <f t="shared" si="49"/>
        <v>24462.2</v>
      </c>
      <c r="E243" s="417">
        <v>0</v>
      </c>
      <c r="F243" s="417">
        <v>0</v>
      </c>
      <c r="G243" s="415">
        <f t="shared" si="50"/>
        <v>24462.2</v>
      </c>
      <c r="H243" s="418"/>
      <c r="I243" s="415">
        <f t="shared" si="51"/>
        <v>4647.3999999999996</v>
      </c>
      <c r="J243" s="442">
        <f t="shared" si="52"/>
        <v>2.9399999999999999E-2</v>
      </c>
      <c r="K243" s="418">
        <f>ROUND((G243+D243)/2*J243/12,0)</f>
        <v>60</v>
      </c>
      <c r="L243" s="418">
        <f t="shared" si="53"/>
        <v>0</v>
      </c>
      <c r="M243" s="417">
        <v>0</v>
      </c>
      <c r="N243" s="408">
        <f t="shared" si="54"/>
        <v>4707.3999999999996</v>
      </c>
    </row>
    <row r="244" spans="1:15" x14ac:dyDescent="0.2">
      <c r="A244" s="410">
        <f t="shared" si="55"/>
        <v>20</v>
      </c>
      <c r="B244" s="446">
        <v>393</v>
      </c>
      <c r="C244" s="414" t="s">
        <v>1069</v>
      </c>
      <c r="D244" s="415">
        <f t="shared" si="49"/>
        <v>0</v>
      </c>
      <c r="E244" s="417">
        <v>0</v>
      </c>
      <c r="F244" s="417">
        <v>0</v>
      </c>
      <c r="G244" s="415">
        <f t="shared" si="50"/>
        <v>0</v>
      </c>
      <c r="H244" s="418"/>
      <c r="I244" s="415">
        <f t="shared" si="51"/>
        <v>0</v>
      </c>
      <c r="J244" s="442" t="str">
        <f t="shared" si="52"/>
        <v>Amort.</v>
      </c>
      <c r="K244" s="417">
        <v>0</v>
      </c>
      <c r="L244" s="418">
        <f t="shared" si="53"/>
        <v>0</v>
      </c>
      <c r="M244" s="417">
        <v>0</v>
      </c>
      <c r="N244" s="408">
        <f t="shared" si="54"/>
        <v>0</v>
      </c>
    </row>
    <row r="245" spans="1:15" x14ac:dyDescent="0.2">
      <c r="A245" s="410">
        <f t="shared" si="55"/>
        <v>21</v>
      </c>
      <c r="B245" s="446">
        <v>394.1</v>
      </c>
      <c r="C245" s="414" t="s">
        <v>1070</v>
      </c>
      <c r="D245" s="415">
        <f t="shared" si="49"/>
        <v>24240.799999999999</v>
      </c>
      <c r="E245" s="417">
        <v>0</v>
      </c>
      <c r="F245" s="417">
        <v>0</v>
      </c>
      <c r="G245" s="415">
        <f t="shared" si="50"/>
        <v>24240.799999999999</v>
      </c>
      <c r="H245" s="418"/>
      <c r="I245" s="415">
        <f t="shared" si="51"/>
        <v>13879.82</v>
      </c>
      <c r="J245" s="442">
        <f t="shared" si="52"/>
        <v>0.04</v>
      </c>
      <c r="K245" s="418">
        <f>ROUND((G245+D245)/2*J245/12,0)</f>
        <v>81</v>
      </c>
      <c r="L245" s="418">
        <f t="shared" si="53"/>
        <v>0</v>
      </c>
      <c r="M245" s="417">
        <v>0</v>
      </c>
      <c r="N245" s="408">
        <f t="shared" si="54"/>
        <v>13960.82</v>
      </c>
    </row>
    <row r="246" spans="1:15" x14ac:dyDescent="0.2">
      <c r="A246" s="410">
        <f t="shared" si="55"/>
        <v>22</v>
      </c>
      <c r="B246" s="446">
        <v>394.11</v>
      </c>
      <c r="C246" s="414" t="s">
        <v>1071</v>
      </c>
      <c r="D246" s="415">
        <f t="shared" si="49"/>
        <v>0</v>
      </c>
      <c r="E246" s="417">
        <v>0</v>
      </c>
      <c r="F246" s="417">
        <v>0</v>
      </c>
      <c r="G246" s="415">
        <f t="shared" si="50"/>
        <v>0</v>
      </c>
      <c r="H246" s="418"/>
      <c r="I246" s="415">
        <f t="shared" si="51"/>
        <v>0</v>
      </c>
      <c r="J246" s="442">
        <f t="shared" si="52"/>
        <v>0.13769999999999999</v>
      </c>
      <c r="K246" s="418">
        <f>ROUND((G246+D246)/2*J246/12,0)</f>
        <v>0</v>
      </c>
      <c r="L246" s="418">
        <f t="shared" si="53"/>
        <v>0</v>
      </c>
      <c r="M246" s="417">
        <v>0</v>
      </c>
      <c r="N246" s="408">
        <f t="shared" si="54"/>
        <v>0</v>
      </c>
    </row>
    <row r="247" spans="1:15" x14ac:dyDescent="0.2">
      <c r="A247" s="410">
        <f t="shared" si="55"/>
        <v>23</v>
      </c>
      <c r="B247" s="446">
        <v>394.13</v>
      </c>
      <c r="C247" s="438" t="s">
        <v>1072</v>
      </c>
      <c r="D247" s="415">
        <f t="shared" si="49"/>
        <v>0</v>
      </c>
      <c r="E247" s="417">
        <v>0</v>
      </c>
      <c r="F247" s="417">
        <v>0</v>
      </c>
      <c r="G247" s="415">
        <f t="shared" si="50"/>
        <v>0</v>
      </c>
      <c r="H247" s="418"/>
      <c r="I247" s="415">
        <f t="shared" si="51"/>
        <v>37937.360000000001</v>
      </c>
      <c r="J247" s="442" t="str">
        <f t="shared" si="52"/>
        <v>Amort.</v>
      </c>
      <c r="K247" s="417">
        <v>0</v>
      </c>
      <c r="L247" s="418">
        <f t="shared" si="53"/>
        <v>0</v>
      </c>
      <c r="M247" s="417">
        <v>0</v>
      </c>
      <c r="N247" s="408">
        <f t="shared" si="54"/>
        <v>37937.360000000001</v>
      </c>
    </row>
    <row r="248" spans="1:15" x14ac:dyDescent="0.2">
      <c r="A248" s="410">
        <f t="shared" si="55"/>
        <v>24</v>
      </c>
      <c r="B248" s="446">
        <v>394.2</v>
      </c>
      <c r="C248" s="414" t="s">
        <v>1073</v>
      </c>
      <c r="D248" s="415">
        <f t="shared" si="49"/>
        <v>0</v>
      </c>
      <c r="E248" s="417">
        <v>0</v>
      </c>
      <c r="F248" s="417">
        <v>0</v>
      </c>
      <c r="G248" s="415">
        <f t="shared" si="50"/>
        <v>0</v>
      </c>
      <c r="H248" s="418"/>
      <c r="I248" s="415">
        <f t="shared" si="51"/>
        <v>185.21</v>
      </c>
      <c r="J248" s="442">
        <f t="shared" si="52"/>
        <v>0.04</v>
      </c>
      <c r="K248" s="418">
        <f>ROUND((G248+D248)/2*J248/12,0)</f>
        <v>0</v>
      </c>
      <c r="L248" s="418">
        <f t="shared" si="53"/>
        <v>0</v>
      </c>
      <c r="M248" s="417">
        <v>0</v>
      </c>
      <c r="N248" s="408">
        <f t="shared" si="54"/>
        <v>185.21</v>
      </c>
    </row>
    <row r="249" spans="1:15" x14ac:dyDescent="0.2">
      <c r="A249" s="410">
        <f t="shared" si="55"/>
        <v>25</v>
      </c>
      <c r="B249" s="446">
        <v>394.3</v>
      </c>
      <c r="C249" s="414" t="s">
        <v>1074</v>
      </c>
      <c r="D249" s="415">
        <f t="shared" si="49"/>
        <v>2956323.16</v>
      </c>
      <c r="E249" s="417">
        <v>34652</v>
      </c>
      <c r="F249" s="417">
        <v>-4158</v>
      </c>
      <c r="G249" s="415">
        <f t="shared" si="50"/>
        <v>2986817.16</v>
      </c>
      <c r="H249" s="418"/>
      <c r="I249" s="415">
        <f t="shared" si="51"/>
        <v>1214387.1499999999</v>
      </c>
      <c r="J249" s="442">
        <f t="shared" si="52"/>
        <v>0.04</v>
      </c>
      <c r="K249" s="418">
        <f>ROUND((G249+D249)/2*J249/12,0)</f>
        <v>9905</v>
      </c>
      <c r="L249" s="418">
        <f t="shared" si="53"/>
        <v>4158</v>
      </c>
      <c r="M249" s="417">
        <v>0</v>
      </c>
      <c r="N249" s="408">
        <f t="shared" si="54"/>
        <v>1220134.1499999999</v>
      </c>
    </row>
    <row r="250" spans="1:15" x14ac:dyDescent="0.2">
      <c r="A250" s="410">
        <f t="shared" si="55"/>
        <v>26</v>
      </c>
      <c r="B250" s="446">
        <v>395</v>
      </c>
      <c r="C250" s="414" t="s">
        <v>1075</v>
      </c>
      <c r="D250" s="415">
        <f t="shared" si="49"/>
        <v>9257.77</v>
      </c>
      <c r="E250" s="417">
        <v>0</v>
      </c>
      <c r="F250" s="417">
        <v>0</v>
      </c>
      <c r="G250" s="415">
        <f t="shared" si="50"/>
        <v>9257.77</v>
      </c>
      <c r="H250" s="418"/>
      <c r="I250" s="415">
        <f t="shared" si="51"/>
        <v>7178.59</v>
      </c>
      <c r="J250" s="442">
        <f t="shared" si="52"/>
        <v>0.05</v>
      </c>
      <c r="K250" s="418">
        <f>ROUND((G250+D250)/2*J250/12,0)</f>
        <v>39</v>
      </c>
      <c r="L250" s="418">
        <f t="shared" si="53"/>
        <v>0</v>
      </c>
      <c r="M250" s="417">
        <v>0</v>
      </c>
      <c r="N250" s="408">
        <f t="shared" si="54"/>
        <v>7217.59</v>
      </c>
    </row>
    <row r="251" spans="1:15" x14ac:dyDescent="0.2">
      <c r="A251" s="410">
        <f t="shared" si="55"/>
        <v>27</v>
      </c>
      <c r="B251" s="446">
        <v>396</v>
      </c>
      <c r="C251" s="414" t="s">
        <v>1076</v>
      </c>
      <c r="D251" s="415">
        <f t="shared" si="49"/>
        <v>253134.72</v>
      </c>
      <c r="E251" s="417">
        <v>0</v>
      </c>
      <c r="F251" s="417">
        <v>0</v>
      </c>
      <c r="G251" s="415">
        <f t="shared" si="50"/>
        <v>253134.72</v>
      </c>
      <c r="H251" s="418"/>
      <c r="I251" s="415">
        <f t="shared" si="51"/>
        <v>199321.72</v>
      </c>
      <c r="J251" s="442">
        <f t="shared" si="52"/>
        <v>0</v>
      </c>
      <c r="K251" s="418">
        <f>ROUND((G251+D251)/2*J251/12,0)</f>
        <v>0</v>
      </c>
      <c r="L251" s="418">
        <f t="shared" si="53"/>
        <v>0</v>
      </c>
      <c r="M251" s="417">
        <v>0</v>
      </c>
      <c r="N251" s="408">
        <f t="shared" si="54"/>
        <v>199321.72</v>
      </c>
    </row>
    <row r="252" spans="1:15" x14ac:dyDescent="0.2">
      <c r="A252" s="410">
        <f t="shared" si="55"/>
        <v>28</v>
      </c>
      <c r="B252" s="446">
        <v>398</v>
      </c>
      <c r="C252" s="414" t="s">
        <v>1077</v>
      </c>
      <c r="D252" s="421">
        <f t="shared" si="49"/>
        <v>91076.94</v>
      </c>
      <c r="E252" s="1662">
        <v>0</v>
      </c>
      <c r="F252" s="1662">
        <v>0</v>
      </c>
      <c r="G252" s="421">
        <f t="shared" si="50"/>
        <v>91076.94</v>
      </c>
      <c r="H252" s="447"/>
      <c r="I252" s="421">
        <f t="shared" si="51"/>
        <v>20717.59</v>
      </c>
      <c r="J252" s="442">
        <f t="shared" si="52"/>
        <v>6.6699999999999995E-2</v>
      </c>
      <c r="K252" s="421">
        <f>ROUND((G252+D252)/2*J252/12,0)</f>
        <v>506</v>
      </c>
      <c r="L252" s="421">
        <f t="shared" si="53"/>
        <v>0</v>
      </c>
      <c r="M252" s="430">
        <v>0</v>
      </c>
      <c r="N252" s="423">
        <f t="shared" si="54"/>
        <v>21223.59</v>
      </c>
    </row>
    <row r="253" spans="1:15" x14ac:dyDescent="0.2">
      <c r="A253" s="410">
        <f t="shared" si="55"/>
        <v>29</v>
      </c>
      <c r="C253" s="386" t="s">
        <v>1078</v>
      </c>
      <c r="D253" s="447">
        <f>SUM(D239:D252)</f>
        <v>5060026.2799999993</v>
      </c>
      <c r="E253" s="447">
        <f>SUM(E239:E252)</f>
        <v>34714</v>
      </c>
      <c r="F253" s="447">
        <f>SUM(F239:F252)</f>
        <v>-4165</v>
      </c>
      <c r="G253" s="447">
        <f>SUM(G239:G252)</f>
        <v>5090575.2799999993</v>
      </c>
      <c r="H253" s="447"/>
      <c r="I253" s="447">
        <f>SUM(I239:I252)</f>
        <v>1986809.27</v>
      </c>
      <c r="J253" s="424"/>
      <c r="K253" s="447">
        <f>SUM(K239:K252)</f>
        <v>28212</v>
      </c>
      <c r="L253" s="447">
        <f>SUM(L239:L252)</f>
        <v>4165</v>
      </c>
      <c r="M253" s="447">
        <f>SUM(M239:M252)</f>
        <v>0</v>
      </c>
      <c r="N253" s="447">
        <f>SUM(N239:N252)</f>
        <v>2010856.27</v>
      </c>
    </row>
    <row r="254" spans="1:15" x14ac:dyDescent="0.2">
      <c r="D254" s="418"/>
      <c r="E254" s="418"/>
      <c r="F254" s="418"/>
      <c r="G254" s="418"/>
      <c r="H254" s="418"/>
      <c r="I254" s="418"/>
      <c r="J254" s="432"/>
      <c r="K254" s="418"/>
      <c r="L254" s="418"/>
      <c r="M254" s="418"/>
    </row>
    <row r="255" spans="1:15" x14ac:dyDescent="0.2">
      <c r="A255" s="405">
        <f>A253+1</f>
        <v>30</v>
      </c>
      <c r="B255" s="448"/>
      <c r="C255" s="411" t="s">
        <v>2287</v>
      </c>
      <c r="D255" s="418"/>
      <c r="E255" s="418"/>
      <c r="F255" s="418"/>
      <c r="G255" s="418"/>
      <c r="H255" s="418"/>
      <c r="I255" s="439"/>
      <c r="J255" s="418"/>
      <c r="K255" s="418"/>
      <c r="L255" s="418"/>
      <c r="M255" s="418"/>
    </row>
    <row r="256" spans="1:15" x14ac:dyDescent="0.2">
      <c r="A256" s="1722">
        <f>A255+1</f>
        <v>31</v>
      </c>
      <c r="B256" s="446">
        <v>378.21</v>
      </c>
      <c r="C256" s="1725" t="s">
        <v>2244</v>
      </c>
      <c r="D256" s="415">
        <f>G150</f>
        <v>-777092</v>
      </c>
      <c r="E256" s="417">
        <v>0</v>
      </c>
      <c r="F256" s="417">
        <v>0</v>
      </c>
      <c r="G256" s="415">
        <f t="shared" ref="G256" si="56">SUM(D256:F256)</f>
        <v>-777092</v>
      </c>
      <c r="H256" s="418"/>
      <c r="I256" s="415">
        <f>N150</f>
        <v>-22967.78</v>
      </c>
      <c r="J256" s="419" t="s">
        <v>1094</v>
      </c>
      <c r="K256" s="417">
        <v>-2158.5833333333321</v>
      </c>
      <c r="L256" s="418">
        <f t="shared" ref="L256" si="57">-F256</f>
        <v>0</v>
      </c>
      <c r="M256" s="417">
        <v>0</v>
      </c>
      <c r="N256" s="408">
        <f t="shared" ref="N256" si="58">I256+K256-L256+M256</f>
        <v>-25126.363333333331</v>
      </c>
      <c r="O256" s="408"/>
    </row>
    <row r="257" spans="1:15" x14ac:dyDescent="0.2">
      <c r="A257" s="1722"/>
      <c r="B257" s="446"/>
      <c r="C257" s="438"/>
      <c r="D257" s="415"/>
      <c r="E257" s="417"/>
      <c r="F257" s="417"/>
      <c r="G257" s="415"/>
      <c r="H257" s="418"/>
      <c r="I257" s="419"/>
      <c r="J257" s="419"/>
      <c r="K257" s="417"/>
      <c r="L257" s="418"/>
      <c r="M257" s="417"/>
      <c r="N257" s="408"/>
      <c r="O257" s="408"/>
    </row>
    <row r="258" spans="1:15" x14ac:dyDescent="0.2">
      <c r="A258" s="410">
        <f>A256+1</f>
        <v>32</v>
      </c>
      <c r="C258" s="386" t="s">
        <v>774</v>
      </c>
      <c r="D258" s="450">
        <f>D253+D236+D181+D177+D256</f>
        <v>400046268.36999989</v>
      </c>
      <c r="E258" s="450">
        <f>E253+E236+E181+E177+E256</f>
        <v>4194215</v>
      </c>
      <c r="F258" s="450">
        <f>F253+F236+F181+F177+F256</f>
        <v>-491908</v>
      </c>
      <c r="G258" s="450">
        <f>G253+G236+G181+G177+G256</f>
        <v>403748575.36999989</v>
      </c>
      <c r="H258" s="418"/>
      <c r="I258" s="450">
        <f>I253+I236+I181+I177+I256</f>
        <v>142774155.86289763</v>
      </c>
      <c r="J258" s="451"/>
      <c r="K258" s="450">
        <f>K253+K236+K181+K177+K256</f>
        <v>743715.17956430686</v>
      </c>
      <c r="L258" s="450">
        <f>L253+L236+L181+L177+L256</f>
        <v>491908</v>
      </c>
      <c r="M258" s="450">
        <f>M253+M236+M181+M177+M256</f>
        <v>-106857</v>
      </c>
      <c r="N258" s="450">
        <f>N253+N236+N181+N177+N256</f>
        <v>142919106.04246196</v>
      </c>
    </row>
    <row r="259" spans="1:15" x14ac:dyDescent="0.2">
      <c r="A259" s="410"/>
      <c r="C259" s="386"/>
      <c r="D259" s="418"/>
      <c r="E259" s="418"/>
      <c r="F259" s="418"/>
      <c r="G259" s="418"/>
      <c r="H259" s="418"/>
      <c r="I259" s="418"/>
      <c r="J259" s="418"/>
      <c r="K259" s="418"/>
      <c r="L259" s="418"/>
    </row>
    <row r="260" spans="1:15" x14ac:dyDescent="0.2">
      <c r="A260" s="2073" t="str">
        <f>co</f>
        <v>COLUMBIA GAS OF KENTUCKY, INC.</v>
      </c>
      <c r="B260" s="2073"/>
      <c r="C260" s="2073"/>
      <c r="D260" s="2073"/>
      <c r="E260" s="2073"/>
      <c r="F260" s="2073"/>
      <c r="G260" s="2073"/>
      <c r="H260" s="2073"/>
      <c r="I260" s="2073"/>
      <c r="J260" s="2073"/>
      <c r="K260" s="2073"/>
      <c r="L260" s="2073"/>
      <c r="M260" s="2073"/>
      <c r="N260" s="2073"/>
    </row>
    <row r="261" spans="1:15" x14ac:dyDescent="0.2">
      <c r="A261" s="2073" t="str">
        <f>case</f>
        <v>CASE NO. 2016 - 00162</v>
      </c>
      <c r="B261" s="2073"/>
      <c r="C261" s="2073"/>
      <c r="D261" s="2073"/>
      <c r="E261" s="2073"/>
      <c r="F261" s="2073"/>
      <c r="G261" s="2073"/>
      <c r="H261" s="2073"/>
      <c r="I261" s="2073"/>
      <c r="J261" s="2073"/>
      <c r="K261" s="2073"/>
      <c r="L261" s="2073"/>
      <c r="M261" s="2073"/>
      <c r="N261" s="2073"/>
    </row>
    <row r="262" spans="1:15" x14ac:dyDescent="0.2">
      <c r="A262" s="2074" t="s">
        <v>1106</v>
      </c>
      <c r="B262" s="2073"/>
      <c r="C262" s="2073"/>
      <c r="D262" s="2073"/>
      <c r="E262" s="2073"/>
      <c r="F262" s="2073"/>
      <c r="G262" s="2073"/>
      <c r="H262" s="2073"/>
      <c r="I262" s="2073"/>
      <c r="J262" s="2073"/>
      <c r="K262" s="2073"/>
      <c r="L262" s="2073"/>
      <c r="M262" s="2073"/>
      <c r="N262" s="2073"/>
    </row>
    <row r="263" spans="1:15" x14ac:dyDescent="0.2">
      <c r="A263" s="2078" t="s">
        <v>2142</v>
      </c>
      <c r="B263" s="2078"/>
      <c r="C263" s="2078"/>
      <c r="D263" s="2078"/>
      <c r="E263" s="2078"/>
      <c r="F263" s="2078"/>
      <c r="G263" s="2078"/>
      <c r="H263" s="2078"/>
      <c r="I263" s="2078"/>
      <c r="J263" s="2078"/>
      <c r="K263" s="2078"/>
      <c r="L263" s="2078"/>
      <c r="M263" s="2078"/>
      <c r="N263" s="2078"/>
    </row>
    <row r="265" spans="1:15" x14ac:dyDescent="0.2">
      <c r="A265" s="385" t="s">
        <v>1095</v>
      </c>
      <c r="I265" s="386"/>
      <c r="N265" s="387" t="s">
        <v>763</v>
      </c>
    </row>
    <row r="266" spans="1:15" x14ac:dyDescent="0.2">
      <c r="A266" s="388" t="s">
        <v>977</v>
      </c>
      <c r="I266" s="386"/>
      <c r="N266" s="387" t="s">
        <v>998</v>
      </c>
    </row>
    <row r="267" spans="1:15" x14ac:dyDescent="0.2">
      <c r="A267" s="390" t="s">
        <v>997</v>
      </c>
      <c r="B267" s="391"/>
      <c r="C267" s="391"/>
      <c r="D267" s="391"/>
      <c r="E267" s="391"/>
      <c r="F267" s="391"/>
      <c r="G267" s="391"/>
      <c r="H267" s="391"/>
      <c r="I267" s="392"/>
      <c r="L267" s="386"/>
      <c r="M267" s="386"/>
      <c r="N267" s="393" t="str">
        <f>SMK</f>
        <v>WITNESS:  S. M. KATKO</v>
      </c>
    </row>
    <row r="268" spans="1:15" x14ac:dyDescent="0.2">
      <c r="A268" s="390"/>
      <c r="B268" s="391"/>
      <c r="C268" s="391"/>
      <c r="D268" s="391"/>
      <c r="E268" s="391"/>
      <c r="F268" s="391"/>
      <c r="G268" s="391"/>
      <c r="H268" s="391"/>
      <c r="I268" s="392"/>
      <c r="J268" s="393"/>
      <c r="L268" s="386"/>
      <c r="M268" s="386"/>
    </row>
    <row r="269" spans="1:15" x14ac:dyDescent="0.2">
      <c r="A269" s="390"/>
      <c r="B269" s="391"/>
      <c r="C269" s="391"/>
      <c r="D269" s="2075" t="s">
        <v>1088</v>
      </c>
      <c r="E269" s="2075"/>
      <c r="F269" s="2075"/>
      <c r="G269" s="2075"/>
      <c r="H269" s="391"/>
      <c r="I269" s="2076" t="s">
        <v>1093</v>
      </c>
      <c r="J269" s="2077"/>
      <c r="K269" s="2077"/>
      <c r="L269" s="2077"/>
      <c r="M269" s="2077"/>
      <c r="N269" s="2077"/>
    </row>
    <row r="270" spans="1:15" x14ac:dyDescent="0.2">
      <c r="A270" s="394"/>
      <c r="B270" s="391"/>
      <c r="C270" s="391"/>
      <c r="D270" s="396" t="s">
        <v>1084</v>
      </c>
      <c r="E270" s="391"/>
      <c r="F270" s="391"/>
      <c r="G270" s="395"/>
      <c r="H270" s="395"/>
      <c r="I270" s="397" t="s">
        <v>1089</v>
      </c>
      <c r="J270" s="396"/>
      <c r="M270" s="386"/>
    </row>
    <row r="271" spans="1:15" x14ac:dyDescent="0.2">
      <c r="A271" s="383"/>
      <c r="D271" s="397" t="s">
        <v>865</v>
      </c>
      <c r="G271" s="397" t="s">
        <v>867</v>
      </c>
      <c r="H271" s="398"/>
      <c r="I271" s="397" t="s">
        <v>865</v>
      </c>
      <c r="J271" s="397" t="s">
        <v>956</v>
      </c>
      <c r="M271" s="386"/>
      <c r="N271" s="397" t="s">
        <v>867</v>
      </c>
    </row>
    <row r="272" spans="1:15" x14ac:dyDescent="0.2">
      <c r="A272" s="397" t="s">
        <v>1080</v>
      </c>
      <c r="B272" s="397" t="s">
        <v>1082</v>
      </c>
      <c r="D272" s="397" t="s">
        <v>867</v>
      </c>
      <c r="G272" s="399" t="s">
        <v>1087</v>
      </c>
      <c r="H272" s="398"/>
      <c r="I272" s="399" t="s">
        <v>867</v>
      </c>
      <c r="J272" s="397" t="s">
        <v>1090</v>
      </c>
      <c r="K272" s="397" t="s">
        <v>956</v>
      </c>
      <c r="M272" s="399" t="s">
        <v>1092</v>
      </c>
      <c r="N272" s="399" t="s">
        <v>1087</v>
      </c>
    </row>
    <row r="273" spans="1:14" x14ac:dyDescent="0.2">
      <c r="A273" s="400" t="s">
        <v>1081</v>
      </c>
      <c r="B273" s="400" t="s">
        <v>1081</v>
      </c>
      <c r="C273" s="401" t="s">
        <v>1083</v>
      </c>
      <c r="D273" s="409" t="str">
        <f>"04/30/2016"</f>
        <v>04/30/2016</v>
      </c>
      <c r="E273" s="400" t="s">
        <v>1085</v>
      </c>
      <c r="F273" s="400" t="s">
        <v>1086</v>
      </c>
      <c r="G273" s="409" t="str">
        <f>"05/31/2016"</f>
        <v>05/31/2016</v>
      </c>
      <c r="H273" s="398"/>
      <c r="I273" s="404" t="str">
        <f>D273</f>
        <v>04/30/2016</v>
      </c>
      <c r="J273" s="400" t="s">
        <v>1091</v>
      </c>
      <c r="K273" s="402" t="s">
        <v>1090</v>
      </c>
      <c r="L273" s="402" t="s">
        <v>1086</v>
      </c>
      <c r="M273" s="402" t="s">
        <v>955</v>
      </c>
      <c r="N273" s="404" t="str">
        <f>G273</f>
        <v>05/31/2016</v>
      </c>
    </row>
    <row r="274" spans="1:14" x14ac:dyDescent="0.2">
      <c r="A274" s="406"/>
      <c r="B274" s="406"/>
      <c r="C274" s="406"/>
      <c r="D274" s="406" t="str">
        <f>"(1)"</f>
        <v>(1)</v>
      </c>
      <c r="E274" s="406" t="str">
        <f>"(2)"</f>
        <v>(2)</v>
      </c>
      <c r="F274" s="406" t="str">
        <f>"(3)"</f>
        <v>(3)</v>
      </c>
      <c r="G274" s="406" t="str">
        <f>"(4)=(1+2+3)"</f>
        <v>(4)=(1+2+3)</v>
      </c>
      <c r="H274" s="406"/>
      <c r="I274" s="406" t="str">
        <f>"(5)"</f>
        <v>(5)</v>
      </c>
      <c r="J274" s="406" t="str">
        <f>"(6)"</f>
        <v>(6)</v>
      </c>
      <c r="K274" s="406" t="str">
        <f>"(7)=((1+4)/2*6/12))"</f>
        <v>(7)=((1+4)/2*6/12))</v>
      </c>
      <c r="L274" s="406" t="str">
        <f>"(8)"</f>
        <v>(8)</v>
      </c>
      <c r="M274" s="406" t="str">
        <f>"(9)"</f>
        <v>(9)</v>
      </c>
      <c r="N274" s="406" t="str">
        <f>"(10)=(5+7-8+9)"</f>
        <v>(10)=(5+7-8+9)</v>
      </c>
    </row>
    <row r="275" spans="1:14" x14ac:dyDescent="0.2">
      <c r="D275" s="410" t="s">
        <v>639</v>
      </c>
      <c r="E275" s="410" t="s">
        <v>639</v>
      </c>
      <c r="F275" s="410" t="s">
        <v>639</v>
      </c>
      <c r="G275" s="410" t="s">
        <v>639</v>
      </c>
      <c r="H275" s="410"/>
      <c r="I275" s="410" t="s">
        <v>639</v>
      </c>
      <c r="J275" s="410" t="s">
        <v>639</v>
      </c>
      <c r="K275" s="410" t="s">
        <v>639</v>
      </c>
      <c r="L275" s="410" t="s">
        <v>639</v>
      </c>
      <c r="M275" s="410" t="s">
        <v>639</v>
      </c>
      <c r="N275" s="410" t="s">
        <v>639</v>
      </c>
    </row>
    <row r="276" spans="1:14" x14ac:dyDescent="0.2">
      <c r="A276" s="410">
        <v>1</v>
      </c>
      <c r="B276" s="411" t="s">
        <v>1025</v>
      </c>
      <c r="C276" s="412"/>
      <c r="M276" s="386"/>
    </row>
    <row r="277" spans="1:14" x14ac:dyDescent="0.2">
      <c r="A277" s="410">
        <f>A276+1</f>
        <v>2</v>
      </c>
      <c r="C277" s="411" t="s">
        <v>697</v>
      </c>
      <c r="M277" s="386"/>
    </row>
    <row r="278" spans="1:14" x14ac:dyDescent="0.2">
      <c r="A278" s="410">
        <f t="shared" ref="A278:A283" si="59">A277+1</f>
        <v>3</v>
      </c>
      <c r="B278" s="413">
        <v>301</v>
      </c>
      <c r="C278" s="414" t="s">
        <v>1026</v>
      </c>
      <c r="D278" s="415">
        <f>G172</f>
        <v>521.20000000000005</v>
      </c>
      <c r="E278" s="417">
        <v>0</v>
      </c>
      <c r="F278" s="417">
        <v>0</v>
      </c>
      <c r="G278" s="415">
        <f>SUM(D278:F278)</f>
        <v>521.20000000000005</v>
      </c>
      <c r="H278" s="418"/>
      <c r="I278" s="415">
        <f>N172</f>
        <v>0</v>
      </c>
      <c r="J278" s="442" t="str">
        <f>J172</f>
        <v>Amort.</v>
      </c>
      <c r="K278" s="417">
        <v>0</v>
      </c>
      <c r="L278" s="418">
        <f>-F278</f>
        <v>0</v>
      </c>
      <c r="M278" s="417">
        <v>0</v>
      </c>
      <c r="N278" s="408">
        <f>I278+K278-L278+M278</f>
        <v>0</v>
      </c>
    </row>
    <row r="279" spans="1:14" x14ac:dyDescent="0.2">
      <c r="A279" s="410">
        <f t="shared" si="59"/>
        <v>4</v>
      </c>
      <c r="B279" s="413">
        <v>303</v>
      </c>
      <c r="C279" s="414" t="s">
        <v>1027</v>
      </c>
      <c r="D279" s="415">
        <f>G173</f>
        <v>74347.509999999995</v>
      </c>
      <c r="E279" s="417">
        <v>0</v>
      </c>
      <c r="F279" s="417">
        <v>0</v>
      </c>
      <c r="G279" s="415">
        <f>SUM(D279:F279)</f>
        <v>74347.509999999995</v>
      </c>
      <c r="H279" s="418"/>
      <c r="I279" s="415">
        <f>N173</f>
        <v>46212.469999999994</v>
      </c>
      <c r="J279" s="442" t="str">
        <f>J173</f>
        <v>Amort.</v>
      </c>
      <c r="K279" s="415">
        <f>'Intangible Amort.'!J$20</f>
        <v>206.52</v>
      </c>
      <c r="L279" s="418">
        <f>-F279</f>
        <v>0</v>
      </c>
      <c r="M279" s="417">
        <v>0</v>
      </c>
      <c r="N279" s="408">
        <f>I279+K279-L279+M279</f>
        <v>46418.989999999991</v>
      </c>
    </row>
    <row r="280" spans="1:14" x14ac:dyDescent="0.2">
      <c r="A280" s="410">
        <f t="shared" si="59"/>
        <v>5</v>
      </c>
      <c r="B280" s="413">
        <v>303.10000000000002</v>
      </c>
      <c r="C280" s="414" t="s">
        <v>1028</v>
      </c>
      <c r="D280" s="415">
        <f>G174</f>
        <v>0</v>
      </c>
      <c r="E280" s="417">
        <v>0</v>
      </c>
      <c r="F280" s="417">
        <v>0</v>
      </c>
      <c r="G280" s="415">
        <f>SUM(D280:F280)</f>
        <v>0</v>
      </c>
      <c r="H280" s="418"/>
      <c r="I280" s="415">
        <f>N174</f>
        <v>0</v>
      </c>
      <c r="J280" s="442" t="str">
        <f>J174</f>
        <v>Amort.</v>
      </c>
      <c r="K280" s="417">
        <v>0</v>
      </c>
      <c r="L280" s="418">
        <f>-F280</f>
        <v>0</v>
      </c>
      <c r="M280" s="417">
        <v>0</v>
      </c>
      <c r="N280" s="408">
        <f>I280+K280-L280+M280</f>
        <v>0</v>
      </c>
    </row>
    <row r="281" spans="1:14" x14ac:dyDescent="0.2">
      <c r="A281" s="410">
        <f t="shared" si="59"/>
        <v>6</v>
      </c>
      <c r="B281" s="413">
        <v>303.2</v>
      </c>
      <c r="C281" s="414" t="s">
        <v>1029</v>
      </c>
      <c r="D281" s="415">
        <f>G175</f>
        <v>0</v>
      </c>
      <c r="E281" s="417">
        <v>0</v>
      </c>
      <c r="F281" s="417">
        <v>0</v>
      </c>
      <c r="G281" s="415">
        <f>SUM(D281:F281)</f>
        <v>0</v>
      </c>
      <c r="H281" s="418"/>
      <c r="I281" s="415">
        <f>N175</f>
        <v>0</v>
      </c>
      <c r="J281" s="442" t="str">
        <f>J175</f>
        <v>Amort.</v>
      </c>
      <c r="K281" s="417">
        <v>0</v>
      </c>
      <c r="L281" s="418">
        <f>-F281</f>
        <v>0</v>
      </c>
      <c r="M281" s="417">
        <v>0</v>
      </c>
      <c r="N281" s="408">
        <f>I281+K281-L281+M281</f>
        <v>0</v>
      </c>
    </row>
    <row r="282" spans="1:14" x14ac:dyDescent="0.2">
      <c r="A282" s="410">
        <f t="shared" si="59"/>
        <v>7</v>
      </c>
      <c r="B282" s="413">
        <v>303.3</v>
      </c>
      <c r="C282" s="414" t="s">
        <v>1030</v>
      </c>
      <c r="D282" s="421">
        <f>G176</f>
        <v>5448872</v>
      </c>
      <c r="E282" s="422">
        <v>162266</v>
      </c>
      <c r="F282" s="422">
        <v>0</v>
      </c>
      <c r="G282" s="421">
        <f>SUM(D282:F282)</f>
        <v>5611138</v>
      </c>
      <c r="H282" s="418"/>
      <c r="I282" s="421">
        <f>N176</f>
        <v>2283054.7868479122</v>
      </c>
      <c r="J282" s="442" t="str">
        <f>J176</f>
        <v>Amort.</v>
      </c>
      <c r="K282" s="421">
        <f>'Intangible Amort.'!J$93</f>
        <v>69139.193423955992</v>
      </c>
      <c r="L282" s="421">
        <f>-F282</f>
        <v>0</v>
      </c>
      <c r="M282" s="422">
        <v>0</v>
      </c>
      <c r="N282" s="423">
        <f>I282+K282-L282+M282</f>
        <v>2352193.9802718684</v>
      </c>
    </row>
    <row r="283" spans="1:14" x14ac:dyDescent="0.2">
      <c r="A283" s="410">
        <f t="shared" si="59"/>
        <v>8</v>
      </c>
      <c r="B283" s="413"/>
      <c r="C283" s="414" t="s">
        <v>1031</v>
      </c>
      <c r="D283" s="418">
        <f>SUM(D278:D282)</f>
        <v>5523740.71</v>
      </c>
      <c r="E283" s="418">
        <f>SUM(E278:E282)</f>
        <v>162266</v>
      </c>
      <c r="F283" s="418">
        <f>SUM(F278:F282)</f>
        <v>0</v>
      </c>
      <c r="G283" s="418">
        <f>SUM(G278:G282)</f>
        <v>5686006.71</v>
      </c>
      <c r="H283" s="418"/>
      <c r="I283" s="418">
        <f>SUM(I278:I282)</f>
        <v>2329267.2568479124</v>
      </c>
      <c r="J283" s="424"/>
      <c r="K283" s="418">
        <f>SUM(K278:K282)</f>
        <v>69345.713423955996</v>
      </c>
      <c r="L283" s="418">
        <f>SUM(L278:L282)</f>
        <v>0</v>
      </c>
      <c r="M283" s="418">
        <f>SUM(M278:M282)</f>
        <v>0</v>
      </c>
      <c r="N283" s="418">
        <f>SUM(N278:N282)</f>
        <v>2398612.9702718686</v>
      </c>
    </row>
    <row r="284" spans="1:14" x14ac:dyDescent="0.2">
      <c r="B284" s="425"/>
      <c r="D284" s="418"/>
      <c r="E284" s="418"/>
      <c r="F284" s="418"/>
      <c r="G284" s="418"/>
      <c r="H284" s="418"/>
      <c r="I284" s="418"/>
      <c r="J284" s="424"/>
      <c r="K284" s="418"/>
      <c r="L284" s="418"/>
      <c r="M284" s="418"/>
    </row>
    <row r="285" spans="1:14" x14ac:dyDescent="0.2">
      <c r="A285" s="410">
        <f>A283+1</f>
        <v>9</v>
      </c>
      <c r="B285" s="425"/>
      <c r="C285" s="411" t="s">
        <v>704</v>
      </c>
      <c r="D285" s="418"/>
      <c r="E285" s="418"/>
      <c r="F285" s="418"/>
      <c r="G285" s="418"/>
      <c r="H285" s="418"/>
      <c r="I285" s="418"/>
      <c r="J285" s="424"/>
      <c r="K285" s="418"/>
      <c r="L285" s="418"/>
      <c r="M285" s="418"/>
    </row>
    <row r="286" spans="1:14" x14ac:dyDescent="0.2">
      <c r="A286" s="410">
        <f>A285+1</f>
        <v>10</v>
      </c>
      <c r="B286" s="426">
        <v>304.10000000000002</v>
      </c>
      <c r="C286" s="427" t="s">
        <v>1032</v>
      </c>
      <c r="D286" s="421">
        <f>G180</f>
        <v>0</v>
      </c>
      <c r="E286" s="1662">
        <v>0</v>
      </c>
      <c r="F286" s="1662">
        <v>0</v>
      </c>
      <c r="G286" s="421">
        <f>SUM(D286:F286)</f>
        <v>0</v>
      </c>
      <c r="H286" s="418"/>
      <c r="I286" s="421">
        <f>N180</f>
        <v>0</v>
      </c>
      <c r="J286" s="442" t="str">
        <f>J180</f>
        <v>Non-Dep.</v>
      </c>
      <c r="K286" s="430">
        <v>0</v>
      </c>
      <c r="L286" s="421">
        <f>-F286</f>
        <v>0</v>
      </c>
      <c r="M286" s="422">
        <v>0</v>
      </c>
      <c r="N286" s="423">
        <f>I286+K286-L286+M286</f>
        <v>0</v>
      </c>
    </row>
    <row r="287" spans="1:14" x14ac:dyDescent="0.2">
      <c r="A287" s="410">
        <f>A286+1</f>
        <v>11</v>
      </c>
      <c r="B287" s="426"/>
      <c r="C287" s="431" t="s">
        <v>1079</v>
      </c>
      <c r="D287" s="418">
        <f>D286</f>
        <v>0</v>
      </c>
      <c r="E287" s="418">
        <f>E286</f>
        <v>0</v>
      </c>
      <c r="F287" s="418">
        <f>F286</f>
        <v>0</v>
      </c>
      <c r="G287" s="418">
        <f>G286</f>
        <v>0</v>
      </c>
      <c r="H287" s="418"/>
      <c r="I287" s="418">
        <f>I286</f>
        <v>0</v>
      </c>
      <c r="J287" s="432"/>
      <c r="K287" s="418">
        <f>SUM(K286)</f>
        <v>0</v>
      </c>
      <c r="L287" s="418">
        <f>SUM(L286)</f>
        <v>0</v>
      </c>
      <c r="M287" s="418">
        <f>M286</f>
        <v>0</v>
      </c>
      <c r="N287" s="418">
        <f>N286</f>
        <v>0</v>
      </c>
    </row>
    <row r="288" spans="1:14" x14ac:dyDescent="0.2">
      <c r="B288" s="425"/>
      <c r="D288" s="418"/>
      <c r="E288" s="418"/>
      <c r="F288" s="418"/>
      <c r="G288" s="418"/>
      <c r="H288" s="418"/>
      <c r="I288" s="418"/>
      <c r="J288" s="432"/>
      <c r="K288" s="418"/>
      <c r="L288" s="418"/>
      <c r="M288" s="418"/>
    </row>
    <row r="289" spans="1:14" x14ac:dyDescent="0.2">
      <c r="A289" s="410">
        <f>A287+1</f>
        <v>12</v>
      </c>
      <c r="B289" s="425"/>
      <c r="C289" s="411" t="s">
        <v>707</v>
      </c>
      <c r="D289" s="418"/>
      <c r="E289" s="418"/>
      <c r="F289" s="418"/>
      <c r="G289" s="418"/>
      <c r="H289" s="418"/>
      <c r="I289" s="418"/>
      <c r="J289" s="432"/>
      <c r="K289" s="418"/>
      <c r="L289" s="418"/>
      <c r="M289" s="418"/>
    </row>
    <row r="290" spans="1:14" x14ac:dyDescent="0.2">
      <c r="A290" s="410">
        <f>A289+1</f>
        <v>13</v>
      </c>
      <c r="B290" s="413">
        <v>374.1</v>
      </c>
      <c r="C290" s="414" t="s">
        <v>1035</v>
      </c>
      <c r="D290" s="415">
        <f t="shared" ref="D290:D300" si="60">G184</f>
        <v>206</v>
      </c>
      <c r="E290" s="417">
        <v>0</v>
      </c>
      <c r="F290" s="417">
        <v>0</v>
      </c>
      <c r="G290" s="415">
        <f>SUM(D290:F290)</f>
        <v>206</v>
      </c>
      <c r="H290" s="418"/>
      <c r="I290" s="415">
        <f t="shared" ref="I290:I300" si="61">N184</f>
        <v>0</v>
      </c>
      <c r="J290" s="442" t="str">
        <f t="shared" ref="J290:J300" si="62">J184</f>
        <v>Non-Dep.</v>
      </c>
      <c r="K290" s="417">
        <v>0</v>
      </c>
      <c r="L290" s="418">
        <f t="shared" ref="L290:L300" si="63">-F290</f>
        <v>0</v>
      </c>
      <c r="M290" s="417">
        <v>0</v>
      </c>
      <c r="N290" s="408">
        <f t="shared" ref="N290:N300" si="64">I290+K290-L290+M290</f>
        <v>0</v>
      </c>
    </row>
    <row r="291" spans="1:14" x14ac:dyDescent="0.2">
      <c r="A291" s="410">
        <f t="shared" ref="A291:A311" si="65">A290+1</f>
        <v>14</v>
      </c>
      <c r="B291" s="413">
        <v>374.2</v>
      </c>
      <c r="C291" s="414" t="s">
        <v>1036</v>
      </c>
      <c r="D291" s="415">
        <f t="shared" si="60"/>
        <v>877756.18</v>
      </c>
      <c r="E291" s="417">
        <v>0</v>
      </c>
      <c r="F291" s="417">
        <v>0</v>
      </c>
      <c r="G291" s="415">
        <f t="shared" ref="G291:G300" si="66">SUM(D291:F291)</f>
        <v>877756.18</v>
      </c>
      <c r="H291" s="418"/>
      <c r="I291" s="415">
        <f t="shared" si="61"/>
        <v>-523.13</v>
      </c>
      <c r="J291" s="442" t="str">
        <f t="shared" si="62"/>
        <v>Non-Dep.</v>
      </c>
      <c r="K291" s="417">
        <v>0</v>
      </c>
      <c r="L291" s="418">
        <f t="shared" si="63"/>
        <v>0</v>
      </c>
      <c r="M291" s="417">
        <v>0</v>
      </c>
      <c r="N291" s="408">
        <f t="shared" si="64"/>
        <v>-523.13</v>
      </c>
    </row>
    <row r="292" spans="1:14" x14ac:dyDescent="0.2">
      <c r="A292" s="410">
        <f t="shared" si="65"/>
        <v>15</v>
      </c>
      <c r="B292" s="413">
        <v>374.4</v>
      </c>
      <c r="C292" s="414" t="s">
        <v>1037</v>
      </c>
      <c r="D292" s="415">
        <f t="shared" si="60"/>
        <v>661305.66</v>
      </c>
      <c r="E292" s="417">
        <v>0</v>
      </c>
      <c r="F292" s="417">
        <v>0</v>
      </c>
      <c r="G292" s="415">
        <f t="shared" si="66"/>
        <v>661305.66</v>
      </c>
      <c r="H292" s="418"/>
      <c r="I292" s="415">
        <f t="shared" si="61"/>
        <v>172139.36</v>
      </c>
      <c r="J292" s="442">
        <f t="shared" si="62"/>
        <v>1.5299999999999999E-2</v>
      </c>
      <c r="K292" s="418">
        <f>ROUND((G292+D292)/2*J292/12,0)</f>
        <v>843</v>
      </c>
      <c r="L292" s="418">
        <f t="shared" si="63"/>
        <v>0</v>
      </c>
      <c r="M292" s="417">
        <v>0</v>
      </c>
      <c r="N292" s="408">
        <f t="shared" si="64"/>
        <v>172982.36</v>
      </c>
    </row>
    <row r="293" spans="1:14" x14ac:dyDescent="0.2">
      <c r="A293" s="410">
        <f t="shared" si="65"/>
        <v>16</v>
      </c>
      <c r="B293" s="413">
        <v>374.5</v>
      </c>
      <c r="C293" s="414" t="s">
        <v>1038</v>
      </c>
      <c r="D293" s="415">
        <f t="shared" si="60"/>
        <v>2689700.55</v>
      </c>
      <c r="E293" s="417">
        <v>286</v>
      </c>
      <c r="F293" s="417">
        <v>-34</v>
      </c>
      <c r="G293" s="415">
        <f t="shared" si="66"/>
        <v>2689952.55</v>
      </c>
      <c r="H293" s="418"/>
      <c r="I293" s="415">
        <f t="shared" si="61"/>
        <v>908811.23</v>
      </c>
      <c r="J293" s="442">
        <f t="shared" si="62"/>
        <v>1.2200000000000001E-2</v>
      </c>
      <c r="K293" s="418">
        <f t="shared" ref="K293:K298" si="67">ROUND((G293+D293)/2*J293/12,0)</f>
        <v>2735</v>
      </c>
      <c r="L293" s="418">
        <f t="shared" si="63"/>
        <v>34</v>
      </c>
      <c r="M293" s="417">
        <v>0</v>
      </c>
      <c r="N293" s="408">
        <f t="shared" si="64"/>
        <v>911512.23</v>
      </c>
    </row>
    <row r="294" spans="1:14" x14ac:dyDescent="0.2">
      <c r="A294" s="410">
        <f t="shared" si="65"/>
        <v>17</v>
      </c>
      <c r="B294" s="413">
        <v>375.2</v>
      </c>
      <c r="C294" s="414" t="s">
        <v>1039</v>
      </c>
      <c r="D294" s="415">
        <f t="shared" si="60"/>
        <v>2124.98</v>
      </c>
      <c r="E294" s="417">
        <v>0</v>
      </c>
      <c r="F294" s="417">
        <v>0</v>
      </c>
      <c r="G294" s="415">
        <f t="shared" si="66"/>
        <v>2124.98</v>
      </c>
      <c r="H294" s="418"/>
      <c r="I294" s="415">
        <f t="shared" si="61"/>
        <v>2003.32</v>
      </c>
      <c r="J294" s="442">
        <f t="shared" si="62"/>
        <v>1.9599999999999999E-2</v>
      </c>
      <c r="K294" s="418">
        <f t="shared" si="67"/>
        <v>3</v>
      </c>
      <c r="L294" s="418">
        <f t="shared" si="63"/>
        <v>0</v>
      </c>
      <c r="M294" s="417">
        <v>0</v>
      </c>
      <c r="N294" s="408">
        <f t="shared" si="64"/>
        <v>2006.32</v>
      </c>
    </row>
    <row r="295" spans="1:14" x14ac:dyDescent="0.2">
      <c r="A295" s="410">
        <f t="shared" si="65"/>
        <v>18</v>
      </c>
      <c r="B295" s="413">
        <v>375.3</v>
      </c>
      <c r="C295" s="414" t="s">
        <v>1040</v>
      </c>
      <c r="D295" s="415">
        <f t="shared" si="60"/>
        <v>0</v>
      </c>
      <c r="E295" s="417">
        <v>0</v>
      </c>
      <c r="F295" s="417">
        <v>0</v>
      </c>
      <c r="G295" s="415">
        <f t="shared" si="66"/>
        <v>0</v>
      </c>
      <c r="H295" s="418"/>
      <c r="I295" s="415">
        <f t="shared" si="61"/>
        <v>-77.66</v>
      </c>
      <c r="J295" s="442">
        <f t="shared" si="62"/>
        <v>1.9599999999999999E-2</v>
      </c>
      <c r="K295" s="418">
        <f t="shared" si="67"/>
        <v>0</v>
      </c>
      <c r="L295" s="418">
        <f t="shared" si="63"/>
        <v>0</v>
      </c>
      <c r="M295" s="417">
        <v>0</v>
      </c>
      <c r="N295" s="408">
        <f t="shared" si="64"/>
        <v>-77.66</v>
      </c>
    </row>
    <row r="296" spans="1:14" x14ac:dyDescent="0.2">
      <c r="A296" s="410">
        <f t="shared" si="65"/>
        <v>19</v>
      </c>
      <c r="B296" s="413">
        <v>375.4</v>
      </c>
      <c r="C296" s="414" t="s">
        <v>1041</v>
      </c>
      <c r="D296" s="415">
        <f t="shared" si="60"/>
        <v>1871767.02</v>
      </c>
      <c r="E296" s="417">
        <v>148</v>
      </c>
      <c r="F296" s="417">
        <v>-18</v>
      </c>
      <c r="G296" s="415">
        <f t="shared" si="66"/>
        <v>1871897.02</v>
      </c>
      <c r="H296" s="418"/>
      <c r="I296" s="415">
        <f t="shared" si="61"/>
        <v>492532.37</v>
      </c>
      <c r="J296" s="442">
        <f t="shared" si="62"/>
        <v>1.9599999999999999E-2</v>
      </c>
      <c r="K296" s="418">
        <f t="shared" si="67"/>
        <v>3057</v>
      </c>
      <c r="L296" s="418">
        <f t="shared" si="63"/>
        <v>18</v>
      </c>
      <c r="M296" s="417">
        <v>-2</v>
      </c>
      <c r="N296" s="408">
        <f t="shared" si="64"/>
        <v>495569.37</v>
      </c>
    </row>
    <row r="297" spans="1:14" x14ac:dyDescent="0.2">
      <c r="A297" s="410">
        <f t="shared" si="65"/>
        <v>20</v>
      </c>
      <c r="B297" s="413">
        <v>375.6</v>
      </c>
      <c r="C297" s="414" t="s">
        <v>1042</v>
      </c>
      <c r="D297" s="415">
        <f t="shared" si="60"/>
        <v>0</v>
      </c>
      <c r="E297" s="417">
        <v>0</v>
      </c>
      <c r="F297" s="417">
        <v>0</v>
      </c>
      <c r="G297" s="415">
        <f t="shared" si="66"/>
        <v>0</v>
      </c>
      <c r="H297" s="418"/>
      <c r="I297" s="415">
        <f t="shared" si="61"/>
        <v>0.02</v>
      </c>
      <c r="J297" s="442">
        <f t="shared" si="62"/>
        <v>1.9599999999999999E-2</v>
      </c>
      <c r="K297" s="418">
        <f t="shared" si="67"/>
        <v>0</v>
      </c>
      <c r="L297" s="418">
        <f t="shared" si="63"/>
        <v>0</v>
      </c>
      <c r="M297" s="417">
        <v>0</v>
      </c>
      <c r="N297" s="408">
        <f t="shared" si="64"/>
        <v>0.02</v>
      </c>
    </row>
    <row r="298" spans="1:14" x14ac:dyDescent="0.2">
      <c r="A298" s="410">
        <f t="shared" si="65"/>
        <v>21</v>
      </c>
      <c r="B298" s="413">
        <v>375.7</v>
      </c>
      <c r="C298" s="414" t="s">
        <v>1043</v>
      </c>
      <c r="D298" s="415">
        <f t="shared" si="60"/>
        <v>7980989.21</v>
      </c>
      <c r="E298" s="417">
        <v>0</v>
      </c>
      <c r="F298" s="417">
        <v>0</v>
      </c>
      <c r="G298" s="415">
        <f t="shared" si="66"/>
        <v>7980989.21</v>
      </c>
      <c r="H298" s="418"/>
      <c r="I298" s="415">
        <f t="shared" si="61"/>
        <v>3246537.06</v>
      </c>
      <c r="J298" s="442">
        <f t="shared" si="62"/>
        <v>1.9900000000000001E-2</v>
      </c>
      <c r="K298" s="418">
        <f t="shared" si="67"/>
        <v>13235</v>
      </c>
      <c r="L298" s="418">
        <f t="shared" si="63"/>
        <v>0</v>
      </c>
      <c r="M298" s="417">
        <v>0</v>
      </c>
      <c r="N298" s="408">
        <f t="shared" si="64"/>
        <v>3259772.06</v>
      </c>
    </row>
    <row r="299" spans="1:14" x14ac:dyDescent="0.2">
      <c r="A299" s="410">
        <f t="shared" si="65"/>
        <v>22</v>
      </c>
      <c r="B299" s="413">
        <v>375.71</v>
      </c>
      <c r="C299" s="414" t="s">
        <v>1044</v>
      </c>
      <c r="D299" s="415">
        <f t="shared" si="60"/>
        <v>259808.94</v>
      </c>
      <c r="E299" s="417">
        <v>0</v>
      </c>
      <c r="F299" s="417">
        <v>0</v>
      </c>
      <c r="G299" s="415">
        <f t="shared" si="66"/>
        <v>259808.94</v>
      </c>
      <c r="H299" s="418"/>
      <c r="I299" s="415">
        <f t="shared" si="61"/>
        <v>160663.15894736844</v>
      </c>
      <c r="J299" s="442" t="str">
        <f t="shared" si="62"/>
        <v>Amort.</v>
      </c>
      <c r="K299" s="417">
        <f>104653.88/38</f>
        <v>2754.0494736842106</v>
      </c>
      <c r="L299" s="418">
        <f t="shared" si="63"/>
        <v>0</v>
      </c>
      <c r="M299" s="417">
        <v>0</v>
      </c>
      <c r="N299" s="408">
        <f t="shared" si="64"/>
        <v>163417.20842105267</v>
      </c>
    </row>
    <row r="300" spans="1:14" x14ac:dyDescent="0.2">
      <c r="A300" s="410">
        <f t="shared" si="65"/>
        <v>23</v>
      </c>
      <c r="B300" s="413">
        <v>375.8</v>
      </c>
      <c r="C300" s="414" t="s">
        <v>1045</v>
      </c>
      <c r="D300" s="415">
        <f t="shared" si="60"/>
        <v>0</v>
      </c>
      <c r="E300" s="417">
        <v>0</v>
      </c>
      <c r="F300" s="417">
        <v>0</v>
      </c>
      <c r="G300" s="415">
        <f t="shared" si="66"/>
        <v>0</v>
      </c>
      <c r="H300" s="418"/>
      <c r="I300" s="415">
        <f t="shared" si="61"/>
        <v>0</v>
      </c>
      <c r="J300" s="442">
        <f t="shared" si="62"/>
        <v>5.3199999999999997E-2</v>
      </c>
      <c r="K300" s="417">
        <v>0</v>
      </c>
      <c r="L300" s="418">
        <f t="shared" si="63"/>
        <v>0</v>
      </c>
      <c r="M300" s="417">
        <v>0</v>
      </c>
      <c r="N300" s="408">
        <f t="shared" si="64"/>
        <v>0</v>
      </c>
    </row>
    <row r="301" spans="1:14" x14ac:dyDescent="0.2">
      <c r="A301" s="410">
        <f>A300+1</f>
        <v>24</v>
      </c>
      <c r="B301" s="413">
        <v>376</v>
      </c>
      <c r="C301" s="438" t="s">
        <v>1096</v>
      </c>
      <c r="D301" s="415"/>
      <c r="E301" s="417"/>
      <c r="F301" s="417"/>
      <c r="G301" s="415"/>
      <c r="H301" s="418"/>
      <c r="I301" s="439"/>
      <c r="J301" s="432"/>
      <c r="K301" s="418"/>
      <c r="L301" s="418"/>
      <c r="M301" s="417"/>
    </row>
    <row r="302" spans="1:14" x14ac:dyDescent="0.2">
      <c r="A302" s="410"/>
      <c r="B302" s="413"/>
      <c r="C302" s="440" t="s">
        <v>1097</v>
      </c>
      <c r="D302" s="415"/>
      <c r="E302" s="417"/>
      <c r="F302" s="417"/>
      <c r="G302" s="415"/>
      <c r="H302" s="418"/>
      <c r="I302" s="415"/>
      <c r="J302" s="442"/>
      <c r="K302" s="418"/>
      <c r="L302" s="418"/>
      <c r="M302" s="417"/>
      <c r="N302" s="408"/>
    </row>
    <row r="303" spans="1:14" x14ac:dyDescent="0.2">
      <c r="A303" s="410"/>
      <c r="B303" s="413"/>
      <c r="C303" s="440" t="s">
        <v>1098</v>
      </c>
      <c r="D303" s="415"/>
      <c r="E303" s="417"/>
      <c r="F303" s="417"/>
      <c r="G303" s="415"/>
      <c r="H303" s="418"/>
      <c r="I303" s="415"/>
      <c r="J303" s="442"/>
      <c r="K303" s="418"/>
      <c r="L303" s="418"/>
      <c r="M303" s="417"/>
      <c r="N303" s="408"/>
    </row>
    <row r="304" spans="1:14" x14ac:dyDescent="0.2">
      <c r="A304" s="410"/>
      <c r="B304" s="413"/>
      <c r="C304" s="440" t="s">
        <v>1099</v>
      </c>
      <c r="D304" s="415"/>
      <c r="E304" s="417"/>
      <c r="F304" s="417"/>
      <c r="G304" s="415"/>
      <c r="H304" s="418"/>
      <c r="I304" s="415"/>
      <c r="J304" s="442"/>
      <c r="K304" s="418"/>
      <c r="L304" s="418"/>
      <c r="M304" s="417"/>
      <c r="N304" s="408"/>
    </row>
    <row r="305" spans="1:14" x14ac:dyDescent="0.2">
      <c r="A305" s="410"/>
      <c r="B305" s="413"/>
      <c r="C305" s="440" t="s">
        <v>1100</v>
      </c>
      <c r="D305" s="415"/>
      <c r="E305" s="417"/>
      <c r="F305" s="417"/>
      <c r="G305" s="415"/>
      <c r="H305" s="418"/>
      <c r="I305" s="415"/>
      <c r="J305" s="442"/>
      <c r="K305" s="418"/>
      <c r="L305" s="418"/>
      <c r="M305" s="417"/>
      <c r="N305" s="408"/>
    </row>
    <row r="306" spans="1:14" x14ac:dyDescent="0.2">
      <c r="A306" s="410"/>
      <c r="B306" s="413"/>
      <c r="C306" s="440" t="s">
        <v>1101</v>
      </c>
      <c r="D306" s="415">
        <f t="shared" ref="D306:D311" si="68">G200</f>
        <v>204712194.44</v>
      </c>
      <c r="E306" s="417">
        <v>2139935</v>
      </c>
      <c r="F306" s="417">
        <v>-256792</v>
      </c>
      <c r="G306" s="415">
        <f t="shared" ref="G306:G311" si="69">SUM(D306:F306)</f>
        <v>206595337.44</v>
      </c>
      <c r="H306" s="418"/>
      <c r="I306" s="415">
        <f t="shared" ref="I306:I311" si="70">N200</f>
        <v>56619490.609999999</v>
      </c>
      <c r="J306" s="442">
        <f t="shared" ref="J306:J311" si="71">J200</f>
        <v>1.5699999999999999E-2</v>
      </c>
      <c r="K306" s="418">
        <f t="shared" ref="K306:K311" si="72">ROUND((G306+D306)/2*J306/12,0)</f>
        <v>269064</v>
      </c>
      <c r="L306" s="418">
        <f t="shared" ref="L306:L311" si="73">-F306</f>
        <v>256792</v>
      </c>
      <c r="M306" s="417">
        <v>-38519</v>
      </c>
      <c r="N306" s="408">
        <f t="shared" ref="N306:N311" si="74">I306+K306-L306+M306</f>
        <v>56593243.609999999</v>
      </c>
    </row>
    <row r="307" spans="1:14" x14ac:dyDescent="0.2">
      <c r="A307" s="410">
        <f>A301+1</f>
        <v>25</v>
      </c>
      <c r="B307" s="413">
        <v>378.1</v>
      </c>
      <c r="C307" s="414" t="s">
        <v>1047</v>
      </c>
      <c r="D307" s="415">
        <f t="shared" si="68"/>
        <v>518504.18</v>
      </c>
      <c r="E307" s="417">
        <v>0</v>
      </c>
      <c r="F307" s="417">
        <v>0</v>
      </c>
      <c r="G307" s="415">
        <f t="shared" si="69"/>
        <v>518504.18</v>
      </c>
      <c r="H307" s="418"/>
      <c r="I307" s="415">
        <f t="shared" si="70"/>
        <v>355341.81</v>
      </c>
      <c r="J307" s="442">
        <f t="shared" si="71"/>
        <v>2.35E-2</v>
      </c>
      <c r="K307" s="418">
        <f t="shared" si="72"/>
        <v>1015</v>
      </c>
      <c r="L307" s="418">
        <f t="shared" si="73"/>
        <v>0</v>
      </c>
      <c r="M307" s="417">
        <v>0</v>
      </c>
      <c r="N307" s="408">
        <f t="shared" si="74"/>
        <v>356356.81</v>
      </c>
    </row>
    <row r="308" spans="1:14" x14ac:dyDescent="0.2">
      <c r="A308" s="410">
        <f t="shared" si="65"/>
        <v>26</v>
      </c>
      <c r="B308" s="413">
        <v>378.2</v>
      </c>
      <c r="C308" s="414" t="s">
        <v>1048</v>
      </c>
      <c r="D308" s="415">
        <f t="shared" si="68"/>
        <v>9528599</v>
      </c>
      <c r="E308" s="417">
        <v>-2240</v>
      </c>
      <c r="F308" s="417">
        <v>269</v>
      </c>
      <c r="G308" s="415">
        <f t="shared" si="69"/>
        <v>9526628</v>
      </c>
      <c r="H308" s="418"/>
      <c r="I308" s="415">
        <f t="shared" si="70"/>
        <v>3254334.91</v>
      </c>
      <c r="J308" s="442">
        <f t="shared" si="71"/>
        <v>2.35E-2</v>
      </c>
      <c r="K308" s="418">
        <f t="shared" si="72"/>
        <v>18658</v>
      </c>
      <c r="L308" s="418">
        <f t="shared" si="73"/>
        <v>-269</v>
      </c>
      <c r="M308" s="417">
        <v>13</v>
      </c>
      <c r="N308" s="408">
        <f t="shared" si="74"/>
        <v>3273274.91</v>
      </c>
    </row>
    <row r="309" spans="1:14" x14ac:dyDescent="0.2">
      <c r="A309" s="410">
        <f t="shared" si="65"/>
        <v>27</v>
      </c>
      <c r="B309" s="413">
        <v>378.3</v>
      </c>
      <c r="C309" s="414" t="s">
        <v>1049</v>
      </c>
      <c r="D309" s="415">
        <f t="shared" si="68"/>
        <v>45443.08</v>
      </c>
      <c r="E309" s="417">
        <v>0</v>
      </c>
      <c r="F309" s="417">
        <v>0</v>
      </c>
      <c r="G309" s="415">
        <f t="shared" si="69"/>
        <v>45443.08</v>
      </c>
      <c r="H309" s="418"/>
      <c r="I309" s="415">
        <f t="shared" si="70"/>
        <v>35166.04</v>
      </c>
      <c r="J309" s="442">
        <f t="shared" si="71"/>
        <v>2.35E-2</v>
      </c>
      <c r="K309" s="418">
        <f t="shared" si="72"/>
        <v>89</v>
      </c>
      <c r="L309" s="418">
        <f t="shared" si="73"/>
        <v>0</v>
      </c>
      <c r="M309" s="417">
        <v>0</v>
      </c>
      <c r="N309" s="408">
        <f t="shared" si="74"/>
        <v>35255.040000000001</v>
      </c>
    </row>
    <row r="310" spans="1:14" x14ac:dyDescent="0.2">
      <c r="A310" s="410">
        <f t="shared" si="65"/>
        <v>28</v>
      </c>
      <c r="B310" s="413">
        <v>379.1</v>
      </c>
      <c r="C310" s="414" t="s">
        <v>1050</v>
      </c>
      <c r="D310" s="415">
        <f t="shared" si="68"/>
        <v>254900.59</v>
      </c>
      <c r="E310" s="417">
        <v>0</v>
      </c>
      <c r="F310" s="417">
        <v>0</v>
      </c>
      <c r="G310" s="415">
        <f t="shared" si="69"/>
        <v>254900.59</v>
      </c>
      <c r="H310" s="418"/>
      <c r="I310" s="415">
        <f t="shared" si="70"/>
        <v>267730.57</v>
      </c>
      <c r="J310" s="442">
        <f t="shared" si="71"/>
        <v>2.2700000000000001E-2</v>
      </c>
      <c r="K310" s="417">
        <v>0</v>
      </c>
      <c r="L310" s="418">
        <f t="shared" si="73"/>
        <v>0</v>
      </c>
      <c r="M310" s="417">
        <v>0</v>
      </c>
      <c r="N310" s="408">
        <f t="shared" si="74"/>
        <v>267730.57</v>
      </c>
    </row>
    <row r="311" spans="1:14" x14ac:dyDescent="0.2">
      <c r="A311" s="410">
        <f t="shared" si="65"/>
        <v>29</v>
      </c>
      <c r="B311" s="413">
        <v>380</v>
      </c>
      <c r="C311" s="414" t="s">
        <v>1051</v>
      </c>
      <c r="D311" s="415">
        <f t="shared" si="68"/>
        <v>117779144.77</v>
      </c>
      <c r="E311" s="417">
        <v>800347</v>
      </c>
      <c r="F311" s="417">
        <v>-96042</v>
      </c>
      <c r="G311" s="415">
        <f t="shared" si="69"/>
        <v>118483449.77</v>
      </c>
      <c r="H311" s="418"/>
      <c r="I311" s="415">
        <f t="shared" si="70"/>
        <v>57787649.520000003</v>
      </c>
      <c r="J311" s="442">
        <f t="shared" si="71"/>
        <v>2.5899999999999999E-2</v>
      </c>
      <c r="K311" s="418">
        <f t="shared" si="72"/>
        <v>254967</v>
      </c>
      <c r="L311" s="418">
        <f t="shared" si="73"/>
        <v>96042</v>
      </c>
      <c r="M311" s="417">
        <v>-48021</v>
      </c>
      <c r="N311" s="408">
        <f t="shared" si="74"/>
        <v>57898553.520000003</v>
      </c>
    </row>
    <row r="312" spans="1:14" x14ac:dyDescent="0.2">
      <c r="A312" s="410"/>
      <c r="B312" s="444"/>
      <c r="C312" s="414"/>
      <c r="D312" s="439"/>
      <c r="E312" s="418"/>
      <c r="F312" s="418"/>
      <c r="G312" s="439"/>
      <c r="H312" s="418"/>
      <c r="I312" s="418"/>
      <c r="J312" s="418"/>
      <c r="K312" s="418"/>
      <c r="L312" s="418"/>
    </row>
    <row r="313" spans="1:14" x14ac:dyDescent="0.2">
      <c r="A313" s="2073" t="str">
        <f>co</f>
        <v>COLUMBIA GAS OF KENTUCKY, INC.</v>
      </c>
      <c r="B313" s="2073"/>
      <c r="C313" s="2073"/>
      <c r="D313" s="2073"/>
      <c r="E313" s="2073"/>
      <c r="F313" s="2073"/>
      <c r="G313" s="2073"/>
      <c r="H313" s="2073"/>
      <c r="I313" s="2073"/>
      <c r="J313" s="2073"/>
      <c r="K313" s="2073"/>
      <c r="L313" s="2073"/>
      <c r="M313" s="2073"/>
      <c r="N313" s="2073"/>
    </row>
    <row r="314" spans="1:14" x14ac:dyDescent="0.2">
      <c r="A314" s="2073" t="str">
        <f>case</f>
        <v>CASE NO. 2016 - 00162</v>
      </c>
      <c r="B314" s="2073"/>
      <c r="C314" s="2073"/>
      <c r="D314" s="2073"/>
      <c r="E314" s="2073"/>
      <c r="F314" s="2073"/>
      <c r="G314" s="2073"/>
      <c r="H314" s="2073"/>
      <c r="I314" s="2073"/>
      <c r="J314" s="2073"/>
      <c r="K314" s="2073"/>
      <c r="L314" s="2073"/>
      <c r="M314" s="2073"/>
      <c r="N314" s="2073"/>
    </row>
    <row r="315" spans="1:14" x14ac:dyDescent="0.2">
      <c r="A315" s="2074" t="s">
        <v>1106</v>
      </c>
      <c r="B315" s="2073"/>
      <c r="C315" s="2073"/>
      <c r="D315" s="2073"/>
      <c r="E315" s="2073"/>
      <c r="F315" s="2073"/>
      <c r="G315" s="2073"/>
      <c r="H315" s="2073"/>
      <c r="I315" s="2073"/>
      <c r="J315" s="2073"/>
      <c r="K315" s="2073"/>
      <c r="L315" s="2073"/>
      <c r="M315" s="2073"/>
      <c r="N315" s="2073"/>
    </row>
    <row r="316" spans="1:14" x14ac:dyDescent="0.2">
      <c r="A316" s="2078" t="s">
        <v>2142</v>
      </c>
      <c r="B316" s="2078"/>
      <c r="C316" s="2078"/>
      <c r="D316" s="2078"/>
      <c r="E316" s="2078"/>
      <c r="F316" s="2078"/>
      <c r="G316" s="2078"/>
      <c r="H316" s="2078"/>
      <c r="I316" s="2078"/>
      <c r="J316" s="2078"/>
      <c r="K316" s="2078"/>
      <c r="L316" s="2078"/>
      <c r="M316" s="2078"/>
      <c r="N316" s="2078"/>
    </row>
    <row r="318" spans="1:14" x14ac:dyDescent="0.2">
      <c r="A318" s="388" t="s">
        <v>976</v>
      </c>
      <c r="M318" s="386"/>
      <c r="N318" s="387" t="s">
        <v>763</v>
      </c>
    </row>
    <row r="319" spans="1:14" x14ac:dyDescent="0.2">
      <c r="A319" s="388" t="s">
        <v>977</v>
      </c>
      <c r="M319" s="386"/>
      <c r="N319" s="387" t="s">
        <v>999</v>
      </c>
    </row>
    <row r="320" spans="1:14" x14ac:dyDescent="0.2">
      <c r="A320" s="445" t="str">
        <f>A267</f>
        <v>WORKPAPER REFERENCE NO(S).: WPB-2.3</v>
      </c>
      <c r="B320" s="391"/>
      <c r="C320" s="391"/>
      <c r="D320" s="391"/>
      <c r="E320" s="391"/>
      <c r="F320" s="391"/>
      <c r="G320" s="391"/>
      <c r="H320" s="391"/>
      <c r="M320" s="392"/>
      <c r="N320" s="393" t="str">
        <f>SMK</f>
        <v>WITNESS:  S. M. KATKO</v>
      </c>
    </row>
    <row r="321" spans="1:14" x14ac:dyDescent="0.2">
      <c r="A321" s="390"/>
      <c r="B321" s="391"/>
      <c r="C321" s="391"/>
      <c r="D321" s="391"/>
      <c r="E321" s="391"/>
      <c r="F321" s="391"/>
      <c r="G321" s="391"/>
      <c r="H321" s="391"/>
      <c r="I321" s="392"/>
      <c r="J321" s="393"/>
      <c r="L321" s="386"/>
      <c r="M321" s="386"/>
    </row>
    <row r="322" spans="1:14" x14ac:dyDescent="0.2">
      <c r="A322" s="390"/>
      <c r="B322" s="391"/>
      <c r="C322" s="391"/>
      <c r="D322" s="2075" t="s">
        <v>1088</v>
      </c>
      <c r="E322" s="2075"/>
      <c r="F322" s="2075"/>
      <c r="G322" s="2075"/>
      <c r="H322" s="391"/>
      <c r="I322" s="2076" t="s">
        <v>1093</v>
      </c>
      <c r="J322" s="2077"/>
      <c r="K322" s="2077"/>
      <c r="L322" s="2077"/>
      <c r="M322" s="2077"/>
      <c r="N322" s="2077"/>
    </row>
    <row r="323" spans="1:14" x14ac:dyDescent="0.2">
      <c r="A323" s="394"/>
      <c r="B323" s="391"/>
      <c r="C323" s="391"/>
      <c r="D323" s="396" t="s">
        <v>1084</v>
      </c>
      <c r="E323" s="391"/>
      <c r="F323" s="391"/>
      <c r="G323" s="395"/>
      <c r="H323" s="395"/>
      <c r="I323" s="397" t="s">
        <v>1089</v>
      </c>
      <c r="J323" s="396"/>
      <c r="M323" s="386"/>
    </row>
    <row r="324" spans="1:14" x14ac:dyDescent="0.2">
      <c r="A324" s="383"/>
      <c r="D324" s="397" t="s">
        <v>865</v>
      </c>
      <c r="G324" s="397" t="s">
        <v>867</v>
      </c>
      <c r="H324" s="398"/>
      <c r="I324" s="397" t="s">
        <v>865</v>
      </c>
      <c r="J324" s="397" t="s">
        <v>956</v>
      </c>
      <c r="M324" s="386"/>
      <c r="N324" s="397" t="s">
        <v>867</v>
      </c>
    </row>
    <row r="325" spans="1:14" x14ac:dyDescent="0.2">
      <c r="A325" s="397" t="s">
        <v>1080</v>
      </c>
      <c r="B325" s="397" t="s">
        <v>1082</v>
      </c>
      <c r="D325" s="397" t="s">
        <v>867</v>
      </c>
      <c r="G325" s="399" t="s">
        <v>1087</v>
      </c>
      <c r="H325" s="398"/>
      <c r="I325" s="399" t="s">
        <v>867</v>
      </c>
      <c r="J325" s="397" t="s">
        <v>1090</v>
      </c>
      <c r="K325" s="397" t="s">
        <v>956</v>
      </c>
      <c r="M325" s="399" t="s">
        <v>1092</v>
      </c>
      <c r="N325" s="399" t="s">
        <v>1087</v>
      </c>
    </row>
    <row r="326" spans="1:14" x14ac:dyDescent="0.2">
      <c r="A326" s="400" t="s">
        <v>1081</v>
      </c>
      <c r="B326" s="400" t="s">
        <v>1081</v>
      </c>
      <c r="C326" s="401" t="s">
        <v>1083</v>
      </c>
      <c r="D326" s="404" t="str">
        <f>D273</f>
        <v>04/30/2016</v>
      </c>
      <c r="E326" s="400" t="s">
        <v>1085</v>
      </c>
      <c r="F326" s="400" t="s">
        <v>1086</v>
      </c>
      <c r="G326" s="404" t="str">
        <f>G273</f>
        <v>05/31/2016</v>
      </c>
      <c r="H326" s="398"/>
      <c r="I326" s="404" t="str">
        <f>D326</f>
        <v>04/30/2016</v>
      </c>
      <c r="J326" s="400" t="s">
        <v>1091</v>
      </c>
      <c r="K326" s="402" t="s">
        <v>1090</v>
      </c>
      <c r="L326" s="402" t="s">
        <v>1086</v>
      </c>
      <c r="M326" s="402" t="s">
        <v>955</v>
      </c>
      <c r="N326" s="404" t="str">
        <f>G326</f>
        <v>05/31/2016</v>
      </c>
    </row>
    <row r="327" spans="1:14" x14ac:dyDescent="0.2">
      <c r="A327" s="406"/>
      <c r="B327" s="406"/>
      <c r="C327" s="406"/>
      <c r="D327" s="406" t="str">
        <f>"(1)"</f>
        <v>(1)</v>
      </c>
      <c r="E327" s="406" t="str">
        <f>"(2)"</f>
        <v>(2)</v>
      </c>
      <c r="F327" s="406" t="str">
        <f>"(3)"</f>
        <v>(3)</v>
      </c>
      <c r="G327" s="406" t="str">
        <f>"(4)=(1+2+3)"</f>
        <v>(4)=(1+2+3)</v>
      </c>
      <c r="H327" s="406"/>
      <c r="I327" s="406" t="str">
        <f>"(5)"</f>
        <v>(5)</v>
      </c>
      <c r="J327" s="406" t="str">
        <f>"(6)"</f>
        <v>(6)</v>
      </c>
      <c r="K327" s="406" t="str">
        <f>"(7)=((1+4)/2*6/12))"</f>
        <v>(7)=((1+4)/2*6/12))</v>
      </c>
      <c r="L327" s="406" t="str">
        <f>"(8)"</f>
        <v>(8)</v>
      </c>
      <c r="M327" s="406" t="str">
        <f>"(9)"</f>
        <v>(9)</v>
      </c>
      <c r="N327" s="406" t="str">
        <f>"(10)=(5+7-8+9)"</f>
        <v>(10)=(5+7-8+9)</v>
      </c>
    </row>
    <row r="328" spans="1:14" x14ac:dyDescent="0.2">
      <c r="D328" s="410" t="s">
        <v>639</v>
      </c>
      <c r="E328" s="410" t="s">
        <v>639</v>
      </c>
      <c r="F328" s="410" t="s">
        <v>639</v>
      </c>
      <c r="G328" s="410" t="s">
        <v>639</v>
      </c>
      <c r="H328" s="410"/>
      <c r="I328" s="410" t="s">
        <v>639</v>
      </c>
      <c r="J328" s="410" t="s">
        <v>639</v>
      </c>
      <c r="K328" s="410" t="s">
        <v>639</v>
      </c>
      <c r="L328" s="410" t="s">
        <v>639</v>
      </c>
      <c r="M328" s="410" t="s">
        <v>639</v>
      </c>
      <c r="N328" s="410" t="s">
        <v>639</v>
      </c>
    </row>
    <row r="329" spans="1:14" x14ac:dyDescent="0.2">
      <c r="C329" s="411" t="s">
        <v>707</v>
      </c>
      <c r="D329" s="410"/>
      <c r="E329" s="410"/>
      <c r="F329" s="410"/>
      <c r="G329" s="410"/>
      <c r="J329" s="410"/>
    </row>
    <row r="330" spans="1:14" x14ac:dyDescent="0.2">
      <c r="A330" s="405">
        <v>1</v>
      </c>
      <c r="B330" s="446">
        <v>381</v>
      </c>
      <c r="C330" s="414" t="s">
        <v>1052</v>
      </c>
      <c r="D330" s="415">
        <f t="shared" ref="D330:D341" si="75">G224</f>
        <v>13497095.550000001</v>
      </c>
      <c r="E330" s="417">
        <v>58620</v>
      </c>
      <c r="F330" s="417">
        <v>-7034</v>
      </c>
      <c r="G330" s="415">
        <f>SUM(D330:F330)</f>
        <v>13548681.550000001</v>
      </c>
      <c r="H330" s="418"/>
      <c r="I330" s="415">
        <f t="shared" ref="I330:I341" si="76">N224</f>
        <v>4725341.8899999997</v>
      </c>
      <c r="J330" s="442">
        <f t="shared" ref="J330:J341" si="77">J224</f>
        <v>2.5899999999999999E-2</v>
      </c>
      <c r="K330" s="418">
        <f t="shared" ref="K330:K341" si="78">ROUND((G330+D330)/2*J330/12,0)</f>
        <v>29187</v>
      </c>
      <c r="L330" s="418">
        <f t="shared" ref="L330:L341" si="79">-F330</f>
        <v>7034</v>
      </c>
      <c r="M330" s="417">
        <v>0</v>
      </c>
      <c r="N330" s="408">
        <f t="shared" ref="N330:N341" si="80">I330+K330-L330+M330</f>
        <v>4747494.8899999997</v>
      </c>
    </row>
    <row r="331" spans="1:14" x14ac:dyDescent="0.2">
      <c r="A331" s="405">
        <f>A330+1</f>
        <v>2</v>
      </c>
      <c r="B331" s="446">
        <v>381.1</v>
      </c>
      <c r="C331" s="414" t="s">
        <v>1052</v>
      </c>
      <c r="D331" s="415">
        <f t="shared" si="75"/>
        <v>8754021.0600000005</v>
      </c>
      <c r="E331" s="417">
        <v>998</v>
      </c>
      <c r="F331" s="417">
        <v>-120</v>
      </c>
      <c r="G331" s="415">
        <f>SUM(D331:F331)</f>
        <v>8754899.0600000005</v>
      </c>
      <c r="H331" s="418"/>
      <c r="I331" s="415">
        <f t="shared" si="76"/>
        <v>404348.5</v>
      </c>
      <c r="J331" s="442">
        <f t="shared" si="77"/>
        <v>2.5899999999999999E-2</v>
      </c>
      <c r="K331" s="418">
        <f t="shared" si="78"/>
        <v>18895</v>
      </c>
      <c r="L331" s="418">
        <f t="shared" si="79"/>
        <v>120</v>
      </c>
      <c r="M331" s="417">
        <v>0</v>
      </c>
      <c r="N331" s="408">
        <f t="shared" si="80"/>
        <v>423123.5</v>
      </c>
    </row>
    <row r="332" spans="1:14" x14ac:dyDescent="0.2">
      <c r="A332" s="405">
        <f t="shared" ref="A332:A342" si="81">A331+1</f>
        <v>3</v>
      </c>
      <c r="B332" s="446">
        <v>382</v>
      </c>
      <c r="C332" s="414" t="s">
        <v>1053</v>
      </c>
      <c r="D332" s="415">
        <f t="shared" si="75"/>
        <v>9033558.6500000004</v>
      </c>
      <c r="E332" s="417">
        <v>14017</v>
      </c>
      <c r="F332" s="417">
        <v>-1682</v>
      </c>
      <c r="G332" s="415">
        <f t="shared" ref="G332:G337" si="82">SUM(D332:F332)</f>
        <v>9045893.6500000004</v>
      </c>
      <c r="H332" s="418"/>
      <c r="I332" s="415">
        <f t="shared" si="76"/>
        <v>4514991.3</v>
      </c>
      <c r="J332" s="442">
        <f t="shared" si="77"/>
        <v>2.3900000000000001E-2</v>
      </c>
      <c r="K332" s="418">
        <f t="shared" si="78"/>
        <v>18004</v>
      </c>
      <c r="L332" s="418">
        <f t="shared" si="79"/>
        <v>1682</v>
      </c>
      <c r="M332" s="417">
        <v>-84</v>
      </c>
      <c r="N332" s="408">
        <f t="shared" si="80"/>
        <v>4531229.3</v>
      </c>
    </row>
    <row r="333" spans="1:14" x14ac:dyDescent="0.2">
      <c r="A333" s="405">
        <f t="shared" si="81"/>
        <v>4</v>
      </c>
      <c r="B333" s="446">
        <v>383</v>
      </c>
      <c r="C333" s="414" t="s">
        <v>1054</v>
      </c>
      <c r="D333" s="415">
        <f t="shared" si="75"/>
        <v>5546037.7599999998</v>
      </c>
      <c r="E333" s="417">
        <v>12505</v>
      </c>
      <c r="F333" s="417">
        <v>-1501</v>
      </c>
      <c r="G333" s="415">
        <f t="shared" si="82"/>
        <v>5557041.7599999998</v>
      </c>
      <c r="H333" s="418"/>
      <c r="I333" s="415">
        <f t="shared" si="76"/>
        <v>1470387.41</v>
      </c>
      <c r="J333" s="442">
        <f t="shared" si="77"/>
        <v>1.3899999999999999E-2</v>
      </c>
      <c r="K333" s="418">
        <f t="shared" si="78"/>
        <v>6431</v>
      </c>
      <c r="L333" s="418">
        <f t="shared" si="79"/>
        <v>1501</v>
      </c>
      <c r="M333" s="417">
        <v>-75</v>
      </c>
      <c r="N333" s="408">
        <f t="shared" si="80"/>
        <v>1475242.41</v>
      </c>
    </row>
    <row r="334" spans="1:14" x14ac:dyDescent="0.2">
      <c r="A334" s="405">
        <f t="shared" si="81"/>
        <v>5</v>
      </c>
      <c r="B334" s="446">
        <v>384</v>
      </c>
      <c r="C334" s="414" t="s">
        <v>1055</v>
      </c>
      <c r="D334" s="415">
        <f t="shared" si="75"/>
        <v>2257522</v>
      </c>
      <c r="E334" s="417">
        <v>0</v>
      </c>
      <c r="F334" s="417">
        <v>0</v>
      </c>
      <c r="G334" s="415">
        <f t="shared" si="82"/>
        <v>2257522</v>
      </c>
      <c r="H334" s="418"/>
      <c r="I334" s="415">
        <f t="shared" si="76"/>
        <v>1752776.73</v>
      </c>
      <c r="J334" s="442">
        <f t="shared" si="77"/>
        <v>1.0999999999999999E-2</v>
      </c>
      <c r="K334" s="418">
        <f t="shared" si="78"/>
        <v>2069</v>
      </c>
      <c r="L334" s="418">
        <f t="shared" si="79"/>
        <v>0</v>
      </c>
      <c r="M334" s="417">
        <v>0</v>
      </c>
      <c r="N334" s="408">
        <f t="shared" si="80"/>
        <v>1754845.73</v>
      </c>
    </row>
    <row r="335" spans="1:14" x14ac:dyDescent="0.2">
      <c r="A335" s="405">
        <f t="shared" si="81"/>
        <v>6</v>
      </c>
      <c r="B335" s="446">
        <v>385</v>
      </c>
      <c r="C335" s="414" t="s">
        <v>1056</v>
      </c>
      <c r="D335" s="415">
        <f t="shared" si="75"/>
        <v>3098094.36</v>
      </c>
      <c r="E335" s="417">
        <v>39022</v>
      </c>
      <c r="F335" s="417">
        <v>-4683</v>
      </c>
      <c r="G335" s="415">
        <f t="shared" si="82"/>
        <v>3132433.36</v>
      </c>
      <c r="H335" s="418"/>
      <c r="I335" s="415">
        <f t="shared" si="76"/>
        <v>867980.55</v>
      </c>
      <c r="J335" s="442">
        <f t="shared" si="77"/>
        <v>2.0899999999999998E-2</v>
      </c>
      <c r="K335" s="418">
        <f t="shared" si="78"/>
        <v>5426</v>
      </c>
      <c r="L335" s="418">
        <f t="shared" si="79"/>
        <v>4683</v>
      </c>
      <c r="M335" s="417">
        <v>-234</v>
      </c>
      <c r="N335" s="408">
        <f t="shared" si="80"/>
        <v>868489.55</v>
      </c>
    </row>
    <row r="336" spans="1:14" x14ac:dyDescent="0.2">
      <c r="A336" s="405">
        <f t="shared" si="81"/>
        <v>7</v>
      </c>
      <c r="B336" s="446">
        <v>387.2</v>
      </c>
      <c r="C336" s="414" t="s">
        <v>1057</v>
      </c>
      <c r="D336" s="415">
        <f t="shared" si="75"/>
        <v>0</v>
      </c>
      <c r="E336" s="417">
        <v>0</v>
      </c>
      <c r="F336" s="417">
        <v>0</v>
      </c>
      <c r="G336" s="415">
        <f t="shared" si="82"/>
        <v>0</v>
      </c>
      <c r="H336" s="418"/>
      <c r="I336" s="415">
        <f t="shared" si="76"/>
        <v>-59912.03</v>
      </c>
      <c r="J336" s="442">
        <f t="shared" si="77"/>
        <v>2.3199999999999998E-2</v>
      </c>
      <c r="K336" s="418">
        <f t="shared" si="78"/>
        <v>0</v>
      </c>
      <c r="L336" s="418">
        <f t="shared" si="79"/>
        <v>0</v>
      </c>
      <c r="M336" s="417">
        <v>0</v>
      </c>
      <c r="N336" s="408">
        <f t="shared" si="80"/>
        <v>-59912.03</v>
      </c>
    </row>
    <row r="337" spans="1:14" x14ac:dyDescent="0.2">
      <c r="A337" s="405">
        <f t="shared" si="81"/>
        <v>8</v>
      </c>
      <c r="B337" s="446">
        <v>387.41</v>
      </c>
      <c r="C337" s="414" t="s">
        <v>1058</v>
      </c>
      <c r="D337" s="415">
        <f t="shared" si="75"/>
        <v>735770.76</v>
      </c>
      <c r="E337" s="417">
        <v>0</v>
      </c>
      <c r="F337" s="417">
        <v>0</v>
      </c>
      <c r="G337" s="415">
        <f t="shared" si="82"/>
        <v>735770.76</v>
      </c>
      <c r="H337" s="418"/>
      <c r="I337" s="415">
        <f t="shared" si="76"/>
        <v>374577.95</v>
      </c>
      <c r="J337" s="442">
        <f t="shared" si="77"/>
        <v>2.3400000000000001E-2</v>
      </c>
      <c r="K337" s="418">
        <f t="shared" si="78"/>
        <v>1435</v>
      </c>
      <c r="L337" s="418">
        <f t="shared" si="79"/>
        <v>0</v>
      </c>
      <c r="M337" s="417">
        <v>0</v>
      </c>
      <c r="N337" s="408">
        <f t="shared" si="80"/>
        <v>376012.95</v>
      </c>
    </row>
    <row r="338" spans="1:14" x14ac:dyDescent="0.2">
      <c r="A338" s="405">
        <f t="shared" si="81"/>
        <v>9</v>
      </c>
      <c r="B338" s="446">
        <v>387.42</v>
      </c>
      <c r="C338" s="414" t="s">
        <v>1059</v>
      </c>
      <c r="D338" s="415">
        <f t="shared" si="75"/>
        <v>795186.58</v>
      </c>
      <c r="E338" s="417">
        <v>0</v>
      </c>
      <c r="F338" s="417">
        <v>0</v>
      </c>
      <c r="G338" s="415">
        <f>SUM(D338:F338)</f>
        <v>795186.58</v>
      </c>
      <c r="H338" s="418"/>
      <c r="I338" s="415">
        <f t="shared" si="76"/>
        <v>540137.94999999995</v>
      </c>
      <c r="J338" s="442">
        <f t="shared" si="77"/>
        <v>2.3400000000000001E-2</v>
      </c>
      <c r="K338" s="418">
        <f t="shared" si="78"/>
        <v>1551</v>
      </c>
      <c r="L338" s="418">
        <f t="shared" si="79"/>
        <v>0</v>
      </c>
      <c r="M338" s="417">
        <v>0</v>
      </c>
      <c r="N338" s="408">
        <f t="shared" si="80"/>
        <v>541688.94999999995</v>
      </c>
    </row>
    <row r="339" spans="1:14" x14ac:dyDescent="0.2">
      <c r="A339" s="405">
        <f t="shared" si="81"/>
        <v>10</v>
      </c>
      <c r="B339" s="446">
        <v>387.44</v>
      </c>
      <c r="C339" s="414" t="s">
        <v>1060</v>
      </c>
      <c r="D339" s="415">
        <f t="shared" si="75"/>
        <v>133589.93</v>
      </c>
      <c r="E339" s="417">
        <v>0</v>
      </c>
      <c r="F339" s="417">
        <v>0</v>
      </c>
      <c r="G339" s="415">
        <f>SUM(D339:F339)</f>
        <v>133589.93</v>
      </c>
      <c r="H339" s="418"/>
      <c r="I339" s="415">
        <f t="shared" si="76"/>
        <v>46065.55</v>
      </c>
      <c r="J339" s="442">
        <f t="shared" si="77"/>
        <v>2.3400000000000001E-2</v>
      </c>
      <c r="K339" s="418">
        <f t="shared" si="78"/>
        <v>261</v>
      </c>
      <c r="L339" s="418">
        <f t="shared" si="79"/>
        <v>0</v>
      </c>
      <c r="M339" s="417">
        <v>0</v>
      </c>
      <c r="N339" s="408">
        <f t="shared" si="80"/>
        <v>46326.55</v>
      </c>
    </row>
    <row r="340" spans="1:14" x14ac:dyDescent="0.2">
      <c r="A340" s="405">
        <f t="shared" si="81"/>
        <v>11</v>
      </c>
      <c r="B340" s="446">
        <v>387.45</v>
      </c>
      <c r="C340" s="414" t="s">
        <v>1061</v>
      </c>
      <c r="D340" s="415">
        <f t="shared" si="75"/>
        <v>2764385.66</v>
      </c>
      <c r="E340" s="417">
        <v>83713</v>
      </c>
      <c r="F340" s="417">
        <v>-10046</v>
      </c>
      <c r="G340" s="415">
        <f>SUM(D340:F340)</f>
        <v>2838052.66</v>
      </c>
      <c r="H340" s="418"/>
      <c r="I340" s="415">
        <f t="shared" si="76"/>
        <v>555157.06000000006</v>
      </c>
      <c r="J340" s="442">
        <f t="shared" si="77"/>
        <v>2.3400000000000001E-2</v>
      </c>
      <c r="K340" s="418">
        <f t="shared" si="78"/>
        <v>5462</v>
      </c>
      <c r="L340" s="418">
        <f t="shared" si="79"/>
        <v>10046</v>
      </c>
      <c r="M340" s="417">
        <v>0</v>
      </c>
      <c r="N340" s="408">
        <f t="shared" si="80"/>
        <v>550573.06000000006</v>
      </c>
    </row>
    <row r="341" spans="1:14" x14ac:dyDescent="0.2">
      <c r="A341" s="405">
        <f t="shared" si="81"/>
        <v>12</v>
      </c>
      <c r="B341" s="446">
        <v>387.46</v>
      </c>
      <c r="C341" s="414" t="s">
        <v>1062</v>
      </c>
      <c r="D341" s="421">
        <f t="shared" si="75"/>
        <v>113644.47</v>
      </c>
      <c r="E341" s="1662">
        <v>0</v>
      </c>
      <c r="F341" s="1662">
        <v>0</v>
      </c>
      <c r="G341" s="428">
        <f>SUM(D341:F341)</f>
        <v>113644.47</v>
      </c>
      <c r="H341" s="447"/>
      <c r="I341" s="421">
        <f t="shared" si="76"/>
        <v>110456.83</v>
      </c>
      <c r="J341" s="442">
        <f t="shared" si="77"/>
        <v>2.3400000000000001E-2</v>
      </c>
      <c r="K341" s="421">
        <f t="shared" si="78"/>
        <v>222</v>
      </c>
      <c r="L341" s="421">
        <f t="shared" si="79"/>
        <v>0</v>
      </c>
      <c r="M341" s="422">
        <v>0</v>
      </c>
      <c r="N341" s="423">
        <f t="shared" si="80"/>
        <v>110678.83</v>
      </c>
    </row>
    <row r="342" spans="1:14" x14ac:dyDescent="0.2">
      <c r="A342" s="405">
        <f t="shared" si="81"/>
        <v>13</v>
      </c>
      <c r="B342" s="448"/>
      <c r="C342" s="386" t="s">
        <v>1063</v>
      </c>
      <c r="D342" s="418">
        <f>SUM(D330:D341,D290:D311)</f>
        <v>393911351.37999994</v>
      </c>
      <c r="E342" s="418">
        <f>SUM(E330:E341,E290:E311)</f>
        <v>3147351</v>
      </c>
      <c r="F342" s="418">
        <f>SUM(F330:F341,F290:F311)</f>
        <v>-377683</v>
      </c>
      <c r="G342" s="418">
        <f>SUM(G330:G341,G290:G311)</f>
        <v>396681019.37999994</v>
      </c>
      <c r="H342" s="418"/>
      <c r="I342" s="418">
        <f>SUM(I330:I341,I290:I311)</f>
        <v>138604108.87894738</v>
      </c>
      <c r="J342" s="418"/>
      <c r="K342" s="418">
        <f>SUM(K330:K341,K290:K311)</f>
        <v>655363.04947368428</v>
      </c>
      <c r="L342" s="418">
        <f>SUM(L330:L341,L290:L311)</f>
        <v>377683</v>
      </c>
      <c r="M342" s="418">
        <f>SUM(M330:M341,M290:M311)</f>
        <v>-86922</v>
      </c>
      <c r="N342" s="418">
        <f>SUM(N330:N341,N290:N311)</f>
        <v>138794866.92842105</v>
      </c>
    </row>
    <row r="343" spans="1:14" x14ac:dyDescent="0.2">
      <c r="B343" s="448"/>
      <c r="D343" s="418"/>
      <c r="E343" s="418"/>
      <c r="F343" s="418"/>
      <c r="G343" s="418"/>
      <c r="H343" s="418"/>
      <c r="I343" s="439"/>
      <c r="J343" s="418"/>
      <c r="K343" s="418"/>
      <c r="L343" s="418"/>
      <c r="M343" s="418"/>
    </row>
    <row r="344" spans="1:14" x14ac:dyDescent="0.2">
      <c r="A344" s="405">
        <f>A342+1</f>
        <v>14</v>
      </c>
      <c r="B344" s="448"/>
      <c r="C344" s="411" t="s">
        <v>737</v>
      </c>
      <c r="D344" s="418"/>
      <c r="E344" s="418"/>
      <c r="F344" s="418"/>
      <c r="G344" s="418"/>
      <c r="H344" s="418"/>
      <c r="I344" s="439"/>
      <c r="J344" s="418"/>
      <c r="K344" s="418"/>
      <c r="L344" s="418"/>
      <c r="M344" s="418"/>
    </row>
    <row r="345" spans="1:14" x14ac:dyDescent="0.2">
      <c r="A345" s="410">
        <f>A344+1</f>
        <v>15</v>
      </c>
      <c r="B345" s="446">
        <v>391.1</v>
      </c>
      <c r="C345" s="414" t="s">
        <v>1064</v>
      </c>
      <c r="D345" s="415">
        <f t="shared" ref="D345:D358" si="83">G239</f>
        <v>733508.71</v>
      </c>
      <c r="E345" s="417">
        <v>56</v>
      </c>
      <c r="F345" s="417">
        <v>-7</v>
      </c>
      <c r="G345" s="415">
        <f t="shared" ref="G345:G358" si="84">SUM(D345:F345)</f>
        <v>733557.71</v>
      </c>
      <c r="H345" s="418"/>
      <c r="I345" s="415">
        <f t="shared" ref="I345:I358" si="85">N239</f>
        <v>-77567.22</v>
      </c>
      <c r="J345" s="442">
        <f t="shared" ref="J345:J358" si="86">J239</f>
        <v>0.05</v>
      </c>
      <c r="K345" s="418">
        <f>ROUND((G345+D345)/2*J345/12,0)</f>
        <v>3056</v>
      </c>
      <c r="L345" s="418">
        <f t="shared" ref="L345:L358" si="87">-F345</f>
        <v>7</v>
      </c>
      <c r="M345" s="417">
        <v>0</v>
      </c>
      <c r="N345" s="408">
        <f t="shared" ref="N345:N358" si="88">I345+K345-L345+M345</f>
        <v>-74518.22</v>
      </c>
    </row>
    <row r="346" spans="1:14" x14ac:dyDescent="0.2">
      <c r="A346" s="410">
        <f t="shared" ref="A346:A359" si="89">A345+1</f>
        <v>16</v>
      </c>
      <c r="B346" s="446">
        <v>391.11</v>
      </c>
      <c r="C346" s="414" t="s">
        <v>1065</v>
      </c>
      <c r="D346" s="415">
        <f t="shared" si="83"/>
        <v>18815.57</v>
      </c>
      <c r="E346" s="417">
        <v>0</v>
      </c>
      <c r="F346" s="417">
        <v>0</v>
      </c>
      <c r="G346" s="415">
        <f t="shared" si="84"/>
        <v>18815.57</v>
      </c>
      <c r="H346" s="418"/>
      <c r="I346" s="415">
        <f t="shared" si="85"/>
        <v>-12824.77</v>
      </c>
      <c r="J346" s="442">
        <f t="shared" si="86"/>
        <v>6.6699999999999995E-2</v>
      </c>
      <c r="K346" s="418">
        <f>ROUND((G346+D346)/2*J346/12,0)</f>
        <v>105</v>
      </c>
      <c r="L346" s="418">
        <f t="shared" si="87"/>
        <v>0</v>
      </c>
      <c r="M346" s="417">
        <v>0</v>
      </c>
      <c r="N346" s="408">
        <f t="shared" si="88"/>
        <v>-12719.77</v>
      </c>
    </row>
    <row r="347" spans="1:14" x14ac:dyDescent="0.2">
      <c r="A347" s="410">
        <f t="shared" si="89"/>
        <v>17</v>
      </c>
      <c r="B347" s="446">
        <v>391.12</v>
      </c>
      <c r="C347" s="414" t="s">
        <v>1066</v>
      </c>
      <c r="D347" s="415">
        <f t="shared" si="83"/>
        <v>853483.41</v>
      </c>
      <c r="E347" s="417">
        <v>0</v>
      </c>
      <c r="F347" s="417">
        <v>0</v>
      </c>
      <c r="G347" s="415">
        <f t="shared" si="84"/>
        <v>853483.41</v>
      </c>
      <c r="H347" s="418"/>
      <c r="I347" s="415">
        <f t="shared" si="85"/>
        <v>575785.37</v>
      </c>
      <c r="J347" s="442">
        <f t="shared" si="86"/>
        <v>0.2</v>
      </c>
      <c r="K347" s="418">
        <f>ROUND((G347+D347)/2*J347/12,0)</f>
        <v>14225</v>
      </c>
      <c r="L347" s="418">
        <f t="shared" si="87"/>
        <v>0</v>
      </c>
      <c r="M347" s="417">
        <v>0</v>
      </c>
      <c r="N347" s="408">
        <f t="shared" si="88"/>
        <v>590010.37</v>
      </c>
    </row>
    <row r="348" spans="1:14" x14ac:dyDescent="0.2">
      <c r="A348" s="410">
        <f t="shared" si="89"/>
        <v>18</v>
      </c>
      <c r="B348" s="446">
        <v>392.2</v>
      </c>
      <c r="C348" s="414" t="s">
        <v>1067</v>
      </c>
      <c r="D348" s="415">
        <f t="shared" si="83"/>
        <v>95778</v>
      </c>
      <c r="E348" s="417">
        <v>0</v>
      </c>
      <c r="F348" s="417">
        <v>0</v>
      </c>
      <c r="G348" s="415">
        <f t="shared" si="84"/>
        <v>95778</v>
      </c>
      <c r="H348" s="418"/>
      <c r="I348" s="415">
        <f t="shared" si="85"/>
        <v>20775.05</v>
      </c>
      <c r="J348" s="442">
        <f t="shared" si="86"/>
        <v>2.9399999999999999E-2</v>
      </c>
      <c r="K348" s="418">
        <f>ROUND((G348+D348)/2*J348/12,0)</f>
        <v>235</v>
      </c>
      <c r="L348" s="418">
        <f t="shared" si="87"/>
        <v>0</v>
      </c>
      <c r="M348" s="417">
        <v>0</v>
      </c>
      <c r="N348" s="408">
        <f t="shared" si="88"/>
        <v>21010.05</v>
      </c>
    </row>
    <row r="349" spans="1:14" x14ac:dyDescent="0.2">
      <c r="A349" s="410">
        <f t="shared" si="89"/>
        <v>19</v>
      </c>
      <c r="B349" s="446">
        <v>392.21</v>
      </c>
      <c r="C349" s="414" t="s">
        <v>1068</v>
      </c>
      <c r="D349" s="415">
        <f t="shared" si="83"/>
        <v>24462.2</v>
      </c>
      <c r="E349" s="417">
        <v>0</v>
      </c>
      <c r="F349" s="417">
        <v>0</v>
      </c>
      <c r="G349" s="415">
        <f t="shared" si="84"/>
        <v>24462.2</v>
      </c>
      <c r="H349" s="418"/>
      <c r="I349" s="415">
        <f t="shared" si="85"/>
        <v>4707.3999999999996</v>
      </c>
      <c r="J349" s="442">
        <f t="shared" si="86"/>
        <v>2.9399999999999999E-2</v>
      </c>
      <c r="K349" s="418">
        <f>ROUND((G349+D349)/2*J349/12,0)</f>
        <v>60</v>
      </c>
      <c r="L349" s="418">
        <f t="shared" si="87"/>
        <v>0</v>
      </c>
      <c r="M349" s="417">
        <v>0</v>
      </c>
      <c r="N349" s="408">
        <f t="shared" si="88"/>
        <v>4767.3999999999996</v>
      </c>
    </row>
    <row r="350" spans="1:14" x14ac:dyDescent="0.2">
      <c r="A350" s="410">
        <f t="shared" si="89"/>
        <v>20</v>
      </c>
      <c r="B350" s="446">
        <v>393</v>
      </c>
      <c r="C350" s="414" t="s">
        <v>1069</v>
      </c>
      <c r="D350" s="415">
        <f t="shared" si="83"/>
        <v>0</v>
      </c>
      <c r="E350" s="417">
        <v>0</v>
      </c>
      <c r="F350" s="417">
        <v>0</v>
      </c>
      <c r="G350" s="415">
        <f t="shared" si="84"/>
        <v>0</v>
      </c>
      <c r="H350" s="418"/>
      <c r="I350" s="415">
        <f t="shared" si="85"/>
        <v>0</v>
      </c>
      <c r="J350" s="442" t="str">
        <f t="shared" si="86"/>
        <v>Amort.</v>
      </c>
      <c r="K350" s="417">
        <v>0</v>
      </c>
      <c r="L350" s="418">
        <f t="shared" si="87"/>
        <v>0</v>
      </c>
      <c r="M350" s="417">
        <v>0</v>
      </c>
      <c r="N350" s="408">
        <f t="shared" si="88"/>
        <v>0</v>
      </c>
    </row>
    <row r="351" spans="1:14" x14ac:dyDescent="0.2">
      <c r="A351" s="410">
        <f t="shared" si="89"/>
        <v>21</v>
      </c>
      <c r="B351" s="446">
        <v>394.1</v>
      </c>
      <c r="C351" s="414" t="s">
        <v>1070</v>
      </c>
      <c r="D351" s="415">
        <f t="shared" si="83"/>
        <v>24240.799999999999</v>
      </c>
      <c r="E351" s="417">
        <v>0</v>
      </c>
      <c r="F351" s="417">
        <v>0</v>
      </c>
      <c r="G351" s="415">
        <f t="shared" si="84"/>
        <v>24240.799999999999</v>
      </c>
      <c r="H351" s="418"/>
      <c r="I351" s="415">
        <f t="shared" si="85"/>
        <v>13960.82</v>
      </c>
      <c r="J351" s="442">
        <f t="shared" si="86"/>
        <v>0.04</v>
      </c>
      <c r="K351" s="418">
        <f>ROUND((G351+D351)/2*J351/12,0)</f>
        <v>81</v>
      </c>
      <c r="L351" s="418">
        <f t="shared" si="87"/>
        <v>0</v>
      </c>
      <c r="M351" s="417">
        <v>0</v>
      </c>
      <c r="N351" s="408">
        <f t="shared" si="88"/>
        <v>14041.82</v>
      </c>
    </row>
    <row r="352" spans="1:14" x14ac:dyDescent="0.2">
      <c r="A352" s="410">
        <f t="shared" si="89"/>
        <v>22</v>
      </c>
      <c r="B352" s="446">
        <v>394.11</v>
      </c>
      <c r="C352" s="414" t="s">
        <v>1071</v>
      </c>
      <c r="D352" s="415">
        <f t="shared" si="83"/>
        <v>0</v>
      </c>
      <c r="E352" s="417">
        <v>0</v>
      </c>
      <c r="F352" s="417">
        <v>0</v>
      </c>
      <c r="G352" s="415">
        <f t="shared" si="84"/>
        <v>0</v>
      </c>
      <c r="H352" s="418"/>
      <c r="I352" s="415">
        <f t="shared" si="85"/>
        <v>0</v>
      </c>
      <c r="J352" s="442">
        <f t="shared" si="86"/>
        <v>0.13769999999999999</v>
      </c>
      <c r="K352" s="417">
        <v>0</v>
      </c>
      <c r="L352" s="418">
        <f t="shared" si="87"/>
        <v>0</v>
      </c>
      <c r="M352" s="417">
        <v>0</v>
      </c>
      <c r="N352" s="408">
        <f t="shared" si="88"/>
        <v>0</v>
      </c>
    </row>
    <row r="353" spans="1:15" x14ac:dyDescent="0.2">
      <c r="A353" s="410">
        <f t="shared" si="89"/>
        <v>23</v>
      </c>
      <c r="B353" s="446">
        <v>394.13</v>
      </c>
      <c r="C353" s="438" t="s">
        <v>1072</v>
      </c>
      <c r="D353" s="415">
        <f t="shared" si="83"/>
        <v>0</v>
      </c>
      <c r="E353" s="417">
        <v>0</v>
      </c>
      <c r="F353" s="417">
        <v>0</v>
      </c>
      <c r="G353" s="415">
        <f t="shared" si="84"/>
        <v>0</v>
      </c>
      <c r="H353" s="418"/>
      <c r="I353" s="415">
        <f t="shared" si="85"/>
        <v>37937.360000000001</v>
      </c>
      <c r="J353" s="442" t="str">
        <f t="shared" si="86"/>
        <v>Amort.</v>
      </c>
      <c r="K353" s="417">
        <v>0</v>
      </c>
      <c r="L353" s="418">
        <f t="shared" si="87"/>
        <v>0</v>
      </c>
      <c r="M353" s="417">
        <v>0</v>
      </c>
      <c r="N353" s="408">
        <f t="shared" si="88"/>
        <v>37937.360000000001</v>
      </c>
    </row>
    <row r="354" spans="1:15" x14ac:dyDescent="0.2">
      <c r="A354" s="410">
        <f t="shared" si="89"/>
        <v>24</v>
      </c>
      <c r="B354" s="446">
        <v>394.2</v>
      </c>
      <c r="C354" s="414" t="s">
        <v>1073</v>
      </c>
      <c r="D354" s="415">
        <f t="shared" si="83"/>
        <v>0</v>
      </c>
      <c r="E354" s="417">
        <v>0</v>
      </c>
      <c r="F354" s="417">
        <v>0</v>
      </c>
      <c r="G354" s="415">
        <f t="shared" si="84"/>
        <v>0</v>
      </c>
      <c r="H354" s="418"/>
      <c r="I354" s="415">
        <f t="shared" si="85"/>
        <v>185.21</v>
      </c>
      <c r="J354" s="442">
        <f t="shared" si="86"/>
        <v>0.04</v>
      </c>
      <c r="K354" s="418">
        <f>ROUND((G354+D354)/2*J354/12,0)</f>
        <v>0</v>
      </c>
      <c r="L354" s="418">
        <f t="shared" si="87"/>
        <v>0</v>
      </c>
      <c r="M354" s="417">
        <v>0</v>
      </c>
      <c r="N354" s="408">
        <f t="shared" si="88"/>
        <v>185.21</v>
      </c>
    </row>
    <row r="355" spans="1:15" x14ac:dyDescent="0.2">
      <c r="A355" s="410">
        <f t="shared" si="89"/>
        <v>25</v>
      </c>
      <c r="B355" s="446">
        <v>394.3</v>
      </c>
      <c r="C355" s="414" t="s">
        <v>1074</v>
      </c>
      <c r="D355" s="415">
        <f t="shared" si="83"/>
        <v>2986817.16</v>
      </c>
      <c r="E355" s="417">
        <v>24371</v>
      </c>
      <c r="F355" s="417">
        <v>-2925</v>
      </c>
      <c r="G355" s="415">
        <f t="shared" si="84"/>
        <v>3008263.16</v>
      </c>
      <c r="H355" s="418"/>
      <c r="I355" s="415">
        <f t="shared" si="85"/>
        <v>1220134.1499999999</v>
      </c>
      <c r="J355" s="442">
        <f t="shared" si="86"/>
        <v>0.04</v>
      </c>
      <c r="K355" s="418">
        <f>ROUND((G355+D355)/2*J355/12,0)</f>
        <v>9992</v>
      </c>
      <c r="L355" s="418">
        <f t="shared" si="87"/>
        <v>2925</v>
      </c>
      <c r="M355" s="417">
        <v>0</v>
      </c>
      <c r="N355" s="408">
        <f t="shared" si="88"/>
        <v>1227201.1499999999</v>
      </c>
    </row>
    <row r="356" spans="1:15" x14ac:dyDescent="0.2">
      <c r="A356" s="410">
        <f t="shared" si="89"/>
        <v>26</v>
      </c>
      <c r="B356" s="446">
        <v>395</v>
      </c>
      <c r="C356" s="414" t="s">
        <v>1075</v>
      </c>
      <c r="D356" s="415">
        <f t="shared" si="83"/>
        <v>9257.77</v>
      </c>
      <c r="E356" s="417">
        <v>0</v>
      </c>
      <c r="F356" s="417">
        <v>0</v>
      </c>
      <c r="G356" s="415">
        <f t="shared" si="84"/>
        <v>9257.77</v>
      </c>
      <c r="H356" s="418"/>
      <c r="I356" s="415">
        <f t="shared" si="85"/>
        <v>7217.59</v>
      </c>
      <c r="J356" s="442">
        <f t="shared" si="86"/>
        <v>0.05</v>
      </c>
      <c r="K356" s="418">
        <f>ROUND((G356+D356)/2*J356/12,0)</f>
        <v>39</v>
      </c>
      <c r="L356" s="418">
        <f t="shared" si="87"/>
        <v>0</v>
      </c>
      <c r="M356" s="417">
        <v>0</v>
      </c>
      <c r="N356" s="408">
        <f t="shared" si="88"/>
        <v>7256.59</v>
      </c>
    </row>
    <row r="357" spans="1:15" x14ac:dyDescent="0.2">
      <c r="A357" s="410">
        <f t="shared" si="89"/>
        <v>27</v>
      </c>
      <c r="B357" s="446">
        <v>396</v>
      </c>
      <c r="C357" s="414" t="s">
        <v>1076</v>
      </c>
      <c r="D357" s="415">
        <f t="shared" si="83"/>
        <v>253134.72</v>
      </c>
      <c r="E357" s="417">
        <v>0</v>
      </c>
      <c r="F357" s="417">
        <v>0</v>
      </c>
      <c r="G357" s="415">
        <f t="shared" si="84"/>
        <v>253134.72</v>
      </c>
      <c r="H357" s="418"/>
      <c r="I357" s="415">
        <f t="shared" si="85"/>
        <v>199321.72</v>
      </c>
      <c r="J357" s="442">
        <f t="shared" si="86"/>
        <v>0</v>
      </c>
      <c r="K357" s="418">
        <f>ROUND((G357+D357)/2*J357/12,0)</f>
        <v>0</v>
      </c>
      <c r="L357" s="418">
        <f t="shared" si="87"/>
        <v>0</v>
      </c>
      <c r="M357" s="417">
        <v>0</v>
      </c>
      <c r="N357" s="408">
        <f t="shared" si="88"/>
        <v>199321.72</v>
      </c>
    </row>
    <row r="358" spans="1:15" x14ac:dyDescent="0.2">
      <c r="A358" s="410">
        <f t="shared" si="89"/>
        <v>28</v>
      </c>
      <c r="B358" s="446">
        <v>398</v>
      </c>
      <c r="C358" s="414" t="s">
        <v>1077</v>
      </c>
      <c r="D358" s="421">
        <f t="shared" si="83"/>
        <v>91076.94</v>
      </c>
      <c r="E358" s="1662">
        <v>0</v>
      </c>
      <c r="F358" s="1662">
        <v>0</v>
      </c>
      <c r="G358" s="421">
        <f t="shared" si="84"/>
        <v>91076.94</v>
      </c>
      <c r="H358" s="447"/>
      <c r="I358" s="421">
        <f t="shared" si="85"/>
        <v>21223.59</v>
      </c>
      <c r="J358" s="442">
        <f t="shared" si="86"/>
        <v>6.6699999999999995E-2</v>
      </c>
      <c r="K358" s="421">
        <f>ROUND((G358+D358)/2*J358/12,0)</f>
        <v>506</v>
      </c>
      <c r="L358" s="421">
        <f t="shared" si="87"/>
        <v>0</v>
      </c>
      <c r="M358" s="430">
        <v>0</v>
      </c>
      <c r="N358" s="423">
        <f t="shared" si="88"/>
        <v>21729.59</v>
      </c>
    </row>
    <row r="359" spans="1:15" x14ac:dyDescent="0.2">
      <c r="A359" s="410">
        <f t="shared" si="89"/>
        <v>29</v>
      </c>
      <c r="C359" s="386" t="s">
        <v>1078</v>
      </c>
      <c r="D359" s="447">
        <f>SUM(D345:D358)</f>
        <v>5090575.2799999993</v>
      </c>
      <c r="E359" s="447">
        <f>SUM(E345:E358)</f>
        <v>24427</v>
      </c>
      <c r="F359" s="447">
        <f>SUM(F345:F358)</f>
        <v>-2932</v>
      </c>
      <c r="G359" s="447">
        <f>SUM(G345:G358)</f>
        <v>5112070.2799999993</v>
      </c>
      <c r="H359" s="447"/>
      <c r="I359" s="447">
        <f>SUM(I345:I358)</f>
        <v>2010856.27</v>
      </c>
      <c r="J359" s="424"/>
      <c r="K359" s="447">
        <f>SUM(K345:K358)</f>
        <v>28299</v>
      </c>
      <c r="L359" s="447">
        <f>SUM(L345:L358)</f>
        <v>2932</v>
      </c>
      <c r="M359" s="447">
        <f>SUM(M345:M358)</f>
        <v>0</v>
      </c>
      <c r="N359" s="447">
        <f>SUM(N345:N358)</f>
        <v>2036223.2699999998</v>
      </c>
    </row>
    <row r="360" spans="1:15" x14ac:dyDescent="0.2">
      <c r="D360" s="418"/>
      <c r="E360" s="418"/>
      <c r="F360" s="418"/>
      <c r="G360" s="418"/>
      <c r="H360" s="418"/>
      <c r="I360" s="418"/>
      <c r="J360" s="432"/>
      <c r="K360" s="418"/>
      <c r="L360" s="418"/>
      <c r="M360" s="418"/>
    </row>
    <row r="361" spans="1:15" x14ac:dyDescent="0.2">
      <c r="A361" s="405">
        <f>A359+1</f>
        <v>30</v>
      </c>
      <c r="B361" s="448"/>
      <c r="C361" s="411" t="s">
        <v>2287</v>
      </c>
      <c r="D361" s="418"/>
      <c r="E361" s="418"/>
      <c r="F361" s="418"/>
      <c r="G361" s="418"/>
      <c r="H361" s="418"/>
      <c r="I361" s="439"/>
      <c r="J361" s="418"/>
      <c r="K361" s="418"/>
      <c r="L361" s="418"/>
      <c r="M361" s="418"/>
    </row>
    <row r="362" spans="1:15" x14ac:dyDescent="0.2">
      <c r="A362" s="1722">
        <f>A361+1</f>
        <v>31</v>
      </c>
      <c r="B362" s="446">
        <v>378.21</v>
      </c>
      <c r="C362" s="1725" t="s">
        <v>2244</v>
      </c>
      <c r="D362" s="415">
        <f>G256</f>
        <v>-777092</v>
      </c>
      <c r="E362" s="417">
        <v>0</v>
      </c>
      <c r="F362" s="417">
        <v>0</v>
      </c>
      <c r="G362" s="415">
        <f t="shared" ref="G362" si="90">SUM(D362:F362)</f>
        <v>-777092</v>
      </c>
      <c r="H362" s="418"/>
      <c r="I362" s="415">
        <f>N256</f>
        <v>-25126.363333333331</v>
      </c>
      <c r="J362" s="419" t="s">
        <v>1094</v>
      </c>
      <c r="K362" s="417">
        <v>-2158.5833333333321</v>
      </c>
      <c r="L362" s="418">
        <f t="shared" ref="L362" si="91">-F362</f>
        <v>0</v>
      </c>
      <c r="M362" s="417">
        <v>0</v>
      </c>
      <c r="N362" s="408">
        <f t="shared" ref="N362" si="92">I362+K362-L362+M362</f>
        <v>-27284.946666666663</v>
      </c>
      <c r="O362" s="408"/>
    </row>
    <row r="363" spans="1:15" x14ac:dyDescent="0.2">
      <c r="A363" s="1722"/>
      <c r="B363" s="446"/>
      <c r="C363" s="438"/>
      <c r="D363" s="415"/>
      <c r="E363" s="417"/>
      <c r="F363" s="417"/>
      <c r="G363" s="415"/>
      <c r="H363" s="418"/>
      <c r="I363" s="419"/>
      <c r="J363" s="419"/>
      <c r="K363" s="417"/>
      <c r="L363" s="418"/>
      <c r="M363" s="417"/>
      <c r="N363" s="408"/>
      <c r="O363" s="408"/>
    </row>
    <row r="364" spans="1:15" x14ac:dyDescent="0.2">
      <c r="A364" s="410">
        <f>A362+1</f>
        <v>32</v>
      </c>
      <c r="C364" s="386" t="s">
        <v>774</v>
      </c>
      <c r="D364" s="450">
        <f>D359+D342+D287+D283+D362</f>
        <v>403748575.36999989</v>
      </c>
      <c r="E364" s="450">
        <f>E359+E342+E287+E283+E362</f>
        <v>3334044</v>
      </c>
      <c r="F364" s="450">
        <f>F359+F342+F287+F283+F362</f>
        <v>-380615</v>
      </c>
      <c r="G364" s="450">
        <f>G359+G342+G287+G283+G362</f>
        <v>406702004.36999989</v>
      </c>
      <c r="H364" s="418"/>
      <c r="I364" s="450">
        <f>I359+I342+I287+I283+I362</f>
        <v>142919106.04246196</v>
      </c>
      <c r="J364" s="451"/>
      <c r="K364" s="450">
        <f>K359+K342+K287+K283+K362</f>
        <v>750849.17956430686</v>
      </c>
      <c r="L364" s="450">
        <f>L359+L342+L287+L283+L362</f>
        <v>380615</v>
      </c>
      <c r="M364" s="450">
        <f>M359+M342+M287+M283+M362</f>
        <v>-86922</v>
      </c>
      <c r="N364" s="450">
        <f>N359+N342+N287+N283+N362</f>
        <v>143202418.22202626</v>
      </c>
    </row>
    <row r="365" spans="1:15" x14ac:dyDescent="0.2">
      <c r="A365" s="410"/>
      <c r="C365" s="386"/>
      <c r="D365" s="418"/>
      <c r="E365" s="418"/>
      <c r="F365" s="418"/>
      <c r="G365" s="418"/>
      <c r="H365" s="418"/>
      <c r="I365" s="418"/>
      <c r="J365" s="418"/>
      <c r="K365" s="418"/>
      <c r="L365" s="418"/>
    </row>
    <row r="366" spans="1:15" x14ac:dyDescent="0.2">
      <c r="A366" s="2073" t="str">
        <f>co</f>
        <v>COLUMBIA GAS OF KENTUCKY, INC.</v>
      </c>
      <c r="B366" s="2073"/>
      <c r="C366" s="2073"/>
      <c r="D366" s="2073"/>
      <c r="E366" s="2073"/>
      <c r="F366" s="2073"/>
      <c r="G366" s="2073"/>
      <c r="H366" s="2073"/>
      <c r="I366" s="2073"/>
      <c r="J366" s="2073"/>
      <c r="K366" s="2073"/>
      <c r="L366" s="2073"/>
      <c r="M366" s="2073"/>
      <c r="N366" s="2073"/>
    </row>
    <row r="367" spans="1:15" x14ac:dyDescent="0.2">
      <c r="A367" s="2073" t="str">
        <f>case</f>
        <v>CASE NO. 2016 - 00162</v>
      </c>
      <c r="B367" s="2073"/>
      <c r="C367" s="2073"/>
      <c r="D367" s="2073"/>
      <c r="E367" s="2073"/>
      <c r="F367" s="2073"/>
      <c r="G367" s="2073"/>
      <c r="H367" s="2073"/>
      <c r="I367" s="2073"/>
      <c r="J367" s="2073"/>
      <c r="K367" s="2073"/>
      <c r="L367" s="2073"/>
      <c r="M367" s="2073"/>
      <c r="N367" s="2073"/>
    </row>
    <row r="368" spans="1:15" x14ac:dyDescent="0.2">
      <c r="A368" s="2074" t="s">
        <v>1106</v>
      </c>
      <c r="B368" s="2073"/>
      <c r="C368" s="2073"/>
      <c r="D368" s="2073"/>
      <c r="E368" s="2073"/>
      <c r="F368" s="2073"/>
      <c r="G368" s="2073"/>
      <c r="H368" s="2073"/>
      <c r="I368" s="2073"/>
      <c r="J368" s="2073"/>
      <c r="K368" s="2073"/>
      <c r="L368" s="2073"/>
      <c r="M368" s="2073"/>
      <c r="N368" s="2073"/>
    </row>
    <row r="369" spans="1:14" x14ac:dyDescent="0.2">
      <c r="A369" s="2078" t="s">
        <v>2142</v>
      </c>
      <c r="B369" s="2078"/>
      <c r="C369" s="2078"/>
      <c r="D369" s="2078"/>
      <c r="E369" s="2078"/>
      <c r="F369" s="2078"/>
      <c r="G369" s="2078"/>
      <c r="H369" s="2078"/>
      <c r="I369" s="2078"/>
      <c r="J369" s="2078"/>
      <c r="K369" s="2078"/>
      <c r="L369" s="2078"/>
      <c r="M369" s="2078"/>
      <c r="N369" s="2078"/>
    </row>
    <row r="371" spans="1:14" x14ac:dyDescent="0.2">
      <c r="A371" s="385" t="s">
        <v>1095</v>
      </c>
      <c r="I371" s="386"/>
      <c r="N371" s="387" t="s">
        <v>763</v>
      </c>
    </row>
    <row r="372" spans="1:14" x14ac:dyDescent="0.2">
      <c r="A372" s="388" t="s">
        <v>977</v>
      </c>
      <c r="I372" s="386"/>
      <c r="N372" s="387" t="s">
        <v>998</v>
      </c>
    </row>
    <row r="373" spans="1:14" x14ac:dyDescent="0.2">
      <c r="A373" s="390" t="s">
        <v>997</v>
      </c>
      <c r="B373" s="391"/>
      <c r="C373" s="391"/>
      <c r="D373" s="391"/>
      <c r="E373" s="391"/>
      <c r="F373" s="391"/>
      <c r="G373" s="391"/>
      <c r="H373" s="391"/>
      <c r="I373" s="392"/>
      <c r="L373" s="386"/>
      <c r="M373" s="386"/>
      <c r="N373" s="393" t="str">
        <f>SMK</f>
        <v>WITNESS:  S. M. KATKO</v>
      </c>
    </row>
    <row r="374" spans="1:14" x14ac:dyDescent="0.2">
      <c r="A374" s="390"/>
      <c r="B374" s="391"/>
      <c r="C374" s="391"/>
      <c r="D374" s="391"/>
      <c r="E374" s="391"/>
      <c r="F374" s="391"/>
      <c r="G374" s="391"/>
      <c r="H374" s="391"/>
      <c r="I374" s="392"/>
      <c r="J374" s="393"/>
      <c r="L374" s="386"/>
      <c r="M374" s="386"/>
    </row>
    <row r="375" spans="1:14" x14ac:dyDescent="0.2">
      <c r="A375" s="390"/>
      <c r="B375" s="391"/>
      <c r="C375" s="391"/>
      <c r="D375" s="2075" t="s">
        <v>1088</v>
      </c>
      <c r="E375" s="2075"/>
      <c r="F375" s="2075"/>
      <c r="G375" s="2075"/>
      <c r="H375" s="391"/>
      <c r="I375" s="2076" t="s">
        <v>1093</v>
      </c>
      <c r="J375" s="2077"/>
      <c r="K375" s="2077"/>
      <c r="L375" s="2077"/>
      <c r="M375" s="2077"/>
      <c r="N375" s="2077"/>
    </row>
    <row r="376" spans="1:14" x14ac:dyDescent="0.2">
      <c r="A376" s="394"/>
      <c r="B376" s="391"/>
      <c r="C376" s="391"/>
      <c r="D376" s="396" t="s">
        <v>1084</v>
      </c>
      <c r="E376" s="391"/>
      <c r="F376" s="391"/>
      <c r="G376" s="395"/>
      <c r="H376" s="395"/>
      <c r="I376" s="397" t="s">
        <v>1089</v>
      </c>
      <c r="J376" s="396"/>
      <c r="M376" s="386"/>
    </row>
    <row r="377" spans="1:14" x14ac:dyDescent="0.2">
      <c r="A377" s="383"/>
      <c r="D377" s="397" t="s">
        <v>865</v>
      </c>
      <c r="G377" s="397" t="s">
        <v>867</v>
      </c>
      <c r="H377" s="398"/>
      <c r="I377" s="397" t="s">
        <v>865</v>
      </c>
      <c r="J377" s="397" t="s">
        <v>956</v>
      </c>
      <c r="M377" s="386"/>
      <c r="N377" s="397" t="s">
        <v>867</v>
      </c>
    </row>
    <row r="378" spans="1:14" x14ac:dyDescent="0.2">
      <c r="A378" s="397" t="s">
        <v>1080</v>
      </c>
      <c r="B378" s="397" t="s">
        <v>1082</v>
      </c>
      <c r="D378" s="397" t="s">
        <v>867</v>
      </c>
      <c r="G378" s="399" t="s">
        <v>1087</v>
      </c>
      <c r="H378" s="398"/>
      <c r="I378" s="399" t="s">
        <v>867</v>
      </c>
      <c r="J378" s="397" t="s">
        <v>1090</v>
      </c>
      <c r="K378" s="397" t="s">
        <v>956</v>
      </c>
      <c r="M378" s="399" t="s">
        <v>1092</v>
      </c>
      <c r="N378" s="399" t="s">
        <v>1087</v>
      </c>
    </row>
    <row r="379" spans="1:14" x14ac:dyDescent="0.2">
      <c r="A379" s="400" t="s">
        <v>1081</v>
      </c>
      <c r="B379" s="400" t="s">
        <v>1081</v>
      </c>
      <c r="C379" s="401" t="s">
        <v>1083</v>
      </c>
      <c r="D379" s="409" t="str">
        <f>"05/31/2016"</f>
        <v>05/31/2016</v>
      </c>
      <c r="E379" s="400" t="s">
        <v>1085</v>
      </c>
      <c r="F379" s="400" t="s">
        <v>1086</v>
      </c>
      <c r="G379" s="409" t="str">
        <f>"06/30/2016"</f>
        <v>06/30/2016</v>
      </c>
      <c r="H379" s="398"/>
      <c r="I379" s="404" t="str">
        <f>D379</f>
        <v>05/31/2016</v>
      </c>
      <c r="J379" s="400" t="s">
        <v>1091</v>
      </c>
      <c r="K379" s="402" t="s">
        <v>1090</v>
      </c>
      <c r="L379" s="402" t="s">
        <v>1086</v>
      </c>
      <c r="M379" s="402" t="s">
        <v>955</v>
      </c>
      <c r="N379" s="404" t="str">
        <f>G379</f>
        <v>06/30/2016</v>
      </c>
    </row>
    <row r="380" spans="1:14" x14ac:dyDescent="0.2">
      <c r="A380" s="406"/>
      <c r="B380" s="406"/>
      <c r="C380" s="406"/>
      <c r="D380" s="406" t="str">
        <f>"(1)"</f>
        <v>(1)</v>
      </c>
      <c r="E380" s="406" t="str">
        <f>"(2)"</f>
        <v>(2)</v>
      </c>
      <c r="F380" s="406" t="str">
        <f>"(3)"</f>
        <v>(3)</v>
      </c>
      <c r="G380" s="406" t="str">
        <f>"(4)=(1+2+3)"</f>
        <v>(4)=(1+2+3)</v>
      </c>
      <c r="H380" s="406"/>
      <c r="I380" s="406" t="str">
        <f>"(5)"</f>
        <v>(5)</v>
      </c>
      <c r="J380" s="406" t="str">
        <f>"(6)"</f>
        <v>(6)</v>
      </c>
      <c r="K380" s="406" t="str">
        <f>"(7)=((1+4)/2*6/12))"</f>
        <v>(7)=((1+4)/2*6/12))</v>
      </c>
      <c r="L380" s="406" t="str">
        <f>"(8)"</f>
        <v>(8)</v>
      </c>
      <c r="M380" s="406" t="str">
        <f>"(9)"</f>
        <v>(9)</v>
      </c>
      <c r="N380" s="406" t="str">
        <f>"(10)=(5+7-8+9)"</f>
        <v>(10)=(5+7-8+9)</v>
      </c>
    </row>
    <row r="381" spans="1:14" x14ac:dyDescent="0.2">
      <c r="D381" s="410" t="s">
        <v>639</v>
      </c>
      <c r="E381" s="410" t="s">
        <v>639</v>
      </c>
      <c r="F381" s="410" t="s">
        <v>639</v>
      </c>
      <c r="G381" s="410" t="s">
        <v>639</v>
      </c>
      <c r="H381" s="410"/>
      <c r="I381" s="410" t="s">
        <v>639</v>
      </c>
      <c r="J381" s="410" t="s">
        <v>639</v>
      </c>
      <c r="K381" s="410" t="s">
        <v>639</v>
      </c>
      <c r="L381" s="410" t="s">
        <v>639</v>
      </c>
      <c r="M381" s="410" t="s">
        <v>639</v>
      </c>
      <c r="N381" s="410" t="s">
        <v>639</v>
      </c>
    </row>
    <row r="382" spans="1:14" x14ac:dyDescent="0.2">
      <c r="A382" s="410">
        <v>1</v>
      </c>
      <c r="B382" s="411" t="s">
        <v>1025</v>
      </c>
      <c r="C382" s="412"/>
      <c r="M382" s="386"/>
    </row>
    <row r="383" spans="1:14" x14ac:dyDescent="0.2">
      <c r="A383" s="410">
        <f>A382+1</f>
        <v>2</v>
      </c>
      <c r="C383" s="411" t="s">
        <v>697</v>
      </c>
      <c r="M383" s="386"/>
    </row>
    <row r="384" spans="1:14" x14ac:dyDescent="0.2">
      <c r="A384" s="410">
        <f t="shared" ref="A384:A389" si="93">A383+1</f>
        <v>3</v>
      </c>
      <c r="B384" s="413">
        <v>301</v>
      </c>
      <c r="C384" s="414" t="s">
        <v>1026</v>
      </c>
      <c r="D384" s="415">
        <f>G278</f>
        <v>521.20000000000005</v>
      </c>
      <c r="E384" s="417">
        <v>0</v>
      </c>
      <c r="F384" s="417">
        <v>0</v>
      </c>
      <c r="G384" s="415">
        <f>SUM(D384:F384)</f>
        <v>521.20000000000005</v>
      </c>
      <c r="H384" s="418"/>
      <c r="I384" s="415">
        <f>N278</f>
        <v>0</v>
      </c>
      <c r="J384" s="419" t="s">
        <v>1094</v>
      </c>
      <c r="K384" s="417">
        <v>0</v>
      </c>
      <c r="L384" s="418">
        <f>-F384</f>
        <v>0</v>
      </c>
      <c r="M384" s="417">
        <v>0</v>
      </c>
      <c r="N384" s="408">
        <f>I384+K384-L384+M384</f>
        <v>0</v>
      </c>
    </row>
    <row r="385" spans="1:14" x14ac:dyDescent="0.2">
      <c r="A385" s="410">
        <f t="shared" si="93"/>
        <v>4</v>
      </c>
      <c r="B385" s="413">
        <v>303</v>
      </c>
      <c r="C385" s="414" t="s">
        <v>1027</v>
      </c>
      <c r="D385" s="415">
        <f>G279</f>
        <v>74347.509999999995</v>
      </c>
      <c r="E385" s="417">
        <v>0</v>
      </c>
      <c r="F385" s="417">
        <v>0</v>
      </c>
      <c r="G385" s="415">
        <f>SUM(D385:F385)</f>
        <v>74347.509999999995</v>
      </c>
      <c r="H385" s="418"/>
      <c r="I385" s="415">
        <f>N279</f>
        <v>46418.989999999991</v>
      </c>
      <c r="J385" s="419" t="s">
        <v>1094</v>
      </c>
      <c r="K385" s="415">
        <f>'Intangible Amort.'!K$20</f>
        <v>206.52</v>
      </c>
      <c r="L385" s="418">
        <f>-F385</f>
        <v>0</v>
      </c>
      <c r="M385" s="417">
        <v>0</v>
      </c>
      <c r="N385" s="408">
        <f>I385+K385-L385+M385</f>
        <v>46625.509999999987</v>
      </c>
    </row>
    <row r="386" spans="1:14" x14ac:dyDescent="0.2">
      <c r="A386" s="410">
        <f t="shared" si="93"/>
        <v>5</v>
      </c>
      <c r="B386" s="413">
        <v>303.10000000000002</v>
      </c>
      <c r="C386" s="414" t="s">
        <v>1028</v>
      </c>
      <c r="D386" s="415">
        <f>G280</f>
        <v>0</v>
      </c>
      <c r="E386" s="417">
        <v>0</v>
      </c>
      <c r="F386" s="417">
        <v>0</v>
      </c>
      <c r="G386" s="415">
        <f>SUM(D386:F386)</f>
        <v>0</v>
      </c>
      <c r="H386" s="418"/>
      <c r="I386" s="415">
        <f>N280</f>
        <v>0</v>
      </c>
      <c r="J386" s="419" t="s">
        <v>1094</v>
      </c>
      <c r="K386" s="417">
        <v>0</v>
      </c>
      <c r="L386" s="418">
        <f>-F386</f>
        <v>0</v>
      </c>
      <c r="M386" s="417">
        <v>0</v>
      </c>
      <c r="N386" s="408">
        <f>I386+K386-L386+M386</f>
        <v>0</v>
      </c>
    </row>
    <row r="387" spans="1:14" x14ac:dyDescent="0.2">
      <c r="A387" s="410">
        <f t="shared" si="93"/>
        <v>6</v>
      </c>
      <c r="B387" s="413">
        <v>303.2</v>
      </c>
      <c r="C387" s="414" t="s">
        <v>1029</v>
      </c>
      <c r="D387" s="415">
        <f>G281</f>
        <v>0</v>
      </c>
      <c r="E387" s="417">
        <v>0</v>
      </c>
      <c r="F387" s="417">
        <v>0</v>
      </c>
      <c r="G387" s="415">
        <f>SUM(D387:F387)</f>
        <v>0</v>
      </c>
      <c r="H387" s="418"/>
      <c r="I387" s="415">
        <f>N281</f>
        <v>0</v>
      </c>
      <c r="J387" s="419" t="s">
        <v>1094</v>
      </c>
      <c r="K387" s="417">
        <v>0</v>
      </c>
      <c r="L387" s="418">
        <f>-F387</f>
        <v>0</v>
      </c>
      <c r="M387" s="417">
        <v>0</v>
      </c>
      <c r="N387" s="408">
        <f>I387+K387-L387+M387</f>
        <v>0</v>
      </c>
    </row>
    <row r="388" spans="1:14" x14ac:dyDescent="0.2">
      <c r="A388" s="410">
        <f t="shared" si="93"/>
        <v>7</v>
      </c>
      <c r="B388" s="413">
        <v>303.3</v>
      </c>
      <c r="C388" s="414" t="s">
        <v>1030</v>
      </c>
      <c r="D388" s="421">
        <f>G282</f>
        <v>5611138</v>
      </c>
      <c r="E388" s="422">
        <v>109735</v>
      </c>
      <c r="F388" s="422">
        <v>0</v>
      </c>
      <c r="G388" s="421">
        <f>SUM(D388:F388)</f>
        <v>5720873</v>
      </c>
      <c r="H388" s="418"/>
      <c r="I388" s="421">
        <f>N282</f>
        <v>2352193.9802718684</v>
      </c>
      <c r="J388" s="419" t="s">
        <v>1094</v>
      </c>
      <c r="K388" s="421">
        <f>'Intangible Amort.'!K$93</f>
        <v>71405.17675728933</v>
      </c>
      <c r="L388" s="421">
        <f>-F388</f>
        <v>0</v>
      </c>
      <c r="M388" s="422">
        <v>0</v>
      </c>
      <c r="N388" s="423">
        <f>I388+K388-L388+M388</f>
        <v>2423599.1570291575</v>
      </c>
    </row>
    <row r="389" spans="1:14" x14ac:dyDescent="0.2">
      <c r="A389" s="410">
        <f t="shared" si="93"/>
        <v>8</v>
      </c>
      <c r="B389" s="413"/>
      <c r="C389" s="414" t="s">
        <v>1031</v>
      </c>
      <c r="D389" s="418">
        <f>SUM(D384:D388)</f>
        <v>5686006.71</v>
      </c>
      <c r="E389" s="418">
        <f>SUM(E384:E388)</f>
        <v>109735</v>
      </c>
      <c r="F389" s="418">
        <f>SUM(F384:F388)</f>
        <v>0</v>
      </c>
      <c r="G389" s="418">
        <f>SUM(G384:G388)</f>
        <v>5795741.71</v>
      </c>
      <c r="H389" s="418"/>
      <c r="I389" s="418">
        <f>SUM(I384:I388)</f>
        <v>2398612.9702718686</v>
      </c>
      <c r="J389" s="424"/>
      <c r="K389" s="418">
        <f>SUM(K384:K388)</f>
        <v>71611.696757289334</v>
      </c>
      <c r="L389" s="418">
        <f>SUM(L384:L388)</f>
        <v>0</v>
      </c>
      <c r="M389" s="418">
        <f>SUM(M384:M388)</f>
        <v>0</v>
      </c>
      <c r="N389" s="418">
        <f>SUM(N384:N388)</f>
        <v>2470224.6670291573</v>
      </c>
    </row>
    <row r="390" spans="1:14" x14ac:dyDescent="0.2">
      <c r="B390" s="425"/>
      <c r="D390" s="418"/>
      <c r="E390" s="418"/>
      <c r="F390" s="418"/>
      <c r="G390" s="418"/>
      <c r="H390" s="418"/>
      <c r="I390" s="418"/>
      <c r="J390" s="424"/>
      <c r="K390" s="418"/>
      <c r="L390" s="418"/>
      <c r="M390" s="418"/>
    </row>
    <row r="391" spans="1:14" x14ac:dyDescent="0.2">
      <c r="A391" s="410">
        <f>A389+1</f>
        <v>9</v>
      </c>
      <c r="B391" s="425"/>
      <c r="C391" s="411" t="s">
        <v>704</v>
      </c>
      <c r="D391" s="418"/>
      <c r="E391" s="418"/>
      <c r="F391" s="418"/>
      <c r="G391" s="418"/>
      <c r="H391" s="418"/>
      <c r="I391" s="418"/>
      <c r="J391" s="424"/>
      <c r="K391" s="418"/>
      <c r="L391" s="418"/>
      <c r="M391" s="418"/>
    </row>
    <row r="392" spans="1:14" x14ac:dyDescent="0.2">
      <c r="A392" s="410">
        <f>A391+1</f>
        <v>10</v>
      </c>
      <c r="B392" s="426">
        <v>304.10000000000002</v>
      </c>
      <c r="C392" s="427" t="s">
        <v>1032</v>
      </c>
      <c r="D392" s="421">
        <f>G286</f>
        <v>0</v>
      </c>
      <c r="E392" s="1662">
        <v>0</v>
      </c>
      <c r="F392" s="1662">
        <v>0</v>
      </c>
      <c r="G392" s="421">
        <f>SUM(D392:F392)</f>
        <v>0</v>
      </c>
      <c r="H392" s="418"/>
      <c r="I392" s="421">
        <f>N286</f>
        <v>0</v>
      </c>
      <c r="J392" s="429" t="s">
        <v>1102</v>
      </c>
      <c r="K392" s="430">
        <v>0</v>
      </c>
      <c r="L392" s="421">
        <f>-F392</f>
        <v>0</v>
      </c>
      <c r="M392" s="422">
        <v>0</v>
      </c>
      <c r="N392" s="423">
        <f>I392+K392-L392+M392</f>
        <v>0</v>
      </c>
    </row>
    <row r="393" spans="1:14" x14ac:dyDescent="0.2">
      <c r="A393" s="410">
        <f>A392+1</f>
        <v>11</v>
      </c>
      <c r="B393" s="426"/>
      <c r="C393" s="431" t="s">
        <v>1079</v>
      </c>
      <c r="D393" s="418">
        <f>D392</f>
        <v>0</v>
      </c>
      <c r="E393" s="418">
        <f>E392</f>
        <v>0</v>
      </c>
      <c r="F393" s="418">
        <f>F392</f>
        <v>0</v>
      </c>
      <c r="G393" s="418">
        <f>G392</f>
        <v>0</v>
      </c>
      <c r="H393" s="418"/>
      <c r="I393" s="418">
        <f>I392</f>
        <v>0</v>
      </c>
      <c r="J393" s="432"/>
      <c r="K393" s="418">
        <f>SUM(K392)</f>
        <v>0</v>
      </c>
      <c r="L393" s="418">
        <f>SUM(L392)</f>
        <v>0</v>
      </c>
      <c r="M393" s="418">
        <f>M392</f>
        <v>0</v>
      </c>
      <c r="N393" s="418">
        <f>N392</f>
        <v>0</v>
      </c>
    </row>
    <row r="394" spans="1:14" x14ac:dyDescent="0.2">
      <c r="B394" s="425"/>
      <c r="D394" s="418"/>
      <c r="E394" s="418"/>
      <c r="F394" s="418"/>
      <c r="G394" s="418"/>
      <c r="H394" s="418"/>
      <c r="I394" s="418"/>
      <c r="J394" s="432"/>
      <c r="K394" s="418"/>
      <c r="L394" s="418"/>
      <c r="M394" s="418"/>
    </row>
    <row r="395" spans="1:14" x14ac:dyDescent="0.2">
      <c r="A395" s="410">
        <f>A393+1</f>
        <v>12</v>
      </c>
      <c r="B395" s="425"/>
      <c r="C395" s="411" t="s">
        <v>707</v>
      </c>
      <c r="D395" s="418"/>
      <c r="E395" s="417"/>
      <c r="F395" s="418"/>
      <c r="G395" s="418"/>
      <c r="H395" s="418"/>
      <c r="I395" s="418"/>
      <c r="J395" s="432"/>
      <c r="K395" s="418"/>
      <c r="L395" s="418"/>
      <c r="M395" s="418"/>
    </row>
    <row r="396" spans="1:14" x14ac:dyDescent="0.2">
      <c r="A396" s="410">
        <f>A395+1</f>
        <v>13</v>
      </c>
      <c r="B396" s="413">
        <v>374.1</v>
      </c>
      <c r="C396" s="414" t="s">
        <v>1035</v>
      </c>
      <c r="D396" s="415">
        <f t="shared" ref="D396:D406" si="94">G290</f>
        <v>206</v>
      </c>
      <c r="E396" s="417">
        <v>0</v>
      </c>
      <c r="F396" s="417">
        <v>0</v>
      </c>
      <c r="G396" s="415">
        <f>SUM(D396:F396)</f>
        <v>206</v>
      </c>
      <c r="H396" s="418"/>
      <c r="I396" s="415">
        <f t="shared" ref="I396:I406" si="95">N290</f>
        <v>0</v>
      </c>
      <c r="J396" s="429" t="s">
        <v>1102</v>
      </c>
      <c r="K396" s="417">
        <v>0</v>
      </c>
      <c r="L396" s="418">
        <f t="shared" ref="L396:L406" si="96">-F396</f>
        <v>0</v>
      </c>
      <c r="M396" s="417">
        <v>0</v>
      </c>
      <c r="N396" s="408">
        <f t="shared" ref="N396:N406" si="97">I396+K396-L396+M396</f>
        <v>0</v>
      </c>
    </row>
    <row r="397" spans="1:14" x14ac:dyDescent="0.2">
      <c r="A397" s="410">
        <f t="shared" ref="A397:A417" si="98">A396+1</f>
        <v>14</v>
      </c>
      <c r="B397" s="413">
        <v>374.2</v>
      </c>
      <c r="C397" s="414" t="s">
        <v>1036</v>
      </c>
      <c r="D397" s="415">
        <f t="shared" si="94"/>
        <v>877756.18</v>
      </c>
      <c r="E397" s="417">
        <v>0</v>
      </c>
      <c r="F397" s="417">
        <v>0</v>
      </c>
      <c r="G397" s="415">
        <f t="shared" ref="G397:G406" si="99">SUM(D397:F397)</f>
        <v>877756.18</v>
      </c>
      <c r="H397" s="418"/>
      <c r="I397" s="415">
        <f t="shared" si="95"/>
        <v>-523.13</v>
      </c>
      <c r="J397" s="429" t="s">
        <v>1102</v>
      </c>
      <c r="K397" s="417">
        <v>0</v>
      </c>
      <c r="L397" s="418">
        <f t="shared" si="96"/>
        <v>0</v>
      </c>
      <c r="M397" s="417">
        <v>0</v>
      </c>
      <c r="N397" s="408">
        <f t="shared" si="97"/>
        <v>-523.13</v>
      </c>
    </row>
    <row r="398" spans="1:14" x14ac:dyDescent="0.2">
      <c r="A398" s="410">
        <f t="shared" si="98"/>
        <v>15</v>
      </c>
      <c r="B398" s="413">
        <v>374.4</v>
      </c>
      <c r="C398" s="414" t="s">
        <v>1037</v>
      </c>
      <c r="D398" s="415">
        <f t="shared" si="94"/>
        <v>661305.66</v>
      </c>
      <c r="E398" s="417">
        <v>0</v>
      </c>
      <c r="F398" s="417">
        <v>0</v>
      </c>
      <c r="G398" s="415">
        <f t="shared" si="99"/>
        <v>661305.66</v>
      </c>
      <c r="H398" s="418"/>
      <c r="I398" s="415">
        <f t="shared" si="95"/>
        <v>172982.36</v>
      </c>
      <c r="J398" s="442">
        <f t="shared" ref="J398:J404" si="100">J292</f>
        <v>1.5299999999999999E-2</v>
      </c>
      <c r="K398" s="418">
        <f>ROUND((G398+D398)/2*J398/12,0)</f>
        <v>843</v>
      </c>
      <c r="L398" s="418">
        <f t="shared" si="96"/>
        <v>0</v>
      </c>
      <c r="M398" s="417">
        <v>0</v>
      </c>
      <c r="N398" s="408">
        <f t="shared" si="97"/>
        <v>173825.36</v>
      </c>
    </row>
    <row r="399" spans="1:14" x14ac:dyDescent="0.2">
      <c r="A399" s="410">
        <f t="shared" si="98"/>
        <v>16</v>
      </c>
      <c r="B399" s="413">
        <v>374.5</v>
      </c>
      <c r="C399" s="414" t="s">
        <v>1038</v>
      </c>
      <c r="D399" s="415">
        <f t="shared" si="94"/>
        <v>2689952.55</v>
      </c>
      <c r="E399" s="417">
        <v>1198</v>
      </c>
      <c r="F399" s="417">
        <v>-144</v>
      </c>
      <c r="G399" s="415">
        <f t="shared" si="99"/>
        <v>2691006.55</v>
      </c>
      <c r="H399" s="418"/>
      <c r="I399" s="415">
        <f t="shared" si="95"/>
        <v>911512.23</v>
      </c>
      <c r="J399" s="442">
        <f t="shared" si="100"/>
        <v>1.2200000000000001E-2</v>
      </c>
      <c r="K399" s="418">
        <f t="shared" ref="K399:K404" si="101">ROUND((G399+D399)/2*J399/12,0)</f>
        <v>2735</v>
      </c>
      <c r="L399" s="418">
        <f t="shared" si="96"/>
        <v>144</v>
      </c>
      <c r="M399" s="417">
        <v>0</v>
      </c>
      <c r="N399" s="408">
        <f t="shared" si="97"/>
        <v>914103.23</v>
      </c>
    </row>
    <row r="400" spans="1:14" x14ac:dyDescent="0.2">
      <c r="A400" s="410">
        <f t="shared" si="98"/>
        <v>17</v>
      </c>
      <c r="B400" s="413">
        <v>375.2</v>
      </c>
      <c r="C400" s="414" t="s">
        <v>1039</v>
      </c>
      <c r="D400" s="415">
        <f t="shared" si="94"/>
        <v>2124.98</v>
      </c>
      <c r="E400" s="417">
        <v>0</v>
      </c>
      <c r="F400" s="417">
        <v>0</v>
      </c>
      <c r="G400" s="415">
        <f t="shared" si="99"/>
        <v>2124.98</v>
      </c>
      <c r="H400" s="418"/>
      <c r="I400" s="415">
        <f t="shared" si="95"/>
        <v>2006.32</v>
      </c>
      <c r="J400" s="442">
        <f t="shared" si="100"/>
        <v>1.9599999999999999E-2</v>
      </c>
      <c r="K400" s="418">
        <f t="shared" si="101"/>
        <v>3</v>
      </c>
      <c r="L400" s="418">
        <f t="shared" si="96"/>
        <v>0</v>
      </c>
      <c r="M400" s="417">
        <v>0</v>
      </c>
      <c r="N400" s="408">
        <f t="shared" si="97"/>
        <v>2009.32</v>
      </c>
    </row>
    <row r="401" spans="1:14" x14ac:dyDescent="0.2">
      <c r="A401" s="410">
        <f t="shared" si="98"/>
        <v>18</v>
      </c>
      <c r="B401" s="413">
        <v>375.3</v>
      </c>
      <c r="C401" s="414" t="s">
        <v>1040</v>
      </c>
      <c r="D401" s="415">
        <f t="shared" si="94"/>
        <v>0</v>
      </c>
      <c r="E401" s="417">
        <v>0</v>
      </c>
      <c r="F401" s="417">
        <v>0</v>
      </c>
      <c r="G401" s="415">
        <f t="shared" si="99"/>
        <v>0</v>
      </c>
      <c r="H401" s="418"/>
      <c r="I401" s="415">
        <f t="shared" si="95"/>
        <v>-77.66</v>
      </c>
      <c r="J401" s="442">
        <f t="shared" si="100"/>
        <v>1.9599999999999999E-2</v>
      </c>
      <c r="K401" s="418">
        <f t="shared" si="101"/>
        <v>0</v>
      </c>
      <c r="L401" s="418">
        <f t="shared" si="96"/>
        <v>0</v>
      </c>
      <c r="M401" s="417">
        <v>0</v>
      </c>
      <c r="N401" s="408">
        <f t="shared" si="97"/>
        <v>-77.66</v>
      </c>
    </row>
    <row r="402" spans="1:14" x14ac:dyDescent="0.2">
      <c r="A402" s="410">
        <f t="shared" si="98"/>
        <v>19</v>
      </c>
      <c r="B402" s="413">
        <v>375.4</v>
      </c>
      <c r="C402" s="414" t="s">
        <v>1041</v>
      </c>
      <c r="D402" s="415">
        <f t="shared" si="94"/>
        <v>1871897.02</v>
      </c>
      <c r="E402" s="417">
        <v>4117</v>
      </c>
      <c r="F402" s="417">
        <v>-494</v>
      </c>
      <c r="G402" s="415">
        <f t="shared" si="99"/>
        <v>1875520.02</v>
      </c>
      <c r="H402" s="418"/>
      <c r="I402" s="415">
        <f t="shared" si="95"/>
        <v>495569.37</v>
      </c>
      <c r="J402" s="442">
        <f t="shared" si="100"/>
        <v>1.9599999999999999E-2</v>
      </c>
      <c r="K402" s="418">
        <f t="shared" si="101"/>
        <v>3060</v>
      </c>
      <c r="L402" s="418">
        <f t="shared" si="96"/>
        <v>494</v>
      </c>
      <c r="M402" s="417">
        <v>-49</v>
      </c>
      <c r="N402" s="408">
        <f t="shared" si="97"/>
        <v>498086.37</v>
      </c>
    </row>
    <row r="403" spans="1:14" x14ac:dyDescent="0.2">
      <c r="A403" s="410">
        <f t="shared" si="98"/>
        <v>20</v>
      </c>
      <c r="B403" s="413">
        <v>375.6</v>
      </c>
      <c r="C403" s="414" t="s">
        <v>1042</v>
      </c>
      <c r="D403" s="415">
        <f t="shared" si="94"/>
        <v>0</v>
      </c>
      <c r="E403" s="417">
        <v>0</v>
      </c>
      <c r="F403" s="417">
        <v>0</v>
      </c>
      <c r="G403" s="415">
        <f t="shared" si="99"/>
        <v>0</v>
      </c>
      <c r="H403" s="418"/>
      <c r="I403" s="415">
        <f t="shared" si="95"/>
        <v>0.02</v>
      </c>
      <c r="J403" s="442">
        <f t="shared" si="100"/>
        <v>1.9599999999999999E-2</v>
      </c>
      <c r="K403" s="418">
        <f t="shared" si="101"/>
        <v>0</v>
      </c>
      <c r="L403" s="418">
        <f t="shared" si="96"/>
        <v>0</v>
      </c>
      <c r="M403" s="417">
        <v>0</v>
      </c>
      <c r="N403" s="408">
        <f t="shared" si="97"/>
        <v>0.02</v>
      </c>
    </row>
    <row r="404" spans="1:14" x14ac:dyDescent="0.2">
      <c r="A404" s="410">
        <f t="shared" si="98"/>
        <v>21</v>
      </c>
      <c r="B404" s="413">
        <v>375.7</v>
      </c>
      <c r="C404" s="414" t="s">
        <v>1043</v>
      </c>
      <c r="D404" s="415">
        <f t="shared" si="94"/>
        <v>7980989.21</v>
      </c>
      <c r="E404" s="417">
        <v>14041</v>
      </c>
      <c r="F404" s="417">
        <v>-1685</v>
      </c>
      <c r="G404" s="415">
        <f t="shared" si="99"/>
        <v>7993345.21</v>
      </c>
      <c r="H404" s="418"/>
      <c r="I404" s="415">
        <f t="shared" si="95"/>
        <v>3259772.06</v>
      </c>
      <c r="J404" s="442">
        <f t="shared" si="100"/>
        <v>1.9900000000000001E-2</v>
      </c>
      <c r="K404" s="418">
        <f t="shared" si="101"/>
        <v>13245</v>
      </c>
      <c r="L404" s="418">
        <f t="shared" si="96"/>
        <v>1685</v>
      </c>
      <c r="M404" s="417">
        <v>0</v>
      </c>
      <c r="N404" s="408">
        <f t="shared" si="97"/>
        <v>3271332.06</v>
      </c>
    </row>
    <row r="405" spans="1:14" x14ac:dyDescent="0.2">
      <c r="A405" s="410">
        <f t="shared" si="98"/>
        <v>22</v>
      </c>
      <c r="B405" s="413">
        <v>375.71</v>
      </c>
      <c r="C405" s="414" t="s">
        <v>1044</v>
      </c>
      <c r="D405" s="415">
        <f t="shared" si="94"/>
        <v>259808.94</v>
      </c>
      <c r="E405" s="417">
        <v>0</v>
      </c>
      <c r="F405" s="417">
        <v>0</v>
      </c>
      <c r="G405" s="415">
        <f t="shared" si="99"/>
        <v>259808.94</v>
      </c>
      <c r="H405" s="418"/>
      <c r="I405" s="415">
        <f t="shared" si="95"/>
        <v>163417.20842105267</v>
      </c>
      <c r="J405" s="419" t="s">
        <v>1094</v>
      </c>
      <c r="K405" s="417">
        <f>104653.88/38</f>
        <v>2754.0494736842106</v>
      </c>
      <c r="L405" s="418">
        <f t="shared" si="96"/>
        <v>0</v>
      </c>
      <c r="M405" s="417">
        <v>0</v>
      </c>
      <c r="N405" s="408">
        <f t="shared" si="97"/>
        <v>166171.25789473689</v>
      </c>
    </row>
    <row r="406" spans="1:14" x14ac:dyDescent="0.2">
      <c r="A406" s="410">
        <f t="shared" si="98"/>
        <v>23</v>
      </c>
      <c r="B406" s="413">
        <v>375.8</v>
      </c>
      <c r="C406" s="414" t="s">
        <v>1045</v>
      </c>
      <c r="D406" s="415">
        <f t="shared" si="94"/>
        <v>0</v>
      </c>
      <c r="E406" s="417">
        <v>0</v>
      </c>
      <c r="F406" s="417">
        <v>0</v>
      </c>
      <c r="G406" s="415">
        <f t="shared" si="99"/>
        <v>0</v>
      </c>
      <c r="H406" s="418"/>
      <c r="I406" s="415">
        <f t="shared" si="95"/>
        <v>0</v>
      </c>
      <c r="J406" s="442">
        <f>J300</f>
        <v>5.3199999999999997E-2</v>
      </c>
      <c r="K406" s="417">
        <v>0</v>
      </c>
      <c r="L406" s="418">
        <f t="shared" si="96"/>
        <v>0</v>
      </c>
      <c r="M406" s="417">
        <v>0</v>
      </c>
      <c r="N406" s="408">
        <f t="shared" si="97"/>
        <v>0</v>
      </c>
    </row>
    <row r="407" spans="1:14" x14ac:dyDescent="0.2">
      <c r="A407" s="410">
        <f>A406+1</f>
        <v>24</v>
      </c>
      <c r="B407" s="413">
        <v>376</v>
      </c>
      <c r="C407" s="438" t="s">
        <v>1096</v>
      </c>
      <c r="D407" s="415"/>
      <c r="E407" s="417"/>
      <c r="F407" s="417"/>
      <c r="G407" s="415"/>
      <c r="H407" s="418"/>
      <c r="I407" s="439"/>
      <c r="J407" s="432"/>
      <c r="K407" s="418"/>
      <c r="L407" s="418"/>
      <c r="M407" s="417"/>
    </row>
    <row r="408" spans="1:14" x14ac:dyDescent="0.2">
      <c r="A408" s="410"/>
      <c r="B408" s="413"/>
      <c r="C408" s="440" t="s">
        <v>1097</v>
      </c>
      <c r="D408" s="415"/>
      <c r="E408" s="417"/>
      <c r="F408" s="417"/>
      <c r="G408" s="415"/>
      <c r="H408" s="418"/>
      <c r="I408" s="415"/>
      <c r="J408" s="442"/>
      <c r="K408" s="418"/>
      <c r="L408" s="418"/>
      <c r="M408" s="417"/>
      <c r="N408" s="408"/>
    </row>
    <row r="409" spans="1:14" x14ac:dyDescent="0.2">
      <c r="A409" s="410"/>
      <c r="B409" s="413"/>
      <c r="C409" s="440" t="s">
        <v>1098</v>
      </c>
      <c r="D409" s="415"/>
      <c r="E409" s="417"/>
      <c r="F409" s="417"/>
      <c r="G409" s="415"/>
      <c r="H409" s="418"/>
      <c r="I409" s="415"/>
      <c r="J409" s="442"/>
      <c r="K409" s="418"/>
      <c r="L409" s="418"/>
      <c r="M409" s="417"/>
      <c r="N409" s="408"/>
    </row>
    <row r="410" spans="1:14" x14ac:dyDescent="0.2">
      <c r="A410" s="410"/>
      <c r="B410" s="413"/>
      <c r="C410" s="440" t="s">
        <v>1099</v>
      </c>
      <c r="D410" s="415"/>
      <c r="E410" s="417"/>
      <c r="F410" s="417"/>
      <c r="G410" s="415"/>
      <c r="H410" s="418"/>
      <c r="I410" s="415"/>
      <c r="J410" s="442"/>
      <c r="K410" s="418"/>
      <c r="L410" s="418"/>
      <c r="M410" s="417"/>
      <c r="N410" s="408"/>
    </row>
    <row r="411" spans="1:14" x14ac:dyDescent="0.2">
      <c r="A411" s="410"/>
      <c r="B411" s="413"/>
      <c r="C411" s="440" t="s">
        <v>1100</v>
      </c>
      <c r="D411" s="415"/>
      <c r="E411" s="417"/>
      <c r="F411" s="417"/>
      <c r="G411" s="415"/>
      <c r="H411" s="418"/>
      <c r="I411" s="415"/>
      <c r="J411" s="442"/>
      <c r="K411" s="418"/>
      <c r="L411" s="418"/>
      <c r="M411" s="417"/>
      <c r="N411" s="408"/>
    </row>
    <row r="412" spans="1:14" x14ac:dyDescent="0.2">
      <c r="A412" s="410"/>
      <c r="B412" s="413"/>
      <c r="C412" s="440" t="s">
        <v>1101</v>
      </c>
      <c r="D412" s="415">
        <f t="shared" ref="D412:D417" si="102">G306</f>
        <v>206595337.44</v>
      </c>
      <c r="E412" s="417">
        <v>1596092</v>
      </c>
      <c r="F412" s="417">
        <v>-191531</v>
      </c>
      <c r="G412" s="415">
        <f t="shared" ref="G412:G417" si="103">SUM(D412:F412)</f>
        <v>207999898.44</v>
      </c>
      <c r="H412" s="418"/>
      <c r="I412" s="415">
        <f t="shared" ref="I412:I417" si="104">N306</f>
        <v>56593243.609999999</v>
      </c>
      <c r="J412" s="442">
        <f t="shared" ref="J412:J417" si="105">J306</f>
        <v>1.5699999999999999E-2</v>
      </c>
      <c r="K412" s="418">
        <f t="shared" ref="K412:K417" si="106">ROUND((G412+D412)/2*J412/12,0)</f>
        <v>271214</v>
      </c>
      <c r="L412" s="418">
        <f t="shared" ref="L412:L417" si="107">-F412</f>
        <v>191531</v>
      </c>
      <c r="M412" s="417">
        <v>-28730</v>
      </c>
      <c r="N412" s="408">
        <f t="shared" ref="N412:N417" si="108">I412+K412-L412+M412</f>
        <v>56644196.609999999</v>
      </c>
    </row>
    <row r="413" spans="1:14" x14ac:dyDescent="0.2">
      <c r="A413" s="410">
        <f>A407+1</f>
        <v>25</v>
      </c>
      <c r="B413" s="413">
        <v>378.1</v>
      </c>
      <c r="C413" s="414" t="s">
        <v>1047</v>
      </c>
      <c r="D413" s="415">
        <f t="shared" si="102"/>
        <v>518504.18</v>
      </c>
      <c r="E413" s="417">
        <v>0</v>
      </c>
      <c r="F413" s="417">
        <v>0</v>
      </c>
      <c r="G413" s="415">
        <f t="shared" si="103"/>
        <v>518504.18</v>
      </c>
      <c r="H413" s="418"/>
      <c r="I413" s="415">
        <f t="shared" si="104"/>
        <v>356356.81</v>
      </c>
      <c r="J413" s="442">
        <f t="shared" si="105"/>
        <v>2.35E-2</v>
      </c>
      <c r="K413" s="418">
        <f t="shared" si="106"/>
        <v>1015</v>
      </c>
      <c r="L413" s="418">
        <f t="shared" si="107"/>
        <v>0</v>
      </c>
      <c r="M413" s="417">
        <v>0</v>
      </c>
      <c r="N413" s="408">
        <f t="shared" si="108"/>
        <v>357371.81</v>
      </c>
    </row>
    <row r="414" spans="1:14" x14ac:dyDescent="0.2">
      <c r="A414" s="410">
        <f t="shared" si="98"/>
        <v>26</v>
      </c>
      <c r="B414" s="413">
        <v>378.2</v>
      </c>
      <c r="C414" s="414" t="s">
        <v>1048</v>
      </c>
      <c r="D414" s="415">
        <f t="shared" si="102"/>
        <v>9526628</v>
      </c>
      <c r="E414" s="417">
        <v>13732</v>
      </c>
      <c r="F414" s="417">
        <v>-1648</v>
      </c>
      <c r="G414" s="415">
        <f t="shared" si="103"/>
        <v>9538712</v>
      </c>
      <c r="H414" s="418"/>
      <c r="I414" s="415">
        <f t="shared" si="104"/>
        <v>3273274.91</v>
      </c>
      <c r="J414" s="442">
        <f t="shared" si="105"/>
        <v>2.35E-2</v>
      </c>
      <c r="K414" s="418">
        <f t="shared" si="106"/>
        <v>18668</v>
      </c>
      <c r="L414" s="418">
        <f t="shared" si="107"/>
        <v>1648</v>
      </c>
      <c r="M414" s="417">
        <v>-82</v>
      </c>
      <c r="N414" s="408">
        <f t="shared" si="108"/>
        <v>3290212.91</v>
      </c>
    </row>
    <row r="415" spans="1:14" x14ac:dyDescent="0.2">
      <c r="A415" s="410">
        <f t="shared" si="98"/>
        <v>27</v>
      </c>
      <c r="B415" s="413">
        <v>378.3</v>
      </c>
      <c r="C415" s="414" t="s">
        <v>1049</v>
      </c>
      <c r="D415" s="415">
        <f t="shared" si="102"/>
        <v>45443.08</v>
      </c>
      <c r="E415" s="417">
        <v>0</v>
      </c>
      <c r="F415" s="417">
        <v>0</v>
      </c>
      <c r="G415" s="415">
        <f t="shared" si="103"/>
        <v>45443.08</v>
      </c>
      <c r="H415" s="418"/>
      <c r="I415" s="415">
        <f t="shared" si="104"/>
        <v>35255.040000000001</v>
      </c>
      <c r="J415" s="442">
        <f t="shared" si="105"/>
        <v>2.35E-2</v>
      </c>
      <c r="K415" s="418">
        <f t="shared" si="106"/>
        <v>89</v>
      </c>
      <c r="L415" s="418">
        <f t="shared" si="107"/>
        <v>0</v>
      </c>
      <c r="M415" s="417">
        <v>0</v>
      </c>
      <c r="N415" s="408">
        <f t="shared" si="108"/>
        <v>35344.04</v>
      </c>
    </row>
    <row r="416" spans="1:14" x14ac:dyDescent="0.2">
      <c r="A416" s="410">
        <f t="shared" si="98"/>
        <v>28</v>
      </c>
      <c r="B416" s="413">
        <v>379.1</v>
      </c>
      <c r="C416" s="414" t="s">
        <v>1050</v>
      </c>
      <c r="D416" s="415">
        <f t="shared" si="102"/>
        <v>254900.59</v>
      </c>
      <c r="E416" s="417">
        <v>0</v>
      </c>
      <c r="F416" s="417">
        <v>0</v>
      </c>
      <c r="G416" s="415">
        <f t="shared" si="103"/>
        <v>254900.59</v>
      </c>
      <c r="H416" s="418"/>
      <c r="I416" s="415">
        <f t="shared" si="104"/>
        <v>267730.57</v>
      </c>
      <c r="J416" s="442">
        <f t="shared" si="105"/>
        <v>2.2700000000000001E-2</v>
      </c>
      <c r="K416" s="417">
        <v>0</v>
      </c>
      <c r="L416" s="418">
        <f t="shared" si="107"/>
        <v>0</v>
      </c>
      <c r="M416" s="417">
        <v>0</v>
      </c>
      <c r="N416" s="408">
        <f t="shared" si="108"/>
        <v>267730.57</v>
      </c>
    </row>
    <row r="417" spans="1:14" x14ac:dyDescent="0.2">
      <c r="A417" s="410">
        <f t="shared" si="98"/>
        <v>29</v>
      </c>
      <c r="B417" s="413">
        <v>380</v>
      </c>
      <c r="C417" s="414" t="s">
        <v>1051</v>
      </c>
      <c r="D417" s="415">
        <f t="shared" si="102"/>
        <v>118483449.77</v>
      </c>
      <c r="E417" s="417">
        <v>1012138</v>
      </c>
      <c r="F417" s="417">
        <v>-121457</v>
      </c>
      <c r="G417" s="415">
        <f t="shared" si="103"/>
        <v>119374130.77</v>
      </c>
      <c r="H417" s="418"/>
      <c r="I417" s="415">
        <f t="shared" si="104"/>
        <v>57898553.520000003</v>
      </c>
      <c r="J417" s="442">
        <f t="shared" si="105"/>
        <v>2.5899999999999999E-2</v>
      </c>
      <c r="K417" s="418">
        <f t="shared" si="106"/>
        <v>256688</v>
      </c>
      <c r="L417" s="418">
        <f t="shared" si="107"/>
        <v>121457</v>
      </c>
      <c r="M417" s="417">
        <v>-60728</v>
      </c>
      <c r="N417" s="408">
        <f t="shared" si="108"/>
        <v>57973056.520000003</v>
      </c>
    </row>
    <row r="418" spans="1:14" x14ac:dyDescent="0.2">
      <c r="A418" s="410"/>
      <c r="B418" s="444"/>
      <c r="C418" s="414"/>
      <c r="D418" s="439"/>
      <c r="E418" s="418"/>
      <c r="F418" s="418"/>
      <c r="G418" s="439"/>
      <c r="H418" s="418"/>
      <c r="I418" s="418"/>
      <c r="J418" s="418"/>
      <c r="K418" s="418"/>
      <c r="L418" s="418"/>
    </row>
    <row r="419" spans="1:14" x14ac:dyDescent="0.2">
      <c r="A419" s="2073" t="str">
        <f>co</f>
        <v>COLUMBIA GAS OF KENTUCKY, INC.</v>
      </c>
      <c r="B419" s="2073"/>
      <c r="C419" s="2073"/>
      <c r="D419" s="2073"/>
      <c r="E419" s="2073"/>
      <c r="F419" s="2073"/>
      <c r="G419" s="2073"/>
      <c r="H419" s="2073"/>
      <c r="I419" s="2073"/>
      <c r="J419" s="2073"/>
      <c r="K419" s="2073"/>
      <c r="L419" s="2073"/>
      <c r="M419" s="2073"/>
      <c r="N419" s="2073"/>
    </row>
    <row r="420" spans="1:14" x14ac:dyDescent="0.2">
      <c r="A420" s="2073" t="str">
        <f>case</f>
        <v>CASE NO. 2016 - 00162</v>
      </c>
      <c r="B420" s="2073"/>
      <c r="C420" s="2073"/>
      <c r="D420" s="2073"/>
      <c r="E420" s="2073"/>
      <c r="F420" s="2073"/>
      <c r="G420" s="2073"/>
      <c r="H420" s="2073"/>
      <c r="I420" s="2073"/>
      <c r="J420" s="2073"/>
      <c r="K420" s="2073"/>
      <c r="L420" s="2073"/>
      <c r="M420" s="2073"/>
      <c r="N420" s="2073"/>
    </row>
    <row r="421" spans="1:14" x14ac:dyDescent="0.2">
      <c r="A421" s="2074" t="s">
        <v>1106</v>
      </c>
      <c r="B421" s="2073"/>
      <c r="C421" s="2073"/>
      <c r="D421" s="2073"/>
      <c r="E421" s="2073"/>
      <c r="F421" s="2073"/>
      <c r="G421" s="2073"/>
      <c r="H421" s="2073"/>
      <c r="I421" s="2073"/>
      <c r="J421" s="2073"/>
      <c r="K421" s="2073"/>
      <c r="L421" s="2073"/>
      <c r="M421" s="2073"/>
      <c r="N421" s="2073"/>
    </row>
    <row r="422" spans="1:14" x14ac:dyDescent="0.2">
      <c r="A422" s="2078" t="s">
        <v>2142</v>
      </c>
      <c r="B422" s="2078"/>
      <c r="C422" s="2078"/>
      <c r="D422" s="2078"/>
      <c r="E422" s="2078"/>
      <c r="F422" s="2078"/>
      <c r="G422" s="2078"/>
      <c r="H422" s="2078"/>
      <c r="I422" s="2078"/>
      <c r="J422" s="2078"/>
      <c r="K422" s="2078"/>
      <c r="L422" s="2078"/>
      <c r="M422" s="2078"/>
      <c r="N422" s="2078"/>
    </row>
    <row r="424" spans="1:14" x14ac:dyDescent="0.2">
      <c r="A424" s="388" t="s">
        <v>976</v>
      </c>
      <c r="M424" s="386"/>
      <c r="N424" s="387" t="s">
        <v>763</v>
      </c>
    </row>
    <row r="425" spans="1:14" x14ac:dyDescent="0.2">
      <c r="A425" s="388" t="s">
        <v>977</v>
      </c>
      <c r="M425" s="386"/>
      <c r="N425" s="387" t="s">
        <v>999</v>
      </c>
    </row>
    <row r="426" spans="1:14" x14ac:dyDescent="0.2">
      <c r="A426" s="445" t="str">
        <f>A373</f>
        <v>WORKPAPER REFERENCE NO(S).: WPB-2.3</v>
      </c>
      <c r="B426" s="391"/>
      <c r="C426" s="391"/>
      <c r="D426" s="391"/>
      <c r="E426" s="391"/>
      <c r="F426" s="391"/>
      <c r="G426" s="391"/>
      <c r="H426" s="391"/>
      <c r="M426" s="392"/>
      <c r="N426" s="393" t="str">
        <f>SMK</f>
        <v>WITNESS:  S. M. KATKO</v>
      </c>
    </row>
    <row r="427" spans="1:14" x14ac:dyDescent="0.2">
      <c r="A427" s="390"/>
      <c r="B427" s="391"/>
      <c r="C427" s="391"/>
      <c r="D427" s="391"/>
      <c r="E427" s="391"/>
      <c r="F427" s="391"/>
      <c r="G427" s="391"/>
      <c r="H427" s="391"/>
      <c r="I427" s="392"/>
      <c r="J427" s="393"/>
      <c r="L427" s="386"/>
      <c r="M427" s="386"/>
    </row>
    <row r="428" spans="1:14" x14ac:dyDescent="0.2">
      <c r="A428" s="390"/>
      <c r="B428" s="391"/>
      <c r="C428" s="391"/>
      <c r="D428" s="2075" t="s">
        <v>1088</v>
      </c>
      <c r="E428" s="2075"/>
      <c r="F428" s="2075"/>
      <c r="G428" s="2075"/>
      <c r="H428" s="391"/>
      <c r="I428" s="2076" t="s">
        <v>1093</v>
      </c>
      <c r="J428" s="2077"/>
      <c r="K428" s="2077"/>
      <c r="L428" s="2077"/>
      <c r="M428" s="2077"/>
      <c r="N428" s="2077"/>
    </row>
    <row r="429" spans="1:14" x14ac:dyDescent="0.2">
      <c r="A429" s="394"/>
      <c r="B429" s="391"/>
      <c r="C429" s="391"/>
      <c r="D429" s="396" t="s">
        <v>1084</v>
      </c>
      <c r="E429" s="391"/>
      <c r="F429" s="391"/>
      <c r="G429" s="395"/>
      <c r="H429" s="395"/>
      <c r="I429" s="397" t="s">
        <v>1089</v>
      </c>
      <c r="J429" s="396"/>
      <c r="M429" s="386"/>
    </row>
    <row r="430" spans="1:14" x14ac:dyDescent="0.2">
      <c r="A430" s="383"/>
      <c r="D430" s="397" t="s">
        <v>865</v>
      </c>
      <c r="G430" s="397" t="s">
        <v>867</v>
      </c>
      <c r="H430" s="398"/>
      <c r="I430" s="397" t="s">
        <v>865</v>
      </c>
      <c r="J430" s="397" t="s">
        <v>956</v>
      </c>
      <c r="M430" s="386"/>
      <c r="N430" s="397" t="s">
        <v>867</v>
      </c>
    </row>
    <row r="431" spans="1:14" x14ac:dyDescent="0.2">
      <c r="A431" s="397" t="s">
        <v>1080</v>
      </c>
      <c r="B431" s="397" t="s">
        <v>1082</v>
      </c>
      <c r="D431" s="397" t="s">
        <v>867</v>
      </c>
      <c r="G431" s="399" t="s">
        <v>1087</v>
      </c>
      <c r="H431" s="398"/>
      <c r="I431" s="399" t="s">
        <v>867</v>
      </c>
      <c r="J431" s="397" t="s">
        <v>1090</v>
      </c>
      <c r="K431" s="397" t="s">
        <v>956</v>
      </c>
      <c r="M431" s="399" t="s">
        <v>1092</v>
      </c>
      <c r="N431" s="399" t="s">
        <v>1087</v>
      </c>
    </row>
    <row r="432" spans="1:14" x14ac:dyDescent="0.2">
      <c r="A432" s="400" t="s">
        <v>1081</v>
      </c>
      <c r="B432" s="400" t="s">
        <v>1081</v>
      </c>
      <c r="C432" s="401" t="s">
        <v>1083</v>
      </c>
      <c r="D432" s="404" t="str">
        <f>D379</f>
        <v>05/31/2016</v>
      </c>
      <c r="E432" s="400" t="s">
        <v>1085</v>
      </c>
      <c r="F432" s="400" t="s">
        <v>1086</v>
      </c>
      <c r="G432" s="404" t="str">
        <f>G379</f>
        <v>06/30/2016</v>
      </c>
      <c r="H432" s="398"/>
      <c r="I432" s="404" t="str">
        <f>D432</f>
        <v>05/31/2016</v>
      </c>
      <c r="J432" s="400" t="s">
        <v>1091</v>
      </c>
      <c r="K432" s="402" t="s">
        <v>1090</v>
      </c>
      <c r="L432" s="402" t="s">
        <v>1086</v>
      </c>
      <c r="M432" s="402" t="s">
        <v>955</v>
      </c>
      <c r="N432" s="404" t="str">
        <f>G432</f>
        <v>06/30/2016</v>
      </c>
    </row>
    <row r="433" spans="1:14" x14ac:dyDescent="0.2">
      <c r="A433" s="406"/>
      <c r="B433" s="406"/>
      <c r="C433" s="406"/>
      <c r="D433" s="406" t="str">
        <f>"(1)"</f>
        <v>(1)</v>
      </c>
      <c r="E433" s="406" t="str">
        <f>"(2)"</f>
        <v>(2)</v>
      </c>
      <c r="F433" s="406" t="str">
        <f>"(3)"</f>
        <v>(3)</v>
      </c>
      <c r="G433" s="406" t="str">
        <f>"(4)=(1+2+3)"</f>
        <v>(4)=(1+2+3)</v>
      </c>
      <c r="H433" s="406"/>
      <c r="I433" s="406" t="str">
        <f>"(5)"</f>
        <v>(5)</v>
      </c>
      <c r="J433" s="406" t="str">
        <f>"(6)"</f>
        <v>(6)</v>
      </c>
      <c r="K433" s="406" t="str">
        <f>"(7)=((1+4)/2*6/12))"</f>
        <v>(7)=((1+4)/2*6/12))</v>
      </c>
      <c r="L433" s="406" t="str">
        <f>"(8)"</f>
        <v>(8)</v>
      </c>
      <c r="M433" s="406" t="str">
        <f>"(9)"</f>
        <v>(9)</v>
      </c>
      <c r="N433" s="406" t="str">
        <f>"(10)=(5+7-8+9)"</f>
        <v>(10)=(5+7-8+9)</v>
      </c>
    </row>
    <row r="434" spans="1:14" x14ac:dyDescent="0.2">
      <c r="D434" s="410" t="s">
        <v>639</v>
      </c>
      <c r="E434" s="410" t="s">
        <v>639</v>
      </c>
      <c r="F434" s="410" t="s">
        <v>639</v>
      </c>
      <c r="G434" s="410" t="s">
        <v>639</v>
      </c>
      <c r="H434" s="410"/>
      <c r="I434" s="410" t="s">
        <v>639</v>
      </c>
      <c r="J434" s="410" t="s">
        <v>639</v>
      </c>
      <c r="K434" s="410" t="s">
        <v>639</v>
      </c>
      <c r="L434" s="410" t="s">
        <v>639</v>
      </c>
      <c r="M434" s="410" t="s">
        <v>639</v>
      </c>
      <c r="N434" s="410" t="s">
        <v>639</v>
      </c>
    </row>
    <row r="435" spans="1:14" x14ac:dyDescent="0.2">
      <c r="C435" s="411" t="s">
        <v>707</v>
      </c>
      <c r="D435" s="410"/>
      <c r="E435" s="410"/>
      <c r="F435" s="410"/>
      <c r="G435" s="410"/>
      <c r="J435" s="410"/>
    </row>
    <row r="436" spans="1:14" x14ac:dyDescent="0.2">
      <c r="A436" s="405">
        <v>1</v>
      </c>
      <c r="B436" s="446">
        <v>381</v>
      </c>
      <c r="C436" s="414" t="s">
        <v>1052</v>
      </c>
      <c r="D436" s="415">
        <f t="shared" ref="D436:D447" si="109">G330</f>
        <v>13548681.550000001</v>
      </c>
      <c r="E436" s="417">
        <v>76247</v>
      </c>
      <c r="F436" s="417">
        <v>-9150</v>
      </c>
      <c r="G436" s="415">
        <f>SUM(D436:F436)</f>
        <v>13615778.550000001</v>
      </c>
      <c r="H436" s="418"/>
      <c r="I436" s="415">
        <f t="shared" ref="I436:I447" si="110">N330</f>
        <v>4747494.8899999997</v>
      </c>
      <c r="J436" s="442">
        <f t="shared" ref="J436:J447" si="111">J330</f>
        <v>2.5899999999999999E-2</v>
      </c>
      <c r="K436" s="418">
        <f t="shared" ref="K436:K447" si="112">ROUND((G436+D436)/2*J436/12,0)</f>
        <v>29315</v>
      </c>
      <c r="L436" s="418">
        <f t="shared" ref="L436:L447" si="113">-F436</f>
        <v>9150</v>
      </c>
      <c r="M436" s="417">
        <v>0</v>
      </c>
      <c r="N436" s="408">
        <f t="shared" ref="N436:N447" si="114">I436+K436-L436+M436</f>
        <v>4767659.8899999997</v>
      </c>
    </row>
    <row r="437" spans="1:14" x14ac:dyDescent="0.2">
      <c r="A437" s="405">
        <f>A436+1</f>
        <v>2</v>
      </c>
      <c r="B437" s="446">
        <v>381.1</v>
      </c>
      <c r="C437" s="414" t="s">
        <v>1052</v>
      </c>
      <c r="D437" s="415">
        <f t="shared" si="109"/>
        <v>8754899.0600000005</v>
      </c>
      <c r="E437" s="417">
        <v>647</v>
      </c>
      <c r="F437" s="417">
        <v>-78</v>
      </c>
      <c r="G437" s="415">
        <f>SUM(D437:F437)</f>
        <v>8755468.0600000005</v>
      </c>
      <c r="H437" s="418"/>
      <c r="I437" s="415">
        <f t="shared" si="110"/>
        <v>423123.5</v>
      </c>
      <c r="J437" s="442">
        <f t="shared" si="111"/>
        <v>2.5899999999999999E-2</v>
      </c>
      <c r="K437" s="418">
        <f t="shared" si="112"/>
        <v>18897</v>
      </c>
      <c r="L437" s="418">
        <f t="shared" si="113"/>
        <v>78</v>
      </c>
      <c r="M437" s="417">
        <v>0</v>
      </c>
      <c r="N437" s="408">
        <f t="shared" si="114"/>
        <v>441942.5</v>
      </c>
    </row>
    <row r="438" spans="1:14" x14ac:dyDescent="0.2">
      <c r="A438" s="405">
        <f t="shared" ref="A438:A448" si="115">A437+1</f>
        <v>3</v>
      </c>
      <c r="B438" s="446">
        <v>382</v>
      </c>
      <c r="C438" s="414" t="s">
        <v>1053</v>
      </c>
      <c r="D438" s="415">
        <f t="shared" si="109"/>
        <v>9045893.6500000004</v>
      </c>
      <c r="E438" s="417">
        <v>13929</v>
      </c>
      <c r="F438" s="417">
        <v>-1671</v>
      </c>
      <c r="G438" s="415">
        <f t="shared" ref="G438:G443" si="116">SUM(D438:F438)</f>
        <v>9058151.6500000004</v>
      </c>
      <c r="H438" s="418"/>
      <c r="I438" s="415">
        <f t="shared" si="110"/>
        <v>4531229.3</v>
      </c>
      <c r="J438" s="442">
        <f t="shared" si="111"/>
        <v>2.3900000000000001E-2</v>
      </c>
      <c r="K438" s="418">
        <f t="shared" si="112"/>
        <v>18029</v>
      </c>
      <c r="L438" s="418">
        <f t="shared" si="113"/>
        <v>1671</v>
      </c>
      <c r="M438" s="417">
        <v>-84</v>
      </c>
      <c r="N438" s="408">
        <f t="shared" si="114"/>
        <v>4547503.3</v>
      </c>
    </row>
    <row r="439" spans="1:14" x14ac:dyDescent="0.2">
      <c r="A439" s="405">
        <f t="shared" si="115"/>
        <v>4</v>
      </c>
      <c r="B439" s="446">
        <v>383</v>
      </c>
      <c r="C439" s="414" t="s">
        <v>1054</v>
      </c>
      <c r="D439" s="415">
        <f t="shared" si="109"/>
        <v>5557041.7599999998</v>
      </c>
      <c r="E439" s="417">
        <v>9381</v>
      </c>
      <c r="F439" s="417">
        <v>-1126</v>
      </c>
      <c r="G439" s="415">
        <f t="shared" si="116"/>
        <v>5565296.7599999998</v>
      </c>
      <c r="H439" s="418"/>
      <c r="I439" s="415">
        <f t="shared" si="110"/>
        <v>1475242.41</v>
      </c>
      <c r="J439" s="442">
        <f t="shared" si="111"/>
        <v>1.3899999999999999E-2</v>
      </c>
      <c r="K439" s="418">
        <f t="shared" si="112"/>
        <v>6442</v>
      </c>
      <c r="L439" s="418">
        <f t="shared" si="113"/>
        <v>1126</v>
      </c>
      <c r="M439" s="417">
        <v>-56</v>
      </c>
      <c r="N439" s="408">
        <f t="shared" si="114"/>
        <v>1480502.41</v>
      </c>
    </row>
    <row r="440" spans="1:14" x14ac:dyDescent="0.2">
      <c r="A440" s="405">
        <f t="shared" si="115"/>
        <v>5</v>
      </c>
      <c r="B440" s="446">
        <v>384</v>
      </c>
      <c r="C440" s="414" t="s">
        <v>1055</v>
      </c>
      <c r="D440" s="415">
        <f t="shared" si="109"/>
        <v>2257522</v>
      </c>
      <c r="E440" s="417">
        <v>0</v>
      </c>
      <c r="F440" s="417">
        <v>0</v>
      </c>
      <c r="G440" s="415">
        <f t="shared" si="116"/>
        <v>2257522</v>
      </c>
      <c r="H440" s="418"/>
      <c r="I440" s="415">
        <f t="shared" si="110"/>
        <v>1754845.73</v>
      </c>
      <c r="J440" s="442">
        <f t="shared" si="111"/>
        <v>1.0999999999999999E-2</v>
      </c>
      <c r="K440" s="418">
        <f t="shared" si="112"/>
        <v>2069</v>
      </c>
      <c r="L440" s="418">
        <f t="shared" si="113"/>
        <v>0</v>
      </c>
      <c r="M440" s="417">
        <v>0</v>
      </c>
      <c r="N440" s="408">
        <f t="shared" si="114"/>
        <v>1756914.73</v>
      </c>
    </row>
    <row r="441" spans="1:14" x14ac:dyDescent="0.2">
      <c r="A441" s="405">
        <f t="shared" si="115"/>
        <v>6</v>
      </c>
      <c r="B441" s="446">
        <v>385</v>
      </c>
      <c r="C441" s="414" t="s">
        <v>1056</v>
      </c>
      <c r="D441" s="415">
        <f t="shared" si="109"/>
        <v>3132433.36</v>
      </c>
      <c r="E441" s="417">
        <v>13247</v>
      </c>
      <c r="F441" s="417">
        <v>-1590</v>
      </c>
      <c r="G441" s="415">
        <f t="shared" si="116"/>
        <v>3144090.36</v>
      </c>
      <c r="H441" s="418"/>
      <c r="I441" s="415">
        <f t="shared" si="110"/>
        <v>868489.55</v>
      </c>
      <c r="J441" s="442">
        <f t="shared" si="111"/>
        <v>2.0899999999999998E-2</v>
      </c>
      <c r="K441" s="418">
        <f t="shared" si="112"/>
        <v>5466</v>
      </c>
      <c r="L441" s="418">
        <f t="shared" si="113"/>
        <v>1590</v>
      </c>
      <c r="M441" s="417">
        <v>-79</v>
      </c>
      <c r="N441" s="408">
        <f t="shared" si="114"/>
        <v>872286.55</v>
      </c>
    </row>
    <row r="442" spans="1:14" x14ac:dyDescent="0.2">
      <c r="A442" s="405">
        <f t="shared" si="115"/>
        <v>7</v>
      </c>
      <c r="B442" s="446">
        <v>387.2</v>
      </c>
      <c r="C442" s="414" t="s">
        <v>1057</v>
      </c>
      <c r="D442" s="415">
        <f t="shared" si="109"/>
        <v>0</v>
      </c>
      <c r="E442" s="417">
        <v>0</v>
      </c>
      <c r="F442" s="417">
        <v>0</v>
      </c>
      <c r="G442" s="415">
        <f t="shared" si="116"/>
        <v>0</v>
      </c>
      <c r="H442" s="418"/>
      <c r="I442" s="415">
        <f t="shared" si="110"/>
        <v>-59912.03</v>
      </c>
      <c r="J442" s="442">
        <f t="shared" si="111"/>
        <v>2.3199999999999998E-2</v>
      </c>
      <c r="K442" s="418">
        <f t="shared" si="112"/>
        <v>0</v>
      </c>
      <c r="L442" s="418">
        <f t="shared" si="113"/>
        <v>0</v>
      </c>
      <c r="M442" s="417">
        <v>0</v>
      </c>
      <c r="N442" s="408">
        <f t="shared" si="114"/>
        <v>-59912.03</v>
      </c>
    </row>
    <row r="443" spans="1:14" x14ac:dyDescent="0.2">
      <c r="A443" s="405">
        <f t="shared" si="115"/>
        <v>8</v>
      </c>
      <c r="B443" s="446">
        <v>387.41</v>
      </c>
      <c r="C443" s="414" t="s">
        <v>1058</v>
      </c>
      <c r="D443" s="415">
        <f t="shared" si="109"/>
        <v>735770.76</v>
      </c>
      <c r="E443" s="417">
        <v>0</v>
      </c>
      <c r="F443" s="417">
        <v>0</v>
      </c>
      <c r="G443" s="415">
        <f t="shared" si="116"/>
        <v>735770.76</v>
      </c>
      <c r="H443" s="418"/>
      <c r="I443" s="415">
        <f t="shared" si="110"/>
        <v>376012.95</v>
      </c>
      <c r="J443" s="442">
        <f t="shared" si="111"/>
        <v>2.3400000000000001E-2</v>
      </c>
      <c r="K443" s="418">
        <f t="shared" si="112"/>
        <v>1435</v>
      </c>
      <c r="L443" s="418">
        <f t="shared" si="113"/>
        <v>0</v>
      </c>
      <c r="M443" s="417">
        <v>0</v>
      </c>
      <c r="N443" s="408">
        <f t="shared" si="114"/>
        <v>377447.95</v>
      </c>
    </row>
    <row r="444" spans="1:14" x14ac:dyDescent="0.2">
      <c r="A444" s="405">
        <f t="shared" si="115"/>
        <v>9</v>
      </c>
      <c r="B444" s="446">
        <v>387.42</v>
      </c>
      <c r="C444" s="414" t="s">
        <v>1059</v>
      </c>
      <c r="D444" s="415">
        <f t="shared" si="109"/>
        <v>795186.58</v>
      </c>
      <c r="E444" s="417">
        <v>0</v>
      </c>
      <c r="F444" s="417">
        <v>0</v>
      </c>
      <c r="G444" s="415">
        <f>SUM(D444:F444)</f>
        <v>795186.58</v>
      </c>
      <c r="H444" s="418"/>
      <c r="I444" s="415">
        <f t="shared" si="110"/>
        <v>541688.94999999995</v>
      </c>
      <c r="J444" s="442">
        <f t="shared" si="111"/>
        <v>2.3400000000000001E-2</v>
      </c>
      <c r="K444" s="418">
        <f t="shared" si="112"/>
        <v>1551</v>
      </c>
      <c r="L444" s="418">
        <f t="shared" si="113"/>
        <v>0</v>
      </c>
      <c r="M444" s="417">
        <v>0</v>
      </c>
      <c r="N444" s="408">
        <f t="shared" si="114"/>
        <v>543239.94999999995</v>
      </c>
    </row>
    <row r="445" spans="1:14" x14ac:dyDescent="0.2">
      <c r="A445" s="405">
        <f t="shared" si="115"/>
        <v>10</v>
      </c>
      <c r="B445" s="446">
        <v>387.44</v>
      </c>
      <c r="C445" s="414" t="s">
        <v>1060</v>
      </c>
      <c r="D445" s="415">
        <f t="shared" si="109"/>
        <v>133589.93</v>
      </c>
      <c r="E445" s="417">
        <v>11016</v>
      </c>
      <c r="F445" s="417">
        <v>-1322</v>
      </c>
      <c r="G445" s="415">
        <f>SUM(D445:F445)</f>
        <v>143283.93</v>
      </c>
      <c r="H445" s="418"/>
      <c r="I445" s="415">
        <f t="shared" si="110"/>
        <v>46326.55</v>
      </c>
      <c r="J445" s="442">
        <f t="shared" si="111"/>
        <v>2.3400000000000001E-2</v>
      </c>
      <c r="K445" s="418">
        <f t="shared" si="112"/>
        <v>270</v>
      </c>
      <c r="L445" s="418">
        <f t="shared" si="113"/>
        <v>1322</v>
      </c>
      <c r="M445" s="417">
        <v>0</v>
      </c>
      <c r="N445" s="408">
        <f t="shared" si="114"/>
        <v>45274.55</v>
      </c>
    </row>
    <row r="446" spans="1:14" x14ac:dyDescent="0.2">
      <c r="A446" s="405">
        <f t="shared" si="115"/>
        <v>11</v>
      </c>
      <c r="B446" s="446">
        <v>387.45</v>
      </c>
      <c r="C446" s="414" t="s">
        <v>1061</v>
      </c>
      <c r="D446" s="415">
        <f t="shared" si="109"/>
        <v>2838052.66</v>
      </c>
      <c r="E446" s="417">
        <v>0</v>
      </c>
      <c r="F446" s="417">
        <v>0</v>
      </c>
      <c r="G446" s="415">
        <f>SUM(D446:F446)</f>
        <v>2838052.66</v>
      </c>
      <c r="H446" s="418"/>
      <c r="I446" s="415">
        <f t="shared" si="110"/>
        <v>550573.06000000006</v>
      </c>
      <c r="J446" s="442">
        <f t="shared" si="111"/>
        <v>2.3400000000000001E-2</v>
      </c>
      <c r="K446" s="418">
        <f t="shared" si="112"/>
        <v>5534</v>
      </c>
      <c r="L446" s="418">
        <f t="shared" si="113"/>
        <v>0</v>
      </c>
      <c r="M446" s="417">
        <v>0</v>
      </c>
      <c r="N446" s="408">
        <f t="shared" si="114"/>
        <v>556107.06000000006</v>
      </c>
    </row>
    <row r="447" spans="1:14" x14ac:dyDescent="0.2">
      <c r="A447" s="405">
        <f t="shared" si="115"/>
        <v>12</v>
      </c>
      <c r="B447" s="446">
        <v>387.46</v>
      </c>
      <c r="C447" s="414" t="s">
        <v>1062</v>
      </c>
      <c r="D447" s="421">
        <f t="shared" si="109"/>
        <v>113644.47</v>
      </c>
      <c r="E447" s="1662">
        <v>0</v>
      </c>
      <c r="F447" s="1662">
        <v>0</v>
      </c>
      <c r="G447" s="428">
        <f>SUM(D447:F447)</f>
        <v>113644.47</v>
      </c>
      <c r="H447" s="447"/>
      <c r="I447" s="421">
        <f t="shared" si="110"/>
        <v>110678.83</v>
      </c>
      <c r="J447" s="442">
        <f t="shared" si="111"/>
        <v>2.3400000000000001E-2</v>
      </c>
      <c r="K447" s="421">
        <f t="shared" si="112"/>
        <v>222</v>
      </c>
      <c r="L447" s="421">
        <f t="shared" si="113"/>
        <v>0</v>
      </c>
      <c r="M447" s="422">
        <v>0</v>
      </c>
      <c r="N447" s="423">
        <f t="shared" si="114"/>
        <v>110900.83</v>
      </c>
    </row>
    <row r="448" spans="1:14" x14ac:dyDescent="0.2">
      <c r="A448" s="405">
        <f t="shared" si="115"/>
        <v>13</v>
      </c>
      <c r="B448" s="448"/>
      <c r="C448" s="386" t="s">
        <v>1063</v>
      </c>
      <c r="D448" s="418">
        <f>SUM(D436:D447,D396:D417)</f>
        <v>396681019.37999994</v>
      </c>
      <c r="E448" s="418">
        <f>SUM(E436:E447,E396:E417)</f>
        <v>2765785</v>
      </c>
      <c r="F448" s="418">
        <f>SUM(F436:F447,F396:F417)</f>
        <v>-331896</v>
      </c>
      <c r="G448" s="418">
        <f>SUM(G436:G447,G396:G417)</f>
        <v>399114908.37999994</v>
      </c>
      <c r="H448" s="418"/>
      <c r="I448" s="418">
        <f>SUM(I436:I447,I396:I417)</f>
        <v>138794866.92842105</v>
      </c>
      <c r="J448" s="418"/>
      <c r="K448" s="418">
        <f>SUM(K436:K447,K396:K417)</f>
        <v>659544.04947368428</v>
      </c>
      <c r="L448" s="418">
        <f>SUM(L436:L447,L396:L417)</f>
        <v>331896</v>
      </c>
      <c r="M448" s="418">
        <f>SUM(M436:M447,M396:M417)</f>
        <v>-89808</v>
      </c>
      <c r="N448" s="418">
        <f>SUM(N436:N447,N396:N417)</f>
        <v>139032706.97789472</v>
      </c>
    </row>
    <row r="449" spans="1:14" x14ac:dyDescent="0.2">
      <c r="B449" s="448"/>
      <c r="D449" s="418"/>
      <c r="E449" s="418"/>
      <c r="F449" s="418"/>
      <c r="G449" s="418"/>
      <c r="H449" s="418"/>
      <c r="I449" s="439"/>
      <c r="J449" s="418"/>
      <c r="K449" s="418"/>
      <c r="L449" s="418"/>
      <c r="M449" s="418"/>
    </row>
    <row r="450" spans="1:14" x14ac:dyDescent="0.2">
      <c r="A450" s="405">
        <f>A448+1</f>
        <v>14</v>
      </c>
      <c r="B450" s="448"/>
      <c r="C450" s="411" t="s">
        <v>737</v>
      </c>
      <c r="D450" s="418"/>
      <c r="E450" s="418"/>
      <c r="F450" s="418"/>
      <c r="G450" s="418"/>
      <c r="H450" s="418"/>
      <c r="I450" s="439"/>
      <c r="J450" s="418"/>
      <c r="K450" s="418"/>
      <c r="L450" s="418"/>
      <c r="M450" s="418"/>
    </row>
    <row r="451" spans="1:14" x14ac:dyDescent="0.2">
      <c r="A451" s="410">
        <f>A450+1</f>
        <v>15</v>
      </c>
      <c r="B451" s="446">
        <v>391.1</v>
      </c>
      <c r="C451" s="414" t="s">
        <v>1064</v>
      </c>
      <c r="D451" s="415">
        <f t="shared" ref="D451:D464" si="117">G345</f>
        <v>733557.71</v>
      </c>
      <c r="E451" s="417">
        <v>1125</v>
      </c>
      <c r="F451" s="417">
        <v>-135</v>
      </c>
      <c r="G451" s="415">
        <f t="shared" ref="G451:G464" si="118">SUM(D451:F451)</f>
        <v>734547.71</v>
      </c>
      <c r="H451" s="418"/>
      <c r="I451" s="415">
        <f t="shared" ref="I451:I464" si="119">N345</f>
        <v>-74518.22</v>
      </c>
      <c r="J451" s="442">
        <f t="shared" ref="J451:J464" si="120">J345</f>
        <v>0.05</v>
      </c>
      <c r="K451" s="418">
        <f>ROUND((G451+D451)/2*J451/12,0)</f>
        <v>3059</v>
      </c>
      <c r="L451" s="418">
        <f t="shared" ref="L451:L464" si="121">-F451</f>
        <v>135</v>
      </c>
      <c r="M451" s="417">
        <v>0</v>
      </c>
      <c r="N451" s="408">
        <f t="shared" ref="N451:N464" si="122">I451+K451-L451+M451</f>
        <v>-71594.22</v>
      </c>
    </row>
    <row r="452" spans="1:14" x14ac:dyDescent="0.2">
      <c r="A452" s="410">
        <f t="shared" ref="A452:A465" si="123">A451+1</f>
        <v>16</v>
      </c>
      <c r="B452" s="446">
        <v>391.11</v>
      </c>
      <c r="C452" s="414" t="s">
        <v>1065</v>
      </c>
      <c r="D452" s="415">
        <f t="shared" si="117"/>
        <v>18815.57</v>
      </c>
      <c r="E452" s="417">
        <v>0</v>
      </c>
      <c r="F452" s="417">
        <v>0</v>
      </c>
      <c r="G452" s="415">
        <f t="shared" si="118"/>
        <v>18815.57</v>
      </c>
      <c r="H452" s="418"/>
      <c r="I452" s="415">
        <f t="shared" si="119"/>
        <v>-12719.77</v>
      </c>
      <c r="J452" s="442">
        <f t="shared" si="120"/>
        <v>6.6699999999999995E-2</v>
      </c>
      <c r="K452" s="418">
        <f>ROUND((G452+D452)/2*J452/12,0)</f>
        <v>105</v>
      </c>
      <c r="L452" s="418">
        <f t="shared" si="121"/>
        <v>0</v>
      </c>
      <c r="M452" s="417">
        <v>0</v>
      </c>
      <c r="N452" s="408">
        <f t="shared" si="122"/>
        <v>-12614.77</v>
      </c>
    </row>
    <row r="453" spans="1:14" x14ac:dyDescent="0.2">
      <c r="A453" s="410">
        <f t="shared" si="123"/>
        <v>17</v>
      </c>
      <c r="B453" s="446">
        <v>391.12</v>
      </c>
      <c r="C453" s="414" t="s">
        <v>1066</v>
      </c>
      <c r="D453" s="415">
        <f t="shared" si="117"/>
        <v>853483.41</v>
      </c>
      <c r="E453" s="417">
        <v>0</v>
      </c>
      <c r="F453" s="417">
        <v>0</v>
      </c>
      <c r="G453" s="415">
        <f t="shared" si="118"/>
        <v>853483.41</v>
      </c>
      <c r="H453" s="418"/>
      <c r="I453" s="415">
        <f t="shared" si="119"/>
        <v>590010.37</v>
      </c>
      <c r="J453" s="442">
        <f t="shared" si="120"/>
        <v>0.2</v>
      </c>
      <c r="K453" s="418">
        <f>ROUND((G453+D453)/2*J453/12,0)</f>
        <v>14225</v>
      </c>
      <c r="L453" s="418">
        <f t="shared" si="121"/>
        <v>0</v>
      </c>
      <c r="M453" s="417">
        <v>0</v>
      </c>
      <c r="N453" s="408">
        <f t="shared" si="122"/>
        <v>604235.37</v>
      </c>
    </row>
    <row r="454" spans="1:14" x14ac:dyDescent="0.2">
      <c r="A454" s="410">
        <f t="shared" si="123"/>
        <v>18</v>
      </c>
      <c r="B454" s="446">
        <v>392.2</v>
      </c>
      <c r="C454" s="414" t="s">
        <v>1067</v>
      </c>
      <c r="D454" s="415">
        <f t="shared" si="117"/>
        <v>95778</v>
      </c>
      <c r="E454" s="417">
        <v>0</v>
      </c>
      <c r="F454" s="417">
        <v>0</v>
      </c>
      <c r="G454" s="415">
        <f t="shared" si="118"/>
        <v>95778</v>
      </c>
      <c r="H454" s="418"/>
      <c r="I454" s="415">
        <f t="shared" si="119"/>
        <v>21010.05</v>
      </c>
      <c r="J454" s="442">
        <f t="shared" si="120"/>
        <v>2.9399999999999999E-2</v>
      </c>
      <c r="K454" s="418">
        <f>ROUND((G454+D454)/2*J454/12,0)</f>
        <v>235</v>
      </c>
      <c r="L454" s="418">
        <f t="shared" si="121"/>
        <v>0</v>
      </c>
      <c r="M454" s="417">
        <v>0</v>
      </c>
      <c r="N454" s="408">
        <f t="shared" si="122"/>
        <v>21245.05</v>
      </c>
    </row>
    <row r="455" spans="1:14" x14ac:dyDescent="0.2">
      <c r="A455" s="410">
        <f t="shared" si="123"/>
        <v>19</v>
      </c>
      <c r="B455" s="446">
        <v>392.21</v>
      </c>
      <c r="C455" s="414" t="s">
        <v>1068</v>
      </c>
      <c r="D455" s="415">
        <f t="shared" si="117"/>
        <v>24462.2</v>
      </c>
      <c r="E455" s="417">
        <v>0</v>
      </c>
      <c r="F455" s="417">
        <v>0</v>
      </c>
      <c r="G455" s="415">
        <f t="shared" si="118"/>
        <v>24462.2</v>
      </c>
      <c r="H455" s="418"/>
      <c r="I455" s="415">
        <f t="shared" si="119"/>
        <v>4767.3999999999996</v>
      </c>
      <c r="J455" s="442">
        <f t="shared" si="120"/>
        <v>2.9399999999999999E-2</v>
      </c>
      <c r="K455" s="418">
        <f>ROUND((G455+D455)/2*J455/12,0)</f>
        <v>60</v>
      </c>
      <c r="L455" s="418">
        <f t="shared" si="121"/>
        <v>0</v>
      </c>
      <c r="M455" s="417">
        <v>0</v>
      </c>
      <c r="N455" s="408">
        <f t="shared" si="122"/>
        <v>4827.3999999999996</v>
      </c>
    </row>
    <row r="456" spans="1:14" x14ac:dyDescent="0.2">
      <c r="A456" s="410">
        <f t="shared" si="123"/>
        <v>20</v>
      </c>
      <c r="B456" s="446">
        <v>393</v>
      </c>
      <c r="C456" s="414" t="s">
        <v>1069</v>
      </c>
      <c r="D456" s="415">
        <f t="shared" si="117"/>
        <v>0</v>
      </c>
      <c r="E456" s="417">
        <v>0</v>
      </c>
      <c r="F456" s="417">
        <v>0</v>
      </c>
      <c r="G456" s="415">
        <f t="shared" si="118"/>
        <v>0</v>
      </c>
      <c r="H456" s="418"/>
      <c r="I456" s="415">
        <f t="shared" si="119"/>
        <v>0</v>
      </c>
      <c r="J456" s="442" t="str">
        <f t="shared" si="120"/>
        <v>Amort.</v>
      </c>
      <c r="K456" s="417">
        <v>0</v>
      </c>
      <c r="L456" s="418">
        <f t="shared" si="121"/>
        <v>0</v>
      </c>
      <c r="M456" s="417">
        <v>0</v>
      </c>
      <c r="N456" s="408">
        <f t="shared" si="122"/>
        <v>0</v>
      </c>
    </row>
    <row r="457" spans="1:14" x14ac:dyDescent="0.2">
      <c r="A457" s="410">
        <f t="shared" si="123"/>
        <v>21</v>
      </c>
      <c r="B457" s="446">
        <v>394.1</v>
      </c>
      <c r="C457" s="414" t="s">
        <v>1070</v>
      </c>
      <c r="D457" s="415">
        <f t="shared" si="117"/>
        <v>24240.799999999999</v>
      </c>
      <c r="E457" s="417">
        <v>0</v>
      </c>
      <c r="F457" s="417">
        <v>0</v>
      </c>
      <c r="G457" s="415">
        <f t="shared" si="118"/>
        <v>24240.799999999999</v>
      </c>
      <c r="H457" s="418"/>
      <c r="I457" s="415">
        <f t="shared" si="119"/>
        <v>14041.82</v>
      </c>
      <c r="J457" s="442">
        <f t="shared" si="120"/>
        <v>0.04</v>
      </c>
      <c r="K457" s="418">
        <f>ROUND((G457+D457)/2*J457/12,0)</f>
        <v>81</v>
      </c>
      <c r="L457" s="418">
        <f t="shared" si="121"/>
        <v>0</v>
      </c>
      <c r="M457" s="417">
        <v>0</v>
      </c>
      <c r="N457" s="408">
        <f t="shared" si="122"/>
        <v>14122.82</v>
      </c>
    </row>
    <row r="458" spans="1:14" x14ac:dyDescent="0.2">
      <c r="A458" s="410">
        <f t="shared" si="123"/>
        <v>22</v>
      </c>
      <c r="B458" s="446">
        <v>394.11</v>
      </c>
      <c r="C458" s="414" t="s">
        <v>1071</v>
      </c>
      <c r="D458" s="415">
        <f t="shared" si="117"/>
        <v>0</v>
      </c>
      <c r="E458" s="417">
        <v>0</v>
      </c>
      <c r="F458" s="417">
        <v>0</v>
      </c>
      <c r="G458" s="415">
        <f t="shared" si="118"/>
        <v>0</v>
      </c>
      <c r="H458" s="418"/>
      <c r="I458" s="415">
        <f t="shared" si="119"/>
        <v>0</v>
      </c>
      <c r="J458" s="442">
        <f t="shared" si="120"/>
        <v>0.13769999999999999</v>
      </c>
      <c r="K458" s="417">
        <v>0</v>
      </c>
      <c r="L458" s="418">
        <f t="shared" si="121"/>
        <v>0</v>
      </c>
      <c r="M458" s="417">
        <v>0</v>
      </c>
      <c r="N458" s="408">
        <f t="shared" si="122"/>
        <v>0</v>
      </c>
    </row>
    <row r="459" spans="1:14" x14ac:dyDescent="0.2">
      <c r="A459" s="410">
        <f t="shared" si="123"/>
        <v>23</v>
      </c>
      <c r="B459" s="446">
        <v>394.13</v>
      </c>
      <c r="C459" s="438" t="s">
        <v>1072</v>
      </c>
      <c r="D459" s="415">
        <f t="shared" si="117"/>
        <v>0</v>
      </c>
      <c r="E459" s="417">
        <v>0</v>
      </c>
      <c r="F459" s="417">
        <v>0</v>
      </c>
      <c r="G459" s="415">
        <f t="shared" si="118"/>
        <v>0</v>
      </c>
      <c r="H459" s="418"/>
      <c r="I459" s="415">
        <f t="shared" si="119"/>
        <v>37937.360000000001</v>
      </c>
      <c r="J459" s="442" t="str">
        <f t="shared" si="120"/>
        <v>Amort.</v>
      </c>
      <c r="K459" s="417">
        <v>0</v>
      </c>
      <c r="L459" s="418">
        <f t="shared" si="121"/>
        <v>0</v>
      </c>
      <c r="M459" s="417">
        <v>0</v>
      </c>
      <c r="N459" s="408">
        <f t="shared" si="122"/>
        <v>37937.360000000001</v>
      </c>
    </row>
    <row r="460" spans="1:14" x14ac:dyDescent="0.2">
      <c r="A460" s="410">
        <f t="shared" si="123"/>
        <v>24</v>
      </c>
      <c r="B460" s="446">
        <v>394.2</v>
      </c>
      <c r="C460" s="414" t="s">
        <v>1073</v>
      </c>
      <c r="D460" s="415">
        <f t="shared" si="117"/>
        <v>0</v>
      </c>
      <c r="E460" s="417">
        <v>0</v>
      </c>
      <c r="F460" s="417">
        <v>0</v>
      </c>
      <c r="G460" s="415">
        <f t="shared" si="118"/>
        <v>0</v>
      </c>
      <c r="H460" s="418"/>
      <c r="I460" s="415">
        <f t="shared" si="119"/>
        <v>185.21</v>
      </c>
      <c r="J460" s="442">
        <f t="shared" si="120"/>
        <v>0.04</v>
      </c>
      <c r="K460" s="418">
        <f>ROUND((G460+D460)/2*J460/12,0)</f>
        <v>0</v>
      </c>
      <c r="L460" s="418">
        <f t="shared" si="121"/>
        <v>0</v>
      </c>
      <c r="M460" s="417">
        <v>0</v>
      </c>
      <c r="N460" s="408">
        <f t="shared" si="122"/>
        <v>185.21</v>
      </c>
    </row>
    <row r="461" spans="1:14" x14ac:dyDescent="0.2">
      <c r="A461" s="410">
        <f t="shared" si="123"/>
        <v>25</v>
      </c>
      <c r="B461" s="446">
        <v>394.3</v>
      </c>
      <c r="C461" s="414" t="s">
        <v>1074</v>
      </c>
      <c r="D461" s="415">
        <f t="shared" si="117"/>
        <v>3008263.16</v>
      </c>
      <c r="E461" s="417">
        <v>33095</v>
      </c>
      <c r="F461" s="417">
        <v>-3971</v>
      </c>
      <c r="G461" s="415">
        <f t="shared" si="118"/>
        <v>3037387.16</v>
      </c>
      <c r="H461" s="418"/>
      <c r="I461" s="415">
        <f t="shared" si="119"/>
        <v>1227201.1499999999</v>
      </c>
      <c r="J461" s="442">
        <f t="shared" si="120"/>
        <v>0.04</v>
      </c>
      <c r="K461" s="418">
        <f>ROUND((G461+D461)/2*J461/12,0)</f>
        <v>10076</v>
      </c>
      <c r="L461" s="418">
        <f t="shared" si="121"/>
        <v>3971</v>
      </c>
      <c r="M461" s="417">
        <v>0</v>
      </c>
      <c r="N461" s="408">
        <f t="shared" si="122"/>
        <v>1233306.1499999999</v>
      </c>
    </row>
    <row r="462" spans="1:14" x14ac:dyDescent="0.2">
      <c r="A462" s="410">
        <f t="shared" si="123"/>
        <v>26</v>
      </c>
      <c r="B462" s="446">
        <v>395</v>
      </c>
      <c r="C462" s="414" t="s">
        <v>1075</v>
      </c>
      <c r="D462" s="415">
        <f t="shared" si="117"/>
        <v>9257.77</v>
      </c>
      <c r="E462" s="417">
        <v>0</v>
      </c>
      <c r="F462" s="417">
        <v>0</v>
      </c>
      <c r="G462" s="415">
        <f t="shared" si="118"/>
        <v>9257.77</v>
      </c>
      <c r="H462" s="418"/>
      <c r="I462" s="415">
        <f t="shared" si="119"/>
        <v>7256.59</v>
      </c>
      <c r="J462" s="442">
        <f t="shared" si="120"/>
        <v>0.05</v>
      </c>
      <c r="K462" s="418">
        <f>ROUND((G462+D462)/2*J462/12,0)</f>
        <v>39</v>
      </c>
      <c r="L462" s="418">
        <f t="shared" si="121"/>
        <v>0</v>
      </c>
      <c r="M462" s="417">
        <v>0</v>
      </c>
      <c r="N462" s="408">
        <f t="shared" si="122"/>
        <v>7295.59</v>
      </c>
    </row>
    <row r="463" spans="1:14" x14ac:dyDescent="0.2">
      <c r="A463" s="410">
        <f t="shared" si="123"/>
        <v>27</v>
      </c>
      <c r="B463" s="446">
        <v>396</v>
      </c>
      <c r="C463" s="414" t="s">
        <v>1076</v>
      </c>
      <c r="D463" s="415">
        <f t="shared" si="117"/>
        <v>253134.72</v>
      </c>
      <c r="E463" s="417">
        <v>0</v>
      </c>
      <c r="F463" s="417">
        <v>0</v>
      </c>
      <c r="G463" s="415">
        <f t="shared" si="118"/>
        <v>253134.72</v>
      </c>
      <c r="H463" s="418"/>
      <c r="I463" s="415">
        <f t="shared" si="119"/>
        <v>199321.72</v>
      </c>
      <c r="J463" s="442">
        <f t="shared" si="120"/>
        <v>0</v>
      </c>
      <c r="K463" s="418">
        <f>ROUND((G463+D463)/2*J463/12,0)</f>
        <v>0</v>
      </c>
      <c r="L463" s="418">
        <f t="shared" si="121"/>
        <v>0</v>
      </c>
      <c r="M463" s="417">
        <v>0</v>
      </c>
      <c r="N463" s="408">
        <f t="shared" si="122"/>
        <v>199321.72</v>
      </c>
    </row>
    <row r="464" spans="1:14" x14ac:dyDescent="0.2">
      <c r="A464" s="410">
        <f t="shared" si="123"/>
        <v>28</v>
      </c>
      <c r="B464" s="446">
        <v>398</v>
      </c>
      <c r="C464" s="414" t="s">
        <v>1077</v>
      </c>
      <c r="D464" s="421">
        <f t="shared" si="117"/>
        <v>91076.94</v>
      </c>
      <c r="E464" s="1662">
        <v>0</v>
      </c>
      <c r="F464" s="1662">
        <v>0</v>
      </c>
      <c r="G464" s="421">
        <f t="shared" si="118"/>
        <v>91076.94</v>
      </c>
      <c r="H464" s="447"/>
      <c r="I464" s="421">
        <f t="shared" si="119"/>
        <v>21729.59</v>
      </c>
      <c r="J464" s="442">
        <f t="shared" si="120"/>
        <v>6.6699999999999995E-2</v>
      </c>
      <c r="K464" s="421">
        <f>ROUND((G464+D464)/2*J464/12,0)</f>
        <v>506</v>
      </c>
      <c r="L464" s="421">
        <f t="shared" si="121"/>
        <v>0</v>
      </c>
      <c r="M464" s="430">
        <v>0</v>
      </c>
      <c r="N464" s="423">
        <f t="shared" si="122"/>
        <v>22235.59</v>
      </c>
    </row>
    <row r="465" spans="1:15" x14ac:dyDescent="0.2">
      <c r="A465" s="410">
        <f t="shared" si="123"/>
        <v>29</v>
      </c>
      <c r="C465" s="386" t="s">
        <v>1078</v>
      </c>
      <c r="D465" s="447">
        <f>SUM(D451:D464)</f>
        <v>5112070.2799999993</v>
      </c>
      <c r="E465" s="447">
        <f>SUM(E451:E464)</f>
        <v>34220</v>
      </c>
      <c r="F465" s="447">
        <f>SUM(F451:F464)</f>
        <v>-4106</v>
      </c>
      <c r="G465" s="447">
        <f>SUM(G451:G464)</f>
        <v>5142184.2799999993</v>
      </c>
      <c r="H465" s="447"/>
      <c r="I465" s="447">
        <f>SUM(I451:I464)</f>
        <v>2036223.2699999998</v>
      </c>
      <c r="J465" s="424"/>
      <c r="K465" s="447">
        <f>SUM(K451:K464)</f>
        <v>28386</v>
      </c>
      <c r="L465" s="447">
        <f>SUM(L451:L464)</f>
        <v>4106</v>
      </c>
      <c r="M465" s="447">
        <f>SUM(M451:M464)</f>
        <v>0</v>
      </c>
      <c r="N465" s="447">
        <f>SUM(N451:N464)</f>
        <v>2060503.27</v>
      </c>
    </row>
    <row r="466" spans="1:15" x14ac:dyDescent="0.2">
      <c r="D466" s="418"/>
      <c r="E466" s="418"/>
      <c r="F466" s="418"/>
      <c r="G466" s="418"/>
      <c r="H466" s="418"/>
      <c r="I466" s="418"/>
      <c r="J466" s="432"/>
      <c r="K466" s="418"/>
      <c r="L466" s="418"/>
      <c r="M466" s="418"/>
    </row>
    <row r="467" spans="1:15" x14ac:dyDescent="0.2">
      <c r="A467" s="405">
        <f>A465+1</f>
        <v>30</v>
      </c>
      <c r="B467" s="448"/>
      <c r="C467" s="411" t="s">
        <v>2287</v>
      </c>
      <c r="D467" s="418"/>
      <c r="E467" s="418"/>
      <c r="F467" s="418"/>
      <c r="G467" s="418"/>
      <c r="H467" s="418"/>
      <c r="I467" s="439"/>
      <c r="J467" s="418"/>
      <c r="K467" s="418"/>
      <c r="L467" s="418"/>
      <c r="M467" s="418"/>
    </row>
    <row r="468" spans="1:15" x14ac:dyDescent="0.2">
      <c r="A468" s="1722">
        <f>A467+1</f>
        <v>31</v>
      </c>
      <c r="B468" s="446">
        <v>378.21</v>
      </c>
      <c r="C468" s="1725" t="s">
        <v>2244</v>
      </c>
      <c r="D468" s="415">
        <f>G362</f>
        <v>-777092</v>
      </c>
      <c r="E468" s="417">
        <v>0</v>
      </c>
      <c r="F468" s="417">
        <v>0</v>
      </c>
      <c r="G468" s="415">
        <f t="shared" ref="G468" si="124">SUM(D468:F468)</f>
        <v>-777092</v>
      </c>
      <c r="H468" s="418"/>
      <c r="I468" s="415">
        <f>N362</f>
        <v>-27284.946666666663</v>
      </c>
      <c r="J468" s="419" t="s">
        <v>1094</v>
      </c>
      <c r="K468" s="417">
        <v>-2158.5833333333321</v>
      </c>
      <c r="L468" s="418">
        <f t="shared" ref="L468" si="125">-F468</f>
        <v>0</v>
      </c>
      <c r="M468" s="417">
        <v>0</v>
      </c>
      <c r="N468" s="408">
        <f t="shared" ref="N468" si="126">I468+K468-L468+M468</f>
        <v>-29443.529999999995</v>
      </c>
      <c r="O468" s="408"/>
    </row>
    <row r="469" spans="1:15" x14ac:dyDescent="0.2">
      <c r="A469" s="1722"/>
      <c r="B469" s="446"/>
      <c r="C469" s="438"/>
      <c r="D469" s="415"/>
      <c r="E469" s="417"/>
      <c r="F469" s="417"/>
      <c r="G469" s="415"/>
      <c r="H469" s="418"/>
      <c r="I469" s="419"/>
      <c r="J469" s="419"/>
      <c r="K469" s="417"/>
      <c r="L469" s="418"/>
      <c r="M469" s="417"/>
      <c r="N469" s="408"/>
      <c r="O469" s="408"/>
    </row>
    <row r="470" spans="1:15" x14ac:dyDescent="0.2">
      <c r="A470" s="410">
        <f>A468+1</f>
        <v>32</v>
      </c>
      <c r="C470" s="386" t="s">
        <v>774</v>
      </c>
      <c r="D470" s="450">
        <f>D465+D448+D393+D389+D468</f>
        <v>406702004.36999989</v>
      </c>
      <c r="E470" s="450">
        <f>E465+E448+E393+E389+E468</f>
        <v>2909740</v>
      </c>
      <c r="F470" s="450">
        <f>F465+F448+F393+F389+F468</f>
        <v>-336002</v>
      </c>
      <c r="G470" s="450">
        <f>G465+G448+G393+G389+G468</f>
        <v>409275742.36999989</v>
      </c>
      <c r="H470" s="418"/>
      <c r="I470" s="450">
        <f>I465+I448+I393+I389+I468</f>
        <v>143202418.22202626</v>
      </c>
      <c r="J470" s="451"/>
      <c r="K470" s="450">
        <f>K465+K448+K393+K389+K468</f>
        <v>757383.16289764026</v>
      </c>
      <c r="L470" s="450">
        <f>L465+L448+L393+L389+L468</f>
        <v>336002</v>
      </c>
      <c r="M470" s="450">
        <f>M465+M448+M393+M389+M468</f>
        <v>-89808</v>
      </c>
      <c r="N470" s="450">
        <f>N465+N448+N393+N389+N468</f>
        <v>143533991.38492391</v>
      </c>
    </row>
    <row r="471" spans="1:15" x14ac:dyDescent="0.2">
      <c r="A471" s="410"/>
      <c r="C471" s="386"/>
      <c r="D471" s="418"/>
      <c r="E471" s="418"/>
      <c r="F471" s="418"/>
      <c r="G471" s="418"/>
      <c r="H471" s="418"/>
      <c r="I471" s="418"/>
      <c r="J471" s="418"/>
      <c r="K471" s="418"/>
      <c r="L471" s="418"/>
    </row>
    <row r="472" spans="1:15" x14ac:dyDescent="0.2">
      <c r="A472" s="2073" t="str">
        <f>co</f>
        <v>COLUMBIA GAS OF KENTUCKY, INC.</v>
      </c>
      <c r="B472" s="2073"/>
      <c r="C472" s="2073"/>
      <c r="D472" s="2073"/>
      <c r="E472" s="2073"/>
      <c r="F472" s="2073"/>
      <c r="G472" s="2073"/>
      <c r="H472" s="2073"/>
      <c r="I472" s="2073"/>
      <c r="J472" s="2073"/>
      <c r="K472" s="2073"/>
      <c r="L472" s="2073"/>
      <c r="M472" s="2073"/>
      <c r="N472" s="2073"/>
    </row>
    <row r="473" spans="1:15" x14ac:dyDescent="0.2">
      <c r="A473" s="2073" t="str">
        <f>case</f>
        <v>CASE NO. 2016 - 00162</v>
      </c>
      <c r="B473" s="2073"/>
      <c r="C473" s="2073"/>
      <c r="D473" s="2073"/>
      <c r="E473" s="2073"/>
      <c r="F473" s="2073"/>
      <c r="G473" s="2073"/>
      <c r="H473" s="2073"/>
      <c r="I473" s="2073"/>
      <c r="J473" s="2073"/>
      <c r="K473" s="2073"/>
      <c r="L473" s="2073"/>
      <c r="M473" s="2073"/>
      <c r="N473" s="2073"/>
    </row>
    <row r="474" spans="1:15" x14ac:dyDescent="0.2">
      <c r="A474" s="2074" t="s">
        <v>1106</v>
      </c>
      <c r="B474" s="2073"/>
      <c r="C474" s="2073"/>
      <c r="D474" s="2073"/>
      <c r="E474" s="2073"/>
      <c r="F474" s="2073"/>
      <c r="G474" s="2073"/>
      <c r="H474" s="2073"/>
      <c r="I474" s="2073"/>
      <c r="J474" s="2073"/>
      <c r="K474" s="2073"/>
      <c r="L474" s="2073"/>
      <c r="M474" s="2073"/>
      <c r="N474" s="2073"/>
    </row>
    <row r="475" spans="1:15" x14ac:dyDescent="0.2">
      <c r="A475" s="2078" t="s">
        <v>2142</v>
      </c>
      <c r="B475" s="2078"/>
      <c r="C475" s="2078"/>
      <c r="D475" s="2078"/>
      <c r="E475" s="2078"/>
      <c r="F475" s="2078"/>
      <c r="G475" s="2078"/>
      <c r="H475" s="2078"/>
      <c r="I475" s="2078"/>
      <c r="J475" s="2078"/>
      <c r="K475" s="2078"/>
      <c r="L475" s="2078"/>
      <c r="M475" s="2078"/>
      <c r="N475" s="2078"/>
    </row>
    <row r="477" spans="1:15" x14ac:dyDescent="0.2">
      <c r="A477" s="385" t="s">
        <v>1095</v>
      </c>
      <c r="I477" s="386"/>
      <c r="N477" s="387" t="s">
        <v>763</v>
      </c>
    </row>
    <row r="478" spans="1:15" x14ac:dyDescent="0.2">
      <c r="A478" s="388" t="s">
        <v>977</v>
      </c>
      <c r="I478" s="386"/>
      <c r="N478" s="387" t="s">
        <v>998</v>
      </c>
    </row>
    <row r="479" spans="1:15" x14ac:dyDescent="0.2">
      <c r="A479" s="390" t="s">
        <v>997</v>
      </c>
      <c r="B479" s="391"/>
      <c r="C479" s="391"/>
      <c r="D479" s="391"/>
      <c r="E479" s="391"/>
      <c r="F479" s="391"/>
      <c r="G479" s="391"/>
      <c r="H479" s="391"/>
      <c r="I479" s="392"/>
      <c r="L479" s="386"/>
      <c r="M479" s="386"/>
      <c r="N479" s="393" t="str">
        <f>SMK</f>
        <v>WITNESS:  S. M. KATKO</v>
      </c>
    </row>
    <row r="480" spans="1:15" x14ac:dyDescent="0.2">
      <c r="A480" s="390"/>
      <c r="B480" s="391"/>
      <c r="C480" s="391"/>
      <c r="D480" s="391"/>
      <c r="E480" s="391"/>
      <c r="F480" s="391"/>
      <c r="G480" s="391"/>
      <c r="H480" s="391"/>
      <c r="I480" s="392"/>
      <c r="J480" s="393"/>
      <c r="L480" s="386"/>
      <c r="M480" s="386"/>
    </row>
    <row r="481" spans="1:14" x14ac:dyDescent="0.2">
      <c r="A481" s="390"/>
      <c r="B481" s="391"/>
      <c r="C481" s="391"/>
      <c r="D481" s="2075" t="s">
        <v>1088</v>
      </c>
      <c r="E481" s="2075"/>
      <c r="F481" s="2075"/>
      <c r="G481" s="2075"/>
      <c r="H481" s="391"/>
      <c r="I481" s="2076" t="s">
        <v>1093</v>
      </c>
      <c r="J481" s="2077"/>
      <c r="K481" s="2077"/>
      <c r="L481" s="2077"/>
      <c r="M481" s="2077"/>
      <c r="N481" s="2077"/>
    </row>
    <row r="482" spans="1:14" x14ac:dyDescent="0.2">
      <c r="A482" s="394"/>
      <c r="B482" s="391"/>
      <c r="C482" s="391"/>
      <c r="D482" s="396" t="s">
        <v>1084</v>
      </c>
      <c r="E482" s="391"/>
      <c r="F482" s="391"/>
      <c r="G482" s="395"/>
      <c r="H482" s="395"/>
      <c r="I482" s="397" t="s">
        <v>1089</v>
      </c>
      <c r="J482" s="396"/>
      <c r="M482" s="386"/>
    </row>
    <row r="483" spans="1:14" x14ac:dyDescent="0.2">
      <c r="A483" s="383"/>
      <c r="D483" s="397" t="s">
        <v>865</v>
      </c>
      <c r="G483" s="397" t="s">
        <v>867</v>
      </c>
      <c r="H483" s="398"/>
      <c r="I483" s="397" t="s">
        <v>865</v>
      </c>
      <c r="J483" s="397" t="s">
        <v>956</v>
      </c>
      <c r="M483" s="386"/>
      <c r="N483" s="397" t="s">
        <v>867</v>
      </c>
    </row>
    <row r="484" spans="1:14" x14ac:dyDescent="0.2">
      <c r="A484" s="397" t="s">
        <v>1080</v>
      </c>
      <c r="B484" s="397" t="s">
        <v>1082</v>
      </c>
      <c r="D484" s="397" t="s">
        <v>867</v>
      </c>
      <c r="G484" s="399" t="s">
        <v>1087</v>
      </c>
      <c r="H484" s="398"/>
      <c r="I484" s="399" t="s">
        <v>867</v>
      </c>
      <c r="J484" s="397" t="s">
        <v>1090</v>
      </c>
      <c r="K484" s="397" t="s">
        <v>956</v>
      </c>
      <c r="M484" s="399" t="s">
        <v>1092</v>
      </c>
      <c r="N484" s="399" t="s">
        <v>1087</v>
      </c>
    </row>
    <row r="485" spans="1:14" x14ac:dyDescent="0.2">
      <c r="A485" s="400" t="s">
        <v>1081</v>
      </c>
      <c r="B485" s="400" t="s">
        <v>1081</v>
      </c>
      <c r="C485" s="401" t="s">
        <v>1083</v>
      </c>
      <c r="D485" s="409" t="str">
        <f>"06/30/2016"</f>
        <v>06/30/2016</v>
      </c>
      <c r="E485" s="400" t="s">
        <v>1085</v>
      </c>
      <c r="F485" s="400" t="s">
        <v>1086</v>
      </c>
      <c r="G485" s="409" t="str">
        <f>"07/31/2016"</f>
        <v>07/31/2016</v>
      </c>
      <c r="H485" s="398"/>
      <c r="I485" s="404" t="str">
        <f>D485</f>
        <v>06/30/2016</v>
      </c>
      <c r="J485" s="400" t="s">
        <v>1091</v>
      </c>
      <c r="K485" s="402" t="s">
        <v>1090</v>
      </c>
      <c r="L485" s="402" t="s">
        <v>1086</v>
      </c>
      <c r="M485" s="402" t="s">
        <v>955</v>
      </c>
      <c r="N485" s="404" t="str">
        <f>G485</f>
        <v>07/31/2016</v>
      </c>
    </row>
    <row r="486" spans="1:14" x14ac:dyDescent="0.2">
      <c r="A486" s="406"/>
      <c r="B486" s="406"/>
      <c r="C486" s="406"/>
      <c r="D486" s="406" t="str">
        <f>"(1)"</f>
        <v>(1)</v>
      </c>
      <c r="E486" s="406" t="str">
        <f>"(2)"</f>
        <v>(2)</v>
      </c>
      <c r="F486" s="406" t="str">
        <f>"(3)"</f>
        <v>(3)</v>
      </c>
      <c r="G486" s="406" t="str">
        <f>"(4)=(1+2+3)"</f>
        <v>(4)=(1+2+3)</v>
      </c>
      <c r="H486" s="406"/>
      <c r="I486" s="406" t="str">
        <f>"(5)"</f>
        <v>(5)</v>
      </c>
      <c r="J486" s="406" t="str">
        <f>"(6)"</f>
        <v>(6)</v>
      </c>
      <c r="K486" s="406" t="str">
        <f>"(7)=((1+4)/2*6/12))"</f>
        <v>(7)=((1+4)/2*6/12))</v>
      </c>
      <c r="L486" s="406" t="str">
        <f>"(8)"</f>
        <v>(8)</v>
      </c>
      <c r="M486" s="406" t="str">
        <f>"(9)"</f>
        <v>(9)</v>
      </c>
      <c r="N486" s="406" t="str">
        <f>"(10)=(5+7-8+9)"</f>
        <v>(10)=(5+7-8+9)</v>
      </c>
    </row>
    <row r="487" spans="1:14" x14ac:dyDescent="0.2">
      <c r="D487" s="410" t="s">
        <v>639</v>
      </c>
      <c r="E487" s="410" t="s">
        <v>639</v>
      </c>
      <c r="F487" s="410" t="s">
        <v>639</v>
      </c>
      <c r="G487" s="410" t="s">
        <v>639</v>
      </c>
      <c r="H487" s="410"/>
      <c r="I487" s="410" t="s">
        <v>639</v>
      </c>
      <c r="J487" s="410" t="s">
        <v>639</v>
      </c>
      <c r="K487" s="410" t="s">
        <v>639</v>
      </c>
      <c r="L487" s="410" t="s">
        <v>639</v>
      </c>
      <c r="M487" s="410" t="s">
        <v>639</v>
      </c>
      <c r="N487" s="410" t="s">
        <v>639</v>
      </c>
    </row>
    <row r="488" spans="1:14" x14ac:dyDescent="0.2">
      <c r="A488" s="410">
        <v>1</v>
      </c>
      <c r="B488" s="411" t="s">
        <v>1025</v>
      </c>
      <c r="C488" s="412"/>
      <c r="M488" s="386"/>
    </row>
    <row r="489" spans="1:14" x14ac:dyDescent="0.2">
      <c r="A489" s="410">
        <f>A488+1</f>
        <v>2</v>
      </c>
      <c r="C489" s="411" t="s">
        <v>697</v>
      </c>
      <c r="M489" s="386"/>
    </row>
    <row r="490" spans="1:14" x14ac:dyDescent="0.2">
      <c r="A490" s="410">
        <f t="shared" ref="A490:A495" si="127">A489+1</f>
        <v>3</v>
      </c>
      <c r="B490" s="413">
        <v>301</v>
      </c>
      <c r="C490" s="414" t="s">
        <v>1026</v>
      </c>
      <c r="D490" s="415">
        <f>G384</f>
        <v>521.20000000000005</v>
      </c>
      <c r="E490" s="417">
        <v>0</v>
      </c>
      <c r="F490" s="417">
        <v>0</v>
      </c>
      <c r="G490" s="415">
        <f>SUM(D490:F490)</f>
        <v>521.20000000000005</v>
      </c>
      <c r="H490" s="418"/>
      <c r="I490" s="415">
        <f>N384</f>
        <v>0</v>
      </c>
      <c r="J490" s="419" t="s">
        <v>1094</v>
      </c>
      <c r="K490" s="417">
        <v>0</v>
      </c>
      <c r="L490" s="418">
        <f>-F490</f>
        <v>0</v>
      </c>
      <c r="M490" s="417">
        <v>0</v>
      </c>
      <c r="N490" s="408">
        <f>I490+K490-L490+M490</f>
        <v>0</v>
      </c>
    </row>
    <row r="491" spans="1:14" x14ac:dyDescent="0.2">
      <c r="A491" s="410">
        <f t="shared" si="127"/>
        <v>4</v>
      </c>
      <c r="B491" s="413">
        <v>303</v>
      </c>
      <c r="C491" s="414" t="s">
        <v>1027</v>
      </c>
      <c r="D491" s="415">
        <f>G385</f>
        <v>74347.509999999995</v>
      </c>
      <c r="E491" s="417">
        <v>0</v>
      </c>
      <c r="F491" s="417">
        <v>0</v>
      </c>
      <c r="G491" s="415">
        <f>SUM(D491:F491)</f>
        <v>74347.509999999995</v>
      </c>
      <c r="H491" s="418"/>
      <c r="I491" s="415">
        <f>N385</f>
        <v>46625.509999999987</v>
      </c>
      <c r="J491" s="419" t="s">
        <v>1094</v>
      </c>
      <c r="K491" s="415">
        <f>'Intangible Amort.'!L$20</f>
        <v>206.52</v>
      </c>
      <c r="L491" s="418">
        <f>-F491</f>
        <v>0</v>
      </c>
      <c r="M491" s="417">
        <v>0</v>
      </c>
      <c r="N491" s="408">
        <f>I491+K491-L491+M491</f>
        <v>46832.029999999984</v>
      </c>
    </row>
    <row r="492" spans="1:14" x14ac:dyDescent="0.2">
      <c r="A492" s="410">
        <f t="shared" si="127"/>
        <v>5</v>
      </c>
      <c r="B492" s="413">
        <v>303.10000000000002</v>
      </c>
      <c r="C492" s="414" t="s">
        <v>1028</v>
      </c>
      <c r="D492" s="415">
        <f>G386</f>
        <v>0</v>
      </c>
      <c r="E492" s="417">
        <v>0</v>
      </c>
      <c r="F492" s="417">
        <v>0</v>
      </c>
      <c r="G492" s="415">
        <f>SUM(D492:F492)</f>
        <v>0</v>
      </c>
      <c r="H492" s="418"/>
      <c r="I492" s="415">
        <f>N386</f>
        <v>0</v>
      </c>
      <c r="J492" s="419" t="s">
        <v>1094</v>
      </c>
      <c r="K492" s="417">
        <v>0</v>
      </c>
      <c r="L492" s="418">
        <f>-F492</f>
        <v>0</v>
      </c>
      <c r="M492" s="417">
        <v>0</v>
      </c>
      <c r="N492" s="408">
        <f>I492+K492-L492+M492</f>
        <v>0</v>
      </c>
    </row>
    <row r="493" spans="1:14" x14ac:dyDescent="0.2">
      <c r="A493" s="410">
        <f t="shared" si="127"/>
        <v>6</v>
      </c>
      <c r="B493" s="413">
        <v>303.2</v>
      </c>
      <c r="C493" s="414" t="s">
        <v>1029</v>
      </c>
      <c r="D493" s="415">
        <f>G387</f>
        <v>0</v>
      </c>
      <c r="E493" s="417">
        <v>0</v>
      </c>
      <c r="F493" s="417">
        <v>0</v>
      </c>
      <c r="G493" s="415">
        <f>SUM(D493:F493)</f>
        <v>0</v>
      </c>
      <c r="H493" s="418"/>
      <c r="I493" s="415">
        <f>N387</f>
        <v>0</v>
      </c>
      <c r="J493" s="419" t="s">
        <v>1094</v>
      </c>
      <c r="K493" s="417">
        <v>0</v>
      </c>
      <c r="L493" s="418">
        <f>-F493</f>
        <v>0</v>
      </c>
      <c r="M493" s="417">
        <v>0</v>
      </c>
      <c r="N493" s="408">
        <f>I493+K493-L493+M493</f>
        <v>0</v>
      </c>
    </row>
    <row r="494" spans="1:14" x14ac:dyDescent="0.2">
      <c r="A494" s="410">
        <f t="shared" si="127"/>
        <v>7</v>
      </c>
      <c r="B494" s="413">
        <v>303.3</v>
      </c>
      <c r="C494" s="414" t="s">
        <v>1030</v>
      </c>
      <c r="D494" s="421">
        <f>G388</f>
        <v>5720873</v>
      </c>
      <c r="E494" s="422">
        <v>99219</v>
      </c>
      <c r="F494" s="422">
        <v>0</v>
      </c>
      <c r="G494" s="421">
        <f>SUM(D494:F494)</f>
        <v>5820092</v>
      </c>
      <c r="H494" s="418"/>
      <c r="I494" s="421">
        <f>N388</f>
        <v>2423599.1570291575</v>
      </c>
      <c r="J494" s="419" t="s">
        <v>1094</v>
      </c>
      <c r="K494" s="421">
        <f>'Intangible Amort.'!L$93</f>
        <v>73147.17675728933</v>
      </c>
      <c r="L494" s="421">
        <f>-F494</f>
        <v>0</v>
      </c>
      <c r="M494" s="422">
        <v>0</v>
      </c>
      <c r="N494" s="423">
        <f>I494+K494-L494+M494</f>
        <v>2496746.3337864466</v>
      </c>
    </row>
    <row r="495" spans="1:14" x14ac:dyDescent="0.2">
      <c r="A495" s="410">
        <f t="shared" si="127"/>
        <v>8</v>
      </c>
      <c r="B495" s="413"/>
      <c r="C495" s="414" t="s">
        <v>1031</v>
      </c>
      <c r="D495" s="418">
        <f>SUM(D490:D494)</f>
        <v>5795741.71</v>
      </c>
      <c r="E495" s="418">
        <f>SUM(E490:E494)</f>
        <v>99219</v>
      </c>
      <c r="F495" s="418">
        <f>SUM(F490:F494)</f>
        <v>0</v>
      </c>
      <c r="G495" s="418">
        <f>SUM(G490:G494)</f>
        <v>5894960.71</v>
      </c>
      <c r="H495" s="418"/>
      <c r="I495" s="418">
        <f>SUM(I490:I494)</f>
        <v>2470224.6670291573</v>
      </c>
      <c r="J495" s="424"/>
      <c r="K495" s="418">
        <f>SUM(K490:K494)</f>
        <v>73353.696757289334</v>
      </c>
      <c r="L495" s="418">
        <f>SUM(L490:L494)</f>
        <v>0</v>
      </c>
      <c r="M495" s="418">
        <f>SUM(M490:M494)</f>
        <v>0</v>
      </c>
      <c r="N495" s="418">
        <f>SUM(N490:N494)</f>
        <v>2543578.3637864464</v>
      </c>
    </row>
    <row r="496" spans="1:14" x14ac:dyDescent="0.2">
      <c r="B496" s="425"/>
      <c r="D496" s="418"/>
      <c r="E496" s="418"/>
      <c r="F496" s="418"/>
      <c r="G496" s="418"/>
      <c r="H496" s="418"/>
      <c r="I496" s="418"/>
      <c r="J496" s="424"/>
      <c r="K496" s="418"/>
      <c r="L496" s="418"/>
      <c r="M496" s="418"/>
    </row>
    <row r="497" spans="1:14" x14ac:dyDescent="0.2">
      <c r="A497" s="410">
        <f>A495+1</f>
        <v>9</v>
      </c>
      <c r="B497" s="425"/>
      <c r="C497" s="411" t="s">
        <v>704</v>
      </c>
      <c r="D497" s="418"/>
      <c r="E497" s="418"/>
      <c r="F497" s="418"/>
      <c r="G497" s="418"/>
      <c r="H497" s="418"/>
      <c r="I497" s="418"/>
      <c r="J497" s="424"/>
      <c r="K497" s="418"/>
      <c r="L497" s="418"/>
      <c r="M497" s="418"/>
    </row>
    <row r="498" spans="1:14" x14ac:dyDescent="0.2">
      <c r="A498" s="410">
        <f>A497+1</f>
        <v>10</v>
      </c>
      <c r="B498" s="426">
        <v>304.10000000000002</v>
      </c>
      <c r="C498" s="427" t="s">
        <v>1032</v>
      </c>
      <c r="D498" s="421">
        <f>G392</f>
        <v>0</v>
      </c>
      <c r="E498" s="1662">
        <v>0</v>
      </c>
      <c r="F498" s="1662">
        <v>0</v>
      </c>
      <c r="G498" s="421">
        <f>SUM(D498:F498)</f>
        <v>0</v>
      </c>
      <c r="H498" s="418"/>
      <c r="I498" s="421">
        <f>N392</f>
        <v>0</v>
      </c>
      <c r="J498" s="429" t="s">
        <v>1102</v>
      </c>
      <c r="K498" s="430">
        <v>0</v>
      </c>
      <c r="L498" s="421">
        <f>-F498</f>
        <v>0</v>
      </c>
      <c r="M498" s="422">
        <v>0</v>
      </c>
      <c r="N498" s="423">
        <f>I498+K498-L498+M498</f>
        <v>0</v>
      </c>
    </row>
    <row r="499" spans="1:14" x14ac:dyDescent="0.2">
      <c r="A499" s="410">
        <f>A498+1</f>
        <v>11</v>
      </c>
      <c r="B499" s="426"/>
      <c r="C499" s="431" t="s">
        <v>1079</v>
      </c>
      <c r="D499" s="418">
        <f>D498</f>
        <v>0</v>
      </c>
      <c r="E499" s="418">
        <f>E498</f>
        <v>0</v>
      </c>
      <c r="F499" s="418">
        <f>F498</f>
        <v>0</v>
      </c>
      <c r="G499" s="418">
        <f>G498</f>
        <v>0</v>
      </c>
      <c r="H499" s="418"/>
      <c r="I499" s="418">
        <f>I498</f>
        <v>0</v>
      </c>
      <c r="J499" s="432"/>
      <c r="K499" s="418">
        <f>SUM(K498)</f>
        <v>0</v>
      </c>
      <c r="L499" s="418">
        <f>SUM(L498)</f>
        <v>0</v>
      </c>
      <c r="M499" s="418">
        <f>M498</f>
        <v>0</v>
      </c>
      <c r="N499" s="418">
        <f>N498</f>
        <v>0</v>
      </c>
    </row>
    <row r="500" spans="1:14" x14ac:dyDescent="0.2">
      <c r="B500" s="425"/>
      <c r="D500" s="418"/>
      <c r="E500" s="418"/>
      <c r="F500" s="418"/>
      <c r="G500" s="418"/>
      <c r="H500" s="418"/>
      <c r="I500" s="418"/>
      <c r="J500" s="432"/>
      <c r="K500" s="418"/>
      <c r="L500" s="418"/>
      <c r="M500" s="418"/>
    </row>
    <row r="501" spans="1:14" x14ac:dyDescent="0.2">
      <c r="A501" s="410">
        <f>A499+1</f>
        <v>12</v>
      </c>
      <c r="B501" s="425"/>
      <c r="C501" s="411" t="s">
        <v>707</v>
      </c>
      <c r="D501" s="418"/>
      <c r="E501" s="418"/>
      <c r="F501" s="418"/>
      <c r="G501" s="418"/>
      <c r="H501" s="418"/>
      <c r="I501" s="418"/>
      <c r="J501" s="432"/>
      <c r="K501" s="418"/>
      <c r="L501" s="418"/>
      <c r="M501" s="418"/>
    </row>
    <row r="502" spans="1:14" x14ac:dyDescent="0.2">
      <c r="A502" s="410">
        <f>A501+1</f>
        <v>13</v>
      </c>
      <c r="B502" s="413">
        <v>374.1</v>
      </c>
      <c r="C502" s="414" t="s">
        <v>1035</v>
      </c>
      <c r="D502" s="415">
        <f t="shared" ref="D502:D512" si="128">G396</f>
        <v>206</v>
      </c>
      <c r="E502" s="417">
        <v>0</v>
      </c>
      <c r="F502" s="417">
        <v>0</v>
      </c>
      <c r="G502" s="415">
        <f>SUM(D502:F502)</f>
        <v>206</v>
      </c>
      <c r="H502" s="418"/>
      <c r="I502" s="415">
        <f t="shared" ref="I502:I512" si="129">N396</f>
        <v>0</v>
      </c>
      <c r="J502" s="429" t="s">
        <v>1102</v>
      </c>
      <c r="K502" s="417">
        <v>0</v>
      </c>
      <c r="L502" s="418">
        <f t="shared" ref="L502:L512" si="130">-F502</f>
        <v>0</v>
      </c>
      <c r="M502" s="417">
        <v>0</v>
      </c>
      <c r="N502" s="408">
        <f t="shared" ref="N502:N512" si="131">I502+K502-L502+M502</f>
        <v>0</v>
      </c>
    </row>
    <row r="503" spans="1:14" x14ac:dyDescent="0.2">
      <c r="A503" s="410">
        <f t="shared" ref="A503:A523" si="132">A502+1</f>
        <v>14</v>
      </c>
      <c r="B503" s="413">
        <v>374.2</v>
      </c>
      <c r="C503" s="414" t="s">
        <v>1036</v>
      </c>
      <c r="D503" s="415">
        <f t="shared" si="128"/>
        <v>877756.18</v>
      </c>
      <c r="E503" s="417">
        <v>0</v>
      </c>
      <c r="F503" s="417">
        <v>0</v>
      </c>
      <c r="G503" s="415">
        <f t="shared" ref="G503:G512" si="133">SUM(D503:F503)</f>
        <v>877756.18</v>
      </c>
      <c r="H503" s="418"/>
      <c r="I503" s="415">
        <f t="shared" si="129"/>
        <v>-523.13</v>
      </c>
      <c r="J503" s="429" t="s">
        <v>1102</v>
      </c>
      <c r="K503" s="417">
        <v>0</v>
      </c>
      <c r="L503" s="418">
        <f t="shared" si="130"/>
        <v>0</v>
      </c>
      <c r="M503" s="417">
        <v>0</v>
      </c>
      <c r="N503" s="408">
        <f t="shared" si="131"/>
        <v>-523.13</v>
      </c>
    </row>
    <row r="504" spans="1:14" x14ac:dyDescent="0.2">
      <c r="A504" s="410">
        <f t="shared" si="132"/>
        <v>15</v>
      </c>
      <c r="B504" s="413">
        <v>374.4</v>
      </c>
      <c r="C504" s="414" t="s">
        <v>1037</v>
      </c>
      <c r="D504" s="415">
        <f t="shared" si="128"/>
        <v>661305.66</v>
      </c>
      <c r="E504" s="417">
        <v>0</v>
      </c>
      <c r="F504" s="417">
        <v>0</v>
      </c>
      <c r="G504" s="415">
        <f t="shared" si="133"/>
        <v>661305.66</v>
      </c>
      <c r="H504" s="418"/>
      <c r="I504" s="415">
        <f t="shared" si="129"/>
        <v>173825.36</v>
      </c>
      <c r="J504" s="442">
        <f t="shared" ref="J504:J510" si="134">J398</f>
        <v>1.5299999999999999E-2</v>
      </c>
      <c r="K504" s="418">
        <f>ROUND((G504+D504)/2*J504/12,0)</f>
        <v>843</v>
      </c>
      <c r="L504" s="418">
        <f t="shared" si="130"/>
        <v>0</v>
      </c>
      <c r="M504" s="417">
        <v>0</v>
      </c>
      <c r="N504" s="408">
        <f t="shared" si="131"/>
        <v>174668.36</v>
      </c>
    </row>
    <row r="505" spans="1:14" x14ac:dyDescent="0.2">
      <c r="A505" s="410">
        <f t="shared" si="132"/>
        <v>16</v>
      </c>
      <c r="B505" s="413">
        <v>374.5</v>
      </c>
      <c r="C505" s="414" t="s">
        <v>1038</v>
      </c>
      <c r="D505" s="415">
        <f t="shared" si="128"/>
        <v>2691006.55</v>
      </c>
      <c r="E505" s="417">
        <v>6211</v>
      </c>
      <c r="F505" s="417">
        <v>-745</v>
      </c>
      <c r="G505" s="415">
        <f t="shared" si="133"/>
        <v>2696472.55</v>
      </c>
      <c r="H505" s="418"/>
      <c r="I505" s="415">
        <f t="shared" si="129"/>
        <v>914103.23</v>
      </c>
      <c r="J505" s="442">
        <f t="shared" si="134"/>
        <v>1.2200000000000001E-2</v>
      </c>
      <c r="K505" s="418">
        <f t="shared" ref="K505:K510" si="135">ROUND((G505+D505)/2*J505/12,0)</f>
        <v>2739</v>
      </c>
      <c r="L505" s="418">
        <f t="shared" si="130"/>
        <v>745</v>
      </c>
      <c r="M505" s="417">
        <v>0</v>
      </c>
      <c r="N505" s="408">
        <f t="shared" si="131"/>
        <v>916097.23</v>
      </c>
    </row>
    <row r="506" spans="1:14" x14ac:dyDescent="0.2">
      <c r="A506" s="410">
        <f t="shared" si="132"/>
        <v>17</v>
      </c>
      <c r="B506" s="413">
        <v>375.2</v>
      </c>
      <c r="C506" s="414" t="s">
        <v>1039</v>
      </c>
      <c r="D506" s="415">
        <f t="shared" si="128"/>
        <v>2124.98</v>
      </c>
      <c r="E506" s="417">
        <v>0</v>
      </c>
      <c r="F506" s="417">
        <v>0</v>
      </c>
      <c r="G506" s="415">
        <f t="shared" si="133"/>
        <v>2124.98</v>
      </c>
      <c r="H506" s="418"/>
      <c r="I506" s="415">
        <f t="shared" si="129"/>
        <v>2009.32</v>
      </c>
      <c r="J506" s="442">
        <f t="shared" si="134"/>
        <v>1.9599999999999999E-2</v>
      </c>
      <c r="K506" s="418">
        <f t="shared" si="135"/>
        <v>3</v>
      </c>
      <c r="L506" s="418">
        <f t="shared" si="130"/>
        <v>0</v>
      </c>
      <c r="M506" s="417">
        <v>0</v>
      </c>
      <c r="N506" s="408">
        <f t="shared" si="131"/>
        <v>2012.32</v>
      </c>
    </row>
    <row r="507" spans="1:14" x14ac:dyDescent="0.2">
      <c r="A507" s="410">
        <f t="shared" si="132"/>
        <v>18</v>
      </c>
      <c r="B507" s="413">
        <v>375.3</v>
      </c>
      <c r="C507" s="414" t="s">
        <v>1040</v>
      </c>
      <c r="D507" s="415">
        <f t="shared" si="128"/>
        <v>0</v>
      </c>
      <c r="E507" s="417">
        <v>0</v>
      </c>
      <c r="F507" s="417">
        <v>0</v>
      </c>
      <c r="G507" s="415">
        <f t="shared" si="133"/>
        <v>0</v>
      </c>
      <c r="H507" s="418"/>
      <c r="I507" s="415">
        <f t="shared" si="129"/>
        <v>-77.66</v>
      </c>
      <c r="J507" s="442">
        <f t="shared" si="134"/>
        <v>1.9599999999999999E-2</v>
      </c>
      <c r="K507" s="418">
        <f t="shared" si="135"/>
        <v>0</v>
      </c>
      <c r="L507" s="418">
        <f t="shared" si="130"/>
        <v>0</v>
      </c>
      <c r="M507" s="417">
        <v>0</v>
      </c>
      <c r="N507" s="408">
        <f t="shared" si="131"/>
        <v>-77.66</v>
      </c>
    </row>
    <row r="508" spans="1:14" x14ac:dyDescent="0.2">
      <c r="A508" s="410">
        <f t="shared" si="132"/>
        <v>19</v>
      </c>
      <c r="B508" s="413">
        <v>375.4</v>
      </c>
      <c r="C508" s="414" t="s">
        <v>1041</v>
      </c>
      <c r="D508" s="415">
        <f t="shared" si="128"/>
        <v>1875520.02</v>
      </c>
      <c r="E508" s="417">
        <v>1898</v>
      </c>
      <c r="F508" s="417">
        <v>-228</v>
      </c>
      <c r="G508" s="415">
        <f t="shared" si="133"/>
        <v>1877190.02</v>
      </c>
      <c r="H508" s="418"/>
      <c r="I508" s="415">
        <f t="shared" si="129"/>
        <v>498086.37</v>
      </c>
      <c r="J508" s="442">
        <f t="shared" si="134"/>
        <v>1.9599999999999999E-2</v>
      </c>
      <c r="K508" s="418">
        <f t="shared" si="135"/>
        <v>3065</v>
      </c>
      <c r="L508" s="418">
        <f t="shared" si="130"/>
        <v>228</v>
      </c>
      <c r="M508" s="417">
        <v>-23</v>
      </c>
      <c r="N508" s="408">
        <f t="shared" si="131"/>
        <v>500900.37</v>
      </c>
    </row>
    <row r="509" spans="1:14" x14ac:dyDescent="0.2">
      <c r="A509" s="410">
        <f t="shared" si="132"/>
        <v>20</v>
      </c>
      <c r="B509" s="413">
        <v>375.6</v>
      </c>
      <c r="C509" s="414" t="s">
        <v>1042</v>
      </c>
      <c r="D509" s="415">
        <f t="shared" si="128"/>
        <v>0</v>
      </c>
      <c r="E509" s="417">
        <v>0</v>
      </c>
      <c r="F509" s="417">
        <v>0</v>
      </c>
      <c r="G509" s="415">
        <f t="shared" si="133"/>
        <v>0</v>
      </c>
      <c r="H509" s="418"/>
      <c r="I509" s="415">
        <f t="shared" si="129"/>
        <v>0.02</v>
      </c>
      <c r="J509" s="442">
        <f t="shared" si="134"/>
        <v>1.9599999999999999E-2</v>
      </c>
      <c r="K509" s="418">
        <f t="shared" si="135"/>
        <v>0</v>
      </c>
      <c r="L509" s="418">
        <f t="shared" si="130"/>
        <v>0</v>
      </c>
      <c r="M509" s="417">
        <v>0</v>
      </c>
      <c r="N509" s="408">
        <f t="shared" si="131"/>
        <v>0.02</v>
      </c>
    </row>
    <row r="510" spans="1:14" x14ac:dyDescent="0.2">
      <c r="A510" s="410">
        <f t="shared" si="132"/>
        <v>21</v>
      </c>
      <c r="B510" s="413">
        <v>375.7</v>
      </c>
      <c r="C510" s="414" t="s">
        <v>1043</v>
      </c>
      <c r="D510" s="415">
        <f t="shared" si="128"/>
        <v>7993345.21</v>
      </c>
      <c r="E510" s="417">
        <v>-45</v>
      </c>
      <c r="F510" s="417">
        <v>5</v>
      </c>
      <c r="G510" s="415">
        <f t="shared" si="133"/>
        <v>7993305.21</v>
      </c>
      <c r="H510" s="418"/>
      <c r="I510" s="415">
        <f t="shared" si="129"/>
        <v>3271332.06</v>
      </c>
      <c r="J510" s="442">
        <f t="shared" si="134"/>
        <v>1.9900000000000001E-2</v>
      </c>
      <c r="K510" s="418">
        <f t="shared" si="135"/>
        <v>13256</v>
      </c>
      <c r="L510" s="418">
        <f t="shared" si="130"/>
        <v>-5</v>
      </c>
      <c r="M510" s="417">
        <v>0</v>
      </c>
      <c r="N510" s="408">
        <f t="shared" si="131"/>
        <v>3284593.06</v>
      </c>
    </row>
    <row r="511" spans="1:14" x14ac:dyDescent="0.2">
      <c r="A511" s="410">
        <f t="shared" si="132"/>
        <v>22</v>
      </c>
      <c r="B511" s="413">
        <v>375.71</v>
      </c>
      <c r="C511" s="414" t="s">
        <v>1044</v>
      </c>
      <c r="D511" s="415">
        <f t="shared" si="128"/>
        <v>259808.94</v>
      </c>
      <c r="E511" s="417">
        <v>0</v>
      </c>
      <c r="F511" s="417">
        <v>0</v>
      </c>
      <c r="G511" s="415">
        <f t="shared" si="133"/>
        <v>259808.94</v>
      </c>
      <c r="H511" s="418"/>
      <c r="I511" s="415">
        <f t="shared" si="129"/>
        <v>166171.25789473689</v>
      </c>
      <c r="J511" s="419" t="s">
        <v>1094</v>
      </c>
      <c r="K511" s="417">
        <f>104653.88/38</f>
        <v>2754.0494736842106</v>
      </c>
      <c r="L511" s="418">
        <f t="shared" si="130"/>
        <v>0</v>
      </c>
      <c r="M511" s="417">
        <v>0</v>
      </c>
      <c r="N511" s="408">
        <f t="shared" si="131"/>
        <v>168925.30736842111</v>
      </c>
    </row>
    <row r="512" spans="1:14" x14ac:dyDescent="0.2">
      <c r="A512" s="410">
        <f t="shared" si="132"/>
        <v>23</v>
      </c>
      <c r="B512" s="413">
        <v>375.8</v>
      </c>
      <c r="C512" s="414" t="s">
        <v>1045</v>
      </c>
      <c r="D512" s="415">
        <f t="shared" si="128"/>
        <v>0</v>
      </c>
      <c r="E512" s="417">
        <v>0</v>
      </c>
      <c r="F512" s="417">
        <v>0</v>
      </c>
      <c r="G512" s="415">
        <f t="shared" si="133"/>
        <v>0</v>
      </c>
      <c r="H512" s="418"/>
      <c r="I512" s="415">
        <f t="shared" si="129"/>
        <v>0</v>
      </c>
      <c r="J512" s="442">
        <f>J406</f>
        <v>5.3199999999999997E-2</v>
      </c>
      <c r="K512" s="417">
        <v>0</v>
      </c>
      <c r="L512" s="418">
        <f t="shared" si="130"/>
        <v>0</v>
      </c>
      <c r="M512" s="417">
        <v>0</v>
      </c>
      <c r="N512" s="408">
        <f t="shared" si="131"/>
        <v>0</v>
      </c>
    </row>
    <row r="513" spans="1:14" x14ac:dyDescent="0.2">
      <c r="A513" s="410">
        <f>A512+1</f>
        <v>24</v>
      </c>
      <c r="B513" s="413">
        <v>376</v>
      </c>
      <c r="C513" s="438" t="s">
        <v>1096</v>
      </c>
      <c r="D513" s="415"/>
      <c r="E513" s="417"/>
      <c r="F513" s="417"/>
      <c r="G513" s="415"/>
      <c r="H513" s="418"/>
      <c r="I513" s="439"/>
      <c r="J513" s="432"/>
      <c r="K513" s="418"/>
      <c r="L513" s="418"/>
      <c r="M513" s="417"/>
    </row>
    <row r="514" spans="1:14" x14ac:dyDescent="0.2">
      <c r="A514" s="410"/>
      <c r="B514" s="413"/>
      <c r="C514" s="440" t="s">
        <v>1097</v>
      </c>
      <c r="D514" s="415"/>
      <c r="E514" s="417"/>
      <c r="F514" s="417"/>
      <c r="G514" s="415"/>
      <c r="H514" s="418"/>
      <c r="I514" s="415"/>
      <c r="J514" s="442"/>
      <c r="K514" s="418"/>
      <c r="L514" s="418"/>
      <c r="M514" s="417"/>
      <c r="N514" s="408"/>
    </row>
    <row r="515" spans="1:14" x14ac:dyDescent="0.2">
      <c r="A515" s="410"/>
      <c r="B515" s="413"/>
      <c r="C515" s="440" t="s">
        <v>1098</v>
      </c>
      <c r="D515" s="415"/>
      <c r="E515" s="417"/>
      <c r="F515" s="417"/>
      <c r="G515" s="415"/>
      <c r="H515" s="418"/>
      <c r="I515" s="415"/>
      <c r="J515" s="442"/>
      <c r="K515" s="418"/>
      <c r="L515" s="418"/>
      <c r="M515" s="417"/>
      <c r="N515" s="408"/>
    </row>
    <row r="516" spans="1:14" x14ac:dyDescent="0.2">
      <c r="A516" s="410"/>
      <c r="B516" s="413"/>
      <c r="C516" s="440" t="s">
        <v>1099</v>
      </c>
      <c r="D516" s="415"/>
      <c r="E516" s="417"/>
      <c r="F516" s="417"/>
      <c r="G516" s="415"/>
      <c r="H516" s="418"/>
      <c r="I516" s="415"/>
      <c r="J516" s="442"/>
      <c r="K516" s="418"/>
      <c r="L516" s="418"/>
      <c r="M516" s="417"/>
      <c r="N516" s="408"/>
    </row>
    <row r="517" spans="1:14" x14ac:dyDescent="0.2">
      <c r="A517" s="410"/>
      <c r="B517" s="413"/>
      <c r="C517" s="440" t="s">
        <v>1100</v>
      </c>
      <c r="D517" s="415"/>
      <c r="E517" s="417"/>
      <c r="F517" s="417"/>
      <c r="G517" s="415"/>
      <c r="H517" s="418"/>
      <c r="I517" s="415"/>
      <c r="J517" s="442"/>
      <c r="K517" s="418"/>
      <c r="L517" s="418"/>
      <c r="M517" s="417"/>
      <c r="N517" s="408"/>
    </row>
    <row r="518" spans="1:14" x14ac:dyDescent="0.2">
      <c r="A518" s="410"/>
      <c r="B518" s="413"/>
      <c r="C518" s="440" t="s">
        <v>1101</v>
      </c>
      <c r="D518" s="415">
        <f t="shared" ref="D518:D523" si="136">G412</f>
        <v>207999898.44</v>
      </c>
      <c r="E518" s="417">
        <v>1071792</v>
      </c>
      <c r="F518" s="417">
        <v>-128615</v>
      </c>
      <c r="G518" s="415">
        <f t="shared" ref="G518:G523" si="137">SUM(D518:F518)</f>
        <v>208943075.44</v>
      </c>
      <c r="H518" s="418"/>
      <c r="I518" s="415">
        <f t="shared" ref="I518:I523" si="138">N412</f>
        <v>56644196.609999999</v>
      </c>
      <c r="J518" s="442">
        <f t="shared" ref="J518:J523" si="139">J412</f>
        <v>1.5699999999999999E-2</v>
      </c>
      <c r="K518" s="418">
        <f t="shared" ref="K518:K523" si="140">ROUND((G518+D518)/2*J518/12,0)</f>
        <v>272750</v>
      </c>
      <c r="L518" s="418">
        <f t="shared" ref="L518:L523" si="141">-F518</f>
        <v>128615</v>
      </c>
      <c r="M518" s="417">
        <v>-19292</v>
      </c>
      <c r="N518" s="408">
        <f t="shared" ref="N518:N523" si="142">I518+K518-L518+M518</f>
        <v>56769039.609999999</v>
      </c>
    </row>
    <row r="519" spans="1:14" x14ac:dyDescent="0.2">
      <c r="A519" s="410">
        <f>A513+1</f>
        <v>25</v>
      </c>
      <c r="B519" s="413">
        <v>378.1</v>
      </c>
      <c r="C519" s="414" t="s">
        <v>1047</v>
      </c>
      <c r="D519" s="415">
        <f t="shared" si="136"/>
        <v>518504.18</v>
      </c>
      <c r="E519" s="417">
        <v>0</v>
      </c>
      <c r="F519" s="417">
        <v>0</v>
      </c>
      <c r="G519" s="415">
        <f t="shared" si="137"/>
        <v>518504.18</v>
      </c>
      <c r="H519" s="418"/>
      <c r="I519" s="415">
        <f t="shared" si="138"/>
        <v>357371.81</v>
      </c>
      <c r="J519" s="442">
        <f t="shared" si="139"/>
        <v>2.35E-2</v>
      </c>
      <c r="K519" s="418">
        <f t="shared" si="140"/>
        <v>1015</v>
      </c>
      <c r="L519" s="418">
        <f t="shared" si="141"/>
        <v>0</v>
      </c>
      <c r="M519" s="417">
        <v>0</v>
      </c>
      <c r="N519" s="408">
        <f t="shared" si="142"/>
        <v>358386.81</v>
      </c>
    </row>
    <row r="520" spans="1:14" x14ac:dyDescent="0.2">
      <c r="A520" s="410">
        <f t="shared" si="132"/>
        <v>26</v>
      </c>
      <c r="B520" s="413">
        <v>378.2</v>
      </c>
      <c r="C520" s="414" t="s">
        <v>1048</v>
      </c>
      <c r="D520" s="415">
        <f t="shared" si="136"/>
        <v>9538712</v>
      </c>
      <c r="E520" s="417">
        <v>14525</v>
      </c>
      <c r="F520" s="417">
        <v>-1743</v>
      </c>
      <c r="G520" s="415">
        <f t="shared" si="137"/>
        <v>9551494</v>
      </c>
      <c r="H520" s="418"/>
      <c r="I520" s="415">
        <f t="shared" si="138"/>
        <v>3290212.91</v>
      </c>
      <c r="J520" s="442">
        <f t="shared" si="139"/>
        <v>2.35E-2</v>
      </c>
      <c r="K520" s="418">
        <f t="shared" si="140"/>
        <v>18692</v>
      </c>
      <c r="L520" s="418">
        <f t="shared" si="141"/>
        <v>1743</v>
      </c>
      <c r="M520" s="417">
        <v>-87</v>
      </c>
      <c r="N520" s="408">
        <f t="shared" si="142"/>
        <v>3307074.91</v>
      </c>
    </row>
    <row r="521" spans="1:14" x14ac:dyDescent="0.2">
      <c r="A521" s="410">
        <f t="shared" si="132"/>
        <v>27</v>
      </c>
      <c r="B521" s="413">
        <v>378.3</v>
      </c>
      <c r="C521" s="414" t="s">
        <v>1049</v>
      </c>
      <c r="D521" s="415">
        <f t="shared" si="136"/>
        <v>45443.08</v>
      </c>
      <c r="E521" s="417">
        <v>0</v>
      </c>
      <c r="F521" s="417">
        <v>0</v>
      </c>
      <c r="G521" s="415">
        <f t="shared" si="137"/>
        <v>45443.08</v>
      </c>
      <c r="H521" s="418"/>
      <c r="I521" s="415">
        <f t="shared" si="138"/>
        <v>35344.04</v>
      </c>
      <c r="J521" s="442">
        <f t="shared" si="139"/>
        <v>2.35E-2</v>
      </c>
      <c r="K521" s="418">
        <f t="shared" si="140"/>
        <v>89</v>
      </c>
      <c r="L521" s="418">
        <f t="shared" si="141"/>
        <v>0</v>
      </c>
      <c r="M521" s="417">
        <v>0</v>
      </c>
      <c r="N521" s="408">
        <f t="shared" si="142"/>
        <v>35433.040000000001</v>
      </c>
    </row>
    <row r="522" spans="1:14" x14ac:dyDescent="0.2">
      <c r="A522" s="410">
        <f t="shared" si="132"/>
        <v>28</v>
      </c>
      <c r="B522" s="413">
        <v>379.1</v>
      </c>
      <c r="C522" s="414" t="s">
        <v>1050</v>
      </c>
      <c r="D522" s="415">
        <f t="shared" si="136"/>
        <v>254900.59</v>
      </c>
      <c r="E522" s="417">
        <v>0</v>
      </c>
      <c r="F522" s="417">
        <v>0</v>
      </c>
      <c r="G522" s="415">
        <f t="shared" si="137"/>
        <v>254900.59</v>
      </c>
      <c r="H522" s="418"/>
      <c r="I522" s="415">
        <f t="shared" si="138"/>
        <v>267730.57</v>
      </c>
      <c r="J522" s="442">
        <f t="shared" si="139"/>
        <v>2.2700000000000001E-2</v>
      </c>
      <c r="K522" s="417">
        <v>0</v>
      </c>
      <c r="L522" s="418">
        <f t="shared" si="141"/>
        <v>0</v>
      </c>
      <c r="M522" s="417">
        <v>0</v>
      </c>
      <c r="N522" s="408">
        <f t="shared" si="142"/>
        <v>267730.57</v>
      </c>
    </row>
    <row r="523" spans="1:14" x14ac:dyDescent="0.2">
      <c r="A523" s="410">
        <f t="shared" si="132"/>
        <v>29</v>
      </c>
      <c r="B523" s="413">
        <v>380</v>
      </c>
      <c r="C523" s="414" t="s">
        <v>1051</v>
      </c>
      <c r="D523" s="415">
        <f t="shared" si="136"/>
        <v>119374130.77</v>
      </c>
      <c r="E523" s="417">
        <v>739650</v>
      </c>
      <c r="F523" s="417">
        <v>-88758</v>
      </c>
      <c r="G523" s="415">
        <f t="shared" si="137"/>
        <v>120025022.77</v>
      </c>
      <c r="H523" s="418"/>
      <c r="I523" s="415">
        <f t="shared" si="138"/>
        <v>57973056.520000003</v>
      </c>
      <c r="J523" s="442">
        <f t="shared" si="139"/>
        <v>2.5899999999999999E-2</v>
      </c>
      <c r="K523" s="418">
        <f t="shared" si="140"/>
        <v>258352</v>
      </c>
      <c r="L523" s="418">
        <f t="shared" si="141"/>
        <v>88758</v>
      </c>
      <c r="M523" s="417">
        <v>-44379</v>
      </c>
      <c r="N523" s="408">
        <f t="shared" si="142"/>
        <v>58098271.520000003</v>
      </c>
    </row>
    <row r="524" spans="1:14" x14ac:dyDescent="0.2">
      <c r="A524" s="410"/>
      <c r="B524" s="444"/>
      <c r="C524" s="414"/>
      <c r="D524" s="439"/>
      <c r="E524" s="418"/>
      <c r="F524" s="418"/>
      <c r="G524" s="439"/>
      <c r="H524" s="418"/>
      <c r="I524" s="418"/>
      <c r="J524" s="418"/>
      <c r="K524" s="418"/>
      <c r="L524" s="418"/>
    </row>
    <row r="525" spans="1:14" x14ac:dyDescent="0.2">
      <c r="A525" s="2073" t="str">
        <f>co</f>
        <v>COLUMBIA GAS OF KENTUCKY, INC.</v>
      </c>
      <c r="B525" s="2073"/>
      <c r="C525" s="2073"/>
      <c r="D525" s="2073"/>
      <c r="E525" s="2073"/>
      <c r="F525" s="2073"/>
      <c r="G525" s="2073"/>
      <c r="H525" s="2073"/>
      <c r="I525" s="2073"/>
      <c r="J525" s="2073"/>
      <c r="K525" s="2073"/>
      <c r="L525" s="2073"/>
      <c r="M525" s="2073"/>
      <c r="N525" s="2073"/>
    </row>
    <row r="526" spans="1:14" x14ac:dyDescent="0.2">
      <c r="A526" s="2073" t="str">
        <f>case</f>
        <v>CASE NO. 2016 - 00162</v>
      </c>
      <c r="B526" s="2073"/>
      <c r="C526" s="2073"/>
      <c r="D526" s="2073"/>
      <c r="E526" s="2073"/>
      <c r="F526" s="2073"/>
      <c r="G526" s="2073"/>
      <c r="H526" s="2073"/>
      <c r="I526" s="2073"/>
      <c r="J526" s="2073"/>
      <c r="K526" s="2073"/>
      <c r="L526" s="2073"/>
      <c r="M526" s="2073"/>
      <c r="N526" s="2073"/>
    </row>
    <row r="527" spans="1:14" x14ac:dyDescent="0.2">
      <c r="A527" s="2074" t="s">
        <v>1106</v>
      </c>
      <c r="B527" s="2073"/>
      <c r="C527" s="2073"/>
      <c r="D527" s="2073"/>
      <c r="E527" s="2073"/>
      <c r="F527" s="2073"/>
      <c r="G527" s="2073"/>
      <c r="H527" s="2073"/>
      <c r="I527" s="2073"/>
      <c r="J527" s="2073"/>
      <c r="K527" s="2073"/>
      <c r="L527" s="2073"/>
      <c r="M527" s="2073"/>
      <c r="N527" s="2073"/>
    </row>
    <row r="528" spans="1:14" x14ac:dyDescent="0.2">
      <c r="A528" s="2078" t="s">
        <v>2142</v>
      </c>
      <c r="B528" s="2078"/>
      <c r="C528" s="2078"/>
      <c r="D528" s="2078"/>
      <c r="E528" s="2078"/>
      <c r="F528" s="2078"/>
      <c r="G528" s="2078"/>
      <c r="H528" s="2078"/>
      <c r="I528" s="2078"/>
      <c r="J528" s="2078"/>
      <c r="K528" s="2078"/>
      <c r="L528" s="2078"/>
      <c r="M528" s="2078"/>
      <c r="N528" s="2078"/>
    </row>
    <row r="530" spans="1:14" x14ac:dyDescent="0.2">
      <c r="A530" s="388" t="s">
        <v>976</v>
      </c>
      <c r="M530" s="386"/>
      <c r="N530" s="387" t="s">
        <v>763</v>
      </c>
    </row>
    <row r="531" spans="1:14" x14ac:dyDescent="0.2">
      <c r="A531" s="388" t="s">
        <v>977</v>
      </c>
      <c r="M531" s="386"/>
      <c r="N531" s="387" t="s">
        <v>999</v>
      </c>
    </row>
    <row r="532" spans="1:14" x14ac:dyDescent="0.2">
      <c r="A532" s="445" t="str">
        <f>A479</f>
        <v>WORKPAPER REFERENCE NO(S).: WPB-2.3</v>
      </c>
      <c r="B532" s="391"/>
      <c r="C532" s="391"/>
      <c r="D532" s="391"/>
      <c r="E532" s="391"/>
      <c r="F532" s="391"/>
      <c r="G532" s="391"/>
      <c r="H532" s="391"/>
      <c r="M532" s="392"/>
      <c r="N532" s="393" t="str">
        <f>SMK</f>
        <v>WITNESS:  S. M. KATKO</v>
      </c>
    </row>
    <row r="533" spans="1:14" x14ac:dyDescent="0.2">
      <c r="A533" s="390"/>
      <c r="B533" s="391"/>
      <c r="C533" s="391"/>
      <c r="D533" s="391"/>
      <c r="E533" s="391"/>
      <c r="F533" s="391"/>
      <c r="G533" s="391"/>
      <c r="H533" s="391"/>
      <c r="I533" s="392"/>
      <c r="J533" s="393"/>
      <c r="L533" s="386"/>
      <c r="M533" s="386"/>
    </row>
    <row r="534" spans="1:14" x14ac:dyDescent="0.2">
      <c r="A534" s="390"/>
      <c r="B534" s="391"/>
      <c r="C534" s="391"/>
      <c r="D534" s="2075" t="s">
        <v>1088</v>
      </c>
      <c r="E534" s="2075"/>
      <c r="F534" s="2075"/>
      <c r="G534" s="2075"/>
      <c r="H534" s="391"/>
      <c r="I534" s="2076" t="s">
        <v>1093</v>
      </c>
      <c r="J534" s="2077"/>
      <c r="K534" s="2077"/>
      <c r="L534" s="2077"/>
      <c r="M534" s="2077"/>
      <c r="N534" s="2077"/>
    </row>
    <row r="535" spans="1:14" x14ac:dyDescent="0.2">
      <c r="A535" s="394"/>
      <c r="B535" s="391"/>
      <c r="C535" s="391"/>
      <c r="D535" s="396" t="s">
        <v>1084</v>
      </c>
      <c r="E535" s="391"/>
      <c r="F535" s="391"/>
      <c r="G535" s="395"/>
      <c r="H535" s="395"/>
      <c r="I535" s="397" t="s">
        <v>1089</v>
      </c>
      <c r="J535" s="396"/>
      <c r="M535" s="386"/>
    </row>
    <row r="536" spans="1:14" x14ac:dyDescent="0.2">
      <c r="A536" s="383"/>
      <c r="D536" s="397" t="s">
        <v>865</v>
      </c>
      <c r="G536" s="397" t="s">
        <v>867</v>
      </c>
      <c r="H536" s="398"/>
      <c r="I536" s="397" t="s">
        <v>865</v>
      </c>
      <c r="J536" s="397" t="s">
        <v>956</v>
      </c>
      <c r="M536" s="386"/>
      <c r="N536" s="397" t="s">
        <v>867</v>
      </c>
    </row>
    <row r="537" spans="1:14" x14ac:dyDescent="0.2">
      <c r="A537" s="397" t="s">
        <v>1080</v>
      </c>
      <c r="B537" s="397" t="s">
        <v>1082</v>
      </c>
      <c r="D537" s="397" t="s">
        <v>867</v>
      </c>
      <c r="G537" s="399" t="s">
        <v>1087</v>
      </c>
      <c r="H537" s="398"/>
      <c r="I537" s="399" t="s">
        <v>867</v>
      </c>
      <c r="J537" s="397" t="s">
        <v>1090</v>
      </c>
      <c r="K537" s="397" t="s">
        <v>956</v>
      </c>
      <c r="M537" s="399" t="s">
        <v>1092</v>
      </c>
      <c r="N537" s="399" t="s">
        <v>1087</v>
      </c>
    </row>
    <row r="538" spans="1:14" x14ac:dyDescent="0.2">
      <c r="A538" s="400" t="s">
        <v>1081</v>
      </c>
      <c r="B538" s="400" t="s">
        <v>1081</v>
      </c>
      <c r="C538" s="401" t="s">
        <v>1083</v>
      </c>
      <c r="D538" s="404" t="str">
        <f>D485</f>
        <v>06/30/2016</v>
      </c>
      <c r="E538" s="400" t="s">
        <v>1085</v>
      </c>
      <c r="F538" s="400" t="s">
        <v>1086</v>
      </c>
      <c r="G538" s="404" t="str">
        <f>G485</f>
        <v>07/31/2016</v>
      </c>
      <c r="H538" s="398"/>
      <c r="I538" s="404" t="str">
        <f>D538</f>
        <v>06/30/2016</v>
      </c>
      <c r="J538" s="400" t="s">
        <v>1091</v>
      </c>
      <c r="K538" s="402" t="s">
        <v>1090</v>
      </c>
      <c r="L538" s="402" t="s">
        <v>1086</v>
      </c>
      <c r="M538" s="402" t="s">
        <v>955</v>
      </c>
      <c r="N538" s="404" t="str">
        <f>G538</f>
        <v>07/31/2016</v>
      </c>
    </row>
    <row r="539" spans="1:14" x14ac:dyDescent="0.2">
      <c r="A539" s="406"/>
      <c r="B539" s="406"/>
      <c r="C539" s="406"/>
      <c r="D539" s="406" t="str">
        <f>"(1)"</f>
        <v>(1)</v>
      </c>
      <c r="E539" s="406" t="str">
        <f>"(2)"</f>
        <v>(2)</v>
      </c>
      <c r="F539" s="406" t="str">
        <f>"(3)"</f>
        <v>(3)</v>
      </c>
      <c r="G539" s="406" t="str">
        <f>"(4)=(1+2+3)"</f>
        <v>(4)=(1+2+3)</v>
      </c>
      <c r="H539" s="406"/>
      <c r="I539" s="406" t="str">
        <f>"(5)"</f>
        <v>(5)</v>
      </c>
      <c r="J539" s="406" t="str">
        <f>"(6)"</f>
        <v>(6)</v>
      </c>
      <c r="K539" s="406" t="str">
        <f>"(7)=((1+4)/2*6/12))"</f>
        <v>(7)=((1+4)/2*6/12))</v>
      </c>
      <c r="L539" s="406" t="str">
        <f>"(8)"</f>
        <v>(8)</v>
      </c>
      <c r="M539" s="406" t="str">
        <f>"(9)"</f>
        <v>(9)</v>
      </c>
      <c r="N539" s="406" t="str">
        <f>"(10)=(5+7-8+9)"</f>
        <v>(10)=(5+7-8+9)</v>
      </c>
    </row>
    <row r="540" spans="1:14" x14ac:dyDescent="0.2">
      <c r="D540" s="410" t="s">
        <v>639</v>
      </c>
      <c r="E540" s="410" t="s">
        <v>639</v>
      </c>
      <c r="F540" s="410" t="s">
        <v>639</v>
      </c>
      <c r="G540" s="410" t="s">
        <v>639</v>
      </c>
      <c r="H540" s="410"/>
      <c r="I540" s="410" t="s">
        <v>639</v>
      </c>
      <c r="J540" s="410" t="s">
        <v>639</v>
      </c>
      <c r="K540" s="410" t="s">
        <v>639</v>
      </c>
      <c r="L540" s="410" t="s">
        <v>639</v>
      </c>
      <c r="M540" s="410" t="s">
        <v>639</v>
      </c>
      <c r="N540" s="410" t="s">
        <v>639</v>
      </c>
    </row>
    <row r="541" spans="1:14" x14ac:dyDescent="0.2">
      <c r="C541" s="411" t="s">
        <v>707</v>
      </c>
      <c r="D541" s="410"/>
      <c r="E541" s="410"/>
      <c r="F541" s="410"/>
      <c r="G541" s="410"/>
      <c r="J541" s="410"/>
    </row>
    <row r="542" spans="1:14" x14ac:dyDescent="0.2">
      <c r="A542" s="405">
        <v>1</v>
      </c>
      <c r="B542" s="446">
        <v>381</v>
      </c>
      <c r="C542" s="414" t="s">
        <v>1052</v>
      </c>
      <c r="D542" s="415">
        <f t="shared" ref="D542:D553" si="143">G436</f>
        <v>13615778.550000001</v>
      </c>
      <c r="E542" s="417">
        <v>6028</v>
      </c>
      <c r="F542" s="417">
        <v>-723</v>
      </c>
      <c r="G542" s="415">
        <f>SUM(D542:F542)</f>
        <v>13621083.550000001</v>
      </c>
      <c r="H542" s="418"/>
      <c r="I542" s="415">
        <f t="shared" ref="I542:I553" si="144">N436</f>
        <v>4767659.8899999997</v>
      </c>
      <c r="J542" s="442">
        <f t="shared" ref="J542:J553" si="145">J436</f>
        <v>2.5899999999999999E-2</v>
      </c>
      <c r="K542" s="418">
        <f t="shared" ref="K542:K553" si="146">ROUND((G542+D542)/2*J542/12,0)</f>
        <v>29393</v>
      </c>
      <c r="L542" s="418">
        <f t="shared" ref="L542:L553" si="147">-F542</f>
        <v>723</v>
      </c>
      <c r="M542" s="417">
        <v>0</v>
      </c>
      <c r="N542" s="408">
        <f t="shared" ref="N542:N553" si="148">I542+K542-L542+M542</f>
        <v>4796329.8899999997</v>
      </c>
    </row>
    <row r="543" spans="1:14" x14ac:dyDescent="0.2">
      <c r="A543" s="405">
        <f>A542+1</f>
        <v>2</v>
      </c>
      <c r="B543" s="446">
        <v>381.1</v>
      </c>
      <c r="C543" s="414" t="s">
        <v>1052</v>
      </c>
      <c r="D543" s="415">
        <f t="shared" si="143"/>
        <v>8755468.0600000005</v>
      </c>
      <c r="E543" s="417">
        <v>7419</v>
      </c>
      <c r="F543" s="417">
        <v>-890</v>
      </c>
      <c r="G543" s="415">
        <f>SUM(D543:F543)</f>
        <v>8761997.0600000005</v>
      </c>
      <c r="H543" s="418"/>
      <c r="I543" s="415">
        <f t="shared" si="144"/>
        <v>441942.5</v>
      </c>
      <c r="J543" s="442">
        <f t="shared" si="145"/>
        <v>2.5899999999999999E-2</v>
      </c>
      <c r="K543" s="418">
        <f t="shared" si="146"/>
        <v>18904</v>
      </c>
      <c r="L543" s="418">
        <f t="shared" si="147"/>
        <v>890</v>
      </c>
      <c r="M543" s="417">
        <v>0</v>
      </c>
      <c r="N543" s="408">
        <f t="shared" si="148"/>
        <v>459956.5</v>
      </c>
    </row>
    <row r="544" spans="1:14" x14ac:dyDescent="0.2">
      <c r="A544" s="405">
        <f t="shared" ref="A544:A554" si="149">A543+1</f>
        <v>3</v>
      </c>
      <c r="B544" s="446">
        <v>382</v>
      </c>
      <c r="C544" s="414" t="s">
        <v>1053</v>
      </c>
      <c r="D544" s="415">
        <f t="shared" si="143"/>
        <v>9058151.6500000004</v>
      </c>
      <c r="E544" s="417">
        <v>8319</v>
      </c>
      <c r="F544" s="417">
        <v>-998</v>
      </c>
      <c r="G544" s="415">
        <f t="shared" ref="G544:G549" si="150">SUM(D544:F544)</f>
        <v>9065472.6500000004</v>
      </c>
      <c r="H544" s="418"/>
      <c r="I544" s="415">
        <f t="shared" si="144"/>
        <v>4547503.3</v>
      </c>
      <c r="J544" s="442">
        <f t="shared" si="145"/>
        <v>2.3900000000000001E-2</v>
      </c>
      <c r="K544" s="418">
        <f t="shared" si="146"/>
        <v>18048</v>
      </c>
      <c r="L544" s="418">
        <f t="shared" si="147"/>
        <v>998</v>
      </c>
      <c r="M544" s="417">
        <v>-50</v>
      </c>
      <c r="N544" s="408">
        <f t="shared" si="148"/>
        <v>4564503.3</v>
      </c>
    </row>
    <row r="545" spans="1:14" x14ac:dyDescent="0.2">
      <c r="A545" s="405">
        <f t="shared" si="149"/>
        <v>4</v>
      </c>
      <c r="B545" s="446">
        <v>383</v>
      </c>
      <c r="C545" s="414" t="s">
        <v>1054</v>
      </c>
      <c r="D545" s="415">
        <f t="shared" si="143"/>
        <v>5565296.7599999998</v>
      </c>
      <c r="E545" s="417">
        <v>7226</v>
      </c>
      <c r="F545" s="417">
        <v>-867</v>
      </c>
      <c r="G545" s="415">
        <f t="shared" si="150"/>
        <v>5571655.7599999998</v>
      </c>
      <c r="H545" s="418"/>
      <c r="I545" s="415">
        <f t="shared" si="144"/>
        <v>1480502.41</v>
      </c>
      <c r="J545" s="442">
        <f t="shared" si="145"/>
        <v>1.3899999999999999E-2</v>
      </c>
      <c r="K545" s="418">
        <f t="shared" si="146"/>
        <v>6450</v>
      </c>
      <c r="L545" s="418">
        <f t="shared" si="147"/>
        <v>867</v>
      </c>
      <c r="M545" s="417">
        <v>-43</v>
      </c>
      <c r="N545" s="408">
        <f t="shared" si="148"/>
        <v>1486042.41</v>
      </c>
    </row>
    <row r="546" spans="1:14" x14ac:dyDescent="0.2">
      <c r="A546" s="405">
        <f t="shared" si="149"/>
        <v>5</v>
      </c>
      <c r="B546" s="446">
        <v>384</v>
      </c>
      <c r="C546" s="414" t="s">
        <v>1055</v>
      </c>
      <c r="D546" s="415">
        <f t="shared" si="143"/>
        <v>2257522</v>
      </c>
      <c r="E546" s="417">
        <v>0</v>
      </c>
      <c r="F546" s="417">
        <v>0</v>
      </c>
      <c r="G546" s="415">
        <f t="shared" si="150"/>
        <v>2257522</v>
      </c>
      <c r="H546" s="418"/>
      <c r="I546" s="415">
        <f t="shared" si="144"/>
        <v>1756914.73</v>
      </c>
      <c r="J546" s="442">
        <f t="shared" si="145"/>
        <v>1.0999999999999999E-2</v>
      </c>
      <c r="K546" s="418">
        <f t="shared" si="146"/>
        <v>2069</v>
      </c>
      <c r="L546" s="418">
        <f t="shared" si="147"/>
        <v>0</v>
      </c>
      <c r="M546" s="417">
        <v>0</v>
      </c>
      <c r="N546" s="408">
        <f t="shared" si="148"/>
        <v>1758983.73</v>
      </c>
    </row>
    <row r="547" spans="1:14" x14ac:dyDescent="0.2">
      <c r="A547" s="405">
        <f t="shared" si="149"/>
        <v>6</v>
      </c>
      <c r="B547" s="446">
        <v>385</v>
      </c>
      <c r="C547" s="414" t="s">
        <v>1056</v>
      </c>
      <c r="D547" s="415">
        <f t="shared" si="143"/>
        <v>3144090.36</v>
      </c>
      <c r="E547" s="417">
        <v>14566</v>
      </c>
      <c r="F547" s="417">
        <v>-1748</v>
      </c>
      <c r="G547" s="415">
        <f t="shared" si="150"/>
        <v>3156908.36</v>
      </c>
      <c r="H547" s="418"/>
      <c r="I547" s="415">
        <f t="shared" si="144"/>
        <v>872286.55</v>
      </c>
      <c r="J547" s="442">
        <f t="shared" si="145"/>
        <v>2.0899999999999998E-2</v>
      </c>
      <c r="K547" s="418">
        <f t="shared" si="146"/>
        <v>5487</v>
      </c>
      <c r="L547" s="418">
        <f t="shared" si="147"/>
        <v>1748</v>
      </c>
      <c r="M547" s="417">
        <v>-87</v>
      </c>
      <c r="N547" s="408">
        <f t="shared" si="148"/>
        <v>875938.55</v>
      </c>
    </row>
    <row r="548" spans="1:14" x14ac:dyDescent="0.2">
      <c r="A548" s="405">
        <f t="shared" si="149"/>
        <v>7</v>
      </c>
      <c r="B548" s="446">
        <v>387.2</v>
      </c>
      <c r="C548" s="414" t="s">
        <v>1057</v>
      </c>
      <c r="D548" s="415">
        <f t="shared" si="143"/>
        <v>0</v>
      </c>
      <c r="E548" s="417">
        <v>0</v>
      </c>
      <c r="F548" s="417">
        <v>0</v>
      </c>
      <c r="G548" s="415">
        <f t="shared" si="150"/>
        <v>0</v>
      </c>
      <c r="H548" s="418"/>
      <c r="I548" s="415">
        <f t="shared" si="144"/>
        <v>-59912.03</v>
      </c>
      <c r="J548" s="442">
        <f t="shared" si="145"/>
        <v>2.3199999999999998E-2</v>
      </c>
      <c r="K548" s="418">
        <f t="shared" si="146"/>
        <v>0</v>
      </c>
      <c r="L548" s="418">
        <f t="shared" si="147"/>
        <v>0</v>
      </c>
      <c r="M548" s="417">
        <v>0</v>
      </c>
      <c r="N548" s="408">
        <f t="shared" si="148"/>
        <v>-59912.03</v>
      </c>
    </row>
    <row r="549" spans="1:14" x14ac:dyDescent="0.2">
      <c r="A549" s="405">
        <f t="shared" si="149"/>
        <v>8</v>
      </c>
      <c r="B549" s="446">
        <v>387.41</v>
      </c>
      <c r="C549" s="414" t="s">
        <v>1058</v>
      </c>
      <c r="D549" s="415">
        <f t="shared" si="143"/>
        <v>735770.76</v>
      </c>
      <c r="E549" s="417">
        <v>0</v>
      </c>
      <c r="F549" s="417">
        <v>0</v>
      </c>
      <c r="G549" s="415">
        <f t="shared" si="150"/>
        <v>735770.76</v>
      </c>
      <c r="H549" s="418"/>
      <c r="I549" s="415">
        <f t="shared" si="144"/>
        <v>377447.95</v>
      </c>
      <c r="J549" s="442">
        <f t="shared" si="145"/>
        <v>2.3400000000000001E-2</v>
      </c>
      <c r="K549" s="418">
        <f t="shared" si="146"/>
        <v>1435</v>
      </c>
      <c r="L549" s="418">
        <f t="shared" si="147"/>
        <v>0</v>
      </c>
      <c r="M549" s="417">
        <v>0</v>
      </c>
      <c r="N549" s="408">
        <f t="shared" si="148"/>
        <v>378882.95</v>
      </c>
    </row>
    <row r="550" spans="1:14" x14ac:dyDescent="0.2">
      <c r="A550" s="405">
        <f t="shared" si="149"/>
        <v>9</v>
      </c>
      <c r="B550" s="446">
        <v>387.42</v>
      </c>
      <c r="C550" s="414" t="s">
        <v>1059</v>
      </c>
      <c r="D550" s="415">
        <f t="shared" si="143"/>
        <v>795186.58</v>
      </c>
      <c r="E550" s="417">
        <v>0</v>
      </c>
      <c r="F550" s="417">
        <v>0</v>
      </c>
      <c r="G550" s="415">
        <f>SUM(D550:F550)</f>
        <v>795186.58</v>
      </c>
      <c r="H550" s="418"/>
      <c r="I550" s="415">
        <f t="shared" si="144"/>
        <v>543239.94999999995</v>
      </c>
      <c r="J550" s="442">
        <f t="shared" si="145"/>
        <v>2.3400000000000001E-2</v>
      </c>
      <c r="K550" s="418">
        <f t="shared" si="146"/>
        <v>1551</v>
      </c>
      <c r="L550" s="418">
        <f t="shared" si="147"/>
        <v>0</v>
      </c>
      <c r="M550" s="417">
        <v>0</v>
      </c>
      <c r="N550" s="408">
        <f t="shared" si="148"/>
        <v>544790.94999999995</v>
      </c>
    </row>
    <row r="551" spans="1:14" x14ac:dyDescent="0.2">
      <c r="A551" s="405">
        <f t="shared" si="149"/>
        <v>10</v>
      </c>
      <c r="B551" s="446">
        <v>387.44</v>
      </c>
      <c r="C551" s="414" t="s">
        <v>1060</v>
      </c>
      <c r="D551" s="415">
        <f t="shared" si="143"/>
        <v>143283.93</v>
      </c>
      <c r="E551" s="417">
        <v>0</v>
      </c>
      <c r="F551" s="417">
        <v>0</v>
      </c>
      <c r="G551" s="415">
        <f>SUM(D551:F551)</f>
        <v>143283.93</v>
      </c>
      <c r="H551" s="418"/>
      <c r="I551" s="415">
        <f t="shared" si="144"/>
        <v>45274.55</v>
      </c>
      <c r="J551" s="442">
        <f t="shared" si="145"/>
        <v>2.3400000000000001E-2</v>
      </c>
      <c r="K551" s="418">
        <f t="shared" si="146"/>
        <v>279</v>
      </c>
      <c r="L551" s="418">
        <f t="shared" si="147"/>
        <v>0</v>
      </c>
      <c r="M551" s="417">
        <v>0</v>
      </c>
      <c r="N551" s="408">
        <f t="shared" si="148"/>
        <v>45553.55</v>
      </c>
    </row>
    <row r="552" spans="1:14" x14ac:dyDescent="0.2">
      <c r="A552" s="405">
        <f t="shared" si="149"/>
        <v>11</v>
      </c>
      <c r="B552" s="446">
        <v>387.45</v>
      </c>
      <c r="C552" s="414" t="s">
        <v>1061</v>
      </c>
      <c r="D552" s="415">
        <f t="shared" si="143"/>
        <v>2838052.66</v>
      </c>
      <c r="E552" s="417">
        <v>-20560</v>
      </c>
      <c r="F552" s="417">
        <v>2467</v>
      </c>
      <c r="G552" s="415">
        <f>SUM(D552:F552)</f>
        <v>2819959.66</v>
      </c>
      <c r="H552" s="418"/>
      <c r="I552" s="415">
        <f t="shared" si="144"/>
        <v>556107.06000000006</v>
      </c>
      <c r="J552" s="442">
        <f t="shared" si="145"/>
        <v>2.3400000000000001E-2</v>
      </c>
      <c r="K552" s="418">
        <f t="shared" si="146"/>
        <v>5517</v>
      </c>
      <c r="L552" s="418">
        <f t="shared" si="147"/>
        <v>-2467</v>
      </c>
      <c r="M552" s="417">
        <v>0</v>
      </c>
      <c r="N552" s="408">
        <f t="shared" si="148"/>
        <v>564091.06000000006</v>
      </c>
    </row>
    <row r="553" spans="1:14" x14ac:dyDescent="0.2">
      <c r="A553" s="405">
        <f t="shared" si="149"/>
        <v>12</v>
      </c>
      <c r="B553" s="446">
        <v>387.46</v>
      </c>
      <c r="C553" s="414" t="s">
        <v>1062</v>
      </c>
      <c r="D553" s="421">
        <f t="shared" si="143"/>
        <v>113644.47</v>
      </c>
      <c r="E553" s="1662">
        <v>0</v>
      </c>
      <c r="F553" s="1662">
        <v>0</v>
      </c>
      <c r="G553" s="428">
        <f>SUM(D553:F553)</f>
        <v>113644.47</v>
      </c>
      <c r="H553" s="447"/>
      <c r="I553" s="421">
        <f t="shared" si="144"/>
        <v>110900.83</v>
      </c>
      <c r="J553" s="442">
        <f t="shared" si="145"/>
        <v>2.3400000000000001E-2</v>
      </c>
      <c r="K553" s="421">
        <f t="shared" si="146"/>
        <v>222</v>
      </c>
      <c r="L553" s="421">
        <f t="shared" si="147"/>
        <v>0</v>
      </c>
      <c r="M553" s="422">
        <v>0</v>
      </c>
      <c r="N553" s="423">
        <f t="shared" si="148"/>
        <v>111122.83</v>
      </c>
    </row>
    <row r="554" spans="1:14" x14ac:dyDescent="0.2">
      <c r="A554" s="405">
        <f t="shared" si="149"/>
        <v>13</v>
      </c>
      <c r="B554" s="448"/>
      <c r="C554" s="386" t="s">
        <v>1063</v>
      </c>
      <c r="D554" s="418">
        <f>SUM(D542:D553,D502:D523)</f>
        <v>399114908.37999994</v>
      </c>
      <c r="E554" s="418">
        <f>SUM(E542:E553,E502:E523)</f>
        <v>1857029</v>
      </c>
      <c r="F554" s="418">
        <f>SUM(F542:F553,F502:F523)</f>
        <v>-222843</v>
      </c>
      <c r="G554" s="418">
        <f>SUM(G542:G553,G502:G523)</f>
        <v>400749094.37999994</v>
      </c>
      <c r="H554" s="418"/>
      <c r="I554" s="418">
        <f>SUM(I542:I553,I502:I523)</f>
        <v>139032706.97789472</v>
      </c>
      <c r="J554" s="418"/>
      <c r="K554" s="418">
        <f>SUM(K542:K553,K502:K523)</f>
        <v>662913.04947368428</v>
      </c>
      <c r="L554" s="418">
        <f>SUM(L542:L553,L502:L523)</f>
        <v>222843</v>
      </c>
      <c r="M554" s="418">
        <f>SUM(M542:M553,M502:M523)</f>
        <v>-63961</v>
      </c>
      <c r="N554" s="418">
        <f>SUM(N542:N553,N502:N523)</f>
        <v>139408816.02736843</v>
      </c>
    </row>
    <row r="555" spans="1:14" x14ac:dyDescent="0.2">
      <c r="B555" s="448"/>
      <c r="D555" s="418"/>
      <c r="E555" s="418"/>
      <c r="F555" s="418"/>
      <c r="G555" s="418"/>
      <c r="H555" s="418"/>
      <c r="I555" s="439"/>
      <c r="J555" s="418"/>
      <c r="K555" s="418"/>
      <c r="L555" s="418"/>
      <c r="M555" s="418"/>
    </row>
    <row r="556" spans="1:14" x14ac:dyDescent="0.2">
      <c r="A556" s="405">
        <f>A554+1</f>
        <v>14</v>
      </c>
      <c r="B556" s="448"/>
      <c r="C556" s="411" t="s">
        <v>737</v>
      </c>
      <c r="D556" s="418"/>
      <c r="E556" s="418"/>
      <c r="F556" s="418"/>
      <c r="G556" s="418"/>
      <c r="H556" s="418"/>
      <c r="I556" s="439"/>
      <c r="J556" s="418"/>
      <c r="K556" s="418"/>
      <c r="L556" s="418"/>
      <c r="M556" s="418"/>
    </row>
    <row r="557" spans="1:14" x14ac:dyDescent="0.2">
      <c r="A557" s="410">
        <f>A556+1</f>
        <v>15</v>
      </c>
      <c r="B557" s="446">
        <v>391.1</v>
      </c>
      <c r="C557" s="414" t="s">
        <v>1064</v>
      </c>
      <c r="D557" s="415">
        <f t="shared" ref="D557:D570" si="151">G451</f>
        <v>734547.71</v>
      </c>
      <c r="E557" s="417">
        <v>60</v>
      </c>
      <c r="F557" s="417">
        <v>-7</v>
      </c>
      <c r="G557" s="415">
        <f t="shared" ref="G557:G570" si="152">SUM(D557:F557)</f>
        <v>734600.71</v>
      </c>
      <c r="H557" s="418"/>
      <c r="I557" s="415">
        <f t="shared" ref="I557:I570" si="153">N451</f>
        <v>-71594.22</v>
      </c>
      <c r="J557" s="442">
        <f t="shared" ref="J557:J570" si="154">J451</f>
        <v>0.05</v>
      </c>
      <c r="K557" s="418">
        <f>ROUND((G557+D557)/2*J557/12,0)</f>
        <v>3061</v>
      </c>
      <c r="L557" s="418">
        <f t="shared" ref="L557:L570" si="155">-F557</f>
        <v>7</v>
      </c>
      <c r="M557" s="417">
        <v>0</v>
      </c>
      <c r="N557" s="408">
        <f t="shared" ref="N557:N570" si="156">I557+K557-L557+M557</f>
        <v>-68540.22</v>
      </c>
    </row>
    <row r="558" spans="1:14" x14ac:dyDescent="0.2">
      <c r="A558" s="410">
        <f t="shared" ref="A558:A571" si="157">A557+1</f>
        <v>16</v>
      </c>
      <c r="B558" s="446">
        <v>391.11</v>
      </c>
      <c r="C558" s="414" t="s">
        <v>1065</v>
      </c>
      <c r="D558" s="415">
        <f t="shared" si="151"/>
        <v>18815.57</v>
      </c>
      <c r="E558" s="417">
        <v>0</v>
      </c>
      <c r="F558" s="417">
        <v>0</v>
      </c>
      <c r="G558" s="415">
        <f t="shared" si="152"/>
        <v>18815.57</v>
      </c>
      <c r="H558" s="418"/>
      <c r="I558" s="415">
        <f t="shared" si="153"/>
        <v>-12614.77</v>
      </c>
      <c r="J558" s="442">
        <f t="shared" si="154"/>
        <v>6.6699999999999995E-2</v>
      </c>
      <c r="K558" s="418">
        <f>ROUND((G558+D558)/2*J558/12,0)</f>
        <v>105</v>
      </c>
      <c r="L558" s="418">
        <f t="shared" si="155"/>
        <v>0</v>
      </c>
      <c r="M558" s="417">
        <v>0</v>
      </c>
      <c r="N558" s="408">
        <f t="shared" si="156"/>
        <v>-12509.77</v>
      </c>
    </row>
    <row r="559" spans="1:14" x14ac:dyDescent="0.2">
      <c r="A559" s="410">
        <f t="shared" si="157"/>
        <v>17</v>
      </c>
      <c r="B559" s="446">
        <v>391.12</v>
      </c>
      <c r="C559" s="414" t="s">
        <v>1066</v>
      </c>
      <c r="D559" s="415">
        <f t="shared" si="151"/>
        <v>853483.41</v>
      </c>
      <c r="E559" s="417">
        <v>0</v>
      </c>
      <c r="F559" s="417">
        <v>0</v>
      </c>
      <c r="G559" s="415">
        <f t="shared" si="152"/>
        <v>853483.41</v>
      </c>
      <c r="H559" s="418"/>
      <c r="I559" s="415">
        <f t="shared" si="153"/>
        <v>604235.37</v>
      </c>
      <c r="J559" s="442">
        <f t="shared" si="154"/>
        <v>0.2</v>
      </c>
      <c r="K559" s="418">
        <f>ROUND((G559+D559)/2*J559/12,0)</f>
        <v>14225</v>
      </c>
      <c r="L559" s="418">
        <f t="shared" si="155"/>
        <v>0</v>
      </c>
      <c r="M559" s="417">
        <v>0</v>
      </c>
      <c r="N559" s="408">
        <f t="shared" si="156"/>
        <v>618460.37</v>
      </c>
    </row>
    <row r="560" spans="1:14" x14ac:dyDescent="0.2">
      <c r="A560" s="410">
        <f t="shared" si="157"/>
        <v>18</v>
      </c>
      <c r="B560" s="446">
        <v>392.2</v>
      </c>
      <c r="C560" s="414" t="s">
        <v>1067</v>
      </c>
      <c r="D560" s="415">
        <f t="shared" si="151"/>
        <v>95778</v>
      </c>
      <c r="E560" s="417">
        <v>0</v>
      </c>
      <c r="F560" s="417">
        <v>0</v>
      </c>
      <c r="G560" s="415">
        <f t="shared" si="152"/>
        <v>95778</v>
      </c>
      <c r="H560" s="418"/>
      <c r="I560" s="415">
        <f t="shared" si="153"/>
        <v>21245.05</v>
      </c>
      <c r="J560" s="442">
        <f t="shared" si="154"/>
        <v>2.9399999999999999E-2</v>
      </c>
      <c r="K560" s="418">
        <f>ROUND((G560+D560)/2*J560/12,0)</f>
        <v>235</v>
      </c>
      <c r="L560" s="418">
        <f t="shared" si="155"/>
        <v>0</v>
      </c>
      <c r="M560" s="417">
        <v>0</v>
      </c>
      <c r="N560" s="408">
        <f t="shared" si="156"/>
        <v>21480.05</v>
      </c>
    </row>
    <row r="561" spans="1:15" x14ac:dyDescent="0.2">
      <c r="A561" s="410">
        <f t="shared" si="157"/>
        <v>19</v>
      </c>
      <c r="B561" s="446">
        <v>392.21</v>
      </c>
      <c r="C561" s="414" t="s">
        <v>1068</v>
      </c>
      <c r="D561" s="415">
        <f t="shared" si="151"/>
        <v>24462.2</v>
      </c>
      <c r="E561" s="417">
        <v>0</v>
      </c>
      <c r="F561" s="417">
        <v>0</v>
      </c>
      <c r="G561" s="415">
        <f t="shared" si="152"/>
        <v>24462.2</v>
      </c>
      <c r="H561" s="418"/>
      <c r="I561" s="415">
        <f t="shared" si="153"/>
        <v>4827.3999999999996</v>
      </c>
      <c r="J561" s="442">
        <f t="shared" si="154"/>
        <v>2.9399999999999999E-2</v>
      </c>
      <c r="K561" s="418">
        <f>ROUND((G561+D561)/2*J561/12,0)</f>
        <v>60</v>
      </c>
      <c r="L561" s="418">
        <f t="shared" si="155"/>
        <v>0</v>
      </c>
      <c r="M561" s="417">
        <v>0</v>
      </c>
      <c r="N561" s="408">
        <f t="shared" si="156"/>
        <v>4887.3999999999996</v>
      </c>
    </row>
    <row r="562" spans="1:15" x14ac:dyDescent="0.2">
      <c r="A562" s="410">
        <f t="shared" si="157"/>
        <v>20</v>
      </c>
      <c r="B562" s="446">
        <v>393</v>
      </c>
      <c r="C562" s="414" t="s">
        <v>1069</v>
      </c>
      <c r="D562" s="415">
        <f t="shared" si="151"/>
        <v>0</v>
      </c>
      <c r="E562" s="417">
        <v>0</v>
      </c>
      <c r="F562" s="417">
        <v>0</v>
      </c>
      <c r="G562" s="415">
        <f t="shared" si="152"/>
        <v>0</v>
      </c>
      <c r="H562" s="418"/>
      <c r="I562" s="415">
        <f t="shared" si="153"/>
        <v>0</v>
      </c>
      <c r="J562" s="442" t="str">
        <f t="shared" si="154"/>
        <v>Amort.</v>
      </c>
      <c r="K562" s="417">
        <v>0</v>
      </c>
      <c r="L562" s="418">
        <f t="shared" si="155"/>
        <v>0</v>
      </c>
      <c r="M562" s="417">
        <v>0</v>
      </c>
      <c r="N562" s="408">
        <f t="shared" si="156"/>
        <v>0</v>
      </c>
    </row>
    <row r="563" spans="1:15" x14ac:dyDescent="0.2">
      <c r="A563" s="410">
        <f t="shared" si="157"/>
        <v>21</v>
      </c>
      <c r="B563" s="446">
        <v>394.1</v>
      </c>
      <c r="C563" s="414" t="s">
        <v>1070</v>
      </c>
      <c r="D563" s="415">
        <f t="shared" si="151"/>
        <v>24240.799999999999</v>
      </c>
      <c r="E563" s="417">
        <v>0</v>
      </c>
      <c r="F563" s="417">
        <v>0</v>
      </c>
      <c r="G563" s="415">
        <f t="shared" si="152"/>
        <v>24240.799999999999</v>
      </c>
      <c r="H563" s="418"/>
      <c r="I563" s="415">
        <f t="shared" si="153"/>
        <v>14122.82</v>
      </c>
      <c r="J563" s="442">
        <f t="shared" si="154"/>
        <v>0.04</v>
      </c>
      <c r="K563" s="418">
        <f>ROUND((G563+D563)/2*J563/12,0)</f>
        <v>81</v>
      </c>
      <c r="L563" s="418">
        <f t="shared" si="155"/>
        <v>0</v>
      </c>
      <c r="M563" s="417">
        <v>0</v>
      </c>
      <c r="N563" s="408">
        <f t="shared" si="156"/>
        <v>14203.82</v>
      </c>
    </row>
    <row r="564" spans="1:15" x14ac:dyDescent="0.2">
      <c r="A564" s="410">
        <f t="shared" si="157"/>
        <v>22</v>
      </c>
      <c r="B564" s="446">
        <v>394.11</v>
      </c>
      <c r="C564" s="414" t="s">
        <v>1071</v>
      </c>
      <c r="D564" s="415">
        <f t="shared" si="151"/>
        <v>0</v>
      </c>
      <c r="E564" s="417">
        <v>0</v>
      </c>
      <c r="F564" s="417">
        <v>0</v>
      </c>
      <c r="G564" s="415">
        <f t="shared" si="152"/>
        <v>0</v>
      </c>
      <c r="H564" s="418"/>
      <c r="I564" s="415">
        <f t="shared" si="153"/>
        <v>0</v>
      </c>
      <c r="J564" s="442">
        <f t="shared" si="154"/>
        <v>0.13769999999999999</v>
      </c>
      <c r="K564" s="417">
        <v>0</v>
      </c>
      <c r="L564" s="418">
        <f t="shared" si="155"/>
        <v>0</v>
      </c>
      <c r="M564" s="417">
        <v>0</v>
      </c>
      <c r="N564" s="408">
        <f t="shared" si="156"/>
        <v>0</v>
      </c>
    </row>
    <row r="565" spans="1:15" x14ac:dyDescent="0.2">
      <c r="A565" s="410">
        <f t="shared" si="157"/>
        <v>23</v>
      </c>
      <c r="B565" s="446">
        <v>394.13</v>
      </c>
      <c r="C565" s="438" t="s">
        <v>1072</v>
      </c>
      <c r="D565" s="415">
        <f t="shared" si="151"/>
        <v>0</v>
      </c>
      <c r="E565" s="417">
        <v>0</v>
      </c>
      <c r="F565" s="417">
        <v>0</v>
      </c>
      <c r="G565" s="415">
        <f t="shared" si="152"/>
        <v>0</v>
      </c>
      <c r="H565" s="418"/>
      <c r="I565" s="415">
        <f t="shared" si="153"/>
        <v>37937.360000000001</v>
      </c>
      <c r="J565" s="442" t="str">
        <f t="shared" si="154"/>
        <v>Amort.</v>
      </c>
      <c r="K565" s="418">
        <f t="shared" ref="K565:K570" si="158">ROUND((G565+D565)/2*J565/12,0)</f>
        <v>0</v>
      </c>
      <c r="L565" s="418">
        <f t="shared" si="155"/>
        <v>0</v>
      </c>
      <c r="M565" s="417">
        <v>0</v>
      </c>
      <c r="N565" s="408">
        <f t="shared" si="156"/>
        <v>37937.360000000001</v>
      </c>
    </row>
    <row r="566" spans="1:15" x14ac:dyDescent="0.2">
      <c r="A566" s="410">
        <f t="shared" si="157"/>
        <v>24</v>
      </c>
      <c r="B566" s="446">
        <v>394.2</v>
      </c>
      <c r="C566" s="414" t="s">
        <v>1073</v>
      </c>
      <c r="D566" s="415">
        <f t="shared" si="151"/>
        <v>0</v>
      </c>
      <c r="E566" s="417">
        <v>0</v>
      </c>
      <c r="F566" s="417">
        <v>0</v>
      </c>
      <c r="G566" s="415">
        <f t="shared" si="152"/>
        <v>0</v>
      </c>
      <c r="H566" s="418"/>
      <c r="I566" s="415">
        <f t="shared" si="153"/>
        <v>185.21</v>
      </c>
      <c r="J566" s="442">
        <f t="shared" si="154"/>
        <v>0.04</v>
      </c>
      <c r="K566" s="418">
        <f t="shared" si="158"/>
        <v>0</v>
      </c>
      <c r="L566" s="418">
        <f t="shared" si="155"/>
        <v>0</v>
      </c>
      <c r="M566" s="417">
        <v>0</v>
      </c>
      <c r="N566" s="408">
        <f t="shared" si="156"/>
        <v>185.21</v>
      </c>
    </row>
    <row r="567" spans="1:15" x14ac:dyDescent="0.2">
      <c r="A567" s="410">
        <f t="shared" si="157"/>
        <v>25</v>
      </c>
      <c r="B567" s="446">
        <v>394.3</v>
      </c>
      <c r="C567" s="414" t="s">
        <v>1074</v>
      </c>
      <c r="D567" s="415">
        <f t="shared" si="151"/>
        <v>3037387.16</v>
      </c>
      <c r="E567" s="417">
        <v>85294</v>
      </c>
      <c r="F567" s="417">
        <v>-10235</v>
      </c>
      <c r="G567" s="415">
        <f t="shared" si="152"/>
        <v>3112446.16</v>
      </c>
      <c r="H567" s="418"/>
      <c r="I567" s="415">
        <f t="shared" si="153"/>
        <v>1233306.1499999999</v>
      </c>
      <c r="J567" s="442">
        <f t="shared" si="154"/>
        <v>0.04</v>
      </c>
      <c r="K567" s="418">
        <f t="shared" si="158"/>
        <v>10250</v>
      </c>
      <c r="L567" s="418">
        <f t="shared" si="155"/>
        <v>10235</v>
      </c>
      <c r="M567" s="417">
        <v>0</v>
      </c>
      <c r="N567" s="408">
        <f t="shared" si="156"/>
        <v>1233321.1499999999</v>
      </c>
    </row>
    <row r="568" spans="1:15" x14ac:dyDescent="0.2">
      <c r="A568" s="410">
        <f t="shared" si="157"/>
        <v>26</v>
      </c>
      <c r="B568" s="446">
        <v>395</v>
      </c>
      <c r="C568" s="414" t="s">
        <v>1075</v>
      </c>
      <c r="D568" s="415">
        <f t="shared" si="151"/>
        <v>9257.77</v>
      </c>
      <c r="E568" s="417">
        <v>0</v>
      </c>
      <c r="F568" s="417">
        <v>0</v>
      </c>
      <c r="G568" s="415">
        <f t="shared" si="152"/>
        <v>9257.77</v>
      </c>
      <c r="H568" s="418"/>
      <c r="I568" s="415">
        <f t="shared" si="153"/>
        <v>7295.59</v>
      </c>
      <c r="J568" s="442">
        <f t="shared" si="154"/>
        <v>0.05</v>
      </c>
      <c r="K568" s="418">
        <f t="shared" si="158"/>
        <v>39</v>
      </c>
      <c r="L568" s="418">
        <f t="shared" si="155"/>
        <v>0</v>
      </c>
      <c r="M568" s="417">
        <v>0</v>
      </c>
      <c r="N568" s="408">
        <f t="shared" si="156"/>
        <v>7334.59</v>
      </c>
    </row>
    <row r="569" spans="1:15" x14ac:dyDescent="0.2">
      <c r="A569" s="410">
        <f t="shared" si="157"/>
        <v>27</v>
      </c>
      <c r="B569" s="446">
        <v>396</v>
      </c>
      <c r="C569" s="414" t="s">
        <v>1076</v>
      </c>
      <c r="D569" s="415">
        <f t="shared" si="151"/>
        <v>253134.72</v>
      </c>
      <c r="E569" s="417">
        <v>0</v>
      </c>
      <c r="F569" s="417">
        <v>0</v>
      </c>
      <c r="G569" s="415">
        <f t="shared" si="152"/>
        <v>253134.72</v>
      </c>
      <c r="H569" s="418"/>
      <c r="I569" s="415">
        <f t="shared" si="153"/>
        <v>199321.72</v>
      </c>
      <c r="J569" s="442">
        <f t="shared" si="154"/>
        <v>0</v>
      </c>
      <c r="K569" s="418">
        <f t="shared" si="158"/>
        <v>0</v>
      </c>
      <c r="L569" s="418">
        <f t="shared" si="155"/>
        <v>0</v>
      </c>
      <c r="M569" s="417">
        <v>0</v>
      </c>
      <c r="N569" s="408">
        <f t="shared" si="156"/>
        <v>199321.72</v>
      </c>
    </row>
    <row r="570" spans="1:15" x14ac:dyDescent="0.2">
      <c r="A570" s="410">
        <f t="shared" si="157"/>
        <v>28</v>
      </c>
      <c r="B570" s="446">
        <v>398</v>
      </c>
      <c r="C570" s="414" t="s">
        <v>1077</v>
      </c>
      <c r="D570" s="421">
        <f t="shared" si="151"/>
        <v>91076.94</v>
      </c>
      <c r="E570" s="1662">
        <v>0</v>
      </c>
      <c r="F570" s="1662">
        <v>0</v>
      </c>
      <c r="G570" s="421">
        <f t="shared" si="152"/>
        <v>91076.94</v>
      </c>
      <c r="H570" s="447"/>
      <c r="I570" s="421">
        <f t="shared" si="153"/>
        <v>22235.59</v>
      </c>
      <c r="J570" s="442">
        <f t="shared" si="154"/>
        <v>6.6699999999999995E-2</v>
      </c>
      <c r="K570" s="421">
        <f t="shared" si="158"/>
        <v>506</v>
      </c>
      <c r="L570" s="421">
        <f t="shared" si="155"/>
        <v>0</v>
      </c>
      <c r="M570" s="430">
        <v>0</v>
      </c>
      <c r="N570" s="423">
        <f t="shared" si="156"/>
        <v>22741.59</v>
      </c>
    </row>
    <row r="571" spans="1:15" x14ac:dyDescent="0.2">
      <c r="A571" s="410">
        <f t="shared" si="157"/>
        <v>29</v>
      </c>
      <c r="C571" s="386" t="s">
        <v>1078</v>
      </c>
      <c r="D571" s="447">
        <f>SUM(D557:D570)</f>
        <v>5142184.2799999993</v>
      </c>
      <c r="E571" s="447">
        <f>SUM(E557:E570)</f>
        <v>85354</v>
      </c>
      <c r="F571" s="447">
        <f>SUM(F557:F570)</f>
        <v>-10242</v>
      </c>
      <c r="G571" s="447">
        <f>SUM(G557:G570)</f>
        <v>5217296.2799999993</v>
      </c>
      <c r="H571" s="447"/>
      <c r="I571" s="447">
        <f>SUM(I557:I570)</f>
        <v>2060503.27</v>
      </c>
      <c r="J571" s="424"/>
      <c r="K571" s="447">
        <f>SUM(K557:K570)</f>
        <v>28562</v>
      </c>
      <c r="L571" s="447">
        <f>SUM(L557:L570)</f>
        <v>10242</v>
      </c>
      <c r="M571" s="447">
        <f>SUM(M557:M570)</f>
        <v>0</v>
      </c>
      <c r="N571" s="447">
        <f>SUM(N557:N570)</f>
        <v>2078823.27</v>
      </c>
    </row>
    <row r="572" spans="1:15" x14ac:dyDescent="0.2">
      <c r="D572" s="418"/>
      <c r="E572" s="418"/>
      <c r="F572" s="418"/>
      <c r="G572" s="418"/>
      <c r="H572" s="418"/>
      <c r="I572" s="418"/>
      <c r="J572" s="432"/>
      <c r="K572" s="418"/>
      <c r="L572" s="418"/>
      <c r="M572" s="418"/>
    </row>
    <row r="573" spans="1:15" x14ac:dyDescent="0.2">
      <c r="A573" s="405">
        <f>A571+1</f>
        <v>30</v>
      </c>
      <c r="B573" s="448"/>
      <c r="C573" s="411" t="s">
        <v>2287</v>
      </c>
      <c r="D573" s="418"/>
      <c r="E573" s="418"/>
      <c r="F573" s="418"/>
      <c r="G573" s="418"/>
      <c r="H573" s="418"/>
      <c r="I573" s="439"/>
      <c r="J573" s="418"/>
      <c r="K573" s="418"/>
      <c r="L573" s="418"/>
      <c r="M573" s="418"/>
    </row>
    <row r="574" spans="1:15" x14ac:dyDescent="0.2">
      <c r="A574" s="1722">
        <f>A573+1</f>
        <v>31</v>
      </c>
      <c r="B574" s="446">
        <v>378.21</v>
      </c>
      <c r="C574" s="1725" t="s">
        <v>2244</v>
      </c>
      <c r="D574" s="415">
        <f>G468</f>
        <v>-777092</v>
      </c>
      <c r="E574" s="417">
        <v>0</v>
      </c>
      <c r="F574" s="417">
        <v>0</v>
      </c>
      <c r="G574" s="415">
        <f t="shared" ref="G574" si="159">SUM(D574:F574)</f>
        <v>-777092</v>
      </c>
      <c r="H574" s="418"/>
      <c r="I574" s="415">
        <f>N468</f>
        <v>-29443.529999999995</v>
      </c>
      <c r="J574" s="419" t="s">
        <v>1094</v>
      </c>
      <c r="K574" s="417">
        <v>-2158.5833333333321</v>
      </c>
      <c r="L574" s="418">
        <f t="shared" ref="L574" si="160">-F574</f>
        <v>0</v>
      </c>
      <c r="M574" s="417">
        <v>0</v>
      </c>
      <c r="N574" s="408">
        <f t="shared" ref="N574" si="161">I574+K574-L574+M574</f>
        <v>-31602.113333333327</v>
      </c>
      <c r="O574" s="408"/>
    </row>
    <row r="575" spans="1:15" x14ac:dyDescent="0.2">
      <c r="A575" s="1722"/>
      <c r="B575" s="446"/>
      <c r="C575" s="438"/>
      <c r="D575" s="415"/>
      <c r="E575" s="417"/>
      <c r="F575" s="417"/>
      <c r="G575" s="415"/>
      <c r="H575" s="418"/>
      <c r="I575" s="419"/>
      <c r="J575" s="419"/>
      <c r="K575" s="417"/>
      <c r="L575" s="418"/>
      <c r="M575" s="417"/>
      <c r="N575" s="408"/>
      <c r="O575" s="408"/>
    </row>
    <row r="576" spans="1:15" x14ac:dyDescent="0.2">
      <c r="A576" s="410">
        <f>A574+1</f>
        <v>32</v>
      </c>
      <c r="C576" s="386" t="s">
        <v>774</v>
      </c>
      <c r="D576" s="450">
        <f>D571+D554+D499+D495+D574</f>
        <v>409275742.36999989</v>
      </c>
      <c r="E576" s="450">
        <f>E571+E554+E499+E495+E574</f>
        <v>2041602</v>
      </c>
      <c r="F576" s="450">
        <f>F571+F554+F499+F495+F574</f>
        <v>-233085</v>
      </c>
      <c r="G576" s="450">
        <f>G571+G554+G499+G495+G574</f>
        <v>411084259.36999989</v>
      </c>
      <c r="H576" s="418"/>
      <c r="I576" s="450">
        <f>I571+I554+I499+I495+I574</f>
        <v>143533991.38492391</v>
      </c>
      <c r="J576" s="451"/>
      <c r="K576" s="450">
        <f>K571+K554+K499+K495+K574</f>
        <v>762670.16289764026</v>
      </c>
      <c r="L576" s="450">
        <f>L571+L554+L499+L495+L574</f>
        <v>233085</v>
      </c>
      <c r="M576" s="450">
        <f>M571+M554+M499+M495+M574</f>
        <v>-63961</v>
      </c>
      <c r="N576" s="450">
        <f>N571+N554+N499+N495+N574</f>
        <v>143999615.54782155</v>
      </c>
    </row>
    <row r="578" spans="1:14" x14ac:dyDescent="0.2">
      <c r="A578" s="2073" t="str">
        <f>co</f>
        <v>COLUMBIA GAS OF KENTUCKY, INC.</v>
      </c>
      <c r="B578" s="2073"/>
      <c r="C578" s="2073"/>
      <c r="D578" s="2073"/>
      <c r="E578" s="2073"/>
      <c r="F578" s="2073"/>
      <c r="G578" s="2073"/>
      <c r="H578" s="2073"/>
      <c r="I578" s="2073"/>
      <c r="J578" s="2073"/>
      <c r="K578" s="2073"/>
      <c r="L578" s="2073"/>
      <c r="M578" s="2073"/>
      <c r="N578" s="2073"/>
    </row>
    <row r="579" spans="1:14" x14ac:dyDescent="0.2">
      <c r="A579" s="2073" t="str">
        <f>case</f>
        <v>CASE NO. 2016 - 00162</v>
      </c>
      <c r="B579" s="2073"/>
      <c r="C579" s="2073"/>
      <c r="D579" s="2073"/>
      <c r="E579" s="2073"/>
      <c r="F579" s="2073"/>
      <c r="G579" s="2073"/>
      <c r="H579" s="2073"/>
      <c r="I579" s="2073"/>
      <c r="J579" s="2073"/>
      <c r="K579" s="2073"/>
      <c r="L579" s="2073"/>
      <c r="M579" s="2073"/>
      <c r="N579" s="2073"/>
    </row>
    <row r="580" spans="1:14" x14ac:dyDescent="0.2">
      <c r="A580" s="2074" t="s">
        <v>1106</v>
      </c>
      <c r="B580" s="2073"/>
      <c r="C580" s="2073"/>
      <c r="D580" s="2073"/>
      <c r="E580" s="2073"/>
      <c r="F580" s="2073"/>
      <c r="G580" s="2073"/>
      <c r="H580" s="2073"/>
      <c r="I580" s="2073"/>
      <c r="J580" s="2073"/>
      <c r="K580" s="2073"/>
      <c r="L580" s="2073"/>
      <c r="M580" s="2073"/>
      <c r="N580" s="2073"/>
    </row>
    <row r="581" spans="1:14" x14ac:dyDescent="0.2">
      <c r="A581" s="2078" t="s">
        <v>2142</v>
      </c>
      <c r="B581" s="2078"/>
      <c r="C581" s="2078"/>
      <c r="D581" s="2078"/>
      <c r="E581" s="2078"/>
      <c r="F581" s="2078"/>
      <c r="G581" s="2078"/>
      <c r="H581" s="2078"/>
      <c r="I581" s="2078"/>
      <c r="J581" s="2078"/>
      <c r="K581" s="2078"/>
      <c r="L581" s="2078"/>
      <c r="M581" s="2078"/>
      <c r="N581" s="2078"/>
    </row>
    <row r="583" spans="1:14" x14ac:dyDescent="0.2">
      <c r="A583" s="385" t="s">
        <v>1095</v>
      </c>
      <c r="I583" s="386"/>
      <c r="N583" s="387" t="s">
        <v>763</v>
      </c>
    </row>
    <row r="584" spans="1:14" x14ac:dyDescent="0.2">
      <c r="A584" s="388" t="s">
        <v>977</v>
      </c>
      <c r="I584" s="386"/>
      <c r="N584" s="387" t="s">
        <v>998</v>
      </c>
    </row>
    <row r="585" spans="1:14" x14ac:dyDescent="0.2">
      <c r="A585" s="390" t="s">
        <v>997</v>
      </c>
      <c r="B585" s="391"/>
      <c r="C585" s="391"/>
      <c r="D585" s="391"/>
      <c r="E585" s="391"/>
      <c r="F585" s="391"/>
      <c r="G585" s="391"/>
      <c r="H585" s="391"/>
      <c r="I585" s="392"/>
      <c r="L585" s="386"/>
      <c r="M585" s="386"/>
      <c r="N585" s="393" t="str">
        <f>SMK</f>
        <v>WITNESS:  S. M. KATKO</v>
      </c>
    </row>
    <row r="586" spans="1:14" x14ac:dyDescent="0.2">
      <c r="A586" s="390"/>
      <c r="B586" s="391"/>
      <c r="C586" s="391"/>
      <c r="D586" s="391"/>
      <c r="E586" s="391"/>
      <c r="F586" s="391"/>
      <c r="G586" s="391"/>
      <c r="H586" s="391"/>
      <c r="I586" s="392"/>
      <c r="J586" s="393"/>
      <c r="L586" s="386"/>
      <c r="M586" s="386"/>
    </row>
    <row r="587" spans="1:14" x14ac:dyDescent="0.2">
      <c r="A587" s="390"/>
      <c r="B587" s="391"/>
      <c r="C587" s="391"/>
      <c r="D587" s="2075" t="s">
        <v>1088</v>
      </c>
      <c r="E587" s="2075"/>
      <c r="F587" s="2075"/>
      <c r="G587" s="2075"/>
      <c r="H587" s="391"/>
      <c r="I587" s="2076" t="s">
        <v>1093</v>
      </c>
      <c r="J587" s="2077"/>
      <c r="K587" s="2077"/>
      <c r="L587" s="2077"/>
      <c r="M587" s="2077"/>
      <c r="N587" s="2077"/>
    </row>
    <row r="588" spans="1:14" x14ac:dyDescent="0.2">
      <c r="A588" s="394"/>
      <c r="B588" s="391"/>
      <c r="C588" s="391"/>
      <c r="D588" s="396" t="s">
        <v>1084</v>
      </c>
      <c r="E588" s="391"/>
      <c r="F588" s="391"/>
      <c r="G588" s="395"/>
      <c r="H588" s="395"/>
      <c r="I588" s="397" t="s">
        <v>1089</v>
      </c>
      <c r="J588" s="396"/>
      <c r="M588" s="386"/>
    </row>
    <row r="589" spans="1:14" x14ac:dyDescent="0.2">
      <c r="A589" s="383"/>
      <c r="D589" s="397" t="s">
        <v>865</v>
      </c>
      <c r="G589" s="397" t="s">
        <v>867</v>
      </c>
      <c r="H589" s="398"/>
      <c r="I589" s="397" t="s">
        <v>865</v>
      </c>
      <c r="J589" s="397" t="s">
        <v>956</v>
      </c>
      <c r="M589" s="386"/>
      <c r="N589" s="397" t="s">
        <v>867</v>
      </c>
    </row>
    <row r="590" spans="1:14" x14ac:dyDescent="0.2">
      <c r="A590" s="397" t="s">
        <v>1080</v>
      </c>
      <c r="B590" s="397" t="s">
        <v>1082</v>
      </c>
      <c r="D590" s="397" t="s">
        <v>867</v>
      </c>
      <c r="G590" s="399" t="s">
        <v>1087</v>
      </c>
      <c r="H590" s="398"/>
      <c r="I590" s="399" t="s">
        <v>867</v>
      </c>
      <c r="J590" s="397" t="s">
        <v>1090</v>
      </c>
      <c r="K590" s="397" t="s">
        <v>956</v>
      </c>
      <c r="M590" s="399" t="s">
        <v>1092</v>
      </c>
      <c r="N590" s="399" t="s">
        <v>1087</v>
      </c>
    </row>
    <row r="591" spans="1:14" x14ac:dyDescent="0.2">
      <c r="A591" s="400" t="s">
        <v>1081</v>
      </c>
      <c r="B591" s="400" t="s">
        <v>1081</v>
      </c>
      <c r="C591" s="401" t="s">
        <v>1083</v>
      </c>
      <c r="D591" s="409" t="str">
        <f>"07/31/2016"</f>
        <v>07/31/2016</v>
      </c>
      <c r="E591" s="400" t="s">
        <v>1085</v>
      </c>
      <c r="F591" s="400" t="s">
        <v>1086</v>
      </c>
      <c r="G591" s="409" t="str">
        <f>"08/31/2016"</f>
        <v>08/31/2016</v>
      </c>
      <c r="H591" s="398"/>
      <c r="I591" s="404" t="str">
        <f>D591</f>
        <v>07/31/2016</v>
      </c>
      <c r="J591" s="400" t="s">
        <v>1091</v>
      </c>
      <c r="K591" s="402" t="s">
        <v>1090</v>
      </c>
      <c r="L591" s="402" t="s">
        <v>1086</v>
      </c>
      <c r="M591" s="402" t="s">
        <v>955</v>
      </c>
      <c r="N591" s="404" t="str">
        <f>G591</f>
        <v>08/31/2016</v>
      </c>
    </row>
    <row r="592" spans="1:14" x14ac:dyDescent="0.2">
      <c r="A592" s="406"/>
      <c r="B592" s="406"/>
      <c r="C592" s="406"/>
      <c r="D592" s="406" t="str">
        <f>"(1)"</f>
        <v>(1)</v>
      </c>
      <c r="E592" s="406" t="str">
        <f>"(2)"</f>
        <v>(2)</v>
      </c>
      <c r="F592" s="406" t="str">
        <f>"(3)"</f>
        <v>(3)</v>
      </c>
      <c r="G592" s="406" t="str">
        <f>"(4)=(1+2+3)"</f>
        <v>(4)=(1+2+3)</v>
      </c>
      <c r="H592" s="406"/>
      <c r="I592" s="406" t="str">
        <f>"(5)"</f>
        <v>(5)</v>
      </c>
      <c r="J592" s="406" t="str">
        <f>"(6)"</f>
        <v>(6)</v>
      </c>
      <c r="K592" s="406" t="str">
        <f>"(7)=((1+4)/2*6/12))"</f>
        <v>(7)=((1+4)/2*6/12))</v>
      </c>
      <c r="L592" s="406" t="str">
        <f>"(8)"</f>
        <v>(8)</v>
      </c>
      <c r="M592" s="406" t="str">
        <f>"(9)"</f>
        <v>(9)</v>
      </c>
      <c r="N592" s="406" t="str">
        <f>"(10)=(5+7-8+9)"</f>
        <v>(10)=(5+7-8+9)</v>
      </c>
    </row>
    <row r="593" spans="1:14" x14ac:dyDescent="0.2">
      <c r="D593" s="410" t="s">
        <v>639</v>
      </c>
      <c r="E593" s="410" t="s">
        <v>639</v>
      </c>
      <c r="F593" s="410" t="s">
        <v>639</v>
      </c>
      <c r="G593" s="410" t="s">
        <v>639</v>
      </c>
      <c r="H593" s="410"/>
      <c r="I593" s="410" t="s">
        <v>639</v>
      </c>
      <c r="J593" s="410" t="s">
        <v>639</v>
      </c>
      <c r="K593" s="410" t="s">
        <v>639</v>
      </c>
      <c r="L593" s="410" t="s">
        <v>639</v>
      </c>
      <c r="M593" s="410" t="s">
        <v>639</v>
      </c>
      <c r="N593" s="410" t="s">
        <v>639</v>
      </c>
    </row>
    <row r="594" spans="1:14" x14ac:dyDescent="0.2">
      <c r="A594" s="410">
        <v>1</v>
      </c>
      <c r="B594" s="411" t="s">
        <v>1025</v>
      </c>
      <c r="C594" s="412"/>
      <c r="M594" s="386"/>
    </row>
    <row r="595" spans="1:14" x14ac:dyDescent="0.2">
      <c r="A595" s="410">
        <f>A594+1</f>
        <v>2</v>
      </c>
      <c r="C595" s="411" t="s">
        <v>697</v>
      </c>
      <c r="M595" s="386"/>
    </row>
    <row r="596" spans="1:14" x14ac:dyDescent="0.2">
      <c r="A596" s="410">
        <f t="shared" ref="A596:A601" si="162">A595+1</f>
        <v>3</v>
      </c>
      <c r="B596" s="413">
        <v>301</v>
      </c>
      <c r="C596" s="414" t="s">
        <v>1026</v>
      </c>
      <c r="D596" s="415">
        <f>G490</f>
        <v>521.20000000000005</v>
      </c>
      <c r="E596" s="417">
        <v>0</v>
      </c>
      <c r="F596" s="417">
        <v>0</v>
      </c>
      <c r="G596" s="415">
        <f>SUM(D596:F596)</f>
        <v>521.20000000000005</v>
      </c>
      <c r="H596" s="418"/>
      <c r="I596" s="415">
        <f>N490</f>
        <v>0</v>
      </c>
      <c r="J596" s="419" t="s">
        <v>1094</v>
      </c>
      <c r="K596" s="417">
        <v>0</v>
      </c>
      <c r="L596" s="418">
        <f>-F596</f>
        <v>0</v>
      </c>
      <c r="M596" s="417">
        <v>0</v>
      </c>
      <c r="N596" s="408">
        <f>I596+K596-L596+M596</f>
        <v>0</v>
      </c>
    </row>
    <row r="597" spans="1:14" x14ac:dyDescent="0.2">
      <c r="A597" s="410">
        <f t="shared" si="162"/>
        <v>4</v>
      </c>
      <c r="B597" s="413">
        <v>303</v>
      </c>
      <c r="C597" s="414" t="s">
        <v>1027</v>
      </c>
      <c r="D597" s="415">
        <f>G491</f>
        <v>74347.509999999995</v>
      </c>
      <c r="E597" s="417">
        <v>0</v>
      </c>
      <c r="F597" s="417">
        <v>0</v>
      </c>
      <c r="G597" s="415">
        <f>SUM(D597:F597)</f>
        <v>74347.509999999995</v>
      </c>
      <c r="H597" s="418"/>
      <c r="I597" s="415">
        <f>N491</f>
        <v>46832.029999999984</v>
      </c>
      <c r="J597" s="419" t="s">
        <v>1094</v>
      </c>
      <c r="K597" s="415">
        <f>'Intangible Amort.'!M$20</f>
        <v>206.52</v>
      </c>
      <c r="L597" s="418">
        <f>-F597</f>
        <v>0</v>
      </c>
      <c r="M597" s="417">
        <v>0</v>
      </c>
      <c r="N597" s="408">
        <f>I597+K597-L597+M597</f>
        <v>47038.549999999981</v>
      </c>
    </row>
    <row r="598" spans="1:14" x14ac:dyDescent="0.2">
      <c r="A598" s="410">
        <f t="shared" si="162"/>
        <v>5</v>
      </c>
      <c r="B598" s="413">
        <v>303.10000000000002</v>
      </c>
      <c r="C598" s="414" t="s">
        <v>1028</v>
      </c>
      <c r="D598" s="415">
        <f>G492</f>
        <v>0</v>
      </c>
      <c r="E598" s="417">
        <v>0</v>
      </c>
      <c r="F598" s="417">
        <v>0</v>
      </c>
      <c r="G598" s="415">
        <f>SUM(D598:F598)</f>
        <v>0</v>
      </c>
      <c r="H598" s="418"/>
      <c r="I598" s="415">
        <f>N492</f>
        <v>0</v>
      </c>
      <c r="J598" s="419" t="s">
        <v>1094</v>
      </c>
      <c r="K598" s="417">
        <v>0</v>
      </c>
      <c r="L598" s="418">
        <f>-F598</f>
        <v>0</v>
      </c>
      <c r="M598" s="417">
        <v>0</v>
      </c>
      <c r="N598" s="408">
        <f>I598+K598-L598+M598</f>
        <v>0</v>
      </c>
    </row>
    <row r="599" spans="1:14" x14ac:dyDescent="0.2">
      <c r="A599" s="410">
        <f t="shared" si="162"/>
        <v>6</v>
      </c>
      <c r="B599" s="413">
        <v>303.2</v>
      </c>
      <c r="C599" s="414" t="s">
        <v>1029</v>
      </c>
      <c r="D599" s="415">
        <f>G493</f>
        <v>0</v>
      </c>
      <c r="E599" s="417">
        <v>0</v>
      </c>
      <c r="F599" s="417">
        <v>0</v>
      </c>
      <c r="G599" s="415">
        <f>SUM(D599:F599)</f>
        <v>0</v>
      </c>
      <c r="H599" s="418"/>
      <c r="I599" s="415">
        <f>N493</f>
        <v>0</v>
      </c>
      <c r="J599" s="419" t="s">
        <v>1094</v>
      </c>
      <c r="K599" s="417">
        <v>0</v>
      </c>
      <c r="L599" s="418">
        <f>-F599</f>
        <v>0</v>
      </c>
      <c r="M599" s="417">
        <v>0</v>
      </c>
      <c r="N599" s="408">
        <f>I599+K599-L599+M599</f>
        <v>0</v>
      </c>
    </row>
    <row r="600" spans="1:14" x14ac:dyDescent="0.2">
      <c r="A600" s="410">
        <f t="shared" si="162"/>
        <v>7</v>
      </c>
      <c r="B600" s="413">
        <v>303.3</v>
      </c>
      <c r="C600" s="414" t="s">
        <v>1030</v>
      </c>
      <c r="D600" s="421">
        <f>G494</f>
        <v>5820092</v>
      </c>
      <c r="E600" s="422">
        <v>202119</v>
      </c>
      <c r="F600" s="422">
        <v>0</v>
      </c>
      <c r="G600" s="421">
        <f>SUM(D600:F600)</f>
        <v>6022211</v>
      </c>
      <c r="H600" s="418"/>
      <c r="I600" s="421">
        <f>N494</f>
        <v>2496746.3337864466</v>
      </c>
      <c r="J600" s="419" t="s">
        <v>1094</v>
      </c>
      <c r="K600" s="421">
        <f>'Intangible Amort.'!M$93</f>
        <v>75658.17675728933</v>
      </c>
      <c r="L600" s="421">
        <f>-F600</f>
        <v>0</v>
      </c>
      <c r="M600" s="422">
        <v>0</v>
      </c>
      <c r="N600" s="423">
        <f>I600+K600-L600+M600</f>
        <v>2572404.5105437357</v>
      </c>
    </row>
    <row r="601" spans="1:14" x14ac:dyDescent="0.2">
      <c r="A601" s="410">
        <f t="shared" si="162"/>
        <v>8</v>
      </c>
      <c r="B601" s="413"/>
      <c r="C601" s="414" t="s">
        <v>1031</v>
      </c>
      <c r="D601" s="418">
        <f>SUM(D596:D600)</f>
        <v>5894960.71</v>
      </c>
      <c r="E601" s="418">
        <f>SUM(E596:E600)</f>
        <v>202119</v>
      </c>
      <c r="F601" s="418">
        <f>SUM(F596:F600)</f>
        <v>0</v>
      </c>
      <c r="G601" s="418">
        <f>SUM(G596:G600)</f>
        <v>6097079.71</v>
      </c>
      <c r="H601" s="418"/>
      <c r="I601" s="418">
        <f>SUM(I596:I600)</f>
        <v>2543578.3637864464</v>
      </c>
      <c r="J601" s="424"/>
      <c r="K601" s="418">
        <f>SUM(K596:K600)</f>
        <v>75864.696757289334</v>
      </c>
      <c r="L601" s="418">
        <f>SUM(L596:L600)</f>
        <v>0</v>
      </c>
      <c r="M601" s="418">
        <f>SUM(M596:M600)</f>
        <v>0</v>
      </c>
      <c r="N601" s="418">
        <f>SUM(N596:N600)</f>
        <v>2619443.0605437355</v>
      </c>
    </row>
    <row r="602" spans="1:14" x14ac:dyDescent="0.2">
      <c r="B602" s="425"/>
      <c r="D602" s="418"/>
      <c r="E602" s="418"/>
      <c r="F602" s="418"/>
      <c r="G602" s="418"/>
      <c r="H602" s="418"/>
      <c r="I602" s="418"/>
      <c r="J602" s="424"/>
      <c r="K602" s="418"/>
      <c r="L602" s="418"/>
      <c r="M602" s="418"/>
    </row>
    <row r="603" spans="1:14" x14ac:dyDescent="0.2">
      <c r="A603" s="410">
        <f>A601+1</f>
        <v>9</v>
      </c>
      <c r="B603" s="425"/>
      <c r="C603" s="411" t="s">
        <v>704</v>
      </c>
      <c r="D603" s="418"/>
      <c r="E603" s="418"/>
      <c r="F603" s="418"/>
      <c r="G603" s="418"/>
      <c r="H603" s="418"/>
      <c r="I603" s="418"/>
      <c r="J603" s="424"/>
      <c r="K603" s="418"/>
      <c r="L603" s="418"/>
      <c r="M603" s="418"/>
    </row>
    <row r="604" spans="1:14" x14ac:dyDescent="0.2">
      <c r="A604" s="410">
        <f>A603+1</f>
        <v>10</v>
      </c>
      <c r="B604" s="426">
        <v>304.10000000000002</v>
      </c>
      <c r="C604" s="427" t="s">
        <v>1032</v>
      </c>
      <c r="D604" s="421">
        <f>G498</f>
        <v>0</v>
      </c>
      <c r="E604" s="1662">
        <v>0</v>
      </c>
      <c r="F604" s="1662">
        <v>0</v>
      </c>
      <c r="G604" s="421">
        <f>SUM(D604:F604)</f>
        <v>0</v>
      </c>
      <c r="H604" s="418"/>
      <c r="I604" s="421">
        <f>N498</f>
        <v>0</v>
      </c>
      <c r="J604" s="429" t="s">
        <v>1102</v>
      </c>
      <c r="K604" s="430">
        <v>0</v>
      </c>
      <c r="L604" s="421">
        <f>-F604</f>
        <v>0</v>
      </c>
      <c r="M604" s="422">
        <v>0</v>
      </c>
      <c r="N604" s="423">
        <f>I604+K604-L604+M604</f>
        <v>0</v>
      </c>
    </row>
    <row r="605" spans="1:14" x14ac:dyDescent="0.2">
      <c r="A605" s="410">
        <f>A604+1</f>
        <v>11</v>
      </c>
      <c r="B605" s="426"/>
      <c r="C605" s="431" t="s">
        <v>1079</v>
      </c>
      <c r="D605" s="418">
        <f>D604</f>
        <v>0</v>
      </c>
      <c r="E605" s="418">
        <f>E604</f>
        <v>0</v>
      </c>
      <c r="F605" s="418">
        <f>F604</f>
        <v>0</v>
      </c>
      <c r="G605" s="418">
        <f>G604</f>
        <v>0</v>
      </c>
      <c r="H605" s="418"/>
      <c r="I605" s="418">
        <f>I604</f>
        <v>0</v>
      </c>
      <c r="J605" s="432"/>
      <c r="K605" s="418">
        <f>SUM(K604)</f>
        <v>0</v>
      </c>
      <c r="L605" s="418">
        <f>SUM(L604)</f>
        <v>0</v>
      </c>
      <c r="M605" s="418">
        <f>M604</f>
        <v>0</v>
      </c>
      <c r="N605" s="418">
        <f>N604</f>
        <v>0</v>
      </c>
    </row>
    <row r="606" spans="1:14" x14ac:dyDescent="0.2">
      <c r="B606" s="425"/>
      <c r="D606" s="418"/>
      <c r="E606" s="418"/>
      <c r="F606" s="418"/>
      <c r="G606" s="418"/>
      <c r="H606" s="418"/>
      <c r="I606" s="418"/>
      <c r="J606" s="432"/>
      <c r="K606" s="418"/>
      <c r="L606" s="418"/>
      <c r="M606" s="418"/>
    </row>
    <row r="607" spans="1:14" x14ac:dyDescent="0.2">
      <c r="A607" s="410">
        <f>A605+1</f>
        <v>12</v>
      </c>
      <c r="B607" s="425"/>
      <c r="C607" s="411" t="s">
        <v>707</v>
      </c>
      <c r="D607" s="418"/>
      <c r="E607" s="418"/>
      <c r="F607" s="418"/>
      <c r="G607" s="418"/>
      <c r="H607" s="418"/>
      <c r="I607" s="418"/>
      <c r="J607" s="432"/>
      <c r="K607" s="418"/>
      <c r="L607" s="418"/>
      <c r="M607" s="418"/>
    </row>
    <row r="608" spans="1:14" x14ac:dyDescent="0.2">
      <c r="A608" s="410">
        <f>A607+1</f>
        <v>13</v>
      </c>
      <c r="B608" s="413">
        <v>374.1</v>
      </c>
      <c r="C608" s="414" t="s">
        <v>1035</v>
      </c>
      <c r="D608" s="415">
        <f t="shared" ref="D608:D618" si="163">G502</f>
        <v>206</v>
      </c>
      <c r="E608" s="417">
        <v>0</v>
      </c>
      <c r="F608" s="417">
        <v>0</v>
      </c>
      <c r="G608" s="415">
        <f>SUM(D608:F608)</f>
        <v>206</v>
      </c>
      <c r="H608" s="418"/>
      <c r="I608" s="415">
        <f t="shared" ref="I608:I618" si="164">N502</f>
        <v>0</v>
      </c>
      <c r="J608" s="442" t="str">
        <f t="shared" ref="J608:J618" si="165">J502</f>
        <v>Non-Dep.</v>
      </c>
      <c r="K608" s="417">
        <v>0</v>
      </c>
      <c r="L608" s="418">
        <f t="shared" ref="L608:L618" si="166">-F608</f>
        <v>0</v>
      </c>
      <c r="M608" s="417">
        <v>0</v>
      </c>
      <c r="N608" s="408">
        <f t="shared" ref="N608:N618" si="167">I608+K608-L608+M608</f>
        <v>0</v>
      </c>
    </row>
    <row r="609" spans="1:14" x14ac:dyDescent="0.2">
      <c r="A609" s="410">
        <f t="shared" ref="A609:A629" si="168">A608+1</f>
        <v>14</v>
      </c>
      <c r="B609" s="413">
        <v>374.2</v>
      </c>
      <c r="C609" s="414" t="s">
        <v>1036</v>
      </c>
      <c r="D609" s="415">
        <f t="shared" si="163"/>
        <v>877756.18</v>
      </c>
      <c r="E609" s="417">
        <v>0</v>
      </c>
      <c r="F609" s="417">
        <v>0</v>
      </c>
      <c r="G609" s="415">
        <f t="shared" ref="G609:G618" si="169">SUM(D609:F609)</f>
        <v>877756.18</v>
      </c>
      <c r="H609" s="418"/>
      <c r="I609" s="415">
        <f t="shared" si="164"/>
        <v>-523.13</v>
      </c>
      <c r="J609" s="442" t="str">
        <f t="shared" si="165"/>
        <v>Non-Dep.</v>
      </c>
      <c r="K609" s="417">
        <v>0</v>
      </c>
      <c r="L609" s="418">
        <f t="shared" si="166"/>
        <v>0</v>
      </c>
      <c r="M609" s="417">
        <v>0</v>
      </c>
      <c r="N609" s="408">
        <f t="shared" si="167"/>
        <v>-523.13</v>
      </c>
    </row>
    <row r="610" spans="1:14" x14ac:dyDescent="0.2">
      <c r="A610" s="410">
        <f t="shared" si="168"/>
        <v>15</v>
      </c>
      <c r="B610" s="413">
        <v>374.4</v>
      </c>
      <c r="C610" s="414" t="s">
        <v>1037</v>
      </c>
      <c r="D610" s="415">
        <f t="shared" si="163"/>
        <v>661305.66</v>
      </c>
      <c r="E610" s="417">
        <v>0</v>
      </c>
      <c r="F610" s="417">
        <v>0</v>
      </c>
      <c r="G610" s="415">
        <f t="shared" si="169"/>
        <v>661305.66</v>
      </c>
      <c r="H610" s="418"/>
      <c r="I610" s="415">
        <f t="shared" si="164"/>
        <v>174668.36</v>
      </c>
      <c r="J610" s="442">
        <f t="shared" si="165"/>
        <v>1.5299999999999999E-2</v>
      </c>
      <c r="K610" s="418">
        <f>ROUND((G610+D610)/2*J610/12,0)</f>
        <v>843</v>
      </c>
      <c r="L610" s="418">
        <f t="shared" si="166"/>
        <v>0</v>
      </c>
      <c r="M610" s="417">
        <v>0</v>
      </c>
      <c r="N610" s="408">
        <f t="shared" si="167"/>
        <v>175511.36</v>
      </c>
    </row>
    <row r="611" spans="1:14" x14ac:dyDescent="0.2">
      <c r="A611" s="410">
        <f t="shared" si="168"/>
        <v>16</v>
      </c>
      <c r="B611" s="413">
        <v>374.5</v>
      </c>
      <c r="C611" s="414" t="s">
        <v>1038</v>
      </c>
      <c r="D611" s="415">
        <f t="shared" si="163"/>
        <v>2696472.55</v>
      </c>
      <c r="E611" s="417">
        <v>1659</v>
      </c>
      <c r="F611" s="417">
        <v>-199</v>
      </c>
      <c r="G611" s="415">
        <f t="shared" si="169"/>
        <v>2697932.55</v>
      </c>
      <c r="H611" s="418"/>
      <c r="I611" s="415">
        <f t="shared" si="164"/>
        <v>916097.23</v>
      </c>
      <c r="J611" s="442">
        <f t="shared" si="165"/>
        <v>1.2200000000000001E-2</v>
      </c>
      <c r="K611" s="418">
        <f t="shared" ref="K611:K616" si="170">ROUND((G611+D611)/2*J611/12,0)</f>
        <v>2742</v>
      </c>
      <c r="L611" s="418">
        <f t="shared" si="166"/>
        <v>199</v>
      </c>
      <c r="M611" s="417">
        <v>0</v>
      </c>
      <c r="N611" s="408">
        <f t="shared" si="167"/>
        <v>918640.23</v>
      </c>
    </row>
    <row r="612" spans="1:14" x14ac:dyDescent="0.2">
      <c r="A612" s="410">
        <f t="shared" si="168"/>
        <v>17</v>
      </c>
      <c r="B612" s="413">
        <v>375.2</v>
      </c>
      <c r="C612" s="414" t="s">
        <v>1039</v>
      </c>
      <c r="D612" s="415">
        <f t="shared" si="163"/>
        <v>2124.98</v>
      </c>
      <c r="E612" s="417">
        <v>0</v>
      </c>
      <c r="F612" s="417">
        <v>0</v>
      </c>
      <c r="G612" s="415">
        <f t="shared" si="169"/>
        <v>2124.98</v>
      </c>
      <c r="H612" s="418"/>
      <c r="I612" s="415">
        <f t="shared" si="164"/>
        <v>2012.32</v>
      </c>
      <c r="J612" s="442">
        <f t="shared" si="165"/>
        <v>1.9599999999999999E-2</v>
      </c>
      <c r="K612" s="418">
        <f t="shared" si="170"/>
        <v>3</v>
      </c>
      <c r="L612" s="418">
        <f t="shared" si="166"/>
        <v>0</v>
      </c>
      <c r="M612" s="417">
        <v>0</v>
      </c>
      <c r="N612" s="408">
        <f t="shared" si="167"/>
        <v>2015.32</v>
      </c>
    </row>
    <row r="613" spans="1:14" x14ac:dyDescent="0.2">
      <c r="A613" s="410">
        <f t="shared" si="168"/>
        <v>18</v>
      </c>
      <c r="B613" s="413">
        <v>375.3</v>
      </c>
      <c r="C613" s="414" t="s">
        <v>1040</v>
      </c>
      <c r="D613" s="415">
        <f t="shared" si="163"/>
        <v>0</v>
      </c>
      <c r="E613" s="417">
        <v>0</v>
      </c>
      <c r="F613" s="417">
        <v>0</v>
      </c>
      <c r="G613" s="415">
        <f t="shared" si="169"/>
        <v>0</v>
      </c>
      <c r="H613" s="418"/>
      <c r="I613" s="415">
        <f t="shared" si="164"/>
        <v>-77.66</v>
      </c>
      <c r="J613" s="442">
        <f t="shared" si="165"/>
        <v>1.9599999999999999E-2</v>
      </c>
      <c r="K613" s="418">
        <f t="shared" si="170"/>
        <v>0</v>
      </c>
      <c r="L613" s="418">
        <f t="shared" si="166"/>
        <v>0</v>
      </c>
      <c r="M613" s="417">
        <v>0</v>
      </c>
      <c r="N613" s="408">
        <f t="shared" si="167"/>
        <v>-77.66</v>
      </c>
    </row>
    <row r="614" spans="1:14" x14ac:dyDescent="0.2">
      <c r="A614" s="410">
        <f t="shared" si="168"/>
        <v>19</v>
      </c>
      <c r="B614" s="413">
        <v>375.4</v>
      </c>
      <c r="C614" s="414" t="s">
        <v>1041</v>
      </c>
      <c r="D614" s="415">
        <f t="shared" si="163"/>
        <v>1877190.02</v>
      </c>
      <c r="E614" s="417">
        <v>50282</v>
      </c>
      <c r="F614" s="417">
        <v>-6034</v>
      </c>
      <c r="G614" s="415">
        <f t="shared" si="169"/>
        <v>1921438.02</v>
      </c>
      <c r="H614" s="418"/>
      <c r="I614" s="415">
        <f t="shared" si="164"/>
        <v>500900.37</v>
      </c>
      <c r="J614" s="442">
        <f t="shared" si="165"/>
        <v>1.9599999999999999E-2</v>
      </c>
      <c r="K614" s="418">
        <f t="shared" si="170"/>
        <v>3102</v>
      </c>
      <c r="L614" s="418">
        <f t="shared" si="166"/>
        <v>6034</v>
      </c>
      <c r="M614" s="417">
        <v>-603</v>
      </c>
      <c r="N614" s="408">
        <f t="shared" si="167"/>
        <v>497365.37</v>
      </c>
    </row>
    <row r="615" spans="1:14" x14ac:dyDescent="0.2">
      <c r="A615" s="410">
        <f t="shared" si="168"/>
        <v>20</v>
      </c>
      <c r="B615" s="413">
        <v>375.6</v>
      </c>
      <c r="C615" s="414" t="s">
        <v>1042</v>
      </c>
      <c r="D615" s="415">
        <f t="shared" si="163"/>
        <v>0</v>
      </c>
      <c r="E615" s="417">
        <v>0</v>
      </c>
      <c r="F615" s="417">
        <v>0</v>
      </c>
      <c r="G615" s="415">
        <f t="shared" si="169"/>
        <v>0</v>
      </c>
      <c r="H615" s="418"/>
      <c r="I615" s="415">
        <f t="shared" si="164"/>
        <v>0.02</v>
      </c>
      <c r="J615" s="442">
        <f t="shared" si="165"/>
        <v>1.9599999999999999E-2</v>
      </c>
      <c r="K615" s="418">
        <f t="shared" si="170"/>
        <v>0</v>
      </c>
      <c r="L615" s="418">
        <f t="shared" si="166"/>
        <v>0</v>
      </c>
      <c r="M615" s="417">
        <v>0</v>
      </c>
      <c r="N615" s="408">
        <f t="shared" si="167"/>
        <v>0.02</v>
      </c>
    </row>
    <row r="616" spans="1:14" x14ac:dyDescent="0.2">
      <c r="A616" s="410">
        <f t="shared" si="168"/>
        <v>21</v>
      </c>
      <c r="B616" s="413">
        <v>375.7</v>
      </c>
      <c r="C616" s="414" t="s">
        <v>1043</v>
      </c>
      <c r="D616" s="415">
        <f t="shared" si="163"/>
        <v>7993305.21</v>
      </c>
      <c r="E616" s="417">
        <v>59601</v>
      </c>
      <c r="F616" s="417">
        <v>-7152</v>
      </c>
      <c r="G616" s="415">
        <f t="shared" si="169"/>
        <v>8045754.21</v>
      </c>
      <c r="H616" s="418"/>
      <c r="I616" s="415">
        <f t="shared" si="164"/>
        <v>3284593.06</v>
      </c>
      <c r="J616" s="442">
        <f t="shared" si="165"/>
        <v>1.9900000000000001E-2</v>
      </c>
      <c r="K616" s="418">
        <f t="shared" si="170"/>
        <v>13299</v>
      </c>
      <c r="L616" s="418">
        <f t="shared" si="166"/>
        <v>7152</v>
      </c>
      <c r="M616" s="417">
        <v>0</v>
      </c>
      <c r="N616" s="408">
        <f t="shared" si="167"/>
        <v>3290740.06</v>
      </c>
    </row>
    <row r="617" spans="1:14" x14ac:dyDescent="0.2">
      <c r="A617" s="410">
        <f t="shared" si="168"/>
        <v>22</v>
      </c>
      <c r="B617" s="413">
        <v>375.71</v>
      </c>
      <c r="C617" s="414" t="s">
        <v>1044</v>
      </c>
      <c r="D617" s="415">
        <f t="shared" si="163"/>
        <v>259808.94</v>
      </c>
      <c r="E617" s="417">
        <v>0</v>
      </c>
      <c r="F617" s="417">
        <v>0</v>
      </c>
      <c r="G617" s="415">
        <f t="shared" si="169"/>
        <v>259808.94</v>
      </c>
      <c r="H617" s="418"/>
      <c r="I617" s="415">
        <f t="shared" si="164"/>
        <v>168925.30736842111</v>
      </c>
      <c r="J617" s="442" t="str">
        <f t="shared" si="165"/>
        <v>Amort.</v>
      </c>
      <c r="K617" s="417">
        <f>104653.88/38</f>
        <v>2754.0494736842106</v>
      </c>
      <c r="L617" s="418">
        <f t="shared" si="166"/>
        <v>0</v>
      </c>
      <c r="M617" s="417">
        <v>0</v>
      </c>
      <c r="N617" s="408">
        <f t="shared" si="167"/>
        <v>171679.35684210534</v>
      </c>
    </row>
    <row r="618" spans="1:14" x14ac:dyDescent="0.2">
      <c r="A618" s="410">
        <f t="shared" si="168"/>
        <v>23</v>
      </c>
      <c r="B618" s="413">
        <v>375.8</v>
      </c>
      <c r="C618" s="414" t="s">
        <v>1045</v>
      </c>
      <c r="D618" s="415">
        <f t="shared" si="163"/>
        <v>0</v>
      </c>
      <c r="E618" s="417">
        <v>0</v>
      </c>
      <c r="F618" s="417">
        <v>0</v>
      </c>
      <c r="G618" s="415">
        <f t="shared" si="169"/>
        <v>0</v>
      </c>
      <c r="H618" s="418"/>
      <c r="I618" s="415">
        <f t="shared" si="164"/>
        <v>0</v>
      </c>
      <c r="J618" s="442">
        <f t="shared" si="165"/>
        <v>5.3199999999999997E-2</v>
      </c>
      <c r="K618" s="417">
        <v>0</v>
      </c>
      <c r="L618" s="418">
        <f t="shared" si="166"/>
        <v>0</v>
      </c>
      <c r="M618" s="417">
        <v>0</v>
      </c>
      <c r="N618" s="408">
        <f t="shared" si="167"/>
        <v>0</v>
      </c>
    </row>
    <row r="619" spans="1:14" x14ac:dyDescent="0.2">
      <c r="A619" s="410">
        <f>A618+1</f>
        <v>24</v>
      </c>
      <c r="B619" s="413">
        <v>376</v>
      </c>
      <c r="C619" s="438" t="s">
        <v>1096</v>
      </c>
      <c r="D619" s="415"/>
      <c r="E619" s="417"/>
      <c r="F619" s="417"/>
      <c r="G619" s="415"/>
      <c r="H619" s="418"/>
      <c r="I619" s="439"/>
      <c r="J619" s="432"/>
      <c r="K619" s="418"/>
      <c r="L619" s="418"/>
      <c r="M619" s="417"/>
    </row>
    <row r="620" spans="1:14" x14ac:dyDescent="0.2">
      <c r="A620" s="410"/>
      <c r="B620" s="413"/>
      <c r="C620" s="440" t="s">
        <v>1097</v>
      </c>
      <c r="D620" s="415"/>
      <c r="E620" s="417"/>
      <c r="F620" s="417"/>
      <c r="G620" s="415"/>
      <c r="H620" s="418"/>
      <c r="I620" s="415"/>
      <c r="J620" s="442"/>
      <c r="K620" s="418"/>
      <c r="L620" s="418"/>
      <c r="M620" s="417"/>
      <c r="N620" s="408"/>
    </row>
    <row r="621" spans="1:14" x14ac:dyDescent="0.2">
      <c r="A621" s="410"/>
      <c r="B621" s="413"/>
      <c r="C621" s="440" t="s">
        <v>1098</v>
      </c>
      <c r="D621" s="415"/>
      <c r="E621" s="417"/>
      <c r="F621" s="417"/>
      <c r="G621" s="415"/>
      <c r="H621" s="418"/>
      <c r="I621" s="415"/>
      <c r="J621" s="442"/>
      <c r="K621" s="418"/>
      <c r="L621" s="418"/>
      <c r="M621" s="417"/>
      <c r="N621" s="408"/>
    </row>
    <row r="622" spans="1:14" x14ac:dyDescent="0.2">
      <c r="A622" s="410"/>
      <c r="B622" s="413"/>
      <c r="C622" s="440" t="s">
        <v>1099</v>
      </c>
      <c r="D622" s="415"/>
      <c r="E622" s="417"/>
      <c r="F622" s="417"/>
      <c r="G622" s="415"/>
      <c r="H622" s="418"/>
      <c r="I622" s="415"/>
      <c r="J622" s="442"/>
      <c r="K622" s="418"/>
      <c r="L622" s="418"/>
      <c r="M622" s="417"/>
      <c r="N622" s="408"/>
    </row>
    <row r="623" spans="1:14" x14ac:dyDescent="0.2">
      <c r="A623" s="410"/>
      <c r="B623" s="413"/>
      <c r="C623" s="440" t="s">
        <v>1100</v>
      </c>
      <c r="D623" s="415"/>
      <c r="E623" s="417"/>
      <c r="F623" s="417"/>
      <c r="G623" s="415"/>
      <c r="H623" s="418"/>
      <c r="I623" s="415"/>
      <c r="J623" s="442"/>
      <c r="K623" s="418"/>
      <c r="L623" s="418"/>
      <c r="M623" s="417"/>
      <c r="N623" s="408"/>
    </row>
    <row r="624" spans="1:14" x14ac:dyDescent="0.2">
      <c r="A624" s="410"/>
      <c r="B624" s="413"/>
      <c r="C624" s="440" t="s">
        <v>1101</v>
      </c>
      <c r="D624" s="415">
        <f t="shared" ref="D624:D629" si="171">G518</f>
        <v>208943075.44</v>
      </c>
      <c r="E624" s="417">
        <v>1008166</v>
      </c>
      <c r="F624" s="417">
        <v>-120980</v>
      </c>
      <c r="G624" s="415">
        <f t="shared" ref="G624:G629" si="172">SUM(D624:F624)</f>
        <v>209830261.44</v>
      </c>
      <c r="H624" s="418"/>
      <c r="I624" s="415">
        <f t="shared" ref="I624:I629" si="173">N518</f>
        <v>56769039.609999999</v>
      </c>
      <c r="J624" s="442">
        <f t="shared" ref="J624:J629" si="174">J518</f>
        <v>1.5699999999999999E-2</v>
      </c>
      <c r="K624" s="418">
        <f t="shared" ref="K624:K629" si="175">ROUND((G624+D624)/2*J624/12,0)</f>
        <v>273948</v>
      </c>
      <c r="L624" s="418">
        <f t="shared" ref="L624:L629" si="176">-F624</f>
        <v>120980</v>
      </c>
      <c r="M624" s="417">
        <v>-18147</v>
      </c>
      <c r="N624" s="408">
        <f t="shared" ref="N624:N629" si="177">I624+K624-L624+M624</f>
        <v>56903860.609999999</v>
      </c>
    </row>
    <row r="625" spans="1:14" x14ac:dyDescent="0.2">
      <c r="A625" s="410">
        <f>A619+1</f>
        <v>25</v>
      </c>
      <c r="B625" s="413">
        <v>378.1</v>
      </c>
      <c r="C625" s="414" t="s">
        <v>1047</v>
      </c>
      <c r="D625" s="415">
        <f t="shared" si="171"/>
        <v>518504.18</v>
      </c>
      <c r="E625" s="417">
        <v>0</v>
      </c>
      <c r="F625" s="417">
        <v>0</v>
      </c>
      <c r="G625" s="415">
        <f t="shared" si="172"/>
        <v>518504.18</v>
      </c>
      <c r="H625" s="418"/>
      <c r="I625" s="415">
        <f t="shared" si="173"/>
        <v>358386.81</v>
      </c>
      <c r="J625" s="442">
        <f t="shared" si="174"/>
        <v>2.35E-2</v>
      </c>
      <c r="K625" s="418">
        <f t="shared" si="175"/>
        <v>1015</v>
      </c>
      <c r="L625" s="418">
        <f t="shared" si="176"/>
        <v>0</v>
      </c>
      <c r="M625" s="417">
        <v>0</v>
      </c>
      <c r="N625" s="408">
        <f t="shared" si="177"/>
        <v>359401.81</v>
      </c>
    </row>
    <row r="626" spans="1:14" x14ac:dyDescent="0.2">
      <c r="A626" s="410">
        <f t="shared" si="168"/>
        <v>26</v>
      </c>
      <c r="B626" s="413">
        <v>378.2</v>
      </c>
      <c r="C626" s="414" t="s">
        <v>1048</v>
      </c>
      <c r="D626" s="415">
        <f t="shared" si="171"/>
        <v>9551494</v>
      </c>
      <c r="E626" s="417">
        <v>52825</v>
      </c>
      <c r="F626" s="417">
        <v>-6339</v>
      </c>
      <c r="G626" s="415">
        <f t="shared" si="172"/>
        <v>9597980</v>
      </c>
      <c r="H626" s="418"/>
      <c r="I626" s="415">
        <f t="shared" si="173"/>
        <v>3307074.91</v>
      </c>
      <c r="J626" s="442">
        <f t="shared" si="174"/>
        <v>2.35E-2</v>
      </c>
      <c r="K626" s="418">
        <f t="shared" si="175"/>
        <v>18751</v>
      </c>
      <c r="L626" s="418">
        <f t="shared" si="176"/>
        <v>6339</v>
      </c>
      <c r="M626" s="417">
        <v>-317</v>
      </c>
      <c r="N626" s="408">
        <f t="shared" si="177"/>
        <v>3319169.91</v>
      </c>
    </row>
    <row r="627" spans="1:14" x14ac:dyDescent="0.2">
      <c r="A627" s="410">
        <f t="shared" si="168"/>
        <v>27</v>
      </c>
      <c r="B627" s="413">
        <v>378.3</v>
      </c>
      <c r="C627" s="414" t="s">
        <v>1049</v>
      </c>
      <c r="D627" s="415">
        <f t="shared" si="171"/>
        <v>45443.08</v>
      </c>
      <c r="E627" s="417">
        <v>0</v>
      </c>
      <c r="F627" s="417">
        <v>0</v>
      </c>
      <c r="G627" s="415">
        <f t="shared" si="172"/>
        <v>45443.08</v>
      </c>
      <c r="H627" s="418"/>
      <c r="I627" s="415">
        <f t="shared" si="173"/>
        <v>35433.040000000001</v>
      </c>
      <c r="J627" s="442">
        <f t="shared" si="174"/>
        <v>2.35E-2</v>
      </c>
      <c r="K627" s="418">
        <f t="shared" si="175"/>
        <v>89</v>
      </c>
      <c r="L627" s="418">
        <f t="shared" si="176"/>
        <v>0</v>
      </c>
      <c r="M627" s="417">
        <v>0</v>
      </c>
      <c r="N627" s="408">
        <f t="shared" si="177"/>
        <v>35522.04</v>
      </c>
    </row>
    <row r="628" spans="1:14" x14ac:dyDescent="0.2">
      <c r="A628" s="410">
        <f t="shared" si="168"/>
        <v>28</v>
      </c>
      <c r="B628" s="413">
        <v>379.1</v>
      </c>
      <c r="C628" s="414" t="s">
        <v>1050</v>
      </c>
      <c r="D628" s="415">
        <f t="shared" si="171"/>
        <v>254900.59</v>
      </c>
      <c r="E628" s="417">
        <v>0</v>
      </c>
      <c r="F628" s="417">
        <v>0</v>
      </c>
      <c r="G628" s="415">
        <f t="shared" si="172"/>
        <v>254900.59</v>
      </c>
      <c r="H628" s="418"/>
      <c r="I628" s="415">
        <f t="shared" si="173"/>
        <v>267730.57</v>
      </c>
      <c r="J628" s="442">
        <f t="shared" si="174"/>
        <v>2.2700000000000001E-2</v>
      </c>
      <c r="K628" s="417">
        <v>0</v>
      </c>
      <c r="L628" s="418">
        <f t="shared" si="176"/>
        <v>0</v>
      </c>
      <c r="M628" s="417">
        <v>0</v>
      </c>
      <c r="N628" s="408">
        <f t="shared" si="177"/>
        <v>267730.57</v>
      </c>
    </row>
    <row r="629" spans="1:14" x14ac:dyDescent="0.2">
      <c r="A629" s="410">
        <f t="shared" si="168"/>
        <v>29</v>
      </c>
      <c r="B629" s="413">
        <v>380</v>
      </c>
      <c r="C629" s="414" t="s">
        <v>1051</v>
      </c>
      <c r="D629" s="415">
        <f t="shared" si="171"/>
        <v>120025022.77</v>
      </c>
      <c r="E629" s="417">
        <v>689548</v>
      </c>
      <c r="F629" s="417">
        <v>-82746</v>
      </c>
      <c r="G629" s="415">
        <f t="shared" si="172"/>
        <v>120631824.77</v>
      </c>
      <c r="H629" s="418"/>
      <c r="I629" s="415">
        <f t="shared" si="173"/>
        <v>58098271.520000003</v>
      </c>
      <c r="J629" s="442">
        <f t="shared" si="174"/>
        <v>2.5899999999999999E-2</v>
      </c>
      <c r="K629" s="418">
        <f t="shared" si="175"/>
        <v>259709</v>
      </c>
      <c r="L629" s="418">
        <f t="shared" si="176"/>
        <v>82746</v>
      </c>
      <c r="M629" s="417">
        <v>-41373</v>
      </c>
      <c r="N629" s="408">
        <f t="shared" si="177"/>
        <v>58233861.520000003</v>
      </c>
    </row>
    <row r="630" spans="1:14" x14ac:dyDescent="0.2">
      <c r="A630" s="410"/>
      <c r="B630" s="444"/>
      <c r="C630" s="414"/>
      <c r="D630" s="439"/>
      <c r="E630" s="418"/>
      <c r="F630" s="418"/>
      <c r="G630" s="439"/>
      <c r="H630" s="418"/>
      <c r="I630" s="418"/>
      <c r="J630" s="418"/>
      <c r="K630" s="418"/>
      <c r="L630" s="418"/>
      <c r="M630" s="417"/>
    </row>
    <row r="631" spans="1:14" x14ac:dyDescent="0.2">
      <c r="A631" s="2073" t="str">
        <f>co</f>
        <v>COLUMBIA GAS OF KENTUCKY, INC.</v>
      </c>
      <c r="B631" s="2073"/>
      <c r="C631" s="2073"/>
      <c r="D631" s="2073"/>
      <c r="E631" s="2073"/>
      <c r="F631" s="2073"/>
      <c r="G631" s="2073"/>
      <c r="H631" s="2073"/>
      <c r="I631" s="2073"/>
      <c r="J631" s="2073"/>
      <c r="K631" s="2073"/>
      <c r="L631" s="2073"/>
      <c r="M631" s="2073"/>
      <c r="N631" s="2073"/>
    </row>
    <row r="632" spans="1:14" x14ac:dyDescent="0.2">
      <c r="A632" s="2073" t="str">
        <f>case</f>
        <v>CASE NO. 2016 - 00162</v>
      </c>
      <c r="B632" s="2073"/>
      <c r="C632" s="2073"/>
      <c r="D632" s="2073"/>
      <c r="E632" s="2073"/>
      <c r="F632" s="2073"/>
      <c r="G632" s="2073"/>
      <c r="H632" s="2073"/>
      <c r="I632" s="2073"/>
      <c r="J632" s="2073"/>
      <c r="K632" s="2073"/>
      <c r="L632" s="2073"/>
      <c r="M632" s="2073"/>
      <c r="N632" s="2073"/>
    </row>
    <row r="633" spans="1:14" x14ac:dyDescent="0.2">
      <c r="A633" s="2074" t="s">
        <v>1106</v>
      </c>
      <c r="B633" s="2073"/>
      <c r="C633" s="2073"/>
      <c r="D633" s="2073"/>
      <c r="E633" s="2073"/>
      <c r="F633" s="2073"/>
      <c r="G633" s="2073"/>
      <c r="H633" s="2073"/>
      <c r="I633" s="2073"/>
      <c r="J633" s="2073"/>
      <c r="K633" s="2073"/>
      <c r="L633" s="2073"/>
      <c r="M633" s="2073"/>
      <c r="N633" s="2073"/>
    </row>
    <row r="634" spans="1:14" x14ac:dyDescent="0.2">
      <c r="A634" s="2078" t="s">
        <v>2142</v>
      </c>
      <c r="B634" s="2078"/>
      <c r="C634" s="2078"/>
      <c r="D634" s="2078"/>
      <c r="E634" s="2078"/>
      <c r="F634" s="2078"/>
      <c r="G634" s="2078"/>
      <c r="H634" s="2078"/>
      <c r="I634" s="2078"/>
      <c r="J634" s="2078"/>
      <c r="K634" s="2078"/>
      <c r="L634" s="2078"/>
      <c r="M634" s="2078"/>
      <c r="N634" s="2078"/>
    </row>
    <row r="636" spans="1:14" x14ac:dyDescent="0.2">
      <c r="A636" s="388" t="s">
        <v>976</v>
      </c>
      <c r="M636" s="386"/>
      <c r="N636" s="387" t="s">
        <v>763</v>
      </c>
    </row>
    <row r="637" spans="1:14" x14ac:dyDescent="0.2">
      <c r="A637" s="388" t="s">
        <v>977</v>
      </c>
      <c r="M637" s="386"/>
      <c r="N637" s="387" t="s">
        <v>999</v>
      </c>
    </row>
    <row r="638" spans="1:14" x14ac:dyDescent="0.2">
      <c r="A638" s="445" t="str">
        <f>A585</f>
        <v>WORKPAPER REFERENCE NO(S).: WPB-2.3</v>
      </c>
      <c r="B638" s="391"/>
      <c r="C638" s="391"/>
      <c r="D638" s="391"/>
      <c r="E638" s="391"/>
      <c r="F638" s="391"/>
      <c r="G638" s="391"/>
      <c r="H638" s="391"/>
      <c r="M638" s="392"/>
      <c r="N638" s="393" t="str">
        <f>SMK</f>
        <v>WITNESS:  S. M. KATKO</v>
      </c>
    </row>
    <row r="639" spans="1:14" x14ac:dyDescent="0.2">
      <c r="A639" s="390"/>
      <c r="B639" s="391"/>
      <c r="C639" s="391"/>
      <c r="D639" s="391"/>
      <c r="E639" s="391"/>
      <c r="F639" s="391"/>
      <c r="G639" s="391"/>
      <c r="H639" s="391"/>
      <c r="I639" s="392"/>
      <c r="J639" s="393"/>
      <c r="L639" s="386"/>
      <c r="M639" s="386"/>
    </row>
    <row r="640" spans="1:14" x14ac:dyDescent="0.2">
      <c r="A640" s="390"/>
      <c r="B640" s="391"/>
      <c r="C640" s="391"/>
      <c r="D640" s="2075" t="s">
        <v>1088</v>
      </c>
      <c r="E640" s="2075"/>
      <c r="F640" s="2075"/>
      <c r="G640" s="2075"/>
      <c r="H640" s="391"/>
      <c r="I640" s="2076" t="s">
        <v>1093</v>
      </c>
      <c r="J640" s="2077"/>
      <c r="K640" s="2077"/>
      <c r="L640" s="2077"/>
      <c r="M640" s="2077"/>
      <c r="N640" s="2077"/>
    </row>
    <row r="641" spans="1:14" x14ac:dyDescent="0.2">
      <c r="A641" s="394"/>
      <c r="B641" s="391"/>
      <c r="C641" s="391"/>
      <c r="D641" s="396" t="s">
        <v>1084</v>
      </c>
      <c r="E641" s="391"/>
      <c r="F641" s="391"/>
      <c r="G641" s="395"/>
      <c r="H641" s="395"/>
      <c r="I641" s="397" t="s">
        <v>1089</v>
      </c>
      <c r="J641" s="396"/>
      <c r="M641" s="386"/>
    </row>
    <row r="642" spans="1:14" x14ac:dyDescent="0.2">
      <c r="A642" s="383"/>
      <c r="D642" s="397" t="s">
        <v>865</v>
      </c>
      <c r="G642" s="397" t="s">
        <v>867</v>
      </c>
      <c r="H642" s="398"/>
      <c r="I642" s="397" t="s">
        <v>865</v>
      </c>
      <c r="J642" s="397" t="s">
        <v>956</v>
      </c>
      <c r="M642" s="386"/>
      <c r="N642" s="397" t="s">
        <v>867</v>
      </c>
    </row>
    <row r="643" spans="1:14" x14ac:dyDescent="0.2">
      <c r="A643" s="397" t="s">
        <v>1080</v>
      </c>
      <c r="B643" s="397" t="s">
        <v>1082</v>
      </c>
      <c r="D643" s="397" t="s">
        <v>867</v>
      </c>
      <c r="G643" s="399" t="s">
        <v>1087</v>
      </c>
      <c r="H643" s="398"/>
      <c r="I643" s="399" t="s">
        <v>867</v>
      </c>
      <c r="J643" s="397" t="s">
        <v>1090</v>
      </c>
      <c r="K643" s="397" t="s">
        <v>956</v>
      </c>
      <c r="M643" s="399" t="s">
        <v>1092</v>
      </c>
      <c r="N643" s="399" t="s">
        <v>1087</v>
      </c>
    </row>
    <row r="644" spans="1:14" x14ac:dyDescent="0.2">
      <c r="A644" s="400" t="s">
        <v>1081</v>
      </c>
      <c r="B644" s="400" t="s">
        <v>1081</v>
      </c>
      <c r="C644" s="401" t="s">
        <v>1083</v>
      </c>
      <c r="D644" s="404" t="str">
        <f>D591</f>
        <v>07/31/2016</v>
      </c>
      <c r="E644" s="400" t="s">
        <v>1085</v>
      </c>
      <c r="F644" s="400" t="s">
        <v>1086</v>
      </c>
      <c r="G644" s="404" t="str">
        <f>G591</f>
        <v>08/31/2016</v>
      </c>
      <c r="H644" s="398"/>
      <c r="I644" s="404" t="str">
        <f>D644</f>
        <v>07/31/2016</v>
      </c>
      <c r="J644" s="400" t="s">
        <v>1091</v>
      </c>
      <c r="K644" s="402" t="s">
        <v>1090</v>
      </c>
      <c r="L644" s="402" t="s">
        <v>1086</v>
      </c>
      <c r="M644" s="402" t="s">
        <v>955</v>
      </c>
      <c r="N644" s="404" t="str">
        <f>G644</f>
        <v>08/31/2016</v>
      </c>
    </row>
    <row r="645" spans="1:14" x14ac:dyDescent="0.2">
      <c r="A645" s="406"/>
      <c r="B645" s="406"/>
      <c r="C645" s="406"/>
      <c r="D645" s="406" t="str">
        <f>"(1)"</f>
        <v>(1)</v>
      </c>
      <c r="E645" s="406" t="str">
        <f>"(2)"</f>
        <v>(2)</v>
      </c>
      <c r="F645" s="406" t="str">
        <f>"(3)"</f>
        <v>(3)</v>
      </c>
      <c r="G645" s="406" t="str">
        <f>"(4)=(1+2+3)"</f>
        <v>(4)=(1+2+3)</v>
      </c>
      <c r="H645" s="406"/>
      <c r="I645" s="406" t="str">
        <f>"(5)"</f>
        <v>(5)</v>
      </c>
      <c r="J645" s="406" t="str">
        <f>"(6)"</f>
        <v>(6)</v>
      </c>
      <c r="K645" s="406" t="str">
        <f>"(7)=((1+4)/2*6/12))"</f>
        <v>(7)=((1+4)/2*6/12))</v>
      </c>
      <c r="L645" s="406" t="str">
        <f>"(8)"</f>
        <v>(8)</v>
      </c>
      <c r="M645" s="406" t="str">
        <f>"(9)"</f>
        <v>(9)</v>
      </c>
      <c r="N645" s="406" t="str">
        <f>"(10)=(5+7-8+9)"</f>
        <v>(10)=(5+7-8+9)</v>
      </c>
    </row>
    <row r="646" spans="1:14" x14ac:dyDescent="0.2">
      <c r="D646" s="410" t="s">
        <v>639</v>
      </c>
      <c r="E646" s="410" t="s">
        <v>639</v>
      </c>
      <c r="F646" s="410" t="s">
        <v>639</v>
      </c>
      <c r="G646" s="410" t="s">
        <v>639</v>
      </c>
      <c r="H646" s="410"/>
      <c r="I646" s="410" t="s">
        <v>639</v>
      </c>
      <c r="J646" s="410" t="s">
        <v>639</v>
      </c>
      <c r="K646" s="410" t="s">
        <v>639</v>
      </c>
      <c r="L646" s="410" t="s">
        <v>639</v>
      </c>
      <c r="M646" s="410" t="s">
        <v>639</v>
      </c>
      <c r="N646" s="410" t="s">
        <v>639</v>
      </c>
    </row>
    <row r="647" spans="1:14" x14ac:dyDescent="0.2">
      <c r="C647" s="411" t="s">
        <v>707</v>
      </c>
      <c r="D647" s="410"/>
      <c r="E647" s="410"/>
      <c r="F647" s="410"/>
      <c r="G647" s="410"/>
      <c r="J647" s="410"/>
    </row>
    <row r="648" spans="1:14" x14ac:dyDescent="0.2">
      <c r="A648" s="405">
        <v>1</v>
      </c>
      <c r="B648" s="446">
        <v>381</v>
      </c>
      <c r="C648" s="414" t="s">
        <v>1052</v>
      </c>
      <c r="D648" s="415">
        <f t="shared" ref="D648:D659" si="178">G542</f>
        <v>13621083.550000001</v>
      </c>
      <c r="E648" s="417">
        <v>22915</v>
      </c>
      <c r="F648" s="417">
        <v>-2750</v>
      </c>
      <c r="G648" s="415">
        <f>SUM(D648:F648)</f>
        <v>13641248.550000001</v>
      </c>
      <c r="H648" s="418"/>
      <c r="I648" s="415">
        <f t="shared" ref="I648:I659" si="179">N542</f>
        <v>4796329.8899999997</v>
      </c>
      <c r="J648" s="442">
        <f t="shared" ref="J648:J659" si="180">J542</f>
        <v>2.5899999999999999E-2</v>
      </c>
      <c r="K648" s="418">
        <f t="shared" ref="K648:K659" si="181">ROUND((G648+D648)/2*J648/12,0)</f>
        <v>29421</v>
      </c>
      <c r="L648" s="418">
        <f t="shared" ref="L648:L659" si="182">-F648</f>
        <v>2750</v>
      </c>
      <c r="M648" s="417">
        <v>0</v>
      </c>
      <c r="N648" s="408">
        <f t="shared" ref="N648:N659" si="183">I648+K648-L648+M648</f>
        <v>4823000.8899999997</v>
      </c>
    </row>
    <row r="649" spans="1:14" x14ac:dyDescent="0.2">
      <c r="A649" s="405">
        <f>A648+1</f>
        <v>2</v>
      </c>
      <c r="B649" s="446">
        <v>381.1</v>
      </c>
      <c r="C649" s="414" t="s">
        <v>1052</v>
      </c>
      <c r="D649" s="415">
        <f t="shared" si="178"/>
        <v>8761997.0600000005</v>
      </c>
      <c r="E649" s="417">
        <v>3185</v>
      </c>
      <c r="F649" s="417">
        <v>-382</v>
      </c>
      <c r="G649" s="415">
        <f>SUM(D649:F649)</f>
        <v>8764800.0600000005</v>
      </c>
      <c r="H649" s="418"/>
      <c r="I649" s="415">
        <f t="shared" si="179"/>
        <v>459956.5</v>
      </c>
      <c r="J649" s="442">
        <f t="shared" si="180"/>
        <v>2.5899999999999999E-2</v>
      </c>
      <c r="K649" s="418">
        <f t="shared" si="181"/>
        <v>18914</v>
      </c>
      <c r="L649" s="418">
        <f t="shared" si="182"/>
        <v>382</v>
      </c>
      <c r="M649" s="417">
        <v>0</v>
      </c>
      <c r="N649" s="408">
        <f t="shared" si="183"/>
        <v>478488.5</v>
      </c>
    </row>
    <row r="650" spans="1:14" x14ac:dyDescent="0.2">
      <c r="A650" s="405">
        <f t="shared" ref="A650:A660" si="184">A649+1</f>
        <v>3</v>
      </c>
      <c r="B650" s="446">
        <v>382</v>
      </c>
      <c r="C650" s="414" t="s">
        <v>1053</v>
      </c>
      <c r="D650" s="415">
        <f t="shared" si="178"/>
        <v>9065472.6500000004</v>
      </c>
      <c r="E650" s="417">
        <v>50482</v>
      </c>
      <c r="F650" s="417">
        <v>-6058</v>
      </c>
      <c r="G650" s="415">
        <f t="shared" ref="G650:G655" si="185">SUM(D650:F650)</f>
        <v>9109896.6500000004</v>
      </c>
      <c r="H650" s="418"/>
      <c r="I650" s="415">
        <f t="shared" si="179"/>
        <v>4564503.3</v>
      </c>
      <c r="J650" s="442">
        <f t="shared" si="180"/>
        <v>2.3900000000000001E-2</v>
      </c>
      <c r="K650" s="418">
        <f t="shared" si="181"/>
        <v>18100</v>
      </c>
      <c r="L650" s="418">
        <f t="shared" si="182"/>
        <v>6058</v>
      </c>
      <c r="M650" s="417">
        <v>-303</v>
      </c>
      <c r="N650" s="408">
        <f t="shared" si="183"/>
        <v>4576242.3</v>
      </c>
    </row>
    <row r="651" spans="1:14" x14ac:dyDescent="0.2">
      <c r="A651" s="405">
        <f t="shared" si="184"/>
        <v>4</v>
      </c>
      <c r="B651" s="446">
        <v>383</v>
      </c>
      <c r="C651" s="414" t="s">
        <v>1054</v>
      </c>
      <c r="D651" s="415">
        <f t="shared" si="178"/>
        <v>5571655.7599999998</v>
      </c>
      <c r="E651" s="417">
        <v>21537</v>
      </c>
      <c r="F651" s="417">
        <v>-2584</v>
      </c>
      <c r="G651" s="415">
        <f t="shared" si="185"/>
        <v>5590608.7599999998</v>
      </c>
      <c r="H651" s="418"/>
      <c r="I651" s="415">
        <f t="shared" si="179"/>
        <v>1486042.41</v>
      </c>
      <c r="J651" s="442">
        <f t="shared" si="180"/>
        <v>1.3899999999999999E-2</v>
      </c>
      <c r="K651" s="418">
        <f t="shared" si="181"/>
        <v>6465</v>
      </c>
      <c r="L651" s="418">
        <f t="shared" si="182"/>
        <v>2584</v>
      </c>
      <c r="M651" s="417">
        <v>-129</v>
      </c>
      <c r="N651" s="408">
        <f t="shared" si="183"/>
        <v>1489794.41</v>
      </c>
    </row>
    <row r="652" spans="1:14" x14ac:dyDescent="0.2">
      <c r="A652" s="405">
        <f t="shared" si="184"/>
        <v>5</v>
      </c>
      <c r="B652" s="446">
        <v>384</v>
      </c>
      <c r="C652" s="414" t="s">
        <v>1055</v>
      </c>
      <c r="D652" s="415">
        <f t="shared" si="178"/>
        <v>2257522</v>
      </c>
      <c r="E652" s="417">
        <v>0</v>
      </c>
      <c r="F652" s="417">
        <v>0</v>
      </c>
      <c r="G652" s="415">
        <f t="shared" si="185"/>
        <v>2257522</v>
      </c>
      <c r="H652" s="418"/>
      <c r="I652" s="415">
        <f t="shared" si="179"/>
        <v>1758983.73</v>
      </c>
      <c r="J652" s="442">
        <f t="shared" si="180"/>
        <v>1.0999999999999999E-2</v>
      </c>
      <c r="K652" s="418">
        <f t="shared" si="181"/>
        <v>2069</v>
      </c>
      <c r="L652" s="418">
        <f t="shared" si="182"/>
        <v>0</v>
      </c>
      <c r="M652" s="417">
        <v>0</v>
      </c>
      <c r="N652" s="408">
        <f t="shared" si="183"/>
        <v>1761052.73</v>
      </c>
    </row>
    <row r="653" spans="1:14" x14ac:dyDescent="0.2">
      <c r="A653" s="405">
        <f t="shared" si="184"/>
        <v>6</v>
      </c>
      <c r="B653" s="446">
        <v>385</v>
      </c>
      <c r="C653" s="414" t="s">
        <v>1056</v>
      </c>
      <c r="D653" s="415">
        <f t="shared" si="178"/>
        <v>3156908.36</v>
      </c>
      <c r="E653" s="417">
        <v>21653</v>
      </c>
      <c r="F653" s="417">
        <v>-2598</v>
      </c>
      <c r="G653" s="415">
        <f t="shared" si="185"/>
        <v>3175963.36</v>
      </c>
      <c r="H653" s="418"/>
      <c r="I653" s="415">
        <f t="shared" si="179"/>
        <v>875938.55</v>
      </c>
      <c r="J653" s="442">
        <f t="shared" si="180"/>
        <v>2.0899999999999998E-2</v>
      </c>
      <c r="K653" s="418">
        <f t="shared" si="181"/>
        <v>5515</v>
      </c>
      <c r="L653" s="418">
        <f t="shared" si="182"/>
        <v>2598</v>
      </c>
      <c r="M653" s="417">
        <v>-130</v>
      </c>
      <c r="N653" s="408">
        <f t="shared" si="183"/>
        <v>878725.55</v>
      </c>
    </row>
    <row r="654" spans="1:14" x14ac:dyDescent="0.2">
      <c r="A654" s="405">
        <f t="shared" si="184"/>
        <v>7</v>
      </c>
      <c r="B654" s="446">
        <v>387.2</v>
      </c>
      <c r="C654" s="414" t="s">
        <v>1057</v>
      </c>
      <c r="D654" s="415">
        <f t="shared" si="178"/>
        <v>0</v>
      </c>
      <c r="E654" s="417">
        <v>0</v>
      </c>
      <c r="F654" s="417">
        <v>0</v>
      </c>
      <c r="G654" s="415">
        <f t="shared" si="185"/>
        <v>0</v>
      </c>
      <c r="H654" s="418"/>
      <c r="I654" s="415">
        <f t="shared" si="179"/>
        <v>-59912.03</v>
      </c>
      <c r="J654" s="442">
        <f t="shared" si="180"/>
        <v>2.3199999999999998E-2</v>
      </c>
      <c r="K654" s="418">
        <f t="shared" si="181"/>
        <v>0</v>
      </c>
      <c r="L654" s="418">
        <f t="shared" si="182"/>
        <v>0</v>
      </c>
      <c r="M654" s="417">
        <v>0</v>
      </c>
      <c r="N654" s="408">
        <f t="shared" si="183"/>
        <v>-59912.03</v>
      </c>
    </row>
    <row r="655" spans="1:14" x14ac:dyDescent="0.2">
      <c r="A655" s="405">
        <f t="shared" si="184"/>
        <v>8</v>
      </c>
      <c r="B655" s="446">
        <v>387.41</v>
      </c>
      <c r="C655" s="414" t="s">
        <v>1058</v>
      </c>
      <c r="D655" s="415">
        <f t="shared" si="178"/>
        <v>735770.76</v>
      </c>
      <c r="E655" s="417">
        <v>0</v>
      </c>
      <c r="F655" s="417">
        <v>0</v>
      </c>
      <c r="G655" s="415">
        <f t="shared" si="185"/>
        <v>735770.76</v>
      </c>
      <c r="H655" s="418"/>
      <c r="I655" s="415">
        <f t="shared" si="179"/>
        <v>378882.95</v>
      </c>
      <c r="J655" s="442">
        <f t="shared" si="180"/>
        <v>2.3400000000000001E-2</v>
      </c>
      <c r="K655" s="418">
        <f t="shared" si="181"/>
        <v>1435</v>
      </c>
      <c r="L655" s="418">
        <f t="shared" si="182"/>
        <v>0</v>
      </c>
      <c r="M655" s="417">
        <v>0</v>
      </c>
      <c r="N655" s="408">
        <f t="shared" si="183"/>
        <v>380317.95</v>
      </c>
    </row>
    <row r="656" spans="1:14" x14ac:dyDescent="0.2">
      <c r="A656" s="405">
        <f t="shared" si="184"/>
        <v>9</v>
      </c>
      <c r="B656" s="446">
        <v>387.42</v>
      </c>
      <c r="C656" s="414" t="s">
        <v>1059</v>
      </c>
      <c r="D656" s="415">
        <f t="shared" si="178"/>
        <v>795186.58</v>
      </c>
      <c r="E656" s="417">
        <v>0</v>
      </c>
      <c r="F656" s="417">
        <v>0</v>
      </c>
      <c r="G656" s="415">
        <f>SUM(D656:F656)</f>
        <v>795186.58</v>
      </c>
      <c r="H656" s="418"/>
      <c r="I656" s="415">
        <f t="shared" si="179"/>
        <v>544790.94999999995</v>
      </c>
      <c r="J656" s="442">
        <f t="shared" si="180"/>
        <v>2.3400000000000001E-2</v>
      </c>
      <c r="K656" s="418">
        <f t="shared" si="181"/>
        <v>1551</v>
      </c>
      <c r="L656" s="418">
        <f t="shared" si="182"/>
        <v>0</v>
      </c>
      <c r="M656" s="417">
        <v>0</v>
      </c>
      <c r="N656" s="408">
        <f t="shared" si="183"/>
        <v>546341.94999999995</v>
      </c>
    </row>
    <row r="657" spans="1:14" x14ac:dyDescent="0.2">
      <c r="A657" s="405">
        <f t="shared" si="184"/>
        <v>10</v>
      </c>
      <c r="B657" s="446">
        <v>387.44</v>
      </c>
      <c r="C657" s="414" t="s">
        <v>1060</v>
      </c>
      <c r="D657" s="415">
        <f t="shared" si="178"/>
        <v>143283.93</v>
      </c>
      <c r="E657" s="417">
        <v>0</v>
      </c>
      <c r="F657" s="417">
        <v>0</v>
      </c>
      <c r="G657" s="415">
        <f>SUM(D657:F657)</f>
        <v>143283.93</v>
      </c>
      <c r="H657" s="418"/>
      <c r="I657" s="415">
        <f t="shared" si="179"/>
        <v>45553.55</v>
      </c>
      <c r="J657" s="442">
        <f t="shared" si="180"/>
        <v>2.3400000000000001E-2</v>
      </c>
      <c r="K657" s="418">
        <f t="shared" si="181"/>
        <v>279</v>
      </c>
      <c r="L657" s="418">
        <f t="shared" si="182"/>
        <v>0</v>
      </c>
      <c r="M657" s="417">
        <v>0</v>
      </c>
      <c r="N657" s="408">
        <f t="shared" si="183"/>
        <v>45832.55</v>
      </c>
    </row>
    <row r="658" spans="1:14" x14ac:dyDescent="0.2">
      <c r="A658" s="405">
        <f t="shared" si="184"/>
        <v>11</v>
      </c>
      <c r="B658" s="446">
        <v>387.45</v>
      </c>
      <c r="C658" s="414" t="s">
        <v>1061</v>
      </c>
      <c r="D658" s="415">
        <f t="shared" si="178"/>
        <v>2819959.66</v>
      </c>
      <c r="E658" s="417">
        <v>101260</v>
      </c>
      <c r="F658" s="417">
        <v>-12151</v>
      </c>
      <c r="G658" s="415">
        <f>SUM(D658:F658)</f>
        <v>2909068.66</v>
      </c>
      <c r="H658" s="418"/>
      <c r="I658" s="415">
        <f t="shared" si="179"/>
        <v>564091.06000000006</v>
      </c>
      <c r="J658" s="442">
        <f t="shared" si="180"/>
        <v>2.3400000000000001E-2</v>
      </c>
      <c r="K658" s="418">
        <f t="shared" si="181"/>
        <v>5586</v>
      </c>
      <c r="L658" s="418">
        <f t="shared" si="182"/>
        <v>12151</v>
      </c>
      <c r="M658" s="417">
        <v>0</v>
      </c>
      <c r="N658" s="408">
        <f t="shared" si="183"/>
        <v>557526.06000000006</v>
      </c>
    </row>
    <row r="659" spans="1:14" x14ac:dyDescent="0.2">
      <c r="A659" s="405">
        <f t="shared" si="184"/>
        <v>12</v>
      </c>
      <c r="B659" s="446">
        <v>387.46</v>
      </c>
      <c r="C659" s="414" t="s">
        <v>1062</v>
      </c>
      <c r="D659" s="421">
        <f t="shared" si="178"/>
        <v>113644.47</v>
      </c>
      <c r="E659" s="1662">
        <v>0</v>
      </c>
      <c r="F659" s="1662">
        <v>0</v>
      </c>
      <c r="G659" s="428">
        <f>SUM(D659:F659)</f>
        <v>113644.47</v>
      </c>
      <c r="H659" s="447"/>
      <c r="I659" s="421">
        <f t="shared" si="179"/>
        <v>111122.83</v>
      </c>
      <c r="J659" s="442">
        <f t="shared" si="180"/>
        <v>2.3400000000000001E-2</v>
      </c>
      <c r="K659" s="421">
        <f t="shared" si="181"/>
        <v>222</v>
      </c>
      <c r="L659" s="421">
        <f t="shared" si="182"/>
        <v>0</v>
      </c>
      <c r="M659" s="422">
        <v>0</v>
      </c>
      <c r="N659" s="423">
        <f t="shared" si="183"/>
        <v>111344.83</v>
      </c>
    </row>
    <row r="660" spans="1:14" x14ac:dyDescent="0.2">
      <c r="A660" s="405">
        <f t="shared" si="184"/>
        <v>13</v>
      </c>
      <c r="B660" s="448"/>
      <c r="C660" s="386" t="s">
        <v>1063</v>
      </c>
      <c r="D660" s="418">
        <f>SUM(D648:D659,D608:D629)</f>
        <v>400749094.37999994</v>
      </c>
      <c r="E660" s="418">
        <f>SUM(E648:E659,E608:E629)</f>
        <v>2083113</v>
      </c>
      <c r="F660" s="418">
        <f>SUM(F648:F659,F608:F629)</f>
        <v>-249973</v>
      </c>
      <c r="G660" s="418">
        <f>SUM(G648:G659,G608:G629)</f>
        <v>402582234.37999994</v>
      </c>
      <c r="H660" s="418"/>
      <c r="I660" s="418">
        <f>SUM(I648:I659,I608:I629)</f>
        <v>139408816.02736843</v>
      </c>
      <c r="J660" s="418"/>
      <c r="K660" s="418">
        <f>SUM(K648:K659,K608:K629)</f>
        <v>665812.04947368428</v>
      </c>
      <c r="L660" s="418">
        <f>SUM(L648:L659,L608:L629)</f>
        <v>249973</v>
      </c>
      <c r="M660" s="418">
        <f>SUM(M648:M659,M608:M629)</f>
        <v>-61002</v>
      </c>
      <c r="N660" s="418">
        <f>SUM(N648:N659,N608:N629)</f>
        <v>139763653.0768421</v>
      </c>
    </row>
    <row r="661" spans="1:14" x14ac:dyDescent="0.2">
      <c r="B661" s="448"/>
      <c r="D661" s="418"/>
      <c r="E661" s="418"/>
      <c r="F661" s="418"/>
      <c r="G661" s="418"/>
      <c r="H661" s="418"/>
      <c r="I661" s="439"/>
      <c r="J661" s="418"/>
      <c r="K661" s="418"/>
      <c r="L661" s="418"/>
      <c r="M661" s="418"/>
    </row>
    <row r="662" spans="1:14" x14ac:dyDescent="0.2">
      <c r="A662" s="405">
        <f>A660+1</f>
        <v>14</v>
      </c>
      <c r="B662" s="448"/>
      <c r="C662" s="411" t="s">
        <v>737</v>
      </c>
      <c r="D662" s="418"/>
      <c r="E662" s="418"/>
      <c r="F662" s="418"/>
      <c r="G662" s="418"/>
      <c r="H662" s="418"/>
      <c r="I662" s="439"/>
      <c r="J662" s="418"/>
      <c r="K662" s="418"/>
      <c r="L662" s="418"/>
      <c r="M662" s="418"/>
    </row>
    <row r="663" spans="1:14" x14ac:dyDescent="0.2">
      <c r="A663" s="410">
        <f>A662+1</f>
        <v>15</v>
      </c>
      <c r="B663" s="446">
        <v>391.1</v>
      </c>
      <c r="C663" s="414" t="s">
        <v>1064</v>
      </c>
      <c r="D663" s="415">
        <f t="shared" ref="D663:D676" si="186">G557</f>
        <v>734600.71</v>
      </c>
      <c r="E663" s="417">
        <v>-4800</v>
      </c>
      <c r="F663" s="417">
        <v>576</v>
      </c>
      <c r="G663" s="415">
        <f t="shared" ref="G663:G676" si="187">SUM(D663:F663)</f>
        <v>730376.71</v>
      </c>
      <c r="H663" s="418"/>
      <c r="I663" s="415">
        <f t="shared" ref="I663:I676" si="188">N557</f>
        <v>-68540.22</v>
      </c>
      <c r="J663" s="442">
        <f t="shared" ref="J663:J676" si="189">J557</f>
        <v>0.05</v>
      </c>
      <c r="K663" s="418">
        <f>ROUND((G663+D663)/2*J663/12,0)</f>
        <v>3052</v>
      </c>
      <c r="L663" s="418">
        <f t="shared" ref="L663:L676" si="190">-F663</f>
        <v>-576</v>
      </c>
      <c r="M663" s="417">
        <v>0</v>
      </c>
      <c r="N663" s="408">
        <f t="shared" ref="N663:N676" si="191">I663+K663-L663+M663</f>
        <v>-64912.22</v>
      </c>
    </row>
    <row r="664" spans="1:14" x14ac:dyDescent="0.2">
      <c r="A664" s="410">
        <f t="shared" ref="A664:A677" si="192">A663+1</f>
        <v>16</v>
      </c>
      <c r="B664" s="446">
        <v>391.11</v>
      </c>
      <c r="C664" s="414" t="s">
        <v>1065</v>
      </c>
      <c r="D664" s="415">
        <f t="shared" si="186"/>
        <v>18815.57</v>
      </c>
      <c r="E664" s="417">
        <v>0</v>
      </c>
      <c r="F664" s="417">
        <v>0</v>
      </c>
      <c r="G664" s="415">
        <f t="shared" si="187"/>
        <v>18815.57</v>
      </c>
      <c r="H664" s="418"/>
      <c r="I664" s="415">
        <f t="shared" si="188"/>
        <v>-12509.77</v>
      </c>
      <c r="J664" s="442">
        <f t="shared" si="189"/>
        <v>6.6699999999999995E-2</v>
      </c>
      <c r="K664" s="418">
        <f>ROUND((G664+D664)/2*J664/12,0)</f>
        <v>105</v>
      </c>
      <c r="L664" s="418">
        <f t="shared" si="190"/>
        <v>0</v>
      </c>
      <c r="M664" s="417">
        <v>0</v>
      </c>
      <c r="N664" s="408">
        <f t="shared" si="191"/>
        <v>-12404.77</v>
      </c>
    </row>
    <row r="665" spans="1:14" x14ac:dyDescent="0.2">
      <c r="A665" s="410">
        <f t="shared" si="192"/>
        <v>17</v>
      </c>
      <c r="B665" s="446">
        <v>391.12</v>
      </c>
      <c r="C665" s="414" t="s">
        <v>1066</v>
      </c>
      <c r="D665" s="415">
        <f t="shared" si="186"/>
        <v>853483.41</v>
      </c>
      <c r="E665" s="417">
        <v>0</v>
      </c>
      <c r="F665" s="417">
        <v>0</v>
      </c>
      <c r="G665" s="415">
        <f t="shared" si="187"/>
        <v>853483.41</v>
      </c>
      <c r="H665" s="418"/>
      <c r="I665" s="415">
        <f t="shared" si="188"/>
        <v>618460.37</v>
      </c>
      <c r="J665" s="442">
        <f t="shared" si="189"/>
        <v>0.2</v>
      </c>
      <c r="K665" s="418">
        <f>ROUND((G665+D665)/2*J665/12,0)</f>
        <v>14225</v>
      </c>
      <c r="L665" s="418">
        <f t="shared" si="190"/>
        <v>0</v>
      </c>
      <c r="M665" s="417">
        <v>0</v>
      </c>
      <c r="N665" s="408">
        <f t="shared" si="191"/>
        <v>632685.37</v>
      </c>
    </row>
    <row r="666" spans="1:14" x14ac:dyDescent="0.2">
      <c r="A666" s="410">
        <f t="shared" si="192"/>
        <v>18</v>
      </c>
      <c r="B666" s="446">
        <v>392.2</v>
      </c>
      <c r="C666" s="414" t="s">
        <v>1067</v>
      </c>
      <c r="D666" s="415">
        <f t="shared" si="186"/>
        <v>95778</v>
      </c>
      <c r="E666" s="417">
        <v>0</v>
      </c>
      <c r="F666" s="417">
        <v>0</v>
      </c>
      <c r="G666" s="415">
        <f t="shared" si="187"/>
        <v>95778</v>
      </c>
      <c r="H666" s="418"/>
      <c r="I666" s="415">
        <f t="shared" si="188"/>
        <v>21480.05</v>
      </c>
      <c r="J666" s="442">
        <f t="shared" si="189"/>
        <v>2.9399999999999999E-2</v>
      </c>
      <c r="K666" s="418">
        <f>ROUND((G666+D666)/2*J666/12,0)</f>
        <v>235</v>
      </c>
      <c r="L666" s="418">
        <f t="shared" si="190"/>
        <v>0</v>
      </c>
      <c r="M666" s="417">
        <v>0</v>
      </c>
      <c r="N666" s="408">
        <f t="shared" si="191"/>
        <v>21715.05</v>
      </c>
    </row>
    <row r="667" spans="1:14" x14ac:dyDescent="0.2">
      <c r="A667" s="410">
        <f t="shared" si="192"/>
        <v>19</v>
      </c>
      <c r="B667" s="446">
        <v>392.21</v>
      </c>
      <c r="C667" s="414" t="s">
        <v>1068</v>
      </c>
      <c r="D667" s="415">
        <f t="shared" si="186"/>
        <v>24462.2</v>
      </c>
      <c r="E667" s="417">
        <v>0</v>
      </c>
      <c r="F667" s="417">
        <v>0</v>
      </c>
      <c r="G667" s="415">
        <f t="shared" si="187"/>
        <v>24462.2</v>
      </c>
      <c r="H667" s="418"/>
      <c r="I667" s="415">
        <f t="shared" si="188"/>
        <v>4887.3999999999996</v>
      </c>
      <c r="J667" s="442">
        <f t="shared" si="189"/>
        <v>2.9399999999999999E-2</v>
      </c>
      <c r="K667" s="418">
        <f t="shared" ref="K667:K676" si="193">ROUND((G667+D667)/2*J667/12,0)</f>
        <v>60</v>
      </c>
      <c r="L667" s="418">
        <f t="shared" si="190"/>
        <v>0</v>
      </c>
      <c r="M667" s="417">
        <v>0</v>
      </c>
      <c r="N667" s="408">
        <f t="shared" si="191"/>
        <v>4947.3999999999996</v>
      </c>
    </row>
    <row r="668" spans="1:14" x14ac:dyDescent="0.2">
      <c r="A668" s="410">
        <f t="shared" si="192"/>
        <v>20</v>
      </c>
      <c r="B668" s="446">
        <v>393</v>
      </c>
      <c r="C668" s="414" t="s">
        <v>1069</v>
      </c>
      <c r="D668" s="415">
        <f t="shared" si="186"/>
        <v>0</v>
      </c>
      <c r="E668" s="417">
        <v>0</v>
      </c>
      <c r="F668" s="417">
        <v>0</v>
      </c>
      <c r="G668" s="415">
        <f t="shared" si="187"/>
        <v>0</v>
      </c>
      <c r="H668" s="418"/>
      <c r="I668" s="415">
        <f t="shared" si="188"/>
        <v>0</v>
      </c>
      <c r="J668" s="442" t="str">
        <f t="shared" si="189"/>
        <v>Amort.</v>
      </c>
      <c r="K668" s="417">
        <v>0</v>
      </c>
      <c r="L668" s="418">
        <f t="shared" si="190"/>
        <v>0</v>
      </c>
      <c r="M668" s="417">
        <v>0</v>
      </c>
      <c r="N668" s="408">
        <f t="shared" si="191"/>
        <v>0</v>
      </c>
    </row>
    <row r="669" spans="1:14" x14ac:dyDescent="0.2">
      <c r="A669" s="410">
        <f t="shared" si="192"/>
        <v>21</v>
      </c>
      <c r="B669" s="446">
        <v>394.1</v>
      </c>
      <c r="C669" s="414" t="s">
        <v>1070</v>
      </c>
      <c r="D669" s="415">
        <f t="shared" si="186"/>
        <v>24240.799999999999</v>
      </c>
      <c r="E669" s="417">
        <v>0</v>
      </c>
      <c r="F669" s="417">
        <v>0</v>
      </c>
      <c r="G669" s="415">
        <f t="shared" si="187"/>
        <v>24240.799999999999</v>
      </c>
      <c r="H669" s="418"/>
      <c r="I669" s="415">
        <f t="shared" si="188"/>
        <v>14203.82</v>
      </c>
      <c r="J669" s="442">
        <f t="shared" si="189"/>
        <v>0.04</v>
      </c>
      <c r="K669" s="418">
        <f t="shared" si="193"/>
        <v>81</v>
      </c>
      <c r="L669" s="418">
        <f t="shared" si="190"/>
        <v>0</v>
      </c>
      <c r="M669" s="417">
        <v>0</v>
      </c>
      <c r="N669" s="408">
        <f t="shared" si="191"/>
        <v>14284.82</v>
      </c>
    </row>
    <row r="670" spans="1:14" x14ac:dyDescent="0.2">
      <c r="A670" s="410">
        <f t="shared" si="192"/>
        <v>22</v>
      </c>
      <c r="B670" s="446">
        <v>394.11</v>
      </c>
      <c r="C670" s="414" t="s">
        <v>1071</v>
      </c>
      <c r="D670" s="415">
        <f t="shared" si="186"/>
        <v>0</v>
      </c>
      <c r="E670" s="417">
        <v>0</v>
      </c>
      <c r="F670" s="417">
        <v>0</v>
      </c>
      <c r="G670" s="415">
        <f t="shared" si="187"/>
        <v>0</v>
      </c>
      <c r="H670" s="418"/>
      <c r="I670" s="415">
        <f t="shared" si="188"/>
        <v>0</v>
      </c>
      <c r="J670" s="442">
        <f t="shared" si="189"/>
        <v>0.13769999999999999</v>
      </c>
      <c r="K670" s="417">
        <v>0</v>
      </c>
      <c r="L670" s="418">
        <f t="shared" si="190"/>
        <v>0</v>
      </c>
      <c r="M670" s="417">
        <v>0</v>
      </c>
      <c r="N670" s="408">
        <f t="shared" si="191"/>
        <v>0</v>
      </c>
    </row>
    <row r="671" spans="1:14" x14ac:dyDescent="0.2">
      <c r="A671" s="410">
        <f t="shared" si="192"/>
        <v>23</v>
      </c>
      <c r="B671" s="446">
        <v>394.13</v>
      </c>
      <c r="C671" s="438" t="s">
        <v>1072</v>
      </c>
      <c r="D671" s="415">
        <f t="shared" si="186"/>
        <v>0</v>
      </c>
      <c r="E671" s="417">
        <v>0</v>
      </c>
      <c r="F671" s="417">
        <v>0</v>
      </c>
      <c r="G671" s="415">
        <f t="shared" si="187"/>
        <v>0</v>
      </c>
      <c r="H671" s="418"/>
      <c r="I671" s="415">
        <f t="shared" si="188"/>
        <v>37937.360000000001</v>
      </c>
      <c r="J671" s="442" t="str">
        <f t="shared" si="189"/>
        <v>Amort.</v>
      </c>
      <c r="K671" s="417">
        <v>0</v>
      </c>
      <c r="L671" s="418">
        <f t="shared" si="190"/>
        <v>0</v>
      </c>
      <c r="M671" s="417">
        <v>0</v>
      </c>
      <c r="N671" s="408">
        <f t="shared" si="191"/>
        <v>37937.360000000001</v>
      </c>
    </row>
    <row r="672" spans="1:14" x14ac:dyDescent="0.2">
      <c r="A672" s="410">
        <f t="shared" si="192"/>
        <v>24</v>
      </c>
      <c r="B672" s="446">
        <v>394.2</v>
      </c>
      <c r="C672" s="414" t="s">
        <v>1073</v>
      </c>
      <c r="D672" s="415">
        <f t="shared" si="186"/>
        <v>0</v>
      </c>
      <c r="E672" s="417">
        <v>0</v>
      </c>
      <c r="F672" s="417">
        <v>0</v>
      </c>
      <c r="G672" s="415">
        <f t="shared" si="187"/>
        <v>0</v>
      </c>
      <c r="H672" s="418"/>
      <c r="I672" s="415">
        <f t="shared" si="188"/>
        <v>185.21</v>
      </c>
      <c r="J672" s="442">
        <f t="shared" si="189"/>
        <v>0.04</v>
      </c>
      <c r="K672" s="418">
        <f t="shared" si="193"/>
        <v>0</v>
      </c>
      <c r="L672" s="418">
        <f t="shared" si="190"/>
        <v>0</v>
      </c>
      <c r="M672" s="417">
        <v>0</v>
      </c>
      <c r="N672" s="408">
        <f t="shared" si="191"/>
        <v>185.21</v>
      </c>
    </row>
    <row r="673" spans="1:15" x14ac:dyDescent="0.2">
      <c r="A673" s="410">
        <f t="shared" si="192"/>
        <v>25</v>
      </c>
      <c r="B673" s="446">
        <v>394.3</v>
      </c>
      <c r="C673" s="414" t="s">
        <v>1074</v>
      </c>
      <c r="D673" s="415">
        <f t="shared" si="186"/>
        <v>3112446.16</v>
      </c>
      <c r="E673" s="417">
        <v>-2119</v>
      </c>
      <c r="F673" s="417">
        <v>254</v>
      </c>
      <c r="G673" s="415">
        <f t="shared" si="187"/>
        <v>3110581.16</v>
      </c>
      <c r="H673" s="418"/>
      <c r="I673" s="415">
        <f t="shared" si="188"/>
        <v>1233321.1499999999</v>
      </c>
      <c r="J673" s="442">
        <f t="shared" si="189"/>
        <v>0.04</v>
      </c>
      <c r="K673" s="418">
        <f t="shared" si="193"/>
        <v>10372</v>
      </c>
      <c r="L673" s="418">
        <f t="shared" si="190"/>
        <v>-254</v>
      </c>
      <c r="M673" s="417">
        <v>0</v>
      </c>
      <c r="N673" s="408">
        <f t="shared" si="191"/>
        <v>1243947.1499999999</v>
      </c>
    </row>
    <row r="674" spans="1:15" x14ac:dyDescent="0.2">
      <c r="A674" s="410">
        <f t="shared" si="192"/>
        <v>26</v>
      </c>
      <c r="B674" s="446">
        <v>395</v>
      </c>
      <c r="C674" s="414" t="s">
        <v>1075</v>
      </c>
      <c r="D674" s="415">
        <f t="shared" si="186"/>
        <v>9257.77</v>
      </c>
      <c r="E674" s="417">
        <v>0</v>
      </c>
      <c r="F674" s="417">
        <v>0</v>
      </c>
      <c r="G674" s="415">
        <f t="shared" si="187"/>
        <v>9257.77</v>
      </c>
      <c r="H674" s="418"/>
      <c r="I674" s="415">
        <f t="shared" si="188"/>
        <v>7334.59</v>
      </c>
      <c r="J674" s="442">
        <f t="shared" si="189"/>
        <v>0.05</v>
      </c>
      <c r="K674" s="418">
        <f t="shared" si="193"/>
        <v>39</v>
      </c>
      <c r="L674" s="418">
        <f t="shared" si="190"/>
        <v>0</v>
      </c>
      <c r="M674" s="417">
        <v>0</v>
      </c>
      <c r="N674" s="408">
        <f t="shared" si="191"/>
        <v>7373.59</v>
      </c>
    </row>
    <row r="675" spans="1:15" x14ac:dyDescent="0.2">
      <c r="A675" s="410">
        <f t="shared" si="192"/>
        <v>27</v>
      </c>
      <c r="B675" s="446">
        <v>396</v>
      </c>
      <c r="C675" s="414" t="s">
        <v>1076</v>
      </c>
      <c r="D675" s="415">
        <f t="shared" si="186"/>
        <v>253134.72</v>
      </c>
      <c r="E675" s="417">
        <v>0</v>
      </c>
      <c r="F675" s="417">
        <v>0</v>
      </c>
      <c r="G675" s="415">
        <f t="shared" si="187"/>
        <v>253134.72</v>
      </c>
      <c r="H675" s="418"/>
      <c r="I675" s="415">
        <f t="shared" si="188"/>
        <v>199321.72</v>
      </c>
      <c r="J675" s="442">
        <f t="shared" si="189"/>
        <v>0</v>
      </c>
      <c r="K675" s="418">
        <f t="shared" si="193"/>
        <v>0</v>
      </c>
      <c r="L675" s="418">
        <f t="shared" si="190"/>
        <v>0</v>
      </c>
      <c r="M675" s="417">
        <v>0</v>
      </c>
      <c r="N675" s="408">
        <f t="shared" si="191"/>
        <v>199321.72</v>
      </c>
    </row>
    <row r="676" spans="1:15" x14ac:dyDescent="0.2">
      <c r="A676" s="410">
        <f t="shared" si="192"/>
        <v>28</v>
      </c>
      <c r="B676" s="446">
        <v>398</v>
      </c>
      <c r="C676" s="414" t="s">
        <v>1077</v>
      </c>
      <c r="D676" s="421">
        <f t="shared" si="186"/>
        <v>91076.94</v>
      </c>
      <c r="E676" s="1662">
        <v>38201</v>
      </c>
      <c r="F676" s="1662">
        <v>-4584</v>
      </c>
      <c r="G676" s="421">
        <f t="shared" si="187"/>
        <v>124693.94</v>
      </c>
      <c r="H676" s="447"/>
      <c r="I676" s="421">
        <f t="shared" si="188"/>
        <v>22741.59</v>
      </c>
      <c r="J676" s="442">
        <f t="shared" si="189"/>
        <v>6.6699999999999995E-2</v>
      </c>
      <c r="K676" s="421">
        <f t="shared" si="193"/>
        <v>600</v>
      </c>
      <c r="L676" s="421">
        <f t="shared" si="190"/>
        <v>4584</v>
      </c>
      <c r="M676" s="430">
        <v>0</v>
      </c>
      <c r="N676" s="423">
        <f t="shared" si="191"/>
        <v>18757.59</v>
      </c>
    </row>
    <row r="677" spans="1:15" x14ac:dyDescent="0.2">
      <c r="A677" s="410">
        <f t="shared" si="192"/>
        <v>29</v>
      </c>
      <c r="C677" s="386" t="s">
        <v>1078</v>
      </c>
      <c r="D677" s="447">
        <f>SUM(D663:D676)</f>
        <v>5217296.2799999993</v>
      </c>
      <c r="E677" s="447">
        <f>SUM(E663:E676)</f>
        <v>31282</v>
      </c>
      <c r="F677" s="447">
        <f>SUM(F663:F676)</f>
        <v>-3754</v>
      </c>
      <c r="G677" s="447">
        <f>SUM(G663:G676)</f>
        <v>5244824.2799999993</v>
      </c>
      <c r="H677" s="447"/>
      <c r="I677" s="447">
        <f>SUM(I663:I676)</f>
        <v>2078823.27</v>
      </c>
      <c r="J677" s="424"/>
      <c r="K677" s="447">
        <f>SUM(K663:K676)</f>
        <v>28769</v>
      </c>
      <c r="L677" s="447">
        <f>SUM(L663:L676)</f>
        <v>3754</v>
      </c>
      <c r="M677" s="447">
        <f>SUM(M663:M676)</f>
        <v>0</v>
      </c>
      <c r="N677" s="447">
        <f>SUM(N663:N676)</f>
        <v>2103838.27</v>
      </c>
    </row>
    <row r="678" spans="1:15" x14ac:dyDescent="0.2">
      <c r="D678" s="418"/>
      <c r="E678" s="418"/>
      <c r="F678" s="418"/>
      <c r="G678" s="418"/>
      <c r="H678" s="418"/>
      <c r="I678" s="418"/>
      <c r="J678" s="432"/>
      <c r="K678" s="418"/>
      <c r="L678" s="418"/>
      <c r="M678" s="418"/>
    </row>
    <row r="679" spans="1:15" x14ac:dyDescent="0.2">
      <c r="A679" s="405">
        <f>A677+1</f>
        <v>30</v>
      </c>
      <c r="B679" s="448"/>
      <c r="C679" s="411" t="s">
        <v>2287</v>
      </c>
      <c r="D679" s="418"/>
      <c r="E679" s="418"/>
      <c r="F679" s="418"/>
      <c r="G679" s="418"/>
      <c r="H679" s="418"/>
      <c r="I679" s="439"/>
      <c r="J679" s="418"/>
      <c r="K679" s="418"/>
      <c r="L679" s="418"/>
      <c r="M679" s="418"/>
    </row>
    <row r="680" spans="1:15" x14ac:dyDescent="0.2">
      <c r="A680" s="1722">
        <f>A679+1</f>
        <v>31</v>
      </c>
      <c r="B680" s="446">
        <v>378.21</v>
      </c>
      <c r="C680" s="1725" t="s">
        <v>2244</v>
      </c>
      <c r="D680" s="415">
        <f>G574</f>
        <v>-777092</v>
      </c>
      <c r="E680" s="417">
        <v>0</v>
      </c>
      <c r="F680" s="417">
        <v>0</v>
      </c>
      <c r="G680" s="415">
        <f t="shared" ref="G680" si="194">SUM(D680:F680)</f>
        <v>-777092</v>
      </c>
      <c r="H680" s="418"/>
      <c r="I680" s="415">
        <f>N574</f>
        <v>-31602.113333333327</v>
      </c>
      <c r="J680" s="419" t="s">
        <v>1094</v>
      </c>
      <c r="K680" s="417">
        <v>-2158.5833333333321</v>
      </c>
      <c r="L680" s="418">
        <f t="shared" ref="L680" si="195">-F680</f>
        <v>0</v>
      </c>
      <c r="M680" s="417">
        <v>0</v>
      </c>
      <c r="N680" s="408">
        <f t="shared" ref="N680" si="196">I680+K680-L680+M680</f>
        <v>-33760.696666666656</v>
      </c>
      <c r="O680" s="408"/>
    </row>
    <row r="681" spans="1:15" x14ac:dyDescent="0.2">
      <c r="A681" s="1722"/>
      <c r="B681" s="446"/>
      <c r="C681" s="438"/>
      <c r="D681" s="415"/>
      <c r="E681" s="417"/>
      <c r="F681" s="417"/>
      <c r="G681" s="415"/>
      <c r="H681" s="418"/>
      <c r="I681" s="419"/>
      <c r="J681" s="419"/>
      <c r="K681" s="417"/>
      <c r="L681" s="418"/>
      <c r="M681" s="417"/>
      <c r="N681" s="408"/>
      <c r="O681" s="408"/>
    </row>
    <row r="682" spans="1:15" x14ac:dyDescent="0.2">
      <c r="A682" s="410">
        <f>A680+1</f>
        <v>32</v>
      </c>
      <c r="C682" s="386" t="s">
        <v>774</v>
      </c>
      <c r="D682" s="450">
        <f>D677+D660+D605+D601+D680</f>
        <v>411084259.36999989</v>
      </c>
      <c r="E682" s="450">
        <f>E677+E660+E605+E601+E680</f>
        <v>2316514</v>
      </c>
      <c r="F682" s="450">
        <f>F677+F660+F605+F601+F680</f>
        <v>-253727</v>
      </c>
      <c r="G682" s="450">
        <f>G677+G660+G605+G601+G680</f>
        <v>413147046.36999989</v>
      </c>
      <c r="H682" s="418"/>
      <c r="I682" s="450">
        <f>I677+I660+I605+I601+I680</f>
        <v>143999615.54782155</v>
      </c>
      <c r="J682" s="451"/>
      <c r="K682" s="450">
        <f>K677+K660+K605+K601+K680</f>
        <v>768287.16289764026</v>
      </c>
      <c r="L682" s="450">
        <f>L677+L660+L605+L601+L680</f>
        <v>253727</v>
      </c>
      <c r="M682" s="450">
        <f>M677+M660+M605+M601+M680</f>
        <v>-61002</v>
      </c>
      <c r="N682" s="450">
        <f>N677+N660+N605+N601+N680</f>
        <v>144453173.7107192</v>
      </c>
    </row>
    <row r="684" spans="1:15" x14ac:dyDescent="0.2">
      <c r="A684" s="2073" t="str">
        <f>co</f>
        <v>COLUMBIA GAS OF KENTUCKY, INC.</v>
      </c>
      <c r="B684" s="2073"/>
      <c r="C684" s="2073"/>
      <c r="D684" s="2073"/>
      <c r="E684" s="2073"/>
      <c r="F684" s="2073"/>
      <c r="G684" s="2073"/>
      <c r="H684" s="2073"/>
      <c r="I684" s="2073"/>
      <c r="J684" s="2073"/>
      <c r="K684" s="2073"/>
      <c r="L684" s="2073"/>
      <c r="M684" s="2073"/>
      <c r="N684" s="2073"/>
    </row>
    <row r="685" spans="1:15" x14ac:dyDescent="0.2">
      <c r="A685" s="2073" t="str">
        <f>case</f>
        <v>CASE NO. 2016 - 00162</v>
      </c>
      <c r="B685" s="2073"/>
      <c r="C685" s="2073"/>
      <c r="D685" s="2073"/>
      <c r="E685" s="2073"/>
      <c r="F685" s="2073"/>
      <c r="G685" s="2073"/>
      <c r="H685" s="2073"/>
      <c r="I685" s="2073"/>
      <c r="J685" s="2073"/>
      <c r="K685" s="2073"/>
      <c r="L685" s="2073"/>
      <c r="M685" s="2073"/>
      <c r="N685" s="2073"/>
    </row>
    <row r="686" spans="1:15" x14ac:dyDescent="0.2">
      <c r="A686" s="2074" t="s">
        <v>1106</v>
      </c>
      <c r="B686" s="2073"/>
      <c r="C686" s="2073"/>
      <c r="D686" s="2073"/>
      <c r="E686" s="2073"/>
      <c r="F686" s="2073"/>
      <c r="G686" s="2073"/>
      <c r="H686" s="2073"/>
      <c r="I686" s="2073"/>
      <c r="J686" s="2073"/>
      <c r="K686" s="2073"/>
      <c r="L686" s="2073"/>
      <c r="M686" s="2073"/>
      <c r="N686" s="2073"/>
    </row>
    <row r="687" spans="1:15" x14ac:dyDescent="0.2">
      <c r="A687" s="2078" t="s">
        <v>2142</v>
      </c>
      <c r="B687" s="2078"/>
      <c r="C687" s="2078"/>
      <c r="D687" s="2078"/>
      <c r="E687" s="2078"/>
      <c r="F687" s="2078"/>
      <c r="G687" s="2078"/>
      <c r="H687" s="2078"/>
      <c r="I687" s="2078"/>
      <c r="J687" s="2078"/>
      <c r="K687" s="2078"/>
      <c r="L687" s="2078"/>
      <c r="M687" s="2078"/>
      <c r="N687" s="2078"/>
    </row>
    <row r="689" spans="1:14" x14ac:dyDescent="0.2">
      <c r="A689" s="385" t="s">
        <v>1095</v>
      </c>
      <c r="I689" s="386"/>
      <c r="N689" s="387" t="s">
        <v>763</v>
      </c>
    </row>
    <row r="690" spans="1:14" x14ac:dyDescent="0.2">
      <c r="A690" s="388" t="s">
        <v>977</v>
      </c>
      <c r="I690" s="386"/>
      <c r="N690" s="387" t="s">
        <v>998</v>
      </c>
    </row>
    <row r="691" spans="1:14" x14ac:dyDescent="0.2">
      <c r="A691" s="390" t="s">
        <v>997</v>
      </c>
      <c r="B691" s="391"/>
      <c r="C691" s="391"/>
      <c r="D691" s="391"/>
      <c r="E691" s="391"/>
      <c r="F691" s="391"/>
      <c r="G691" s="391"/>
      <c r="H691" s="391"/>
      <c r="I691" s="392"/>
      <c r="L691" s="386"/>
      <c r="M691" s="386"/>
      <c r="N691" s="393" t="str">
        <f>SMK</f>
        <v>WITNESS:  S. M. KATKO</v>
      </c>
    </row>
    <row r="692" spans="1:14" x14ac:dyDescent="0.2">
      <c r="A692" s="390"/>
      <c r="B692" s="391"/>
      <c r="C692" s="391"/>
      <c r="D692" s="391"/>
      <c r="E692" s="391"/>
      <c r="F692" s="391"/>
      <c r="G692" s="391"/>
      <c r="H692" s="391"/>
      <c r="I692" s="392"/>
      <c r="J692" s="393"/>
      <c r="L692" s="386"/>
      <c r="M692" s="386"/>
    </row>
    <row r="693" spans="1:14" x14ac:dyDescent="0.2">
      <c r="A693" s="390"/>
      <c r="B693" s="391"/>
      <c r="C693" s="391"/>
      <c r="D693" s="2075" t="s">
        <v>1088</v>
      </c>
      <c r="E693" s="2075"/>
      <c r="F693" s="2075"/>
      <c r="G693" s="2075"/>
      <c r="H693" s="391"/>
      <c r="I693" s="2076" t="s">
        <v>1093</v>
      </c>
      <c r="J693" s="2077"/>
      <c r="K693" s="2077"/>
      <c r="L693" s="2077"/>
      <c r="M693" s="2077"/>
      <c r="N693" s="2077"/>
    </row>
    <row r="694" spans="1:14" x14ac:dyDescent="0.2">
      <c r="A694" s="394"/>
      <c r="B694" s="391"/>
      <c r="C694" s="391"/>
      <c r="D694" s="396" t="s">
        <v>1084</v>
      </c>
      <c r="E694" s="391"/>
      <c r="F694" s="391"/>
      <c r="G694" s="395"/>
      <c r="H694" s="395"/>
      <c r="I694" s="397" t="s">
        <v>1089</v>
      </c>
      <c r="J694" s="396"/>
      <c r="M694" s="386"/>
    </row>
    <row r="695" spans="1:14" x14ac:dyDescent="0.2">
      <c r="A695" s="383"/>
      <c r="D695" s="397" t="s">
        <v>865</v>
      </c>
      <c r="G695" s="397" t="s">
        <v>867</v>
      </c>
      <c r="H695" s="398"/>
      <c r="I695" s="397" t="s">
        <v>865</v>
      </c>
      <c r="J695" s="397" t="s">
        <v>956</v>
      </c>
      <c r="M695" s="386"/>
      <c r="N695" s="397" t="s">
        <v>867</v>
      </c>
    </row>
    <row r="696" spans="1:14" x14ac:dyDescent="0.2">
      <c r="A696" s="397" t="s">
        <v>1080</v>
      </c>
      <c r="B696" s="397" t="s">
        <v>1082</v>
      </c>
      <c r="D696" s="397" t="s">
        <v>867</v>
      </c>
      <c r="G696" s="399" t="s">
        <v>1087</v>
      </c>
      <c r="H696" s="398"/>
      <c r="I696" s="399" t="s">
        <v>867</v>
      </c>
      <c r="J696" s="397" t="s">
        <v>1090</v>
      </c>
      <c r="K696" s="397" t="s">
        <v>956</v>
      </c>
      <c r="M696" s="399" t="s">
        <v>1092</v>
      </c>
      <c r="N696" s="399" t="s">
        <v>1087</v>
      </c>
    </row>
    <row r="697" spans="1:14" x14ac:dyDescent="0.2">
      <c r="A697" s="400" t="s">
        <v>1081</v>
      </c>
      <c r="B697" s="400" t="s">
        <v>1081</v>
      </c>
      <c r="C697" s="401" t="s">
        <v>1083</v>
      </c>
      <c r="D697" s="409" t="str">
        <f>"08/31/2016"</f>
        <v>08/31/2016</v>
      </c>
      <c r="E697" s="400" t="s">
        <v>1085</v>
      </c>
      <c r="F697" s="400" t="s">
        <v>1086</v>
      </c>
      <c r="G697" s="409" t="str">
        <f>"09/30/2016"</f>
        <v>09/30/2016</v>
      </c>
      <c r="H697" s="398"/>
      <c r="I697" s="404" t="str">
        <f>D697</f>
        <v>08/31/2016</v>
      </c>
      <c r="J697" s="400" t="s">
        <v>1091</v>
      </c>
      <c r="K697" s="402" t="s">
        <v>1090</v>
      </c>
      <c r="L697" s="402" t="s">
        <v>1086</v>
      </c>
      <c r="M697" s="402" t="s">
        <v>955</v>
      </c>
      <c r="N697" s="404" t="str">
        <f>G697</f>
        <v>09/30/2016</v>
      </c>
    </row>
    <row r="698" spans="1:14" x14ac:dyDescent="0.2">
      <c r="A698" s="406"/>
      <c r="B698" s="406"/>
      <c r="C698" s="406"/>
      <c r="D698" s="406" t="str">
        <f>"(1)"</f>
        <v>(1)</v>
      </c>
      <c r="E698" s="406" t="str">
        <f>"(2)"</f>
        <v>(2)</v>
      </c>
      <c r="F698" s="406" t="str">
        <f>"(3)"</f>
        <v>(3)</v>
      </c>
      <c r="G698" s="406" t="str">
        <f>"(4)=(1+2+3)"</f>
        <v>(4)=(1+2+3)</v>
      </c>
      <c r="H698" s="406"/>
      <c r="I698" s="406" t="str">
        <f>"(5)"</f>
        <v>(5)</v>
      </c>
      <c r="J698" s="406" t="str">
        <f>"(6)"</f>
        <v>(6)</v>
      </c>
      <c r="K698" s="406" t="str">
        <f>"(7)=((1+4)/2*6/12))"</f>
        <v>(7)=((1+4)/2*6/12))</v>
      </c>
      <c r="L698" s="406" t="str">
        <f>"(8)"</f>
        <v>(8)</v>
      </c>
      <c r="M698" s="406" t="str">
        <f>"(9)"</f>
        <v>(9)</v>
      </c>
      <c r="N698" s="406" t="str">
        <f>"(10)=(5+7-8+9)"</f>
        <v>(10)=(5+7-8+9)</v>
      </c>
    </row>
    <row r="699" spans="1:14" x14ac:dyDescent="0.2">
      <c r="D699" s="410" t="s">
        <v>639</v>
      </c>
      <c r="E699" s="410" t="s">
        <v>639</v>
      </c>
      <c r="F699" s="410" t="s">
        <v>639</v>
      </c>
      <c r="G699" s="410" t="s">
        <v>639</v>
      </c>
      <c r="H699" s="410"/>
      <c r="I699" s="410" t="s">
        <v>639</v>
      </c>
      <c r="J699" s="410" t="s">
        <v>639</v>
      </c>
      <c r="K699" s="410" t="s">
        <v>639</v>
      </c>
      <c r="L699" s="410" t="s">
        <v>639</v>
      </c>
      <c r="M699" s="410" t="s">
        <v>639</v>
      </c>
      <c r="N699" s="410" t="s">
        <v>639</v>
      </c>
    </row>
    <row r="700" spans="1:14" x14ac:dyDescent="0.2">
      <c r="A700" s="410">
        <v>1</v>
      </c>
      <c r="B700" s="411" t="s">
        <v>1025</v>
      </c>
      <c r="C700" s="412"/>
      <c r="M700" s="386"/>
    </row>
    <row r="701" spans="1:14" x14ac:dyDescent="0.2">
      <c r="A701" s="410">
        <f>A700+1</f>
        <v>2</v>
      </c>
      <c r="C701" s="411" t="s">
        <v>697</v>
      </c>
      <c r="M701" s="386"/>
    </row>
    <row r="702" spans="1:14" x14ac:dyDescent="0.2">
      <c r="A702" s="410">
        <f t="shared" ref="A702:A707" si="197">A701+1</f>
        <v>3</v>
      </c>
      <c r="B702" s="413">
        <v>301</v>
      </c>
      <c r="C702" s="414" t="s">
        <v>1026</v>
      </c>
      <c r="D702" s="415">
        <f>G596</f>
        <v>521.20000000000005</v>
      </c>
      <c r="E702" s="417">
        <v>0</v>
      </c>
      <c r="F702" s="417">
        <v>0</v>
      </c>
      <c r="G702" s="415">
        <f>SUM(D702:F702)</f>
        <v>521.20000000000005</v>
      </c>
      <c r="H702" s="418"/>
      <c r="I702" s="415">
        <f>N596</f>
        <v>0</v>
      </c>
      <c r="J702" s="419" t="s">
        <v>1094</v>
      </c>
      <c r="K702" s="417">
        <v>0</v>
      </c>
      <c r="L702" s="418">
        <f>-F702</f>
        <v>0</v>
      </c>
      <c r="M702" s="417">
        <v>0</v>
      </c>
      <c r="N702" s="408">
        <f>I702+K702-L702+M702</f>
        <v>0</v>
      </c>
    </row>
    <row r="703" spans="1:14" x14ac:dyDescent="0.2">
      <c r="A703" s="410">
        <f t="shared" si="197"/>
        <v>4</v>
      </c>
      <c r="B703" s="413">
        <v>303</v>
      </c>
      <c r="C703" s="414" t="s">
        <v>1027</v>
      </c>
      <c r="D703" s="415">
        <f>G597</f>
        <v>74347.509999999995</v>
      </c>
      <c r="E703" s="417">
        <v>0</v>
      </c>
      <c r="F703" s="417">
        <v>0</v>
      </c>
      <c r="G703" s="415">
        <f>SUM(D703:F703)</f>
        <v>74347.509999999995</v>
      </c>
      <c r="H703" s="418"/>
      <c r="I703" s="415">
        <f>N597</f>
        <v>47038.549999999981</v>
      </c>
      <c r="J703" s="419" t="s">
        <v>1094</v>
      </c>
      <c r="K703" s="415">
        <f>'Intangible Amort.'!N$20</f>
        <v>206.52</v>
      </c>
      <c r="L703" s="418">
        <f>-F703</f>
        <v>0</v>
      </c>
      <c r="M703" s="417">
        <v>0</v>
      </c>
      <c r="N703" s="408">
        <f>I703+K703-L703+M703</f>
        <v>47245.069999999978</v>
      </c>
    </row>
    <row r="704" spans="1:14" x14ac:dyDescent="0.2">
      <c r="A704" s="410">
        <f t="shared" si="197"/>
        <v>5</v>
      </c>
      <c r="B704" s="413">
        <v>303.10000000000002</v>
      </c>
      <c r="C704" s="414" t="s">
        <v>1028</v>
      </c>
      <c r="D704" s="415">
        <f>G598</f>
        <v>0</v>
      </c>
      <c r="E704" s="417">
        <v>0</v>
      </c>
      <c r="F704" s="417">
        <v>0</v>
      </c>
      <c r="G704" s="415">
        <f>SUM(D704:F704)</f>
        <v>0</v>
      </c>
      <c r="H704" s="418"/>
      <c r="I704" s="415">
        <f>N598</f>
        <v>0</v>
      </c>
      <c r="J704" s="419" t="s">
        <v>1094</v>
      </c>
      <c r="K704" s="417">
        <v>0</v>
      </c>
      <c r="L704" s="418">
        <f>-F704</f>
        <v>0</v>
      </c>
      <c r="M704" s="417">
        <v>0</v>
      </c>
      <c r="N704" s="408">
        <f>I704+K704-L704+M704</f>
        <v>0</v>
      </c>
    </row>
    <row r="705" spans="1:14" x14ac:dyDescent="0.2">
      <c r="A705" s="410">
        <f t="shared" si="197"/>
        <v>6</v>
      </c>
      <c r="B705" s="413">
        <v>303.2</v>
      </c>
      <c r="C705" s="414" t="s">
        <v>1029</v>
      </c>
      <c r="D705" s="415">
        <f>G599</f>
        <v>0</v>
      </c>
      <c r="E705" s="417">
        <v>0</v>
      </c>
      <c r="F705" s="417">
        <v>0</v>
      </c>
      <c r="G705" s="415">
        <f>SUM(D705:F705)</f>
        <v>0</v>
      </c>
      <c r="H705" s="418"/>
      <c r="I705" s="415">
        <f>N599</f>
        <v>0</v>
      </c>
      <c r="J705" s="419" t="s">
        <v>1094</v>
      </c>
      <c r="K705" s="417">
        <v>0</v>
      </c>
      <c r="L705" s="418">
        <f>-F705</f>
        <v>0</v>
      </c>
      <c r="M705" s="417">
        <v>0</v>
      </c>
      <c r="N705" s="408">
        <f>I705+K705-L705+M705</f>
        <v>0</v>
      </c>
    </row>
    <row r="706" spans="1:14" x14ac:dyDescent="0.2">
      <c r="A706" s="410">
        <f t="shared" si="197"/>
        <v>7</v>
      </c>
      <c r="B706" s="413">
        <v>303.3</v>
      </c>
      <c r="C706" s="414" t="s">
        <v>1030</v>
      </c>
      <c r="D706" s="421">
        <f>G600</f>
        <v>6022211</v>
      </c>
      <c r="E706" s="422">
        <v>202119</v>
      </c>
      <c r="F706" s="422">
        <v>0</v>
      </c>
      <c r="G706" s="421">
        <f>SUM(D706:F706)</f>
        <v>6224330</v>
      </c>
      <c r="H706" s="418"/>
      <c r="I706" s="421">
        <f>N600</f>
        <v>2572404.5105437357</v>
      </c>
      <c r="J706" s="419" t="s">
        <v>1094</v>
      </c>
      <c r="K706" s="421">
        <f>'Intangible Amort.'!N$93</f>
        <v>77246.630603443176</v>
      </c>
      <c r="L706" s="421">
        <f>-F706</f>
        <v>0</v>
      </c>
      <c r="M706" s="422">
        <v>0</v>
      </c>
      <c r="N706" s="423">
        <f>I706+K706-L706+M706</f>
        <v>2649651.1411471791</v>
      </c>
    </row>
    <row r="707" spans="1:14" x14ac:dyDescent="0.2">
      <c r="A707" s="410">
        <f t="shared" si="197"/>
        <v>8</v>
      </c>
      <c r="B707" s="413"/>
      <c r="C707" s="414" t="s">
        <v>1031</v>
      </c>
      <c r="D707" s="418">
        <f>SUM(D702:D706)</f>
        <v>6097079.71</v>
      </c>
      <c r="E707" s="418">
        <f>SUM(E702:E706)</f>
        <v>202119</v>
      </c>
      <c r="F707" s="418">
        <f>SUM(F702:F706)</f>
        <v>0</v>
      </c>
      <c r="G707" s="418">
        <f>SUM(G702:G706)</f>
        <v>6299198.71</v>
      </c>
      <c r="H707" s="418"/>
      <c r="I707" s="418">
        <f>SUM(I702:I706)</f>
        <v>2619443.0605437355</v>
      </c>
      <c r="J707" s="424"/>
      <c r="K707" s="418">
        <f>SUM(K702:K706)</f>
        <v>77453.15060344318</v>
      </c>
      <c r="L707" s="418">
        <f>SUM(L702:L706)</f>
        <v>0</v>
      </c>
      <c r="M707" s="418">
        <f>SUM(M702:M706)</f>
        <v>0</v>
      </c>
      <c r="N707" s="418">
        <f>SUM(N702:N706)</f>
        <v>2696896.2111471789</v>
      </c>
    </row>
    <row r="708" spans="1:14" x14ac:dyDescent="0.2">
      <c r="B708" s="425"/>
      <c r="D708" s="418"/>
      <c r="E708" s="418"/>
      <c r="F708" s="418"/>
      <c r="G708" s="418"/>
      <c r="H708" s="418"/>
      <c r="I708" s="418"/>
      <c r="J708" s="424"/>
      <c r="K708" s="418"/>
      <c r="L708" s="418"/>
      <c r="M708" s="418"/>
    </row>
    <row r="709" spans="1:14" x14ac:dyDescent="0.2">
      <c r="A709" s="410">
        <f>A707+1</f>
        <v>9</v>
      </c>
      <c r="B709" s="425"/>
      <c r="C709" s="411" t="s">
        <v>704</v>
      </c>
      <c r="D709" s="418"/>
      <c r="E709" s="418"/>
      <c r="F709" s="418"/>
      <c r="G709" s="418"/>
      <c r="H709" s="418"/>
      <c r="I709" s="418"/>
      <c r="J709" s="424"/>
      <c r="K709" s="418"/>
      <c r="L709" s="418"/>
      <c r="M709" s="418"/>
    </row>
    <row r="710" spans="1:14" x14ac:dyDescent="0.2">
      <c r="A710" s="410">
        <f>A709+1</f>
        <v>10</v>
      </c>
      <c r="B710" s="426">
        <v>304.10000000000002</v>
      </c>
      <c r="C710" s="427" t="s">
        <v>1032</v>
      </c>
      <c r="D710" s="421">
        <f>G604</f>
        <v>0</v>
      </c>
      <c r="E710" s="1662">
        <v>0</v>
      </c>
      <c r="F710" s="1662">
        <v>0</v>
      </c>
      <c r="G710" s="421">
        <f>SUM(D710:F710)</f>
        <v>0</v>
      </c>
      <c r="H710" s="418"/>
      <c r="I710" s="421">
        <f>N604</f>
        <v>0</v>
      </c>
      <c r="J710" s="429" t="s">
        <v>1102</v>
      </c>
      <c r="K710" s="430">
        <v>0</v>
      </c>
      <c r="L710" s="421">
        <f>-F710</f>
        <v>0</v>
      </c>
      <c r="M710" s="422">
        <v>0</v>
      </c>
      <c r="N710" s="423">
        <f>I710+K710-L710+M710</f>
        <v>0</v>
      </c>
    </row>
    <row r="711" spans="1:14" x14ac:dyDescent="0.2">
      <c r="A711" s="410">
        <f>A710+1</f>
        <v>11</v>
      </c>
      <c r="B711" s="426"/>
      <c r="C711" s="431" t="s">
        <v>1079</v>
      </c>
      <c r="D711" s="418">
        <f>D710</f>
        <v>0</v>
      </c>
      <c r="E711" s="418">
        <f>E710</f>
        <v>0</v>
      </c>
      <c r="F711" s="418">
        <f>F710</f>
        <v>0</v>
      </c>
      <c r="G711" s="418">
        <f>G710</f>
        <v>0</v>
      </c>
      <c r="H711" s="418"/>
      <c r="I711" s="418">
        <f>I710</f>
        <v>0</v>
      </c>
      <c r="J711" s="432"/>
      <c r="K711" s="418">
        <f>SUM(K710)</f>
        <v>0</v>
      </c>
      <c r="L711" s="418">
        <f>SUM(L710)</f>
        <v>0</v>
      </c>
      <c r="M711" s="418">
        <f>M710</f>
        <v>0</v>
      </c>
      <c r="N711" s="418">
        <f>N710</f>
        <v>0</v>
      </c>
    </row>
    <row r="712" spans="1:14" x14ac:dyDescent="0.2">
      <c r="B712" s="425"/>
      <c r="D712" s="418"/>
      <c r="E712" s="418"/>
      <c r="F712" s="418"/>
      <c r="G712" s="418"/>
      <c r="H712" s="418"/>
      <c r="I712" s="418"/>
      <c r="J712" s="432"/>
      <c r="K712" s="418"/>
      <c r="L712" s="418"/>
      <c r="M712" s="418"/>
    </row>
    <row r="713" spans="1:14" x14ac:dyDescent="0.2">
      <c r="A713" s="410">
        <f>A711+1</f>
        <v>12</v>
      </c>
      <c r="B713" s="425"/>
      <c r="C713" s="411" t="s">
        <v>707</v>
      </c>
      <c r="D713" s="418"/>
      <c r="E713" s="418"/>
      <c r="F713" s="418"/>
      <c r="G713" s="418"/>
      <c r="H713" s="418"/>
      <c r="I713" s="418"/>
      <c r="J713" s="432"/>
      <c r="K713" s="418"/>
      <c r="L713" s="418"/>
      <c r="M713" s="418"/>
    </row>
    <row r="714" spans="1:14" x14ac:dyDescent="0.2">
      <c r="A714" s="410">
        <f>A713+1</f>
        <v>13</v>
      </c>
      <c r="B714" s="413">
        <v>374.1</v>
      </c>
      <c r="C714" s="414" t="s">
        <v>1035</v>
      </c>
      <c r="D714" s="415">
        <f t="shared" ref="D714:D724" si="198">G608</f>
        <v>206</v>
      </c>
      <c r="E714" s="417">
        <v>0</v>
      </c>
      <c r="F714" s="417">
        <v>0</v>
      </c>
      <c r="G714" s="415">
        <f>SUM(D714:F714)</f>
        <v>206</v>
      </c>
      <c r="H714" s="418"/>
      <c r="I714" s="415">
        <f t="shared" ref="I714:I724" si="199">N608</f>
        <v>0</v>
      </c>
      <c r="J714" s="429" t="s">
        <v>1102</v>
      </c>
      <c r="K714" s="417">
        <v>0</v>
      </c>
      <c r="L714" s="418">
        <f t="shared" ref="L714:L724" si="200">-F714</f>
        <v>0</v>
      </c>
      <c r="M714" s="417">
        <v>0</v>
      </c>
      <c r="N714" s="408">
        <f t="shared" ref="N714:N724" si="201">I714+K714-L714+M714</f>
        <v>0</v>
      </c>
    </row>
    <row r="715" spans="1:14" x14ac:dyDescent="0.2">
      <c r="A715" s="410">
        <f t="shared" ref="A715:A735" si="202">A714+1</f>
        <v>14</v>
      </c>
      <c r="B715" s="413">
        <v>374.2</v>
      </c>
      <c r="C715" s="414" t="s">
        <v>1036</v>
      </c>
      <c r="D715" s="415">
        <f t="shared" si="198"/>
        <v>877756.18</v>
      </c>
      <c r="E715" s="417">
        <v>0</v>
      </c>
      <c r="F715" s="417">
        <v>0</v>
      </c>
      <c r="G715" s="415">
        <f t="shared" ref="G715:G724" si="203">SUM(D715:F715)</f>
        <v>877756.18</v>
      </c>
      <c r="H715" s="418"/>
      <c r="I715" s="415">
        <f t="shared" si="199"/>
        <v>-523.13</v>
      </c>
      <c r="J715" s="429" t="s">
        <v>1102</v>
      </c>
      <c r="K715" s="417">
        <v>0</v>
      </c>
      <c r="L715" s="418">
        <f t="shared" si="200"/>
        <v>0</v>
      </c>
      <c r="M715" s="417">
        <v>0</v>
      </c>
      <c r="N715" s="408">
        <f t="shared" si="201"/>
        <v>-523.13</v>
      </c>
    </row>
    <row r="716" spans="1:14" x14ac:dyDescent="0.2">
      <c r="A716" s="410">
        <f t="shared" si="202"/>
        <v>15</v>
      </c>
      <c r="B716" s="413">
        <v>374.4</v>
      </c>
      <c r="C716" s="414" t="s">
        <v>1037</v>
      </c>
      <c r="D716" s="415">
        <f t="shared" si="198"/>
        <v>661305.66</v>
      </c>
      <c r="E716" s="417">
        <v>0</v>
      </c>
      <c r="F716" s="417">
        <v>0</v>
      </c>
      <c r="G716" s="415">
        <f t="shared" si="203"/>
        <v>661305.66</v>
      </c>
      <c r="H716" s="418"/>
      <c r="I716" s="415">
        <f t="shared" si="199"/>
        <v>175511.36</v>
      </c>
      <c r="J716" s="442">
        <f t="shared" ref="J716:J722" si="204">J610</f>
        <v>1.5299999999999999E-2</v>
      </c>
      <c r="K716" s="418">
        <f>ROUND((G716+D716)/2*J716/12,0)</f>
        <v>843</v>
      </c>
      <c r="L716" s="418">
        <f t="shared" si="200"/>
        <v>0</v>
      </c>
      <c r="M716" s="417">
        <v>0</v>
      </c>
      <c r="N716" s="408">
        <f t="shared" si="201"/>
        <v>176354.36</v>
      </c>
    </row>
    <row r="717" spans="1:14" x14ac:dyDescent="0.2">
      <c r="A717" s="410">
        <f t="shared" si="202"/>
        <v>16</v>
      </c>
      <c r="B717" s="413">
        <v>374.5</v>
      </c>
      <c r="C717" s="414" t="s">
        <v>1038</v>
      </c>
      <c r="D717" s="415">
        <f t="shared" si="198"/>
        <v>2697932.55</v>
      </c>
      <c r="E717" s="417">
        <v>1659</v>
      </c>
      <c r="F717" s="417">
        <v>-199</v>
      </c>
      <c r="G717" s="415">
        <f t="shared" si="203"/>
        <v>2699392.55</v>
      </c>
      <c r="H717" s="418"/>
      <c r="I717" s="415">
        <f t="shared" si="199"/>
        <v>918640.23</v>
      </c>
      <c r="J717" s="442">
        <f t="shared" si="204"/>
        <v>1.2200000000000001E-2</v>
      </c>
      <c r="K717" s="418">
        <f t="shared" ref="K717:K722" si="205">ROUND((G717+D717)/2*J717/12,0)</f>
        <v>2744</v>
      </c>
      <c r="L717" s="418">
        <f t="shared" si="200"/>
        <v>199</v>
      </c>
      <c r="M717" s="417">
        <v>0</v>
      </c>
      <c r="N717" s="408">
        <f t="shared" si="201"/>
        <v>921185.23</v>
      </c>
    </row>
    <row r="718" spans="1:14" x14ac:dyDescent="0.2">
      <c r="A718" s="410">
        <f t="shared" si="202"/>
        <v>17</v>
      </c>
      <c r="B718" s="413">
        <v>375.2</v>
      </c>
      <c r="C718" s="414" t="s">
        <v>1039</v>
      </c>
      <c r="D718" s="415">
        <f t="shared" si="198"/>
        <v>2124.98</v>
      </c>
      <c r="E718" s="417">
        <v>0</v>
      </c>
      <c r="F718" s="417">
        <v>0</v>
      </c>
      <c r="G718" s="415">
        <f t="shared" si="203"/>
        <v>2124.98</v>
      </c>
      <c r="H718" s="418"/>
      <c r="I718" s="415">
        <f t="shared" si="199"/>
        <v>2015.32</v>
      </c>
      <c r="J718" s="442">
        <f t="shared" si="204"/>
        <v>1.9599999999999999E-2</v>
      </c>
      <c r="K718" s="418">
        <f t="shared" si="205"/>
        <v>3</v>
      </c>
      <c r="L718" s="418">
        <f t="shared" si="200"/>
        <v>0</v>
      </c>
      <c r="M718" s="417">
        <v>0</v>
      </c>
      <c r="N718" s="408">
        <f t="shared" si="201"/>
        <v>2018.32</v>
      </c>
    </row>
    <row r="719" spans="1:14" x14ac:dyDescent="0.2">
      <c r="A719" s="410">
        <f t="shared" si="202"/>
        <v>18</v>
      </c>
      <c r="B719" s="413">
        <v>375.3</v>
      </c>
      <c r="C719" s="414" t="s">
        <v>1040</v>
      </c>
      <c r="D719" s="415">
        <f t="shared" si="198"/>
        <v>0</v>
      </c>
      <c r="E719" s="417">
        <v>0</v>
      </c>
      <c r="F719" s="417">
        <v>0</v>
      </c>
      <c r="G719" s="415">
        <f t="shared" si="203"/>
        <v>0</v>
      </c>
      <c r="H719" s="418"/>
      <c r="I719" s="415">
        <f t="shared" si="199"/>
        <v>-77.66</v>
      </c>
      <c r="J719" s="442">
        <f t="shared" si="204"/>
        <v>1.9599999999999999E-2</v>
      </c>
      <c r="K719" s="418">
        <f t="shared" si="205"/>
        <v>0</v>
      </c>
      <c r="L719" s="418">
        <f t="shared" si="200"/>
        <v>0</v>
      </c>
      <c r="M719" s="417">
        <v>0</v>
      </c>
      <c r="N719" s="408">
        <f t="shared" si="201"/>
        <v>-77.66</v>
      </c>
    </row>
    <row r="720" spans="1:14" x14ac:dyDescent="0.2">
      <c r="A720" s="410">
        <f t="shared" si="202"/>
        <v>19</v>
      </c>
      <c r="B720" s="413">
        <v>375.4</v>
      </c>
      <c r="C720" s="414" t="s">
        <v>1041</v>
      </c>
      <c r="D720" s="415">
        <f t="shared" si="198"/>
        <v>1921438.02</v>
      </c>
      <c r="E720" s="417">
        <v>50282</v>
      </c>
      <c r="F720" s="417">
        <v>-6034</v>
      </c>
      <c r="G720" s="415">
        <f t="shared" si="203"/>
        <v>1965686.02</v>
      </c>
      <c r="H720" s="418"/>
      <c r="I720" s="415">
        <f t="shared" si="199"/>
        <v>497365.37</v>
      </c>
      <c r="J720" s="442">
        <f t="shared" si="204"/>
        <v>1.9599999999999999E-2</v>
      </c>
      <c r="K720" s="418">
        <f t="shared" si="205"/>
        <v>3174</v>
      </c>
      <c r="L720" s="418">
        <f t="shared" si="200"/>
        <v>6034</v>
      </c>
      <c r="M720" s="417">
        <v>-603</v>
      </c>
      <c r="N720" s="408">
        <f t="shared" si="201"/>
        <v>493902.37</v>
      </c>
    </row>
    <row r="721" spans="1:14" x14ac:dyDescent="0.2">
      <c r="A721" s="410">
        <f t="shared" si="202"/>
        <v>20</v>
      </c>
      <c r="B721" s="413">
        <v>375.6</v>
      </c>
      <c r="C721" s="414" t="s">
        <v>1042</v>
      </c>
      <c r="D721" s="415">
        <f t="shared" si="198"/>
        <v>0</v>
      </c>
      <c r="E721" s="417">
        <v>0</v>
      </c>
      <c r="F721" s="417">
        <v>0</v>
      </c>
      <c r="G721" s="415">
        <f t="shared" si="203"/>
        <v>0</v>
      </c>
      <c r="H721" s="418"/>
      <c r="I721" s="415">
        <f t="shared" si="199"/>
        <v>0.02</v>
      </c>
      <c r="J721" s="442">
        <f t="shared" si="204"/>
        <v>1.9599999999999999E-2</v>
      </c>
      <c r="K721" s="418">
        <f t="shared" si="205"/>
        <v>0</v>
      </c>
      <c r="L721" s="418">
        <f t="shared" si="200"/>
        <v>0</v>
      </c>
      <c r="M721" s="417">
        <v>0</v>
      </c>
      <c r="N721" s="408">
        <f t="shared" si="201"/>
        <v>0.02</v>
      </c>
    </row>
    <row r="722" spans="1:14" x14ac:dyDescent="0.2">
      <c r="A722" s="410">
        <f t="shared" si="202"/>
        <v>21</v>
      </c>
      <c r="B722" s="413">
        <v>375.7</v>
      </c>
      <c r="C722" s="414" t="s">
        <v>1043</v>
      </c>
      <c r="D722" s="415">
        <f t="shared" si="198"/>
        <v>8045754.21</v>
      </c>
      <c r="E722" s="417">
        <v>59601</v>
      </c>
      <c r="F722" s="417">
        <v>-7152</v>
      </c>
      <c r="G722" s="415">
        <f t="shared" si="203"/>
        <v>8098203.21</v>
      </c>
      <c r="H722" s="418"/>
      <c r="I722" s="415">
        <f t="shared" si="199"/>
        <v>3290740.06</v>
      </c>
      <c r="J722" s="442">
        <f t="shared" si="204"/>
        <v>1.9900000000000001E-2</v>
      </c>
      <c r="K722" s="418">
        <f t="shared" si="205"/>
        <v>13386</v>
      </c>
      <c r="L722" s="418">
        <f t="shared" si="200"/>
        <v>7152</v>
      </c>
      <c r="M722" s="417">
        <v>0</v>
      </c>
      <c r="N722" s="408">
        <f t="shared" si="201"/>
        <v>3296974.06</v>
      </c>
    </row>
    <row r="723" spans="1:14" x14ac:dyDescent="0.2">
      <c r="A723" s="410">
        <f t="shared" si="202"/>
        <v>22</v>
      </c>
      <c r="B723" s="413">
        <v>375.71</v>
      </c>
      <c r="C723" s="414" t="s">
        <v>1044</v>
      </c>
      <c r="D723" s="415">
        <f t="shared" si="198"/>
        <v>259808.94</v>
      </c>
      <c r="E723" s="417">
        <v>0</v>
      </c>
      <c r="F723" s="417">
        <v>0</v>
      </c>
      <c r="G723" s="415">
        <f t="shared" si="203"/>
        <v>259808.94</v>
      </c>
      <c r="H723" s="418"/>
      <c r="I723" s="415">
        <f t="shared" si="199"/>
        <v>171679.35684210534</v>
      </c>
      <c r="J723" s="419" t="s">
        <v>1094</v>
      </c>
      <c r="K723" s="417">
        <f>104653.88/38</f>
        <v>2754.0494736842106</v>
      </c>
      <c r="L723" s="418">
        <f t="shared" si="200"/>
        <v>0</v>
      </c>
      <c r="M723" s="417">
        <v>0</v>
      </c>
      <c r="N723" s="408">
        <f t="shared" si="201"/>
        <v>174433.40631578956</v>
      </c>
    </row>
    <row r="724" spans="1:14" x14ac:dyDescent="0.2">
      <c r="A724" s="410">
        <f t="shared" si="202"/>
        <v>23</v>
      </c>
      <c r="B724" s="413">
        <v>375.8</v>
      </c>
      <c r="C724" s="414" t="s">
        <v>1045</v>
      </c>
      <c r="D724" s="415">
        <f t="shared" si="198"/>
        <v>0</v>
      </c>
      <c r="E724" s="417">
        <v>0</v>
      </c>
      <c r="F724" s="417">
        <v>0</v>
      </c>
      <c r="G724" s="415">
        <f t="shared" si="203"/>
        <v>0</v>
      </c>
      <c r="H724" s="418"/>
      <c r="I724" s="415">
        <f t="shared" si="199"/>
        <v>0</v>
      </c>
      <c r="J724" s="442">
        <f>J618</f>
        <v>5.3199999999999997E-2</v>
      </c>
      <c r="K724" s="417">
        <v>0</v>
      </c>
      <c r="L724" s="418">
        <f t="shared" si="200"/>
        <v>0</v>
      </c>
      <c r="M724" s="417">
        <v>0</v>
      </c>
      <c r="N724" s="408">
        <f t="shared" si="201"/>
        <v>0</v>
      </c>
    </row>
    <row r="725" spans="1:14" x14ac:dyDescent="0.2">
      <c r="A725" s="410">
        <f>A724+1</f>
        <v>24</v>
      </c>
      <c r="B725" s="413">
        <v>376</v>
      </c>
      <c r="C725" s="438" t="s">
        <v>1096</v>
      </c>
      <c r="D725" s="415"/>
      <c r="E725" s="417"/>
      <c r="F725" s="417"/>
      <c r="G725" s="415"/>
      <c r="H725" s="418"/>
      <c r="I725" s="439"/>
      <c r="J725" s="432"/>
      <c r="K725" s="418"/>
      <c r="L725" s="418"/>
      <c r="M725" s="417"/>
    </row>
    <row r="726" spans="1:14" x14ac:dyDescent="0.2">
      <c r="A726" s="410"/>
      <c r="B726" s="413"/>
      <c r="C726" s="440" t="s">
        <v>1097</v>
      </c>
      <c r="D726" s="415"/>
      <c r="E726" s="417"/>
      <c r="F726" s="417"/>
      <c r="G726" s="415"/>
      <c r="H726" s="418"/>
      <c r="I726" s="415"/>
      <c r="J726" s="442"/>
      <c r="K726" s="418"/>
      <c r="L726" s="418"/>
      <c r="M726" s="417"/>
      <c r="N726" s="408"/>
    </row>
    <row r="727" spans="1:14" x14ac:dyDescent="0.2">
      <c r="A727" s="410"/>
      <c r="B727" s="413"/>
      <c r="C727" s="440" t="s">
        <v>1098</v>
      </c>
      <c r="D727" s="415"/>
      <c r="E727" s="417"/>
      <c r="F727" s="417"/>
      <c r="G727" s="415"/>
      <c r="H727" s="418"/>
      <c r="I727" s="415"/>
      <c r="J727" s="442"/>
      <c r="K727" s="418"/>
      <c r="L727" s="418"/>
      <c r="M727" s="417"/>
      <c r="N727" s="408"/>
    </row>
    <row r="728" spans="1:14" x14ac:dyDescent="0.2">
      <c r="A728" s="410"/>
      <c r="B728" s="413"/>
      <c r="C728" s="440" t="s">
        <v>1099</v>
      </c>
      <c r="D728" s="415"/>
      <c r="E728" s="417"/>
      <c r="F728" s="417"/>
      <c r="G728" s="415"/>
      <c r="H728" s="418"/>
      <c r="I728" s="415"/>
      <c r="J728" s="442"/>
      <c r="K728" s="418"/>
      <c r="L728" s="418"/>
      <c r="M728" s="417"/>
      <c r="N728" s="408"/>
    </row>
    <row r="729" spans="1:14" x14ac:dyDescent="0.2">
      <c r="A729" s="410"/>
      <c r="B729" s="413"/>
      <c r="C729" s="440" t="s">
        <v>1100</v>
      </c>
      <c r="D729" s="415"/>
      <c r="E729" s="417"/>
      <c r="F729" s="417"/>
      <c r="G729" s="415"/>
      <c r="H729" s="418"/>
      <c r="I729" s="415"/>
      <c r="J729" s="442"/>
      <c r="K729" s="418"/>
      <c r="L729" s="418"/>
      <c r="M729" s="417"/>
      <c r="N729" s="408"/>
    </row>
    <row r="730" spans="1:14" x14ac:dyDescent="0.2">
      <c r="A730" s="410"/>
      <c r="B730" s="413"/>
      <c r="C730" s="440" t="s">
        <v>1101</v>
      </c>
      <c r="D730" s="415">
        <f t="shared" ref="D730:D735" si="206">G624</f>
        <v>209830261.44</v>
      </c>
      <c r="E730" s="417">
        <v>1008166</v>
      </c>
      <c r="F730" s="417">
        <v>-120980</v>
      </c>
      <c r="G730" s="415">
        <f t="shared" ref="G730:G735" si="207">SUM(D730:F730)</f>
        <v>210717447.44</v>
      </c>
      <c r="H730" s="418"/>
      <c r="I730" s="415">
        <f t="shared" ref="I730:I735" si="208">N624</f>
        <v>56903860.609999999</v>
      </c>
      <c r="J730" s="442">
        <f t="shared" ref="J730:J735" si="209">J624</f>
        <v>1.5699999999999999E-2</v>
      </c>
      <c r="K730" s="418">
        <f t="shared" ref="K730:K735" si="210">ROUND((G730+D730)/2*J730/12,0)</f>
        <v>275108</v>
      </c>
      <c r="L730" s="418">
        <f t="shared" ref="L730:L735" si="211">-F730</f>
        <v>120980</v>
      </c>
      <c r="M730" s="417">
        <v>-18147</v>
      </c>
      <c r="N730" s="408">
        <f t="shared" ref="N730:N735" si="212">I730+K730-L730+M730</f>
        <v>57039841.609999999</v>
      </c>
    </row>
    <row r="731" spans="1:14" x14ac:dyDescent="0.2">
      <c r="A731" s="410">
        <f>A725+1</f>
        <v>25</v>
      </c>
      <c r="B731" s="413">
        <v>378.1</v>
      </c>
      <c r="C731" s="414" t="s">
        <v>1047</v>
      </c>
      <c r="D731" s="415">
        <f t="shared" si="206"/>
        <v>518504.18</v>
      </c>
      <c r="E731" s="417">
        <v>0</v>
      </c>
      <c r="F731" s="417">
        <v>0</v>
      </c>
      <c r="G731" s="415">
        <f t="shared" si="207"/>
        <v>518504.18</v>
      </c>
      <c r="H731" s="418"/>
      <c r="I731" s="415">
        <f t="shared" si="208"/>
        <v>359401.81</v>
      </c>
      <c r="J731" s="442">
        <f t="shared" si="209"/>
        <v>2.35E-2</v>
      </c>
      <c r="K731" s="418">
        <f t="shared" si="210"/>
        <v>1015</v>
      </c>
      <c r="L731" s="418">
        <f t="shared" si="211"/>
        <v>0</v>
      </c>
      <c r="M731" s="417">
        <v>0</v>
      </c>
      <c r="N731" s="408">
        <f t="shared" si="212"/>
        <v>360416.81</v>
      </c>
    </row>
    <row r="732" spans="1:14" x14ac:dyDescent="0.2">
      <c r="A732" s="410">
        <f t="shared" si="202"/>
        <v>26</v>
      </c>
      <c r="B732" s="413">
        <v>378.2</v>
      </c>
      <c r="C732" s="414" t="s">
        <v>1048</v>
      </c>
      <c r="D732" s="415">
        <f t="shared" si="206"/>
        <v>9597980</v>
      </c>
      <c r="E732" s="417">
        <v>52825</v>
      </c>
      <c r="F732" s="417">
        <v>-6339</v>
      </c>
      <c r="G732" s="415">
        <f t="shared" si="207"/>
        <v>9644466</v>
      </c>
      <c r="H732" s="418"/>
      <c r="I732" s="415">
        <f t="shared" si="208"/>
        <v>3319169.91</v>
      </c>
      <c r="J732" s="442">
        <f t="shared" si="209"/>
        <v>2.35E-2</v>
      </c>
      <c r="K732" s="418">
        <f t="shared" si="210"/>
        <v>18842</v>
      </c>
      <c r="L732" s="418">
        <f t="shared" si="211"/>
        <v>6339</v>
      </c>
      <c r="M732" s="417">
        <v>-317</v>
      </c>
      <c r="N732" s="408">
        <f t="shared" si="212"/>
        <v>3331355.91</v>
      </c>
    </row>
    <row r="733" spans="1:14" x14ac:dyDescent="0.2">
      <c r="A733" s="410">
        <f t="shared" si="202"/>
        <v>27</v>
      </c>
      <c r="B733" s="413">
        <v>378.3</v>
      </c>
      <c r="C733" s="414" t="s">
        <v>1049</v>
      </c>
      <c r="D733" s="415">
        <f t="shared" si="206"/>
        <v>45443.08</v>
      </c>
      <c r="E733" s="417">
        <v>0</v>
      </c>
      <c r="F733" s="417">
        <v>0</v>
      </c>
      <c r="G733" s="415">
        <f t="shared" si="207"/>
        <v>45443.08</v>
      </c>
      <c r="H733" s="418"/>
      <c r="I733" s="415">
        <f t="shared" si="208"/>
        <v>35522.04</v>
      </c>
      <c r="J733" s="442">
        <f t="shared" si="209"/>
        <v>2.35E-2</v>
      </c>
      <c r="K733" s="418">
        <f t="shared" si="210"/>
        <v>89</v>
      </c>
      <c r="L733" s="418">
        <f t="shared" si="211"/>
        <v>0</v>
      </c>
      <c r="M733" s="417">
        <v>0</v>
      </c>
      <c r="N733" s="408">
        <f t="shared" si="212"/>
        <v>35611.040000000001</v>
      </c>
    </row>
    <row r="734" spans="1:14" x14ac:dyDescent="0.2">
      <c r="A734" s="410">
        <f t="shared" si="202"/>
        <v>28</v>
      </c>
      <c r="B734" s="413">
        <v>379.1</v>
      </c>
      <c r="C734" s="414" t="s">
        <v>1050</v>
      </c>
      <c r="D734" s="415">
        <f t="shared" si="206"/>
        <v>254900.59</v>
      </c>
      <c r="E734" s="417">
        <v>0</v>
      </c>
      <c r="F734" s="417">
        <v>0</v>
      </c>
      <c r="G734" s="415">
        <f t="shared" si="207"/>
        <v>254900.59</v>
      </c>
      <c r="H734" s="418"/>
      <c r="I734" s="415">
        <f t="shared" si="208"/>
        <v>267730.57</v>
      </c>
      <c r="J734" s="442">
        <f t="shared" si="209"/>
        <v>2.2700000000000001E-2</v>
      </c>
      <c r="K734" s="417">
        <v>0</v>
      </c>
      <c r="L734" s="418">
        <f t="shared" si="211"/>
        <v>0</v>
      </c>
      <c r="M734" s="417">
        <v>0</v>
      </c>
      <c r="N734" s="408">
        <f t="shared" si="212"/>
        <v>267730.57</v>
      </c>
    </row>
    <row r="735" spans="1:14" x14ac:dyDescent="0.2">
      <c r="A735" s="410">
        <f t="shared" si="202"/>
        <v>29</v>
      </c>
      <c r="B735" s="413">
        <v>380</v>
      </c>
      <c r="C735" s="414" t="s">
        <v>1051</v>
      </c>
      <c r="D735" s="415">
        <f t="shared" si="206"/>
        <v>120631824.77</v>
      </c>
      <c r="E735" s="417">
        <v>689548</v>
      </c>
      <c r="F735" s="417">
        <v>-82746</v>
      </c>
      <c r="G735" s="415">
        <f t="shared" si="207"/>
        <v>121238626.77</v>
      </c>
      <c r="H735" s="418"/>
      <c r="I735" s="415">
        <f t="shared" si="208"/>
        <v>58233861.520000003</v>
      </c>
      <c r="J735" s="442">
        <f t="shared" si="209"/>
        <v>2.5899999999999999E-2</v>
      </c>
      <c r="K735" s="418">
        <f t="shared" si="210"/>
        <v>261019</v>
      </c>
      <c r="L735" s="418">
        <f t="shared" si="211"/>
        <v>82746</v>
      </c>
      <c r="M735" s="417">
        <v>-41373</v>
      </c>
      <c r="N735" s="408">
        <f t="shared" si="212"/>
        <v>58370761.520000003</v>
      </c>
    </row>
    <row r="736" spans="1:14" x14ac:dyDescent="0.2">
      <c r="A736" s="410"/>
      <c r="B736" s="444"/>
      <c r="C736" s="414"/>
      <c r="D736" s="439"/>
      <c r="E736" s="418"/>
      <c r="F736" s="418"/>
      <c r="G736" s="439"/>
      <c r="H736" s="418"/>
      <c r="I736" s="418"/>
      <c r="J736" s="418"/>
      <c r="K736" s="418"/>
      <c r="L736" s="418"/>
    </row>
    <row r="737" spans="1:14" x14ac:dyDescent="0.2">
      <c r="A737" s="2073" t="str">
        <f>co</f>
        <v>COLUMBIA GAS OF KENTUCKY, INC.</v>
      </c>
      <c r="B737" s="2073"/>
      <c r="C737" s="2073"/>
      <c r="D737" s="2073"/>
      <c r="E737" s="2073"/>
      <c r="F737" s="2073"/>
      <c r="G737" s="2073"/>
      <c r="H737" s="2073"/>
      <c r="I737" s="2073"/>
      <c r="J737" s="2073"/>
      <c r="K737" s="2073"/>
      <c r="L737" s="2073"/>
      <c r="M737" s="2073"/>
      <c r="N737" s="2073"/>
    </row>
    <row r="738" spans="1:14" x14ac:dyDescent="0.2">
      <c r="A738" s="2073" t="str">
        <f>case</f>
        <v>CASE NO. 2016 - 00162</v>
      </c>
      <c r="B738" s="2073"/>
      <c r="C738" s="2073"/>
      <c r="D738" s="2073"/>
      <c r="E738" s="2073"/>
      <c r="F738" s="2073"/>
      <c r="G738" s="2073"/>
      <c r="H738" s="2073"/>
      <c r="I738" s="2073"/>
      <c r="J738" s="2073"/>
      <c r="K738" s="2073"/>
      <c r="L738" s="2073"/>
      <c r="M738" s="2073"/>
      <c r="N738" s="2073"/>
    </row>
    <row r="739" spans="1:14" x14ac:dyDescent="0.2">
      <c r="A739" s="2074" t="s">
        <v>1106</v>
      </c>
      <c r="B739" s="2073"/>
      <c r="C739" s="2073"/>
      <c r="D739" s="2073"/>
      <c r="E739" s="2073"/>
      <c r="F739" s="2073"/>
      <c r="G739" s="2073"/>
      <c r="H739" s="2073"/>
      <c r="I739" s="2073"/>
      <c r="J739" s="2073"/>
      <c r="K739" s="2073"/>
      <c r="L739" s="2073"/>
      <c r="M739" s="2073"/>
      <c r="N739" s="2073"/>
    </row>
    <row r="740" spans="1:14" x14ac:dyDescent="0.2">
      <c r="A740" s="2078" t="s">
        <v>2142</v>
      </c>
      <c r="B740" s="2078"/>
      <c r="C740" s="2078"/>
      <c r="D740" s="2078"/>
      <c r="E740" s="2078"/>
      <c r="F740" s="2078"/>
      <c r="G740" s="2078"/>
      <c r="H740" s="2078"/>
      <c r="I740" s="2078"/>
      <c r="J740" s="2078"/>
      <c r="K740" s="2078"/>
      <c r="L740" s="2078"/>
      <c r="M740" s="2078"/>
      <c r="N740" s="2078"/>
    </row>
    <row r="742" spans="1:14" x14ac:dyDescent="0.2">
      <c r="A742" s="388" t="s">
        <v>976</v>
      </c>
      <c r="M742" s="386"/>
      <c r="N742" s="387" t="s">
        <v>763</v>
      </c>
    </row>
    <row r="743" spans="1:14" x14ac:dyDescent="0.2">
      <c r="A743" s="388" t="s">
        <v>977</v>
      </c>
      <c r="M743" s="386"/>
      <c r="N743" s="387" t="s">
        <v>999</v>
      </c>
    </row>
    <row r="744" spans="1:14" x14ac:dyDescent="0.2">
      <c r="A744" s="445" t="str">
        <f>A691</f>
        <v>WORKPAPER REFERENCE NO(S).: WPB-2.3</v>
      </c>
      <c r="B744" s="391"/>
      <c r="C744" s="391"/>
      <c r="D744" s="391"/>
      <c r="E744" s="391"/>
      <c r="F744" s="391"/>
      <c r="G744" s="391"/>
      <c r="H744" s="391"/>
      <c r="M744" s="392"/>
      <c r="N744" s="393" t="str">
        <f>SMK</f>
        <v>WITNESS:  S. M. KATKO</v>
      </c>
    </row>
    <row r="745" spans="1:14" x14ac:dyDescent="0.2">
      <c r="A745" s="390"/>
      <c r="B745" s="391"/>
      <c r="C745" s="391"/>
      <c r="D745" s="391"/>
      <c r="E745" s="391"/>
      <c r="F745" s="391"/>
      <c r="G745" s="391"/>
      <c r="H745" s="391"/>
      <c r="I745" s="392"/>
      <c r="J745" s="393"/>
      <c r="L745" s="386"/>
      <c r="M745" s="386"/>
    </row>
    <row r="746" spans="1:14" x14ac:dyDescent="0.2">
      <c r="A746" s="390"/>
      <c r="B746" s="391"/>
      <c r="C746" s="391"/>
      <c r="D746" s="2075" t="s">
        <v>1088</v>
      </c>
      <c r="E746" s="2075"/>
      <c r="F746" s="2075"/>
      <c r="G746" s="2075"/>
      <c r="H746" s="391"/>
      <c r="I746" s="2076" t="s">
        <v>1093</v>
      </c>
      <c r="J746" s="2077"/>
      <c r="K746" s="2077"/>
      <c r="L746" s="2077"/>
      <c r="M746" s="2077"/>
      <c r="N746" s="2077"/>
    </row>
    <row r="747" spans="1:14" x14ac:dyDescent="0.2">
      <c r="A747" s="394"/>
      <c r="B747" s="391"/>
      <c r="C747" s="391"/>
      <c r="D747" s="396" t="s">
        <v>1084</v>
      </c>
      <c r="E747" s="391"/>
      <c r="F747" s="391"/>
      <c r="G747" s="395"/>
      <c r="H747" s="395"/>
      <c r="I747" s="397" t="s">
        <v>1089</v>
      </c>
      <c r="J747" s="396"/>
      <c r="M747" s="386"/>
    </row>
    <row r="748" spans="1:14" x14ac:dyDescent="0.2">
      <c r="A748" s="383"/>
      <c r="D748" s="397" t="s">
        <v>865</v>
      </c>
      <c r="G748" s="397" t="s">
        <v>867</v>
      </c>
      <c r="H748" s="398"/>
      <c r="I748" s="397" t="s">
        <v>865</v>
      </c>
      <c r="J748" s="397" t="s">
        <v>956</v>
      </c>
      <c r="M748" s="386"/>
      <c r="N748" s="397" t="s">
        <v>867</v>
      </c>
    </row>
    <row r="749" spans="1:14" x14ac:dyDescent="0.2">
      <c r="A749" s="397" t="s">
        <v>1080</v>
      </c>
      <c r="B749" s="397" t="s">
        <v>1082</v>
      </c>
      <c r="D749" s="397" t="s">
        <v>867</v>
      </c>
      <c r="G749" s="399" t="s">
        <v>1087</v>
      </c>
      <c r="H749" s="398"/>
      <c r="I749" s="399" t="s">
        <v>867</v>
      </c>
      <c r="J749" s="397" t="s">
        <v>1090</v>
      </c>
      <c r="K749" s="397" t="s">
        <v>956</v>
      </c>
      <c r="M749" s="399" t="s">
        <v>1092</v>
      </c>
      <c r="N749" s="399" t="s">
        <v>1087</v>
      </c>
    </row>
    <row r="750" spans="1:14" x14ac:dyDescent="0.2">
      <c r="A750" s="400" t="s">
        <v>1081</v>
      </c>
      <c r="B750" s="400" t="s">
        <v>1081</v>
      </c>
      <c r="C750" s="401" t="s">
        <v>1083</v>
      </c>
      <c r="D750" s="404" t="str">
        <f>D697</f>
        <v>08/31/2016</v>
      </c>
      <c r="E750" s="400" t="s">
        <v>1085</v>
      </c>
      <c r="F750" s="400" t="s">
        <v>1086</v>
      </c>
      <c r="G750" s="404" t="str">
        <f>G697</f>
        <v>09/30/2016</v>
      </c>
      <c r="H750" s="398"/>
      <c r="I750" s="404" t="str">
        <f>D750</f>
        <v>08/31/2016</v>
      </c>
      <c r="J750" s="400" t="s">
        <v>1091</v>
      </c>
      <c r="K750" s="402" t="s">
        <v>1090</v>
      </c>
      <c r="L750" s="402" t="s">
        <v>1086</v>
      </c>
      <c r="M750" s="402" t="s">
        <v>955</v>
      </c>
      <c r="N750" s="404" t="str">
        <f>G750</f>
        <v>09/30/2016</v>
      </c>
    </row>
    <row r="751" spans="1:14" x14ac:dyDescent="0.2">
      <c r="A751" s="406"/>
      <c r="B751" s="406"/>
      <c r="C751" s="406"/>
      <c r="D751" s="406" t="str">
        <f>"(1)"</f>
        <v>(1)</v>
      </c>
      <c r="E751" s="406" t="str">
        <f>"(2)"</f>
        <v>(2)</v>
      </c>
      <c r="F751" s="406" t="str">
        <f>"(3)"</f>
        <v>(3)</v>
      </c>
      <c r="G751" s="406" t="str">
        <f>"(4)=(1+2+3)"</f>
        <v>(4)=(1+2+3)</v>
      </c>
      <c r="H751" s="406"/>
      <c r="I751" s="406" t="str">
        <f>"(5)"</f>
        <v>(5)</v>
      </c>
      <c r="J751" s="406" t="str">
        <f>"(6)"</f>
        <v>(6)</v>
      </c>
      <c r="K751" s="406" t="str">
        <f>"(7)=((1+4)/2*6/12))"</f>
        <v>(7)=((1+4)/2*6/12))</v>
      </c>
      <c r="L751" s="406" t="str">
        <f>"(8)"</f>
        <v>(8)</v>
      </c>
      <c r="M751" s="406" t="str">
        <f>"(9)"</f>
        <v>(9)</v>
      </c>
      <c r="N751" s="406" t="str">
        <f>"(10)=(5+7-8+9)"</f>
        <v>(10)=(5+7-8+9)</v>
      </c>
    </row>
    <row r="752" spans="1:14" x14ac:dyDescent="0.2">
      <c r="D752" s="410" t="s">
        <v>639</v>
      </c>
      <c r="E752" s="410" t="s">
        <v>639</v>
      </c>
      <c r="F752" s="410" t="s">
        <v>639</v>
      </c>
      <c r="G752" s="410" t="s">
        <v>639</v>
      </c>
      <c r="H752" s="410"/>
      <c r="I752" s="410" t="s">
        <v>639</v>
      </c>
      <c r="J752" s="410" t="s">
        <v>639</v>
      </c>
      <c r="K752" s="410" t="s">
        <v>639</v>
      </c>
      <c r="L752" s="410" t="s">
        <v>639</v>
      </c>
      <c r="M752" s="410" t="s">
        <v>639</v>
      </c>
      <c r="N752" s="410" t="s">
        <v>639</v>
      </c>
    </row>
    <row r="753" spans="1:14" x14ac:dyDescent="0.2">
      <c r="C753" s="411" t="s">
        <v>707</v>
      </c>
      <c r="D753" s="410"/>
      <c r="E753" s="410"/>
      <c r="F753" s="410"/>
      <c r="G753" s="410"/>
      <c r="J753" s="410"/>
    </row>
    <row r="754" spans="1:14" x14ac:dyDescent="0.2">
      <c r="A754" s="405">
        <v>1</v>
      </c>
      <c r="B754" s="446">
        <v>381</v>
      </c>
      <c r="C754" s="414" t="s">
        <v>1052</v>
      </c>
      <c r="D754" s="415">
        <f t="shared" ref="D754:D765" si="213">G648</f>
        <v>13641248.550000001</v>
      </c>
      <c r="E754" s="417">
        <v>22915</v>
      </c>
      <c r="F754" s="417">
        <v>-2750</v>
      </c>
      <c r="G754" s="415">
        <f>SUM(D754:F754)</f>
        <v>13661413.550000001</v>
      </c>
      <c r="H754" s="418"/>
      <c r="I754" s="415">
        <f t="shared" ref="I754:I765" si="214">N648</f>
        <v>4823000.8899999997</v>
      </c>
      <c r="J754" s="442">
        <f t="shared" ref="J754:J765" si="215">J648</f>
        <v>2.5899999999999999E-2</v>
      </c>
      <c r="K754" s="418">
        <f t="shared" ref="K754:K765" si="216">ROUND((G754+D754)/2*J754/12,0)</f>
        <v>29464</v>
      </c>
      <c r="L754" s="418">
        <f t="shared" ref="L754:L765" si="217">-F754</f>
        <v>2750</v>
      </c>
      <c r="M754" s="417">
        <v>0</v>
      </c>
      <c r="N754" s="408">
        <f t="shared" ref="N754:N765" si="218">I754+K754-L754+M754</f>
        <v>4849714.8899999997</v>
      </c>
    </row>
    <row r="755" spans="1:14" x14ac:dyDescent="0.2">
      <c r="A755" s="405">
        <f>A754+1</f>
        <v>2</v>
      </c>
      <c r="B755" s="446">
        <v>381.1</v>
      </c>
      <c r="C755" s="414" t="s">
        <v>1052</v>
      </c>
      <c r="D755" s="415">
        <f t="shared" si="213"/>
        <v>8764800.0600000005</v>
      </c>
      <c r="E755" s="417">
        <v>3185</v>
      </c>
      <c r="F755" s="417">
        <v>-382</v>
      </c>
      <c r="G755" s="415">
        <f>SUM(D755:F755)</f>
        <v>8767603.0600000005</v>
      </c>
      <c r="H755" s="418"/>
      <c r="I755" s="415">
        <f t="shared" si="214"/>
        <v>478488.5</v>
      </c>
      <c r="J755" s="442">
        <f t="shared" si="215"/>
        <v>2.5899999999999999E-2</v>
      </c>
      <c r="K755" s="418">
        <f t="shared" si="216"/>
        <v>18920</v>
      </c>
      <c r="L755" s="418">
        <f t="shared" si="217"/>
        <v>382</v>
      </c>
      <c r="M755" s="417">
        <v>0</v>
      </c>
      <c r="N755" s="408">
        <f t="shared" si="218"/>
        <v>497026.5</v>
      </c>
    </row>
    <row r="756" spans="1:14" x14ac:dyDescent="0.2">
      <c r="A756" s="405">
        <f t="shared" ref="A756:A766" si="219">A755+1</f>
        <v>3</v>
      </c>
      <c r="B756" s="446">
        <v>382</v>
      </c>
      <c r="C756" s="414" t="s">
        <v>1053</v>
      </c>
      <c r="D756" s="415">
        <f t="shared" si="213"/>
        <v>9109896.6500000004</v>
      </c>
      <c r="E756" s="417">
        <v>50482</v>
      </c>
      <c r="F756" s="417">
        <v>-6058</v>
      </c>
      <c r="G756" s="415">
        <f t="shared" ref="G756:G761" si="220">SUM(D756:F756)</f>
        <v>9154320.6500000004</v>
      </c>
      <c r="H756" s="418"/>
      <c r="I756" s="415">
        <f t="shared" si="214"/>
        <v>4576242.3</v>
      </c>
      <c r="J756" s="442">
        <f t="shared" si="215"/>
        <v>2.3900000000000001E-2</v>
      </c>
      <c r="K756" s="418">
        <f t="shared" si="216"/>
        <v>18188</v>
      </c>
      <c r="L756" s="418">
        <f t="shared" si="217"/>
        <v>6058</v>
      </c>
      <c r="M756" s="417">
        <v>-303</v>
      </c>
      <c r="N756" s="408">
        <f t="shared" si="218"/>
        <v>4588069.3</v>
      </c>
    </row>
    <row r="757" spans="1:14" x14ac:dyDescent="0.2">
      <c r="A757" s="405">
        <f t="shared" si="219"/>
        <v>4</v>
      </c>
      <c r="B757" s="446">
        <v>383</v>
      </c>
      <c r="C757" s="414" t="s">
        <v>1054</v>
      </c>
      <c r="D757" s="415">
        <f t="shared" si="213"/>
        <v>5590608.7599999998</v>
      </c>
      <c r="E757" s="417">
        <v>21537</v>
      </c>
      <c r="F757" s="417">
        <v>-2584</v>
      </c>
      <c r="G757" s="415">
        <f t="shared" si="220"/>
        <v>5609561.7599999998</v>
      </c>
      <c r="H757" s="418"/>
      <c r="I757" s="415">
        <f t="shared" si="214"/>
        <v>1489794.41</v>
      </c>
      <c r="J757" s="442">
        <f t="shared" si="215"/>
        <v>1.3899999999999999E-2</v>
      </c>
      <c r="K757" s="418">
        <f t="shared" si="216"/>
        <v>6487</v>
      </c>
      <c r="L757" s="418">
        <f t="shared" si="217"/>
        <v>2584</v>
      </c>
      <c r="M757" s="417">
        <v>-129</v>
      </c>
      <c r="N757" s="408">
        <f t="shared" si="218"/>
        <v>1493568.41</v>
      </c>
    </row>
    <row r="758" spans="1:14" x14ac:dyDescent="0.2">
      <c r="A758" s="405">
        <f t="shared" si="219"/>
        <v>5</v>
      </c>
      <c r="B758" s="446">
        <v>384</v>
      </c>
      <c r="C758" s="414" t="s">
        <v>1055</v>
      </c>
      <c r="D758" s="415">
        <f t="shared" si="213"/>
        <v>2257522</v>
      </c>
      <c r="E758" s="417">
        <v>0</v>
      </c>
      <c r="F758" s="417">
        <v>0</v>
      </c>
      <c r="G758" s="415">
        <f t="shared" si="220"/>
        <v>2257522</v>
      </c>
      <c r="H758" s="418"/>
      <c r="I758" s="415">
        <f t="shared" si="214"/>
        <v>1761052.73</v>
      </c>
      <c r="J758" s="442">
        <f t="shared" si="215"/>
        <v>1.0999999999999999E-2</v>
      </c>
      <c r="K758" s="418">
        <f t="shared" si="216"/>
        <v>2069</v>
      </c>
      <c r="L758" s="418">
        <f t="shared" si="217"/>
        <v>0</v>
      </c>
      <c r="M758" s="417">
        <v>0</v>
      </c>
      <c r="N758" s="408">
        <f t="shared" si="218"/>
        <v>1763121.73</v>
      </c>
    </row>
    <row r="759" spans="1:14" x14ac:dyDescent="0.2">
      <c r="A759" s="405">
        <f t="shared" si="219"/>
        <v>6</v>
      </c>
      <c r="B759" s="446">
        <v>385</v>
      </c>
      <c r="C759" s="414" t="s">
        <v>1056</v>
      </c>
      <c r="D759" s="415">
        <f t="shared" si="213"/>
        <v>3175963.36</v>
      </c>
      <c r="E759" s="417">
        <v>21653</v>
      </c>
      <c r="F759" s="417">
        <v>-2598</v>
      </c>
      <c r="G759" s="415">
        <f t="shared" si="220"/>
        <v>3195018.36</v>
      </c>
      <c r="H759" s="418"/>
      <c r="I759" s="415">
        <f t="shared" si="214"/>
        <v>878725.55</v>
      </c>
      <c r="J759" s="442">
        <f t="shared" si="215"/>
        <v>2.0899999999999998E-2</v>
      </c>
      <c r="K759" s="418">
        <f t="shared" si="216"/>
        <v>5548</v>
      </c>
      <c r="L759" s="418">
        <f t="shared" si="217"/>
        <v>2598</v>
      </c>
      <c r="M759" s="417">
        <v>-130</v>
      </c>
      <c r="N759" s="408">
        <f t="shared" si="218"/>
        <v>881545.55</v>
      </c>
    </row>
    <row r="760" spans="1:14" x14ac:dyDescent="0.2">
      <c r="A760" s="405">
        <f t="shared" si="219"/>
        <v>7</v>
      </c>
      <c r="B760" s="446">
        <v>387.2</v>
      </c>
      <c r="C760" s="414" t="s">
        <v>1057</v>
      </c>
      <c r="D760" s="415">
        <f t="shared" si="213"/>
        <v>0</v>
      </c>
      <c r="E760" s="417">
        <v>0</v>
      </c>
      <c r="F760" s="417">
        <v>0</v>
      </c>
      <c r="G760" s="415">
        <f t="shared" si="220"/>
        <v>0</v>
      </c>
      <c r="H760" s="418"/>
      <c r="I760" s="415">
        <f t="shared" si="214"/>
        <v>-59912.03</v>
      </c>
      <c r="J760" s="442">
        <f t="shared" si="215"/>
        <v>2.3199999999999998E-2</v>
      </c>
      <c r="K760" s="418">
        <f t="shared" si="216"/>
        <v>0</v>
      </c>
      <c r="L760" s="418">
        <f t="shared" si="217"/>
        <v>0</v>
      </c>
      <c r="M760" s="417">
        <v>0</v>
      </c>
      <c r="N760" s="408">
        <f t="shared" si="218"/>
        <v>-59912.03</v>
      </c>
    </row>
    <row r="761" spans="1:14" x14ac:dyDescent="0.2">
      <c r="A761" s="405">
        <f t="shared" si="219"/>
        <v>8</v>
      </c>
      <c r="B761" s="446">
        <v>387.41</v>
      </c>
      <c r="C761" s="414" t="s">
        <v>1058</v>
      </c>
      <c r="D761" s="415">
        <f t="shared" si="213"/>
        <v>735770.76</v>
      </c>
      <c r="E761" s="417">
        <v>0</v>
      </c>
      <c r="F761" s="417">
        <v>0</v>
      </c>
      <c r="G761" s="415">
        <f t="shared" si="220"/>
        <v>735770.76</v>
      </c>
      <c r="H761" s="418"/>
      <c r="I761" s="415">
        <f t="shared" si="214"/>
        <v>380317.95</v>
      </c>
      <c r="J761" s="442">
        <f t="shared" si="215"/>
        <v>2.3400000000000001E-2</v>
      </c>
      <c r="K761" s="418">
        <f t="shared" si="216"/>
        <v>1435</v>
      </c>
      <c r="L761" s="418">
        <f t="shared" si="217"/>
        <v>0</v>
      </c>
      <c r="M761" s="417">
        <v>0</v>
      </c>
      <c r="N761" s="408">
        <f t="shared" si="218"/>
        <v>381752.95</v>
      </c>
    </row>
    <row r="762" spans="1:14" x14ac:dyDescent="0.2">
      <c r="A762" s="405">
        <f t="shared" si="219"/>
        <v>9</v>
      </c>
      <c r="B762" s="446">
        <v>387.42</v>
      </c>
      <c r="C762" s="414" t="s">
        <v>1059</v>
      </c>
      <c r="D762" s="415">
        <f t="shared" si="213"/>
        <v>795186.58</v>
      </c>
      <c r="E762" s="417">
        <v>0</v>
      </c>
      <c r="F762" s="417">
        <v>0</v>
      </c>
      <c r="G762" s="415">
        <f>SUM(D762:F762)</f>
        <v>795186.58</v>
      </c>
      <c r="H762" s="418"/>
      <c r="I762" s="415">
        <f t="shared" si="214"/>
        <v>546341.94999999995</v>
      </c>
      <c r="J762" s="442">
        <f t="shared" si="215"/>
        <v>2.3400000000000001E-2</v>
      </c>
      <c r="K762" s="418">
        <f t="shared" si="216"/>
        <v>1551</v>
      </c>
      <c r="L762" s="418">
        <f t="shared" si="217"/>
        <v>0</v>
      </c>
      <c r="M762" s="417">
        <v>0</v>
      </c>
      <c r="N762" s="408">
        <f t="shared" si="218"/>
        <v>547892.94999999995</v>
      </c>
    </row>
    <row r="763" spans="1:14" x14ac:dyDescent="0.2">
      <c r="A763" s="405">
        <f t="shared" si="219"/>
        <v>10</v>
      </c>
      <c r="B763" s="446">
        <v>387.44</v>
      </c>
      <c r="C763" s="414" t="s">
        <v>1060</v>
      </c>
      <c r="D763" s="415">
        <f t="shared" si="213"/>
        <v>143283.93</v>
      </c>
      <c r="E763" s="417">
        <v>0</v>
      </c>
      <c r="F763" s="417">
        <v>0</v>
      </c>
      <c r="G763" s="415">
        <f>SUM(D763:F763)</f>
        <v>143283.93</v>
      </c>
      <c r="H763" s="418"/>
      <c r="I763" s="415">
        <f t="shared" si="214"/>
        <v>45832.55</v>
      </c>
      <c r="J763" s="442">
        <f t="shared" si="215"/>
        <v>2.3400000000000001E-2</v>
      </c>
      <c r="K763" s="418">
        <f t="shared" si="216"/>
        <v>279</v>
      </c>
      <c r="L763" s="418">
        <f t="shared" si="217"/>
        <v>0</v>
      </c>
      <c r="M763" s="417">
        <v>0</v>
      </c>
      <c r="N763" s="408">
        <f t="shared" si="218"/>
        <v>46111.55</v>
      </c>
    </row>
    <row r="764" spans="1:14" x14ac:dyDescent="0.2">
      <c r="A764" s="405">
        <f t="shared" si="219"/>
        <v>11</v>
      </c>
      <c r="B764" s="446">
        <v>387.45</v>
      </c>
      <c r="C764" s="414" t="s">
        <v>1061</v>
      </c>
      <c r="D764" s="415">
        <f t="shared" si="213"/>
        <v>2909068.66</v>
      </c>
      <c r="E764" s="417">
        <v>101260</v>
      </c>
      <c r="F764" s="417">
        <v>-12151</v>
      </c>
      <c r="G764" s="415">
        <f>SUM(D764:F764)</f>
        <v>2998177.66</v>
      </c>
      <c r="H764" s="418"/>
      <c r="I764" s="415">
        <f t="shared" si="214"/>
        <v>557526.06000000006</v>
      </c>
      <c r="J764" s="442">
        <f t="shared" si="215"/>
        <v>2.3400000000000001E-2</v>
      </c>
      <c r="K764" s="418">
        <f t="shared" si="216"/>
        <v>5760</v>
      </c>
      <c r="L764" s="418">
        <f t="shared" si="217"/>
        <v>12151</v>
      </c>
      <c r="M764" s="417">
        <v>0</v>
      </c>
      <c r="N764" s="408">
        <f t="shared" si="218"/>
        <v>551135.06000000006</v>
      </c>
    </row>
    <row r="765" spans="1:14" x14ac:dyDescent="0.2">
      <c r="A765" s="405">
        <f t="shared" si="219"/>
        <v>12</v>
      </c>
      <c r="B765" s="446">
        <v>387.46</v>
      </c>
      <c r="C765" s="414" t="s">
        <v>1062</v>
      </c>
      <c r="D765" s="421">
        <f t="shared" si="213"/>
        <v>113644.47</v>
      </c>
      <c r="E765" s="1662">
        <v>0</v>
      </c>
      <c r="F765" s="1662">
        <v>0</v>
      </c>
      <c r="G765" s="428">
        <f>SUM(D765:F765)</f>
        <v>113644.47</v>
      </c>
      <c r="H765" s="447"/>
      <c r="I765" s="421">
        <f t="shared" si="214"/>
        <v>111344.83</v>
      </c>
      <c r="J765" s="442">
        <f t="shared" si="215"/>
        <v>2.3400000000000001E-2</v>
      </c>
      <c r="K765" s="421">
        <f t="shared" si="216"/>
        <v>222</v>
      </c>
      <c r="L765" s="421">
        <f t="shared" si="217"/>
        <v>0</v>
      </c>
      <c r="M765" s="422">
        <v>0</v>
      </c>
      <c r="N765" s="423">
        <f t="shared" si="218"/>
        <v>111566.83</v>
      </c>
    </row>
    <row r="766" spans="1:14" x14ac:dyDescent="0.2">
      <c r="A766" s="405">
        <f t="shared" si="219"/>
        <v>13</v>
      </c>
      <c r="B766" s="448"/>
      <c r="C766" s="386" t="s">
        <v>1063</v>
      </c>
      <c r="D766" s="418">
        <f>SUM(D754:D765,D714:D735)</f>
        <v>402582234.37999994</v>
      </c>
      <c r="E766" s="418">
        <f>SUM(E754:E765,E714:E735)</f>
        <v>2083113</v>
      </c>
      <c r="F766" s="418">
        <f>SUM(F754:F765,F714:F735)</f>
        <v>-249973</v>
      </c>
      <c r="G766" s="418">
        <f>SUM(G754:G765,G714:G735)</f>
        <v>404415374.37999994</v>
      </c>
      <c r="H766" s="418"/>
      <c r="I766" s="418">
        <f>SUM(I754:I765,I714:I735)</f>
        <v>139763653.0768421</v>
      </c>
      <c r="J766" s="418"/>
      <c r="K766" s="418">
        <f>SUM(K754:K765,K714:K735)</f>
        <v>668900.04947368428</v>
      </c>
      <c r="L766" s="418">
        <f>SUM(L754:L765,L714:L735)</f>
        <v>249973</v>
      </c>
      <c r="M766" s="418">
        <f>SUM(M754:M765,M714:M735)</f>
        <v>-61002</v>
      </c>
      <c r="N766" s="418">
        <f>SUM(N754:N765,N714:N735)</f>
        <v>140121578.12631577</v>
      </c>
    </row>
    <row r="767" spans="1:14" x14ac:dyDescent="0.2">
      <c r="B767" s="448"/>
      <c r="D767" s="418"/>
      <c r="E767" s="418"/>
      <c r="F767" s="418"/>
      <c r="G767" s="418"/>
      <c r="H767" s="418"/>
      <c r="I767" s="439"/>
      <c r="J767" s="418"/>
      <c r="K767" s="418"/>
      <c r="L767" s="418"/>
      <c r="M767" s="418"/>
    </row>
    <row r="768" spans="1:14" x14ac:dyDescent="0.2">
      <c r="A768" s="405">
        <f>A766+1</f>
        <v>14</v>
      </c>
      <c r="B768" s="448"/>
      <c r="C768" s="411" t="s">
        <v>737</v>
      </c>
      <c r="D768" s="418"/>
      <c r="E768" s="418"/>
      <c r="F768" s="418"/>
      <c r="G768" s="418"/>
      <c r="H768" s="418"/>
      <c r="I768" s="439"/>
      <c r="J768" s="418"/>
      <c r="K768" s="418"/>
      <c r="L768" s="418"/>
      <c r="M768" s="418"/>
    </row>
    <row r="769" spans="1:14" x14ac:dyDescent="0.2">
      <c r="A769" s="410">
        <f>A768+1</f>
        <v>15</v>
      </c>
      <c r="B769" s="446">
        <v>391.1</v>
      </c>
      <c r="C769" s="414" t="s">
        <v>1064</v>
      </c>
      <c r="D769" s="415">
        <f t="shared" ref="D769:D782" si="221">G663</f>
        <v>730376.71</v>
      </c>
      <c r="E769" s="417">
        <v>-4800</v>
      </c>
      <c r="F769" s="417">
        <v>576</v>
      </c>
      <c r="G769" s="415">
        <f t="shared" ref="G769:G782" si="222">SUM(D769:F769)</f>
        <v>726152.71</v>
      </c>
      <c r="H769" s="418"/>
      <c r="I769" s="415">
        <f t="shared" ref="I769:I782" si="223">N663</f>
        <v>-64912.22</v>
      </c>
      <c r="J769" s="442">
        <f t="shared" ref="J769:J782" si="224">J663</f>
        <v>0.05</v>
      </c>
      <c r="K769" s="418">
        <f>ROUND((G769+D769)/2*J769/12,0)</f>
        <v>3034</v>
      </c>
      <c r="L769" s="418">
        <f t="shared" ref="L769:L782" si="225">-F769</f>
        <v>-576</v>
      </c>
      <c r="M769" s="417">
        <v>0</v>
      </c>
      <c r="N769" s="408">
        <f t="shared" ref="N769:N782" si="226">I769+K769-L769+M769</f>
        <v>-61302.22</v>
      </c>
    </row>
    <row r="770" spans="1:14" x14ac:dyDescent="0.2">
      <c r="A770" s="410">
        <f t="shared" ref="A770:A783" si="227">A769+1</f>
        <v>16</v>
      </c>
      <c r="B770" s="446">
        <v>391.11</v>
      </c>
      <c r="C770" s="414" t="s">
        <v>1065</v>
      </c>
      <c r="D770" s="415">
        <f t="shared" si="221"/>
        <v>18815.57</v>
      </c>
      <c r="E770" s="417">
        <v>0</v>
      </c>
      <c r="F770" s="417">
        <v>0</v>
      </c>
      <c r="G770" s="415">
        <f t="shared" si="222"/>
        <v>18815.57</v>
      </c>
      <c r="H770" s="418"/>
      <c r="I770" s="415">
        <f t="shared" si="223"/>
        <v>-12404.77</v>
      </c>
      <c r="J770" s="442">
        <f t="shared" si="224"/>
        <v>6.6699999999999995E-2</v>
      </c>
      <c r="K770" s="418">
        <f>ROUND((G770+D770)/2*J770/12,0)</f>
        <v>105</v>
      </c>
      <c r="L770" s="418">
        <f t="shared" si="225"/>
        <v>0</v>
      </c>
      <c r="M770" s="417">
        <v>0</v>
      </c>
      <c r="N770" s="408">
        <f t="shared" si="226"/>
        <v>-12299.77</v>
      </c>
    </row>
    <row r="771" spans="1:14" x14ac:dyDescent="0.2">
      <c r="A771" s="410">
        <f t="shared" si="227"/>
        <v>17</v>
      </c>
      <c r="B771" s="446">
        <v>391.12</v>
      </c>
      <c r="C771" s="414" t="s">
        <v>1066</v>
      </c>
      <c r="D771" s="415">
        <f t="shared" si="221"/>
        <v>853483.41</v>
      </c>
      <c r="E771" s="417">
        <v>0</v>
      </c>
      <c r="F771" s="417">
        <v>0</v>
      </c>
      <c r="G771" s="415">
        <f t="shared" si="222"/>
        <v>853483.41</v>
      </c>
      <c r="H771" s="418"/>
      <c r="I771" s="415">
        <f t="shared" si="223"/>
        <v>632685.37</v>
      </c>
      <c r="J771" s="442">
        <f t="shared" si="224"/>
        <v>0.2</v>
      </c>
      <c r="K771" s="418">
        <f>ROUND((G771+D771)/2*J771/12,0)</f>
        <v>14225</v>
      </c>
      <c r="L771" s="418">
        <f t="shared" si="225"/>
        <v>0</v>
      </c>
      <c r="M771" s="417">
        <v>0</v>
      </c>
      <c r="N771" s="408">
        <f t="shared" si="226"/>
        <v>646910.37</v>
      </c>
    </row>
    <row r="772" spans="1:14" x14ac:dyDescent="0.2">
      <c r="A772" s="410">
        <f t="shared" si="227"/>
        <v>18</v>
      </c>
      <c r="B772" s="446">
        <v>392.2</v>
      </c>
      <c r="C772" s="414" t="s">
        <v>1067</v>
      </c>
      <c r="D772" s="415">
        <f t="shared" si="221"/>
        <v>95778</v>
      </c>
      <c r="E772" s="417">
        <v>0</v>
      </c>
      <c r="F772" s="417">
        <v>0</v>
      </c>
      <c r="G772" s="415">
        <f t="shared" si="222"/>
        <v>95778</v>
      </c>
      <c r="H772" s="418"/>
      <c r="I772" s="415">
        <f t="shared" si="223"/>
        <v>21715.05</v>
      </c>
      <c r="J772" s="442">
        <f t="shared" si="224"/>
        <v>2.9399999999999999E-2</v>
      </c>
      <c r="K772" s="418">
        <f>ROUND((G772+D772)/2*J772/12,0)</f>
        <v>235</v>
      </c>
      <c r="L772" s="418">
        <f t="shared" si="225"/>
        <v>0</v>
      </c>
      <c r="M772" s="417">
        <v>0</v>
      </c>
      <c r="N772" s="408">
        <f t="shared" si="226"/>
        <v>21950.05</v>
      </c>
    </row>
    <row r="773" spans="1:14" x14ac:dyDescent="0.2">
      <c r="A773" s="410">
        <f t="shared" si="227"/>
        <v>19</v>
      </c>
      <c r="B773" s="446">
        <v>392.21</v>
      </c>
      <c r="C773" s="414" t="s">
        <v>1068</v>
      </c>
      <c r="D773" s="415">
        <f t="shared" si="221"/>
        <v>24462.2</v>
      </c>
      <c r="E773" s="417">
        <v>0</v>
      </c>
      <c r="F773" s="417">
        <v>0</v>
      </c>
      <c r="G773" s="415">
        <f t="shared" si="222"/>
        <v>24462.2</v>
      </c>
      <c r="H773" s="418"/>
      <c r="I773" s="415">
        <f t="shared" si="223"/>
        <v>4947.3999999999996</v>
      </c>
      <c r="J773" s="442">
        <f t="shared" si="224"/>
        <v>2.9399999999999999E-2</v>
      </c>
      <c r="K773" s="418">
        <f t="shared" ref="K773:K782" si="228">ROUND((G773+D773)/2*J773/12,0)</f>
        <v>60</v>
      </c>
      <c r="L773" s="418">
        <f t="shared" si="225"/>
        <v>0</v>
      </c>
      <c r="M773" s="417">
        <v>0</v>
      </c>
      <c r="N773" s="408">
        <f t="shared" si="226"/>
        <v>5007.3999999999996</v>
      </c>
    </row>
    <row r="774" spans="1:14" x14ac:dyDescent="0.2">
      <c r="A774" s="410">
        <f t="shared" si="227"/>
        <v>20</v>
      </c>
      <c r="B774" s="446">
        <v>393</v>
      </c>
      <c r="C774" s="414" t="s">
        <v>1069</v>
      </c>
      <c r="D774" s="415">
        <f t="shared" si="221"/>
        <v>0</v>
      </c>
      <c r="E774" s="417">
        <v>0</v>
      </c>
      <c r="F774" s="417">
        <v>0</v>
      </c>
      <c r="G774" s="415">
        <f t="shared" si="222"/>
        <v>0</v>
      </c>
      <c r="H774" s="418"/>
      <c r="I774" s="415">
        <f t="shared" si="223"/>
        <v>0</v>
      </c>
      <c r="J774" s="442" t="str">
        <f t="shared" si="224"/>
        <v>Amort.</v>
      </c>
      <c r="K774" s="417">
        <v>0</v>
      </c>
      <c r="L774" s="418">
        <f t="shared" si="225"/>
        <v>0</v>
      </c>
      <c r="M774" s="417">
        <v>0</v>
      </c>
      <c r="N774" s="408">
        <f t="shared" si="226"/>
        <v>0</v>
      </c>
    </row>
    <row r="775" spans="1:14" x14ac:dyDescent="0.2">
      <c r="A775" s="410">
        <f t="shared" si="227"/>
        <v>21</v>
      </c>
      <c r="B775" s="446">
        <v>394.1</v>
      </c>
      <c r="C775" s="414" t="s">
        <v>1070</v>
      </c>
      <c r="D775" s="415">
        <f t="shared" si="221"/>
        <v>24240.799999999999</v>
      </c>
      <c r="E775" s="417">
        <v>0</v>
      </c>
      <c r="F775" s="417">
        <v>0</v>
      </c>
      <c r="G775" s="415">
        <f t="shared" si="222"/>
        <v>24240.799999999999</v>
      </c>
      <c r="H775" s="418"/>
      <c r="I775" s="415">
        <f t="shared" si="223"/>
        <v>14284.82</v>
      </c>
      <c r="J775" s="442">
        <f t="shared" si="224"/>
        <v>0.04</v>
      </c>
      <c r="K775" s="418">
        <f t="shared" si="228"/>
        <v>81</v>
      </c>
      <c r="L775" s="418">
        <f t="shared" si="225"/>
        <v>0</v>
      </c>
      <c r="M775" s="417">
        <v>0</v>
      </c>
      <c r="N775" s="408">
        <f t="shared" si="226"/>
        <v>14365.82</v>
      </c>
    </row>
    <row r="776" spans="1:14" x14ac:dyDescent="0.2">
      <c r="A776" s="410">
        <f t="shared" si="227"/>
        <v>22</v>
      </c>
      <c r="B776" s="446">
        <v>394.11</v>
      </c>
      <c r="C776" s="414" t="s">
        <v>1071</v>
      </c>
      <c r="D776" s="415">
        <f t="shared" si="221"/>
        <v>0</v>
      </c>
      <c r="E776" s="417">
        <v>0</v>
      </c>
      <c r="F776" s="417">
        <v>0</v>
      </c>
      <c r="G776" s="415">
        <f t="shared" si="222"/>
        <v>0</v>
      </c>
      <c r="H776" s="418"/>
      <c r="I776" s="415">
        <f t="shared" si="223"/>
        <v>0</v>
      </c>
      <c r="J776" s="442">
        <f t="shared" si="224"/>
        <v>0.13769999999999999</v>
      </c>
      <c r="K776" s="417">
        <v>0</v>
      </c>
      <c r="L776" s="418">
        <f t="shared" si="225"/>
        <v>0</v>
      </c>
      <c r="M776" s="417">
        <v>0</v>
      </c>
      <c r="N776" s="408">
        <f t="shared" si="226"/>
        <v>0</v>
      </c>
    </row>
    <row r="777" spans="1:14" x14ac:dyDescent="0.2">
      <c r="A777" s="410">
        <f t="shared" si="227"/>
        <v>23</v>
      </c>
      <c r="B777" s="446">
        <v>394.13</v>
      </c>
      <c r="C777" s="438" t="s">
        <v>1072</v>
      </c>
      <c r="D777" s="415">
        <f t="shared" si="221"/>
        <v>0</v>
      </c>
      <c r="E777" s="417">
        <v>0</v>
      </c>
      <c r="F777" s="417">
        <v>0</v>
      </c>
      <c r="G777" s="415">
        <f t="shared" si="222"/>
        <v>0</v>
      </c>
      <c r="H777" s="418"/>
      <c r="I777" s="415">
        <f t="shared" si="223"/>
        <v>37937.360000000001</v>
      </c>
      <c r="J777" s="442" t="str">
        <f t="shared" si="224"/>
        <v>Amort.</v>
      </c>
      <c r="K777" s="418">
        <f t="shared" si="228"/>
        <v>0</v>
      </c>
      <c r="L777" s="418">
        <f t="shared" si="225"/>
        <v>0</v>
      </c>
      <c r="M777" s="417">
        <v>0</v>
      </c>
      <c r="N777" s="408">
        <f t="shared" si="226"/>
        <v>37937.360000000001</v>
      </c>
    </row>
    <row r="778" spans="1:14" x14ac:dyDescent="0.2">
      <c r="A778" s="410">
        <f t="shared" si="227"/>
        <v>24</v>
      </c>
      <c r="B778" s="446">
        <v>394.2</v>
      </c>
      <c r="C778" s="414" t="s">
        <v>1073</v>
      </c>
      <c r="D778" s="415">
        <f t="shared" si="221"/>
        <v>0</v>
      </c>
      <c r="E778" s="417">
        <v>0</v>
      </c>
      <c r="F778" s="417">
        <v>0</v>
      </c>
      <c r="G778" s="415">
        <f t="shared" si="222"/>
        <v>0</v>
      </c>
      <c r="H778" s="418"/>
      <c r="I778" s="415">
        <f t="shared" si="223"/>
        <v>185.21</v>
      </c>
      <c r="J778" s="442">
        <f t="shared" si="224"/>
        <v>0.04</v>
      </c>
      <c r="K778" s="418">
        <f t="shared" si="228"/>
        <v>0</v>
      </c>
      <c r="L778" s="418">
        <f t="shared" si="225"/>
        <v>0</v>
      </c>
      <c r="M778" s="417">
        <v>0</v>
      </c>
      <c r="N778" s="408">
        <f t="shared" si="226"/>
        <v>185.21</v>
      </c>
    </row>
    <row r="779" spans="1:14" x14ac:dyDescent="0.2">
      <c r="A779" s="410">
        <f t="shared" si="227"/>
        <v>25</v>
      </c>
      <c r="B779" s="446">
        <v>394.3</v>
      </c>
      <c r="C779" s="414" t="s">
        <v>1074</v>
      </c>
      <c r="D779" s="415">
        <f t="shared" si="221"/>
        <v>3110581.16</v>
      </c>
      <c r="E779" s="417">
        <v>-2119</v>
      </c>
      <c r="F779" s="417">
        <v>254</v>
      </c>
      <c r="G779" s="415">
        <f t="shared" si="222"/>
        <v>3108716.16</v>
      </c>
      <c r="H779" s="418"/>
      <c r="I779" s="415">
        <f t="shared" si="223"/>
        <v>1243947.1499999999</v>
      </c>
      <c r="J779" s="442">
        <f t="shared" si="224"/>
        <v>0.04</v>
      </c>
      <c r="K779" s="418">
        <f t="shared" si="228"/>
        <v>10365</v>
      </c>
      <c r="L779" s="418">
        <f t="shared" si="225"/>
        <v>-254</v>
      </c>
      <c r="M779" s="417">
        <v>0</v>
      </c>
      <c r="N779" s="408">
        <f t="shared" si="226"/>
        <v>1254566.1499999999</v>
      </c>
    </row>
    <row r="780" spans="1:14" x14ac:dyDescent="0.2">
      <c r="A780" s="410">
        <f t="shared" si="227"/>
        <v>26</v>
      </c>
      <c r="B780" s="446">
        <v>395</v>
      </c>
      <c r="C780" s="414" t="s">
        <v>1075</v>
      </c>
      <c r="D780" s="415">
        <f t="shared" si="221"/>
        <v>9257.77</v>
      </c>
      <c r="E780" s="417">
        <v>0</v>
      </c>
      <c r="F780" s="417">
        <v>0</v>
      </c>
      <c r="G780" s="415">
        <f t="shared" si="222"/>
        <v>9257.77</v>
      </c>
      <c r="H780" s="418"/>
      <c r="I780" s="415">
        <f t="shared" si="223"/>
        <v>7373.59</v>
      </c>
      <c r="J780" s="442">
        <f t="shared" si="224"/>
        <v>0.05</v>
      </c>
      <c r="K780" s="418">
        <f t="shared" si="228"/>
        <v>39</v>
      </c>
      <c r="L780" s="418">
        <f t="shared" si="225"/>
        <v>0</v>
      </c>
      <c r="M780" s="417">
        <v>0</v>
      </c>
      <c r="N780" s="408">
        <f t="shared" si="226"/>
        <v>7412.59</v>
      </c>
    </row>
    <row r="781" spans="1:14" x14ac:dyDescent="0.2">
      <c r="A781" s="410">
        <f t="shared" si="227"/>
        <v>27</v>
      </c>
      <c r="B781" s="446">
        <v>396</v>
      </c>
      <c r="C781" s="414" t="s">
        <v>1076</v>
      </c>
      <c r="D781" s="415">
        <f t="shared" si="221"/>
        <v>253134.72</v>
      </c>
      <c r="E781" s="417">
        <v>0</v>
      </c>
      <c r="F781" s="417">
        <v>0</v>
      </c>
      <c r="G781" s="415">
        <f t="shared" si="222"/>
        <v>253134.72</v>
      </c>
      <c r="H781" s="418"/>
      <c r="I781" s="415">
        <f t="shared" si="223"/>
        <v>199321.72</v>
      </c>
      <c r="J781" s="442">
        <f t="shared" si="224"/>
        <v>0</v>
      </c>
      <c r="K781" s="418">
        <f t="shared" si="228"/>
        <v>0</v>
      </c>
      <c r="L781" s="418">
        <f t="shared" si="225"/>
        <v>0</v>
      </c>
      <c r="M781" s="417">
        <v>0</v>
      </c>
      <c r="N781" s="408">
        <f t="shared" si="226"/>
        <v>199321.72</v>
      </c>
    </row>
    <row r="782" spans="1:14" x14ac:dyDescent="0.2">
      <c r="A782" s="410">
        <f t="shared" si="227"/>
        <v>28</v>
      </c>
      <c r="B782" s="446">
        <v>398</v>
      </c>
      <c r="C782" s="414" t="s">
        <v>1077</v>
      </c>
      <c r="D782" s="421">
        <f t="shared" si="221"/>
        <v>124693.94</v>
      </c>
      <c r="E782" s="1662">
        <v>38201</v>
      </c>
      <c r="F782" s="1662">
        <v>-4584</v>
      </c>
      <c r="G782" s="421">
        <f t="shared" si="222"/>
        <v>158310.94</v>
      </c>
      <c r="H782" s="447"/>
      <c r="I782" s="421">
        <f t="shared" si="223"/>
        <v>18757.59</v>
      </c>
      <c r="J782" s="442">
        <f t="shared" si="224"/>
        <v>6.6699999999999995E-2</v>
      </c>
      <c r="K782" s="421">
        <f t="shared" si="228"/>
        <v>787</v>
      </c>
      <c r="L782" s="421">
        <f t="shared" si="225"/>
        <v>4584</v>
      </c>
      <c r="M782" s="430">
        <v>0</v>
      </c>
      <c r="N782" s="423">
        <f t="shared" si="226"/>
        <v>14960.59</v>
      </c>
    </row>
    <row r="783" spans="1:14" x14ac:dyDescent="0.2">
      <c r="A783" s="410">
        <f t="shared" si="227"/>
        <v>29</v>
      </c>
      <c r="C783" s="386" t="s">
        <v>1078</v>
      </c>
      <c r="D783" s="447">
        <f>SUM(D769:D782)</f>
        <v>5244824.2799999993</v>
      </c>
      <c r="E783" s="447">
        <f>SUM(E769:E782)</f>
        <v>31282</v>
      </c>
      <c r="F783" s="447">
        <f>SUM(F769:F782)</f>
        <v>-3754</v>
      </c>
      <c r="G783" s="447">
        <f>SUM(G769:G782)</f>
        <v>5272352.2799999993</v>
      </c>
      <c r="H783" s="447"/>
      <c r="I783" s="447">
        <f>SUM(I769:I782)</f>
        <v>2103838.27</v>
      </c>
      <c r="J783" s="424"/>
      <c r="K783" s="447">
        <f>SUM(K769:K782)</f>
        <v>28931</v>
      </c>
      <c r="L783" s="447">
        <f>SUM(L769:L782)</f>
        <v>3754</v>
      </c>
      <c r="M783" s="447">
        <f>SUM(M769:M782)</f>
        <v>0</v>
      </c>
      <c r="N783" s="447">
        <f>SUM(N769:N782)</f>
        <v>2129015.27</v>
      </c>
    </row>
    <row r="784" spans="1:14" x14ac:dyDescent="0.2">
      <c r="D784" s="418"/>
      <c r="E784" s="418"/>
      <c r="F784" s="418"/>
      <c r="G784" s="418"/>
      <c r="H784" s="418"/>
      <c r="I784" s="418"/>
      <c r="J784" s="432"/>
      <c r="K784" s="418"/>
      <c r="L784" s="418"/>
      <c r="M784" s="418"/>
    </row>
    <row r="785" spans="1:15" x14ac:dyDescent="0.2">
      <c r="A785" s="405">
        <f>A783+1</f>
        <v>30</v>
      </c>
      <c r="B785" s="448"/>
      <c r="C785" s="411" t="s">
        <v>2287</v>
      </c>
      <c r="D785" s="418"/>
      <c r="E785" s="418"/>
      <c r="F785" s="418"/>
      <c r="G785" s="418"/>
      <c r="H785" s="418"/>
      <c r="I785" s="439"/>
      <c r="J785" s="418"/>
      <c r="K785" s="418"/>
      <c r="L785" s="418"/>
      <c r="M785" s="418"/>
    </row>
    <row r="786" spans="1:15" x14ac:dyDescent="0.2">
      <c r="A786" s="1722">
        <f>A785+1</f>
        <v>31</v>
      </c>
      <c r="B786" s="446">
        <v>378.21</v>
      </c>
      <c r="C786" s="1725" t="s">
        <v>2244</v>
      </c>
      <c r="D786" s="415">
        <f>G680</f>
        <v>-777092</v>
      </c>
      <c r="E786" s="417">
        <v>0</v>
      </c>
      <c r="F786" s="417">
        <v>0</v>
      </c>
      <c r="G786" s="415">
        <f t="shared" ref="G786" si="229">SUM(D786:F786)</f>
        <v>-777092</v>
      </c>
      <c r="H786" s="418"/>
      <c r="I786" s="415">
        <f>N680</f>
        <v>-33760.696666666656</v>
      </c>
      <c r="J786" s="419" t="s">
        <v>1094</v>
      </c>
      <c r="K786" s="417">
        <v>-2158.5833333333321</v>
      </c>
      <c r="L786" s="418">
        <f t="shared" ref="L786" si="230">-F786</f>
        <v>0</v>
      </c>
      <c r="M786" s="417">
        <v>0</v>
      </c>
      <c r="N786" s="408">
        <f t="shared" ref="N786" si="231">I786+K786-L786+M786</f>
        <v>-35919.279999999984</v>
      </c>
      <c r="O786" s="408"/>
    </row>
    <row r="787" spans="1:15" x14ac:dyDescent="0.2">
      <c r="A787" s="1722"/>
      <c r="B787" s="446"/>
      <c r="C787" s="438"/>
      <c r="D787" s="415"/>
      <c r="E787" s="417"/>
      <c r="F787" s="417"/>
      <c r="G787" s="415"/>
      <c r="H787" s="418"/>
      <c r="I787" s="419"/>
      <c r="J787" s="419"/>
      <c r="K787" s="417"/>
      <c r="L787" s="418"/>
      <c r="M787" s="417"/>
      <c r="N787" s="408"/>
      <c r="O787" s="408"/>
    </row>
    <row r="788" spans="1:15" x14ac:dyDescent="0.2">
      <c r="A788" s="410">
        <f>A786+1</f>
        <v>32</v>
      </c>
      <c r="C788" s="386" t="s">
        <v>774</v>
      </c>
      <c r="D788" s="450">
        <f>D783+D766+D711+D707+D786</f>
        <v>413147046.36999989</v>
      </c>
      <c r="E788" s="450">
        <f>E783+E766+E711+E707+E786</f>
        <v>2316514</v>
      </c>
      <c r="F788" s="450">
        <f>F783+F766+F711+F707+F786</f>
        <v>-253727</v>
      </c>
      <c r="G788" s="450">
        <f>G783+G766+G711+G707+G786</f>
        <v>415209833.36999989</v>
      </c>
      <c r="H788" s="418"/>
      <c r="I788" s="450">
        <f>I783+I766+I711+I707+I786</f>
        <v>144453173.7107192</v>
      </c>
      <c r="J788" s="451"/>
      <c r="K788" s="450">
        <f>K783+K766+K711+K707+K786</f>
        <v>773125.61674379406</v>
      </c>
      <c r="L788" s="450">
        <f>L783+L766+L711+L707+L786</f>
        <v>253727</v>
      </c>
      <c r="M788" s="450">
        <f>M783+M766+M711+M707+M786</f>
        <v>-61002</v>
      </c>
      <c r="N788" s="450">
        <f>N783+N766+N711+N707+N786</f>
        <v>144911570.32746297</v>
      </c>
    </row>
    <row r="790" spans="1:15" x14ac:dyDescent="0.2">
      <c r="A790" s="2073" t="str">
        <f>co</f>
        <v>COLUMBIA GAS OF KENTUCKY, INC.</v>
      </c>
      <c r="B790" s="2073"/>
      <c r="C790" s="2073"/>
      <c r="D790" s="2073"/>
      <c r="E790" s="2073"/>
      <c r="F790" s="2073"/>
      <c r="G790" s="2073"/>
      <c r="H790" s="2073"/>
      <c r="I790" s="2073"/>
      <c r="J790" s="2073"/>
      <c r="K790" s="2073"/>
      <c r="L790" s="2073"/>
      <c r="M790" s="2073"/>
      <c r="N790" s="2073"/>
    </row>
    <row r="791" spans="1:15" x14ac:dyDescent="0.2">
      <c r="A791" s="2073" t="str">
        <f>case</f>
        <v>CASE NO. 2016 - 00162</v>
      </c>
      <c r="B791" s="2073"/>
      <c r="C791" s="2073"/>
      <c r="D791" s="2073"/>
      <c r="E791" s="2073"/>
      <c r="F791" s="2073"/>
      <c r="G791" s="2073"/>
      <c r="H791" s="2073"/>
      <c r="I791" s="2073"/>
      <c r="J791" s="2073"/>
      <c r="K791" s="2073"/>
      <c r="L791" s="2073"/>
      <c r="M791" s="2073"/>
      <c r="N791" s="2073"/>
    </row>
    <row r="792" spans="1:15" x14ac:dyDescent="0.2">
      <c r="A792" s="2074" t="s">
        <v>1106</v>
      </c>
      <c r="B792" s="2073"/>
      <c r="C792" s="2073"/>
      <c r="D792" s="2073"/>
      <c r="E792" s="2073"/>
      <c r="F792" s="2073"/>
      <c r="G792" s="2073"/>
      <c r="H792" s="2073"/>
      <c r="I792" s="2073"/>
      <c r="J792" s="2073"/>
      <c r="K792" s="2073"/>
      <c r="L792" s="2073"/>
      <c r="M792" s="2073"/>
      <c r="N792" s="2073"/>
    </row>
    <row r="793" spans="1:15" x14ac:dyDescent="0.2">
      <c r="A793" s="2078" t="s">
        <v>2142</v>
      </c>
      <c r="B793" s="2078"/>
      <c r="C793" s="2078"/>
      <c r="D793" s="2078"/>
      <c r="E793" s="2078"/>
      <c r="F793" s="2078"/>
      <c r="G793" s="2078"/>
      <c r="H793" s="2078"/>
      <c r="I793" s="2078"/>
      <c r="J793" s="2078"/>
      <c r="K793" s="2078"/>
      <c r="L793" s="2078"/>
      <c r="M793" s="2078"/>
      <c r="N793" s="2078"/>
    </row>
    <row r="795" spans="1:15" x14ac:dyDescent="0.2">
      <c r="A795" s="385" t="s">
        <v>1095</v>
      </c>
      <c r="I795" s="386"/>
      <c r="N795" s="387" t="s">
        <v>763</v>
      </c>
    </row>
    <row r="796" spans="1:15" x14ac:dyDescent="0.2">
      <c r="A796" s="388" t="s">
        <v>977</v>
      </c>
      <c r="I796" s="386"/>
      <c r="N796" s="387" t="s">
        <v>998</v>
      </c>
    </row>
    <row r="797" spans="1:15" x14ac:dyDescent="0.2">
      <c r="A797" s="390" t="s">
        <v>997</v>
      </c>
      <c r="B797" s="391"/>
      <c r="C797" s="391"/>
      <c r="D797" s="391"/>
      <c r="E797" s="391"/>
      <c r="F797" s="391"/>
      <c r="G797" s="391"/>
      <c r="H797" s="391"/>
      <c r="I797" s="392"/>
      <c r="L797" s="386"/>
      <c r="M797" s="386"/>
      <c r="N797" s="393" t="str">
        <f>SMK</f>
        <v>WITNESS:  S. M. KATKO</v>
      </c>
    </row>
    <row r="798" spans="1:15" x14ac:dyDescent="0.2">
      <c r="A798" s="390"/>
      <c r="B798" s="391"/>
      <c r="C798" s="391"/>
      <c r="D798" s="391"/>
      <c r="E798" s="391"/>
      <c r="F798" s="391"/>
      <c r="G798" s="391"/>
      <c r="H798" s="391"/>
      <c r="I798" s="392"/>
      <c r="J798" s="393"/>
      <c r="L798" s="386"/>
      <c r="M798" s="386"/>
    </row>
    <row r="799" spans="1:15" x14ac:dyDescent="0.2">
      <c r="A799" s="390"/>
      <c r="B799" s="391"/>
      <c r="C799" s="391"/>
      <c r="D799" s="2075" t="s">
        <v>1088</v>
      </c>
      <c r="E799" s="2075"/>
      <c r="F799" s="2075"/>
      <c r="G799" s="2075"/>
      <c r="H799" s="391"/>
      <c r="I799" s="2076" t="s">
        <v>1093</v>
      </c>
      <c r="J799" s="2077"/>
      <c r="K799" s="2077"/>
      <c r="L799" s="2077"/>
      <c r="M799" s="2077"/>
      <c r="N799" s="2077"/>
    </row>
    <row r="800" spans="1:15" x14ac:dyDescent="0.2">
      <c r="A800" s="394"/>
      <c r="B800" s="391"/>
      <c r="C800" s="391"/>
      <c r="D800" s="396" t="s">
        <v>1084</v>
      </c>
      <c r="E800" s="391"/>
      <c r="F800" s="391"/>
      <c r="G800" s="395"/>
      <c r="H800" s="395"/>
      <c r="I800" s="397" t="s">
        <v>1089</v>
      </c>
      <c r="J800" s="396"/>
      <c r="M800" s="386"/>
    </row>
    <row r="801" spans="1:14" x14ac:dyDescent="0.2">
      <c r="A801" s="383"/>
      <c r="D801" s="397" t="s">
        <v>865</v>
      </c>
      <c r="G801" s="397" t="s">
        <v>867</v>
      </c>
      <c r="H801" s="398"/>
      <c r="I801" s="397" t="s">
        <v>865</v>
      </c>
      <c r="J801" s="397" t="s">
        <v>956</v>
      </c>
      <c r="M801" s="386"/>
      <c r="N801" s="397" t="s">
        <v>867</v>
      </c>
    </row>
    <row r="802" spans="1:14" x14ac:dyDescent="0.2">
      <c r="A802" s="397" t="s">
        <v>1080</v>
      </c>
      <c r="B802" s="397" t="s">
        <v>1082</v>
      </c>
      <c r="D802" s="397" t="s">
        <v>867</v>
      </c>
      <c r="G802" s="399" t="s">
        <v>1087</v>
      </c>
      <c r="H802" s="398"/>
      <c r="I802" s="399" t="s">
        <v>867</v>
      </c>
      <c r="J802" s="397" t="s">
        <v>1090</v>
      </c>
      <c r="K802" s="397" t="s">
        <v>956</v>
      </c>
      <c r="M802" s="399" t="s">
        <v>1092</v>
      </c>
      <c r="N802" s="399" t="s">
        <v>1087</v>
      </c>
    </row>
    <row r="803" spans="1:14" x14ac:dyDescent="0.2">
      <c r="A803" s="400" t="s">
        <v>1081</v>
      </c>
      <c r="B803" s="400" t="s">
        <v>1081</v>
      </c>
      <c r="C803" s="401" t="s">
        <v>1083</v>
      </c>
      <c r="D803" s="409" t="str">
        <f>"09/30/2016"</f>
        <v>09/30/2016</v>
      </c>
      <c r="E803" s="400" t="s">
        <v>1085</v>
      </c>
      <c r="F803" s="400" t="s">
        <v>1086</v>
      </c>
      <c r="G803" s="409" t="str">
        <f>"10/31/2016"</f>
        <v>10/31/2016</v>
      </c>
      <c r="H803" s="398"/>
      <c r="I803" s="404" t="str">
        <f>D803</f>
        <v>09/30/2016</v>
      </c>
      <c r="J803" s="400" t="s">
        <v>1091</v>
      </c>
      <c r="K803" s="402" t="s">
        <v>1090</v>
      </c>
      <c r="L803" s="402" t="s">
        <v>1086</v>
      </c>
      <c r="M803" s="402" t="s">
        <v>955</v>
      </c>
      <c r="N803" s="404" t="str">
        <f>G803</f>
        <v>10/31/2016</v>
      </c>
    </row>
    <row r="804" spans="1:14" x14ac:dyDescent="0.2">
      <c r="A804" s="406"/>
      <c r="B804" s="406"/>
      <c r="C804" s="406"/>
      <c r="D804" s="406" t="str">
        <f>"(1)"</f>
        <v>(1)</v>
      </c>
      <c r="E804" s="406" t="str">
        <f>"(2)"</f>
        <v>(2)</v>
      </c>
      <c r="F804" s="406" t="str">
        <f>"(3)"</f>
        <v>(3)</v>
      </c>
      <c r="G804" s="406" t="str">
        <f>"(4)=(1+2+3)"</f>
        <v>(4)=(1+2+3)</v>
      </c>
      <c r="H804" s="406"/>
      <c r="I804" s="406" t="str">
        <f>"(5)"</f>
        <v>(5)</v>
      </c>
      <c r="J804" s="406" t="str">
        <f>"(6)"</f>
        <v>(6)</v>
      </c>
      <c r="K804" s="406" t="str">
        <f>"(7)=((1+4)/2*6/12))"</f>
        <v>(7)=((1+4)/2*6/12))</v>
      </c>
      <c r="L804" s="406" t="str">
        <f>"(8)"</f>
        <v>(8)</v>
      </c>
      <c r="M804" s="406" t="str">
        <f>"(9)"</f>
        <v>(9)</v>
      </c>
      <c r="N804" s="406" t="str">
        <f>"(10)=(5+7-8+9)"</f>
        <v>(10)=(5+7-8+9)</v>
      </c>
    </row>
    <row r="805" spans="1:14" x14ac:dyDescent="0.2">
      <c r="D805" s="410" t="s">
        <v>639</v>
      </c>
      <c r="E805" s="410" t="s">
        <v>639</v>
      </c>
      <c r="F805" s="410" t="s">
        <v>639</v>
      </c>
      <c r="G805" s="410" t="s">
        <v>639</v>
      </c>
      <c r="H805" s="410"/>
      <c r="I805" s="410" t="s">
        <v>639</v>
      </c>
      <c r="J805" s="410" t="s">
        <v>639</v>
      </c>
      <c r="K805" s="410" t="s">
        <v>639</v>
      </c>
      <c r="L805" s="410" t="s">
        <v>639</v>
      </c>
      <c r="M805" s="410" t="s">
        <v>639</v>
      </c>
      <c r="N805" s="410" t="s">
        <v>639</v>
      </c>
    </row>
    <row r="806" spans="1:14" x14ac:dyDescent="0.2">
      <c r="A806" s="410">
        <v>1</v>
      </c>
      <c r="B806" s="411" t="s">
        <v>1025</v>
      </c>
      <c r="C806" s="412"/>
      <c r="M806" s="386"/>
    </row>
    <row r="807" spans="1:14" x14ac:dyDescent="0.2">
      <c r="A807" s="410">
        <f>A806+1</f>
        <v>2</v>
      </c>
      <c r="C807" s="411" t="s">
        <v>697</v>
      </c>
      <c r="M807" s="386"/>
    </row>
    <row r="808" spans="1:14" x14ac:dyDescent="0.2">
      <c r="A808" s="410">
        <f t="shared" ref="A808:A813" si="232">A807+1</f>
        <v>3</v>
      </c>
      <c r="B808" s="413">
        <v>301</v>
      </c>
      <c r="C808" s="414" t="s">
        <v>1026</v>
      </c>
      <c r="D808" s="415">
        <f>G702</f>
        <v>521.20000000000005</v>
      </c>
      <c r="E808" s="417">
        <v>0</v>
      </c>
      <c r="F808" s="417">
        <v>0</v>
      </c>
      <c r="G808" s="415">
        <f>SUM(D808:F808)</f>
        <v>521.20000000000005</v>
      </c>
      <c r="H808" s="418"/>
      <c r="I808" s="415">
        <f>N702</f>
        <v>0</v>
      </c>
      <c r="J808" s="419" t="s">
        <v>1094</v>
      </c>
      <c r="K808" s="417">
        <v>0</v>
      </c>
      <c r="L808" s="418">
        <f>-F808</f>
        <v>0</v>
      </c>
      <c r="M808" s="417">
        <v>0</v>
      </c>
      <c r="N808" s="408">
        <f>I808+K808-L808+M808</f>
        <v>0</v>
      </c>
    </row>
    <row r="809" spans="1:14" x14ac:dyDescent="0.2">
      <c r="A809" s="410">
        <f t="shared" si="232"/>
        <v>4</v>
      </c>
      <c r="B809" s="413">
        <v>303</v>
      </c>
      <c r="C809" s="414" t="s">
        <v>1027</v>
      </c>
      <c r="D809" s="415">
        <f>G703</f>
        <v>74347.509999999995</v>
      </c>
      <c r="E809" s="417">
        <v>0</v>
      </c>
      <c r="F809" s="417">
        <v>0</v>
      </c>
      <c r="G809" s="415">
        <f>SUM(D809:F809)</f>
        <v>74347.509999999995</v>
      </c>
      <c r="H809" s="418"/>
      <c r="I809" s="415">
        <f>N703</f>
        <v>47245.069999999978</v>
      </c>
      <c r="J809" s="419" t="s">
        <v>1094</v>
      </c>
      <c r="K809" s="415">
        <f>'Intangible Amort.'!O$20</f>
        <v>206.52</v>
      </c>
      <c r="L809" s="418">
        <f>-F809</f>
        <v>0</v>
      </c>
      <c r="M809" s="417">
        <v>0</v>
      </c>
      <c r="N809" s="408">
        <f>I809+K809-L809+M809</f>
        <v>47451.589999999975</v>
      </c>
    </row>
    <row r="810" spans="1:14" x14ac:dyDescent="0.2">
      <c r="A810" s="410">
        <f t="shared" si="232"/>
        <v>5</v>
      </c>
      <c r="B810" s="413">
        <v>303.10000000000002</v>
      </c>
      <c r="C810" s="414" t="s">
        <v>1028</v>
      </c>
      <c r="D810" s="415">
        <f>G704</f>
        <v>0</v>
      </c>
      <c r="E810" s="417">
        <v>0</v>
      </c>
      <c r="F810" s="417">
        <v>0</v>
      </c>
      <c r="G810" s="415">
        <f>SUM(D810:F810)</f>
        <v>0</v>
      </c>
      <c r="H810" s="418"/>
      <c r="I810" s="415">
        <f>N704</f>
        <v>0</v>
      </c>
      <c r="J810" s="419" t="s">
        <v>1094</v>
      </c>
      <c r="K810" s="417">
        <v>0</v>
      </c>
      <c r="L810" s="418">
        <f>-F810</f>
        <v>0</v>
      </c>
      <c r="M810" s="417">
        <v>0</v>
      </c>
      <c r="N810" s="408">
        <f>I810+K810-L810+M810</f>
        <v>0</v>
      </c>
    </row>
    <row r="811" spans="1:14" x14ac:dyDescent="0.2">
      <c r="A811" s="410">
        <f t="shared" si="232"/>
        <v>6</v>
      </c>
      <c r="B811" s="413">
        <v>303.2</v>
      </c>
      <c r="C811" s="414" t="s">
        <v>1029</v>
      </c>
      <c r="D811" s="415">
        <f>G705</f>
        <v>0</v>
      </c>
      <c r="E811" s="417">
        <v>0</v>
      </c>
      <c r="F811" s="417">
        <v>0</v>
      </c>
      <c r="G811" s="415">
        <f>SUM(D811:F811)</f>
        <v>0</v>
      </c>
      <c r="H811" s="418"/>
      <c r="I811" s="415">
        <f>N705</f>
        <v>0</v>
      </c>
      <c r="J811" s="419" t="s">
        <v>1094</v>
      </c>
      <c r="K811" s="417">
        <v>0</v>
      </c>
      <c r="L811" s="418">
        <f>-F811</f>
        <v>0</v>
      </c>
      <c r="M811" s="417">
        <v>0</v>
      </c>
      <c r="N811" s="408">
        <f>I811+K811-L811+M811</f>
        <v>0</v>
      </c>
    </row>
    <row r="812" spans="1:14" x14ac:dyDescent="0.2">
      <c r="A812" s="410">
        <f t="shared" si="232"/>
        <v>7</v>
      </c>
      <c r="B812" s="413">
        <v>303.3</v>
      </c>
      <c r="C812" s="414" t="s">
        <v>1030</v>
      </c>
      <c r="D812" s="421">
        <f>G706</f>
        <v>6224330</v>
      </c>
      <c r="E812" s="422">
        <v>202119</v>
      </c>
      <c r="F812" s="422">
        <v>0</v>
      </c>
      <c r="G812" s="421">
        <f>SUM(D812:F812)</f>
        <v>6426449</v>
      </c>
      <c r="H812" s="418"/>
      <c r="I812" s="421">
        <f>N706</f>
        <v>2649651.1411471791</v>
      </c>
      <c r="J812" s="419" t="s">
        <v>1094</v>
      </c>
      <c r="K812" s="421">
        <f>'Intangible Amort.'!O$93</f>
        <v>78835.084449597023</v>
      </c>
      <c r="L812" s="421">
        <f>-F812</f>
        <v>0</v>
      </c>
      <c r="M812" s="422">
        <v>0</v>
      </c>
      <c r="N812" s="423">
        <f>I812+K812-L812+M812</f>
        <v>2728486.2255967762</v>
      </c>
    </row>
    <row r="813" spans="1:14" x14ac:dyDescent="0.2">
      <c r="A813" s="410">
        <f t="shared" si="232"/>
        <v>8</v>
      </c>
      <c r="B813" s="413"/>
      <c r="C813" s="414" t="s">
        <v>1031</v>
      </c>
      <c r="D813" s="418">
        <f>SUM(D808:D812)</f>
        <v>6299198.71</v>
      </c>
      <c r="E813" s="418">
        <f>SUM(E808:E812)</f>
        <v>202119</v>
      </c>
      <c r="F813" s="418">
        <f>SUM(F808:F812)</f>
        <v>0</v>
      </c>
      <c r="G813" s="418">
        <f>SUM(G808:G812)</f>
        <v>6501317.71</v>
      </c>
      <c r="H813" s="418"/>
      <c r="I813" s="418">
        <f>SUM(I808:I812)</f>
        <v>2696896.2111471789</v>
      </c>
      <c r="J813" s="424"/>
      <c r="K813" s="418">
        <f>SUM(K808:K812)</f>
        <v>79041.604449597027</v>
      </c>
      <c r="L813" s="418">
        <f>SUM(L808:L812)</f>
        <v>0</v>
      </c>
      <c r="M813" s="418">
        <f>SUM(M808:M812)</f>
        <v>0</v>
      </c>
      <c r="N813" s="418">
        <f>SUM(N808:N812)</f>
        <v>2775937.8155967761</v>
      </c>
    </row>
    <row r="814" spans="1:14" x14ac:dyDescent="0.2">
      <c r="B814" s="425"/>
      <c r="D814" s="418"/>
      <c r="E814" s="418"/>
      <c r="F814" s="418"/>
      <c r="G814" s="418"/>
      <c r="H814" s="418"/>
      <c r="I814" s="418"/>
      <c r="J814" s="424"/>
      <c r="K814" s="418"/>
      <c r="L814" s="418"/>
      <c r="M814" s="418"/>
    </row>
    <row r="815" spans="1:14" x14ac:dyDescent="0.2">
      <c r="A815" s="410">
        <f>A813+1</f>
        <v>9</v>
      </c>
      <c r="B815" s="425"/>
      <c r="C815" s="411" t="s">
        <v>704</v>
      </c>
      <c r="D815" s="418"/>
      <c r="E815" s="418"/>
      <c r="F815" s="418"/>
      <c r="G815" s="418"/>
      <c r="H815" s="418"/>
      <c r="I815" s="418"/>
      <c r="J815" s="424"/>
      <c r="K815" s="418"/>
      <c r="L815" s="418"/>
      <c r="M815" s="418"/>
    </row>
    <row r="816" spans="1:14" x14ac:dyDescent="0.2">
      <c r="A816" s="410">
        <f>A815+1</f>
        <v>10</v>
      </c>
      <c r="B816" s="426">
        <v>304.10000000000002</v>
      </c>
      <c r="C816" s="427" t="s">
        <v>1032</v>
      </c>
      <c r="D816" s="421">
        <f>G710</f>
        <v>0</v>
      </c>
      <c r="E816" s="1662">
        <v>0</v>
      </c>
      <c r="F816" s="1662">
        <v>0</v>
      </c>
      <c r="G816" s="421">
        <f>SUM(D816:F816)</f>
        <v>0</v>
      </c>
      <c r="H816" s="418"/>
      <c r="I816" s="421">
        <f>N710</f>
        <v>0</v>
      </c>
      <c r="J816" s="429" t="s">
        <v>1102</v>
      </c>
      <c r="K816" s="430">
        <v>0</v>
      </c>
      <c r="L816" s="421">
        <f>-F816</f>
        <v>0</v>
      </c>
      <c r="M816" s="422">
        <v>0</v>
      </c>
      <c r="N816" s="423">
        <f>I816+K816-L816+M816</f>
        <v>0</v>
      </c>
    </row>
    <row r="817" spans="1:14" x14ac:dyDescent="0.2">
      <c r="A817" s="410">
        <f>A816+1</f>
        <v>11</v>
      </c>
      <c r="B817" s="426"/>
      <c r="C817" s="431" t="s">
        <v>1079</v>
      </c>
      <c r="D817" s="418">
        <f>D816</f>
        <v>0</v>
      </c>
      <c r="E817" s="418">
        <f>E816</f>
        <v>0</v>
      </c>
      <c r="F817" s="418">
        <f>F816</f>
        <v>0</v>
      </c>
      <c r="G817" s="418">
        <f>G816</f>
        <v>0</v>
      </c>
      <c r="H817" s="418"/>
      <c r="I817" s="418">
        <f>I816</f>
        <v>0</v>
      </c>
      <c r="J817" s="432"/>
      <c r="K817" s="418">
        <f>SUM(K816)</f>
        <v>0</v>
      </c>
      <c r="L817" s="418">
        <f>SUM(L816)</f>
        <v>0</v>
      </c>
      <c r="M817" s="418">
        <f>M816</f>
        <v>0</v>
      </c>
      <c r="N817" s="418">
        <f>N816</f>
        <v>0</v>
      </c>
    </row>
    <row r="818" spans="1:14" x14ac:dyDescent="0.2">
      <c r="B818" s="425"/>
      <c r="D818" s="418"/>
      <c r="E818" s="418"/>
      <c r="F818" s="418"/>
      <c r="G818" s="418"/>
      <c r="H818" s="418"/>
      <c r="I818" s="418"/>
      <c r="J818" s="432"/>
      <c r="K818" s="418"/>
      <c r="L818" s="418"/>
      <c r="M818" s="418"/>
    </row>
    <row r="819" spans="1:14" x14ac:dyDescent="0.2">
      <c r="A819" s="410">
        <f>A817+1</f>
        <v>12</v>
      </c>
      <c r="B819" s="425"/>
      <c r="C819" s="411" t="s">
        <v>707</v>
      </c>
      <c r="D819" s="418"/>
      <c r="E819" s="418"/>
      <c r="F819" s="418"/>
      <c r="G819" s="418"/>
      <c r="H819" s="418"/>
      <c r="I819" s="418"/>
      <c r="J819" s="432"/>
      <c r="K819" s="418"/>
      <c r="L819" s="418"/>
      <c r="M819" s="418"/>
    </row>
    <row r="820" spans="1:14" x14ac:dyDescent="0.2">
      <c r="A820" s="410">
        <f>A819+1</f>
        <v>13</v>
      </c>
      <c r="B820" s="413">
        <v>374.1</v>
      </c>
      <c r="C820" s="414" t="s">
        <v>1035</v>
      </c>
      <c r="D820" s="415">
        <f t="shared" ref="D820:D830" si="233">G714</f>
        <v>206</v>
      </c>
      <c r="E820" s="417">
        <v>0</v>
      </c>
      <c r="F820" s="417">
        <v>0</v>
      </c>
      <c r="G820" s="415">
        <f>SUM(D820:F820)</f>
        <v>206</v>
      </c>
      <c r="H820" s="418"/>
      <c r="I820" s="415">
        <f t="shared" ref="I820:I830" si="234">N714</f>
        <v>0</v>
      </c>
      <c r="J820" s="429" t="s">
        <v>1102</v>
      </c>
      <c r="K820" s="417">
        <v>0</v>
      </c>
      <c r="L820" s="418">
        <f t="shared" ref="L820:L830" si="235">-F820</f>
        <v>0</v>
      </c>
      <c r="M820" s="417">
        <v>0</v>
      </c>
      <c r="N820" s="408">
        <f t="shared" ref="N820:N830" si="236">I820+K820-L820+M820</f>
        <v>0</v>
      </c>
    </row>
    <row r="821" spans="1:14" x14ac:dyDescent="0.2">
      <c r="A821" s="410">
        <f t="shared" ref="A821:A841" si="237">A820+1</f>
        <v>14</v>
      </c>
      <c r="B821" s="413">
        <v>374.2</v>
      </c>
      <c r="C821" s="414" t="s">
        <v>1036</v>
      </c>
      <c r="D821" s="415">
        <f t="shared" si="233"/>
        <v>877756.18</v>
      </c>
      <c r="E821" s="417">
        <v>0</v>
      </c>
      <c r="F821" s="417">
        <v>0</v>
      </c>
      <c r="G821" s="415">
        <f t="shared" ref="G821:G830" si="238">SUM(D821:F821)</f>
        <v>877756.18</v>
      </c>
      <c r="H821" s="418"/>
      <c r="I821" s="415">
        <f t="shared" si="234"/>
        <v>-523.13</v>
      </c>
      <c r="J821" s="429" t="s">
        <v>1102</v>
      </c>
      <c r="K821" s="417">
        <v>0</v>
      </c>
      <c r="L821" s="418">
        <f t="shared" si="235"/>
        <v>0</v>
      </c>
      <c r="M821" s="417">
        <v>0</v>
      </c>
      <c r="N821" s="408">
        <f t="shared" si="236"/>
        <v>-523.13</v>
      </c>
    </row>
    <row r="822" spans="1:14" x14ac:dyDescent="0.2">
      <c r="A822" s="410">
        <f t="shared" si="237"/>
        <v>15</v>
      </c>
      <c r="B822" s="413">
        <v>374.4</v>
      </c>
      <c r="C822" s="414" t="s">
        <v>1037</v>
      </c>
      <c r="D822" s="415">
        <f t="shared" si="233"/>
        <v>661305.66</v>
      </c>
      <c r="E822" s="417">
        <v>0</v>
      </c>
      <c r="F822" s="417">
        <v>0</v>
      </c>
      <c r="G822" s="415">
        <f t="shared" si="238"/>
        <v>661305.66</v>
      </c>
      <c r="H822" s="418"/>
      <c r="I822" s="415">
        <f t="shared" si="234"/>
        <v>176354.36</v>
      </c>
      <c r="J822" s="442">
        <f t="shared" ref="J822:J828" si="239">J716</f>
        <v>1.5299999999999999E-2</v>
      </c>
      <c r="K822" s="418">
        <f>ROUND((G822+D822)/2*J822/12,0)</f>
        <v>843</v>
      </c>
      <c r="L822" s="418">
        <f t="shared" si="235"/>
        <v>0</v>
      </c>
      <c r="M822" s="417">
        <v>0</v>
      </c>
      <c r="N822" s="408">
        <f t="shared" si="236"/>
        <v>177197.36</v>
      </c>
    </row>
    <row r="823" spans="1:14" x14ac:dyDescent="0.2">
      <c r="A823" s="410">
        <f t="shared" si="237"/>
        <v>16</v>
      </c>
      <c r="B823" s="413">
        <v>374.5</v>
      </c>
      <c r="C823" s="414" t="s">
        <v>1038</v>
      </c>
      <c r="D823" s="415">
        <f t="shared" si="233"/>
        <v>2699392.55</v>
      </c>
      <c r="E823" s="417">
        <v>1659</v>
      </c>
      <c r="F823" s="417">
        <v>-199</v>
      </c>
      <c r="G823" s="415">
        <f t="shared" si="238"/>
        <v>2700852.55</v>
      </c>
      <c r="H823" s="418"/>
      <c r="I823" s="415">
        <f t="shared" si="234"/>
        <v>921185.23</v>
      </c>
      <c r="J823" s="442">
        <f t="shared" si="239"/>
        <v>1.2200000000000001E-2</v>
      </c>
      <c r="K823" s="418">
        <f t="shared" ref="K823:K828" si="240">ROUND((G823+D823)/2*J823/12,0)</f>
        <v>2745</v>
      </c>
      <c r="L823" s="418">
        <f t="shared" si="235"/>
        <v>199</v>
      </c>
      <c r="M823" s="417">
        <v>0</v>
      </c>
      <c r="N823" s="408">
        <f t="shared" si="236"/>
        <v>923731.23</v>
      </c>
    </row>
    <row r="824" spans="1:14" x14ac:dyDescent="0.2">
      <c r="A824" s="410">
        <f t="shared" si="237"/>
        <v>17</v>
      </c>
      <c r="B824" s="413">
        <v>375.2</v>
      </c>
      <c r="C824" s="414" t="s">
        <v>1039</v>
      </c>
      <c r="D824" s="415">
        <f t="shared" si="233"/>
        <v>2124.98</v>
      </c>
      <c r="E824" s="417">
        <v>0</v>
      </c>
      <c r="F824" s="417">
        <v>0</v>
      </c>
      <c r="G824" s="415">
        <f t="shared" si="238"/>
        <v>2124.98</v>
      </c>
      <c r="H824" s="418"/>
      <c r="I824" s="415">
        <f t="shared" si="234"/>
        <v>2018.32</v>
      </c>
      <c r="J824" s="442">
        <f t="shared" si="239"/>
        <v>1.9599999999999999E-2</v>
      </c>
      <c r="K824" s="418">
        <f t="shared" si="240"/>
        <v>3</v>
      </c>
      <c r="L824" s="418">
        <f t="shared" si="235"/>
        <v>0</v>
      </c>
      <c r="M824" s="417">
        <v>0</v>
      </c>
      <c r="N824" s="408">
        <f t="shared" si="236"/>
        <v>2021.32</v>
      </c>
    </row>
    <row r="825" spans="1:14" x14ac:dyDescent="0.2">
      <c r="A825" s="410">
        <f t="shared" si="237"/>
        <v>18</v>
      </c>
      <c r="B825" s="413">
        <v>375.3</v>
      </c>
      <c r="C825" s="414" t="s">
        <v>1040</v>
      </c>
      <c r="D825" s="415">
        <f t="shared" si="233"/>
        <v>0</v>
      </c>
      <c r="E825" s="417">
        <v>0</v>
      </c>
      <c r="F825" s="417">
        <v>0</v>
      </c>
      <c r="G825" s="415">
        <f t="shared" si="238"/>
        <v>0</v>
      </c>
      <c r="H825" s="418"/>
      <c r="I825" s="415">
        <f t="shared" si="234"/>
        <v>-77.66</v>
      </c>
      <c r="J825" s="442">
        <f t="shared" si="239"/>
        <v>1.9599999999999999E-2</v>
      </c>
      <c r="K825" s="418">
        <f t="shared" si="240"/>
        <v>0</v>
      </c>
      <c r="L825" s="418">
        <f t="shared" si="235"/>
        <v>0</v>
      </c>
      <c r="M825" s="417">
        <v>0</v>
      </c>
      <c r="N825" s="408">
        <f t="shared" si="236"/>
        <v>-77.66</v>
      </c>
    </row>
    <row r="826" spans="1:14" x14ac:dyDescent="0.2">
      <c r="A826" s="410">
        <f t="shared" si="237"/>
        <v>19</v>
      </c>
      <c r="B826" s="413">
        <v>375.4</v>
      </c>
      <c r="C826" s="414" t="s">
        <v>1041</v>
      </c>
      <c r="D826" s="415">
        <f t="shared" si="233"/>
        <v>1965686.02</v>
      </c>
      <c r="E826" s="417">
        <v>50282</v>
      </c>
      <c r="F826" s="417">
        <v>-6034</v>
      </c>
      <c r="G826" s="415">
        <f t="shared" si="238"/>
        <v>2009934.02</v>
      </c>
      <c r="H826" s="418"/>
      <c r="I826" s="415">
        <f t="shared" si="234"/>
        <v>493902.37</v>
      </c>
      <c r="J826" s="442">
        <f t="shared" si="239"/>
        <v>1.9599999999999999E-2</v>
      </c>
      <c r="K826" s="418">
        <f t="shared" si="240"/>
        <v>3247</v>
      </c>
      <c r="L826" s="418">
        <f t="shared" si="235"/>
        <v>6034</v>
      </c>
      <c r="M826" s="417">
        <v>-603</v>
      </c>
      <c r="N826" s="408">
        <f t="shared" si="236"/>
        <v>490512.37</v>
      </c>
    </row>
    <row r="827" spans="1:14" x14ac:dyDescent="0.2">
      <c r="A827" s="410">
        <f t="shared" si="237"/>
        <v>20</v>
      </c>
      <c r="B827" s="413">
        <v>375.6</v>
      </c>
      <c r="C827" s="414" t="s">
        <v>1042</v>
      </c>
      <c r="D827" s="415">
        <f t="shared" si="233"/>
        <v>0</v>
      </c>
      <c r="E827" s="417">
        <v>0</v>
      </c>
      <c r="F827" s="417">
        <v>0</v>
      </c>
      <c r="G827" s="415">
        <f t="shared" si="238"/>
        <v>0</v>
      </c>
      <c r="H827" s="418"/>
      <c r="I827" s="415">
        <f t="shared" si="234"/>
        <v>0.02</v>
      </c>
      <c r="J827" s="442">
        <f t="shared" si="239"/>
        <v>1.9599999999999999E-2</v>
      </c>
      <c r="K827" s="418">
        <f t="shared" si="240"/>
        <v>0</v>
      </c>
      <c r="L827" s="418">
        <f t="shared" si="235"/>
        <v>0</v>
      </c>
      <c r="M827" s="417">
        <v>0</v>
      </c>
      <c r="N827" s="408">
        <f t="shared" si="236"/>
        <v>0.02</v>
      </c>
    </row>
    <row r="828" spans="1:14" x14ac:dyDescent="0.2">
      <c r="A828" s="410">
        <f t="shared" si="237"/>
        <v>21</v>
      </c>
      <c r="B828" s="413">
        <v>375.7</v>
      </c>
      <c r="C828" s="414" t="s">
        <v>1043</v>
      </c>
      <c r="D828" s="415">
        <f t="shared" si="233"/>
        <v>8098203.21</v>
      </c>
      <c r="E828" s="417">
        <v>59601</v>
      </c>
      <c r="F828" s="417">
        <v>-7152</v>
      </c>
      <c r="G828" s="415">
        <f t="shared" si="238"/>
        <v>8150652.21</v>
      </c>
      <c r="H828" s="418"/>
      <c r="I828" s="415">
        <f t="shared" si="234"/>
        <v>3296974.06</v>
      </c>
      <c r="J828" s="442">
        <f t="shared" si="239"/>
        <v>1.9900000000000001E-2</v>
      </c>
      <c r="K828" s="418">
        <f t="shared" si="240"/>
        <v>13473</v>
      </c>
      <c r="L828" s="418">
        <f t="shared" si="235"/>
        <v>7152</v>
      </c>
      <c r="M828" s="417">
        <v>0</v>
      </c>
      <c r="N828" s="408">
        <f t="shared" si="236"/>
        <v>3303295.06</v>
      </c>
    </row>
    <row r="829" spans="1:14" x14ac:dyDescent="0.2">
      <c r="A829" s="410">
        <f t="shared" si="237"/>
        <v>22</v>
      </c>
      <c r="B829" s="413">
        <v>375.71</v>
      </c>
      <c r="C829" s="414" t="s">
        <v>1044</v>
      </c>
      <c r="D829" s="415">
        <f t="shared" si="233"/>
        <v>259808.94</v>
      </c>
      <c r="E829" s="417">
        <v>0</v>
      </c>
      <c r="F829" s="417">
        <v>0</v>
      </c>
      <c r="G829" s="415">
        <f t="shared" si="238"/>
        <v>259808.94</v>
      </c>
      <c r="H829" s="418"/>
      <c r="I829" s="415">
        <f t="shared" si="234"/>
        <v>174433.40631578956</v>
      </c>
      <c r="J829" s="419" t="s">
        <v>1094</v>
      </c>
      <c r="K829" s="417">
        <f>104653.88/38</f>
        <v>2754.0494736842106</v>
      </c>
      <c r="L829" s="418">
        <f t="shared" si="235"/>
        <v>0</v>
      </c>
      <c r="M829" s="417">
        <v>0</v>
      </c>
      <c r="N829" s="408">
        <f t="shared" si="236"/>
        <v>177187.45578947378</v>
      </c>
    </row>
    <row r="830" spans="1:14" x14ac:dyDescent="0.2">
      <c r="A830" s="410">
        <f t="shared" si="237"/>
        <v>23</v>
      </c>
      <c r="B830" s="413">
        <v>375.8</v>
      </c>
      <c r="C830" s="414" t="s">
        <v>1045</v>
      </c>
      <c r="D830" s="415">
        <f t="shared" si="233"/>
        <v>0</v>
      </c>
      <c r="E830" s="417">
        <v>0</v>
      </c>
      <c r="F830" s="417">
        <v>0</v>
      </c>
      <c r="G830" s="415">
        <f t="shared" si="238"/>
        <v>0</v>
      </c>
      <c r="H830" s="418"/>
      <c r="I830" s="415">
        <f t="shared" si="234"/>
        <v>0</v>
      </c>
      <c r="J830" s="442">
        <f>J724</f>
        <v>5.3199999999999997E-2</v>
      </c>
      <c r="K830" s="417">
        <v>0</v>
      </c>
      <c r="L830" s="418">
        <f t="shared" si="235"/>
        <v>0</v>
      </c>
      <c r="M830" s="417">
        <v>0</v>
      </c>
      <c r="N830" s="408">
        <f t="shared" si="236"/>
        <v>0</v>
      </c>
    </row>
    <row r="831" spans="1:14" x14ac:dyDescent="0.2">
      <c r="A831" s="410">
        <f>A830+1</f>
        <v>24</v>
      </c>
      <c r="B831" s="413">
        <v>376</v>
      </c>
      <c r="C831" s="438" t="s">
        <v>1096</v>
      </c>
      <c r="D831" s="415"/>
      <c r="E831" s="417"/>
      <c r="F831" s="417"/>
      <c r="G831" s="415"/>
      <c r="H831" s="418"/>
      <c r="I831" s="439"/>
      <c r="J831" s="432"/>
      <c r="K831" s="418"/>
      <c r="L831" s="418"/>
      <c r="M831" s="417"/>
    </row>
    <row r="832" spans="1:14" x14ac:dyDescent="0.2">
      <c r="A832" s="410"/>
      <c r="B832" s="413"/>
      <c r="C832" s="440" t="s">
        <v>1097</v>
      </c>
      <c r="D832" s="415"/>
      <c r="E832" s="417"/>
      <c r="F832" s="417"/>
      <c r="G832" s="415"/>
      <c r="H832" s="418"/>
      <c r="I832" s="415"/>
      <c r="J832" s="442"/>
      <c r="K832" s="418"/>
      <c r="L832" s="418"/>
      <c r="M832" s="417"/>
      <c r="N832" s="408"/>
    </row>
    <row r="833" spans="1:14" x14ac:dyDescent="0.2">
      <c r="A833" s="410"/>
      <c r="B833" s="413"/>
      <c r="C833" s="440" t="s">
        <v>1098</v>
      </c>
      <c r="D833" s="415"/>
      <c r="E833" s="417"/>
      <c r="F833" s="417"/>
      <c r="G833" s="415"/>
      <c r="H833" s="418"/>
      <c r="I833" s="415"/>
      <c r="J833" s="442"/>
      <c r="K833" s="418"/>
      <c r="L833" s="418"/>
      <c r="M833" s="417"/>
      <c r="N833" s="408"/>
    </row>
    <row r="834" spans="1:14" x14ac:dyDescent="0.2">
      <c r="A834" s="410"/>
      <c r="B834" s="413"/>
      <c r="C834" s="440" t="s">
        <v>1099</v>
      </c>
      <c r="D834" s="415"/>
      <c r="E834" s="417"/>
      <c r="F834" s="417"/>
      <c r="G834" s="415"/>
      <c r="H834" s="418"/>
      <c r="I834" s="415"/>
      <c r="J834" s="442"/>
      <c r="K834" s="418"/>
      <c r="L834" s="418"/>
      <c r="M834" s="417"/>
      <c r="N834" s="408"/>
    </row>
    <row r="835" spans="1:14" x14ac:dyDescent="0.2">
      <c r="A835" s="410"/>
      <c r="B835" s="413"/>
      <c r="C835" s="440" t="s">
        <v>1100</v>
      </c>
      <c r="D835" s="415"/>
      <c r="E835" s="417"/>
      <c r="F835" s="417"/>
      <c r="G835" s="415"/>
      <c r="H835" s="418"/>
      <c r="I835" s="415"/>
      <c r="J835" s="442"/>
      <c r="K835" s="418"/>
      <c r="L835" s="418"/>
      <c r="M835" s="417"/>
      <c r="N835" s="408"/>
    </row>
    <row r="836" spans="1:14" x14ac:dyDescent="0.2">
      <c r="A836" s="410"/>
      <c r="B836" s="413"/>
      <c r="C836" s="440" t="s">
        <v>1101</v>
      </c>
      <c r="D836" s="415">
        <f t="shared" ref="D836:D841" si="241">G730</f>
        <v>210717447.44</v>
      </c>
      <c r="E836" s="417">
        <v>1008166</v>
      </c>
      <c r="F836" s="417">
        <v>-120980</v>
      </c>
      <c r="G836" s="415">
        <f t="shared" ref="G836:G841" si="242">SUM(D836:F836)</f>
        <v>211604633.44</v>
      </c>
      <c r="H836" s="418"/>
      <c r="I836" s="415">
        <f t="shared" ref="I836:I841" si="243">N730</f>
        <v>57039841.609999999</v>
      </c>
      <c r="J836" s="442">
        <f t="shared" ref="J836:J841" si="244">J730</f>
        <v>1.5699999999999999E-2</v>
      </c>
      <c r="K836" s="418">
        <f t="shared" ref="K836:K841" si="245">ROUND((G836+D836)/2*J836/12,0)</f>
        <v>276269</v>
      </c>
      <c r="L836" s="418">
        <f t="shared" ref="L836:L841" si="246">-F836</f>
        <v>120980</v>
      </c>
      <c r="M836" s="417">
        <v>-18147</v>
      </c>
      <c r="N836" s="408">
        <f t="shared" ref="N836:N841" si="247">I836+K836-L836+M836</f>
        <v>57176983.609999999</v>
      </c>
    </row>
    <row r="837" spans="1:14" x14ac:dyDescent="0.2">
      <c r="A837" s="410">
        <f>A831+1</f>
        <v>25</v>
      </c>
      <c r="B837" s="413">
        <v>378.1</v>
      </c>
      <c r="C837" s="414" t="s">
        <v>1047</v>
      </c>
      <c r="D837" s="415">
        <f t="shared" si="241"/>
        <v>518504.18</v>
      </c>
      <c r="E837" s="417">
        <v>0</v>
      </c>
      <c r="F837" s="417">
        <v>0</v>
      </c>
      <c r="G837" s="415">
        <f t="shared" si="242"/>
        <v>518504.18</v>
      </c>
      <c r="H837" s="418"/>
      <c r="I837" s="415">
        <f t="shared" si="243"/>
        <v>360416.81</v>
      </c>
      <c r="J837" s="442">
        <f t="shared" si="244"/>
        <v>2.35E-2</v>
      </c>
      <c r="K837" s="418">
        <f t="shared" si="245"/>
        <v>1015</v>
      </c>
      <c r="L837" s="418">
        <f t="shared" si="246"/>
        <v>0</v>
      </c>
      <c r="M837" s="417">
        <v>0</v>
      </c>
      <c r="N837" s="408">
        <f t="shared" si="247"/>
        <v>361431.81</v>
      </c>
    </row>
    <row r="838" spans="1:14" x14ac:dyDescent="0.2">
      <c r="A838" s="410">
        <f t="shared" si="237"/>
        <v>26</v>
      </c>
      <c r="B838" s="413">
        <v>378.2</v>
      </c>
      <c r="C838" s="414" t="s">
        <v>1048</v>
      </c>
      <c r="D838" s="415">
        <f t="shared" si="241"/>
        <v>9644466</v>
      </c>
      <c r="E838" s="417">
        <v>52825</v>
      </c>
      <c r="F838" s="417">
        <v>-6339</v>
      </c>
      <c r="G838" s="415">
        <f t="shared" si="242"/>
        <v>9690952</v>
      </c>
      <c r="H838" s="418"/>
      <c r="I838" s="415">
        <f t="shared" si="243"/>
        <v>3331355.91</v>
      </c>
      <c r="J838" s="442">
        <f t="shared" si="244"/>
        <v>2.35E-2</v>
      </c>
      <c r="K838" s="418">
        <f t="shared" si="245"/>
        <v>18933</v>
      </c>
      <c r="L838" s="418">
        <f t="shared" si="246"/>
        <v>6339</v>
      </c>
      <c r="M838" s="417">
        <v>-317</v>
      </c>
      <c r="N838" s="408">
        <f t="shared" si="247"/>
        <v>3343632.91</v>
      </c>
    </row>
    <row r="839" spans="1:14" x14ac:dyDescent="0.2">
      <c r="A839" s="410">
        <f t="shared" si="237"/>
        <v>27</v>
      </c>
      <c r="B839" s="413">
        <v>378.3</v>
      </c>
      <c r="C839" s="414" t="s">
        <v>1049</v>
      </c>
      <c r="D839" s="415">
        <f t="shared" si="241"/>
        <v>45443.08</v>
      </c>
      <c r="E839" s="417">
        <v>0</v>
      </c>
      <c r="F839" s="417">
        <v>0</v>
      </c>
      <c r="G839" s="415">
        <f t="shared" si="242"/>
        <v>45443.08</v>
      </c>
      <c r="H839" s="418"/>
      <c r="I839" s="415">
        <f t="shared" si="243"/>
        <v>35611.040000000001</v>
      </c>
      <c r="J839" s="442">
        <f t="shared" si="244"/>
        <v>2.35E-2</v>
      </c>
      <c r="K839" s="418">
        <f t="shared" si="245"/>
        <v>89</v>
      </c>
      <c r="L839" s="418">
        <f t="shared" si="246"/>
        <v>0</v>
      </c>
      <c r="M839" s="417">
        <v>0</v>
      </c>
      <c r="N839" s="408">
        <f t="shared" si="247"/>
        <v>35700.04</v>
      </c>
    </row>
    <row r="840" spans="1:14" x14ac:dyDescent="0.2">
      <c r="A840" s="410">
        <f t="shared" si="237"/>
        <v>28</v>
      </c>
      <c r="B840" s="413">
        <v>379.1</v>
      </c>
      <c r="C840" s="414" t="s">
        <v>1050</v>
      </c>
      <c r="D840" s="415">
        <f t="shared" si="241"/>
        <v>254900.59</v>
      </c>
      <c r="E840" s="417">
        <v>0</v>
      </c>
      <c r="F840" s="417">
        <v>0</v>
      </c>
      <c r="G840" s="415">
        <f t="shared" si="242"/>
        <v>254900.59</v>
      </c>
      <c r="H840" s="418"/>
      <c r="I840" s="415">
        <f t="shared" si="243"/>
        <v>267730.57</v>
      </c>
      <c r="J840" s="442">
        <f t="shared" si="244"/>
        <v>2.2700000000000001E-2</v>
      </c>
      <c r="K840" s="417">
        <v>0</v>
      </c>
      <c r="L840" s="418">
        <f t="shared" si="246"/>
        <v>0</v>
      </c>
      <c r="M840" s="417">
        <v>0</v>
      </c>
      <c r="N840" s="408">
        <f t="shared" si="247"/>
        <v>267730.57</v>
      </c>
    </row>
    <row r="841" spans="1:14" x14ac:dyDescent="0.2">
      <c r="A841" s="410">
        <f t="shared" si="237"/>
        <v>29</v>
      </c>
      <c r="B841" s="413">
        <v>380</v>
      </c>
      <c r="C841" s="414" t="s">
        <v>1051</v>
      </c>
      <c r="D841" s="415">
        <f t="shared" si="241"/>
        <v>121238626.77</v>
      </c>
      <c r="E841" s="417">
        <v>689548</v>
      </c>
      <c r="F841" s="417">
        <v>-82746</v>
      </c>
      <c r="G841" s="415">
        <f t="shared" si="242"/>
        <v>121845428.77</v>
      </c>
      <c r="H841" s="418"/>
      <c r="I841" s="415">
        <f t="shared" si="243"/>
        <v>58370761.520000003</v>
      </c>
      <c r="J841" s="442">
        <f t="shared" si="244"/>
        <v>2.5899999999999999E-2</v>
      </c>
      <c r="K841" s="418">
        <f t="shared" si="245"/>
        <v>262328</v>
      </c>
      <c r="L841" s="418">
        <f t="shared" si="246"/>
        <v>82746</v>
      </c>
      <c r="M841" s="417">
        <v>-41373</v>
      </c>
      <c r="N841" s="408">
        <f t="shared" si="247"/>
        <v>58508970.520000003</v>
      </c>
    </row>
    <row r="842" spans="1:14" x14ac:dyDescent="0.2">
      <c r="A842" s="410"/>
      <c r="B842" s="444"/>
      <c r="C842" s="414"/>
      <c r="D842" s="439"/>
      <c r="E842" s="418"/>
      <c r="F842" s="418"/>
      <c r="G842" s="439"/>
      <c r="H842" s="418"/>
      <c r="I842" s="418"/>
      <c r="J842" s="418"/>
      <c r="K842" s="418"/>
      <c r="L842" s="418"/>
    </row>
    <row r="843" spans="1:14" x14ac:dyDescent="0.2">
      <c r="A843" s="2073" t="str">
        <f>co</f>
        <v>COLUMBIA GAS OF KENTUCKY, INC.</v>
      </c>
      <c r="B843" s="2073"/>
      <c r="C843" s="2073"/>
      <c r="D843" s="2073"/>
      <c r="E843" s="2073"/>
      <c r="F843" s="2073"/>
      <c r="G843" s="2073"/>
      <c r="H843" s="2073"/>
      <c r="I843" s="2073"/>
      <c r="J843" s="2073"/>
      <c r="K843" s="2073"/>
      <c r="L843" s="2073"/>
      <c r="M843" s="2073"/>
      <c r="N843" s="2073"/>
    </row>
    <row r="844" spans="1:14" x14ac:dyDescent="0.2">
      <c r="A844" s="2073" t="str">
        <f>case</f>
        <v>CASE NO. 2016 - 00162</v>
      </c>
      <c r="B844" s="2073"/>
      <c r="C844" s="2073"/>
      <c r="D844" s="2073"/>
      <c r="E844" s="2073"/>
      <c r="F844" s="2073"/>
      <c r="G844" s="2073"/>
      <c r="H844" s="2073"/>
      <c r="I844" s="2073"/>
      <c r="J844" s="2073"/>
      <c r="K844" s="2073"/>
      <c r="L844" s="2073"/>
      <c r="M844" s="2073"/>
      <c r="N844" s="2073"/>
    </row>
    <row r="845" spans="1:14" x14ac:dyDescent="0.2">
      <c r="A845" s="2074" t="s">
        <v>1106</v>
      </c>
      <c r="B845" s="2073"/>
      <c r="C845" s="2073"/>
      <c r="D845" s="2073"/>
      <c r="E845" s="2073"/>
      <c r="F845" s="2073"/>
      <c r="G845" s="2073"/>
      <c r="H845" s="2073"/>
      <c r="I845" s="2073"/>
      <c r="J845" s="2073"/>
      <c r="K845" s="2073"/>
      <c r="L845" s="2073"/>
      <c r="M845" s="2073"/>
      <c r="N845" s="2073"/>
    </row>
    <row r="846" spans="1:14" x14ac:dyDescent="0.2">
      <c r="A846" s="2078" t="s">
        <v>2142</v>
      </c>
      <c r="B846" s="2078"/>
      <c r="C846" s="2078"/>
      <c r="D846" s="2078"/>
      <c r="E846" s="2078"/>
      <c r="F846" s="2078"/>
      <c r="G846" s="2078"/>
      <c r="H846" s="2078"/>
      <c r="I846" s="2078"/>
      <c r="J846" s="2078"/>
      <c r="K846" s="2078"/>
      <c r="L846" s="2078"/>
      <c r="M846" s="2078"/>
      <c r="N846" s="2078"/>
    </row>
    <row r="848" spans="1:14" x14ac:dyDescent="0.2">
      <c r="A848" s="388" t="s">
        <v>976</v>
      </c>
      <c r="M848" s="386"/>
      <c r="N848" s="387" t="s">
        <v>763</v>
      </c>
    </row>
    <row r="849" spans="1:14" x14ac:dyDescent="0.2">
      <c r="A849" s="388" t="s">
        <v>977</v>
      </c>
      <c r="M849" s="386"/>
      <c r="N849" s="387" t="s">
        <v>999</v>
      </c>
    </row>
    <row r="850" spans="1:14" x14ac:dyDescent="0.2">
      <c r="A850" s="445" t="str">
        <f>A797</f>
        <v>WORKPAPER REFERENCE NO(S).: WPB-2.3</v>
      </c>
      <c r="B850" s="391"/>
      <c r="C850" s="391"/>
      <c r="D850" s="391"/>
      <c r="E850" s="391"/>
      <c r="F850" s="391"/>
      <c r="G850" s="391"/>
      <c r="H850" s="391"/>
      <c r="M850" s="392"/>
      <c r="N850" s="393" t="str">
        <f>SMK</f>
        <v>WITNESS:  S. M. KATKO</v>
      </c>
    </row>
    <row r="851" spans="1:14" x14ac:dyDescent="0.2">
      <c r="A851" s="390"/>
      <c r="B851" s="391"/>
      <c r="C851" s="391"/>
      <c r="D851" s="391"/>
      <c r="E851" s="391"/>
      <c r="F851" s="391"/>
      <c r="G851" s="391"/>
      <c r="H851" s="391"/>
      <c r="I851" s="392"/>
      <c r="J851" s="393"/>
      <c r="L851" s="386"/>
      <c r="M851" s="386"/>
    </row>
    <row r="852" spans="1:14" x14ac:dyDescent="0.2">
      <c r="A852" s="390"/>
      <c r="B852" s="391"/>
      <c r="C852" s="391"/>
      <c r="D852" s="2075" t="s">
        <v>1088</v>
      </c>
      <c r="E852" s="2075"/>
      <c r="F852" s="2075"/>
      <c r="G852" s="2075"/>
      <c r="H852" s="391"/>
      <c r="I852" s="2076" t="s">
        <v>1093</v>
      </c>
      <c r="J852" s="2077"/>
      <c r="K852" s="2077"/>
      <c r="L852" s="2077"/>
      <c r="M852" s="2077"/>
      <c r="N852" s="2077"/>
    </row>
    <row r="853" spans="1:14" x14ac:dyDescent="0.2">
      <c r="A853" s="394"/>
      <c r="B853" s="391"/>
      <c r="C853" s="391"/>
      <c r="D853" s="396" t="s">
        <v>1084</v>
      </c>
      <c r="E853" s="391"/>
      <c r="F853" s="391"/>
      <c r="G853" s="395"/>
      <c r="H853" s="395"/>
      <c r="I853" s="397" t="s">
        <v>1089</v>
      </c>
      <c r="J853" s="396"/>
      <c r="M853" s="386"/>
    </row>
    <row r="854" spans="1:14" x14ac:dyDescent="0.2">
      <c r="A854" s="383"/>
      <c r="D854" s="397" t="s">
        <v>865</v>
      </c>
      <c r="G854" s="397" t="s">
        <v>867</v>
      </c>
      <c r="H854" s="398"/>
      <c r="I854" s="397" t="s">
        <v>865</v>
      </c>
      <c r="J854" s="397" t="s">
        <v>956</v>
      </c>
      <c r="M854" s="386"/>
      <c r="N854" s="397" t="s">
        <v>867</v>
      </c>
    </row>
    <row r="855" spans="1:14" x14ac:dyDescent="0.2">
      <c r="A855" s="397" t="s">
        <v>1080</v>
      </c>
      <c r="B855" s="397" t="s">
        <v>1082</v>
      </c>
      <c r="D855" s="397" t="s">
        <v>867</v>
      </c>
      <c r="G855" s="399" t="s">
        <v>1087</v>
      </c>
      <c r="H855" s="398"/>
      <c r="I855" s="399" t="s">
        <v>867</v>
      </c>
      <c r="J855" s="397" t="s">
        <v>1090</v>
      </c>
      <c r="K855" s="397" t="s">
        <v>956</v>
      </c>
      <c r="M855" s="399" t="s">
        <v>1092</v>
      </c>
      <c r="N855" s="399" t="s">
        <v>1087</v>
      </c>
    </row>
    <row r="856" spans="1:14" x14ac:dyDescent="0.2">
      <c r="A856" s="400" t="s">
        <v>1081</v>
      </c>
      <c r="B856" s="400" t="s">
        <v>1081</v>
      </c>
      <c r="C856" s="401" t="s">
        <v>1083</v>
      </c>
      <c r="D856" s="404" t="str">
        <f>D803</f>
        <v>09/30/2016</v>
      </c>
      <c r="E856" s="400" t="s">
        <v>1085</v>
      </c>
      <c r="F856" s="400" t="s">
        <v>1086</v>
      </c>
      <c r="G856" s="404" t="str">
        <f>G803</f>
        <v>10/31/2016</v>
      </c>
      <c r="H856" s="398"/>
      <c r="I856" s="404" t="str">
        <f>D856</f>
        <v>09/30/2016</v>
      </c>
      <c r="J856" s="400" t="s">
        <v>1091</v>
      </c>
      <c r="K856" s="402" t="s">
        <v>1090</v>
      </c>
      <c r="L856" s="402" t="s">
        <v>1086</v>
      </c>
      <c r="M856" s="402" t="s">
        <v>955</v>
      </c>
      <c r="N856" s="404" t="str">
        <f>G856</f>
        <v>10/31/2016</v>
      </c>
    </row>
    <row r="857" spans="1:14" x14ac:dyDescent="0.2">
      <c r="A857" s="406"/>
      <c r="B857" s="406"/>
      <c r="C857" s="406"/>
      <c r="D857" s="406" t="str">
        <f>"(1)"</f>
        <v>(1)</v>
      </c>
      <c r="E857" s="406" t="str">
        <f>"(2)"</f>
        <v>(2)</v>
      </c>
      <c r="F857" s="406" t="str">
        <f>"(3)"</f>
        <v>(3)</v>
      </c>
      <c r="G857" s="406" t="str">
        <f>"(4)=(1+2+3)"</f>
        <v>(4)=(1+2+3)</v>
      </c>
      <c r="H857" s="406"/>
      <c r="I857" s="406" t="str">
        <f>"(5)"</f>
        <v>(5)</v>
      </c>
      <c r="J857" s="406" t="str">
        <f>"(6)"</f>
        <v>(6)</v>
      </c>
      <c r="K857" s="406" t="str">
        <f>"(7)=((1+4)/2*6/12))"</f>
        <v>(7)=((1+4)/2*6/12))</v>
      </c>
      <c r="L857" s="406" t="str">
        <f>"(8)"</f>
        <v>(8)</v>
      </c>
      <c r="M857" s="406" t="str">
        <f>"(9)"</f>
        <v>(9)</v>
      </c>
      <c r="N857" s="406" t="str">
        <f>"(10)=(5+7-8+9)"</f>
        <v>(10)=(5+7-8+9)</v>
      </c>
    </row>
    <row r="858" spans="1:14" x14ac:dyDescent="0.2">
      <c r="D858" s="410" t="s">
        <v>639</v>
      </c>
      <c r="E858" s="410" t="s">
        <v>639</v>
      </c>
      <c r="F858" s="410" t="s">
        <v>639</v>
      </c>
      <c r="G858" s="410" t="s">
        <v>639</v>
      </c>
      <c r="H858" s="410"/>
      <c r="I858" s="410" t="s">
        <v>639</v>
      </c>
      <c r="J858" s="410" t="s">
        <v>639</v>
      </c>
      <c r="K858" s="410" t="s">
        <v>639</v>
      </c>
      <c r="L858" s="410" t="s">
        <v>639</v>
      </c>
      <c r="M858" s="410" t="s">
        <v>639</v>
      </c>
      <c r="N858" s="410" t="s">
        <v>639</v>
      </c>
    </row>
    <row r="859" spans="1:14" x14ac:dyDescent="0.2">
      <c r="C859" s="411" t="s">
        <v>707</v>
      </c>
      <c r="D859" s="410"/>
      <c r="E859" s="410"/>
      <c r="F859" s="410"/>
      <c r="G859" s="410"/>
      <c r="J859" s="410"/>
    </row>
    <row r="860" spans="1:14" x14ac:dyDescent="0.2">
      <c r="A860" s="405">
        <v>1</v>
      </c>
      <c r="B860" s="446">
        <v>381</v>
      </c>
      <c r="C860" s="414" t="s">
        <v>1052</v>
      </c>
      <c r="D860" s="415">
        <f t="shared" ref="D860:D871" si="248">G754</f>
        <v>13661413.550000001</v>
      </c>
      <c r="E860" s="417">
        <v>22915</v>
      </c>
      <c r="F860" s="417">
        <v>-2750</v>
      </c>
      <c r="G860" s="415">
        <f>SUM(D860:F860)</f>
        <v>13681578.550000001</v>
      </c>
      <c r="H860" s="418"/>
      <c r="I860" s="415">
        <f t="shared" ref="I860:I871" si="249">N754</f>
        <v>4849714.8899999997</v>
      </c>
      <c r="J860" s="442">
        <f t="shared" ref="J860:J871" si="250">J754</f>
        <v>2.5899999999999999E-2</v>
      </c>
      <c r="K860" s="418">
        <f t="shared" ref="K860:K871" si="251">ROUND((G860+D860)/2*J860/12,0)</f>
        <v>29508</v>
      </c>
      <c r="L860" s="418">
        <f t="shared" ref="L860:L871" si="252">-F860</f>
        <v>2750</v>
      </c>
      <c r="M860" s="417">
        <v>0</v>
      </c>
      <c r="N860" s="408">
        <f t="shared" ref="N860:N871" si="253">I860+K860-L860+M860</f>
        <v>4876472.8899999997</v>
      </c>
    </row>
    <row r="861" spans="1:14" x14ac:dyDescent="0.2">
      <c r="A861" s="405">
        <f>A860+1</f>
        <v>2</v>
      </c>
      <c r="B861" s="446">
        <v>381.1</v>
      </c>
      <c r="C861" s="414" t="s">
        <v>1052</v>
      </c>
      <c r="D861" s="415">
        <f t="shared" si="248"/>
        <v>8767603.0600000005</v>
      </c>
      <c r="E861" s="417">
        <v>3185</v>
      </c>
      <c r="F861" s="417">
        <v>-382</v>
      </c>
      <c r="G861" s="415">
        <f>SUM(D861:F861)</f>
        <v>8770406.0600000005</v>
      </c>
      <c r="H861" s="418"/>
      <c r="I861" s="415">
        <f t="shared" si="249"/>
        <v>497026.5</v>
      </c>
      <c r="J861" s="442">
        <f t="shared" si="250"/>
        <v>2.5899999999999999E-2</v>
      </c>
      <c r="K861" s="418">
        <f t="shared" si="251"/>
        <v>18926</v>
      </c>
      <c r="L861" s="418">
        <f t="shared" si="252"/>
        <v>382</v>
      </c>
      <c r="M861" s="417">
        <v>0</v>
      </c>
      <c r="N861" s="408">
        <f t="shared" si="253"/>
        <v>515570.5</v>
      </c>
    </row>
    <row r="862" spans="1:14" x14ac:dyDescent="0.2">
      <c r="A862" s="405">
        <f t="shared" ref="A862:A872" si="254">A861+1</f>
        <v>3</v>
      </c>
      <c r="B862" s="446">
        <v>382</v>
      </c>
      <c r="C862" s="414" t="s">
        <v>1053</v>
      </c>
      <c r="D862" s="415">
        <f t="shared" si="248"/>
        <v>9154320.6500000004</v>
      </c>
      <c r="E862" s="417">
        <v>50482</v>
      </c>
      <c r="F862" s="417">
        <v>-6058</v>
      </c>
      <c r="G862" s="415">
        <f t="shared" ref="G862:G867" si="255">SUM(D862:F862)</f>
        <v>9198744.6500000004</v>
      </c>
      <c r="H862" s="418"/>
      <c r="I862" s="415">
        <f t="shared" si="249"/>
        <v>4588069.3</v>
      </c>
      <c r="J862" s="442">
        <f t="shared" si="250"/>
        <v>2.3900000000000001E-2</v>
      </c>
      <c r="K862" s="418">
        <f t="shared" si="251"/>
        <v>18277</v>
      </c>
      <c r="L862" s="418">
        <f t="shared" si="252"/>
        <v>6058</v>
      </c>
      <c r="M862" s="417">
        <v>-303</v>
      </c>
      <c r="N862" s="408">
        <f t="shared" si="253"/>
        <v>4599985.3</v>
      </c>
    </row>
    <row r="863" spans="1:14" x14ac:dyDescent="0.2">
      <c r="A863" s="405">
        <f t="shared" si="254"/>
        <v>4</v>
      </c>
      <c r="B863" s="446">
        <v>383</v>
      </c>
      <c r="C863" s="414" t="s">
        <v>1054</v>
      </c>
      <c r="D863" s="415">
        <f t="shared" si="248"/>
        <v>5609561.7599999998</v>
      </c>
      <c r="E863" s="417">
        <v>21537</v>
      </c>
      <c r="F863" s="417">
        <v>-2584</v>
      </c>
      <c r="G863" s="415">
        <f t="shared" si="255"/>
        <v>5628514.7599999998</v>
      </c>
      <c r="H863" s="418"/>
      <c r="I863" s="415">
        <f t="shared" si="249"/>
        <v>1493568.41</v>
      </c>
      <c r="J863" s="442">
        <f t="shared" si="250"/>
        <v>1.3899999999999999E-2</v>
      </c>
      <c r="K863" s="418">
        <f t="shared" si="251"/>
        <v>6509</v>
      </c>
      <c r="L863" s="418">
        <f t="shared" si="252"/>
        <v>2584</v>
      </c>
      <c r="M863" s="417">
        <v>-129</v>
      </c>
      <c r="N863" s="408">
        <f t="shared" si="253"/>
        <v>1497364.41</v>
      </c>
    </row>
    <row r="864" spans="1:14" x14ac:dyDescent="0.2">
      <c r="A864" s="405">
        <f t="shared" si="254"/>
        <v>5</v>
      </c>
      <c r="B864" s="446">
        <v>384</v>
      </c>
      <c r="C864" s="414" t="s">
        <v>1055</v>
      </c>
      <c r="D864" s="415">
        <f t="shared" si="248"/>
        <v>2257522</v>
      </c>
      <c r="E864" s="417">
        <v>0</v>
      </c>
      <c r="F864" s="417">
        <v>0</v>
      </c>
      <c r="G864" s="415">
        <f t="shared" si="255"/>
        <v>2257522</v>
      </c>
      <c r="H864" s="418"/>
      <c r="I864" s="415">
        <f t="shared" si="249"/>
        <v>1763121.73</v>
      </c>
      <c r="J864" s="442">
        <f t="shared" si="250"/>
        <v>1.0999999999999999E-2</v>
      </c>
      <c r="K864" s="418">
        <f t="shared" si="251"/>
        <v>2069</v>
      </c>
      <c r="L864" s="418">
        <f t="shared" si="252"/>
        <v>0</v>
      </c>
      <c r="M864" s="417">
        <v>0</v>
      </c>
      <c r="N864" s="408">
        <f t="shared" si="253"/>
        <v>1765190.73</v>
      </c>
    </row>
    <row r="865" spans="1:14" x14ac:dyDescent="0.2">
      <c r="A865" s="405">
        <f t="shared" si="254"/>
        <v>6</v>
      </c>
      <c r="B865" s="446">
        <v>385</v>
      </c>
      <c r="C865" s="414" t="s">
        <v>1056</v>
      </c>
      <c r="D865" s="415">
        <f t="shared" si="248"/>
        <v>3195018.36</v>
      </c>
      <c r="E865" s="417">
        <v>21653</v>
      </c>
      <c r="F865" s="417">
        <v>-2598</v>
      </c>
      <c r="G865" s="415">
        <f t="shared" si="255"/>
        <v>3214073.36</v>
      </c>
      <c r="H865" s="418"/>
      <c r="I865" s="415">
        <f t="shared" si="249"/>
        <v>881545.55</v>
      </c>
      <c r="J865" s="442">
        <f t="shared" si="250"/>
        <v>2.0899999999999998E-2</v>
      </c>
      <c r="K865" s="418">
        <f t="shared" si="251"/>
        <v>5581</v>
      </c>
      <c r="L865" s="418">
        <f t="shared" si="252"/>
        <v>2598</v>
      </c>
      <c r="M865" s="417">
        <v>-130</v>
      </c>
      <c r="N865" s="408">
        <f t="shared" si="253"/>
        <v>884398.55</v>
      </c>
    </row>
    <row r="866" spans="1:14" x14ac:dyDescent="0.2">
      <c r="A866" s="405">
        <f t="shared" si="254"/>
        <v>7</v>
      </c>
      <c r="B866" s="446">
        <v>387.2</v>
      </c>
      <c r="C866" s="414" t="s">
        <v>1057</v>
      </c>
      <c r="D866" s="415">
        <f t="shared" si="248"/>
        <v>0</v>
      </c>
      <c r="E866" s="417">
        <v>0</v>
      </c>
      <c r="F866" s="417">
        <v>0</v>
      </c>
      <c r="G866" s="415">
        <f t="shared" si="255"/>
        <v>0</v>
      </c>
      <c r="H866" s="418"/>
      <c r="I866" s="415">
        <f t="shared" si="249"/>
        <v>-59912.03</v>
      </c>
      <c r="J866" s="442">
        <f t="shared" si="250"/>
        <v>2.3199999999999998E-2</v>
      </c>
      <c r="K866" s="418">
        <f t="shared" si="251"/>
        <v>0</v>
      </c>
      <c r="L866" s="418">
        <f t="shared" si="252"/>
        <v>0</v>
      </c>
      <c r="M866" s="417">
        <v>0</v>
      </c>
      <c r="N866" s="408">
        <f t="shared" si="253"/>
        <v>-59912.03</v>
      </c>
    </row>
    <row r="867" spans="1:14" x14ac:dyDescent="0.2">
      <c r="A867" s="405">
        <f t="shared" si="254"/>
        <v>8</v>
      </c>
      <c r="B867" s="446">
        <v>387.41</v>
      </c>
      <c r="C867" s="414" t="s">
        <v>1058</v>
      </c>
      <c r="D867" s="415">
        <f t="shared" si="248"/>
        <v>735770.76</v>
      </c>
      <c r="E867" s="417">
        <v>0</v>
      </c>
      <c r="F867" s="417">
        <v>0</v>
      </c>
      <c r="G867" s="415">
        <f t="shared" si="255"/>
        <v>735770.76</v>
      </c>
      <c r="H867" s="418"/>
      <c r="I867" s="415">
        <f t="shared" si="249"/>
        <v>381752.95</v>
      </c>
      <c r="J867" s="442">
        <f t="shared" si="250"/>
        <v>2.3400000000000001E-2</v>
      </c>
      <c r="K867" s="418">
        <f t="shared" si="251"/>
        <v>1435</v>
      </c>
      <c r="L867" s="418">
        <f t="shared" si="252"/>
        <v>0</v>
      </c>
      <c r="M867" s="417">
        <v>0</v>
      </c>
      <c r="N867" s="408">
        <f t="shared" si="253"/>
        <v>383187.95</v>
      </c>
    </row>
    <row r="868" spans="1:14" x14ac:dyDescent="0.2">
      <c r="A868" s="405">
        <f t="shared" si="254"/>
        <v>9</v>
      </c>
      <c r="B868" s="446">
        <v>387.42</v>
      </c>
      <c r="C868" s="414" t="s">
        <v>1059</v>
      </c>
      <c r="D868" s="415">
        <f t="shared" si="248"/>
        <v>795186.58</v>
      </c>
      <c r="E868" s="417">
        <v>0</v>
      </c>
      <c r="F868" s="417">
        <v>0</v>
      </c>
      <c r="G868" s="415">
        <f>SUM(D868:F868)</f>
        <v>795186.58</v>
      </c>
      <c r="H868" s="418"/>
      <c r="I868" s="415">
        <f t="shared" si="249"/>
        <v>547892.94999999995</v>
      </c>
      <c r="J868" s="442">
        <f t="shared" si="250"/>
        <v>2.3400000000000001E-2</v>
      </c>
      <c r="K868" s="418">
        <f t="shared" si="251"/>
        <v>1551</v>
      </c>
      <c r="L868" s="418">
        <f t="shared" si="252"/>
        <v>0</v>
      </c>
      <c r="M868" s="417">
        <v>0</v>
      </c>
      <c r="N868" s="408">
        <f t="shared" si="253"/>
        <v>549443.94999999995</v>
      </c>
    </row>
    <row r="869" spans="1:14" x14ac:dyDescent="0.2">
      <c r="A869" s="405">
        <f t="shared" si="254"/>
        <v>10</v>
      </c>
      <c r="B869" s="446">
        <v>387.44</v>
      </c>
      <c r="C869" s="414" t="s">
        <v>1060</v>
      </c>
      <c r="D869" s="415">
        <f t="shared" si="248"/>
        <v>143283.93</v>
      </c>
      <c r="E869" s="417">
        <v>0</v>
      </c>
      <c r="F869" s="417">
        <v>0</v>
      </c>
      <c r="G869" s="415">
        <f>SUM(D869:F869)</f>
        <v>143283.93</v>
      </c>
      <c r="H869" s="418"/>
      <c r="I869" s="415">
        <f t="shared" si="249"/>
        <v>46111.55</v>
      </c>
      <c r="J869" s="442">
        <f t="shared" si="250"/>
        <v>2.3400000000000001E-2</v>
      </c>
      <c r="K869" s="418">
        <f t="shared" si="251"/>
        <v>279</v>
      </c>
      <c r="L869" s="418">
        <f t="shared" si="252"/>
        <v>0</v>
      </c>
      <c r="M869" s="417">
        <v>0</v>
      </c>
      <c r="N869" s="408">
        <f t="shared" si="253"/>
        <v>46390.55</v>
      </c>
    </row>
    <row r="870" spans="1:14" x14ac:dyDescent="0.2">
      <c r="A870" s="405">
        <f t="shared" si="254"/>
        <v>11</v>
      </c>
      <c r="B870" s="446">
        <v>387.45</v>
      </c>
      <c r="C870" s="414" t="s">
        <v>1061</v>
      </c>
      <c r="D870" s="415">
        <f t="shared" si="248"/>
        <v>2998177.66</v>
      </c>
      <c r="E870" s="417">
        <v>101260</v>
      </c>
      <c r="F870" s="417">
        <v>-12151</v>
      </c>
      <c r="G870" s="415">
        <f>SUM(D870:F870)</f>
        <v>3087286.66</v>
      </c>
      <c r="H870" s="418"/>
      <c r="I870" s="415">
        <f t="shared" si="249"/>
        <v>551135.06000000006</v>
      </c>
      <c r="J870" s="442">
        <f t="shared" si="250"/>
        <v>2.3400000000000001E-2</v>
      </c>
      <c r="K870" s="418">
        <f t="shared" si="251"/>
        <v>5933</v>
      </c>
      <c r="L870" s="418">
        <f t="shared" si="252"/>
        <v>12151</v>
      </c>
      <c r="M870" s="417">
        <v>0</v>
      </c>
      <c r="N870" s="408">
        <f t="shared" si="253"/>
        <v>544917.06000000006</v>
      </c>
    </row>
    <row r="871" spans="1:14" x14ac:dyDescent="0.2">
      <c r="A871" s="405">
        <f t="shared" si="254"/>
        <v>12</v>
      </c>
      <c r="B871" s="446">
        <v>387.46</v>
      </c>
      <c r="C871" s="414" t="s">
        <v>1062</v>
      </c>
      <c r="D871" s="421">
        <f t="shared" si="248"/>
        <v>113644.47</v>
      </c>
      <c r="E871" s="1662">
        <v>0</v>
      </c>
      <c r="F871" s="1662">
        <v>0</v>
      </c>
      <c r="G871" s="428">
        <f>SUM(D871:F871)</f>
        <v>113644.47</v>
      </c>
      <c r="H871" s="447"/>
      <c r="I871" s="421">
        <f t="shared" si="249"/>
        <v>111566.83</v>
      </c>
      <c r="J871" s="442">
        <f t="shared" si="250"/>
        <v>2.3400000000000001E-2</v>
      </c>
      <c r="K871" s="421">
        <f t="shared" si="251"/>
        <v>222</v>
      </c>
      <c r="L871" s="421">
        <f t="shared" si="252"/>
        <v>0</v>
      </c>
      <c r="M871" s="422">
        <v>0</v>
      </c>
      <c r="N871" s="423">
        <f t="shared" si="253"/>
        <v>111788.83</v>
      </c>
    </row>
    <row r="872" spans="1:14" x14ac:dyDescent="0.2">
      <c r="A872" s="405">
        <f t="shared" si="254"/>
        <v>13</v>
      </c>
      <c r="B872" s="448"/>
      <c r="C872" s="386" t="s">
        <v>1063</v>
      </c>
      <c r="D872" s="418">
        <f>SUM(D860:D871,D820:D841)</f>
        <v>404415374.37999994</v>
      </c>
      <c r="E872" s="418">
        <f>SUM(E860:E871,E820:E841)</f>
        <v>2083113</v>
      </c>
      <c r="F872" s="418">
        <f>SUM(F860:F871,F820:F841)</f>
        <v>-249973</v>
      </c>
      <c r="G872" s="418">
        <f>SUM(G860:G871,G820:G841)</f>
        <v>406248514.37999994</v>
      </c>
      <c r="H872" s="418"/>
      <c r="I872" s="418">
        <f>SUM(I860:I871,I820:I841)</f>
        <v>140121578.12631577</v>
      </c>
      <c r="J872" s="418"/>
      <c r="K872" s="418">
        <f>SUM(K860:K871,K820:K841)</f>
        <v>671989.04947368428</v>
      </c>
      <c r="L872" s="418">
        <f>SUM(L860:L871,L820:L841)</f>
        <v>249973</v>
      </c>
      <c r="M872" s="418">
        <f>SUM(M860:M871,M820:M841)</f>
        <v>-61002</v>
      </c>
      <c r="N872" s="418">
        <f>SUM(N860:N871,N820:N841)</f>
        <v>140482592.17578948</v>
      </c>
    </row>
    <row r="873" spans="1:14" x14ac:dyDescent="0.2">
      <c r="B873" s="448"/>
      <c r="D873" s="418"/>
      <c r="E873" s="418"/>
      <c r="F873" s="418"/>
      <c r="G873" s="418"/>
      <c r="H873" s="418"/>
      <c r="I873" s="439"/>
      <c r="J873" s="418"/>
      <c r="K873" s="418"/>
      <c r="L873" s="418"/>
      <c r="M873" s="418"/>
    </row>
    <row r="874" spans="1:14" x14ac:dyDescent="0.2">
      <c r="A874" s="405">
        <f>A872+1</f>
        <v>14</v>
      </c>
      <c r="B874" s="448"/>
      <c r="C874" s="411" t="s">
        <v>737</v>
      </c>
      <c r="D874" s="418"/>
      <c r="E874" s="418"/>
      <c r="F874" s="418"/>
      <c r="G874" s="418"/>
      <c r="H874" s="418"/>
      <c r="I874" s="439"/>
      <c r="J874" s="418"/>
      <c r="K874" s="418"/>
      <c r="L874" s="418"/>
      <c r="M874" s="418"/>
    </row>
    <row r="875" spans="1:14" x14ac:dyDescent="0.2">
      <c r="A875" s="410">
        <f>A874+1</f>
        <v>15</v>
      </c>
      <c r="B875" s="446">
        <v>391.1</v>
      </c>
      <c r="C875" s="414" t="s">
        <v>1064</v>
      </c>
      <c r="D875" s="415">
        <f t="shared" ref="D875:D888" si="256">G769</f>
        <v>726152.71</v>
      </c>
      <c r="E875" s="417">
        <v>-4800</v>
      </c>
      <c r="F875" s="417">
        <v>576</v>
      </c>
      <c r="G875" s="415">
        <f t="shared" ref="G875:G888" si="257">SUM(D875:F875)</f>
        <v>721928.71</v>
      </c>
      <c r="H875" s="418"/>
      <c r="I875" s="415">
        <f t="shared" ref="I875:I888" si="258">N769</f>
        <v>-61302.22</v>
      </c>
      <c r="J875" s="442">
        <f t="shared" ref="J875:J888" si="259">J769</f>
        <v>0.05</v>
      </c>
      <c r="K875" s="418">
        <f t="shared" ref="K875:K888" si="260">ROUND((G875+D875)/2*J875/12,0)</f>
        <v>3017</v>
      </c>
      <c r="L875" s="418">
        <f t="shared" ref="L875:L888" si="261">-F875</f>
        <v>-576</v>
      </c>
      <c r="M875" s="417">
        <v>0</v>
      </c>
      <c r="N875" s="408">
        <f t="shared" ref="N875:N888" si="262">I875+K875-L875+M875</f>
        <v>-57709.22</v>
      </c>
    </row>
    <row r="876" spans="1:14" x14ac:dyDescent="0.2">
      <c r="A876" s="410">
        <f t="shared" ref="A876:A889" si="263">A875+1</f>
        <v>16</v>
      </c>
      <c r="B876" s="446">
        <v>391.11</v>
      </c>
      <c r="C876" s="414" t="s">
        <v>1065</v>
      </c>
      <c r="D876" s="415">
        <f t="shared" si="256"/>
        <v>18815.57</v>
      </c>
      <c r="E876" s="417">
        <v>0</v>
      </c>
      <c r="F876" s="417">
        <v>0</v>
      </c>
      <c r="G876" s="415">
        <f t="shared" si="257"/>
        <v>18815.57</v>
      </c>
      <c r="H876" s="418"/>
      <c r="I876" s="415">
        <f t="shared" si="258"/>
        <v>-12299.77</v>
      </c>
      <c r="J876" s="442">
        <f t="shared" si="259"/>
        <v>6.6699999999999995E-2</v>
      </c>
      <c r="K876" s="418">
        <f t="shared" si="260"/>
        <v>105</v>
      </c>
      <c r="L876" s="418">
        <f t="shared" si="261"/>
        <v>0</v>
      </c>
      <c r="M876" s="417">
        <v>0</v>
      </c>
      <c r="N876" s="408">
        <f t="shared" si="262"/>
        <v>-12194.77</v>
      </c>
    </row>
    <row r="877" spans="1:14" x14ac:dyDescent="0.2">
      <c r="A877" s="410">
        <f t="shared" si="263"/>
        <v>17</v>
      </c>
      <c r="B877" s="446">
        <v>391.12</v>
      </c>
      <c r="C877" s="414" t="s">
        <v>1066</v>
      </c>
      <c r="D877" s="415">
        <f t="shared" si="256"/>
        <v>853483.41</v>
      </c>
      <c r="E877" s="417">
        <v>0</v>
      </c>
      <c r="F877" s="417">
        <v>0</v>
      </c>
      <c r="G877" s="415">
        <f t="shared" si="257"/>
        <v>853483.41</v>
      </c>
      <c r="H877" s="418"/>
      <c r="I877" s="415">
        <f t="shared" si="258"/>
        <v>646910.37</v>
      </c>
      <c r="J877" s="442">
        <f t="shared" si="259"/>
        <v>0.2</v>
      </c>
      <c r="K877" s="418">
        <f t="shared" si="260"/>
        <v>14225</v>
      </c>
      <c r="L877" s="418">
        <f t="shared" si="261"/>
        <v>0</v>
      </c>
      <c r="M877" s="417">
        <v>0</v>
      </c>
      <c r="N877" s="408">
        <f t="shared" si="262"/>
        <v>661135.37</v>
      </c>
    </row>
    <row r="878" spans="1:14" x14ac:dyDescent="0.2">
      <c r="A878" s="410">
        <f t="shared" si="263"/>
        <v>18</v>
      </c>
      <c r="B878" s="446">
        <v>392.2</v>
      </c>
      <c r="C878" s="414" t="s">
        <v>1067</v>
      </c>
      <c r="D878" s="415">
        <f t="shared" si="256"/>
        <v>95778</v>
      </c>
      <c r="E878" s="417">
        <v>0</v>
      </c>
      <c r="F878" s="417">
        <v>0</v>
      </c>
      <c r="G878" s="415">
        <f t="shared" si="257"/>
        <v>95778</v>
      </c>
      <c r="H878" s="418"/>
      <c r="I878" s="415">
        <f t="shared" si="258"/>
        <v>21950.05</v>
      </c>
      <c r="J878" s="442">
        <f t="shared" si="259"/>
        <v>2.9399999999999999E-2</v>
      </c>
      <c r="K878" s="418">
        <f t="shared" si="260"/>
        <v>235</v>
      </c>
      <c r="L878" s="418">
        <f t="shared" si="261"/>
        <v>0</v>
      </c>
      <c r="M878" s="417">
        <v>0</v>
      </c>
      <c r="N878" s="408">
        <f t="shared" si="262"/>
        <v>22185.05</v>
      </c>
    </row>
    <row r="879" spans="1:14" x14ac:dyDescent="0.2">
      <c r="A879" s="410">
        <f t="shared" si="263"/>
        <v>19</v>
      </c>
      <c r="B879" s="446">
        <v>392.21</v>
      </c>
      <c r="C879" s="414" t="s">
        <v>1068</v>
      </c>
      <c r="D879" s="415">
        <f t="shared" si="256"/>
        <v>24462.2</v>
      </c>
      <c r="E879" s="417">
        <v>0</v>
      </c>
      <c r="F879" s="417">
        <v>0</v>
      </c>
      <c r="G879" s="415">
        <f t="shared" si="257"/>
        <v>24462.2</v>
      </c>
      <c r="H879" s="418"/>
      <c r="I879" s="415">
        <f t="shared" si="258"/>
        <v>5007.3999999999996</v>
      </c>
      <c r="J879" s="442">
        <f t="shared" si="259"/>
        <v>2.9399999999999999E-2</v>
      </c>
      <c r="K879" s="418">
        <f t="shared" si="260"/>
        <v>60</v>
      </c>
      <c r="L879" s="418">
        <f t="shared" si="261"/>
        <v>0</v>
      </c>
      <c r="M879" s="417">
        <v>0</v>
      </c>
      <c r="N879" s="408">
        <f t="shared" si="262"/>
        <v>5067.3999999999996</v>
      </c>
    </row>
    <row r="880" spans="1:14" x14ac:dyDescent="0.2">
      <c r="A880" s="410">
        <f t="shared" si="263"/>
        <v>20</v>
      </c>
      <c r="B880" s="446">
        <v>393</v>
      </c>
      <c r="C880" s="414" t="s">
        <v>1069</v>
      </c>
      <c r="D880" s="415">
        <f t="shared" si="256"/>
        <v>0</v>
      </c>
      <c r="E880" s="417">
        <v>0</v>
      </c>
      <c r="F880" s="417">
        <v>0</v>
      </c>
      <c r="G880" s="415">
        <f t="shared" si="257"/>
        <v>0</v>
      </c>
      <c r="H880" s="418"/>
      <c r="I880" s="415">
        <f t="shared" si="258"/>
        <v>0</v>
      </c>
      <c r="J880" s="442" t="str">
        <f t="shared" si="259"/>
        <v>Amort.</v>
      </c>
      <c r="K880" s="418">
        <f t="shared" si="260"/>
        <v>0</v>
      </c>
      <c r="L880" s="418">
        <f t="shared" si="261"/>
        <v>0</v>
      </c>
      <c r="M880" s="417">
        <v>0</v>
      </c>
      <c r="N880" s="408">
        <f t="shared" si="262"/>
        <v>0</v>
      </c>
    </row>
    <row r="881" spans="1:15" x14ac:dyDescent="0.2">
      <c r="A881" s="410">
        <f t="shared" si="263"/>
        <v>21</v>
      </c>
      <c r="B881" s="446">
        <v>394.1</v>
      </c>
      <c r="C881" s="414" t="s">
        <v>1070</v>
      </c>
      <c r="D881" s="415">
        <f t="shared" si="256"/>
        <v>24240.799999999999</v>
      </c>
      <c r="E881" s="417">
        <v>0</v>
      </c>
      <c r="F881" s="417">
        <v>0</v>
      </c>
      <c r="G881" s="415">
        <f t="shared" si="257"/>
        <v>24240.799999999999</v>
      </c>
      <c r="H881" s="418"/>
      <c r="I881" s="415">
        <f t="shared" si="258"/>
        <v>14365.82</v>
      </c>
      <c r="J881" s="442">
        <f t="shared" si="259"/>
        <v>0.04</v>
      </c>
      <c r="K881" s="418">
        <f t="shared" si="260"/>
        <v>81</v>
      </c>
      <c r="L881" s="418">
        <f t="shared" si="261"/>
        <v>0</v>
      </c>
      <c r="M881" s="417">
        <v>0</v>
      </c>
      <c r="N881" s="408">
        <f t="shared" si="262"/>
        <v>14446.82</v>
      </c>
    </row>
    <row r="882" spans="1:15" x14ac:dyDescent="0.2">
      <c r="A882" s="410">
        <f t="shared" si="263"/>
        <v>22</v>
      </c>
      <c r="B882" s="446">
        <v>394.11</v>
      </c>
      <c r="C882" s="414" t="s">
        <v>1071</v>
      </c>
      <c r="D882" s="415">
        <f t="shared" si="256"/>
        <v>0</v>
      </c>
      <c r="E882" s="417">
        <v>0</v>
      </c>
      <c r="F882" s="417">
        <v>0</v>
      </c>
      <c r="G882" s="415">
        <f t="shared" si="257"/>
        <v>0</v>
      </c>
      <c r="H882" s="418"/>
      <c r="I882" s="415">
        <f t="shared" si="258"/>
        <v>0</v>
      </c>
      <c r="J882" s="442">
        <f t="shared" si="259"/>
        <v>0.13769999999999999</v>
      </c>
      <c r="K882" s="417">
        <v>0</v>
      </c>
      <c r="L882" s="418">
        <f t="shared" si="261"/>
        <v>0</v>
      </c>
      <c r="M882" s="417">
        <v>0</v>
      </c>
      <c r="N882" s="408">
        <f t="shared" si="262"/>
        <v>0</v>
      </c>
    </row>
    <row r="883" spans="1:15" x14ac:dyDescent="0.2">
      <c r="A883" s="410">
        <f t="shared" si="263"/>
        <v>23</v>
      </c>
      <c r="B883" s="446">
        <v>394.13</v>
      </c>
      <c r="C883" s="438" t="s">
        <v>1072</v>
      </c>
      <c r="D883" s="415">
        <f t="shared" si="256"/>
        <v>0</v>
      </c>
      <c r="E883" s="417">
        <v>0</v>
      </c>
      <c r="F883" s="417">
        <v>0</v>
      </c>
      <c r="G883" s="415">
        <f t="shared" si="257"/>
        <v>0</v>
      </c>
      <c r="H883" s="418"/>
      <c r="I883" s="415">
        <f t="shared" si="258"/>
        <v>37937.360000000001</v>
      </c>
      <c r="J883" s="442" t="str">
        <f t="shared" si="259"/>
        <v>Amort.</v>
      </c>
      <c r="K883" s="418">
        <f t="shared" si="260"/>
        <v>0</v>
      </c>
      <c r="L883" s="418">
        <f t="shared" si="261"/>
        <v>0</v>
      </c>
      <c r="M883" s="417">
        <v>0</v>
      </c>
      <c r="N883" s="408">
        <f t="shared" si="262"/>
        <v>37937.360000000001</v>
      </c>
    </row>
    <row r="884" spans="1:15" x14ac:dyDescent="0.2">
      <c r="A884" s="410">
        <f t="shared" si="263"/>
        <v>24</v>
      </c>
      <c r="B884" s="446">
        <v>394.2</v>
      </c>
      <c r="C884" s="414" t="s">
        <v>1073</v>
      </c>
      <c r="D884" s="415">
        <f t="shared" si="256"/>
        <v>0</v>
      </c>
      <c r="E884" s="417">
        <v>0</v>
      </c>
      <c r="F884" s="417">
        <v>0</v>
      </c>
      <c r="G884" s="415">
        <f t="shared" si="257"/>
        <v>0</v>
      </c>
      <c r="H884" s="418"/>
      <c r="I884" s="415">
        <f t="shared" si="258"/>
        <v>185.21</v>
      </c>
      <c r="J884" s="442">
        <f t="shared" si="259"/>
        <v>0.04</v>
      </c>
      <c r="K884" s="418">
        <f t="shared" si="260"/>
        <v>0</v>
      </c>
      <c r="L884" s="418">
        <f t="shared" si="261"/>
        <v>0</v>
      </c>
      <c r="M884" s="417">
        <v>0</v>
      </c>
      <c r="N884" s="408">
        <f t="shared" si="262"/>
        <v>185.21</v>
      </c>
    </row>
    <row r="885" spans="1:15" x14ac:dyDescent="0.2">
      <c r="A885" s="410">
        <f t="shared" si="263"/>
        <v>25</v>
      </c>
      <c r="B885" s="446">
        <v>394.3</v>
      </c>
      <c r="C885" s="414" t="s">
        <v>1074</v>
      </c>
      <c r="D885" s="415">
        <f t="shared" si="256"/>
        <v>3108716.16</v>
      </c>
      <c r="E885" s="417">
        <v>-2119</v>
      </c>
      <c r="F885" s="417">
        <v>254</v>
      </c>
      <c r="G885" s="415">
        <f t="shared" si="257"/>
        <v>3106851.16</v>
      </c>
      <c r="H885" s="418"/>
      <c r="I885" s="415">
        <f t="shared" si="258"/>
        <v>1254566.1499999999</v>
      </c>
      <c r="J885" s="442">
        <f t="shared" si="259"/>
        <v>0.04</v>
      </c>
      <c r="K885" s="418">
        <f t="shared" si="260"/>
        <v>10359</v>
      </c>
      <c r="L885" s="418">
        <f t="shared" si="261"/>
        <v>-254</v>
      </c>
      <c r="M885" s="417">
        <v>0</v>
      </c>
      <c r="N885" s="408">
        <f t="shared" si="262"/>
        <v>1265179.1499999999</v>
      </c>
    </row>
    <row r="886" spans="1:15" x14ac:dyDescent="0.2">
      <c r="A886" s="410">
        <f t="shared" si="263"/>
        <v>26</v>
      </c>
      <c r="B886" s="446">
        <v>395</v>
      </c>
      <c r="C886" s="414" t="s">
        <v>1075</v>
      </c>
      <c r="D886" s="415">
        <f t="shared" si="256"/>
        <v>9257.77</v>
      </c>
      <c r="E886" s="417">
        <v>0</v>
      </c>
      <c r="F886" s="417">
        <v>0</v>
      </c>
      <c r="G886" s="415">
        <f t="shared" si="257"/>
        <v>9257.77</v>
      </c>
      <c r="H886" s="418"/>
      <c r="I886" s="415">
        <f t="shared" si="258"/>
        <v>7412.59</v>
      </c>
      <c r="J886" s="442">
        <f t="shared" si="259"/>
        <v>0.05</v>
      </c>
      <c r="K886" s="418">
        <f t="shared" si="260"/>
        <v>39</v>
      </c>
      <c r="L886" s="418">
        <f t="shared" si="261"/>
        <v>0</v>
      </c>
      <c r="M886" s="417">
        <v>0</v>
      </c>
      <c r="N886" s="408">
        <f t="shared" si="262"/>
        <v>7451.59</v>
      </c>
    </row>
    <row r="887" spans="1:15" x14ac:dyDescent="0.2">
      <c r="A887" s="410">
        <f t="shared" si="263"/>
        <v>27</v>
      </c>
      <c r="B887" s="446">
        <v>396</v>
      </c>
      <c r="C887" s="414" t="s">
        <v>1076</v>
      </c>
      <c r="D887" s="415">
        <f t="shared" si="256"/>
        <v>253134.72</v>
      </c>
      <c r="E887" s="417">
        <v>0</v>
      </c>
      <c r="F887" s="417">
        <v>0</v>
      </c>
      <c r="G887" s="415">
        <f t="shared" si="257"/>
        <v>253134.72</v>
      </c>
      <c r="H887" s="418"/>
      <c r="I887" s="415">
        <f t="shared" si="258"/>
        <v>199321.72</v>
      </c>
      <c r="J887" s="442">
        <f t="shared" si="259"/>
        <v>0</v>
      </c>
      <c r="K887" s="418">
        <f t="shared" si="260"/>
        <v>0</v>
      </c>
      <c r="L887" s="418">
        <f t="shared" si="261"/>
        <v>0</v>
      </c>
      <c r="M887" s="417">
        <v>0</v>
      </c>
      <c r="N887" s="408">
        <f t="shared" si="262"/>
        <v>199321.72</v>
      </c>
    </row>
    <row r="888" spans="1:15" x14ac:dyDescent="0.2">
      <c r="A888" s="410">
        <f t="shared" si="263"/>
        <v>28</v>
      </c>
      <c r="B888" s="446">
        <v>398</v>
      </c>
      <c r="C888" s="414" t="s">
        <v>1077</v>
      </c>
      <c r="D888" s="421">
        <f t="shared" si="256"/>
        <v>158310.94</v>
      </c>
      <c r="E888" s="1662">
        <v>38201</v>
      </c>
      <c r="F888" s="1662">
        <v>-4584</v>
      </c>
      <c r="G888" s="421">
        <f t="shared" si="257"/>
        <v>191927.94</v>
      </c>
      <c r="H888" s="447"/>
      <c r="I888" s="421">
        <f t="shared" si="258"/>
        <v>14960.59</v>
      </c>
      <c r="J888" s="442">
        <f t="shared" si="259"/>
        <v>6.6699999999999995E-2</v>
      </c>
      <c r="K888" s="421">
        <f t="shared" si="260"/>
        <v>973</v>
      </c>
      <c r="L888" s="421">
        <f t="shared" si="261"/>
        <v>4584</v>
      </c>
      <c r="M888" s="430">
        <v>0</v>
      </c>
      <c r="N888" s="423">
        <f t="shared" si="262"/>
        <v>11349.59</v>
      </c>
    </row>
    <row r="889" spans="1:15" x14ac:dyDescent="0.2">
      <c r="A889" s="410">
        <f t="shared" si="263"/>
        <v>29</v>
      </c>
      <c r="C889" s="386" t="s">
        <v>1078</v>
      </c>
      <c r="D889" s="447">
        <f>SUM(D875:D888)</f>
        <v>5272352.2799999993</v>
      </c>
      <c r="E889" s="447">
        <f>SUM(E875:E888)</f>
        <v>31282</v>
      </c>
      <c r="F889" s="447">
        <f>SUM(F875:F888)</f>
        <v>-3754</v>
      </c>
      <c r="G889" s="447">
        <f>SUM(G875:G888)</f>
        <v>5299880.2799999993</v>
      </c>
      <c r="H889" s="447"/>
      <c r="I889" s="447">
        <f>SUM(I875:I888)</f>
        <v>2129015.27</v>
      </c>
      <c r="J889" s="424"/>
      <c r="K889" s="447">
        <f>SUM(K875:K888)</f>
        <v>29094</v>
      </c>
      <c r="L889" s="447">
        <f>SUM(L875:L888)</f>
        <v>3754</v>
      </c>
      <c r="M889" s="447">
        <f>SUM(M875:M888)</f>
        <v>0</v>
      </c>
      <c r="N889" s="447">
        <f>SUM(N875:N888)</f>
        <v>2154355.27</v>
      </c>
    </row>
    <row r="890" spans="1:15" x14ac:dyDescent="0.2">
      <c r="D890" s="418"/>
      <c r="E890" s="418"/>
      <c r="F890" s="418"/>
      <c r="G890" s="418"/>
      <c r="H890" s="418"/>
      <c r="I890" s="418"/>
      <c r="J890" s="432"/>
      <c r="K890" s="418"/>
      <c r="L890" s="418"/>
      <c r="M890" s="418"/>
    </row>
    <row r="891" spans="1:15" x14ac:dyDescent="0.2">
      <c r="A891" s="405">
        <f>A889+1</f>
        <v>30</v>
      </c>
      <c r="B891" s="448"/>
      <c r="C891" s="411" t="s">
        <v>2287</v>
      </c>
      <c r="D891" s="418"/>
      <c r="E891" s="418"/>
      <c r="F891" s="418"/>
      <c r="G891" s="418"/>
      <c r="H891" s="418"/>
      <c r="I891" s="439"/>
      <c r="J891" s="418"/>
      <c r="K891" s="418"/>
      <c r="L891" s="418"/>
      <c r="M891" s="418"/>
    </row>
    <row r="892" spans="1:15" x14ac:dyDescent="0.2">
      <c r="A892" s="1722">
        <f>A891+1</f>
        <v>31</v>
      </c>
      <c r="B892" s="446">
        <v>378.21</v>
      </c>
      <c r="C892" s="1725" t="s">
        <v>2244</v>
      </c>
      <c r="D892" s="415">
        <f>G786</f>
        <v>-777092</v>
      </c>
      <c r="E892" s="417">
        <v>0</v>
      </c>
      <c r="F892" s="417">
        <v>0</v>
      </c>
      <c r="G892" s="415">
        <f t="shared" ref="G892" si="264">SUM(D892:F892)</f>
        <v>-777092</v>
      </c>
      <c r="H892" s="418"/>
      <c r="I892" s="415">
        <f>N786</f>
        <v>-35919.279999999984</v>
      </c>
      <c r="J892" s="419" t="s">
        <v>1094</v>
      </c>
      <c r="K892" s="417">
        <v>-2158.5833333333321</v>
      </c>
      <c r="L892" s="418">
        <f t="shared" ref="L892" si="265">-F892</f>
        <v>0</v>
      </c>
      <c r="M892" s="417">
        <v>0</v>
      </c>
      <c r="N892" s="408">
        <f t="shared" ref="N892" si="266">I892+K892-L892+M892</f>
        <v>-38077.863333333313</v>
      </c>
      <c r="O892" s="408"/>
    </row>
    <row r="893" spans="1:15" x14ac:dyDescent="0.2">
      <c r="A893" s="1722"/>
      <c r="B893" s="446"/>
      <c r="C893" s="438"/>
      <c r="D893" s="415"/>
      <c r="E893" s="417"/>
      <c r="F893" s="417"/>
      <c r="G893" s="415"/>
      <c r="H893" s="418"/>
      <c r="I893" s="419"/>
      <c r="J893" s="419"/>
      <c r="K893" s="417"/>
      <c r="L893" s="418"/>
      <c r="M893" s="417"/>
      <c r="N893" s="408"/>
      <c r="O893" s="408"/>
    </row>
    <row r="894" spans="1:15" x14ac:dyDescent="0.2">
      <c r="A894" s="410">
        <f>A892+1</f>
        <v>32</v>
      </c>
      <c r="C894" s="386" t="s">
        <v>774</v>
      </c>
      <c r="D894" s="450">
        <f>D889+D872+D817+D813+D892</f>
        <v>415209833.36999989</v>
      </c>
      <c r="E894" s="450">
        <f>E889+E872+E817+E813+E892</f>
        <v>2316514</v>
      </c>
      <c r="F894" s="450">
        <f>F889+F872+F817+F813+F892</f>
        <v>-253727</v>
      </c>
      <c r="G894" s="450">
        <f>G889+G872+G817+G813+G892</f>
        <v>417272620.36999989</v>
      </c>
      <c r="H894" s="418"/>
      <c r="I894" s="450">
        <f>I889+I872+I817+I813+I892</f>
        <v>144911570.32746297</v>
      </c>
      <c r="J894" s="451"/>
      <c r="K894" s="450">
        <f>K889+K872+K817+K813+K892</f>
        <v>777966.07058994798</v>
      </c>
      <c r="L894" s="450">
        <f>L889+L872+L817+L813+L892</f>
        <v>253727</v>
      </c>
      <c r="M894" s="450">
        <f>M889+M872+M817+M813+M892</f>
        <v>-61002</v>
      </c>
      <c r="N894" s="450">
        <f>N889+N872+N817+N813+N892</f>
        <v>145374807.39805293</v>
      </c>
    </row>
    <row r="896" spans="1:15" x14ac:dyDescent="0.2">
      <c r="A896" s="2073" t="str">
        <f>co</f>
        <v>COLUMBIA GAS OF KENTUCKY, INC.</v>
      </c>
      <c r="B896" s="2073"/>
      <c r="C896" s="2073"/>
      <c r="D896" s="2073"/>
      <c r="E896" s="2073"/>
      <c r="F896" s="2073"/>
      <c r="G896" s="2073"/>
      <c r="H896" s="2073"/>
      <c r="I896" s="2073"/>
      <c r="J896" s="2073"/>
      <c r="K896" s="2073"/>
      <c r="L896" s="2073"/>
      <c r="M896" s="2073"/>
      <c r="N896" s="2073"/>
    </row>
    <row r="897" spans="1:14" x14ac:dyDescent="0.2">
      <c r="A897" s="2073" t="str">
        <f>case</f>
        <v>CASE NO. 2016 - 00162</v>
      </c>
      <c r="B897" s="2073"/>
      <c r="C897" s="2073"/>
      <c r="D897" s="2073"/>
      <c r="E897" s="2073"/>
      <c r="F897" s="2073"/>
      <c r="G897" s="2073"/>
      <c r="H897" s="2073"/>
      <c r="I897" s="2073"/>
      <c r="J897" s="2073"/>
      <c r="K897" s="2073"/>
      <c r="L897" s="2073"/>
      <c r="M897" s="2073"/>
      <c r="N897" s="2073"/>
    </row>
    <row r="898" spans="1:14" x14ac:dyDescent="0.2">
      <c r="A898" s="2074" t="s">
        <v>1106</v>
      </c>
      <c r="B898" s="2073"/>
      <c r="C898" s="2073"/>
      <c r="D898" s="2073"/>
      <c r="E898" s="2073"/>
      <c r="F898" s="2073"/>
      <c r="G898" s="2073"/>
      <c r="H898" s="2073"/>
      <c r="I898" s="2073"/>
      <c r="J898" s="2073"/>
      <c r="K898" s="2073"/>
      <c r="L898" s="2073"/>
      <c r="M898" s="2073"/>
      <c r="N898" s="2073"/>
    </row>
    <row r="899" spans="1:14" x14ac:dyDescent="0.2">
      <c r="A899" s="2078" t="s">
        <v>2142</v>
      </c>
      <c r="B899" s="2078"/>
      <c r="C899" s="2078"/>
      <c r="D899" s="2078"/>
      <c r="E899" s="2078"/>
      <c r="F899" s="2078"/>
      <c r="G899" s="2078"/>
      <c r="H899" s="2078"/>
      <c r="I899" s="2078"/>
      <c r="J899" s="2078"/>
      <c r="K899" s="2078"/>
      <c r="L899" s="2078"/>
      <c r="M899" s="2078"/>
      <c r="N899" s="2078"/>
    </row>
    <row r="901" spans="1:14" x14ac:dyDescent="0.2">
      <c r="A901" s="385" t="s">
        <v>1095</v>
      </c>
      <c r="I901" s="386"/>
      <c r="N901" s="387" t="s">
        <v>763</v>
      </c>
    </row>
    <row r="902" spans="1:14" x14ac:dyDescent="0.2">
      <c r="A902" s="388" t="s">
        <v>977</v>
      </c>
      <c r="I902" s="386"/>
      <c r="N902" s="387" t="s">
        <v>998</v>
      </c>
    </row>
    <row r="903" spans="1:14" x14ac:dyDescent="0.2">
      <c r="A903" s="390" t="s">
        <v>997</v>
      </c>
      <c r="B903" s="391"/>
      <c r="C903" s="391"/>
      <c r="D903" s="391"/>
      <c r="E903" s="391"/>
      <c r="F903" s="391"/>
      <c r="G903" s="391"/>
      <c r="H903" s="391"/>
      <c r="I903" s="392"/>
      <c r="L903" s="386"/>
      <c r="M903" s="386"/>
      <c r="N903" s="393" t="str">
        <f>SMK</f>
        <v>WITNESS:  S. M. KATKO</v>
      </c>
    </row>
    <row r="904" spans="1:14" x14ac:dyDescent="0.2">
      <c r="A904" s="390"/>
      <c r="B904" s="391"/>
      <c r="C904" s="391"/>
      <c r="D904" s="391"/>
      <c r="E904" s="391"/>
      <c r="F904" s="391"/>
      <c r="G904" s="391"/>
      <c r="H904" s="391"/>
      <c r="I904" s="392"/>
      <c r="J904" s="393"/>
      <c r="L904" s="386"/>
      <c r="M904" s="386"/>
    </row>
    <row r="905" spans="1:14" x14ac:dyDescent="0.2">
      <c r="A905" s="390"/>
      <c r="B905" s="391"/>
      <c r="C905" s="391"/>
      <c r="D905" s="2075" t="s">
        <v>1088</v>
      </c>
      <c r="E905" s="2075"/>
      <c r="F905" s="2075"/>
      <c r="G905" s="2075"/>
      <c r="H905" s="391"/>
      <c r="I905" s="2076" t="s">
        <v>1093</v>
      </c>
      <c r="J905" s="2077"/>
      <c r="K905" s="2077"/>
      <c r="L905" s="2077"/>
      <c r="M905" s="2077"/>
      <c r="N905" s="2077"/>
    </row>
    <row r="906" spans="1:14" x14ac:dyDescent="0.2">
      <c r="A906" s="394"/>
      <c r="B906" s="391"/>
      <c r="C906" s="391"/>
      <c r="D906" s="396" t="s">
        <v>1084</v>
      </c>
      <c r="E906" s="391"/>
      <c r="F906" s="391"/>
      <c r="G906" s="395"/>
      <c r="H906" s="395"/>
      <c r="I906" s="397" t="s">
        <v>1089</v>
      </c>
      <c r="J906" s="396"/>
      <c r="M906" s="386"/>
    </row>
    <row r="907" spans="1:14" x14ac:dyDescent="0.2">
      <c r="A907" s="383"/>
      <c r="D907" s="397" t="s">
        <v>865</v>
      </c>
      <c r="G907" s="397" t="s">
        <v>867</v>
      </c>
      <c r="H907" s="398"/>
      <c r="I907" s="397" t="s">
        <v>865</v>
      </c>
      <c r="J907" s="397" t="s">
        <v>956</v>
      </c>
      <c r="M907" s="386"/>
      <c r="N907" s="397" t="s">
        <v>867</v>
      </c>
    </row>
    <row r="908" spans="1:14" x14ac:dyDescent="0.2">
      <c r="A908" s="397" t="s">
        <v>1080</v>
      </c>
      <c r="B908" s="397" t="s">
        <v>1082</v>
      </c>
      <c r="D908" s="397" t="s">
        <v>867</v>
      </c>
      <c r="G908" s="399" t="s">
        <v>1087</v>
      </c>
      <c r="H908" s="398"/>
      <c r="I908" s="399" t="s">
        <v>867</v>
      </c>
      <c r="J908" s="397" t="s">
        <v>1090</v>
      </c>
      <c r="K908" s="397" t="s">
        <v>956</v>
      </c>
      <c r="M908" s="399" t="s">
        <v>1092</v>
      </c>
      <c r="N908" s="399" t="s">
        <v>1087</v>
      </c>
    </row>
    <row r="909" spans="1:14" x14ac:dyDescent="0.2">
      <c r="A909" s="400" t="s">
        <v>1081</v>
      </c>
      <c r="B909" s="400" t="s">
        <v>1081</v>
      </c>
      <c r="C909" s="401" t="s">
        <v>1083</v>
      </c>
      <c r="D909" s="409" t="str">
        <f>"10/31/2016"</f>
        <v>10/31/2016</v>
      </c>
      <c r="E909" s="400" t="s">
        <v>1085</v>
      </c>
      <c r="F909" s="400" t="s">
        <v>1086</v>
      </c>
      <c r="G909" s="409" t="str">
        <f>"11/30/2016"</f>
        <v>11/30/2016</v>
      </c>
      <c r="H909" s="398"/>
      <c r="I909" s="404" t="str">
        <f>D909</f>
        <v>10/31/2016</v>
      </c>
      <c r="J909" s="400" t="s">
        <v>1091</v>
      </c>
      <c r="K909" s="402" t="s">
        <v>1090</v>
      </c>
      <c r="L909" s="402" t="s">
        <v>1086</v>
      </c>
      <c r="M909" s="402" t="s">
        <v>955</v>
      </c>
      <c r="N909" s="404" t="str">
        <f>G909</f>
        <v>11/30/2016</v>
      </c>
    </row>
    <row r="910" spans="1:14" x14ac:dyDescent="0.2">
      <c r="A910" s="406"/>
      <c r="B910" s="406"/>
      <c r="C910" s="406"/>
      <c r="D910" s="406" t="str">
        <f>"(1)"</f>
        <v>(1)</v>
      </c>
      <c r="E910" s="406" t="str">
        <f>"(2)"</f>
        <v>(2)</v>
      </c>
      <c r="F910" s="406" t="str">
        <f>"(3)"</f>
        <v>(3)</v>
      </c>
      <c r="G910" s="406" t="str">
        <f>"(4)=(1+2+3)"</f>
        <v>(4)=(1+2+3)</v>
      </c>
      <c r="H910" s="406"/>
      <c r="I910" s="406" t="str">
        <f>"(5)"</f>
        <v>(5)</v>
      </c>
      <c r="J910" s="406" t="str">
        <f>"(6)"</f>
        <v>(6)</v>
      </c>
      <c r="K910" s="406" t="str">
        <f>"(7)=((1+4)/2*6/12))"</f>
        <v>(7)=((1+4)/2*6/12))</v>
      </c>
      <c r="L910" s="406" t="str">
        <f>"(8)"</f>
        <v>(8)</v>
      </c>
      <c r="M910" s="406" t="str">
        <f>"(9)"</f>
        <v>(9)</v>
      </c>
      <c r="N910" s="406" t="str">
        <f>"(10)=(5+7-8+9)"</f>
        <v>(10)=(5+7-8+9)</v>
      </c>
    </row>
    <row r="911" spans="1:14" x14ac:dyDescent="0.2">
      <c r="D911" s="410" t="s">
        <v>639</v>
      </c>
      <c r="E911" s="410" t="s">
        <v>639</v>
      </c>
      <c r="F911" s="410" t="s">
        <v>639</v>
      </c>
      <c r="G911" s="410" t="s">
        <v>639</v>
      </c>
      <c r="H911" s="410"/>
      <c r="I911" s="410" t="s">
        <v>639</v>
      </c>
      <c r="J911" s="410" t="s">
        <v>639</v>
      </c>
      <c r="K911" s="410" t="s">
        <v>639</v>
      </c>
      <c r="L911" s="410" t="s">
        <v>639</v>
      </c>
      <c r="M911" s="410" t="s">
        <v>639</v>
      </c>
      <c r="N911" s="410" t="s">
        <v>639</v>
      </c>
    </row>
    <row r="912" spans="1:14" x14ac:dyDescent="0.2">
      <c r="A912" s="410">
        <v>1</v>
      </c>
      <c r="B912" s="411" t="s">
        <v>1025</v>
      </c>
      <c r="C912" s="412"/>
      <c r="M912" s="386"/>
    </row>
    <row r="913" spans="1:14" x14ac:dyDescent="0.2">
      <c r="A913" s="410">
        <f>A912+1</f>
        <v>2</v>
      </c>
      <c r="C913" s="411" t="s">
        <v>697</v>
      </c>
      <c r="M913" s="386"/>
    </row>
    <row r="914" spans="1:14" x14ac:dyDescent="0.2">
      <c r="A914" s="410">
        <f t="shared" ref="A914:A919" si="267">A913+1</f>
        <v>3</v>
      </c>
      <c r="B914" s="413">
        <v>301</v>
      </c>
      <c r="C914" s="414" t="s">
        <v>1026</v>
      </c>
      <c r="D914" s="415">
        <f>G808</f>
        <v>521.20000000000005</v>
      </c>
      <c r="E914" s="417">
        <v>0</v>
      </c>
      <c r="F914" s="417">
        <v>0</v>
      </c>
      <c r="G914" s="415">
        <f>SUM(D914:F914)</f>
        <v>521.20000000000005</v>
      </c>
      <c r="H914" s="418"/>
      <c r="I914" s="415">
        <f>N808</f>
        <v>0</v>
      </c>
      <c r="J914" s="419" t="s">
        <v>1094</v>
      </c>
      <c r="K914" s="417">
        <v>0</v>
      </c>
      <c r="L914" s="418">
        <f>-F914</f>
        <v>0</v>
      </c>
      <c r="M914" s="417">
        <v>0</v>
      </c>
      <c r="N914" s="408">
        <f>I914+K914-L914+M914</f>
        <v>0</v>
      </c>
    </row>
    <row r="915" spans="1:14" x14ac:dyDescent="0.2">
      <c r="A915" s="410">
        <f t="shared" si="267"/>
        <v>4</v>
      </c>
      <c r="B915" s="413">
        <v>303</v>
      </c>
      <c r="C915" s="414" t="s">
        <v>1027</v>
      </c>
      <c r="D915" s="415">
        <f>G809</f>
        <v>74347.509999999995</v>
      </c>
      <c r="E915" s="417">
        <v>0</v>
      </c>
      <c r="F915" s="417">
        <v>0</v>
      </c>
      <c r="G915" s="415">
        <f>SUM(D915:F915)</f>
        <v>74347.509999999995</v>
      </c>
      <c r="H915" s="418"/>
      <c r="I915" s="415">
        <f>N809</f>
        <v>47451.589999999975</v>
      </c>
      <c r="J915" s="419" t="s">
        <v>1094</v>
      </c>
      <c r="K915" s="415">
        <f>'Intangible Amort.'!P$20</f>
        <v>206.52</v>
      </c>
      <c r="L915" s="418">
        <f>-F915</f>
        <v>0</v>
      </c>
      <c r="M915" s="417">
        <v>0</v>
      </c>
      <c r="N915" s="408">
        <f>I915+K915-L915+M915</f>
        <v>47658.109999999971</v>
      </c>
    </row>
    <row r="916" spans="1:14" x14ac:dyDescent="0.2">
      <c r="A916" s="410">
        <f t="shared" si="267"/>
        <v>5</v>
      </c>
      <c r="B916" s="413">
        <v>303.10000000000002</v>
      </c>
      <c r="C916" s="414" t="s">
        <v>1028</v>
      </c>
      <c r="D916" s="415">
        <f>G810</f>
        <v>0</v>
      </c>
      <c r="E916" s="417">
        <v>0</v>
      </c>
      <c r="F916" s="417">
        <v>0</v>
      </c>
      <c r="G916" s="415">
        <f>SUM(D916:F916)</f>
        <v>0</v>
      </c>
      <c r="H916" s="418"/>
      <c r="I916" s="415">
        <f>N810</f>
        <v>0</v>
      </c>
      <c r="J916" s="419" t="s">
        <v>1094</v>
      </c>
      <c r="K916" s="417">
        <v>0</v>
      </c>
      <c r="L916" s="418">
        <f>-F916</f>
        <v>0</v>
      </c>
      <c r="M916" s="417">
        <v>0</v>
      </c>
      <c r="N916" s="408">
        <f>I916+K916-L916+M916</f>
        <v>0</v>
      </c>
    </row>
    <row r="917" spans="1:14" x14ac:dyDescent="0.2">
      <c r="A917" s="410">
        <f t="shared" si="267"/>
        <v>6</v>
      </c>
      <c r="B917" s="413">
        <v>303.2</v>
      </c>
      <c r="C917" s="414" t="s">
        <v>1029</v>
      </c>
      <c r="D917" s="415">
        <f>G811</f>
        <v>0</v>
      </c>
      <c r="E917" s="417">
        <v>0</v>
      </c>
      <c r="F917" s="417">
        <v>0</v>
      </c>
      <c r="G917" s="415">
        <f>SUM(D917:F917)</f>
        <v>0</v>
      </c>
      <c r="H917" s="418"/>
      <c r="I917" s="415">
        <f>N811</f>
        <v>0</v>
      </c>
      <c r="J917" s="419" t="s">
        <v>1094</v>
      </c>
      <c r="K917" s="417">
        <v>0</v>
      </c>
      <c r="L917" s="418">
        <f>-F917</f>
        <v>0</v>
      </c>
      <c r="M917" s="417">
        <v>0</v>
      </c>
      <c r="N917" s="408">
        <f>I917+K917-L917+M917</f>
        <v>0</v>
      </c>
    </row>
    <row r="918" spans="1:14" x14ac:dyDescent="0.2">
      <c r="A918" s="410">
        <f t="shared" si="267"/>
        <v>7</v>
      </c>
      <c r="B918" s="413">
        <v>303.3</v>
      </c>
      <c r="C918" s="414" t="s">
        <v>1030</v>
      </c>
      <c r="D918" s="421">
        <f>G812</f>
        <v>6426449</v>
      </c>
      <c r="E918" s="422">
        <v>202119</v>
      </c>
      <c r="F918" s="422">
        <v>0</v>
      </c>
      <c r="G918" s="421">
        <f>SUM(D918:F918)</f>
        <v>6628568</v>
      </c>
      <c r="H918" s="418"/>
      <c r="I918" s="421">
        <f>N812</f>
        <v>2728486.2255967762</v>
      </c>
      <c r="J918" s="419" t="s">
        <v>1094</v>
      </c>
      <c r="K918" s="421">
        <f>'Intangible Amort.'!P$93</f>
        <v>82204.084449597023</v>
      </c>
      <c r="L918" s="421">
        <f>-F918</f>
        <v>0</v>
      </c>
      <c r="M918" s="422">
        <v>0</v>
      </c>
      <c r="N918" s="423">
        <f>I918+K918-L918+M918</f>
        <v>2810690.3100463734</v>
      </c>
    </row>
    <row r="919" spans="1:14" x14ac:dyDescent="0.2">
      <c r="A919" s="410">
        <f t="shared" si="267"/>
        <v>8</v>
      </c>
      <c r="B919" s="413"/>
      <c r="C919" s="414" t="s">
        <v>1031</v>
      </c>
      <c r="D919" s="418">
        <f>SUM(D914:D918)</f>
        <v>6501317.71</v>
      </c>
      <c r="E919" s="418">
        <f>SUM(E914:E918)</f>
        <v>202119</v>
      </c>
      <c r="F919" s="418">
        <f>SUM(F914:F918)</f>
        <v>0</v>
      </c>
      <c r="G919" s="418">
        <f>SUM(G914:G918)</f>
        <v>6703436.71</v>
      </c>
      <c r="H919" s="418"/>
      <c r="I919" s="418">
        <f>SUM(I914:I918)</f>
        <v>2775937.8155967761</v>
      </c>
      <c r="J919" s="424"/>
      <c r="K919" s="418">
        <f>SUM(K914:K918)</f>
        <v>82410.604449597027</v>
      </c>
      <c r="L919" s="418">
        <f>SUM(L914:L918)</f>
        <v>0</v>
      </c>
      <c r="M919" s="418">
        <f>SUM(M914:M918)</f>
        <v>0</v>
      </c>
      <c r="N919" s="418">
        <f>SUM(N914:N918)</f>
        <v>2858348.4200463733</v>
      </c>
    </row>
    <row r="920" spans="1:14" x14ac:dyDescent="0.2">
      <c r="B920" s="425"/>
      <c r="D920" s="418"/>
      <c r="E920" s="418"/>
      <c r="F920" s="418"/>
      <c r="G920" s="418"/>
      <c r="H920" s="418"/>
      <c r="I920" s="418"/>
      <c r="J920" s="424"/>
      <c r="K920" s="418"/>
      <c r="L920" s="418"/>
      <c r="M920" s="418"/>
    </row>
    <row r="921" spans="1:14" x14ac:dyDescent="0.2">
      <c r="A921" s="410">
        <f>A919+1</f>
        <v>9</v>
      </c>
      <c r="B921" s="425"/>
      <c r="C921" s="411" t="s">
        <v>704</v>
      </c>
      <c r="D921" s="418"/>
      <c r="E921" s="418"/>
      <c r="F921" s="418"/>
      <c r="G921" s="418"/>
      <c r="H921" s="418"/>
      <c r="I921" s="418"/>
      <c r="J921" s="424"/>
      <c r="K921" s="418"/>
      <c r="L921" s="418"/>
      <c r="M921" s="418"/>
    </row>
    <row r="922" spans="1:14" x14ac:dyDescent="0.2">
      <c r="A922" s="410">
        <f>A921+1</f>
        <v>10</v>
      </c>
      <c r="B922" s="426">
        <v>304.10000000000002</v>
      </c>
      <c r="C922" s="427" t="s">
        <v>1032</v>
      </c>
      <c r="D922" s="421">
        <f>G816</f>
        <v>0</v>
      </c>
      <c r="E922" s="1662">
        <v>0</v>
      </c>
      <c r="F922" s="1662">
        <v>0</v>
      </c>
      <c r="G922" s="421">
        <f>SUM(D922:F922)</f>
        <v>0</v>
      </c>
      <c r="H922" s="418"/>
      <c r="I922" s="421">
        <f>N816</f>
        <v>0</v>
      </c>
      <c r="J922" s="429" t="s">
        <v>1102</v>
      </c>
      <c r="K922" s="430">
        <v>0</v>
      </c>
      <c r="L922" s="421">
        <f>-F922</f>
        <v>0</v>
      </c>
      <c r="M922" s="422">
        <v>0</v>
      </c>
      <c r="N922" s="423">
        <f>I922+K922-L922+M922</f>
        <v>0</v>
      </c>
    </row>
    <row r="923" spans="1:14" x14ac:dyDescent="0.2">
      <c r="A923" s="410">
        <f>A922+1</f>
        <v>11</v>
      </c>
      <c r="B923" s="426"/>
      <c r="C923" s="431" t="s">
        <v>1079</v>
      </c>
      <c r="D923" s="418">
        <f>D922</f>
        <v>0</v>
      </c>
      <c r="E923" s="418">
        <f>E922</f>
        <v>0</v>
      </c>
      <c r="F923" s="1662">
        <f>F922</f>
        <v>0</v>
      </c>
      <c r="G923" s="418">
        <f>G922</f>
        <v>0</v>
      </c>
      <c r="H923" s="418"/>
      <c r="I923" s="418">
        <f>I922</f>
        <v>0</v>
      </c>
      <c r="J923" s="432"/>
      <c r="K923" s="418">
        <f>SUM(K922)</f>
        <v>0</v>
      </c>
      <c r="L923" s="418">
        <f>SUM(L922)</f>
        <v>0</v>
      </c>
      <c r="M923" s="418">
        <f>M922</f>
        <v>0</v>
      </c>
      <c r="N923" s="418">
        <f>N922</f>
        <v>0</v>
      </c>
    </row>
    <row r="924" spans="1:14" x14ac:dyDescent="0.2">
      <c r="B924" s="425"/>
      <c r="D924" s="418"/>
      <c r="E924" s="418"/>
      <c r="F924" s="418"/>
      <c r="G924" s="418"/>
      <c r="H924" s="418"/>
      <c r="I924" s="418"/>
      <c r="J924" s="432"/>
      <c r="K924" s="418"/>
      <c r="L924" s="418"/>
      <c r="M924" s="418"/>
    </row>
    <row r="925" spans="1:14" x14ac:dyDescent="0.2">
      <c r="A925" s="410">
        <f>A923+1</f>
        <v>12</v>
      </c>
      <c r="B925" s="425"/>
      <c r="C925" s="411" t="s">
        <v>707</v>
      </c>
      <c r="D925" s="418"/>
      <c r="E925" s="418"/>
      <c r="F925" s="418"/>
      <c r="G925" s="418"/>
      <c r="H925" s="418"/>
      <c r="I925" s="418"/>
      <c r="J925" s="432"/>
      <c r="K925" s="418"/>
      <c r="L925" s="418"/>
      <c r="M925" s="418"/>
    </row>
    <row r="926" spans="1:14" x14ac:dyDescent="0.2">
      <c r="A926" s="410">
        <f>A925+1</f>
        <v>13</v>
      </c>
      <c r="B926" s="413">
        <v>374.1</v>
      </c>
      <c r="C926" s="414" t="s">
        <v>1035</v>
      </c>
      <c r="D926" s="415">
        <f t="shared" ref="D926:D936" si="268">G820</f>
        <v>206</v>
      </c>
      <c r="E926" s="417">
        <v>0</v>
      </c>
      <c r="F926" s="417">
        <v>0</v>
      </c>
      <c r="G926" s="415">
        <f>SUM(D926:F926)</f>
        <v>206</v>
      </c>
      <c r="H926" s="418"/>
      <c r="I926" s="415">
        <f t="shared" ref="I926:I936" si="269">N820</f>
        <v>0</v>
      </c>
      <c r="J926" s="429" t="s">
        <v>1102</v>
      </c>
      <c r="K926" s="417">
        <v>0</v>
      </c>
      <c r="L926" s="418">
        <f t="shared" ref="L926:L936" si="270">-F926</f>
        <v>0</v>
      </c>
      <c r="M926" s="417">
        <v>0</v>
      </c>
      <c r="N926" s="408">
        <f t="shared" ref="N926:N936" si="271">I926+K926-L926+M926</f>
        <v>0</v>
      </c>
    </row>
    <row r="927" spans="1:14" x14ac:dyDescent="0.2">
      <c r="A927" s="410">
        <f t="shared" ref="A927:A947" si="272">A926+1</f>
        <v>14</v>
      </c>
      <c r="B927" s="413">
        <v>374.2</v>
      </c>
      <c r="C927" s="414" t="s">
        <v>1036</v>
      </c>
      <c r="D927" s="415">
        <f t="shared" si="268"/>
        <v>877756.18</v>
      </c>
      <c r="E927" s="417">
        <v>0</v>
      </c>
      <c r="F927" s="417">
        <v>0</v>
      </c>
      <c r="G927" s="415">
        <f t="shared" ref="G927:G936" si="273">SUM(D927:F927)</f>
        <v>877756.18</v>
      </c>
      <c r="H927" s="418"/>
      <c r="I927" s="415">
        <f t="shared" si="269"/>
        <v>-523.13</v>
      </c>
      <c r="J927" s="429" t="s">
        <v>1102</v>
      </c>
      <c r="K927" s="417">
        <v>0</v>
      </c>
      <c r="L927" s="418">
        <f t="shared" si="270"/>
        <v>0</v>
      </c>
      <c r="M927" s="417">
        <v>0</v>
      </c>
      <c r="N927" s="408">
        <f t="shared" si="271"/>
        <v>-523.13</v>
      </c>
    </row>
    <row r="928" spans="1:14" x14ac:dyDescent="0.2">
      <c r="A928" s="410">
        <f t="shared" si="272"/>
        <v>15</v>
      </c>
      <c r="B928" s="413">
        <v>374.4</v>
      </c>
      <c r="C928" s="414" t="s">
        <v>1037</v>
      </c>
      <c r="D928" s="415">
        <f t="shared" si="268"/>
        <v>661305.66</v>
      </c>
      <c r="E928" s="417">
        <v>0</v>
      </c>
      <c r="F928" s="417">
        <v>0</v>
      </c>
      <c r="G928" s="415">
        <f t="shared" si="273"/>
        <v>661305.66</v>
      </c>
      <c r="H928" s="418"/>
      <c r="I928" s="415">
        <f t="shared" si="269"/>
        <v>177197.36</v>
      </c>
      <c r="J928" s="442">
        <f t="shared" ref="J928:J934" si="274">J822</f>
        <v>1.5299999999999999E-2</v>
      </c>
      <c r="K928" s="418">
        <f>ROUND((G928+D928)/2*J928/12,0)</f>
        <v>843</v>
      </c>
      <c r="L928" s="418">
        <f t="shared" si="270"/>
        <v>0</v>
      </c>
      <c r="M928" s="417">
        <v>0</v>
      </c>
      <c r="N928" s="408">
        <f t="shared" si="271"/>
        <v>178040.36</v>
      </c>
    </row>
    <row r="929" spans="1:14" x14ac:dyDescent="0.2">
      <c r="A929" s="410">
        <f t="shared" si="272"/>
        <v>16</v>
      </c>
      <c r="B929" s="413">
        <v>374.5</v>
      </c>
      <c r="C929" s="414" t="s">
        <v>1038</v>
      </c>
      <c r="D929" s="415">
        <f t="shared" si="268"/>
        <v>2700852.55</v>
      </c>
      <c r="E929" s="417">
        <v>1659</v>
      </c>
      <c r="F929" s="417">
        <v>-199</v>
      </c>
      <c r="G929" s="415">
        <f t="shared" si="273"/>
        <v>2702312.55</v>
      </c>
      <c r="H929" s="418"/>
      <c r="I929" s="415">
        <f t="shared" si="269"/>
        <v>923731.23</v>
      </c>
      <c r="J929" s="442">
        <f t="shared" si="274"/>
        <v>1.2200000000000001E-2</v>
      </c>
      <c r="K929" s="418">
        <f t="shared" ref="K929:K934" si="275">ROUND((G929+D929)/2*J929/12,0)</f>
        <v>2747</v>
      </c>
      <c r="L929" s="418">
        <f t="shared" si="270"/>
        <v>199</v>
      </c>
      <c r="M929" s="417">
        <v>0</v>
      </c>
      <c r="N929" s="408">
        <f t="shared" si="271"/>
        <v>926279.23</v>
      </c>
    </row>
    <row r="930" spans="1:14" x14ac:dyDescent="0.2">
      <c r="A930" s="410">
        <f t="shared" si="272"/>
        <v>17</v>
      </c>
      <c r="B930" s="413">
        <v>375.2</v>
      </c>
      <c r="C930" s="414" t="s">
        <v>1039</v>
      </c>
      <c r="D930" s="415">
        <f t="shared" si="268"/>
        <v>2124.98</v>
      </c>
      <c r="E930" s="417">
        <v>0</v>
      </c>
      <c r="F930" s="417">
        <v>0</v>
      </c>
      <c r="G930" s="415">
        <f t="shared" si="273"/>
        <v>2124.98</v>
      </c>
      <c r="H930" s="418"/>
      <c r="I930" s="415">
        <f t="shared" si="269"/>
        <v>2021.32</v>
      </c>
      <c r="J930" s="442">
        <f t="shared" si="274"/>
        <v>1.9599999999999999E-2</v>
      </c>
      <c r="K930" s="418">
        <f t="shared" si="275"/>
        <v>3</v>
      </c>
      <c r="L930" s="418">
        <f t="shared" si="270"/>
        <v>0</v>
      </c>
      <c r="M930" s="417">
        <v>0</v>
      </c>
      <c r="N930" s="408">
        <f t="shared" si="271"/>
        <v>2024.32</v>
      </c>
    </row>
    <row r="931" spans="1:14" x14ac:dyDescent="0.2">
      <c r="A931" s="410">
        <f t="shared" si="272"/>
        <v>18</v>
      </c>
      <c r="B931" s="413">
        <v>375.3</v>
      </c>
      <c r="C931" s="414" t="s">
        <v>1040</v>
      </c>
      <c r="D931" s="415">
        <f t="shared" si="268"/>
        <v>0</v>
      </c>
      <c r="E931" s="417">
        <v>0</v>
      </c>
      <c r="F931" s="417">
        <v>0</v>
      </c>
      <c r="G931" s="415">
        <f t="shared" si="273"/>
        <v>0</v>
      </c>
      <c r="H931" s="418"/>
      <c r="I931" s="415">
        <f t="shared" si="269"/>
        <v>-77.66</v>
      </c>
      <c r="J931" s="442">
        <f t="shared" si="274"/>
        <v>1.9599999999999999E-2</v>
      </c>
      <c r="K931" s="418">
        <f t="shared" si="275"/>
        <v>0</v>
      </c>
      <c r="L931" s="418">
        <f t="shared" si="270"/>
        <v>0</v>
      </c>
      <c r="M931" s="417">
        <v>0</v>
      </c>
      <c r="N931" s="408">
        <f t="shared" si="271"/>
        <v>-77.66</v>
      </c>
    </row>
    <row r="932" spans="1:14" x14ac:dyDescent="0.2">
      <c r="A932" s="410">
        <f t="shared" si="272"/>
        <v>19</v>
      </c>
      <c r="B932" s="413">
        <v>375.4</v>
      </c>
      <c r="C932" s="414" t="s">
        <v>1041</v>
      </c>
      <c r="D932" s="415">
        <f t="shared" si="268"/>
        <v>2009934.02</v>
      </c>
      <c r="E932" s="417">
        <v>50282</v>
      </c>
      <c r="F932" s="417">
        <v>-6034</v>
      </c>
      <c r="G932" s="415">
        <f t="shared" si="273"/>
        <v>2054182.02</v>
      </c>
      <c r="H932" s="418"/>
      <c r="I932" s="415">
        <f t="shared" si="269"/>
        <v>490512.37</v>
      </c>
      <c r="J932" s="442">
        <f t="shared" si="274"/>
        <v>1.9599999999999999E-2</v>
      </c>
      <c r="K932" s="418">
        <f t="shared" si="275"/>
        <v>3319</v>
      </c>
      <c r="L932" s="418">
        <f t="shared" si="270"/>
        <v>6034</v>
      </c>
      <c r="M932" s="417">
        <v>-603</v>
      </c>
      <c r="N932" s="408">
        <f t="shared" si="271"/>
        <v>487194.37</v>
      </c>
    </row>
    <row r="933" spans="1:14" x14ac:dyDescent="0.2">
      <c r="A933" s="410">
        <f t="shared" si="272"/>
        <v>20</v>
      </c>
      <c r="B933" s="413">
        <v>375.6</v>
      </c>
      <c r="C933" s="414" t="s">
        <v>1042</v>
      </c>
      <c r="D933" s="415">
        <f t="shared" si="268"/>
        <v>0</v>
      </c>
      <c r="E933" s="417">
        <v>0</v>
      </c>
      <c r="F933" s="417">
        <v>0</v>
      </c>
      <c r="G933" s="415">
        <f t="shared" si="273"/>
        <v>0</v>
      </c>
      <c r="H933" s="418"/>
      <c r="I933" s="415">
        <f t="shared" si="269"/>
        <v>0.02</v>
      </c>
      <c r="J933" s="442">
        <f t="shared" si="274"/>
        <v>1.9599999999999999E-2</v>
      </c>
      <c r="K933" s="418">
        <f t="shared" si="275"/>
        <v>0</v>
      </c>
      <c r="L933" s="418">
        <f t="shared" si="270"/>
        <v>0</v>
      </c>
      <c r="M933" s="417">
        <v>0</v>
      </c>
      <c r="N933" s="408">
        <f t="shared" si="271"/>
        <v>0.02</v>
      </c>
    </row>
    <row r="934" spans="1:14" x14ac:dyDescent="0.2">
      <c r="A934" s="410">
        <f t="shared" si="272"/>
        <v>21</v>
      </c>
      <c r="B934" s="413">
        <v>375.7</v>
      </c>
      <c r="C934" s="414" t="s">
        <v>1043</v>
      </c>
      <c r="D934" s="415">
        <f t="shared" si="268"/>
        <v>8150652.21</v>
      </c>
      <c r="E934" s="417">
        <v>59601</v>
      </c>
      <c r="F934" s="417">
        <v>-7152</v>
      </c>
      <c r="G934" s="415">
        <f t="shared" si="273"/>
        <v>8203101.21</v>
      </c>
      <c r="H934" s="418"/>
      <c r="I934" s="415">
        <f t="shared" si="269"/>
        <v>3303295.06</v>
      </c>
      <c r="J934" s="442">
        <f t="shared" si="274"/>
        <v>1.9900000000000001E-2</v>
      </c>
      <c r="K934" s="418">
        <f t="shared" si="275"/>
        <v>13560</v>
      </c>
      <c r="L934" s="418">
        <f t="shared" si="270"/>
        <v>7152</v>
      </c>
      <c r="M934" s="417">
        <v>0</v>
      </c>
      <c r="N934" s="408">
        <f t="shared" si="271"/>
        <v>3309703.06</v>
      </c>
    </row>
    <row r="935" spans="1:14" x14ac:dyDescent="0.2">
      <c r="A935" s="410">
        <f t="shared" si="272"/>
        <v>22</v>
      </c>
      <c r="B935" s="413">
        <v>375.71</v>
      </c>
      <c r="C935" s="414" t="s">
        <v>1044</v>
      </c>
      <c r="D935" s="415">
        <f t="shared" si="268"/>
        <v>259808.94</v>
      </c>
      <c r="E935" s="417">
        <v>0</v>
      </c>
      <c r="F935" s="417">
        <v>0</v>
      </c>
      <c r="G935" s="415">
        <f t="shared" si="273"/>
        <v>259808.94</v>
      </c>
      <c r="H935" s="418"/>
      <c r="I935" s="415">
        <f t="shared" si="269"/>
        <v>177187.45578947378</v>
      </c>
      <c r="J935" s="419" t="s">
        <v>1094</v>
      </c>
      <c r="K935" s="417">
        <f>104653.88/38</f>
        <v>2754.0494736842106</v>
      </c>
      <c r="L935" s="418">
        <f t="shared" si="270"/>
        <v>0</v>
      </c>
      <c r="M935" s="417">
        <v>0</v>
      </c>
      <c r="N935" s="408">
        <f t="shared" si="271"/>
        <v>179941.505263158</v>
      </c>
    </row>
    <row r="936" spans="1:14" x14ac:dyDescent="0.2">
      <c r="A936" s="410">
        <f t="shared" si="272"/>
        <v>23</v>
      </c>
      <c r="B936" s="413">
        <v>375.8</v>
      </c>
      <c r="C936" s="414" t="s">
        <v>1045</v>
      </c>
      <c r="D936" s="415">
        <f t="shared" si="268"/>
        <v>0</v>
      </c>
      <c r="E936" s="417">
        <v>0</v>
      </c>
      <c r="F936" s="417">
        <v>0</v>
      </c>
      <c r="G936" s="415">
        <f t="shared" si="273"/>
        <v>0</v>
      </c>
      <c r="H936" s="418"/>
      <c r="I936" s="415">
        <f t="shared" si="269"/>
        <v>0</v>
      </c>
      <c r="J936" s="442">
        <f>J830</f>
        <v>5.3199999999999997E-2</v>
      </c>
      <c r="K936" s="417">
        <v>0</v>
      </c>
      <c r="L936" s="418">
        <f t="shared" si="270"/>
        <v>0</v>
      </c>
      <c r="M936" s="417">
        <v>0</v>
      </c>
      <c r="N936" s="408">
        <f t="shared" si="271"/>
        <v>0</v>
      </c>
    </row>
    <row r="937" spans="1:14" x14ac:dyDescent="0.2">
      <c r="A937" s="410">
        <f>A936+1</f>
        <v>24</v>
      </c>
      <c r="B937" s="413">
        <v>376</v>
      </c>
      <c r="C937" s="438" t="s">
        <v>1096</v>
      </c>
      <c r="D937" s="415"/>
      <c r="E937" s="417"/>
      <c r="F937" s="417"/>
      <c r="G937" s="415"/>
      <c r="H937" s="418"/>
      <c r="I937" s="439"/>
      <c r="J937" s="432"/>
      <c r="K937" s="418"/>
      <c r="L937" s="418"/>
      <c r="M937" s="417"/>
    </row>
    <row r="938" spans="1:14" x14ac:dyDescent="0.2">
      <c r="A938" s="410"/>
      <c r="B938" s="413"/>
      <c r="C938" s="440" t="s">
        <v>1097</v>
      </c>
      <c r="D938" s="415"/>
      <c r="E938" s="417"/>
      <c r="F938" s="417"/>
      <c r="G938" s="415"/>
      <c r="H938" s="418"/>
      <c r="I938" s="415"/>
      <c r="J938" s="442"/>
      <c r="K938" s="418"/>
      <c r="L938" s="418"/>
      <c r="M938" s="417"/>
      <c r="N938" s="408"/>
    </row>
    <row r="939" spans="1:14" x14ac:dyDescent="0.2">
      <c r="A939" s="410"/>
      <c r="B939" s="413"/>
      <c r="C939" s="440" t="s">
        <v>1098</v>
      </c>
      <c r="D939" s="415"/>
      <c r="E939" s="417"/>
      <c r="F939" s="417"/>
      <c r="G939" s="415"/>
      <c r="H939" s="418"/>
      <c r="I939" s="415"/>
      <c r="J939" s="442"/>
      <c r="K939" s="418"/>
      <c r="L939" s="418"/>
      <c r="M939" s="417"/>
      <c r="N939" s="408"/>
    </row>
    <row r="940" spans="1:14" x14ac:dyDescent="0.2">
      <c r="A940" s="410"/>
      <c r="B940" s="413"/>
      <c r="C940" s="440" t="s">
        <v>1099</v>
      </c>
      <c r="D940" s="415"/>
      <c r="E940" s="417"/>
      <c r="F940" s="417"/>
      <c r="G940" s="415"/>
      <c r="H940" s="418"/>
      <c r="I940" s="415"/>
      <c r="J940" s="442"/>
      <c r="K940" s="418"/>
      <c r="L940" s="418"/>
      <c r="M940" s="417"/>
      <c r="N940" s="408"/>
    </row>
    <row r="941" spans="1:14" x14ac:dyDescent="0.2">
      <c r="A941" s="410"/>
      <c r="B941" s="413"/>
      <c r="C941" s="440" t="s">
        <v>1100</v>
      </c>
      <c r="D941" s="415"/>
      <c r="E941" s="417"/>
      <c r="F941" s="417"/>
      <c r="G941" s="415"/>
      <c r="H941" s="418"/>
      <c r="I941" s="415"/>
      <c r="J941" s="442"/>
      <c r="K941" s="418"/>
      <c r="L941" s="418"/>
      <c r="M941" s="417"/>
      <c r="N941" s="408"/>
    </row>
    <row r="942" spans="1:14" x14ac:dyDescent="0.2">
      <c r="A942" s="410"/>
      <c r="B942" s="413"/>
      <c r="C942" s="440" t="s">
        <v>1101</v>
      </c>
      <c r="D942" s="415">
        <f t="shared" ref="D942:D947" si="276">G836</f>
        <v>211604633.44</v>
      </c>
      <c r="E942" s="417">
        <v>1008166</v>
      </c>
      <c r="F942" s="417">
        <v>-120980</v>
      </c>
      <c r="G942" s="415">
        <f t="shared" ref="G942:G947" si="277">SUM(D942:F942)</f>
        <v>212491819.44</v>
      </c>
      <c r="H942" s="418"/>
      <c r="I942" s="415">
        <f t="shared" ref="I942:I947" si="278">N836</f>
        <v>57176983.609999999</v>
      </c>
      <c r="J942" s="442">
        <f t="shared" ref="J942:J947" si="279">J836</f>
        <v>1.5699999999999999E-2</v>
      </c>
      <c r="K942" s="418">
        <f t="shared" ref="K942:K947" si="280">ROUND((G942+D942)/2*J942/12,0)</f>
        <v>277430</v>
      </c>
      <c r="L942" s="418">
        <f t="shared" ref="L942:L947" si="281">-F942</f>
        <v>120980</v>
      </c>
      <c r="M942" s="417">
        <v>-18147</v>
      </c>
      <c r="N942" s="408">
        <f t="shared" ref="N942:N947" si="282">I942+K942-L942+M942</f>
        <v>57315286.609999999</v>
      </c>
    </row>
    <row r="943" spans="1:14" x14ac:dyDescent="0.2">
      <c r="A943" s="410">
        <f>A937+1</f>
        <v>25</v>
      </c>
      <c r="B943" s="413">
        <v>378.1</v>
      </c>
      <c r="C943" s="414" t="s">
        <v>1047</v>
      </c>
      <c r="D943" s="415">
        <f t="shared" si="276"/>
        <v>518504.18</v>
      </c>
      <c r="E943" s="417">
        <v>0</v>
      </c>
      <c r="F943" s="417">
        <v>0</v>
      </c>
      <c r="G943" s="415">
        <f t="shared" si="277"/>
        <v>518504.18</v>
      </c>
      <c r="H943" s="418"/>
      <c r="I943" s="415">
        <f t="shared" si="278"/>
        <v>361431.81</v>
      </c>
      <c r="J943" s="442">
        <f t="shared" si="279"/>
        <v>2.35E-2</v>
      </c>
      <c r="K943" s="418">
        <f t="shared" si="280"/>
        <v>1015</v>
      </c>
      <c r="L943" s="418">
        <f t="shared" si="281"/>
        <v>0</v>
      </c>
      <c r="M943" s="417">
        <v>0</v>
      </c>
      <c r="N943" s="408">
        <f t="shared" si="282"/>
        <v>362446.81</v>
      </c>
    </row>
    <row r="944" spans="1:14" x14ac:dyDescent="0.2">
      <c r="A944" s="410">
        <f t="shared" si="272"/>
        <v>26</v>
      </c>
      <c r="B944" s="413">
        <v>378.2</v>
      </c>
      <c r="C944" s="414" t="s">
        <v>1048</v>
      </c>
      <c r="D944" s="415">
        <f t="shared" si="276"/>
        <v>9690952</v>
      </c>
      <c r="E944" s="417">
        <v>52825</v>
      </c>
      <c r="F944" s="417">
        <v>-6339</v>
      </c>
      <c r="G944" s="415">
        <f t="shared" si="277"/>
        <v>9737438</v>
      </c>
      <c r="H944" s="418"/>
      <c r="I944" s="415">
        <f t="shared" si="278"/>
        <v>3343632.91</v>
      </c>
      <c r="J944" s="442">
        <f t="shared" si="279"/>
        <v>2.35E-2</v>
      </c>
      <c r="K944" s="418">
        <f t="shared" si="280"/>
        <v>19024</v>
      </c>
      <c r="L944" s="418">
        <f t="shared" si="281"/>
        <v>6339</v>
      </c>
      <c r="M944" s="417">
        <v>-317</v>
      </c>
      <c r="N944" s="408">
        <f t="shared" si="282"/>
        <v>3356000.91</v>
      </c>
    </row>
    <row r="945" spans="1:14" x14ac:dyDescent="0.2">
      <c r="A945" s="410">
        <f t="shared" si="272"/>
        <v>27</v>
      </c>
      <c r="B945" s="413">
        <v>378.3</v>
      </c>
      <c r="C945" s="414" t="s">
        <v>1049</v>
      </c>
      <c r="D945" s="415">
        <f t="shared" si="276"/>
        <v>45443.08</v>
      </c>
      <c r="E945" s="417">
        <v>0</v>
      </c>
      <c r="F945" s="417">
        <v>0</v>
      </c>
      <c r="G945" s="415">
        <f t="shared" si="277"/>
        <v>45443.08</v>
      </c>
      <c r="H945" s="418"/>
      <c r="I945" s="415">
        <f t="shared" si="278"/>
        <v>35700.04</v>
      </c>
      <c r="J945" s="442">
        <f t="shared" si="279"/>
        <v>2.35E-2</v>
      </c>
      <c r="K945" s="418">
        <f t="shared" si="280"/>
        <v>89</v>
      </c>
      <c r="L945" s="418">
        <f t="shared" si="281"/>
        <v>0</v>
      </c>
      <c r="M945" s="417">
        <v>0</v>
      </c>
      <c r="N945" s="408">
        <f t="shared" si="282"/>
        <v>35789.040000000001</v>
      </c>
    </row>
    <row r="946" spans="1:14" x14ac:dyDescent="0.2">
      <c r="A946" s="410">
        <f t="shared" si="272"/>
        <v>28</v>
      </c>
      <c r="B946" s="413">
        <v>379.1</v>
      </c>
      <c r="C946" s="414" t="s">
        <v>1050</v>
      </c>
      <c r="D946" s="415">
        <f t="shared" si="276"/>
        <v>254900.59</v>
      </c>
      <c r="E946" s="417">
        <v>0</v>
      </c>
      <c r="F946" s="417">
        <v>0</v>
      </c>
      <c r="G946" s="415">
        <f t="shared" si="277"/>
        <v>254900.59</v>
      </c>
      <c r="H946" s="418"/>
      <c r="I946" s="415">
        <f t="shared" si="278"/>
        <v>267730.57</v>
      </c>
      <c r="J946" s="442">
        <f t="shared" si="279"/>
        <v>2.2700000000000001E-2</v>
      </c>
      <c r="K946" s="417">
        <v>0</v>
      </c>
      <c r="L946" s="418">
        <f t="shared" si="281"/>
        <v>0</v>
      </c>
      <c r="M946" s="417">
        <v>0</v>
      </c>
      <c r="N946" s="408">
        <f t="shared" si="282"/>
        <v>267730.57</v>
      </c>
    </row>
    <row r="947" spans="1:14" x14ac:dyDescent="0.2">
      <c r="A947" s="410">
        <f t="shared" si="272"/>
        <v>29</v>
      </c>
      <c r="B947" s="413">
        <v>380</v>
      </c>
      <c r="C947" s="414" t="s">
        <v>1051</v>
      </c>
      <c r="D947" s="415">
        <f t="shared" si="276"/>
        <v>121845428.77</v>
      </c>
      <c r="E947" s="417">
        <v>689548</v>
      </c>
      <c r="F947" s="417">
        <v>-82746</v>
      </c>
      <c r="G947" s="415">
        <f t="shared" si="277"/>
        <v>122452230.77</v>
      </c>
      <c r="H947" s="418"/>
      <c r="I947" s="415">
        <f t="shared" si="278"/>
        <v>58508970.520000003</v>
      </c>
      <c r="J947" s="442">
        <f t="shared" si="279"/>
        <v>2.5899999999999999E-2</v>
      </c>
      <c r="K947" s="418">
        <f t="shared" si="280"/>
        <v>263638</v>
      </c>
      <c r="L947" s="418">
        <f t="shared" si="281"/>
        <v>82746</v>
      </c>
      <c r="M947" s="417">
        <v>-41373</v>
      </c>
      <c r="N947" s="408">
        <f t="shared" si="282"/>
        <v>58648489.520000003</v>
      </c>
    </row>
    <row r="948" spans="1:14" x14ac:dyDescent="0.2">
      <c r="A948" s="410"/>
      <c r="B948" s="444"/>
      <c r="C948" s="414"/>
      <c r="D948" s="439"/>
      <c r="E948" s="418"/>
      <c r="F948" s="418"/>
      <c r="G948" s="439"/>
      <c r="H948" s="418"/>
      <c r="I948" s="418"/>
      <c r="J948" s="418"/>
      <c r="K948" s="418"/>
      <c r="L948" s="418"/>
    </row>
    <row r="949" spans="1:14" x14ac:dyDescent="0.2">
      <c r="A949" s="2073" t="str">
        <f>co</f>
        <v>COLUMBIA GAS OF KENTUCKY, INC.</v>
      </c>
      <c r="B949" s="2073"/>
      <c r="C949" s="2073"/>
      <c r="D949" s="2073"/>
      <c r="E949" s="2073"/>
      <c r="F949" s="2073"/>
      <c r="G949" s="2073"/>
      <c r="H949" s="2073"/>
      <c r="I949" s="2073"/>
      <c r="J949" s="2073"/>
      <c r="K949" s="2073"/>
      <c r="L949" s="2073"/>
      <c r="M949" s="2073"/>
      <c r="N949" s="2073"/>
    </row>
    <row r="950" spans="1:14" x14ac:dyDescent="0.2">
      <c r="A950" s="2073" t="str">
        <f>case</f>
        <v>CASE NO. 2016 - 00162</v>
      </c>
      <c r="B950" s="2073"/>
      <c r="C950" s="2073"/>
      <c r="D950" s="2073"/>
      <c r="E950" s="2073"/>
      <c r="F950" s="2073"/>
      <c r="G950" s="2073"/>
      <c r="H950" s="2073"/>
      <c r="I950" s="2073"/>
      <c r="J950" s="2073"/>
      <c r="K950" s="2073"/>
      <c r="L950" s="2073"/>
      <c r="M950" s="2073"/>
      <c r="N950" s="2073"/>
    </row>
    <row r="951" spans="1:14" x14ac:dyDescent="0.2">
      <c r="A951" s="2074" t="s">
        <v>1106</v>
      </c>
      <c r="B951" s="2073"/>
      <c r="C951" s="2073"/>
      <c r="D951" s="2073"/>
      <c r="E951" s="2073"/>
      <c r="F951" s="2073"/>
      <c r="G951" s="2073"/>
      <c r="H951" s="2073"/>
      <c r="I951" s="2073"/>
      <c r="J951" s="2073"/>
      <c r="K951" s="2073"/>
      <c r="L951" s="2073"/>
      <c r="M951" s="2073"/>
      <c r="N951" s="2073"/>
    </row>
    <row r="952" spans="1:14" x14ac:dyDescent="0.2">
      <c r="A952" s="2078" t="s">
        <v>2142</v>
      </c>
      <c r="B952" s="2078"/>
      <c r="C952" s="2078"/>
      <c r="D952" s="2078"/>
      <c r="E952" s="2078"/>
      <c r="F952" s="2078"/>
      <c r="G952" s="2078"/>
      <c r="H952" s="2078"/>
      <c r="I952" s="2078"/>
      <c r="J952" s="2078"/>
      <c r="K952" s="2078"/>
      <c r="L952" s="2078"/>
      <c r="M952" s="2078"/>
      <c r="N952" s="2078"/>
    </row>
    <row r="954" spans="1:14" x14ac:dyDescent="0.2">
      <c r="A954" s="388" t="s">
        <v>976</v>
      </c>
      <c r="M954" s="386"/>
      <c r="N954" s="387" t="s">
        <v>763</v>
      </c>
    </row>
    <row r="955" spans="1:14" x14ac:dyDescent="0.2">
      <c r="A955" s="388" t="s">
        <v>977</v>
      </c>
      <c r="M955" s="386"/>
      <c r="N955" s="387" t="s">
        <v>999</v>
      </c>
    </row>
    <row r="956" spans="1:14" x14ac:dyDescent="0.2">
      <c r="A956" s="445" t="str">
        <f>A903</f>
        <v>WORKPAPER REFERENCE NO(S).: WPB-2.3</v>
      </c>
      <c r="B956" s="391"/>
      <c r="C956" s="391"/>
      <c r="D956" s="391"/>
      <c r="E956" s="391"/>
      <c r="F956" s="391"/>
      <c r="G956" s="391"/>
      <c r="H956" s="391"/>
      <c r="M956" s="392"/>
      <c r="N956" s="393" t="str">
        <f>SMK</f>
        <v>WITNESS:  S. M. KATKO</v>
      </c>
    </row>
    <row r="957" spans="1:14" x14ac:dyDescent="0.2">
      <c r="A957" s="390"/>
      <c r="B957" s="391"/>
      <c r="C957" s="391"/>
      <c r="D957" s="391"/>
      <c r="E957" s="391"/>
      <c r="F957" s="391"/>
      <c r="G957" s="391"/>
      <c r="H957" s="391"/>
      <c r="I957" s="392"/>
      <c r="J957" s="393"/>
      <c r="L957" s="386"/>
      <c r="M957" s="386"/>
    </row>
    <row r="958" spans="1:14" x14ac:dyDescent="0.2">
      <c r="A958" s="390"/>
      <c r="B958" s="391"/>
      <c r="C958" s="391"/>
      <c r="D958" s="2075" t="s">
        <v>1088</v>
      </c>
      <c r="E958" s="2075"/>
      <c r="F958" s="2075"/>
      <c r="G958" s="2075"/>
      <c r="H958" s="391"/>
      <c r="I958" s="2076" t="s">
        <v>1093</v>
      </c>
      <c r="J958" s="2077"/>
      <c r="K958" s="2077"/>
      <c r="L958" s="2077"/>
      <c r="M958" s="2077"/>
      <c r="N958" s="2077"/>
    </row>
    <row r="959" spans="1:14" x14ac:dyDescent="0.2">
      <c r="A959" s="394"/>
      <c r="B959" s="391"/>
      <c r="C959" s="391"/>
      <c r="D959" s="396" t="s">
        <v>1084</v>
      </c>
      <c r="E959" s="391"/>
      <c r="F959" s="391"/>
      <c r="G959" s="395"/>
      <c r="H959" s="395"/>
      <c r="I959" s="397" t="s">
        <v>1089</v>
      </c>
      <c r="J959" s="396"/>
      <c r="M959" s="386"/>
    </row>
    <row r="960" spans="1:14" x14ac:dyDescent="0.2">
      <c r="A960" s="383"/>
      <c r="D960" s="397" t="s">
        <v>865</v>
      </c>
      <c r="G960" s="397" t="s">
        <v>867</v>
      </c>
      <c r="H960" s="398"/>
      <c r="I960" s="397" t="s">
        <v>865</v>
      </c>
      <c r="J960" s="397" t="s">
        <v>956</v>
      </c>
      <c r="M960" s="386"/>
      <c r="N960" s="397" t="s">
        <v>867</v>
      </c>
    </row>
    <row r="961" spans="1:14" x14ac:dyDescent="0.2">
      <c r="A961" s="397" t="s">
        <v>1080</v>
      </c>
      <c r="B961" s="397" t="s">
        <v>1082</v>
      </c>
      <c r="D961" s="397" t="s">
        <v>867</v>
      </c>
      <c r="G961" s="399" t="s">
        <v>1087</v>
      </c>
      <c r="H961" s="398"/>
      <c r="I961" s="399" t="s">
        <v>867</v>
      </c>
      <c r="J961" s="397" t="s">
        <v>1090</v>
      </c>
      <c r="K961" s="397" t="s">
        <v>956</v>
      </c>
      <c r="M961" s="399" t="s">
        <v>1092</v>
      </c>
      <c r="N961" s="399" t="s">
        <v>1087</v>
      </c>
    </row>
    <row r="962" spans="1:14" x14ac:dyDescent="0.2">
      <c r="A962" s="400" t="s">
        <v>1081</v>
      </c>
      <c r="B962" s="400" t="s">
        <v>1081</v>
      </c>
      <c r="C962" s="401" t="s">
        <v>1083</v>
      </c>
      <c r="D962" s="404" t="str">
        <f>D909</f>
        <v>10/31/2016</v>
      </c>
      <c r="E962" s="400" t="s">
        <v>1085</v>
      </c>
      <c r="F962" s="400" t="s">
        <v>1086</v>
      </c>
      <c r="G962" s="404" t="str">
        <f>G909</f>
        <v>11/30/2016</v>
      </c>
      <c r="H962" s="398"/>
      <c r="I962" s="404" t="str">
        <f>D962</f>
        <v>10/31/2016</v>
      </c>
      <c r="J962" s="400" t="s">
        <v>1091</v>
      </c>
      <c r="K962" s="402" t="s">
        <v>1090</v>
      </c>
      <c r="L962" s="402" t="s">
        <v>1086</v>
      </c>
      <c r="M962" s="402" t="s">
        <v>955</v>
      </c>
      <c r="N962" s="404" t="str">
        <f>G962</f>
        <v>11/30/2016</v>
      </c>
    </row>
    <row r="963" spans="1:14" x14ac:dyDescent="0.2">
      <c r="A963" s="406"/>
      <c r="B963" s="406"/>
      <c r="C963" s="406"/>
      <c r="D963" s="406" t="str">
        <f>"(1)"</f>
        <v>(1)</v>
      </c>
      <c r="E963" s="406" t="str">
        <f>"(2)"</f>
        <v>(2)</v>
      </c>
      <c r="F963" s="406" t="str">
        <f>"(3)"</f>
        <v>(3)</v>
      </c>
      <c r="G963" s="406" t="str">
        <f>"(4)=(1+2+3)"</f>
        <v>(4)=(1+2+3)</v>
      </c>
      <c r="H963" s="406"/>
      <c r="I963" s="406" t="str">
        <f>"(5)"</f>
        <v>(5)</v>
      </c>
      <c r="J963" s="406" t="str">
        <f>"(6)"</f>
        <v>(6)</v>
      </c>
      <c r="K963" s="406" t="str">
        <f>"(7)=((1+4)/2*6/12))"</f>
        <v>(7)=((1+4)/2*6/12))</v>
      </c>
      <c r="L963" s="406" t="str">
        <f>"(8)"</f>
        <v>(8)</v>
      </c>
      <c r="M963" s="406" t="str">
        <f>"(9)"</f>
        <v>(9)</v>
      </c>
      <c r="N963" s="406" t="str">
        <f>"(10)=(5+7-8+9)"</f>
        <v>(10)=(5+7-8+9)</v>
      </c>
    </row>
    <row r="964" spans="1:14" x14ac:dyDescent="0.2">
      <c r="D964" s="410" t="s">
        <v>639</v>
      </c>
      <c r="E964" s="410" t="s">
        <v>639</v>
      </c>
      <c r="F964" s="410" t="s">
        <v>639</v>
      </c>
      <c r="G964" s="410" t="s">
        <v>639</v>
      </c>
      <c r="H964" s="410"/>
      <c r="I964" s="410" t="s">
        <v>639</v>
      </c>
      <c r="J964" s="410" t="s">
        <v>639</v>
      </c>
      <c r="K964" s="410" t="s">
        <v>639</v>
      </c>
      <c r="L964" s="410" t="s">
        <v>639</v>
      </c>
      <c r="M964" s="410" t="s">
        <v>639</v>
      </c>
      <c r="N964" s="410" t="s">
        <v>639</v>
      </c>
    </row>
    <row r="965" spans="1:14" x14ac:dyDescent="0.2">
      <c r="C965" s="411" t="s">
        <v>707</v>
      </c>
      <c r="D965" s="410"/>
      <c r="E965" s="410"/>
      <c r="F965" s="410"/>
      <c r="G965" s="410"/>
      <c r="J965" s="410"/>
    </row>
    <row r="966" spans="1:14" x14ac:dyDescent="0.2">
      <c r="A966" s="405">
        <v>1</v>
      </c>
      <c r="B966" s="446">
        <v>381</v>
      </c>
      <c r="C966" s="414" t="s">
        <v>1052</v>
      </c>
      <c r="D966" s="415">
        <f t="shared" ref="D966:D977" si="283">G860</f>
        <v>13681578.550000001</v>
      </c>
      <c r="E966" s="417">
        <v>22915</v>
      </c>
      <c r="F966" s="417">
        <v>-2750</v>
      </c>
      <c r="G966" s="415">
        <f>SUM(D966:F966)</f>
        <v>13701743.550000001</v>
      </c>
      <c r="H966" s="418"/>
      <c r="I966" s="415">
        <f t="shared" ref="I966:I977" si="284">N860</f>
        <v>4876472.8899999997</v>
      </c>
      <c r="J966" s="442">
        <f t="shared" ref="J966:J977" si="285">J860</f>
        <v>2.5899999999999999E-2</v>
      </c>
      <c r="K966" s="418">
        <f t="shared" ref="K966:K977" si="286">ROUND((G966+D966)/2*J966/12,0)</f>
        <v>29551</v>
      </c>
      <c r="L966" s="418">
        <f t="shared" ref="L966:L977" si="287">-F966</f>
        <v>2750</v>
      </c>
      <c r="M966" s="417">
        <v>0</v>
      </c>
      <c r="N966" s="408">
        <f t="shared" ref="N966:N977" si="288">I966+K966-L966+M966</f>
        <v>4903273.8899999997</v>
      </c>
    </row>
    <row r="967" spans="1:14" x14ac:dyDescent="0.2">
      <c r="A967" s="405">
        <f>A966+1</f>
        <v>2</v>
      </c>
      <c r="B967" s="446">
        <v>381.1</v>
      </c>
      <c r="C967" s="414" t="s">
        <v>1052</v>
      </c>
      <c r="D967" s="415">
        <f t="shared" si="283"/>
        <v>8770406.0600000005</v>
      </c>
      <c r="E967" s="417">
        <v>3185</v>
      </c>
      <c r="F967" s="417">
        <v>-382</v>
      </c>
      <c r="G967" s="415">
        <f>SUM(D967:F967)</f>
        <v>8773209.0600000005</v>
      </c>
      <c r="H967" s="418"/>
      <c r="I967" s="415">
        <f t="shared" si="284"/>
        <v>515570.5</v>
      </c>
      <c r="J967" s="442">
        <f t="shared" si="285"/>
        <v>2.5899999999999999E-2</v>
      </c>
      <c r="K967" s="418">
        <f t="shared" si="286"/>
        <v>18932</v>
      </c>
      <c r="L967" s="418">
        <f t="shared" si="287"/>
        <v>382</v>
      </c>
      <c r="M967" s="417">
        <v>0</v>
      </c>
      <c r="N967" s="408">
        <f t="shared" si="288"/>
        <v>534120.5</v>
      </c>
    </row>
    <row r="968" spans="1:14" x14ac:dyDescent="0.2">
      <c r="A968" s="405">
        <f t="shared" ref="A968:A978" si="289">A967+1</f>
        <v>3</v>
      </c>
      <c r="B968" s="446">
        <v>382</v>
      </c>
      <c r="C968" s="414" t="s">
        <v>1053</v>
      </c>
      <c r="D968" s="415">
        <f t="shared" si="283"/>
        <v>9198744.6500000004</v>
      </c>
      <c r="E968" s="417">
        <v>50482</v>
      </c>
      <c r="F968" s="417">
        <v>-6058</v>
      </c>
      <c r="G968" s="415">
        <f t="shared" ref="G968:G973" si="290">SUM(D968:F968)</f>
        <v>9243168.6500000004</v>
      </c>
      <c r="H968" s="418"/>
      <c r="I968" s="415">
        <f t="shared" si="284"/>
        <v>4599985.3</v>
      </c>
      <c r="J968" s="442">
        <f t="shared" si="285"/>
        <v>2.3900000000000001E-2</v>
      </c>
      <c r="K968" s="418">
        <f t="shared" si="286"/>
        <v>18365</v>
      </c>
      <c r="L968" s="418">
        <f t="shared" si="287"/>
        <v>6058</v>
      </c>
      <c r="M968" s="417">
        <v>-303</v>
      </c>
      <c r="N968" s="408">
        <f t="shared" si="288"/>
        <v>4611989.3</v>
      </c>
    </row>
    <row r="969" spans="1:14" x14ac:dyDescent="0.2">
      <c r="A969" s="405">
        <f t="shared" si="289"/>
        <v>4</v>
      </c>
      <c r="B969" s="446">
        <v>383</v>
      </c>
      <c r="C969" s="414" t="s">
        <v>1054</v>
      </c>
      <c r="D969" s="415">
        <f t="shared" si="283"/>
        <v>5628514.7599999998</v>
      </c>
      <c r="E969" s="417">
        <v>21537</v>
      </c>
      <c r="F969" s="417">
        <v>-2584</v>
      </c>
      <c r="G969" s="415">
        <f t="shared" si="290"/>
        <v>5647467.7599999998</v>
      </c>
      <c r="H969" s="418"/>
      <c r="I969" s="415">
        <f t="shared" si="284"/>
        <v>1497364.41</v>
      </c>
      <c r="J969" s="442">
        <f t="shared" si="285"/>
        <v>1.3899999999999999E-2</v>
      </c>
      <c r="K969" s="418">
        <f t="shared" si="286"/>
        <v>6531</v>
      </c>
      <c r="L969" s="418">
        <f t="shared" si="287"/>
        <v>2584</v>
      </c>
      <c r="M969" s="417">
        <v>-129</v>
      </c>
      <c r="N969" s="408">
        <f t="shared" si="288"/>
        <v>1501182.41</v>
      </c>
    </row>
    <row r="970" spans="1:14" x14ac:dyDescent="0.2">
      <c r="A970" s="405">
        <f t="shared" si="289"/>
        <v>5</v>
      </c>
      <c r="B970" s="446">
        <v>384</v>
      </c>
      <c r="C970" s="414" t="s">
        <v>1055</v>
      </c>
      <c r="D970" s="415">
        <f t="shared" si="283"/>
        <v>2257522</v>
      </c>
      <c r="E970" s="417">
        <v>0</v>
      </c>
      <c r="F970" s="417">
        <v>0</v>
      </c>
      <c r="G970" s="415">
        <f t="shared" si="290"/>
        <v>2257522</v>
      </c>
      <c r="H970" s="418"/>
      <c r="I970" s="415">
        <f t="shared" si="284"/>
        <v>1765190.73</v>
      </c>
      <c r="J970" s="442">
        <f t="shared" si="285"/>
        <v>1.0999999999999999E-2</v>
      </c>
      <c r="K970" s="418">
        <f t="shared" si="286"/>
        <v>2069</v>
      </c>
      <c r="L970" s="418">
        <f t="shared" si="287"/>
        <v>0</v>
      </c>
      <c r="M970" s="417">
        <v>0</v>
      </c>
      <c r="N970" s="408">
        <f t="shared" si="288"/>
        <v>1767259.73</v>
      </c>
    </row>
    <row r="971" spans="1:14" x14ac:dyDescent="0.2">
      <c r="A971" s="405">
        <f t="shared" si="289"/>
        <v>6</v>
      </c>
      <c r="B971" s="446">
        <v>385</v>
      </c>
      <c r="C971" s="414" t="s">
        <v>1056</v>
      </c>
      <c r="D971" s="415">
        <f t="shared" si="283"/>
        <v>3214073.36</v>
      </c>
      <c r="E971" s="417">
        <v>21653</v>
      </c>
      <c r="F971" s="417">
        <v>-2598</v>
      </c>
      <c r="G971" s="415">
        <f t="shared" si="290"/>
        <v>3233128.36</v>
      </c>
      <c r="H971" s="418"/>
      <c r="I971" s="415">
        <f t="shared" si="284"/>
        <v>884398.55</v>
      </c>
      <c r="J971" s="442">
        <f t="shared" si="285"/>
        <v>2.0899999999999998E-2</v>
      </c>
      <c r="K971" s="418">
        <f t="shared" si="286"/>
        <v>5614</v>
      </c>
      <c r="L971" s="418">
        <f t="shared" si="287"/>
        <v>2598</v>
      </c>
      <c r="M971" s="417">
        <v>-130</v>
      </c>
      <c r="N971" s="408">
        <f t="shared" si="288"/>
        <v>887284.55</v>
      </c>
    </row>
    <row r="972" spans="1:14" x14ac:dyDescent="0.2">
      <c r="A972" s="405">
        <f t="shared" si="289"/>
        <v>7</v>
      </c>
      <c r="B972" s="446">
        <v>387.2</v>
      </c>
      <c r="C972" s="414" t="s">
        <v>1057</v>
      </c>
      <c r="D972" s="415">
        <f t="shared" si="283"/>
        <v>0</v>
      </c>
      <c r="E972" s="417">
        <v>0</v>
      </c>
      <c r="F972" s="417">
        <v>0</v>
      </c>
      <c r="G972" s="415">
        <f t="shared" si="290"/>
        <v>0</v>
      </c>
      <c r="H972" s="418"/>
      <c r="I972" s="415">
        <f t="shared" si="284"/>
        <v>-59912.03</v>
      </c>
      <c r="J972" s="442">
        <f t="shared" si="285"/>
        <v>2.3199999999999998E-2</v>
      </c>
      <c r="K972" s="418">
        <f t="shared" si="286"/>
        <v>0</v>
      </c>
      <c r="L972" s="418">
        <f t="shared" si="287"/>
        <v>0</v>
      </c>
      <c r="M972" s="417">
        <v>0</v>
      </c>
      <c r="N972" s="408">
        <f t="shared" si="288"/>
        <v>-59912.03</v>
      </c>
    </row>
    <row r="973" spans="1:14" x14ac:dyDescent="0.2">
      <c r="A973" s="405">
        <f t="shared" si="289"/>
        <v>8</v>
      </c>
      <c r="B973" s="446">
        <v>387.41</v>
      </c>
      <c r="C973" s="414" t="s">
        <v>1058</v>
      </c>
      <c r="D973" s="415">
        <f t="shared" si="283"/>
        <v>735770.76</v>
      </c>
      <c r="E973" s="417">
        <v>0</v>
      </c>
      <c r="F973" s="417">
        <v>0</v>
      </c>
      <c r="G973" s="415">
        <f t="shared" si="290"/>
        <v>735770.76</v>
      </c>
      <c r="H973" s="418"/>
      <c r="I973" s="415">
        <f t="shared" si="284"/>
        <v>383187.95</v>
      </c>
      <c r="J973" s="442">
        <f t="shared" si="285"/>
        <v>2.3400000000000001E-2</v>
      </c>
      <c r="K973" s="418">
        <f t="shared" si="286"/>
        <v>1435</v>
      </c>
      <c r="L973" s="418">
        <f t="shared" si="287"/>
        <v>0</v>
      </c>
      <c r="M973" s="417">
        <v>0</v>
      </c>
      <c r="N973" s="408">
        <f t="shared" si="288"/>
        <v>384622.95</v>
      </c>
    </row>
    <row r="974" spans="1:14" x14ac:dyDescent="0.2">
      <c r="A974" s="405">
        <f t="shared" si="289"/>
        <v>9</v>
      </c>
      <c r="B974" s="446">
        <v>387.42</v>
      </c>
      <c r="C974" s="414" t="s">
        <v>1059</v>
      </c>
      <c r="D974" s="415">
        <f t="shared" si="283"/>
        <v>795186.58</v>
      </c>
      <c r="E974" s="417">
        <v>0</v>
      </c>
      <c r="F974" s="417">
        <v>0</v>
      </c>
      <c r="G974" s="415">
        <f>SUM(D974:F974)</f>
        <v>795186.58</v>
      </c>
      <c r="H974" s="418"/>
      <c r="I974" s="415">
        <f t="shared" si="284"/>
        <v>549443.94999999995</v>
      </c>
      <c r="J974" s="442">
        <f t="shared" si="285"/>
        <v>2.3400000000000001E-2</v>
      </c>
      <c r="K974" s="418">
        <f t="shared" si="286"/>
        <v>1551</v>
      </c>
      <c r="L974" s="418">
        <f t="shared" si="287"/>
        <v>0</v>
      </c>
      <c r="M974" s="417">
        <v>0</v>
      </c>
      <c r="N974" s="408">
        <f t="shared" si="288"/>
        <v>550994.94999999995</v>
      </c>
    </row>
    <row r="975" spans="1:14" x14ac:dyDescent="0.2">
      <c r="A975" s="405">
        <f t="shared" si="289"/>
        <v>10</v>
      </c>
      <c r="B975" s="446">
        <v>387.44</v>
      </c>
      <c r="C975" s="414" t="s">
        <v>1060</v>
      </c>
      <c r="D975" s="415">
        <f t="shared" si="283"/>
        <v>143283.93</v>
      </c>
      <c r="E975" s="417">
        <v>0</v>
      </c>
      <c r="F975" s="417">
        <v>0</v>
      </c>
      <c r="G975" s="415">
        <f>SUM(D975:F975)</f>
        <v>143283.93</v>
      </c>
      <c r="H975" s="418"/>
      <c r="I975" s="415">
        <f t="shared" si="284"/>
        <v>46390.55</v>
      </c>
      <c r="J975" s="442">
        <f t="shared" si="285"/>
        <v>2.3400000000000001E-2</v>
      </c>
      <c r="K975" s="418">
        <f t="shared" si="286"/>
        <v>279</v>
      </c>
      <c r="L975" s="418">
        <f t="shared" si="287"/>
        <v>0</v>
      </c>
      <c r="M975" s="417">
        <v>0</v>
      </c>
      <c r="N975" s="408">
        <f t="shared" si="288"/>
        <v>46669.55</v>
      </c>
    </row>
    <row r="976" spans="1:14" x14ac:dyDescent="0.2">
      <c r="A976" s="405">
        <f t="shared" si="289"/>
        <v>11</v>
      </c>
      <c r="B976" s="446">
        <v>387.45</v>
      </c>
      <c r="C976" s="414" t="s">
        <v>1061</v>
      </c>
      <c r="D976" s="415">
        <f t="shared" si="283"/>
        <v>3087286.66</v>
      </c>
      <c r="E976" s="417">
        <v>101260</v>
      </c>
      <c r="F976" s="417">
        <v>-12151</v>
      </c>
      <c r="G976" s="415">
        <f>SUM(D976:F976)</f>
        <v>3176395.66</v>
      </c>
      <c r="H976" s="418"/>
      <c r="I976" s="415">
        <f t="shared" si="284"/>
        <v>544917.06000000006</v>
      </c>
      <c r="J976" s="442">
        <f t="shared" si="285"/>
        <v>2.3400000000000001E-2</v>
      </c>
      <c r="K976" s="418">
        <f t="shared" si="286"/>
        <v>6107</v>
      </c>
      <c r="L976" s="418">
        <f t="shared" si="287"/>
        <v>12151</v>
      </c>
      <c r="M976" s="417">
        <v>0</v>
      </c>
      <c r="N976" s="408">
        <f t="shared" si="288"/>
        <v>538873.06000000006</v>
      </c>
    </row>
    <row r="977" spans="1:14" x14ac:dyDescent="0.2">
      <c r="A977" s="405">
        <f t="shared" si="289"/>
        <v>12</v>
      </c>
      <c r="B977" s="446">
        <v>387.46</v>
      </c>
      <c r="C977" s="414" t="s">
        <v>1062</v>
      </c>
      <c r="D977" s="421">
        <f t="shared" si="283"/>
        <v>113644.47</v>
      </c>
      <c r="E977" s="1662">
        <v>0</v>
      </c>
      <c r="F977" s="1662">
        <v>0</v>
      </c>
      <c r="G977" s="428">
        <f>SUM(D977:F977)</f>
        <v>113644.47</v>
      </c>
      <c r="H977" s="447"/>
      <c r="I977" s="421">
        <f t="shared" si="284"/>
        <v>111788.83</v>
      </c>
      <c r="J977" s="442">
        <f t="shared" si="285"/>
        <v>2.3400000000000001E-2</v>
      </c>
      <c r="K977" s="421">
        <f t="shared" si="286"/>
        <v>222</v>
      </c>
      <c r="L977" s="421">
        <f t="shared" si="287"/>
        <v>0</v>
      </c>
      <c r="M977" s="422">
        <v>0</v>
      </c>
      <c r="N977" s="423">
        <f t="shared" si="288"/>
        <v>112010.83</v>
      </c>
    </row>
    <row r="978" spans="1:14" x14ac:dyDescent="0.2">
      <c r="A978" s="405">
        <f t="shared" si="289"/>
        <v>13</v>
      </c>
      <c r="B978" s="448"/>
      <c r="C978" s="386" t="s">
        <v>1063</v>
      </c>
      <c r="D978" s="418">
        <f>SUM(D966:D977,D926:D947)</f>
        <v>406248514.37999994</v>
      </c>
      <c r="E978" s="418">
        <f>SUM(E966:E977,E926:E947)</f>
        <v>2083113</v>
      </c>
      <c r="F978" s="418">
        <f>SUM(F966:F977,F926:F947)</f>
        <v>-249973</v>
      </c>
      <c r="G978" s="418">
        <f>SUM(G966:G977,G926:G947)</f>
        <v>408081654.37999994</v>
      </c>
      <c r="H978" s="418"/>
      <c r="I978" s="418">
        <f>SUM(I966:I977,I926:I947)</f>
        <v>140482592.17578948</v>
      </c>
      <c r="J978" s="418"/>
      <c r="K978" s="418">
        <f>SUM(K966:K977,K926:K947)</f>
        <v>675078.04947368428</v>
      </c>
      <c r="L978" s="418">
        <f>SUM(L966:L977,L926:L947)</f>
        <v>249973</v>
      </c>
      <c r="M978" s="418">
        <f>SUM(M966:M977,M926:M947)</f>
        <v>-61002</v>
      </c>
      <c r="N978" s="418">
        <f>SUM(N966:N977,N926:N947)</f>
        <v>140846695.22526315</v>
      </c>
    </row>
    <row r="979" spans="1:14" x14ac:dyDescent="0.2">
      <c r="B979" s="448"/>
      <c r="D979" s="418"/>
      <c r="E979" s="418"/>
      <c r="F979" s="418"/>
      <c r="G979" s="418"/>
      <c r="H979" s="418"/>
      <c r="I979" s="439"/>
      <c r="J979" s="418"/>
      <c r="K979" s="418"/>
      <c r="L979" s="418"/>
      <c r="M979" s="418"/>
    </row>
    <row r="980" spans="1:14" x14ac:dyDescent="0.2">
      <c r="A980" s="405">
        <f>A978+1</f>
        <v>14</v>
      </c>
      <c r="B980" s="448"/>
      <c r="C980" s="411" t="s">
        <v>737</v>
      </c>
      <c r="D980" s="418"/>
      <c r="E980" s="418"/>
      <c r="F980" s="418"/>
      <c r="G980" s="418"/>
      <c r="H980" s="418"/>
      <c r="I980" s="439"/>
      <c r="J980" s="418"/>
      <c r="K980" s="418"/>
      <c r="L980" s="418"/>
      <c r="M980" s="418"/>
    </row>
    <row r="981" spans="1:14" x14ac:dyDescent="0.2">
      <c r="A981" s="410">
        <f>A980+1</f>
        <v>15</v>
      </c>
      <c r="B981" s="446">
        <v>391.1</v>
      </c>
      <c r="C981" s="414" t="s">
        <v>1064</v>
      </c>
      <c r="D981" s="415">
        <f t="shared" ref="D981:D994" si="291">G875</f>
        <v>721928.71</v>
      </c>
      <c r="E981" s="417">
        <v>-4800</v>
      </c>
      <c r="F981" s="417">
        <v>576</v>
      </c>
      <c r="G981" s="415">
        <f t="shared" ref="G981:G994" si="292">SUM(D981:F981)</f>
        <v>717704.71</v>
      </c>
      <c r="H981" s="418"/>
      <c r="I981" s="415">
        <f t="shared" ref="I981:I994" si="293">N875</f>
        <v>-57709.22</v>
      </c>
      <c r="J981" s="442">
        <f t="shared" ref="J981:J994" si="294">J875</f>
        <v>0.05</v>
      </c>
      <c r="K981" s="418">
        <f>ROUND((G981+D981)/2*J981/12,0)</f>
        <v>2999</v>
      </c>
      <c r="L981" s="418">
        <f t="shared" ref="L981:L994" si="295">-F981</f>
        <v>-576</v>
      </c>
      <c r="M981" s="417">
        <v>0</v>
      </c>
      <c r="N981" s="408">
        <f t="shared" ref="N981:N994" si="296">I981+K981-L981+M981</f>
        <v>-54134.22</v>
      </c>
    </row>
    <row r="982" spans="1:14" x14ac:dyDescent="0.2">
      <c r="A982" s="410">
        <f t="shared" ref="A982:A995" si="297">A981+1</f>
        <v>16</v>
      </c>
      <c r="B982" s="446">
        <v>391.11</v>
      </c>
      <c r="C982" s="414" t="s">
        <v>1065</v>
      </c>
      <c r="D982" s="415">
        <f t="shared" si="291"/>
        <v>18815.57</v>
      </c>
      <c r="E982" s="417">
        <v>0</v>
      </c>
      <c r="F982" s="417">
        <v>0</v>
      </c>
      <c r="G982" s="415">
        <f t="shared" si="292"/>
        <v>18815.57</v>
      </c>
      <c r="H982" s="418"/>
      <c r="I982" s="415">
        <f t="shared" si="293"/>
        <v>-12194.77</v>
      </c>
      <c r="J982" s="442">
        <f t="shared" si="294"/>
        <v>6.6699999999999995E-2</v>
      </c>
      <c r="K982" s="418">
        <f>ROUND((G982+D982)/2*J982/12,0)</f>
        <v>105</v>
      </c>
      <c r="L982" s="418">
        <f t="shared" si="295"/>
        <v>0</v>
      </c>
      <c r="M982" s="417">
        <v>0</v>
      </c>
      <c r="N982" s="408">
        <f t="shared" si="296"/>
        <v>-12089.77</v>
      </c>
    </row>
    <row r="983" spans="1:14" x14ac:dyDescent="0.2">
      <c r="A983" s="410">
        <f t="shared" si="297"/>
        <v>17</v>
      </c>
      <c r="B983" s="446">
        <v>391.12</v>
      </c>
      <c r="C983" s="414" t="s">
        <v>1066</v>
      </c>
      <c r="D983" s="415">
        <f t="shared" si="291"/>
        <v>853483.41</v>
      </c>
      <c r="E983" s="417">
        <v>0</v>
      </c>
      <c r="F983" s="417">
        <v>0</v>
      </c>
      <c r="G983" s="415">
        <f t="shared" si="292"/>
        <v>853483.41</v>
      </c>
      <c r="H983" s="418"/>
      <c r="I983" s="415">
        <f t="shared" si="293"/>
        <v>661135.37</v>
      </c>
      <c r="J983" s="442">
        <f t="shared" si="294"/>
        <v>0.2</v>
      </c>
      <c r="K983" s="418">
        <f>ROUND((G983+D983)/2*J983/12,0)</f>
        <v>14225</v>
      </c>
      <c r="L983" s="418">
        <f t="shared" si="295"/>
        <v>0</v>
      </c>
      <c r="M983" s="417">
        <v>0</v>
      </c>
      <c r="N983" s="408">
        <f t="shared" si="296"/>
        <v>675360.37</v>
      </c>
    </row>
    <row r="984" spans="1:14" x14ac:dyDescent="0.2">
      <c r="A984" s="410">
        <f t="shared" si="297"/>
        <v>18</v>
      </c>
      <c r="B984" s="446">
        <v>392.2</v>
      </c>
      <c r="C984" s="414" t="s">
        <v>1067</v>
      </c>
      <c r="D984" s="415">
        <f t="shared" si="291"/>
        <v>95778</v>
      </c>
      <c r="E984" s="417">
        <v>0</v>
      </c>
      <c r="F984" s="417">
        <v>0</v>
      </c>
      <c r="G984" s="415">
        <f t="shared" si="292"/>
        <v>95778</v>
      </c>
      <c r="H984" s="418"/>
      <c r="I984" s="415">
        <f t="shared" si="293"/>
        <v>22185.05</v>
      </c>
      <c r="J984" s="442">
        <f t="shared" si="294"/>
        <v>2.9399999999999999E-2</v>
      </c>
      <c r="K984" s="418">
        <f>ROUND((G984+D984)/2*J984/12,0)</f>
        <v>235</v>
      </c>
      <c r="L984" s="418">
        <f t="shared" si="295"/>
        <v>0</v>
      </c>
      <c r="M984" s="417">
        <v>0</v>
      </c>
      <c r="N984" s="408">
        <f t="shared" si="296"/>
        <v>22420.05</v>
      </c>
    </row>
    <row r="985" spans="1:14" x14ac:dyDescent="0.2">
      <c r="A985" s="410">
        <f t="shared" si="297"/>
        <v>19</v>
      </c>
      <c r="B985" s="446">
        <v>392.21</v>
      </c>
      <c r="C985" s="414" t="s">
        <v>1068</v>
      </c>
      <c r="D985" s="415">
        <f t="shared" si="291"/>
        <v>24462.2</v>
      </c>
      <c r="E985" s="417">
        <v>0</v>
      </c>
      <c r="F985" s="417">
        <v>0</v>
      </c>
      <c r="G985" s="415">
        <f t="shared" si="292"/>
        <v>24462.2</v>
      </c>
      <c r="H985" s="418"/>
      <c r="I985" s="415">
        <f t="shared" si="293"/>
        <v>5067.3999999999996</v>
      </c>
      <c r="J985" s="442">
        <f t="shared" si="294"/>
        <v>2.9399999999999999E-2</v>
      </c>
      <c r="K985" s="418">
        <f t="shared" ref="K985:K994" si="298">ROUND((G985+D985)/2*J985/12,0)</f>
        <v>60</v>
      </c>
      <c r="L985" s="418">
        <f t="shared" si="295"/>
        <v>0</v>
      </c>
      <c r="M985" s="417">
        <v>0</v>
      </c>
      <c r="N985" s="408">
        <f t="shared" si="296"/>
        <v>5127.3999999999996</v>
      </c>
    </row>
    <row r="986" spans="1:14" x14ac:dyDescent="0.2">
      <c r="A986" s="410">
        <f t="shared" si="297"/>
        <v>20</v>
      </c>
      <c r="B986" s="446">
        <v>393</v>
      </c>
      <c r="C986" s="414" t="s">
        <v>1069</v>
      </c>
      <c r="D986" s="415">
        <f t="shared" si="291"/>
        <v>0</v>
      </c>
      <c r="E986" s="417">
        <v>0</v>
      </c>
      <c r="F986" s="417">
        <v>0</v>
      </c>
      <c r="G986" s="415">
        <f t="shared" si="292"/>
        <v>0</v>
      </c>
      <c r="H986" s="418"/>
      <c r="I986" s="415">
        <f t="shared" si="293"/>
        <v>0</v>
      </c>
      <c r="J986" s="442" t="str">
        <f t="shared" si="294"/>
        <v>Amort.</v>
      </c>
      <c r="K986" s="417">
        <v>0</v>
      </c>
      <c r="L986" s="418">
        <f t="shared" si="295"/>
        <v>0</v>
      </c>
      <c r="M986" s="417">
        <v>0</v>
      </c>
      <c r="N986" s="408">
        <f t="shared" si="296"/>
        <v>0</v>
      </c>
    </row>
    <row r="987" spans="1:14" x14ac:dyDescent="0.2">
      <c r="A987" s="410">
        <f t="shared" si="297"/>
        <v>21</v>
      </c>
      <c r="B987" s="446">
        <v>394.1</v>
      </c>
      <c r="C987" s="414" t="s">
        <v>1070</v>
      </c>
      <c r="D987" s="415">
        <f t="shared" si="291"/>
        <v>24240.799999999999</v>
      </c>
      <c r="E987" s="417">
        <v>0</v>
      </c>
      <c r="F987" s="417">
        <v>0</v>
      </c>
      <c r="G987" s="415">
        <f t="shared" si="292"/>
        <v>24240.799999999999</v>
      </c>
      <c r="H987" s="418"/>
      <c r="I987" s="415">
        <f t="shared" si="293"/>
        <v>14446.82</v>
      </c>
      <c r="J987" s="442">
        <f t="shared" si="294"/>
        <v>0.04</v>
      </c>
      <c r="K987" s="418">
        <f t="shared" si="298"/>
        <v>81</v>
      </c>
      <c r="L987" s="418">
        <f t="shared" si="295"/>
        <v>0</v>
      </c>
      <c r="M987" s="417">
        <v>0</v>
      </c>
      <c r="N987" s="408">
        <f t="shared" si="296"/>
        <v>14527.82</v>
      </c>
    </row>
    <row r="988" spans="1:14" x14ac:dyDescent="0.2">
      <c r="A988" s="410">
        <f t="shared" si="297"/>
        <v>22</v>
      </c>
      <c r="B988" s="446">
        <v>394.11</v>
      </c>
      <c r="C988" s="414" t="s">
        <v>1071</v>
      </c>
      <c r="D988" s="415">
        <f t="shared" si="291"/>
        <v>0</v>
      </c>
      <c r="E988" s="417">
        <v>0</v>
      </c>
      <c r="F988" s="417">
        <v>0</v>
      </c>
      <c r="G988" s="415">
        <f t="shared" si="292"/>
        <v>0</v>
      </c>
      <c r="H988" s="418"/>
      <c r="I988" s="415">
        <f t="shared" si="293"/>
        <v>0</v>
      </c>
      <c r="J988" s="442">
        <f t="shared" si="294"/>
        <v>0.13769999999999999</v>
      </c>
      <c r="K988" s="417">
        <v>0</v>
      </c>
      <c r="L988" s="418">
        <f t="shared" si="295"/>
        <v>0</v>
      </c>
      <c r="M988" s="417">
        <v>0</v>
      </c>
      <c r="N988" s="408">
        <f t="shared" si="296"/>
        <v>0</v>
      </c>
    </row>
    <row r="989" spans="1:14" x14ac:dyDescent="0.2">
      <c r="A989" s="410">
        <f t="shared" si="297"/>
        <v>23</v>
      </c>
      <c r="B989" s="446">
        <v>394.13</v>
      </c>
      <c r="C989" s="438" t="s">
        <v>1072</v>
      </c>
      <c r="D989" s="415">
        <f t="shared" si="291"/>
        <v>0</v>
      </c>
      <c r="E989" s="417">
        <v>0</v>
      </c>
      <c r="F989" s="417">
        <v>0</v>
      </c>
      <c r="G989" s="415">
        <f t="shared" si="292"/>
        <v>0</v>
      </c>
      <c r="H989" s="418"/>
      <c r="I989" s="415">
        <f t="shared" si="293"/>
        <v>37937.360000000001</v>
      </c>
      <c r="J989" s="442" t="str">
        <f t="shared" si="294"/>
        <v>Amort.</v>
      </c>
      <c r="K989" s="417">
        <v>0</v>
      </c>
      <c r="L989" s="418">
        <f t="shared" si="295"/>
        <v>0</v>
      </c>
      <c r="M989" s="417">
        <v>0</v>
      </c>
      <c r="N989" s="408">
        <f t="shared" si="296"/>
        <v>37937.360000000001</v>
      </c>
    </row>
    <row r="990" spans="1:14" x14ac:dyDescent="0.2">
      <c r="A990" s="410">
        <f t="shared" si="297"/>
        <v>24</v>
      </c>
      <c r="B990" s="446">
        <v>394.2</v>
      </c>
      <c r="C990" s="414" t="s">
        <v>1073</v>
      </c>
      <c r="D990" s="415">
        <f t="shared" si="291"/>
        <v>0</v>
      </c>
      <c r="E990" s="417">
        <v>0</v>
      </c>
      <c r="F990" s="417">
        <v>0</v>
      </c>
      <c r="G990" s="415">
        <f t="shared" si="292"/>
        <v>0</v>
      </c>
      <c r="H990" s="418"/>
      <c r="I990" s="415">
        <f t="shared" si="293"/>
        <v>185.21</v>
      </c>
      <c r="J990" s="442">
        <f t="shared" si="294"/>
        <v>0.04</v>
      </c>
      <c r="K990" s="418">
        <f t="shared" si="298"/>
        <v>0</v>
      </c>
      <c r="L990" s="418">
        <f t="shared" si="295"/>
        <v>0</v>
      </c>
      <c r="M990" s="417">
        <v>0</v>
      </c>
      <c r="N990" s="408">
        <f t="shared" si="296"/>
        <v>185.21</v>
      </c>
    </row>
    <row r="991" spans="1:14" x14ac:dyDescent="0.2">
      <c r="A991" s="410">
        <f t="shared" si="297"/>
        <v>25</v>
      </c>
      <c r="B991" s="446">
        <v>394.3</v>
      </c>
      <c r="C991" s="414" t="s">
        <v>1074</v>
      </c>
      <c r="D991" s="415">
        <f t="shared" si="291"/>
        <v>3106851.16</v>
      </c>
      <c r="E991" s="417">
        <v>-2119</v>
      </c>
      <c r="F991" s="417">
        <v>254</v>
      </c>
      <c r="G991" s="415">
        <f t="shared" si="292"/>
        <v>3104986.16</v>
      </c>
      <c r="H991" s="418"/>
      <c r="I991" s="415">
        <f t="shared" si="293"/>
        <v>1265179.1499999999</v>
      </c>
      <c r="J991" s="442">
        <f t="shared" si="294"/>
        <v>0.04</v>
      </c>
      <c r="K991" s="418">
        <f t="shared" si="298"/>
        <v>10353</v>
      </c>
      <c r="L991" s="418">
        <f t="shared" si="295"/>
        <v>-254</v>
      </c>
      <c r="M991" s="417">
        <v>0</v>
      </c>
      <c r="N991" s="408">
        <f t="shared" si="296"/>
        <v>1275786.1499999999</v>
      </c>
    </row>
    <row r="992" spans="1:14" x14ac:dyDescent="0.2">
      <c r="A992" s="410">
        <f t="shared" si="297"/>
        <v>26</v>
      </c>
      <c r="B992" s="446">
        <v>395</v>
      </c>
      <c r="C992" s="414" t="s">
        <v>1075</v>
      </c>
      <c r="D992" s="415">
        <f t="shared" si="291"/>
        <v>9257.77</v>
      </c>
      <c r="E992" s="417">
        <v>0</v>
      </c>
      <c r="F992" s="417">
        <v>0</v>
      </c>
      <c r="G992" s="415">
        <f t="shared" si="292"/>
        <v>9257.77</v>
      </c>
      <c r="H992" s="418"/>
      <c r="I992" s="415">
        <f t="shared" si="293"/>
        <v>7451.59</v>
      </c>
      <c r="J992" s="442">
        <f t="shared" si="294"/>
        <v>0.05</v>
      </c>
      <c r="K992" s="418">
        <f t="shared" si="298"/>
        <v>39</v>
      </c>
      <c r="L992" s="418">
        <f t="shared" si="295"/>
        <v>0</v>
      </c>
      <c r="M992" s="417">
        <v>0</v>
      </c>
      <c r="N992" s="408">
        <f t="shared" si="296"/>
        <v>7490.59</v>
      </c>
    </row>
    <row r="993" spans="1:15" x14ac:dyDescent="0.2">
      <c r="A993" s="410">
        <f t="shared" si="297"/>
        <v>27</v>
      </c>
      <c r="B993" s="446">
        <v>396</v>
      </c>
      <c r="C993" s="414" t="s">
        <v>1076</v>
      </c>
      <c r="D993" s="415">
        <f t="shared" si="291"/>
        <v>253134.72</v>
      </c>
      <c r="E993" s="417">
        <v>0</v>
      </c>
      <c r="F993" s="417">
        <v>0</v>
      </c>
      <c r="G993" s="415">
        <f t="shared" si="292"/>
        <v>253134.72</v>
      </c>
      <c r="H993" s="418"/>
      <c r="I993" s="415">
        <f t="shared" si="293"/>
        <v>199321.72</v>
      </c>
      <c r="J993" s="442">
        <f t="shared" si="294"/>
        <v>0</v>
      </c>
      <c r="K993" s="418">
        <f t="shared" si="298"/>
        <v>0</v>
      </c>
      <c r="L993" s="418">
        <f t="shared" si="295"/>
        <v>0</v>
      </c>
      <c r="M993" s="417">
        <v>0</v>
      </c>
      <c r="N993" s="408">
        <f t="shared" si="296"/>
        <v>199321.72</v>
      </c>
    </row>
    <row r="994" spans="1:15" x14ac:dyDescent="0.2">
      <c r="A994" s="410">
        <f t="shared" si="297"/>
        <v>28</v>
      </c>
      <c r="B994" s="446">
        <v>398</v>
      </c>
      <c r="C994" s="414" t="s">
        <v>1077</v>
      </c>
      <c r="D994" s="421">
        <f t="shared" si="291"/>
        <v>191927.94</v>
      </c>
      <c r="E994" s="1662">
        <v>38201</v>
      </c>
      <c r="F994" s="1662">
        <v>-4584</v>
      </c>
      <c r="G994" s="421">
        <f t="shared" si="292"/>
        <v>225544.94</v>
      </c>
      <c r="H994" s="447"/>
      <c r="I994" s="421">
        <f t="shared" si="293"/>
        <v>11349.59</v>
      </c>
      <c r="J994" s="442">
        <f t="shared" si="294"/>
        <v>6.6699999999999995E-2</v>
      </c>
      <c r="K994" s="421">
        <f t="shared" si="298"/>
        <v>1160</v>
      </c>
      <c r="L994" s="421">
        <f t="shared" si="295"/>
        <v>4584</v>
      </c>
      <c r="M994" s="430">
        <v>0</v>
      </c>
      <c r="N994" s="423">
        <f t="shared" si="296"/>
        <v>7925.59</v>
      </c>
    </row>
    <row r="995" spans="1:15" x14ac:dyDescent="0.2">
      <c r="A995" s="410">
        <f t="shared" si="297"/>
        <v>29</v>
      </c>
      <c r="C995" s="386" t="s">
        <v>1078</v>
      </c>
      <c r="D995" s="447">
        <f>SUM(D981:D994)</f>
        <v>5299880.2799999993</v>
      </c>
      <c r="E995" s="447">
        <f>SUM(E981:E994)</f>
        <v>31282</v>
      </c>
      <c r="F995" s="447">
        <f>SUM(F981:F994)</f>
        <v>-3754</v>
      </c>
      <c r="G995" s="447">
        <f>SUM(G981:G994)</f>
        <v>5327408.2799999993</v>
      </c>
      <c r="H995" s="447"/>
      <c r="I995" s="447">
        <f>SUM(I981:I994)</f>
        <v>2154355.27</v>
      </c>
      <c r="J995" s="424"/>
      <c r="K995" s="447">
        <f>SUM(K981:K994)</f>
        <v>29257</v>
      </c>
      <c r="L995" s="447">
        <f>SUM(L981:L994)</f>
        <v>3754</v>
      </c>
      <c r="M995" s="447">
        <f>SUM(M981:M994)</f>
        <v>0</v>
      </c>
      <c r="N995" s="447">
        <f>SUM(N981:N994)</f>
        <v>2179858.27</v>
      </c>
    </row>
    <row r="996" spans="1:15" x14ac:dyDescent="0.2">
      <c r="D996" s="418"/>
      <c r="E996" s="418"/>
      <c r="F996" s="418"/>
      <c r="G996" s="418"/>
      <c r="H996" s="418"/>
      <c r="I996" s="418"/>
      <c r="J996" s="432"/>
      <c r="K996" s="418"/>
      <c r="L996" s="418"/>
      <c r="M996" s="418"/>
    </row>
    <row r="997" spans="1:15" x14ac:dyDescent="0.2">
      <c r="A997" s="405">
        <f>A995+1</f>
        <v>30</v>
      </c>
      <c r="B997" s="448"/>
      <c r="C997" s="411" t="s">
        <v>2287</v>
      </c>
      <c r="D997" s="418"/>
      <c r="E997" s="418"/>
      <c r="F997" s="418"/>
      <c r="G997" s="418"/>
      <c r="H997" s="418"/>
      <c r="I997" s="439"/>
      <c r="J997" s="418"/>
      <c r="K997" s="418"/>
      <c r="L997" s="418"/>
      <c r="M997" s="418"/>
    </row>
    <row r="998" spans="1:15" x14ac:dyDescent="0.2">
      <c r="A998" s="1722">
        <f>A997+1</f>
        <v>31</v>
      </c>
      <c r="B998" s="446">
        <v>378.21</v>
      </c>
      <c r="C998" s="1725" t="s">
        <v>2244</v>
      </c>
      <c r="D998" s="415">
        <f>G892</f>
        <v>-777092</v>
      </c>
      <c r="E998" s="417">
        <v>0</v>
      </c>
      <c r="F998" s="417">
        <v>0</v>
      </c>
      <c r="G998" s="415">
        <f t="shared" ref="G998" si="299">SUM(D998:F998)</f>
        <v>-777092</v>
      </c>
      <c r="H998" s="418"/>
      <c r="I998" s="415">
        <f>N892</f>
        <v>-38077.863333333313</v>
      </c>
      <c r="J998" s="419" t="s">
        <v>1094</v>
      </c>
      <c r="K998" s="417">
        <v>-2158.5833333333321</v>
      </c>
      <c r="L998" s="418">
        <f t="shared" ref="L998" si="300">-F998</f>
        <v>0</v>
      </c>
      <c r="M998" s="417">
        <v>0</v>
      </c>
      <c r="N998" s="408">
        <f t="shared" ref="N998" si="301">I998+K998-L998+M998</f>
        <v>-40236.446666666641</v>
      </c>
      <c r="O998" s="408"/>
    </row>
    <row r="999" spans="1:15" x14ac:dyDescent="0.2">
      <c r="A999" s="1722"/>
      <c r="B999" s="446"/>
      <c r="C999" s="438"/>
      <c r="D999" s="415"/>
      <c r="E999" s="417"/>
      <c r="F999" s="417"/>
      <c r="G999" s="415"/>
      <c r="H999" s="418"/>
      <c r="I999" s="419"/>
      <c r="J999" s="419"/>
      <c r="K999" s="417"/>
      <c r="L999" s="418"/>
      <c r="M999" s="417"/>
      <c r="N999" s="408"/>
      <c r="O999" s="408"/>
    </row>
    <row r="1000" spans="1:15" x14ac:dyDescent="0.2">
      <c r="A1000" s="410">
        <f>A998+1</f>
        <v>32</v>
      </c>
      <c r="C1000" s="386" t="s">
        <v>774</v>
      </c>
      <c r="D1000" s="450">
        <f>D995+D978+D923+D919+D998</f>
        <v>417272620.36999989</v>
      </c>
      <c r="E1000" s="450">
        <f>E995+E978+E923+E919+E998</f>
        <v>2316514</v>
      </c>
      <c r="F1000" s="450">
        <f>F995+F978+F923+F919+F998</f>
        <v>-253727</v>
      </c>
      <c r="G1000" s="450">
        <f>G995+G978+G923+G919+G998</f>
        <v>419335407.36999989</v>
      </c>
      <c r="H1000" s="418"/>
      <c r="I1000" s="450">
        <f>I995+I978+I923+I919+I998</f>
        <v>145374807.39805293</v>
      </c>
      <c r="J1000" s="451"/>
      <c r="K1000" s="450">
        <f>K995+K978+K923+K919+K998</f>
        <v>784587.07058994798</v>
      </c>
      <c r="L1000" s="450">
        <f>L995+L978+L923+L919+L998</f>
        <v>253727</v>
      </c>
      <c r="M1000" s="450">
        <f>M995+M978+M923+M919+M998</f>
        <v>-61002</v>
      </c>
      <c r="N1000" s="450">
        <f>N995+N978+N923+N919+N998</f>
        <v>145844665.46864286</v>
      </c>
    </row>
    <row r="1002" spans="1:15" x14ac:dyDescent="0.2">
      <c r="A1002" s="2073" t="str">
        <f>co</f>
        <v>COLUMBIA GAS OF KENTUCKY, INC.</v>
      </c>
      <c r="B1002" s="2073"/>
      <c r="C1002" s="2073"/>
      <c r="D1002" s="2073"/>
      <c r="E1002" s="2073"/>
      <c r="F1002" s="2073"/>
      <c r="G1002" s="2073"/>
      <c r="H1002" s="2073"/>
      <c r="I1002" s="2073"/>
      <c r="J1002" s="2073"/>
      <c r="K1002" s="2073"/>
      <c r="L1002" s="2073"/>
      <c r="M1002" s="2073"/>
      <c r="N1002" s="2073"/>
    </row>
    <row r="1003" spans="1:15" x14ac:dyDescent="0.2">
      <c r="A1003" s="2073" t="str">
        <f>case</f>
        <v>CASE NO. 2016 - 00162</v>
      </c>
      <c r="B1003" s="2073"/>
      <c r="C1003" s="2073"/>
      <c r="D1003" s="2073"/>
      <c r="E1003" s="2073"/>
      <c r="F1003" s="2073"/>
      <c r="G1003" s="2073"/>
      <c r="H1003" s="2073"/>
      <c r="I1003" s="2073"/>
      <c r="J1003" s="2073"/>
      <c r="K1003" s="2073"/>
      <c r="L1003" s="2073"/>
      <c r="M1003" s="2073"/>
      <c r="N1003" s="2073"/>
    </row>
    <row r="1004" spans="1:15" x14ac:dyDescent="0.2">
      <c r="A1004" s="2074" t="s">
        <v>1106</v>
      </c>
      <c r="B1004" s="2073"/>
      <c r="C1004" s="2073"/>
      <c r="D1004" s="2073"/>
      <c r="E1004" s="2073"/>
      <c r="F1004" s="2073"/>
      <c r="G1004" s="2073"/>
      <c r="H1004" s="2073"/>
      <c r="I1004" s="2073"/>
      <c r="J1004" s="2073"/>
      <c r="K1004" s="2073"/>
      <c r="L1004" s="2073"/>
      <c r="M1004" s="2073"/>
      <c r="N1004" s="2073"/>
    </row>
    <row r="1005" spans="1:15" x14ac:dyDescent="0.2">
      <c r="A1005" s="2078" t="s">
        <v>2142</v>
      </c>
      <c r="B1005" s="2078"/>
      <c r="C1005" s="2078"/>
      <c r="D1005" s="2078"/>
      <c r="E1005" s="2078"/>
      <c r="F1005" s="2078"/>
      <c r="G1005" s="2078"/>
      <c r="H1005" s="2078"/>
      <c r="I1005" s="2078"/>
      <c r="J1005" s="2078"/>
      <c r="K1005" s="2078"/>
      <c r="L1005" s="2078"/>
      <c r="M1005" s="2078"/>
      <c r="N1005" s="2078"/>
    </row>
    <row r="1007" spans="1:15" x14ac:dyDescent="0.2">
      <c r="A1007" s="385" t="s">
        <v>1095</v>
      </c>
      <c r="I1007" s="386"/>
      <c r="N1007" s="387" t="s">
        <v>763</v>
      </c>
    </row>
    <row r="1008" spans="1:15" x14ac:dyDescent="0.2">
      <c r="A1008" s="388" t="s">
        <v>977</v>
      </c>
      <c r="I1008" s="386"/>
      <c r="N1008" s="387" t="s">
        <v>998</v>
      </c>
    </row>
    <row r="1009" spans="1:14" x14ac:dyDescent="0.2">
      <c r="A1009" s="390" t="s">
        <v>997</v>
      </c>
      <c r="B1009" s="391"/>
      <c r="C1009" s="391"/>
      <c r="D1009" s="391"/>
      <c r="E1009" s="391"/>
      <c r="F1009" s="391"/>
      <c r="G1009" s="391"/>
      <c r="H1009" s="391"/>
      <c r="I1009" s="392"/>
      <c r="L1009" s="386"/>
      <c r="M1009" s="386"/>
      <c r="N1009" s="393" t="str">
        <f>SMK</f>
        <v>WITNESS:  S. M. KATKO</v>
      </c>
    </row>
    <row r="1010" spans="1:14" x14ac:dyDescent="0.2">
      <c r="A1010" s="390"/>
      <c r="B1010" s="391"/>
      <c r="C1010" s="391"/>
      <c r="D1010" s="391"/>
      <c r="E1010" s="391"/>
      <c r="F1010" s="391"/>
      <c r="G1010" s="391"/>
      <c r="H1010" s="391"/>
      <c r="I1010" s="392"/>
      <c r="J1010" s="393"/>
      <c r="L1010" s="386"/>
      <c r="M1010" s="386"/>
    </row>
    <row r="1011" spans="1:14" x14ac:dyDescent="0.2">
      <c r="A1011" s="390"/>
      <c r="B1011" s="391"/>
      <c r="C1011" s="391"/>
      <c r="D1011" s="2075" t="s">
        <v>1088</v>
      </c>
      <c r="E1011" s="2075"/>
      <c r="F1011" s="2075"/>
      <c r="G1011" s="2075"/>
      <c r="H1011" s="391"/>
      <c r="I1011" s="2076" t="s">
        <v>1093</v>
      </c>
      <c r="J1011" s="2077"/>
      <c r="K1011" s="2077"/>
      <c r="L1011" s="2077"/>
      <c r="M1011" s="2077"/>
      <c r="N1011" s="2077"/>
    </row>
    <row r="1012" spans="1:14" x14ac:dyDescent="0.2">
      <c r="A1012" s="394"/>
      <c r="B1012" s="391"/>
      <c r="C1012" s="391"/>
      <c r="D1012" s="396" t="s">
        <v>1084</v>
      </c>
      <c r="E1012" s="391"/>
      <c r="F1012" s="391"/>
      <c r="G1012" s="395"/>
      <c r="H1012" s="395"/>
      <c r="I1012" s="397" t="s">
        <v>1089</v>
      </c>
      <c r="J1012" s="396"/>
      <c r="M1012" s="386"/>
    </row>
    <row r="1013" spans="1:14" x14ac:dyDescent="0.2">
      <c r="A1013" s="383"/>
      <c r="D1013" s="397" t="s">
        <v>865</v>
      </c>
      <c r="G1013" s="397" t="s">
        <v>867</v>
      </c>
      <c r="H1013" s="398"/>
      <c r="I1013" s="397" t="s">
        <v>865</v>
      </c>
      <c r="J1013" s="397" t="s">
        <v>956</v>
      </c>
      <c r="M1013" s="386"/>
      <c r="N1013" s="397" t="s">
        <v>867</v>
      </c>
    </row>
    <row r="1014" spans="1:14" x14ac:dyDescent="0.2">
      <c r="A1014" s="397" t="s">
        <v>1080</v>
      </c>
      <c r="B1014" s="397" t="s">
        <v>1082</v>
      </c>
      <c r="D1014" s="397" t="s">
        <v>867</v>
      </c>
      <c r="G1014" s="399" t="s">
        <v>1087</v>
      </c>
      <c r="H1014" s="398"/>
      <c r="I1014" s="399" t="s">
        <v>867</v>
      </c>
      <c r="J1014" s="397" t="s">
        <v>1090</v>
      </c>
      <c r="K1014" s="397" t="s">
        <v>956</v>
      </c>
      <c r="M1014" s="399" t="s">
        <v>1092</v>
      </c>
      <c r="N1014" s="399" t="s">
        <v>1087</v>
      </c>
    </row>
    <row r="1015" spans="1:14" x14ac:dyDescent="0.2">
      <c r="A1015" s="400" t="s">
        <v>1081</v>
      </c>
      <c r="B1015" s="400" t="s">
        <v>1081</v>
      </c>
      <c r="C1015" s="401" t="s">
        <v>1083</v>
      </c>
      <c r="D1015" s="409" t="str">
        <f>"11/30/2016"</f>
        <v>11/30/2016</v>
      </c>
      <c r="E1015" s="400" t="s">
        <v>1085</v>
      </c>
      <c r="F1015" s="400" t="s">
        <v>1086</v>
      </c>
      <c r="G1015" s="409" t="str">
        <f>"12/31/2016"</f>
        <v>12/31/2016</v>
      </c>
      <c r="H1015" s="398"/>
      <c r="I1015" s="404" t="str">
        <f>D1015</f>
        <v>11/30/2016</v>
      </c>
      <c r="J1015" s="400" t="s">
        <v>1091</v>
      </c>
      <c r="K1015" s="402" t="s">
        <v>1090</v>
      </c>
      <c r="L1015" s="402" t="s">
        <v>1086</v>
      </c>
      <c r="M1015" s="402" t="s">
        <v>955</v>
      </c>
      <c r="N1015" s="404" t="str">
        <f>G1015</f>
        <v>12/31/2016</v>
      </c>
    </row>
    <row r="1016" spans="1:14" x14ac:dyDescent="0.2">
      <c r="A1016" s="406"/>
      <c r="B1016" s="406"/>
      <c r="C1016" s="406"/>
      <c r="D1016" s="406" t="str">
        <f>"(1)"</f>
        <v>(1)</v>
      </c>
      <c r="E1016" s="406" t="str">
        <f>"(2)"</f>
        <v>(2)</v>
      </c>
      <c r="F1016" s="406" t="str">
        <f>"(3)"</f>
        <v>(3)</v>
      </c>
      <c r="G1016" s="406" t="str">
        <f>"(4)=(1+2+3)"</f>
        <v>(4)=(1+2+3)</v>
      </c>
      <c r="H1016" s="406"/>
      <c r="I1016" s="406" t="str">
        <f>"(5)"</f>
        <v>(5)</v>
      </c>
      <c r="J1016" s="406" t="str">
        <f>"(6)"</f>
        <v>(6)</v>
      </c>
      <c r="K1016" s="406" t="str">
        <f>"(7)=((1+4)/2*6/12))"</f>
        <v>(7)=((1+4)/2*6/12))</v>
      </c>
      <c r="L1016" s="406" t="str">
        <f>"(8)"</f>
        <v>(8)</v>
      </c>
      <c r="M1016" s="406" t="str">
        <f>"(9)"</f>
        <v>(9)</v>
      </c>
      <c r="N1016" s="406" t="str">
        <f>"(10)=(5+7-8+9)"</f>
        <v>(10)=(5+7-8+9)</v>
      </c>
    </row>
    <row r="1017" spans="1:14" x14ac:dyDescent="0.2">
      <c r="D1017" s="410" t="s">
        <v>639</v>
      </c>
      <c r="E1017" s="410" t="s">
        <v>639</v>
      </c>
      <c r="F1017" s="410" t="s">
        <v>639</v>
      </c>
      <c r="G1017" s="410" t="s">
        <v>639</v>
      </c>
      <c r="H1017" s="410"/>
      <c r="I1017" s="410" t="s">
        <v>639</v>
      </c>
      <c r="J1017" s="410" t="s">
        <v>639</v>
      </c>
      <c r="K1017" s="410" t="s">
        <v>639</v>
      </c>
      <c r="L1017" s="410" t="s">
        <v>639</v>
      </c>
      <c r="M1017" s="410" t="s">
        <v>639</v>
      </c>
      <c r="N1017" s="410" t="s">
        <v>639</v>
      </c>
    </row>
    <row r="1018" spans="1:14" x14ac:dyDescent="0.2">
      <c r="A1018" s="410">
        <v>1</v>
      </c>
      <c r="B1018" s="411" t="s">
        <v>1025</v>
      </c>
      <c r="C1018" s="412"/>
      <c r="M1018" s="386"/>
    </row>
    <row r="1019" spans="1:14" x14ac:dyDescent="0.2">
      <c r="A1019" s="410">
        <f>A1018+1</f>
        <v>2</v>
      </c>
      <c r="C1019" s="411" t="s">
        <v>697</v>
      </c>
      <c r="M1019" s="386"/>
    </row>
    <row r="1020" spans="1:14" x14ac:dyDescent="0.2">
      <c r="A1020" s="410">
        <f t="shared" ref="A1020:A1025" si="302">A1019+1</f>
        <v>3</v>
      </c>
      <c r="B1020" s="413">
        <v>301</v>
      </c>
      <c r="C1020" s="414" t="s">
        <v>1026</v>
      </c>
      <c r="D1020" s="415">
        <f>G914</f>
        <v>521.20000000000005</v>
      </c>
      <c r="E1020" s="417">
        <v>0</v>
      </c>
      <c r="F1020" s="417">
        <v>0</v>
      </c>
      <c r="G1020" s="415">
        <f>SUM(D1020:F1020)</f>
        <v>521.20000000000005</v>
      </c>
      <c r="H1020" s="418"/>
      <c r="I1020" s="415">
        <f>N914</f>
        <v>0</v>
      </c>
      <c r="J1020" s="419" t="s">
        <v>1094</v>
      </c>
      <c r="K1020" s="417">
        <v>0</v>
      </c>
      <c r="L1020" s="418">
        <f>-F1020</f>
        <v>0</v>
      </c>
      <c r="M1020" s="417">
        <v>0</v>
      </c>
      <c r="N1020" s="408">
        <f>I1020+K1020-L1020+M1020</f>
        <v>0</v>
      </c>
    </row>
    <row r="1021" spans="1:14" x14ac:dyDescent="0.2">
      <c r="A1021" s="410">
        <f t="shared" si="302"/>
        <v>4</v>
      </c>
      <c r="B1021" s="413">
        <v>303</v>
      </c>
      <c r="C1021" s="414" t="s">
        <v>1027</v>
      </c>
      <c r="D1021" s="415">
        <f>G915</f>
        <v>74347.509999999995</v>
      </c>
      <c r="E1021" s="417">
        <v>0</v>
      </c>
      <c r="F1021" s="417">
        <v>0</v>
      </c>
      <c r="G1021" s="415">
        <f>SUM(D1021:F1021)</f>
        <v>74347.509999999995</v>
      </c>
      <c r="H1021" s="418"/>
      <c r="I1021" s="415">
        <f>N915</f>
        <v>47658.109999999971</v>
      </c>
      <c r="J1021" s="419" t="s">
        <v>1094</v>
      </c>
      <c r="K1021" s="415">
        <f>'Intangible Amort.'!Q$20</f>
        <v>206.52</v>
      </c>
      <c r="L1021" s="418">
        <f>-F1021</f>
        <v>0</v>
      </c>
      <c r="M1021" s="417">
        <v>0</v>
      </c>
      <c r="N1021" s="408">
        <f>I1021+K1021-L1021+M1021</f>
        <v>47864.629999999968</v>
      </c>
    </row>
    <row r="1022" spans="1:14" x14ac:dyDescent="0.2">
      <c r="A1022" s="410">
        <f t="shared" si="302"/>
        <v>5</v>
      </c>
      <c r="B1022" s="413">
        <v>303.10000000000002</v>
      </c>
      <c r="C1022" s="414" t="s">
        <v>1028</v>
      </c>
      <c r="D1022" s="415">
        <f>G916</f>
        <v>0</v>
      </c>
      <c r="E1022" s="417">
        <v>0</v>
      </c>
      <c r="F1022" s="417">
        <v>0</v>
      </c>
      <c r="G1022" s="415">
        <f>SUM(D1022:F1022)</f>
        <v>0</v>
      </c>
      <c r="H1022" s="418"/>
      <c r="I1022" s="415">
        <f>N916</f>
        <v>0</v>
      </c>
      <c r="J1022" s="419" t="s">
        <v>1094</v>
      </c>
      <c r="K1022" s="417">
        <v>0</v>
      </c>
      <c r="L1022" s="418">
        <f>-F1022</f>
        <v>0</v>
      </c>
      <c r="M1022" s="417">
        <v>0</v>
      </c>
      <c r="N1022" s="408">
        <f>I1022+K1022-L1022+M1022</f>
        <v>0</v>
      </c>
    </row>
    <row r="1023" spans="1:14" x14ac:dyDescent="0.2">
      <c r="A1023" s="410">
        <f t="shared" si="302"/>
        <v>6</v>
      </c>
      <c r="B1023" s="413">
        <v>303.2</v>
      </c>
      <c r="C1023" s="414" t="s">
        <v>1029</v>
      </c>
      <c r="D1023" s="415">
        <f>G917</f>
        <v>0</v>
      </c>
      <c r="E1023" s="417">
        <v>0</v>
      </c>
      <c r="F1023" s="417">
        <v>0</v>
      </c>
      <c r="G1023" s="415">
        <f>SUM(D1023:F1023)</f>
        <v>0</v>
      </c>
      <c r="H1023" s="418"/>
      <c r="I1023" s="415">
        <f>N917</f>
        <v>0</v>
      </c>
      <c r="J1023" s="419" t="s">
        <v>1094</v>
      </c>
      <c r="K1023" s="417">
        <v>0</v>
      </c>
      <c r="L1023" s="418">
        <f>-F1023</f>
        <v>0</v>
      </c>
      <c r="M1023" s="417">
        <v>0</v>
      </c>
      <c r="N1023" s="408">
        <f>I1023+K1023-L1023+M1023</f>
        <v>0</v>
      </c>
    </row>
    <row r="1024" spans="1:14" x14ac:dyDescent="0.2">
      <c r="A1024" s="410">
        <f t="shared" si="302"/>
        <v>7</v>
      </c>
      <c r="B1024" s="413">
        <v>303.3</v>
      </c>
      <c r="C1024" s="414" t="s">
        <v>1030</v>
      </c>
      <c r="D1024" s="421">
        <f>G918</f>
        <v>6628568</v>
      </c>
      <c r="E1024" s="422">
        <v>202118</v>
      </c>
      <c r="F1024" s="422">
        <v>0</v>
      </c>
      <c r="G1024" s="421">
        <f>SUM(D1024:F1024)</f>
        <v>6830686</v>
      </c>
      <c r="H1024" s="418"/>
      <c r="I1024" s="421">
        <f>N918</f>
        <v>2810690.3100463734</v>
      </c>
      <c r="J1024" s="419" t="s">
        <v>1094</v>
      </c>
      <c r="K1024" s="421">
        <f>'Intangible Amort.'!Q$93</f>
        <v>85507.858133807546</v>
      </c>
      <c r="L1024" s="421">
        <f>-F1024</f>
        <v>0</v>
      </c>
      <c r="M1024" s="422">
        <v>0</v>
      </c>
      <c r="N1024" s="423">
        <f>I1024+K1024-L1024+M1024</f>
        <v>2896198.1681801807</v>
      </c>
    </row>
    <row r="1025" spans="1:14" x14ac:dyDescent="0.2">
      <c r="A1025" s="410">
        <f t="shared" si="302"/>
        <v>8</v>
      </c>
      <c r="B1025" s="413"/>
      <c r="C1025" s="414" t="s">
        <v>1031</v>
      </c>
      <c r="D1025" s="418">
        <f>SUM(D1020:D1024)</f>
        <v>6703436.71</v>
      </c>
      <c r="E1025" s="418">
        <f>SUM(E1020:E1024)</f>
        <v>202118</v>
      </c>
      <c r="F1025" s="418">
        <f>SUM(F1020:F1024)</f>
        <v>0</v>
      </c>
      <c r="G1025" s="418">
        <f>SUM(G1020:G1024)</f>
        <v>6905554.71</v>
      </c>
      <c r="H1025" s="418"/>
      <c r="I1025" s="418">
        <f>SUM(I1020:I1024)</f>
        <v>2858348.4200463733</v>
      </c>
      <c r="J1025" s="424"/>
      <c r="K1025" s="418">
        <f>SUM(K1020:K1024)</f>
        <v>85714.37813380755</v>
      </c>
      <c r="L1025" s="418">
        <f>SUM(L1020:L1024)</f>
        <v>0</v>
      </c>
      <c r="M1025" s="418">
        <f>SUM(M1020:M1024)</f>
        <v>0</v>
      </c>
      <c r="N1025" s="418">
        <f>SUM(N1020:N1024)</f>
        <v>2944062.7981801806</v>
      </c>
    </row>
    <row r="1026" spans="1:14" x14ac:dyDescent="0.2">
      <c r="B1026" s="425"/>
      <c r="D1026" s="418"/>
      <c r="E1026" s="418"/>
      <c r="F1026" s="418"/>
      <c r="G1026" s="418"/>
      <c r="H1026" s="418"/>
      <c r="I1026" s="418"/>
      <c r="J1026" s="424"/>
      <c r="K1026" s="418"/>
      <c r="L1026" s="418"/>
      <c r="M1026" s="418"/>
    </row>
    <row r="1027" spans="1:14" x14ac:dyDescent="0.2">
      <c r="A1027" s="410">
        <f>A1025+1</f>
        <v>9</v>
      </c>
      <c r="B1027" s="425"/>
      <c r="C1027" s="411" t="s">
        <v>704</v>
      </c>
      <c r="D1027" s="418"/>
      <c r="E1027" s="418"/>
      <c r="F1027" s="418"/>
      <c r="G1027" s="418"/>
      <c r="H1027" s="418"/>
      <c r="I1027" s="418"/>
      <c r="J1027" s="424"/>
      <c r="K1027" s="418"/>
      <c r="L1027" s="418"/>
      <c r="M1027" s="418"/>
    </row>
    <row r="1028" spans="1:14" x14ac:dyDescent="0.2">
      <c r="A1028" s="410">
        <f>A1027+1</f>
        <v>10</v>
      </c>
      <c r="B1028" s="426">
        <v>304.10000000000002</v>
      </c>
      <c r="C1028" s="427" t="s">
        <v>1032</v>
      </c>
      <c r="D1028" s="421">
        <f>G922</f>
        <v>0</v>
      </c>
      <c r="E1028" s="1662">
        <v>0</v>
      </c>
      <c r="F1028" s="1662">
        <v>0</v>
      </c>
      <c r="G1028" s="421">
        <f>SUM(D1028:F1028)</f>
        <v>0</v>
      </c>
      <c r="H1028" s="418"/>
      <c r="I1028" s="421">
        <f>N922</f>
        <v>0</v>
      </c>
      <c r="J1028" s="429" t="s">
        <v>1102</v>
      </c>
      <c r="K1028" s="430">
        <v>0</v>
      </c>
      <c r="L1028" s="421">
        <f>-F1028</f>
        <v>0</v>
      </c>
      <c r="M1028" s="422">
        <v>0</v>
      </c>
      <c r="N1028" s="423">
        <f>I1028+K1028-L1028+M1028</f>
        <v>0</v>
      </c>
    </row>
    <row r="1029" spans="1:14" x14ac:dyDescent="0.2">
      <c r="A1029" s="410">
        <f>A1028+1</f>
        <v>11</v>
      </c>
      <c r="B1029" s="426"/>
      <c r="C1029" s="431" t="s">
        <v>1079</v>
      </c>
      <c r="D1029" s="418">
        <f>D1028</f>
        <v>0</v>
      </c>
      <c r="E1029" s="418">
        <f>E1028</f>
        <v>0</v>
      </c>
      <c r="F1029" s="418">
        <f>F1028</f>
        <v>0</v>
      </c>
      <c r="G1029" s="418">
        <f>G1028</f>
        <v>0</v>
      </c>
      <c r="H1029" s="418"/>
      <c r="I1029" s="418">
        <f>I1028</f>
        <v>0</v>
      </c>
      <c r="J1029" s="432"/>
      <c r="K1029" s="418">
        <f>SUM(K1028)</f>
        <v>0</v>
      </c>
      <c r="L1029" s="418">
        <f>SUM(L1028)</f>
        <v>0</v>
      </c>
      <c r="M1029" s="418">
        <f>M1028</f>
        <v>0</v>
      </c>
      <c r="N1029" s="418">
        <f>N1028</f>
        <v>0</v>
      </c>
    </row>
    <row r="1030" spans="1:14" x14ac:dyDescent="0.2">
      <c r="B1030" s="425"/>
      <c r="D1030" s="418"/>
      <c r="E1030" s="418"/>
      <c r="F1030" s="418"/>
      <c r="G1030" s="418"/>
      <c r="H1030" s="418"/>
      <c r="I1030" s="418"/>
      <c r="J1030" s="432"/>
      <c r="K1030" s="418"/>
      <c r="L1030" s="418"/>
      <c r="M1030" s="418"/>
    </row>
    <row r="1031" spans="1:14" x14ac:dyDescent="0.2">
      <c r="A1031" s="410">
        <f>A1029+1</f>
        <v>12</v>
      </c>
      <c r="B1031" s="425"/>
      <c r="C1031" s="411" t="s">
        <v>707</v>
      </c>
      <c r="D1031" s="418"/>
      <c r="E1031" s="418"/>
      <c r="F1031" s="418"/>
      <c r="G1031" s="418"/>
      <c r="H1031" s="418"/>
      <c r="I1031" s="418"/>
      <c r="J1031" s="432"/>
      <c r="K1031" s="418"/>
      <c r="L1031" s="418"/>
      <c r="M1031" s="418"/>
    </row>
    <row r="1032" spans="1:14" x14ac:dyDescent="0.2">
      <c r="A1032" s="410">
        <f>A1031+1</f>
        <v>13</v>
      </c>
      <c r="B1032" s="413">
        <v>374.1</v>
      </c>
      <c r="C1032" s="414" t="s">
        <v>1035</v>
      </c>
      <c r="D1032" s="415">
        <f t="shared" ref="D1032:D1042" si="303">G926</f>
        <v>206</v>
      </c>
      <c r="E1032" s="417">
        <v>0</v>
      </c>
      <c r="F1032" s="417">
        <v>0</v>
      </c>
      <c r="G1032" s="415">
        <f>SUM(D1032:F1032)</f>
        <v>206</v>
      </c>
      <c r="H1032" s="418"/>
      <c r="I1032" s="415">
        <f t="shared" ref="I1032:I1042" si="304">N926</f>
        <v>0</v>
      </c>
      <c r="J1032" s="429" t="s">
        <v>1102</v>
      </c>
      <c r="K1032" s="417">
        <v>0</v>
      </c>
      <c r="L1032" s="418">
        <f t="shared" ref="L1032:L1042" si="305">-F1032</f>
        <v>0</v>
      </c>
      <c r="M1032" s="417">
        <v>0</v>
      </c>
      <c r="N1032" s="408">
        <f t="shared" ref="N1032:N1042" si="306">I1032+K1032-L1032+M1032</f>
        <v>0</v>
      </c>
    </row>
    <row r="1033" spans="1:14" x14ac:dyDescent="0.2">
      <c r="A1033" s="410">
        <f t="shared" ref="A1033:A1053" si="307">A1032+1</f>
        <v>14</v>
      </c>
      <c r="B1033" s="413">
        <v>374.2</v>
      </c>
      <c r="C1033" s="414" t="s">
        <v>1036</v>
      </c>
      <c r="D1033" s="415">
        <f t="shared" si="303"/>
        <v>877756.18</v>
      </c>
      <c r="E1033" s="417">
        <v>0</v>
      </c>
      <c r="F1033" s="417">
        <v>0</v>
      </c>
      <c r="G1033" s="415">
        <f t="shared" ref="G1033:G1042" si="308">SUM(D1033:F1033)</f>
        <v>877756.18</v>
      </c>
      <c r="H1033" s="418"/>
      <c r="I1033" s="415">
        <f t="shared" si="304"/>
        <v>-523.13</v>
      </c>
      <c r="J1033" s="429" t="s">
        <v>1102</v>
      </c>
      <c r="K1033" s="417">
        <v>0</v>
      </c>
      <c r="L1033" s="418">
        <f t="shared" si="305"/>
        <v>0</v>
      </c>
      <c r="M1033" s="417">
        <v>0</v>
      </c>
      <c r="N1033" s="408">
        <f t="shared" si="306"/>
        <v>-523.13</v>
      </c>
    </row>
    <row r="1034" spans="1:14" x14ac:dyDescent="0.2">
      <c r="A1034" s="410">
        <f t="shared" si="307"/>
        <v>15</v>
      </c>
      <c r="B1034" s="413">
        <v>374.4</v>
      </c>
      <c r="C1034" s="414" t="s">
        <v>1037</v>
      </c>
      <c r="D1034" s="415">
        <f t="shared" si="303"/>
        <v>661305.66</v>
      </c>
      <c r="E1034" s="417">
        <v>0</v>
      </c>
      <c r="F1034" s="417">
        <v>0</v>
      </c>
      <c r="G1034" s="415">
        <f t="shared" si="308"/>
        <v>661305.66</v>
      </c>
      <c r="H1034" s="418"/>
      <c r="I1034" s="415">
        <f t="shared" si="304"/>
        <v>178040.36</v>
      </c>
      <c r="J1034" s="442">
        <f t="shared" ref="J1034:J1040" si="309">J928</f>
        <v>1.5299999999999999E-2</v>
      </c>
      <c r="K1034" s="418">
        <f>ROUND((G1034+D1034)/2*J1034/12,0)</f>
        <v>843</v>
      </c>
      <c r="L1034" s="418">
        <f t="shared" si="305"/>
        <v>0</v>
      </c>
      <c r="M1034" s="417">
        <v>0</v>
      </c>
      <c r="N1034" s="408">
        <f t="shared" si="306"/>
        <v>178883.36</v>
      </c>
    </row>
    <row r="1035" spans="1:14" x14ac:dyDescent="0.2">
      <c r="A1035" s="410">
        <f t="shared" si="307"/>
        <v>16</v>
      </c>
      <c r="B1035" s="413">
        <v>374.5</v>
      </c>
      <c r="C1035" s="414" t="s">
        <v>1038</v>
      </c>
      <c r="D1035" s="415">
        <f t="shared" si="303"/>
        <v>2702312.55</v>
      </c>
      <c r="E1035" s="417">
        <v>1659</v>
      </c>
      <c r="F1035" s="417">
        <v>-199</v>
      </c>
      <c r="G1035" s="415">
        <f t="shared" si="308"/>
        <v>2703772.55</v>
      </c>
      <c r="H1035" s="418"/>
      <c r="I1035" s="415">
        <f t="shared" si="304"/>
        <v>926279.23</v>
      </c>
      <c r="J1035" s="442">
        <f t="shared" si="309"/>
        <v>1.2200000000000001E-2</v>
      </c>
      <c r="K1035" s="418">
        <f t="shared" ref="K1035:K1040" si="310">ROUND((G1035+D1035)/2*J1035/12,0)</f>
        <v>2748</v>
      </c>
      <c r="L1035" s="418">
        <f t="shared" si="305"/>
        <v>199</v>
      </c>
      <c r="M1035" s="417">
        <v>0</v>
      </c>
      <c r="N1035" s="408">
        <f t="shared" si="306"/>
        <v>928828.23</v>
      </c>
    </row>
    <row r="1036" spans="1:14" x14ac:dyDescent="0.2">
      <c r="A1036" s="410">
        <f t="shared" si="307"/>
        <v>17</v>
      </c>
      <c r="B1036" s="413">
        <v>375.2</v>
      </c>
      <c r="C1036" s="414" t="s">
        <v>1039</v>
      </c>
      <c r="D1036" s="415">
        <f t="shared" si="303"/>
        <v>2124.98</v>
      </c>
      <c r="E1036" s="417">
        <v>0</v>
      </c>
      <c r="F1036" s="417">
        <v>0</v>
      </c>
      <c r="G1036" s="415">
        <f t="shared" si="308"/>
        <v>2124.98</v>
      </c>
      <c r="H1036" s="418"/>
      <c r="I1036" s="415">
        <f t="shared" si="304"/>
        <v>2024.32</v>
      </c>
      <c r="J1036" s="442">
        <f t="shared" si="309"/>
        <v>1.9599999999999999E-2</v>
      </c>
      <c r="K1036" s="418">
        <f t="shared" si="310"/>
        <v>3</v>
      </c>
      <c r="L1036" s="418">
        <f t="shared" si="305"/>
        <v>0</v>
      </c>
      <c r="M1036" s="417">
        <v>0</v>
      </c>
      <c r="N1036" s="408">
        <f t="shared" si="306"/>
        <v>2027.32</v>
      </c>
    </row>
    <row r="1037" spans="1:14" x14ac:dyDescent="0.2">
      <c r="A1037" s="410">
        <f t="shared" si="307"/>
        <v>18</v>
      </c>
      <c r="B1037" s="413">
        <v>375.3</v>
      </c>
      <c r="C1037" s="414" t="s">
        <v>1040</v>
      </c>
      <c r="D1037" s="415">
        <f t="shared" si="303"/>
        <v>0</v>
      </c>
      <c r="E1037" s="417">
        <v>0</v>
      </c>
      <c r="F1037" s="417">
        <v>0</v>
      </c>
      <c r="G1037" s="415">
        <f t="shared" si="308"/>
        <v>0</v>
      </c>
      <c r="H1037" s="418"/>
      <c r="I1037" s="415">
        <f t="shared" si="304"/>
        <v>-77.66</v>
      </c>
      <c r="J1037" s="442">
        <f t="shared" si="309"/>
        <v>1.9599999999999999E-2</v>
      </c>
      <c r="K1037" s="418">
        <f t="shared" si="310"/>
        <v>0</v>
      </c>
      <c r="L1037" s="418">
        <f t="shared" si="305"/>
        <v>0</v>
      </c>
      <c r="M1037" s="417">
        <v>0</v>
      </c>
      <c r="N1037" s="408">
        <f t="shared" si="306"/>
        <v>-77.66</v>
      </c>
    </row>
    <row r="1038" spans="1:14" x14ac:dyDescent="0.2">
      <c r="A1038" s="410">
        <f t="shared" si="307"/>
        <v>19</v>
      </c>
      <c r="B1038" s="413">
        <v>375.4</v>
      </c>
      <c r="C1038" s="414" t="s">
        <v>1041</v>
      </c>
      <c r="D1038" s="415">
        <f t="shared" si="303"/>
        <v>2054182.02</v>
      </c>
      <c r="E1038" s="417">
        <v>50282</v>
      </c>
      <c r="F1038" s="417">
        <v>-6034</v>
      </c>
      <c r="G1038" s="415">
        <f t="shared" si="308"/>
        <v>2098430.02</v>
      </c>
      <c r="H1038" s="418"/>
      <c r="I1038" s="415">
        <f t="shared" si="304"/>
        <v>487194.37</v>
      </c>
      <c r="J1038" s="442">
        <f t="shared" si="309"/>
        <v>1.9599999999999999E-2</v>
      </c>
      <c r="K1038" s="418">
        <f t="shared" si="310"/>
        <v>3391</v>
      </c>
      <c r="L1038" s="418">
        <f t="shared" si="305"/>
        <v>6034</v>
      </c>
      <c r="M1038" s="417">
        <v>-603</v>
      </c>
      <c r="N1038" s="408">
        <f t="shared" si="306"/>
        <v>483948.37</v>
      </c>
    </row>
    <row r="1039" spans="1:14" x14ac:dyDescent="0.2">
      <c r="A1039" s="410">
        <f t="shared" si="307"/>
        <v>20</v>
      </c>
      <c r="B1039" s="413">
        <v>375.6</v>
      </c>
      <c r="C1039" s="414" t="s">
        <v>1042</v>
      </c>
      <c r="D1039" s="415">
        <f t="shared" si="303"/>
        <v>0</v>
      </c>
      <c r="E1039" s="417">
        <v>0</v>
      </c>
      <c r="F1039" s="417">
        <v>0</v>
      </c>
      <c r="G1039" s="415">
        <f t="shared" si="308"/>
        <v>0</v>
      </c>
      <c r="H1039" s="418"/>
      <c r="I1039" s="415">
        <f t="shared" si="304"/>
        <v>0.02</v>
      </c>
      <c r="J1039" s="442">
        <f t="shared" si="309"/>
        <v>1.9599999999999999E-2</v>
      </c>
      <c r="K1039" s="418">
        <f t="shared" si="310"/>
        <v>0</v>
      </c>
      <c r="L1039" s="418">
        <f t="shared" si="305"/>
        <v>0</v>
      </c>
      <c r="M1039" s="417">
        <v>0</v>
      </c>
      <c r="N1039" s="408">
        <f t="shared" si="306"/>
        <v>0.02</v>
      </c>
    </row>
    <row r="1040" spans="1:14" x14ac:dyDescent="0.2">
      <c r="A1040" s="410">
        <f t="shared" si="307"/>
        <v>21</v>
      </c>
      <c r="B1040" s="413">
        <v>375.7</v>
      </c>
      <c r="C1040" s="414" t="s">
        <v>1043</v>
      </c>
      <c r="D1040" s="415">
        <f t="shared" si="303"/>
        <v>8203101.21</v>
      </c>
      <c r="E1040" s="417">
        <v>59601</v>
      </c>
      <c r="F1040" s="417">
        <v>-7152</v>
      </c>
      <c r="G1040" s="415">
        <f t="shared" si="308"/>
        <v>8255550.21</v>
      </c>
      <c r="H1040" s="418"/>
      <c r="I1040" s="415">
        <f t="shared" si="304"/>
        <v>3309703.06</v>
      </c>
      <c r="J1040" s="442">
        <f t="shared" si="309"/>
        <v>1.9900000000000001E-2</v>
      </c>
      <c r="K1040" s="418">
        <f t="shared" si="310"/>
        <v>13647</v>
      </c>
      <c r="L1040" s="418">
        <f t="shared" si="305"/>
        <v>7152</v>
      </c>
      <c r="M1040" s="417">
        <v>0</v>
      </c>
      <c r="N1040" s="408">
        <f t="shared" si="306"/>
        <v>3316198.06</v>
      </c>
    </row>
    <row r="1041" spans="1:14" x14ac:dyDescent="0.2">
      <c r="A1041" s="410">
        <f t="shared" si="307"/>
        <v>22</v>
      </c>
      <c r="B1041" s="413">
        <v>375.71</v>
      </c>
      <c r="C1041" s="414" t="s">
        <v>1044</v>
      </c>
      <c r="D1041" s="415">
        <f t="shared" si="303"/>
        <v>259808.94</v>
      </c>
      <c r="E1041" s="417">
        <v>0</v>
      </c>
      <c r="F1041" s="417">
        <v>0</v>
      </c>
      <c r="G1041" s="415">
        <f t="shared" si="308"/>
        <v>259808.94</v>
      </c>
      <c r="H1041" s="418"/>
      <c r="I1041" s="415">
        <f t="shared" si="304"/>
        <v>179941.505263158</v>
      </c>
      <c r="J1041" s="419" t="s">
        <v>1094</v>
      </c>
      <c r="K1041" s="417">
        <f>104653.88/38</f>
        <v>2754.0494736842106</v>
      </c>
      <c r="L1041" s="418">
        <f t="shared" si="305"/>
        <v>0</v>
      </c>
      <c r="M1041" s="417">
        <v>0</v>
      </c>
      <c r="N1041" s="408">
        <f t="shared" si="306"/>
        <v>182695.55473684223</v>
      </c>
    </row>
    <row r="1042" spans="1:14" x14ac:dyDescent="0.2">
      <c r="A1042" s="410">
        <f t="shared" si="307"/>
        <v>23</v>
      </c>
      <c r="B1042" s="413">
        <v>375.8</v>
      </c>
      <c r="C1042" s="414" t="s">
        <v>1045</v>
      </c>
      <c r="D1042" s="415">
        <f t="shared" si="303"/>
        <v>0</v>
      </c>
      <c r="E1042" s="417">
        <v>0</v>
      </c>
      <c r="F1042" s="417">
        <v>0</v>
      </c>
      <c r="G1042" s="415">
        <f t="shared" si="308"/>
        <v>0</v>
      </c>
      <c r="H1042" s="418"/>
      <c r="I1042" s="415">
        <f t="shared" si="304"/>
        <v>0</v>
      </c>
      <c r="J1042" s="442">
        <f>J936</f>
        <v>5.3199999999999997E-2</v>
      </c>
      <c r="K1042" s="417">
        <v>0</v>
      </c>
      <c r="L1042" s="418">
        <f t="shared" si="305"/>
        <v>0</v>
      </c>
      <c r="M1042" s="417">
        <v>0</v>
      </c>
      <c r="N1042" s="408">
        <f t="shared" si="306"/>
        <v>0</v>
      </c>
    </row>
    <row r="1043" spans="1:14" x14ac:dyDescent="0.2">
      <c r="A1043" s="410">
        <f>A1042+1</f>
        <v>24</v>
      </c>
      <c r="B1043" s="413">
        <v>376</v>
      </c>
      <c r="C1043" s="438" t="s">
        <v>1096</v>
      </c>
      <c r="D1043" s="415"/>
      <c r="E1043" s="417"/>
      <c r="F1043" s="417"/>
      <c r="G1043" s="415"/>
      <c r="H1043" s="418"/>
      <c r="I1043" s="439"/>
      <c r="J1043" s="432"/>
      <c r="K1043" s="418"/>
      <c r="L1043" s="418"/>
      <c r="M1043" s="417"/>
    </row>
    <row r="1044" spans="1:14" x14ac:dyDescent="0.2">
      <c r="A1044" s="410"/>
      <c r="B1044" s="413"/>
      <c r="C1044" s="440" t="s">
        <v>1097</v>
      </c>
      <c r="D1044" s="415"/>
      <c r="E1044" s="417"/>
      <c r="F1044" s="417"/>
      <c r="G1044" s="415"/>
      <c r="H1044" s="418"/>
      <c r="I1044" s="415"/>
      <c r="J1044" s="442"/>
      <c r="K1044" s="418"/>
      <c r="L1044" s="418"/>
      <c r="M1044" s="417"/>
      <c r="N1044" s="408"/>
    </row>
    <row r="1045" spans="1:14" x14ac:dyDescent="0.2">
      <c r="A1045" s="410"/>
      <c r="B1045" s="413"/>
      <c r="C1045" s="440" t="s">
        <v>1098</v>
      </c>
      <c r="D1045" s="415"/>
      <c r="E1045" s="417"/>
      <c r="F1045" s="417"/>
      <c r="G1045" s="415"/>
      <c r="H1045" s="418"/>
      <c r="I1045" s="415"/>
      <c r="J1045" s="442"/>
      <c r="K1045" s="418"/>
      <c r="L1045" s="418"/>
      <c r="M1045" s="417"/>
      <c r="N1045" s="408"/>
    </row>
    <row r="1046" spans="1:14" x14ac:dyDescent="0.2">
      <c r="A1046" s="410"/>
      <c r="B1046" s="413"/>
      <c r="C1046" s="440" t="s">
        <v>1099</v>
      </c>
      <c r="D1046" s="415"/>
      <c r="E1046" s="417"/>
      <c r="F1046" s="417"/>
      <c r="G1046" s="415"/>
      <c r="H1046" s="418"/>
      <c r="I1046" s="415"/>
      <c r="J1046" s="442"/>
      <c r="K1046" s="418"/>
      <c r="L1046" s="418"/>
      <c r="M1046" s="417"/>
      <c r="N1046" s="408"/>
    </row>
    <row r="1047" spans="1:14" x14ac:dyDescent="0.2">
      <c r="A1047" s="410"/>
      <c r="B1047" s="413"/>
      <c r="C1047" s="440" t="s">
        <v>1100</v>
      </c>
      <c r="D1047" s="415"/>
      <c r="E1047" s="417"/>
      <c r="F1047" s="417"/>
      <c r="G1047" s="415"/>
      <c r="H1047" s="418"/>
      <c r="I1047" s="415"/>
      <c r="J1047" s="442"/>
      <c r="K1047" s="418"/>
      <c r="L1047" s="418"/>
      <c r="M1047" s="417"/>
      <c r="N1047" s="408"/>
    </row>
    <row r="1048" spans="1:14" x14ac:dyDescent="0.2">
      <c r="A1048" s="410"/>
      <c r="B1048" s="413"/>
      <c r="C1048" s="440" t="s">
        <v>1101</v>
      </c>
      <c r="D1048" s="415">
        <f t="shared" ref="D1048:D1053" si="311">G942</f>
        <v>212491819.44</v>
      </c>
      <c r="E1048" s="417">
        <v>1008166</v>
      </c>
      <c r="F1048" s="417">
        <v>-120980</v>
      </c>
      <c r="G1048" s="415">
        <f t="shared" ref="G1048:G1053" si="312">SUM(D1048:F1048)</f>
        <v>213379005.44</v>
      </c>
      <c r="H1048" s="418"/>
      <c r="I1048" s="415">
        <f t="shared" ref="I1048:I1053" si="313">N942</f>
        <v>57315286.609999999</v>
      </c>
      <c r="J1048" s="442">
        <f t="shared" ref="J1048:J1053" si="314">J942</f>
        <v>1.5699999999999999E-2</v>
      </c>
      <c r="K1048" s="418">
        <f t="shared" ref="K1048:K1053" si="315">ROUND((G1048+D1048)/2*J1048/12,0)</f>
        <v>278590</v>
      </c>
      <c r="L1048" s="418">
        <f t="shared" ref="L1048:L1053" si="316">-F1048</f>
        <v>120980</v>
      </c>
      <c r="M1048" s="417">
        <v>-18147</v>
      </c>
      <c r="N1048" s="408">
        <f t="shared" ref="N1048:N1053" si="317">I1048+K1048-L1048+M1048</f>
        <v>57454749.609999999</v>
      </c>
    </row>
    <row r="1049" spans="1:14" x14ac:dyDescent="0.2">
      <c r="A1049" s="410">
        <f>A1043+1</f>
        <v>25</v>
      </c>
      <c r="B1049" s="413">
        <v>378.1</v>
      </c>
      <c r="C1049" s="414" t="s">
        <v>1047</v>
      </c>
      <c r="D1049" s="415">
        <f t="shared" si="311"/>
        <v>518504.18</v>
      </c>
      <c r="E1049" s="417">
        <v>0</v>
      </c>
      <c r="F1049" s="417">
        <v>0</v>
      </c>
      <c r="G1049" s="415">
        <f t="shared" si="312"/>
        <v>518504.18</v>
      </c>
      <c r="H1049" s="418"/>
      <c r="I1049" s="415">
        <f t="shared" si="313"/>
        <v>362446.81</v>
      </c>
      <c r="J1049" s="442">
        <f t="shared" si="314"/>
        <v>2.35E-2</v>
      </c>
      <c r="K1049" s="418">
        <f t="shared" si="315"/>
        <v>1015</v>
      </c>
      <c r="L1049" s="418">
        <f t="shared" si="316"/>
        <v>0</v>
      </c>
      <c r="M1049" s="417">
        <v>0</v>
      </c>
      <c r="N1049" s="408">
        <f t="shared" si="317"/>
        <v>363461.81</v>
      </c>
    </row>
    <row r="1050" spans="1:14" x14ac:dyDescent="0.2">
      <c r="A1050" s="410">
        <f t="shared" si="307"/>
        <v>26</v>
      </c>
      <c r="B1050" s="413">
        <v>378.2</v>
      </c>
      <c r="C1050" s="414" t="s">
        <v>1048</v>
      </c>
      <c r="D1050" s="415">
        <f t="shared" si="311"/>
        <v>9737438</v>
      </c>
      <c r="E1050" s="417">
        <v>52825</v>
      </c>
      <c r="F1050" s="417">
        <v>-6339</v>
      </c>
      <c r="G1050" s="415">
        <f t="shared" si="312"/>
        <v>9783924</v>
      </c>
      <c r="H1050" s="418"/>
      <c r="I1050" s="415">
        <f t="shared" si="313"/>
        <v>3356000.91</v>
      </c>
      <c r="J1050" s="442">
        <f t="shared" si="314"/>
        <v>2.35E-2</v>
      </c>
      <c r="K1050" s="418">
        <f t="shared" si="315"/>
        <v>19115</v>
      </c>
      <c r="L1050" s="418">
        <f t="shared" si="316"/>
        <v>6339</v>
      </c>
      <c r="M1050" s="417">
        <v>-317</v>
      </c>
      <c r="N1050" s="408">
        <f t="shared" si="317"/>
        <v>3368459.91</v>
      </c>
    </row>
    <row r="1051" spans="1:14" x14ac:dyDescent="0.2">
      <c r="A1051" s="410">
        <f t="shared" si="307"/>
        <v>27</v>
      </c>
      <c r="B1051" s="413">
        <v>378.3</v>
      </c>
      <c r="C1051" s="414" t="s">
        <v>1049</v>
      </c>
      <c r="D1051" s="415">
        <f t="shared" si="311"/>
        <v>45443.08</v>
      </c>
      <c r="E1051" s="417">
        <v>0</v>
      </c>
      <c r="F1051" s="417">
        <v>0</v>
      </c>
      <c r="G1051" s="415">
        <f t="shared" si="312"/>
        <v>45443.08</v>
      </c>
      <c r="H1051" s="418"/>
      <c r="I1051" s="415">
        <f t="shared" si="313"/>
        <v>35789.040000000001</v>
      </c>
      <c r="J1051" s="442">
        <f t="shared" si="314"/>
        <v>2.35E-2</v>
      </c>
      <c r="K1051" s="418">
        <f t="shared" si="315"/>
        <v>89</v>
      </c>
      <c r="L1051" s="418">
        <f t="shared" si="316"/>
        <v>0</v>
      </c>
      <c r="M1051" s="417">
        <v>0</v>
      </c>
      <c r="N1051" s="408">
        <f t="shared" si="317"/>
        <v>35878.04</v>
      </c>
    </row>
    <row r="1052" spans="1:14" x14ac:dyDescent="0.2">
      <c r="A1052" s="410">
        <f t="shared" si="307"/>
        <v>28</v>
      </c>
      <c r="B1052" s="413">
        <v>379.1</v>
      </c>
      <c r="C1052" s="414" t="s">
        <v>1050</v>
      </c>
      <c r="D1052" s="415">
        <f t="shared" si="311"/>
        <v>254900.59</v>
      </c>
      <c r="E1052" s="417">
        <v>0</v>
      </c>
      <c r="F1052" s="417">
        <v>0</v>
      </c>
      <c r="G1052" s="415">
        <f t="shared" si="312"/>
        <v>254900.59</v>
      </c>
      <c r="H1052" s="418"/>
      <c r="I1052" s="415">
        <f t="shared" si="313"/>
        <v>267730.57</v>
      </c>
      <c r="J1052" s="442">
        <f t="shared" si="314"/>
        <v>2.2700000000000001E-2</v>
      </c>
      <c r="K1052" s="417">
        <v>0</v>
      </c>
      <c r="L1052" s="418">
        <f t="shared" si="316"/>
        <v>0</v>
      </c>
      <c r="M1052" s="417">
        <v>0</v>
      </c>
      <c r="N1052" s="408">
        <f t="shared" si="317"/>
        <v>267730.57</v>
      </c>
    </row>
    <row r="1053" spans="1:14" x14ac:dyDescent="0.2">
      <c r="A1053" s="410">
        <f t="shared" si="307"/>
        <v>29</v>
      </c>
      <c r="B1053" s="413">
        <v>380</v>
      </c>
      <c r="C1053" s="414" t="s">
        <v>1051</v>
      </c>
      <c r="D1053" s="415">
        <f t="shared" si="311"/>
        <v>122452230.77</v>
      </c>
      <c r="E1053" s="417">
        <v>689548</v>
      </c>
      <c r="F1053" s="417">
        <v>-82746</v>
      </c>
      <c r="G1053" s="415">
        <f t="shared" si="312"/>
        <v>123059032.77</v>
      </c>
      <c r="H1053" s="418"/>
      <c r="I1053" s="415">
        <f t="shared" si="313"/>
        <v>58648489.520000003</v>
      </c>
      <c r="J1053" s="442">
        <f t="shared" si="314"/>
        <v>2.5899999999999999E-2</v>
      </c>
      <c r="K1053" s="418">
        <f t="shared" si="315"/>
        <v>264948</v>
      </c>
      <c r="L1053" s="418">
        <f t="shared" si="316"/>
        <v>82746</v>
      </c>
      <c r="M1053" s="417">
        <v>-41373</v>
      </c>
      <c r="N1053" s="408">
        <f t="shared" si="317"/>
        <v>58789318.520000003</v>
      </c>
    </row>
    <row r="1054" spans="1:14" x14ac:dyDescent="0.2">
      <c r="A1054" s="410"/>
      <c r="B1054" s="444"/>
      <c r="C1054" s="414"/>
      <c r="D1054" s="439"/>
      <c r="E1054" s="418"/>
      <c r="F1054" s="418"/>
      <c r="G1054" s="439"/>
      <c r="H1054" s="418"/>
      <c r="I1054" s="418"/>
      <c r="J1054" s="418"/>
      <c r="K1054" s="418"/>
      <c r="L1054" s="418"/>
    </row>
    <row r="1055" spans="1:14" x14ac:dyDescent="0.2">
      <c r="A1055" s="2073" t="str">
        <f>co</f>
        <v>COLUMBIA GAS OF KENTUCKY, INC.</v>
      </c>
      <c r="B1055" s="2073"/>
      <c r="C1055" s="2073"/>
      <c r="D1055" s="2073"/>
      <c r="E1055" s="2073"/>
      <c r="F1055" s="2073"/>
      <c r="G1055" s="2073"/>
      <c r="H1055" s="2073"/>
      <c r="I1055" s="2073"/>
      <c r="J1055" s="2073"/>
      <c r="K1055" s="2073"/>
      <c r="L1055" s="2073"/>
      <c r="M1055" s="2073"/>
      <c r="N1055" s="2073"/>
    </row>
    <row r="1056" spans="1:14" x14ac:dyDescent="0.2">
      <c r="A1056" s="2073" t="str">
        <f>case</f>
        <v>CASE NO. 2016 - 00162</v>
      </c>
      <c r="B1056" s="2073"/>
      <c r="C1056" s="2073"/>
      <c r="D1056" s="2073"/>
      <c r="E1056" s="2073"/>
      <c r="F1056" s="2073"/>
      <c r="G1056" s="2073"/>
      <c r="H1056" s="2073"/>
      <c r="I1056" s="2073"/>
      <c r="J1056" s="2073"/>
      <c r="K1056" s="2073"/>
      <c r="L1056" s="2073"/>
      <c r="M1056" s="2073"/>
      <c r="N1056" s="2073"/>
    </row>
    <row r="1057" spans="1:14" x14ac:dyDescent="0.2">
      <c r="A1057" s="2074" t="s">
        <v>1106</v>
      </c>
      <c r="B1057" s="2073"/>
      <c r="C1057" s="2073"/>
      <c r="D1057" s="2073"/>
      <c r="E1057" s="2073"/>
      <c r="F1057" s="2073"/>
      <c r="G1057" s="2073"/>
      <c r="H1057" s="2073"/>
      <c r="I1057" s="2073"/>
      <c r="J1057" s="2073"/>
      <c r="K1057" s="2073"/>
      <c r="L1057" s="2073"/>
      <c r="M1057" s="2073"/>
      <c r="N1057" s="2073"/>
    </row>
    <row r="1058" spans="1:14" x14ac:dyDescent="0.2">
      <c r="A1058" s="2078" t="s">
        <v>2142</v>
      </c>
      <c r="B1058" s="2078"/>
      <c r="C1058" s="2078"/>
      <c r="D1058" s="2078"/>
      <c r="E1058" s="2078"/>
      <c r="F1058" s="2078"/>
      <c r="G1058" s="2078"/>
      <c r="H1058" s="2078"/>
      <c r="I1058" s="2078"/>
      <c r="J1058" s="2078"/>
      <c r="K1058" s="2078"/>
      <c r="L1058" s="2078"/>
      <c r="M1058" s="2078"/>
      <c r="N1058" s="2078"/>
    </row>
    <row r="1060" spans="1:14" x14ac:dyDescent="0.2">
      <c r="A1060" s="388" t="s">
        <v>976</v>
      </c>
      <c r="M1060" s="386"/>
      <c r="N1060" s="387" t="s">
        <v>763</v>
      </c>
    </row>
    <row r="1061" spans="1:14" x14ac:dyDescent="0.2">
      <c r="A1061" s="388" t="s">
        <v>977</v>
      </c>
      <c r="M1061" s="386"/>
      <c r="N1061" s="387" t="s">
        <v>999</v>
      </c>
    </row>
    <row r="1062" spans="1:14" x14ac:dyDescent="0.2">
      <c r="A1062" s="445" t="str">
        <f>A1009</f>
        <v>WORKPAPER REFERENCE NO(S).: WPB-2.3</v>
      </c>
      <c r="B1062" s="391"/>
      <c r="C1062" s="391"/>
      <c r="D1062" s="391"/>
      <c r="E1062" s="391"/>
      <c r="F1062" s="391"/>
      <c r="G1062" s="391"/>
      <c r="H1062" s="391"/>
      <c r="M1062" s="392"/>
      <c r="N1062" s="393" t="str">
        <f>SMK</f>
        <v>WITNESS:  S. M. KATKO</v>
      </c>
    </row>
    <row r="1063" spans="1:14" x14ac:dyDescent="0.2">
      <c r="A1063" s="390"/>
      <c r="B1063" s="391"/>
      <c r="C1063" s="391"/>
      <c r="D1063" s="391"/>
      <c r="E1063" s="391"/>
      <c r="F1063" s="391"/>
      <c r="G1063" s="391"/>
      <c r="H1063" s="391"/>
      <c r="I1063" s="392"/>
      <c r="J1063" s="393"/>
      <c r="L1063" s="386"/>
      <c r="M1063" s="386"/>
    </row>
    <row r="1064" spans="1:14" x14ac:dyDescent="0.2">
      <c r="A1064" s="390"/>
      <c r="B1064" s="391"/>
      <c r="C1064" s="391"/>
      <c r="D1064" s="2075" t="s">
        <v>1088</v>
      </c>
      <c r="E1064" s="2075"/>
      <c r="F1064" s="2075"/>
      <c r="G1064" s="2075"/>
      <c r="H1064" s="391"/>
      <c r="I1064" s="2076" t="s">
        <v>1093</v>
      </c>
      <c r="J1064" s="2077"/>
      <c r="K1064" s="2077"/>
      <c r="L1064" s="2077"/>
      <c r="M1064" s="2077"/>
      <c r="N1064" s="2077"/>
    </row>
    <row r="1065" spans="1:14" x14ac:dyDescent="0.2">
      <c r="A1065" s="394"/>
      <c r="B1065" s="391"/>
      <c r="C1065" s="391"/>
      <c r="D1065" s="396" t="s">
        <v>1084</v>
      </c>
      <c r="E1065" s="391"/>
      <c r="F1065" s="391"/>
      <c r="G1065" s="395"/>
      <c r="H1065" s="395"/>
      <c r="I1065" s="397" t="s">
        <v>1089</v>
      </c>
      <c r="J1065" s="396"/>
      <c r="M1065" s="386"/>
    </row>
    <row r="1066" spans="1:14" x14ac:dyDescent="0.2">
      <c r="A1066" s="383"/>
      <c r="D1066" s="397" t="s">
        <v>865</v>
      </c>
      <c r="G1066" s="397" t="s">
        <v>867</v>
      </c>
      <c r="H1066" s="398"/>
      <c r="I1066" s="397" t="s">
        <v>865</v>
      </c>
      <c r="J1066" s="397" t="s">
        <v>956</v>
      </c>
      <c r="M1066" s="386"/>
      <c r="N1066" s="397" t="s">
        <v>867</v>
      </c>
    </row>
    <row r="1067" spans="1:14" x14ac:dyDescent="0.2">
      <c r="A1067" s="397" t="s">
        <v>1080</v>
      </c>
      <c r="B1067" s="397" t="s">
        <v>1082</v>
      </c>
      <c r="D1067" s="397" t="s">
        <v>867</v>
      </c>
      <c r="G1067" s="399" t="s">
        <v>1087</v>
      </c>
      <c r="H1067" s="398"/>
      <c r="I1067" s="399" t="s">
        <v>867</v>
      </c>
      <c r="J1067" s="397" t="s">
        <v>1090</v>
      </c>
      <c r="K1067" s="397" t="s">
        <v>956</v>
      </c>
      <c r="M1067" s="399" t="s">
        <v>1092</v>
      </c>
      <c r="N1067" s="399" t="s">
        <v>1087</v>
      </c>
    </row>
    <row r="1068" spans="1:14" x14ac:dyDescent="0.2">
      <c r="A1068" s="400" t="s">
        <v>1081</v>
      </c>
      <c r="B1068" s="400" t="s">
        <v>1081</v>
      </c>
      <c r="C1068" s="401" t="s">
        <v>1083</v>
      </c>
      <c r="D1068" s="404" t="str">
        <f>D1015</f>
        <v>11/30/2016</v>
      </c>
      <c r="E1068" s="400" t="s">
        <v>1085</v>
      </c>
      <c r="F1068" s="400" t="s">
        <v>1086</v>
      </c>
      <c r="G1068" s="404" t="str">
        <f>G1015</f>
        <v>12/31/2016</v>
      </c>
      <c r="H1068" s="398"/>
      <c r="I1068" s="404" t="str">
        <f>D1068</f>
        <v>11/30/2016</v>
      </c>
      <c r="J1068" s="400" t="s">
        <v>1091</v>
      </c>
      <c r="K1068" s="402" t="s">
        <v>1090</v>
      </c>
      <c r="L1068" s="402" t="s">
        <v>1086</v>
      </c>
      <c r="M1068" s="402" t="s">
        <v>955</v>
      </c>
      <c r="N1068" s="404" t="str">
        <f>G1068</f>
        <v>12/31/2016</v>
      </c>
    </row>
    <row r="1069" spans="1:14" x14ac:dyDescent="0.2">
      <c r="A1069" s="406"/>
      <c r="B1069" s="406"/>
      <c r="C1069" s="406"/>
      <c r="D1069" s="406" t="str">
        <f>"(1)"</f>
        <v>(1)</v>
      </c>
      <c r="E1069" s="406" t="str">
        <f>"(2)"</f>
        <v>(2)</v>
      </c>
      <c r="F1069" s="406" t="str">
        <f>"(3)"</f>
        <v>(3)</v>
      </c>
      <c r="G1069" s="406" t="str">
        <f>"(4)=(1+2+3)"</f>
        <v>(4)=(1+2+3)</v>
      </c>
      <c r="H1069" s="406"/>
      <c r="I1069" s="406" t="str">
        <f>"(5)"</f>
        <v>(5)</v>
      </c>
      <c r="J1069" s="406" t="str">
        <f>"(6)"</f>
        <v>(6)</v>
      </c>
      <c r="K1069" s="406" t="str">
        <f>"(7)=((1+4)/2*6/12))"</f>
        <v>(7)=((1+4)/2*6/12))</v>
      </c>
      <c r="L1069" s="406" t="str">
        <f>"(8)"</f>
        <v>(8)</v>
      </c>
      <c r="M1069" s="406" t="str">
        <f>"(9)"</f>
        <v>(9)</v>
      </c>
      <c r="N1069" s="406" t="str">
        <f>"(10)=(5+7-8+9)"</f>
        <v>(10)=(5+7-8+9)</v>
      </c>
    </row>
    <row r="1070" spans="1:14" x14ac:dyDescent="0.2">
      <c r="D1070" s="410" t="s">
        <v>639</v>
      </c>
      <c r="E1070" s="410" t="s">
        <v>639</v>
      </c>
      <c r="F1070" s="410" t="s">
        <v>639</v>
      </c>
      <c r="G1070" s="410" t="s">
        <v>639</v>
      </c>
      <c r="H1070" s="410"/>
      <c r="I1070" s="410" t="s">
        <v>639</v>
      </c>
      <c r="J1070" s="410" t="s">
        <v>639</v>
      </c>
      <c r="K1070" s="410" t="s">
        <v>639</v>
      </c>
      <c r="L1070" s="410" t="s">
        <v>639</v>
      </c>
      <c r="M1070" s="410" t="s">
        <v>639</v>
      </c>
      <c r="N1070" s="410" t="s">
        <v>639</v>
      </c>
    </row>
    <row r="1071" spans="1:14" x14ac:dyDescent="0.2">
      <c r="C1071" s="411" t="s">
        <v>707</v>
      </c>
      <c r="D1071" s="410"/>
      <c r="E1071" s="410"/>
      <c r="F1071" s="410"/>
      <c r="G1071" s="410"/>
      <c r="J1071" s="410"/>
    </row>
    <row r="1072" spans="1:14" x14ac:dyDescent="0.2">
      <c r="A1072" s="405">
        <v>1</v>
      </c>
      <c r="B1072" s="446">
        <v>381</v>
      </c>
      <c r="C1072" s="414" t="s">
        <v>1052</v>
      </c>
      <c r="D1072" s="415">
        <f t="shared" ref="D1072:D1083" si="318">G966</f>
        <v>13701743.550000001</v>
      </c>
      <c r="E1072" s="417">
        <v>22915</v>
      </c>
      <c r="F1072" s="417">
        <v>-2750</v>
      </c>
      <c r="G1072" s="415">
        <f>SUM(D1072:F1072)</f>
        <v>13721908.550000001</v>
      </c>
      <c r="H1072" s="418"/>
      <c r="I1072" s="415">
        <f t="shared" ref="I1072:I1083" si="319">N966</f>
        <v>4903273.8899999997</v>
      </c>
      <c r="J1072" s="442">
        <f t="shared" ref="J1072:J1083" si="320">J966</f>
        <v>2.5899999999999999E-2</v>
      </c>
      <c r="K1072" s="418">
        <f t="shared" ref="K1072:K1083" si="321">ROUND((G1072+D1072)/2*J1072/12,0)</f>
        <v>29595</v>
      </c>
      <c r="L1072" s="418">
        <f t="shared" ref="L1072:L1083" si="322">-F1072</f>
        <v>2750</v>
      </c>
      <c r="M1072" s="417">
        <v>0</v>
      </c>
      <c r="N1072" s="408">
        <f t="shared" ref="N1072:N1083" si="323">I1072+K1072-L1072+M1072</f>
        <v>4930118.8899999997</v>
      </c>
    </row>
    <row r="1073" spans="1:14" x14ac:dyDescent="0.2">
      <c r="A1073" s="405">
        <f>A1072+1</f>
        <v>2</v>
      </c>
      <c r="B1073" s="446">
        <v>381.1</v>
      </c>
      <c r="C1073" s="414" t="s">
        <v>1052</v>
      </c>
      <c r="D1073" s="415">
        <f t="shared" si="318"/>
        <v>8773209.0600000005</v>
      </c>
      <c r="E1073" s="417">
        <v>3185</v>
      </c>
      <c r="F1073" s="417">
        <v>-382</v>
      </c>
      <c r="G1073" s="415">
        <f>SUM(D1073:F1073)</f>
        <v>8776012.0600000005</v>
      </c>
      <c r="H1073" s="418"/>
      <c r="I1073" s="415">
        <f t="shared" si="319"/>
        <v>534120.5</v>
      </c>
      <c r="J1073" s="442">
        <f t="shared" si="320"/>
        <v>2.5899999999999999E-2</v>
      </c>
      <c r="K1073" s="418">
        <f t="shared" si="321"/>
        <v>18939</v>
      </c>
      <c r="L1073" s="418">
        <f t="shared" si="322"/>
        <v>382</v>
      </c>
      <c r="M1073" s="417">
        <v>0</v>
      </c>
      <c r="N1073" s="408">
        <f t="shared" si="323"/>
        <v>552677.5</v>
      </c>
    </row>
    <row r="1074" spans="1:14" x14ac:dyDescent="0.2">
      <c r="A1074" s="405">
        <f t="shared" ref="A1074:A1084" si="324">A1073+1</f>
        <v>3</v>
      </c>
      <c r="B1074" s="446">
        <v>382</v>
      </c>
      <c r="C1074" s="414" t="s">
        <v>1053</v>
      </c>
      <c r="D1074" s="415">
        <f t="shared" si="318"/>
        <v>9243168.6500000004</v>
      </c>
      <c r="E1074" s="417">
        <v>50482</v>
      </c>
      <c r="F1074" s="417">
        <v>-6058</v>
      </c>
      <c r="G1074" s="415">
        <f t="shared" ref="G1074:G1079" si="325">SUM(D1074:F1074)</f>
        <v>9287592.6500000004</v>
      </c>
      <c r="H1074" s="418"/>
      <c r="I1074" s="415">
        <f t="shared" si="319"/>
        <v>4611989.3</v>
      </c>
      <c r="J1074" s="442">
        <f t="shared" si="320"/>
        <v>2.3900000000000001E-2</v>
      </c>
      <c r="K1074" s="418">
        <f t="shared" si="321"/>
        <v>18454</v>
      </c>
      <c r="L1074" s="418">
        <f t="shared" si="322"/>
        <v>6058</v>
      </c>
      <c r="M1074" s="417">
        <v>-303</v>
      </c>
      <c r="N1074" s="408">
        <f t="shared" si="323"/>
        <v>4624082.3</v>
      </c>
    </row>
    <row r="1075" spans="1:14" x14ac:dyDescent="0.2">
      <c r="A1075" s="405">
        <f t="shared" si="324"/>
        <v>4</v>
      </c>
      <c r="B1075" s="446">
        <v>383</v>
      </c>
      <c r="C1075" s="414" t="s">
        <v>1054</v>
      </c>
      <c r="D1075" s="415">
        <f t="shared" si="318"/>
        <v>5647467.7599999998</v>
      </c>
      <c r="E1075" s="417">
        <v>21537</v>
      </c>
      <c r="F1075" s="417">
        <v>-2584</v>
      </c>
      <c r="G1075" s="415">
        <f t="shared" si="325"/>
        <v>5666420.7599999998</v>
      </c>
      <c r="H1075" s="418"/>
      <c r="I1075" s="415">
        <f t="shared" si="319"/>
        <v>1501182.41</v>
      </c>
      <c r="J1075" s="442">
        <f t="shared" si="320"/>
        <v>1.3899999999999999E-2</v>
      </c>
      <c r="K1075" s="418">
        <f t="shared" si="321"/>
        <v>6553</v>
      </c>
      <c r="L1075" s="418">
        <f t="shared" si="322"/>
        <v>2584</v>
      </c>
      <c r="M1075" s="417">
        <v>-129</v>
      </c>
      <c r="N1075" s="408">
        <f t="shared" si="323"/>
        <v>1505022.41</v>
      </c>
    </row>
    <row r="1076" spans="1:14" x14ac:dyDescent="0.2">
      <c r="A1076" s="405">
        <f t="shared" si="324"/>
        <v>5</v>
      </c>
      <c r="B1076" s="446">
        <v>384</v>
      </c>
      <c r="C1076" s="414" t="s">
        <v>1055</v>
      </c>
      <c r="D1076" s="415">
        <f t="shared" si="318"/>
        <v>2257522</v>
      </c>
      <c r="E1076" s="417">
        <v>0</v>
      </c>
      <c r="F1076" s="417">
        <v>0</v>
      </c>
      <c r="G1076" s="415">
        <f t="shared" si="325"/>
        <v>2257522</v>
      </c>
      <c r="H1076" s="418"/>
      <c r="I1076" s="415">
        <f t="shared" si="319"/>
        <v>1767259.73</v>
      </c>
      <c r="J1076" s="442">
        <f t="shared" si="320"/>
        <v>1.0999999999999999E-2</v>
      </c>
      <c r="K1076" s="418">
        <f t="shared" si="321"/>
        <v>2069</v>
      </c>
      <c r="L1076" s="418">
        <f t="shared" si="322"/>
        <v>0</v>
      </c>
      <c r="M1076" s="417">
        <v>0</v>
      </c>
      <c r="N1076" s="408">
        <f t="shared" si="323"/>
        <v>1769328.73</v>
      </c>
    </row>
    <row r="1077" spans="1:14" x14ac:dyDescent="0.2">
      <c r="A1077" s="405">
        <f t="shared" si="324"/>
        <v>6</v>
      </c>
      <c r="B1077" s="446">
        <v>385</v>
      </c>
      <c r="C1077" s="414" t="s">
        <v>1056</v>
      </c>
      <c r="D1077" s="415">
        <f t="shared" si="318"/>
        <v>3233128.36</v>
      </c>
      <c r="E1077" s="417">
        <v>21653</v>
      </c>
      <c r="F1077" s="417">
        <v>-2598</v>
      </c>
      <c r="G1077" s="415">
        <f t="shared" si="325"/>
        <v>3252183.36</v>
      </c>
      <c r="H1077" s="418"/>
      <c r="I1077" s="415">
        <f t="shared" si="319"/>
        <v>887284.55</v>
      </c>
      <c r="J1077" s="442">
        <f t="shared" si="320"/>
        <v>2.0899999999999998E-2</v>
      </c>
      <c r="K1077" s="418">
        <f t="shared" si="321"/>
        <v>5648</v>
      </c>
      <c r="L1077" s="418">
        <f t="shared" si="322"/>
        <v>2598</v>
      </c>
      <c r="M1077" s="417">
        <v>-130</v>
      </c>
      <c r="N1077" s="408">
        <f t="shared" si="323"/>
        <v>890204.55</v>
      </c>
    </row>
    <row r="1078" spans="1:14" x14ac:dyDescent="0.2">
      <c r="A1078" s="405">
        <f t="shared" si="324"/>
        <v>7</v>
      </c>
      <c r="B1078" s="446">
        <v>387.2</v>
      </c>
      <c r="C1078" s="414" t="s">
        <v>1057</v>
      </c>
      <c r="D1078" s="415">
        <f t="shared" si="318"/>
        <v>0</v>
      </c>
      <c r="E1078" s="417">
        <v>0</v>
      </c>
      <c r="F1078" s="417">
        <v>0</v>
      </c>
      <c r="G1078" s="415">
        <f t="shared" si="325"/>
        <v>0</v>
      </c>
      <c r="H1078" s="418"/>
      <c r="I1078" s="415">
        <f t="shared" si="319"/>
        <v>-59912.03</v>
      </c>
      <c r="J1078" s="442">
        <f t="shared" si="320"/>
        <v>2.3199999999999998E-2</v>
      </c>
      <c r="K1078" s="418">
        <f t="shared" si="321"/>
        <v>0</v>
      </c>
      <c r="L1078" s="418">
        <f t="shared" si="322"/>
        <v>0</v>
      </c>
      <c r="M1078" s="417">
        <v>0</v>
      </c>
      <c r="N1078" s="408">
        <f t="shared" si="323"/>
        <v>-59912.03</v>
      </c>
    </row>
    <row r="1079" spans="1:14" x14ac:dyDescent="0.2">
      <c r="A1079" s="405">
        <f t="shared" si="324"/>
        <v>8</v>
      </c>
      <c r="B1079" s="446">
        <v>387.41</v>
      </c>
      <c r="C1079" s="414" t="s">
        <v>1058</v>
      </c>
      <c r="D1079" s="415">
        <f t="shared" si="318"/>
        <v>735770.76</v>
      </c>
      <c r="E1079" s="417">
        <v>0</v>
      </c>
      <c r="F1079" s="417">
        <v>0</v>
      </c>
      <c r="G1079" s="415">
        <f t="shared" si="325"/>
        <v>735770.76</v>
      </c>
      <c r="H1079" s="418"/>
      <c r="I1079" s="415">
        <f t="shared" si="319"/>
        <v>384622.95</v>
      </c>
      <c r="J1079" s="442">
        <f t="shared" si="320"/>
        <v>2.3400000000000001E-2</v>
      </c>
      <c r="K1079" s="418">
        <f t="shared" si="321"/>
        <v>1435</v>
      </c>
      <c r="L1079" s="418">
        <f t="shared" si="322"/>
        <v>0</v>
      </c>
      <c r="M1079" s="417">
        <v>0</v>
      </c>
      <c r="N1079" s="408">
        <f t="shared" si="323"/>
        <v>386057.95</v>
      </c>
    </row>
    <row r="1080" spans="1:14" x14ac:dyDescent="0.2">
      <c r="A1080" s="405">
        <f t="shared" si="324"/>
        <v>9</v>
      </c>
      <c r="B1080" s="446">
        <v>387.42</v>
      </c>
      <c r="C1080" s="414" t="s">
        <v>1059</v>
      </c>
      <c r="D1080" s="415">
        <f t="shared" si="318"/>
        <v>795186.58</v>
      </c>
      <c r="E1080" s="417">
        <v>0</v>
      </c>
      <c r="F1080" s="417">
        <v>0</v>
      </c>
      <c r="G1080" s="415">
        <f>SUM(D1080:F1080)</f>
        <v>795186.58</v>
      </c>
      <c r="H1080" s="418"/>
      <c r="I1080" s="415">
        <f t="shared" si="319"/>
        <v>550994.94999999995</v>
      </c>
      <c r="J1080" s="442">
        <f t="shared" si="320"/>
        <v>2.3400000000000001E-2</v>
      </c>
      <c r="K1080" s="418">
        <f t="shared" si="321"/>
        <v>1551</v>
      </c>
      <c r="L1080" s="418">
        <f t="shared" si="322"/>
        <v>0</v>
      </c>
      <c r="M1080" s="417">
        <v>0</v>
      </c>
      <c r="N1080" s="408">
        <f t="shared" si="323"/>
        <v>552545.94999999995</v>
      </c>
    </row>
    <row r="1081" spans="1:14" x14ac:dyDescent="0.2">
      <c r="A1081" s="405">
        <f t="shared" si="324"/>
        <v>10</v>
      </c>
      <c r="B1081" s="446">
        <v>387.44</v>
      </c>
      <c r="C1081" s="414" t="s">
        <v>1060</v>
      </c>
      <c r="D1081" s="415">
        <f t="shared" si="318"/>
        <v>143283.93</v>
      </c>
      <c r="E1081" s="417">
        <v>0</v>
      </c>
      <c r="F1081" s="417">
        <v>0</v>
      </c>
      <c r="G1081" s="415">
        <f>SUM(D1081:F1081)</f>
        <v>143283.93</v>
      </c>
      <c r="H1081" s="418"/>
      <c r="I1081" s="415">
        <f t="shared" si="319"/>
        <v>46669.55</v>
      </c>
      <c r="J1081" s="442">
        <f t="shared" si="320"/>
        <v>2.3400000000000001E-2</v>
      </c>
      <c r="K1081" s="418">
        <f t="shared" si="321"/>
        <v>279</v>
      </c>
      <c r="L1081" s="418">
        <f t="shared" si="322"/>
        <v>0</v>
      </c>
      <c r="M1081" s="417">
        <v>0</v>
      </c>
      <c r="N1081" s="408">
        <f t="shared" si="323"/>
        <v>46948.55</v>
      </c>
    </row>
    <row r="1082" spans="1:14" x14ac:dyDescent="0.2">
      <c r="A1082" s="405">
        <f t="shared" si="324"/>
        <v>11</v>
      </c>
      <c r="B1082" s="446">
        <v>387.45</v>
      </c>
      <c r="C1082" s="414" t="s">
        <v>1061</v>
      </c>
      <c r="D1082" s="415">
        <f t="shared" si="318"/>
        <v>3176395.66</v>
      </c>
      <c r="E1082" s="417">
        <v>101260</v>
      </c>
      <c r="F1082" s="417">
        <v>-12151</v>
      </c>
      <c r="G1082" s="415">
        <f>SUM(D1082:F1082)</f>
        <v>3265504.66</v>
      </c>
      <c r="H1082" s="418"/>
      <c r="I1082" s="415">
        <f t="shared" si="319"/>
        <v>538873.06000000006</v>
      </c>
      <c r="J1082" s="442">
        <f t="shared" si="320"/>
        <v>2.3400000000000001E-2</v>
      </c>
      <c r="K1082" s="418">
        <f t="shared" si="321"/>
        <v>6281</v>
      </c>
      <c r="L1082" s="418">
        <f t="shared" si="322"/>
        <v>12151</v>
      </c>
      <c r="M1082" s="417">
        <v>0</v>
      </c>
      <c r="N1082" s="408">
        <f t="shared" si="323"/>
        <v>533003.06000000006</v>
      </c>
    </row>
    <row r="1083" spans="1:14" x14ac:dyDescent="0.2">
      <c r="A1083" s="405">
        <f t="shared" si="324"/>
        <v>12</v>
      </c>
      <c r="B1083" s="446">
        <v>387.46</v>
      </c>
      <c r="C1083" s="414" t="s">
        <v>1062</v>
      </c>
      <c r="D1083" s="421">
        <f t="shared" si="318"/>
        <v>113644.47</v>
      </c>
      <c r="E1083" s="1662">
        <v>0</v>
      </c>
      <c r="F1083" s="1662">
        <v>0</v>
      </c>
      <c r="G1083" s="428">
        <f>SUM(D1083:F1083)</f>
        <v>113644.47</v>
      </c>
      <c r="H1083" s="447"/>
      <c r="I1083" s="421">
        <f t="shared" si="319"/>
        <v>112010.83</v>
      </c>
      <c r="J1083" s="442">
        <f t="shared" si="320"/>
        <v>2.3400000000000001E-2</v>
      </c>
      <c r="K1083" s="421">
        <f t="shared" si="321"/>
        <v>222</v>
      </c>
      <c r="L1083" s="421">
        <f t="shared" si="322"/>
        <v>0</v>
      </c>
      <c r="M1083" s="422">
        <v>0</v>
      </c>
      <c r="N1083" s="423">
        <f t="shared" si="323"/>
        <v>112232.83</v>
      </c>
    </row>
    <row r="1084" spans="1:14" x14ac:dyDescent="0.2">
      <c r="A1084" s="405">
        <f t="shared" si="324"/>
        <v>13</v>
      </c>
      <c r="B1084" s="448"/>
      <c r="C1084" s="386" t="s">
        <v>1063</v>
      </c>
      <c r="D1084" s="418">
        <f>SUM(D1072:D1083,D1032:D1053)</f>
        <v>408081654.37999994</v>
      </c>
      <c r="E1084" s="418">
        <f>SUM(E1072:E1083,E1032:E1053)</f>
        <v>2083113</v>
      </c>
      <c r="F1084" s="418">
        <f>SUM(F1072:F1083,F1032:F1053)</f>
        <v>-249973</v>
      </c>
      <c r="G1084" s="418">
        <f>SUM(G1072:G1083,G1032:G1053)</f>
        <v>409914794.37999994</v>
      </c>
      <c r="H1084" s="418"/>
      <c r="I1084" s="418">
        <f>SUM(I1072:I1083,I1032:I1053)</f>
        <v>140846695.22526315</v>
      </c>
      <c r="J1084" s="418"/>
      <c r="K1084" s="418">
        <f>SUM(K1072:K1083,K1032:K1053)</f>
        <v>678169.04947368428</v>
      </c>
      <c r="L1084" s="418">
        <f>SUM(L1072:L1083,L1032:L1053)</f>
        <v>249973</v>
      </c>
      <c r="M1084" s="418">
        <f>SUM(M1072:M1083,M1032:M1053)</f>
        <v>-61002</v>
      </c>
      <c r="N1084" s="418">
        <f>SUM(N1072:N1083,N1032:N1053)</f>
        <v>141213889.27473685</v>
      </c>
    </row>
    <row r="1085" spans="1:14" x14ac:dyDescent="0.2">
      <c r="B1085" s="448"/>
      <c r="D1085" s="418"/>
      <c r="E1085" s="418"/>
      <c r="F1085" s="418"/>
      <c r="G1085" s="418"/>
      <c r="H1085" s="418"/>
      <c r="I1085" s="439"/>
      <c r="J1085" s="418"/>
      <c r="K1085" s="418"/>
      <c r="L1085" s="418"/>
      <c r="M1085" s="418"/>
    </row>
    <row r="1086" spans="1:14" x14ac:dyDescent="0.2">
      <c r="A1086" s="405">
        <f>A1084+1</f>
        <v>14</v>
      </c>
      <c r="B1086" s="448"/>
      <c r="C1086" s="411" t="s">
        <v>737</v>
      </c>
      <c r="D1086" s="418"/>
      <c r="E1086" s="418"/>
      <c r="F1086" s="418"/>
      <c r="G1086" s="418"/>
      <c r="H1086" s="418"/>
      <c r="I1086" s="439"/>
      <c r="J1086" s="418"/>
      <c r="K1086" s="418"/>
      <c r="L1086" s="418"/>
      <c r="M1086" s="418"/>
    </row>
    <row r="1087" spans="1:14" x14ac:dyDescent="0.2">
      <c r="A1087" s="410">
        <f>A1086+1</f>
        <v>15</v>
      </c>
      <c r="B1087" s="446">
        <v>391.1</v>
      </c>
      <c r="C1087" s="414" t="s">
        <v>1064</v>
      </c>
      <c r="D1087" s="415">
        <f t="shared" ref="D1087:D1100" si="326">G981</f>
        <v>717704.71</v>
      </c>
      <c r="E1087" s="417">
        <v>-4800</v>
      </c>
      <c r="F1087" s="417">
        <v>576</v>
      </c>
      <c r="G1087" s="415">
        <f t="shared" ref="G1087:G1100" si="327">SUM(D1087:F1087)</f>
        <v>713480.71</v>
      </c>
      <c r="H1087" s="418"/>
      <c r="I1087" s="415">
        <f t="shared" ref="I1087:I1100" si="328">N981</f>
        <v>-54134.22</v>
      </c>
      <c r="J1087" s="442">
        <f t="shared" ref="J1087:J1100" si="329">J981</f>
        <v>0.05</v>
      </c>
      <c r="K1087" s="418">
        <f t="shared" ref="K1087:K1100" si="330">ROUND((G1087+D1087)/2*J1087/12,0)</f>
        <v>2982</v>
      </c>
      <c r="L1087" s="418">
        <f t="shared" ref="L1087:L1100" si="331">-F1087</f>
        <v>-576</v>
      </c>
      <c r="M1087" s="417">
        <v>0</v>
      </c>
      <c r="N1087" s="408">
        <f t="shared" ref="N1087:N1100" si="332">I1087+K1087-L1087+M1087</f>
        <v>-50576.22</v>
      </c>
    </row>
    <row r="1088" spans="1:14" x14ac:dyDescent="0.2">
      <c r="A1088" s="410">
        <f t="shared" ref="A1088:A1101" si="333">A1087+1</f>
        <v>16</v>
      </c>
      <c r="B1088" s="446">
        <v>391.11</v>
      </c>
      <c r="C1088" s="414" t="s">
        <v>1065</v>
      </c>
      <c r="D1088" s="415">
        <f t="shared" si="326"/>
        <v>18815.57</v>
      </c>
      <c r="E1088" s="417">
        <v>0</v>
      </c>
      <c r="F1088" s="417">
        <v>0</v>
      </c>
      <c r="G1088" s="415">
        <f t="shared" si="327"/>
        <v>18815.57</v>
      </c>
      <c r="H1088" s="418"/>
      <c r="I1088" s="415">
        <f t="shared" si="328"/>
        <v>-12089.77</v>
      </c>
      <c r="J1088" s="442">
        <f t="shared" si="329"/>
        <v>6.6699999999999995E-2</v>
      </c>
      <c r="K1088" s="418">
        <f t="shared" si="330"/>
        <v>105</v>
      </c>
      <c r="L1088" s="418">
        <f t="shared" si="331"/>
        <v>0</v>
      </c>
      <c r="M1088" s="417">
        <v>0</v>
      </c>
      <c r="N1088" s="408">
        <f t="shared" si="332"/>
        <v>-11984.77</v>
      </c>
    </row>
    <row r="1089" spans="1:15" x14ac:dyDescent="0.2">
      <c r="A1089" s="410">
        <f t="shared" si="333"/>
        <v>17</v>
      </c>
      <c r="B1089" s="446">
        <v>391.12</v>
      </c>
      <c r="C1089" s="414" t="s">
        <v>1066</v>
      </c>
      <c r="D1089" s="415">
        <f t="shared" si="326"/>
        <v>853483.41</v>
      </c>
      <c r="E1089" s="417">
        <v>0</v>
      </c>
      <c r="F1089" s="417">
        <v>0</v>
      </c>
      <c r="G1089" s="415">
        <f t="shared" si="327"/>
        <v>853483.41</v>
      </c>
      <c r="H1089" s="418"/>
      <c r="I1089" s="415">
        <f t="shared" si="328"/>
        <v>675360.37</v>
      </c>
      <c r="J1089" s="442">
        <f t="shared" si="329"/>
        <v>0.2</v>
      </c>
      <c r="K1089" s="418">
        <f t="shared" si="330"/>
        <v>14225</v>
      </c>
      <c r="L1089" s="418">
        <f t="shared" si="331"/>
        <v>0</v>
      </c>
      <c r="M1089" s="417">
        <v>0</v>
      </c>
      <c r="N1089" s="408">
        <f t="shared" si="332"/>
        <v>689585.37</v>
      </c>
    </row>
    <row r="1090" spans="1:15" x14ac:dyDescent="0.2">
      <c r="A1090" s="410">
        <f t="shared" si="333"/>
        <v>18</v>
      </c>
      <c r="B1090" s="446">
        <v>392.2</v>
      </c>
      <c r="C1090" s="414" t="s">
        <v>1067</v>
      </c>
      <c r="D1090" s="415">
        <f t="shared" si="326"/>
        <v>95778</v>
      </c>
      <c r="E1090" s="417">
        <v>0</v>
      </c>
      <c r="F1090" s="417">
        <v>0</v>
      </c>
      <c r="G1090" s="415">
        <f t="shared" si="327"/>
        <v>95778</v>
      </c>
      <c r="H1090" s="418"/>
      <c r="I1090" s="415">
        <f t="shared" si="328"/>
        <v>22420.05</v>
      </c>
      <c r="J1090" s="442">
        <f t="shared" si="329"/>
        <v>2.9399999999999999E-2</v>
      </c>
      <c r="K1090" s="418">
        <f t="shared" si="330"/>
        <v>235</v>
      </c>
      <c r="L1090" s="418">
        <f t="shared" si="331"/>
        <v>0</v>
      </c>
      <c r="M1090" s="417">
        <v>0</v>
      </c>
      <c r="N1090" s="408">
        <f t="shared" si="332"/>
        <v>22655.05</v>
      </c>
    </row>
    <row r="1091" spans="1:15" x14ac:dyDescent="0.2">
      <c r="A1091" s="410">
        <f t="shared" si="333"/>
        <v>19</v>
      </c>
      <c r="B1091" s="446">
        <v>392.21</v>
      </c>
      <c r="C1091" s="414" t="s">
        <v>1068</v>
      </c>
      <c r="D1091" s="415">
        <f t="shared" si="326"/>
        <v>24462.2</v>
      </c>
      <c r="E1091" s="417">
        <v>0</v>
      </c>
      <c r="F1091" s="417">
        <v>0</v>
      </c>
      <c r="G1091" s="415">
        <f t="shared" si="327"/>
        <v>24462.2</v>
      </c>
      <c r="H1091" s="418"/>
      <c r="I1091" s="415">
        <f t="shared" si="328"/>
        <v>5127.3999999999996</v>
      </c>
      <c r="J1091" s="442">
        <f t="shared" si="329"/>
        <v>2.9399999999999999E-2</v>
      </c>
      <c r="K1091" s="418">
        <f t="shared" si="330"/>
        <v>60</v>
      </c>
      <c r="L1091" s="418">
        <f t="shared" si="331"/>
        <v>0</v>
      </c>
      <c r="M1091" s="417">
        <v>0</v>
      </c>
      <c r="N1091" s="408">
        <f t="shared" si="332"/>
        <v>5187.3999999999996</v>
      </c>
    </row>
    <row r="1092" spans="1:15" x14ac:dyDescent="0.2">
      <c r="A1092" s="410">
        <f t="shared" si="333"/>
        <v>20</v>
      </c>
      <c r="B1092" s="446">
        <v>393</v>
      </c>
      <c r="C1092" s="414" t="s">
        <v>1069</v>
      </c>
      <c r="D1092" s="415">
        <f t="shared" si="326"/>
        <v>0</v>
      </c>
      <c r="E1092" s="417">
        <v>0</v>
      </c>
      <c r="F1092" s="417">
        <v>0</v>
      </c>
      <c r="G1092" s="415">
        <f t="shared" si="327"/>
        <v>0</v>
      </c>
      <c r="H1092" s="418"/>
      <c r="I1092" s="415">
        <f t="shared" si="328"/>
        <v>0</v>
      </c>
      <c r="J1092" s="442" t="str">
        <f t="shared" si="329"/>
        <v>Amort.</v>
      </c>
      <c r="K1092" s="417">
        <v>0</v>
      </c>
      <c r="L1092" s="418">
        <f t="shared" si="331"/>
        <v>0</v>
      </c>
      <c r="M1092" s="417">
        <v>0</v>
      </c>
      <c r="N1092" s="408">
        <f t="shared" si="332"/>
        <v>0</v>
      </c>
    </row>
    <row r="1093" spans="1:15" x14ac:dyDescent="0.2">
      <c r="A1093" s="410">
        <f t="shared" si="333"/>
        <v>21</v>
      </c>
      <c r="B1093" s="446">
        <v>394.1</v>
      </c>
      <c r="C1093" s="414" t="s">
        <v>1070</v>
      </c>
      <c r="D1093" s="415">
        <f t="shared" si="326"/>
        <v>24240.799999999999</v>
      </c>
      <c r="E1093" s="417">
        <v>0</v>
      </c>
      <c r="F1093" s="417">
        <v>0</v>
      </c>
      <c r="G1093" s="415">
        <f t="shared" si="327"/>
        <v>24240.799999999999</v>
      </c>
      <c r="H1093" s="418"/>
      <c r="I1093" s="415">
        <f t="shared" si="328"/>
        <v>14527.82</v>
      </c>
      <c r="J1093" s="442">
        <f t="shared" si="329"/>
        <v>0.04</v>
      </c>
      <c r="K1093" s="418">
        <f t="shared" si="330"/>
        <v>81</v>
      </c>
      <c r="L1093" s="418">
        <f t="shared" si="331"/>
        <v>0</v>
      </c>
      <c r="M1093" s="417">
        <v>0</v>
      </c>
      <c r="N1093" s="408">
        <f t="shared" si="332"/>
        <v>14608.82</v>
      </c>
    </row>
    <row r="1094" spans="1:15" x14ac:dyDescent="0.2">
      <c r="A1094" s="410">
        <f t="shared" si="333"/>
        <v>22</v>
      </c>
      <c r="B1094" s="446">
        <v>394.11</v>
      </c>
      <c r="C1094" s="414" t="s">
        <v>1071</v>
      </c>
      <c r="D1094" s="415">
        <f t="shared" si="326"/>
        <v>0</v>
      </c>
      <c r="E1094" s="417">
        <v>0</v>
      </c>
      <c r="F1094" s="417">
        <v>0</v>
      </c>
      <c r="G1094" s="415">
        <f t="shared" si="327"/>
        <v>0</v>
      </c>
      <c r="H1094" s="418"/>
      <c r="I1094" s="415">
        <f t="shared" si="328"/>
        <v>0</v>
      </c>
      <c r="J1094" s="442">
        <f t="shared" si="329"/>
        <v>0.13769999999999999</v>
      </c>
      <c r="K1094" s="417">
        <v>0</v>
      </c>
      <c r="L1094" s="418">
        <f t="shared" si="331"/>
        <v>0</v>
      </c>
      <c r="M1094" s="417">
        <v>0</v>
      </c>
      <c r="N1094" s="408">
        <f t="shared" si="332"/>
        <v>0</v>
      </c>
    </row>
    <row r="1095" spans="1:15" x14ac:dyDescent="0.2">
      <c r="A1095" s="410">
        <f t="shared" si="333"/>
        <v>23</v>
      </c>
      <c r="B1095" s="446">
        <v>394.13</v>
      </c>
      <c r="C1095" s="438" t="s">
        <v>1072</v>
      </c>
      <c r="D1095" s="415">
        <f t="shared" si="326"/>
        <v>0</v>
      </c>
      <c r="E1095" s="417">
        <v>0</v>
      </c>
      <c r="F1095" s="417">
        <v>0</v>
      </c>
      <c r="G1095" s="415">
        <f t="shared" si="327"/>
        <v>0</v>
      </c>
      <c r="H1095" s="418"/>
      <c r="I1095" s="415">
        <f t="shared" si="328"/>
        <v>37937.360000000001</v>
      </c>
      <c r="J1095" s="442" t="str">
        <f t="shared" si="329"/>
        <v>Amort.</v>
      </c>
      <c r="K1095" s="417">
        <v>0</v>
      </c>
      <c r="L1095" s="418">
        <f t="shared" si="331"/>
        <v>0</v>
      </c>
      <c r="M1095" s="417">
        <v>0</v>
      </c>
      <c r="N1095" s="408">
        <f t="shared" si="332"/>
        <v>37937.360000000001</v>
      </c>
    </row>
    <row r="1096" spans="1:15" x14ac:dyDescent="0.2">
      <c r="A1096" s="410">
        <f t="shared" si="333"/>
        <v>24</v>
      </c>
      <c r="B1096" s="446">
        <v>394.2</v>
      </c>
      <c r="C1096" s="414" t="s">
        <v>1073</v>
      </c>
      <c r="D1096" s="415">
        <f t="shared" si="326"/>
        <v>0</v>
      </c>
      <c r="E1096" s="417">
        <v>0</v>
      </c>
      <c r="F1096" s="417">
        <v>0</v>
      </c>
      <c r="G1096" s="415">
        <f t="shared" si="327"/>
        <v>0</v>
      </c>
      <c r="H1096" s="418"/>
      <c r="I1096" s="415">
        <f t="shared" si="328"/>
        <v>185.21</v>
      </c>
      <c r="J1096" s="442">
        <f t="shared" si="329"/>
        <v>0.04</v>
      </c>
      <c r="K1096" s="418">
        <f t="shared" si="330"/>
        <v>0</v>
      </c>
      <c r="L1096" s="418">
        <f t="shared" si="331"/>
        <v>0</v>
      </c>
      <c r="M1096" s="417">
        <v>0</v>
      </c>
      <c r="N1096" s="408">
        <f t="shared" si="332"/>
        <v>185.21</v>
      </c>
    </row>
    <row r="1097" spans="1:15" x14ac:dyDescent="0.2">
      <c r="A1097" s="410">
        <f t="shared" si="333"/>
        <v>25</v>
      </c>
      <c r="B1097" s="446">
        <v>394.3</v>
      </c>
      <c r="C1097" s="414" t="s">
        <v>1074</v>
      </c>
      <c r="D1097" s="415">
        <f t="shared" si="326"/>
        <v>3104986.16</v>
      </c>
      <c r="E1097" s="417">
        <v>-2119</v>
      </c>
      <c r="F1097" s="417">
        <v>254</v>
      </c>
      <c r="G1097" s="415">
        <f t="shared" si="327"/>
        <v>3103121.16</v>
      </c>
      <c r="H1097" s="418"/>
      <c r="I1097" s="415">
        <f t="shared" si="328"/>
        <v>1275786.1499999999</v>
      </c>
      <c r="J1097" s="442">
        <f t="shared" si="329"/>
        <v>0.04</v>
      </c>
      <c r="K1097" s="418">
        <f t="shared" si="330"/>
        <v>10347</v>
      </c>
      <c r="L1097" s="418">
        <f t="shared" si="331"/>
        <v>-254</v>
      </c>
      <c r="M1097" s="417">
        <v>0</v>
      </c>
      <c r="N1097" s="408">
        <f t="shared" si="332"/>
        <v>1286387.1499999999</v>
      </c>
    </row>
    <row r="1098" spans="1:15" x14ac:dyDescent="0.2">
      <c r="A1098" s="410">
        <f t="shared" si="333"/>
        <v>26</v>
      </c>
      <c r="B1098" s="446">
        <v>395</v>
      </c>
      <c r="C1098" s="414" t="s">
        <v>1075</v>
      </c>
      <c r="D1098" s="415">
        <f t="shared" si="326"/>
        <v>9257.77</v>
      </c>
      <c r="E1098" s="417">
        <v>0</v>
      </c>
      <c r="F1098" s="417">
        <v>0</v>
      </c>
      <c r="G1098" s="415">
        <f t="shared" si="327"/>
        <v>9257.77</v>
      </c>
      <c r="H1098" s="418"/>
      <c r="I1098" s="415">
        <f t="shared" si="328"/>
        <v>7490.59</v>
      </c>
      <c r="J1098" s="442">
        <f t="shared" si="329"/>
        <v>0.05</v>
      </c>
      <c r="K1098" s="418">
        <f t="shared" si="330"/>
        <v>39</v>
      </c>
      <c r="L1098" s="418">
        <f t="shared" si="331"/>
        <v>0</v>
      </c>
      <c r="M1098" s="417">
        <v>0</v>
      </c>
      <c r="N1098" s="408">
        <f t="shared" si="332"/>
        <v>7529.59</v>
      </c>
    </row>
    <row r="1099" spans="1:15" x14ac:dyDescent="0.2">
      <c r="A1099" s="410">
        <f t="shared" si="333"/>
        <v>27</v>
      </c>
      <c r="B1099" s="446">
        <v>396</v>
      </c>
      <c r="C1099" s="414" t="s">
        <v>1076</v>
      </c>
      <c r="D1099" s="415">
        <f t="shared" si="326"/>
        <v>253134.72</v>
      </c>
      <c r="E1099" s="417">
        <v>0</v>
      </c>
      <c r="F1099" s="417">
        <v>0</v>
      </c>
      <c r="G1099" s="415">
        <f t="shared" si="327"/>
        <v>253134.72</v>
      </c>
      <c r="H1099" s="418"/>
      <c r="I1099" s="415">
        <f t="shared" si="328"/>
        <v>199321.72</v>
      </c>
      <c r="J1099" s="442">
        <f t="shared" si="329"/>
        <v>0</v>
      </c>
      <c r="K1099" s="418">
        <f t="shared" si="330"/>
        <v>0</v>
      </c>
      <c r="L1099" s="418">
        <f t="shared" si="331"/>
        <v>0</v>
      </c>
      <c r="M1099" s="417">
        <v>0</v>
      </c>
      <c r="N1099" s="408">
        <f t="shared" si="332"/>
        <v>199321.72</v>
      </c>
    </row>
    <row r="1100" spans="1:15" x14ac:dyDescent="0.2">
      <c r="A1100" s="410">
        <f t="shared" si="333"/>
        <v>28</v>
      </c>
      <c r="B1100" s="446">
        <v>398</v>
      </c>
      <c r="C1100" s="414" t="s">
        <v>1077</v>
      </c>
      <c r="D1100" s="421">
        <f t="shared" si="326"/>
        <v>225544.94</v>
      </c>
      <c r="E1100" s="1662">
        <v>38201</v>
      </c>
      <c r="F1100" s="1662">
        <v>-4584</v>
      </c>
      <c r="G1100" s="421">
        <f t="shared" si="327"/>
        <v>259161.94</v>
      </c>
      <c r="H1100" s="447"/>
      <c r="I1100" s="421">
        <f t="shared" si="328"/>
        <v>7925.59</v>
      </c>
      <c r="J1100" s="442">
        <f t="shared" si="329"/>
        <v>6.6699999999999995E-2</v>
      </c>
      <c r="K1100" s="421">
        <f t="shared" si="330"/>
        <v>1347</v>
      </c>
      <c r="L1100" s="421">
        <f t="shared" si="331"/>
        <v>4584</v>
      </c>
      <c r="M1100" s="430">
        <v>0</v>
      </c>
      <c r="N1100" s="423">
        <f t="shared" si="332"/>
        <v>4688.59</v>
      </c>
    </row>
    <row r="1101" spans="1:15" x14ac:dyDescent="0.2">
      <c r="A1101" s="410">
        <f t="shared" si="333"/>
        <v>29</v>
      </c>
      <c r="C1101" s="386" t="s">
        <v>1078</v>
      </c>
      <c r="D1101" s="447">
        <f>SUM(D1087:D1100)</f>
        <v>5327408.2799999993</v>
      </c>
      <c r="E1101" s="447">
        <f>SUM(E1087:E1100)</f>
        <v>31282</v>
      </c>
      <c r="F1101" s="447">
        <f>SUM(F1087:F1100)</f>
        <v>-3754</v>
      </c>
      <c r="G1101" s="447">
        <f>SUM(G1087:G1100)</f>
        <v>5354936.2799999993</v>
      </c>
      <c r="H1101" s="447"/>
      <c r="I1101" s="447">
        <f>SUM(I1087:I1100)</f>
        <v>2179858.27</v>
      </c>
      <c r="J1101" s="424"/>
      <c r="K1101" s="447">
        <f>SUM(K1087:K1100)</f>
        <v>29421</v>
      </c>
      <c r="L1101" s="447">
        <f>SUM(L1087:L1100)</f>
        <v>3754</v>
      </c>
      <c r="M1101" s="447">
        <f>SUM(M1087:M1100)</f>
        <v>0</v>
      </c>
      <c r="N1101" s="447">
        <f>SUM(N1087:N1100)</f>
        <v>2205525.27</v>
      </c>
    </row>
    <row r="1102" spans="1:15" x14ac:dyDescent="0.2">
      <c r="D1102" s="418"/>
      <c r="E1102" s="418"/>
      <c r="F1102" s="418"/>
      <c r="G1102" s="418"/>
      <c r="H1102" s="418"/>
      <c r="I1102" s="418"/>
      <c r="J1102" s="432"/>
      <c r="K1102" s="418"/>
      <c r="L1102" s="418"/>
      <c r="M1102" s="418"/>
    </row>
    <row r="1103" spans="1:15" x14ac:dyDescent="0.2">
      <c r="A1103" s="405">
        <f>A1101+1</f>
        <v>30</v>
      </c>
      <c r="B1103" s="448"/>
      <c r="C1103" s="411" t="s">
        <v>2287</v>
      </c>
      <c r="D1103" s="418"/>
      <c r="E1103" s="418"/>
      <c r="F1103" s="418"/>
      <c r="G1103" s="418"/>
      <c r="H1103" s="418"/>
      <c r="I1103" s="439"/>
      <c r="J1103" s="418"/>
      <c r="K1103" s="418"/>
      <c r="L1103" s="418"/>
      <c r="M1103" s="418"/>
    </row>
    <row r="1104" spans="1:15" x14ac:dyDescent="0.2">
      <c r="A1104" s="1722">
        <f>A1103+1</f>
        <v>31</v>
      </c>
      <c r="B1104" s="446">
        <v>378.21</v>
      </c>
      <c r="C1104" s="1725" t="s">
        <v>2244</v>
      </c>
      <c r="D1104" s="415">
        <f>G998</f>
        <v>-777092</v>
      </c>
      <c r="E1104" s="417">
        <v>0</v>
      </c>
      <c r="F1104" s="417">
        <v>0</v>
      </c>
      <c r="G1104" s="415">
        <f t="shared" ref="G1104" si="334">SUM(D1104:F1104)</f>
        <v>-777092</v>
      </c>
      <c r="H1104" s="418"/>
      <c r="I1104" s="415">
        <f>N998</f>
        <v>-40236.446666666641</v>
      </c>
      <c r="J1104" s="419" t="s">
        <v>1094</v>
      </c>
      <c r="K1104" s="417">
        <v>-2158.5833333333321</v>
      </c>
      <c r="L1104" s="418">
        <f t="shared" ref="L1104" si="335">-F1104</f>
        <v>0</v>
      </c>
      <c r="M1104" s="417">
        <v>0</v>
      </c>
      <c r="N1104" s="408">
        <f t="shared" ref="N1104" si="336">I1104+K1104-L1104+M1104</f>
        <v>-42395.02999999997</v>
      </c>
      <c r="O1104" s="408"/>
    </row>
    <row r="1105" spans="1:15" x14ac:dyDescent="0.2">
      <c r="A1105" s="1722"/>
      <c r="B1105" s="446"/>
      <c r="C1105" s="438"/>
      <c r="D1105" s="415"/>
      <c r="E1105" s="417"/>
      <c r="F1105" s="417"/>
      <c r="G1105" s="415"/>
      <c r="H1105" s="418"/>
      <c r="I1105" s="419"/>
      <c r="J1105" s="419"/>
      <c r="K1105" s="417"/>
      <c r="L1105" s="418"/>
      <c r="M1105" s="417"/>
      <c r="N1105" s="408"/>
      <c r="O1105" s="408"/>
    </row>
    <row r="1106" spans="1:15" x14ac:dyDescent="0.2">
      <c r="A1106" s="410">
        <f>A1104+1</f>
        <v>32</v>
      </c>
      <c r="C1106" s="386" t="s">
        <v>774</v>
      </c>
      <c r="D1106" s="450">
        <f>D1101+D1084+D1029+D1025+D1104</f>
        <v>419335407.36999989</v>
      </c>
      <c r="E1106" s="450">
        <f>E1101+E1084+E1029+E1025+E1104</f>
        <v>2316513</v>
      </c>
      <c r="F1106" s="450">
        <f>F1101+F1084+F1029+F1025+F1104</f>
        <v>-253727</v>
      </c>
      <c r="G1106" s="450">
        <f>G1101+G1084+G1029+G1025+G1104</f>
        <v>421398193.36999989</v>
      </c>
      <c r="H1106" s="418"/>
      <c r="I1106" s="450">
        <f>I1101+I1084+I1029+I1025+I1104</f>
        <v>145844665.46864286</v>
      </c>
      <c r="J1106" s="451"/>
      <c r="K1106" s="450">
        <f>K1101+K1084+K1029+K1025+K1104</f>
        <v>791145.84427415847</v>
      </c>
      <c r="L1106" s="450">
        <f>L1101+L1084+L1029+L1025+L1104</f>
        <v>253727</v>
      </c>
      <c r="M1106" s="450">
        <f>M1101+M1084+M1029+M1025+M1104</f>
        <v>-61002</v>
      </c>
      <c r="N1106" s="450">
        <f>N1101+N1084+N1029+N1025+N1104</f>
        <v>146321082.31291705</v>
      </c>
    </row>
    <row r="1108" spans="1:15" x14ac:dyDescent="0.2">
      <c r="A1108" s="2073" t="str">
        <f>co</f>
        <v>COLUMBIA GAS OF KENTUCKY, INC.</v>
      </c>
      <c r="B1108" s="2073"/>
      <c r="C1108" s="2073"/>
      <c r="D1108" s="2073"/>
      <c r="E1108" s="2073"/>
      <c r="F1108" s="2073"/>
      <c r="G1108" s="2073"/>
      <c r="H1108" s="2073"/>
      <c r="I1108" s="2073"/>
      <c r="J1108" s="2073"/>
      <c r="K1108" s="2073"/>
      <c r="L1108" s="2073"/>
      <c r="M1108" s="2073"/>
      <c r="N1108" s="2073"/>
    </row>
    <row r="1109" spans="1:15" x14ac:dyDescent="0.2">
      <c r="A1109" s="2073" t="str">
        <f>case</f>
        <v>CASE NO. 2016 - 00162</v>
      </c>
      <c r="B1109" s="2073"/>
      <c r="C1109" s="2073"/>
      <c r="D1109" s="2073"/>
      <c r="E1109" s="2073"/>
      <c r="F1109" s="2073"/>
      <c r="G1109" s="2073"/>
      <c r="H1109" s="2073"/>
      <c r="I1109" s="2073"/>
      <c r="J1109" s="2073"/>
      <c r="K1109" s="2073"/>
      <c r="L1109" s="2073"/>
      <c r="M1109" s="2073"/>
      <c r="N1109" s="2073"/>
    </row>
    <row r="1110" spans="1:15" x14ac:dyDescent="0.2">
      <c r="A1110" s="2074" t="s">
        <v>1106</v>
      </c>
      <c r="B1110" s="2073"/>
      <c r="C1110" s="2073"/>
      <c r="D1110" s="2073"/>
      <c r="E1110" s="2073"/>
      <c r="F1110" s="2073"/>
      <c r="G1110" s="2073"/>
      <c r="H1110" s="2073"/>
      <c r="I1110" s="2073"/>
      <c r="J1110" s="2073"/>
      <c r="K1110" s="2073"/>
      <c r="L1110" s="2073"/>
      <c r="M1110" s="2073"/>
      <c r="N1110" s="2073"/>
    </row>
    <row r="1111" spans="1:15" x14ac:dyDescent="0.2">
      <c r="A1111" s="2078" t="s">
        <v>2142</v>
      </c>
      <c r="B1111" s="2078"/>
      <c r="C1111" s="2078"/>
      <c r="D1111" s="2078"/>
      <c r="E1111" s="2078"/>
      <c r="F1111" s="2078"/>
      <c r="G1111" s="2078"/>
      <c r="H1111" s="2078"/>
      <c r="I1111" s="2078"/>
      <c r="J1111" s="2078"/>
      <c r="K1111" s="2078"/>
      <c r="L1111" s="2078"/>
      <c r="M1111" s="2078"/>
      <c r="N1111" s="2078"/>
    </row>
    <row r="1113" spans="1:15" x14ac:dyDescent="0.2">
      <c r="A1113" s="385" t="s">
        <v>1095</v>
      </c>
      <c r="I1113" s="386"/>
      <c r="N1113" s="387" t="s">
        <v>763</v>
      </c>
    </row>
    <row r="1114" spans="1:15" x14ac:dyDescent="0.2">
      <c r="A1114" s="388" t="s">
        <v>977</v>
      </c>
      <c r="I1114" s="386"/>
      <c r="N1114" s="387" t="s">
        <v>998</v>
      </c>
    </row>
    <row r="1115" spans="1:15" x14ac:dyDescent="0.2">
      <c r="A1115" s="390" t="s">
        <v>997</v>
      </c>
      <c r="B1115" s="391"/>
      <c r="C1115" s="391"/>
      <c r="D1115" s="391"/>
      <c r="E1115" s="391"/>
      <c r="F1115" s="391"/>
      <c r="G1115" s="391"/>
      <c r="H1115" s="391"/>
      <c r="I1115" s="392"/>
      <c r="L1115" s="386"/>
      <c r="M1115" s="386"/>
      <c r="N1115" s="393" t="str">
        <f>SMK</f>
        <v>WITNESS:  S. M. KATKO</v>
      </c>
    </row>
    <row r="1116" spans="1:15" x14ac:dyDescent="0.2">
      <c r="A1116" s="390"/>
      <c r="B1116" s="391"/>
      <c r="C1116" s="391"/>
      <c r="D1116" s="391"/>
      <c r="E1116" s="391"/>
      <c r="F1116" s="391"/>
      <c r="G1116" s="391"/>
      <c r="H1116" s="391"/>
      <c r="I1116" s="392"/>
      <c r="J1116" s="393"/>
      <c r="L1116" s="386"/>
      <c r="M1116" s="386"/>
    </row>
    <row r="1117" spans="1:15" x14ac:dyDescent="0.2">
      <c r="A1117" s="390"/>
      <c r="B1117" s="391"/>
      <c r="C1117" s="391"/>
      <c r="D1117" s="2075" t="s">
        <v>1088</v>
      </c>
      <c r="E1117" s="2075"/>
      <c r="F1117" s="2075"/>
      <c r="G1117" s="2075"/>
      <c r="H1117" s="391"/>
      <c r="I1117" s="2076" t="s">
        <v>1093</v>
      </c>
      <c r="J1117" s="2077"/>
      <c r="K1117" s="2077"/>
      <c r="L1117" s="2077"/>
      <c r="M1117" s="2077"/>
      <c r="N1117" s="2077"/>
    </row>
    <row r="1118" spans="1:15" x14ac:dyDescent="0.2">
      <c r="A1118" s="394"/>
      <c r="B1118" s="391"/>
      <c r="C1118" s="391"/>
      <c r="D1118" s="396" t="s">
        <v>1084</v>
      </c>
      <c r="E1118" s="391"/>
      <c r="F1118" s="391"/>
      <c r="G1118" s="395"/>
      <c r="H1118" s="395"/>
      <c r="I1118" s="397" t="s">
        <v>1089</v>
      </c>
      <c r="J1118" s="396"/>
      <c r="M1118" s="386"/>
    </row>
    <row r="1119" spans="1:15" x14ac:dyDescent="0.2">
      <c r="A1119" s="383"/>
      <c r="D1119" s="397" t="s">
        <v>865</v>
      </c>
      <c r="G1119" s="397" t="s">
        <v>867</v>
      </c>
      <c r="H1119" s="398"/>
      <c r="I1119" s="397" t="s">
        <v>865</v>
      </c>
      <c r="J1119" s="397" t="s">
        <v>956</v>
      </c>
      <c r="M1119" s="386"/>
      <c r="N1119" s="397" t="s">
        <v>867</v>
      </c>
    </row>
    <row r="1120" spans="1:15" x14ac:dyDescent="0.2">
      <c r="A1120" s="397" t="s">
        <v>1080</v>
      </c>
      <c r="B1120" s="397" t="s">
        <v>1082</v>
      </c>
      <c r="D1120" s="397" t="s">
        <v>867</v>
      </c>
      <c r="G1120" s="399" t="s">
        <v>1087</v>
      </c>
      <c r="H1120" s="398"/>
      <c r="I1120" s="399" t="s">
        <v>867</v>
      </c>
      <c r="J1120" s="397" t="s">
        <v>1090</v>
      </c>
      <c r="K1120" s="397" t="s">
        <v>956</v>
      </c>
      <c r="M1120" s="399" t="s">
        <v>1092</v>
      </c>
      <c r="N1120" s="399" t="s">
        <v>1087</v>
      </c>
    </row>
    <row r="1121" spans="1:14" x14ac:dyDescent="0.2">
      <c r="A1121" s="400" t="s">
        <v>1081</v>
      </c>
      <c r="B1121" s="400" t="s">
        <v>1081</v>
      </c>
      <c r="C1121" s="401" t="s">
        <v>1083</v>
      </c>
      <c r="D1121" s="409" t="str">
        <f>"12/31/2016"</f>
        <v>12/31/2016</v>
      </c>
      <c r="E1121" s="400" t="s">
        <v>1085</v>
      </c>
      <c r="F1121" s="400" t="s">
        <v>1086</v>
      </c>
      <c r="G1121" s="409" t="str">
        <f>"01/31/2017"</f>
        <v>01/31/2017</v>
      </c>
      <c r="H1121" s="398"/>
      <c r="I1121" s="404" t="str">
        <f>D1121</f>
        <v>12/31/2016</v>
      </c>
      <c r="J1121" s="400" t="s">
        <v>1091</v>
      </c>
      <c r="K1121" s="402" t="s">
        <v>1090</v>
      </c>
      <c r="L1121" s="402" t="s">
        <v>1086</v>
      </c>
      <c r="M1121" s="402" t="s">
        <v>955</v>
      </c>
      <c r="N1121" s="404" t="str">
        <f>G1121</f>
        <v>01/31/2017</v>
      </c>
    </row>
    <row r="1122" spans="1:14" x14ac:dyDescent="0.2">
      <c r="A1122" s="406"/>
      <c r="B1122" s="406"/>
      <c r="C1122" s="406"/>
      <c r="D1122" s="406" t="str">
        <f>"(1)"</f>
        <v>(1)</v>
      </c>
      <c r="E1122" s="406" t="str">
        <f>"(2)"</f>
        <v>(2)</v>
      </c>
      <c r="F1122" s="406" t="str">
        <f>"(3)"</f>
        <v>(3)</v>
      </c>
      <c r="G1122" s="406" t="str">
        <f>"(4)=(1+2+3)"</f>
        <v>(4)=(1+2+3)</v>
      </c>
      <c r="H1122" s="406"/>
      <c r="I1122" s="406" t="str">
        <f>"(5)"</f>
        <v>(5)</v>
      </c>
      <c r="J1122" s="406" t="str">
        <f>"(6)"</f>
        <v>(6)</v>
      </c>
      <c r="K1122" s="406" t="str">
        <f>"(7)=((1+4)/2*6/12))"</f>
        <v>(7)=((1+4)/2*6/12))</v>
      </c>
      <c r="L1122" s="406" t="str">
        <f>"(8)"</f>
        <v>(8)</v>
      </c>
      <c r="M1122" s="406" t="str">
        <f>"(9)"</f>
        <v>(9)</v>
      </c>
      <c r="N1122" s="406" t="str">
        <f>"(10)=(5+7-8+9)"</f>
        <v>(10)=(5+7-8+9)</v>
      </c>
    </row>
    <row r="1123" spans="1:14" x14ac:dyDescent="0.2">
      <c r="D1123" s="410" t="s">
        <v>639</v>
      </c>
      <c r="E1123" s="410" t="s">
        <v>639</v>
      </c>
      <c r="F1123" s="410" t="s">
        <v>639</v>
      </c>
      <c r="G1123" s="410" t="s">
        <v>639</v>
      </c>
      <c r="H1123" s="410"/>
      <c r="I1123" s="410" t="s">
        <v>639</v>
      </c>
      <c r="J1123" s="410" t="s">
        <v>639</v>
      </c>
      <c r="K1123" s="410" t="s">
        <v>639</v>
      </c>
      <c r="L1123" s="410" t="s">
        <v>639</v>
      </c>
      <c r="M1123" s="410" t="s">
        <v>639</v>
      </c>
      <c r="N1123" s="410" t="s">
        <v>639</v>
      </c>
    </row>
    <row r="1124" spans="1:14" x14ac:dyDescent="0.2">
      <c r="A1124" s="410">
        <v>1</v>
      </c>
      <c r="B1124" s="411" t="s">
        <v>1025</v>
      </c>
      <c r="C1124" s="412"/>
      <c r="M1124" s="386"/>
    </row>
    <row r="1125" spans="1:14" x14ac:dyDescent="0.2">
      <c r="A1125" s="410">
        <f>A1124+1</f>
        <v>2</v>
      </c>
      <c r="C1125" s="411" t="s">
        <v>697</v>
      </c>
      <c r="M1125" s="386"/>
    </row>
    <row r="1126" spans="1:14" x14ac:dyDescent="0.2">
      <c r="A1126" s="410">
        <f t="shared" ref="A1126:A1131" si="337">A1125+1</f>
        <v>3</v>
      </c>
      <c r="B1126" s="413">
        <v>301</v>
      </c>
      <c r="C1126" s="414" t="s">
        <v>1026</v>
      </c>
      <c r="D1126" s="415">
        <f>G1020</f>
        <v>521.20000000000005</v>
      </c>
      <c r="E1126" s="417">
        <v>0</v>
      </c>
      <c r="F1126" s="417">
        <v>0</v>
      </c>
      <c r="G1126" s="415">
        <f>SUM(D1126:F1126)</f>
        <v>521.20000000000005</v>
      </c>
      <c r="H1126" s="418"/>
      <c r="I1126" s="415">
        <f>N1020</f>
        <v>0</v>
      </c>
      <c r="J1126" s="419" t="s">
        <v>1094</v>
      </c>
      <c r="K1126" s="417">
        <v>0</v>
      </c>
      <c r="L1126" s="418">
        <f>-F1126</f>
        <v>0</v>
      </c>
      <c r="M1126" s="417">
        <v>0</v>
      </c>
      <c r="N1126" s="408">
        <f>I1126+K1126-L1126+M1126</f>
        <v>0</v>
      </c>
    </row>
    <row r="1127" spans="1:14" x14ac:dyDescent="0.2">
      <c r="A1127" s="410">
        <f t="shared" si="337"/>
        <v>4</v>
      </c>
      <c r="B1127" s="413">
        <v>303</v>
      </c>
      <c r="C1127" s="414" t="s">
        <v>1027</v>
      </c>
      <c r="D1127" s="415">
        <f>G1021</f>
        <v>74347.509999999995</v>
      </c>
      <c r="E1127" s="417">
        <v>0</v>
      </c>
      <c r="F1127" s="417">
        <v>0</v>
      </c>
      <c r="G1127" s="415">
        <f>SUM(D1127:F1127)</f>
        <v>74347.509999999995</v>
      </c>
      <c r="H1127" s="418"/>
      <c r="I1127" s="415">
        <f>N1021</f>
        <v>47864.629999999968</v>
      </c>
      <c r="J1127" s="419" t="s">
        <v>1094</v>
      </c>
      <c r="K1127" s="415">
        <f>'Intangible Amort.'!G$110</f>
        <v>206.52</v>
      </c>
      <c r="L1127" s="418">
        <f>-F1127</f>
        <v>0</v>
      </c>
      <c r="M1127" s="417">
        <v>0</v>
      </c>
      <c r="N1127" s="408">
        <f>I1127+K1127-L1127+M1127</f>
        <v>48071.149999999965</v>
      </c>
    </row>
    <row r="1128" spans="1:14" x14ac:dyDescent="0.2">
      <c r="A1128" s="410">
        <f t="shared" si="337"/>
        <v>5</v>
      </c>
      <c r="B1128" s="413">
        <v>303.10000000000002</v>
      </c>
      <c r="C1128" s="414" t="s">
        <v>1028</v>
      </c>
      <c r="D1128" s="415">
        <f>G1022</f>
        <v>0</v>
      </c>
      <c r="E1128" s="417">
        <v>0</v>
      </c>
      <c r="F1128" s="417">
        <v>0</v>
      </c>
      <c r="G1128" s="415">
        <f>SUM(D1128:F1128)</f>
        <v>0</v>
      </c>
      <c r="H1128" s="418"/>
      <c r="I1128" s="415">
        <f>N1022</f>
        <v>0</v>
      </c>
      <c r="J1128" s="419" t="s">
        <v>1094</v>
      </c>
      <c r="K1128" s="417">
        <v>0</v>
      </c>
      <c r="L1128" s="418">
        <f>-F1128</f>
        <v>0</v>
      </c>
      <c r="M1128" s="417">
        <v>0</v>
      </c>
      <c r="N1128" s="408">
        <f>I1128+K1128-L1128+M1128</f>
        <v>0</v>
      </c>
    </row>
    <row r="1129" spans="1:14" x14ac:dyDescent="0.2">
      <c r="A1129" s="410">
        <f t="shared" si="337"/>
        <v>6</v>
      </c>
      <c r="B1129" s="413">
        <v>303.2</v>
      </c>
      <c r="C1129" s="414" t="s">
        <v>1029</v>
      </c>
      <c r="D1129" s="415">
        <f>G1023</f>
        <v>0</v>
      </c>
      <c r="E1129" s="417">
        <v>0</v>
      </c>
      <c r="F1129" s="417">
        <v>0</v>
      </c>
      <c r="G1129" s="415">
        <f>SUM(D1129:F1129)</f>
        <v>0</v>
      </c>
      <c r="H1129" s="418"/>
      <c r="I1129" s="415">
        <f>N1023</f>
        <v>0</v>
      </c>
      <c r="J1129" s="419" t="s">
        <v>1094</v>
      </c>
      <c r="K1129" s="417">
        <v>0</v>
      </c>
      <c r="L1129" s="418">
        <f>-F1129</f>
        <v>0</v>
      </c>
      <c r="M1129" s="417">
        <v>0</v>
      </c>
      <c r="N1129" s="408">
        <f>I1129+K1129-L1129+M1129</f>
        <v>0</v>
      </c>
    </row>
    <row r="1130" spans="1:14" x14ac:dyDescent="0.2">
      <c r="A1130" s="410">
        <f t="shared" si="337"/>
        <v>7</v>
      </c>
      <c r="B1130" s="413">
        <v>303.3</v>
      </c>
      <c r="C1130" s="414" t="s">
        <v>1030</v>
      </c>
      <c r="D1130" s="421">
        <f>G1024</f>
        <v>6830686</v>
      </c>
      <c r="E1130" s="422">
        <v>0</v>
      </c>
      <c r="F1130" s="422">
        <v>0</v>
      </c>
      <c r="G1130" s="421">
        <f>SUM(D1130:F1130)</f>
        <v>6830686</v>
      </c>
      <c r="H1130" s="418"/>
      <c r="I1130" s="421">
        <f>N1024</f>
        <v>2896198.1681801807</v>
      </c>
      <c r="J1130" s="419" t="s">
        <v>1094</v>
      </c>
      <c r="K1130" s="421">
        <f>'Intangible Amort.'!G$188</f>
        <v>84501.36277039905</v>
      </c>
      <c r="L1130" s="421">
        <f>-F1130</f>
        <v>0</v>
      </c>
      <c r="M1130" s="422">
        <v>0</v>
      </c>
      <c r="N1130" s="423">
        <f>I1130+K1130-L1130+M1130</f>
        <v>2980699.5309505798</v>
      </c>
    </row>
    <row r="1131" spans="1:14" x14ac:dyDescent="0.2">
      <c r="A1131" s="410">
        <f t="shared" si="337"/>
        <v>8</v>
      </c>
      <c r="B1131" s="413"/>
      <c r="C1131" s="414" t="s">
        <v>1031</v>
      </c>
      <c r="D1131" s="418">
        <f>SUM(D1126:D1130)</f>
        <v>6905554.71</v>
      </c>
      <c r="E1131" s="418">
        <f>SUM(E1126:E1130)</f>
        <v>0</v>
      </c>
      <c r="F1131" s="418">
        <f>SUM(F1126:F1130)</f>
        <v>0</v>
      </c>
      <c r="G1131" s="418">
        <f>SUM(G1126:G1130)</f>
        <v>6905554.71</v>
      </c>
      <c r="H1131" s="418"/>
      <c r="I1131" s="418">
        <f>SUM(I1126:I1130)</f>
        <v>2944062.7981801806</v>
      </c>
      <c r="J1131" s="424"/>
      <c r="K1131" s="418">
        <f>SUM(K1126:K1130)</f>
        <v>84707.882770399054</v>
      </c>
      <c r="L1131" s="418">
        <f>SUM(L1126:L1130)</f>
        <v>0</v>
      </c>
      <c r="M1131" s="418">
        <f>SUM(M1126:M1130)</f>
        <v>0</v>
      </c>
      <c r="N1131" s="418">
        <f>SUM(N1126:N1130)</f>
        <v>3028770.6809505797</v>
      </c>
    </row>
    <row r="1132" spans="1:14" x14ac:dyDescent="0.2">
      <c r="B1132" s="425"/>
      <c r="D1132" s="418"/>
      <c r="E1132" s="418"/>
      <c r="F1132" s="418"/>
      <c r="G1132" s="418"/>
      <c r="H1132" s="418"/>
      <c r="I1132" s="418"/>
      <c r="J1132" s="424"/>
      <c r="K1132" s="418"/>
      <c r="L1132" s="418"/>
      <c r="M1132" s="418"/>
    </row>
    <row r="1133" spans="1:14" x14ac:dyDescent="0.2">
      <c r="A1133" s="410">
        <f>A1131+1</f>
        <v>9</v>
      </c>
      <c r="B1133" s="425"/>
      <c r="C1133" s="411" t="s">
        <v>704</v>
      </c>
      <c r="D1133" s="418"/>
      <c r="E1133" s="418"/>
      <c r="F1133" s="418"/>
      <c r="G1133" s="418"/>
      <c r="H1133" s="418"/>
      <c r="I1133" s="418"/>
      <c r="J1133" s="424"/>
      <c r="K1133" s="418"/>
      <c r="L1133" s="418"/>
      <c r="M1133" s="418"/>
    </row>
    <row r="1134" spans="1:14" x14ac:dyDescent="0.2">
      <c r="A1134" s="410">
        <f>A1133+1</f>
        <v>10</v>
      </c>
      <c r="B1134" s="426">
        <v>304.10000000000002</v>
      </c>
      <c r="C1134" s="427" t="s">
        <v>1032</v>
      </c>
      <c r="D1134" s="421">
        <f>G1028</f>
        <v>0</v>
      </c>
      <c r="E1134" s="1662">
        <v>0</v>
      </c>
      <c r="F1134" s="1662">
        <v>0</v>
      </c>
      <c r="G1134" s="421">
        <f>SUM(D1134:F1134)</f>
        <v>0</v>
      </c>
      <c r="H1134" s="418"/>
      <c r="I1134" s="421">
        <f>N1028</f>
        <v>0</v>
      </c>
      <c r="J1134" s="429" t="s">
        <v>1102</v>
      </c>
      <c r="K1134" s="430">
        <v>0</v>
      </c>
      <c r="L1134" s="421">
        <f>-F1134</f>
        <v>0</v>
      </c>
      <c r="M1134" s="422">
        <v>0</v>
      </c>
      <c r="N1134" s="423">
        <f>I1134+K1134-L1134+M1134</f>
        <v>0</v>
      </c>
    </row>
    <row r="1135" spans="1:14" x14ac:dyDescent="0.2">
      <c r="A1135" s="410">
        <f>A1134+1</f>
        <v>11</v>
      </c>
      <c r="B1135" s="426"/>
      <c r="C1135" s="431" t="s">
        <v>1079</v>
      </c>
      <c r="D1135" s="418">
        <f>D1134</f>
        <v>0</v>
      </c>
      <c r="E1135" s="418">
        <f>E1134</f>
        <v>0</v>
      </c>
      <c r="F1135" s="418">
        <f>F1134</f>
        <v>0</v>
      </c>
      <c r="G1135" s="418">
        <f>G1134</f>
        <v>0</v>
      </c>
      <c r="H1135" s="418"/>
      <c r="I1135" s="418">
        <f>I1134</f>
        <v>0</v>
      </c>
      <c r="J1135" s="432"/>
      <c r="K1135" s="418">
        <f>SUM(K1134)</f>
        <v>0</v>
      </c>
      <c r="L1135" s="418">
        <f>SUM(L1134)</f>
        <v>0</v>
      </c>
      <c r="M1135" s="418">
        <f>M1134</f>
        <v>0</v>
      </c>
      <c r="N1135" s="418">
        <f>N1134</f>
        <v>0</v>
      </c>
    </row>
    <row r="1136" spans="1:14" x14ac:dyDescent="0.2">
      <c r="B1136" s="425"/>
      <c r="D1136" s="418"/>
      <c r="E1136" s="418"/>
      <c r="F1136" s="418"/>
      <c r="G1136" s="418"/>
      <c r="H1136" s="418"/>
      <c r="I1136" s="418"/>
      <c r="J1136" s="432"/>
      <c r="K1136" s="418"/>
      <c r="L1136" s="418"/>
      <c r="M1136" s="418"/>
    </row>
    <row r="1137" spans="1:14" x14ac:dyDescent="0.2">
      <c r="A1137" s="410">
        <f>A1135+1</f>
        <v>12</v>
      </c>
      <c r="B1137" s="425"/>
      <c r="C1137" s="411" t="s">
        <v>707</v>
      </c>
      <c r="D1137" s="418"/>
      <c r="E1137" s="418"/>
      <c r="F1137" s="418"/>
      <c r="G1137" s="418"/>
      <c r="H1137" s="418"/>
      <c r="I1137" s="418"/>
      <c r="J1137" s="432"/>
      <c r="K1137" s="418"/>
      <c r="L1137" s="418"/>
      <c r="M1137" s="418"/>
    </row>
    <row r="1138" spans="1:14" x14ac:dyDescent="0.2">
      <c r="A1138" s="410">
        <f>A1137+1</f>
        <v>13</v>
      </c>
      <c r="B1138" s="413">
        <v>374.1</v>
      </c>
      <c r="C1138" s="414" t="s">
        <v>1035</v>
      </c>
      <c r="D1138" s="415">
        <f t="shared" ref="D1138:D1148" si="338">G1032</f>
        <v>206</v>
      </c>
      <c r="E1138" s="417">
        <v>0</v>
      </c>
      <c r="F1138" s="417">
        <v>0</v>
      </c>
      <c r="G1138" s="415">
        <f>SUM(D1138:F1138)</f>
        <v>206</v>
      </c>
      <c r="H1138" s="418"/>
      <c r="I1138" s="415">
        <f t="shared" ref="I1138:I1148" si="339">N1032</f>
        <v>0</v>
      </c>
      <c r="J1138" s="429" t="s">
        <v>1102</v>
      </c>
      <c r="K1138" s="417">
        <v>0</v>
      </c>
      <c r="L1138" s="418">
        <f t="shared" ref="L1138:L1148" si="340">-F1138</f>
        <v>0</v>
      </c>
      <c r="M1138" s="417">
        <v>0</v>
      </c>
      <c r="N1138" s="408">
        <f t="shared" ref="N1138:N1148" si="341">I1138+K1138-L1138+M1138</f>
        <v>0</v>
      </c>
    </row>
    <row r="1139" spans="1:14" x14ac:dyDescent="0.2">
      <c r="A1139" s="410">
        <f t="shared" ref="A1139:A1159" si="342">A1138+1</f>
        <v>14</v>
      </c>
      <c r="B1139" s="413">
        <v>374.2</v>
      </c>
      <c r="C1139" s="414" t="s">
        <v>1036</v>
      </c>
      <c r="D1139" s="415">
        <f t="shared" si="338"/>
        <v>877756.18</v>
      </c>
      <c r="E1139" s="417">
        <v>0</v>
      </c>
      <c r="F1139" s="417">
        <v>0</v>
      </c>
      <c r="G1139" s="415">
        <f t="shared" ref="G1139:G1148" si="343">SUM(D1139:F1139)</f>
        <v>877756.18</v>
      </c>
      <c r="H1139" s="418"/>
      <c r="I1139" s="415">
        <f t="shared" si="339"/>
        <v>-523.13</v>
      </c>
      <c r="J1139" s="429" t="s">
        <v>1102</v>
      </c>
      <c r="K1139" s="417">
        <v>0</v>
      </c>
      <c r="L1139" s="418">
        <f t="shared" si="340"/>
        <v>0</v>
      </c>
      <c r="M1139" s="417">
        <v>0</v>
      </c>
      <c r="N1139" s="408">
        <f t="shared" si="341"/>
        <v>-523.13</v>
      </c>
    </row>
    <row r="1140" spans="1:14" x14ac:dyDescent="0.2">
      <c r="A1140" s="410">
        <f t="shared" si="342"/>
        <v>15</v>
      </c>
      <c r="B1140" s="413">
        <v>374.4</v>
      </c>
      <c r="C1140" s="414" t="s">
        <v>1037</v>
      </c>
      <c r="D1140" s="415">
        <f t="shared" si="338"/>
        <v>661305.66</v>
      </c>
      <c r="E1140" s="417">
        <v>0</v>
      </c>
      <c r="F1140" s="417">
        <v>0</v>
      </c>
      <c r="G1140" s="415">
        <f t="shared" si="343"/>
        <v>661305.66</v>
      </c>
      <c r="H1140" s="418"/>
      <c r="I1140" s="415">
        <f t="shared" si="339"/>
        <v>178883.36</v>
      </c>
      <c r="J1140" s="433">
        <v>1.7399999999999999E-2</v>
      </c>
      <c r="K1140" s="418">
        <f>ROUND((G1140+D1140)/2*J1140/12,0)</f>
        <v>959</v>
      </c>
      <c r="L1140" s="418">
        <f t="shared" si="340"/>
        <v>0</v>
      </c>
      <c r="M1140" s="417">
        <v>0</v>
      </c>
      <c r="N1140" s="408">
        <f t="shared" si="341"/>
        <v>179842.36</v>
      </c>
    </row>
    <row r="1141" spans="1:14" x14ac:dyDescent="0.2">
      <c r="A1141" s="410">
        <f t="shared" si="342"/>
        <v>16</v>
      </c>
      <c r="B1141" s="413">
        <v>374.5</v>
      </c>
      <c r="C1141" s="414" t="s">
        <v>1038</v>
      </c>
      <c r="D1141" s="415">
        <f t="shared" si="338"/>
        <v>2703772.55</v>
      </c>
      <c r="E1141" s="417">
        <v>2400</v>
      </c>
      <c r="F1141" s="417">
        <v>-300</v>
      </c>
      <c r="G1141" s="415">
        <f t="shared" si="343"/>
        <v>2705872.55</v>
      </c>
      <c r="H1141" s="418"/>
      <c r="I1141" s="415">
        <f t="shared" si="339"/>
        <v>928828.23</v>
      </c>
      <c r="J1141" s="433">
        <v>1.29E-2</v>
      </c>
      <c r="K1141" s="418">
        <f t="shared" ref="K1141:K1146" si="344">ROUND((G1141+D1141)/2*J1141/12,0)</f>
        <v>2908</v>
      </c>
      <c r="L1141" s="418">
        <f t="shared" si="340"/>
        <v>300</v>
      </c>
      <c r="M1141" s="417">
        <v>0</v>
      </c>
      <c r="N1141" s="408">
        <f t="shared" si="341"/>
        <v>931436.23</v>
      </c>
    </row>
    <row r="1142" spans="1:14" x14ac:dyDescent="0.2">
      <c r="A1142" s="410">
        <f t="shared" si="342"/>
        <v>17</v>
      </c>
      <c r="B1142" s="413">
        <v>375.2</v>
      </c>
      <c r="C1142" s="414" t="s">
        <v>1039</v>
      </c>
      <c r="D1142" s="415">
        <f t="shared" si="338"/>
        <v>2124.98</v>
      </c>
      <c r="E1142" s="417">
        <v>0</v>
      </c>
      <c r="F1142" s="417">
        <v>0</v>
      </c>
      <c r="G1142" s="415">
        <f t="shared" si="343"/>
        <v>2124.98</v>
      </c>
      <c r="H1142" s="418"/>
      <c r="I1142" s="415">
        <f t="shared" si="339"/>
        <v>2027.32</v>
      </c>
      <c r="J1142" s="433">
        <v>3.1800000000000002E-2</v>
      </c>
      <c r="K1142" s="418">
        <f t="shared" si="344"/>
        <v>6</v>
      </c>
      <c r="L1142" s="418">
        <f t="shared" si="340"/>
        <v>0</v>
      </c>
      <c r="M1142" s="417">
        <v>0</v>
      </c>
      <c r="N1142" s="408">
        <f t="shared" si="341"/>
        <v>2033.32</v>
      </c>
    </row>
    <row r="1143" spans="1:14" x14ac:dyDescent="0.2">
      <c r="A1143" s="410">
        <f t="shared" si="342"/>
        <v>18</v>
      </c>
      <c r="B1143" s="413">
        <v>375.3</v>
      </c>
      <c r="C1143" s="414" t="s">
        <v>1040</v>
      </c>
      <c r="D1143" s="415">
        <f t="shared" si="338"/>
        <v>0</v>
      </c>
      <c r="E1143" s="417">
        <v>0</v>
      </c>
      <c r="F1143" s="417">
        <v>0</v>
      </c>
      <c r="G1143" s="415">
        <f t="shared" si="343"/>
        <v>0</v>
      </c>
      <c r="H1143" s="418"/>
      <c r="I1143" s="415">
        <f t="shared" si="339"/>
        <v>-77.66</v>
      </c>
      <c r="J1143" s="433">
        <v>3.1800000000000002E-2</v>
      </c>
      <c r="K1143" s="418">
        <f t="shared" si="344"/>
        <v>0</v>
      </c>
      <c r="L1143" s="418">
        <f t="shared" si="340"/>
        <v>0</v>
      </c>
      <c r="M1143" s="417">
        <v>0</v>
      </c>
      <c r="N1143" s="408">
        <f t="shared" si="341"/>
        <v>-77.66</v>
      </c>
    </row>
    <row r="1144" spans="1:14" x14ac:dyDescent="0.2">
      <c r="A1144" s="410">
        <f t="shared" si="342"/>
        <v>19</v>
      </c>
      <c r="B1144" s="413">
        <v>375.4</v>
      </c>
      <c r="C1144" s="414" t="s">
        <v>1041</v>
      </c>
      <c r="D1144" s="415">
        <f t="shared" si="338"/>
        <v>2098430.02</v>
      </c>
      <c r="E1144" s="417">
        <v>11900</v>
      </c>
      <c r="F1144" s="417">
        <v>-1400</v>
      </c>
      <c r="G1144" s="415">
        <f t="shared" si="343"/>
        <v>2108930.02</v>
      </c>
      <c r="H1144" s="418"/>
      <c r="I1144" s="415">
        <f t="shared" si="339"/>
        <v>483948.37</v>
      </c>
      <c r="J1144" s="433">
        <v>3.1800000000000002E-2</v>
      </c>
      <c r="K1144" s="418">
        <f t="shared" si="344"/>
        <v>5575</v>
      </c>
      <c r="L1144" s="418">
        <f t="shared" si="340"/>
        <v>1400</v>
      </c>
      <c r="M1144" s="417">
        <v>-100</v>
      </c>
      <c r="N1144" s="408">
        <f t="shared" si="341"/>
        <v>488023.37</v>
      </c>
    </row>
    <row r="1145" spans="1:14" x14ac:dyDescent="0.2">
      <c r="A1145" s="410">
        <f t="shared" si="342"/>
        <v>20</v>
      </c>
      <c r="B1145" s="413">
        <v>375.6</v>
      </c>
      <c r="C1145" s="414" t="s">
        <v>1042</v>
      </c>
      <c r="D1145" s="415">
        <f t="shared" si="338"/>
        <v>0</v>
      </c>
      <c r="E1145" s="417">
        <v>0</v>
      </c>
      <c r="F1145" s="417">
        <v>0</v>
      </c>
      <c r="G1145" s="415">
        <f t="shared" si="343"/>
        <v>0</v>
      </c>
      <c r="H1145" s="418"/>
      <c r="I1145" s="415">
        <f t="shared" si="339"/>
        <v>0.02</v>
      </c>
      <c r="J1145" s="433">
        <v>3.1800000000000002E-2</v>
      </c>
      <c r="K1145" s="418">
        <f t="shared" si="344"/>
        <v>0</v>
      </c>
      <c r="L1145" s="418">
        <f t="shared" si="340"/>
        <v>0</v>
      </c>
      <c r="M1145" s="417">
        <v>0</v>
      </c>
      <c r="N1145" s="408">
        <f t="shared" si="341"/>
        <v>0.02</v>
      </c>
    </row>
    <row r="1146" spans="1:14" x14ac:dyDescent="0.2">
      <c r="A1146" s="410">
        <f t="shared" si="342"/>
        <v>21</v>
      </c>
      <c r="B1146" s="413">
        <v>375.7</v>
      </c>
      <c r="C1146" s="414" t="s">
        <v>1043</v>
      </c>
      <c r="D1146" s="415">
        <f t="shared" si="338"/>
        <v>8255550.21</v>
      </c>
      <c r="E1146" s="417">
        <v>48300</v>
      </c>
      <c r="F1146" s="417">
        <v>-5800</v>
      </c>
      <c r="G1146" s="415">
        <f t="shared" si="343"/>
        <v>8298050.21</v>
      </c>
      <c r="H1146" s="418"/>
      <c r="I1146" s="415">
        <f t="shared" si="339"/>
        <v>3316198.06</v>
      </c>
      <c r="J1146" s="433">
        <v>2.1299999999999999E-2</v>
      </c>
      <c r="K1146" s="418">
        <f t="shared" si="344"/>
        <v>14691</v>
      </c>
      <c r="L1146" s="418">
        <f t="shared" si="340"/>
        <v>5800</v>
      </c>
      <c r="M1146" s="417">
        <v>0</v>
      </c>
      <c r="N1146" s="408">
        <f t="shared" si="341"/>
        <v>3325089.06</v>
      </c>
    </row>
    <row r="1147" spans="1:14" x14ac:dyDescent="0.2">
      <c r="A1147" s="410">
        <f t="shared" si="342"/>
        <v>22</v>
      </c>
      <c r="B1147" s="413">
        <v>375.71</v>
      </c>
      <c r="C1147" s="414" t="s">
        <v>1044</v>
      </c>
      <c r="D1147" s="415">
        <f t="shared" si="338"/>
        <v>259808.94</v>
      </c>
      <c r="E1147" s="417">
        <v>0</v>
      </c>
      <c r="F1147" s="417">
        <v>0</v>
      </c>
      <c r="G1147" s="415">
        <f t="shared" si="343"/>
        <v>259808.94</v>
      </c>
      <c r="H1147" s="418"/>
      <c r="I1147" s="415">
        <f t="shared" si="339"/>
        <v>182695.55473684223</v>
      </c>
      <c r="J1147" s="419" t="s">
        <v>1094</v>
      </c>
      <c r="K1147" s="417">
        <f>104653.88/38</f>
        <v>2754.0494736842106</v>
      </c>
      <c r="L1147" s="418">
        <f t="shared" si="340"/>
        <v>0</v>
      </c>
      <c r="M1147" s="417">
        <v>0</v>
      </c>
      <c r="N1147" s="408">
        <f t="shared" si="341"/>
        <v>185449.60421052645</v>
      </c>
    </row>
    <row r="1148" spans="1:14" x14ac:dyDescent="0.2">
      <c r="A1148" s="410">
        <f t="shared" si="342"/>
        <v>23</v>
      </c>
      <c r="B1148" s="413">
        <v>375.8</v>
      </c>
      <c r="C1148" s="414" t="s">
        <v>1045</v>
      </c>
      <c r="D1148" s="415">
        <f t="shared" si="338"/>
        <v>0</v>
      </c>
      <c r="E1148" s="417">
        <v>0</v>
      </c>
      <c r="F1148" s="417">
        <v>0</v>
      </c>
      <c r="G1148" s="415">
        <f t="shared" si="343"/>
        <v>0</v>
      </c>
      <c r="H1148" s="418"/>
      <c r="I1148" s="415">
        <f t="shared" si="339"/>
        <v>0</v>
      </c>
      <c r="J1148" s="433">
        <v>0</v>
      </c>
      <c r="K1148" s="417">
        <v>0</v>
      </c>
      <c r="L1148" s="418">
        <f t="shared" si="340"/>
        <v>0</v>
      </c>
      <c r="M1148" s="417">
        <v>0</v>
      </c>
      <c r="N1148" s="408">
        <f t="shared" si="341"/>
        <v>0</v>
      </c>
    </row>
    <row r="1149" spans="1:14" x14ac:dyDescent="0.2">
      <c r="A1149" s="410">
        <f>A1148+1</f>
        <v>24</v>
      </c>
      <c r="B1149" s="413">
        <v>376</v>
      </c>
      <c r="C1149" s="438" t="s">
        <v>1096</v>
      </c>
      <c r="D1149" s="415"/>
      <c r="E1149" s="416"/>
      <c r="F1149" s="417"/>
      <c r="G1149" s="415"/>
      <c r="H1149" s="418"/>
      <c r="I1149" s="439"/>
      <c r="J1149" s="452"/>
      <c r="K1149" s="418"/>
      <c r="L1149" s="418"/>
      <c r="M1149" s="417"/>
    </row>
    <row r="1150" spans="1:14" x14ac:dyDescent="0.2">
      <c r="A1150" s="410"/>
      <c r="B1150" s="413"/>
      <c r="C1150" s="440" t="s">
        <v>1097</v>
      </c>
      <c r="D1150" s="415"/>
      <c r="E1150" s="417"/>
      <c r="F1150" s="417"/>
      <c r="G1150" s="415"/>
      <c r="H1150" s="418"/>
      <c r="I1150" s="415"/>
      <c r="J1150" s="433"/>
      <c r="K1150" s="418"/>
      <c r="L1150" s="418"/>
      <c r="M1150" s="417"/>
      <c r="N1150" s="408"/>
    </row>
    <row r="1151" spans="1:14" x14ac:dyDescent="0.2">
      <c r="A1151" s="410"/>
      <c r="B1151" s="413"/>
      <c r="C1151" s="440" t="s">
        <v>1098</v>
      </c>
      <c r="D1151" s="415"/>
      <c r="E1151" s="417"/>
      <c r="F1151" s="417"/>
      <c r="G1151" s="415"/>
      <c r="H1151" s="418"/>
      <c r="I1151" s="415"/>
      <c r="J1151" s="433"/>
      <c r="K1151" s="418"/>
      <c r="L1151" s="418"/>
      <c r="M1151" s="417"/>
      <c r="N1151" s="408"/>
    </row>
    <row r="1152" spans="1:14" x14ac:dyDescent="0.2">
      <c r="A1152" s="410"/>
      <c r="B1152" s="413"/>
      <c r="C1152" s="440" t="s">
        <v>1099</v>
      </c>
      <c r="D1152" s="415"/>
      <c r="E1152" s="417"/>
      <c r="F1152" s="417"/>
      <c r="G1152" s="415"/>
      <c r="H1152" s="418"/>
      <c r="I1152" s="415"/>
      <c r="J1152" s="433"/>
      <c r="K1152" s="418"/>
      <c r="L1152" s="418"/>
      <c r="M1152" s="417"/>
      <c r="N1152" s="408"/>
    </row>
    <row r="1153" spans="1:14" x14ac:dyDescent="0.2">
      <c r="A1153" s="410"/>
      <c r="B1153" s="413"/>
      <c r="C1153" s="440" t="s">
        <v>1100</v>
      </c>
      <c r="D1153" s="415"/>
      <c r="E1153" s="417"/>
      <c r="F1153" s="417"/>
      <c r="G1153" s="415"/>
      <c r="H1153" s="418"/>
      <c r="I1153" s="415"/>
      <c r="J1153" s="433"/>
      <c r="K1153" s="418"/>
      <c r="L1153" s="418"/>
      <c r="M1153" s="417"/>
      <c r="N1153" s="408"/>
    </row>
    <row r="1154" spans="1:14" x14ac:dyDescent="0.2">
      <c r="A1154" s="410"/>
      <c r="B1154" s="413"/>
      <c r="C1154" s="440" t="s">
        <v>1101</v>
      </c>
      <c r="D1154" s="415">
        <f t="shared" ref="D1154:D1159" si="345">G1048</f>
        <v>213379005.44</v>
      </c>
      <c r="E1154" s="417">
        <f>526400+32320</f>
        <v>558720</v>
      </c>
      <c r="F1154" s="417">
        <v>-67000</v>
      </c>
      <c r="G1154" s="415">
        <f t="shared" ref="G1154:G1159" si="346">SUM(D1154:F1154)</f>
        <v>213870725.44</v>
      </c>
      <c r="H1154" s="418"/>
      <c r="I1154" s="415">
        <f t="shared" ref="I1154:I1159" si="347">N1048</f>
        <v>57454749.609999999</v>
      </c>
      <c r="J1154" s="433">
        <v>2.3E-2</v>
      </c>
      <c r="K1154" s="418">
        <f t="shared" ref="K1154:K1159" si="348">ROUND((G1154+D1154)/2*J1154/12,0)</f>
        <v>409448</v>
      </c>
      <c r="L1154" s="418">
        <f t="shared" ref="L1154:L1159" si="349">-F1154</f>
        <v>67000</v>
      </c>
      <c r="M1154" s="417">
        <v>-10100</v>
      </c>
      <c r="N1154" s="408">
        <f t="shared" ref="N1154:N1159" si="350">I1154+K1154-L1154+M1154</f>
        <v>57787097.609999999</v>
      </c>
    </row>
    <row r="1155" spans="1:14" x14ac:dyDescent="0.2">
      <c r="A1155" s="410">
        <f>A1149+1</f>
        <v>25</v>
      </c>
      <c r="B1155" s="413">
        <v>378.1</v>
      </c>
      <c r="C1155" s="414" t="s">
        <v>1047</v>
      </c>
      <c r="D1155" s="415">
        <f t="shared" si="345"/>
        <v>518504.18</v>
      </c>
      <c r="E1155" s="417">
        <v>0</v>
      </c>
      <c r="F1155" s="417">
        <v>0</v>
      </c>
      <c r="G1155" s="415">
        <f t="shared" si="346"/>
        <v>518504.18</v>
      </c>
      <c r="H1155" s="418"/>
      <c r="I1155" s="415">
        <f t="shared" si="347"/>
        <v>363461.81</v>
      </c>
      <c r="J1155" s="433">
        <v>3.32E-2</v>
      </c>
      <c r="K1155" s="418">
        <f t="shared" si="348"/>
        <v>1435</v>
      </c>
      <c r="L1155" s="418">
        <f t="shared" si="349"/>
        <v>0</v>
      </c>
      <c r="M1155" s="417">
        <v>0</v>
      </c>
      <c r="N1155" s="408">
        <f t="shared" si="350"/>
        <v>364896.81</v>
      </c>
    </row>
    <row r="1156" spans="1:14" x14ac:dyDescent="0.2">
      <c r="A1156" s="410">
        <f t="shared" si="342"/>
        <v>26</v>
      </c>
      <c r="B1156" s="413">
        <v>378.2</v>
      </c>
      <c r="C1156" s="414" t="s">
        <v>1048</v>
      </c>
      <c r="D1156" s="415">
        <f t="shared" si="345"/>
        <v>9783924</v>
      </c>
      <c r="E1156" s="417">
        <f>16700</f>
        <v>16700</v>
      </c>
      <c r="F1156" s="417">
        <v>-2000</v>
      </c>
      <c r="G1156" s="415">
        <f t="shared" si="346"/>
        <v>9798624</v>
      </c>
      <c r="H1156" s="418"/>
      <c r="I1156" s="415">
        <f t="shared" si="347"/>
        <v>3368459.91</v>
      </c>
      <c r="J1156" s="433">
        <v>3.32E-2</v>
      </c>
      <c r="K1156" s="418">
        <f t="shared" si="348"/>
        <v>27089</v>
      </c>
      <c r="L1156" s="418">
        <f t="shared" si="349"/>
        <v>2000</v>
      </c>
      <c r="M1156" s="417">
        <v>-100</v>
      </c>
      <c r="N1156" s="408">
        <f t="shared" si="350"/>
        <v>3393448.91</v>
      </c>
    </row>
    <row r="1157" spans="1:14" x14ac:dyDescent="0.2">
      <c r="A1157" s="410">
        <f t="shared" si="342"/>
        <v>27</v>
      </c>
      <c r="B1157" s="413">
        <v>378.3</v>
      </c>
      <c r="C1157" s="414" t="s">
        <v>1049</v>
      </c>
      <c r="D1157" s="415">
        <f t="shared" si="345"/>
        <v>45443.08</v>
      </c>
      <c r="E1157" s="417">
        <v>0</v>
      </c>
      <c r="F1157" s="417">
        <v>0</v>
      </c>
      <c r="G1157" s="415">
        <f t="shared" si="346"/>
        <v>45443.08</v>
      </c>
      <c r="H1157" s="418"/>
      <c r="I1157" s="415">
        <f t="shared" si="347"/>
        <v>35878.04</v>
      </c>
      <c r="J1157" s="433">
        <v>3.32E-2</v>
      </c>
      <c r="K1157" s="418">
        <f t="shared" si="348"/>
        <v>126</v>
      </c>
      <c r="L1157" s="418">
        <f t="shared" si="349"/>
        <v>0</v>
      </c>
      <c r="M1157" s="417">
        <v>0</v>
      </c>
      <c r="N1157" s="408">
        <f t="shared" si="350"/>
        <v>36004.04</v>
      </c>
    </row>
    <row r="1158" spans="1:14" x14ac:dyDescent="0.2">
      <c r="A1158" s="410">
        <f t="shared" si="342"/>
        <v>28</v>
      </c>
      <c r="B1158" s="413">
        <v>379.1</v>
      </c>
      <c r="C1158" s="414" t="s">
        <v>1050</v>
      </c>
      <c r="D1158" s="415">
        <f t="shared" si="345"/>
        <v>254900.59</v>
      </c>
      <c r="E1158" s="417">
        <v>0</v>
      </c>
      <c r="F1158" s="417">
        <v>0</v>
      </c>
      <c r="G1158" s="415">
        <f t="shared" si="346"/>
        <v>254900.59</v>
      </c>
      <c r="H1158" s="418"/>
      <c r="I1158" s="415">
        <f t="shared" si="347"/>
        <v>267730.57</v>
      </c>
      <c r="J1158" s="433">
        <v>6.0000000000000001E-3</v>
      </c>
      <c r="K1158" s="417">
        <v>0</v>
      </c>
      <c r="L1158" s="418">
        <f t="shared" si="349"/>
        <v>0</v>
      </c>
      <c r="M1158" s="417">
        <v>0</v>
      </c>
      <c r="N1158" s="408">
        <f t="shared" si="350"/>
        <v>267730.57</v>
      </c>
    </row>
    <row r="1159" spans="1:14" x14ac:dyDescent="0.2">
      <c r="A1159" s="410">
        <f t="shared" si="342"/>
        <v>29</v>
      </c>
      <c r="B1159" s="413">
        <v>380</v>
      </c>
      <c r="C1159" s="414" t="s">
        <v>1051</v>
      </c>
      <c r="D1159" s="415">
        <f t="shared" si="345"/>
        <v>123059032.77</v>
      </c>
      <c r="E1159" s="417">
        <f>423300+21546</f>
        <v>444846</v>
      </c>
      <c r="F1159" s="417">
        <v>-53400</v>
      </c>
      <c r="G1159" s="415">
        <f t="shared" si="346"/>
        <v>123450478.77</v>
      </c>
      <c r="H1159" s="418"/>
      <c r="I1159" s="415">
        <f t="shared" si="347"/>
        <v>58789318.520000003</v>
      </c>
      <c r="J1159" s="433">
        <v>5.0999999999999997E-2</v>
      </c>
      <c r="K1159" s="418">
        <f t="shared" si="348"/>
        <v>523833</v>
      </c>
      <c r="L1159" s="418">
        <f t="shared" si="349"/>
        <v>53400</v>
      </c>
      <c r="M1159" s="417">
        <v>-26700</v>
      </c>
      <c r="N1159" s="408">
        <f t="shared" si="350"/>
        <v>59233051.520000003</v>
      </c>
    </row>
    <row r="1160" spans="1:14" x14ac:dyDescent="0.2">
      <c r="A1160" s="410"/>
      <c r="B1160" s="444"/>
      <c r="C1160" s="414"/>
      <c r="D1160" s="439"/>
      <c r="E1160" s="418"/>
      <c r="F1160" s="418"/>
      <c r="G1160" s="439"/>
      <c r="H1160" s="418"/>
      <c r="I1160" s="418"/>
      <c r="J1160" s="418"/>
      <c r="K1160" s="418"/>
      <c r="L1160" s="418"/>
    </row>
    <row r="1161" spans="1:14" x14ac:dyDescent="0.2">
      <c r="A1161" s="2073" t="str">
        <f>co</f>
        <v>COLUMBIA GAS OF KENTUCKY, INC.</v>
      </c>
      <c r="B1161" s="2073"/>
      <c r="C1161" s="2073"/>
      <c r="D1161" s="2073"/>
      <c r="E1161" s="2073"/>
      <c r="F1161" s="2073"/>
      <c r="G1161" s="2073"/>
      <c r="H1161" s="2073"/>
      <c r="I1161" s="2073"/>
      <c r="J1161" s="2073"/>
      <c r="K1161" s="2073"/>
      <c r="L1161" s="2073"/>
      <c r="M1161" s="2073"/>
      <c r="N1161" s="2073"/>
    </row>
    <row r="1162" spans="1:14" x14ac:dyDescent="0.2">
      <c r="A1162" s="2073" t="str">
        <f>case</f>
        <v>CASE NO. 2016 - 00162</v>
      </c>
      <c r="B1162" s="2073"/>
      <c r="C1162" s="2073"/>
      <c r="D1162" s="2073"/>
      <c r="E1162" s="2073"/>
      <c r="F1162" s="2073"/>
      <c r="G1162" s="2073"/>
      <c r="H1162" s="2073"/>
      <c r="I1162" s="2073"/>
      <c r="J1162" s="2073"/>
      <c r="K1162" s="2073"/>
      <c r="L1162" s="2073"/>
      <c r="M1162" s="2073"/>
      <c r="N1162" s="2073"/>
    </row>
    <row r="1163" spans="1:14" x14ac:dyDescent="0.2">
      <c r="A1163" s="2074" t="s">
        <v>1106</v>
      </c>
      <c r="B1163" s="2073"/>
      <c r="C1163" s="2073"/>
      <c r="D1163" s="2073"/>
      <c r="E1163" s="2073"/>
      <c r="F1163" s="2073"/>
      <c r="G1163" s="2073"/>
      <c r="H1163" s="2073"/>
      <c r="I1163" s="2073"/>
      <c r="J1163" s="2073"/>
      <c r="K1163" s="2073"/>
      <c r="L1163" s="2073"/>
      <c r="M1163" s="2073"/>
      <c r="N1163" s="2073"/>
    </row>
    <row r="1164" spans="1:14" x14ac:dyDescent="0.2">
      <c r="A1164" s="2078" t="s">
        <v>2142</v>
      </c>
      <c r="B1164" s="2078"/>
      <c r="C1164" s="2078"/>
      <c r="D1164" s="2078"/>
      <c r="E1164" s="2078"/>
      <c r="F1164" s="2078"/>
      <c r="G1164" s="2078"/>
      <c r="H1164" s="2078"/>
      <c r="I1164" s="2078"/>
      <c r="J1164" s="2078"/>
      <c r="K1164" s="2078"/>
      <c r="L1164" s="2078"/>
      <c r="M1164" s="2078"/>
      <c r="N1164" s="2078"/>
    </row>
    <row r="1166" spans="1:14" x14ac:dyDescent="0.2">
      <c r="A1166" s="388" t="s">
        <v>976</v>
      </c>
      <c r="M1166" s="386"/>
      <c r="N1166" s="387" t="s">
        <v>763</v>
      </c>
    </row>
    <row r="1167" spans="1:14" x14ac:dyDescent="0.2">
      <c r="A1167" s="388" t="s">
        <v>977</v>
      </c>
      <c r="M1167" s="386"/>
      <c r="N1167" s="387" t="s">
        <v>999</v>
      </c>
    </row>
    <row r="1168" spans="1:14" x14ac:dyDescent="0.2">
      <c r="A1168" s="445" t="str">
        <f>A1115</f>
        <v>WORKPAPER REFERENCE NO(S).: WPB-2.3</v>
      </c>
      <c r="B1168" s="391"/>
      <c r="C1168" s="391"/>
      <c r="D1168" s="391"/>
      <c r="E1168" s="391"/>
      <c r="F1168" s="391"/>
      <c r="G1168" s="391"/>
      <c r="H1168" s="391"/>
      <c r="M1168" s="392"/>
      <c r="N1168" s="393" t="str">
        <f>SMK</f>
        <v>WITNESS:  S. M. KATKO</v>
      </c>
    </row>
    <row r="1169" spans="1:14" x14ac:dyDescent="0.2">
      <c r="A1169" s="390"/>
      <c r="B1169" s="391"/>
      <c r="C1169" s="391"/>
      <c r="D1169" s="391"/>
      <c r="E1169" s="391"/>
      <c r="F1169" s="391"/>
      <c r="G1169" s="391"/>
      <c r="H1169" s="391"/>
      <c r="I1169" s="392"/>
      <c r="J1169" s="393"/>
      <c r="L1169" s="386"/>
      <c r="M1169" s="386"/>
    </row>
    <row r="1170" spans="1:14" x14ac:dyDescent="0.2">
      <c r="A1170" s="390"/>
      <c r="B1170" s="391"/>
      <c r="C1170" s="391"/>
      <c r="D1170" s="2075" t="s">
        <v>1088</v>
      </c>
      <c r="E1170" s="2075"/>
      <c r="F1170" s="2075"/>
      <c r="G1170" s="2075"/>
      <c r="H1170" s="391"/>
      <c r="I1170" s="2076" t="s">
        <v>1093</v>
      </c>
      <c r="J1170" s="2077"/>
      <c r="K1170" s="2077"/>
      <c r="L1170" s="2077"/>
      <c r="M1170" s="2077"/>
      <c r="N1170" s="2077"/>
    </row>
    <row r="1171" spans="1:14" x14ac:dyDescent="0.2">
      <c r="A1171" s="394"/>
      <c r="B1171" s="391"/>
      <c r="C1171" s="391"/>
      <c r="D1171" s="396" t="s">
        <v>1084</v>
      </c>
      <c r="E1171" s="391"/>
      <c r="F1171" s="391"/>
      <c r="G1171" s="395"/>
      <c r="H1171" s="395"/>
      <c r="I1171" s="397" t="s">
        <v>1089</v>
      </c>
      <c r="J1171" s="396"/>
      <c r="M1171" s="386"/>
    </row>
    <row r="1172" spans="1:14" x14ac:dyDescent="0.2">
      <c r="A1172" s="383"/>
      <c r="D1172" s="397" t="s">
        <v>865</v>
      </c>
      <c r="G1172" s="397" t="s">
        <v>867</v>
      </c>
      <c r="H1172" s="398"/>
      <c r="I1172" s="397" t="s">
        <v>865</v>
      </c>
      <c r="J1172" s="397" t="s">
        <v>956</v>
      </c>
      <c r="M1172" s="386"/>
      <c r="N1172" s="397" t="s">
        <v>867</v>
      </c>
    </row>
    <row r="1173" spans="1:14" x14ac:dyDescent="0.2">
      <c r="A1173" s="397" t="s">
        <v>1080</v>
      </c>
      <c r="B1173" s="397" t="s">
        <v>1082</v>
      </c>
      <c r="D1173" s="397" t="s">
        <v>867</v>
      </c>
      <c r="G1173" s="399" t="s">
        <v>1087</v>
      </c>
      <c r="H1173" s="398"/>
      <c r="I1173" s="399" t="s">
        <v>867</v>
      </c>
      <c r="J1173" s="397" t="s">
        <v>1090</v>
      </c>
      <c r="K1173" s="397" t="s">
        <v>956</v>
      </c>
      <c r="M1173" s="399" t="s">
        <v>1092</v>
      </c>
      <c r="N1173" s="399" t="s">
        <v>1087</v>
      </c>
    </row>
    <row r="1174" spans="1:14" x14ac:dyDescent="0.2">
      <c r="A1174" s="400" t="s">
        <v>1081</v>
      </c>
      <c r="B1174" s="400" t="s">
        <v>1081</v>
      </c>
      <c r="C1174" s="401" t="s">
        <v>1083</v>
      </c>
      <c r="D1174" s="404" t="str">
        <f>D1121</f>
        <v>12/31/2016</v>
      </c>
      <c r="E1174" s="400" t="s">
        <v>1085</v>
      </c>
      <c r="F1174" s="400" t="s">
        <v>1086</v>
      </c>
      <c r="G1174" s="404" t="str">
        <f>G1121</f>
        <v>01/31/2017</v>
      </c>
      <c r="H1174" s="398"/>
      <c r="I1174" s="404" t="str">
        <f>D1174</f>
        <v>12/31/2016</v>
      </c>
      <c r="J1174" s="400" t="s">
        <v>1091</v>
      </c>
      <c r="K1174" s="402" t="s">
        <v>1090</v>
      </c>
      <c r="L1174" s="402" t="s">
        <v>1086</v>
      </c>
      <c r="M1174" s="402" t="s">
        <v>955</v>
      </c>
      <c r="N1174" s="404" t="str">
        <f>G1174</f>
        <v>01/31/2017</v>
      </c>
    </row>
    <row r="1175" spans="1:14" x14ac:dyDescent="0.2">
      <c r="A1175" s="406"/>
      <c r="B1175" s="406"/>
      <c r="C1175" s="406"/>
      <c r="D1175" s="406" t="str">
        <f>"(1)"</f>
        <v>(1)</v>
      </c>
      <c r="E1175" s="406" t="str">
        <f>"(2)"</f>
        <v>(2)</v>
      </c>
      <c r="F1175" s="406" t="str">
        <f>"(3)"</f>
        <v>(3)</v>
      </c>
      <c r="G1175" s="406" t="str">
        <f>"(4)=(1+2+3)"</f>
        <v>(4)=(1+2+3)</v>
      </c>
      <c r="H1175" s="406"/>
      <c r="I1175" s="406" t="str">
        <f>"(5)"</f>
        <v>(5)</v>
      </c>
      <c r="J1175" s="406" t="str">
        <f>"(6)"</f>
        <v>(6)</v>
      </c>
      <c r="K1175" s="406" t="str">
        <f>"(7)=((1+4)/2*6/12))"</f>
        <v>(7)=((1+4)/2*6/12))</v>
      </c>
      <c r="L1175" s="406" t="str">
        <f>"(8)"</f>
        <v>(8)</v>
      </c>
      <c r="M1175" s="406" t="str">
        <f>"(9)"</f>
        <v>(9)</v>
      </c>
      <c r="N1175" s="406" t="str">
        <f>"(10)=(5+7-8+9)"</f>
        <v>(10)=(5+7-8+9)</v>
      </c>
    </row>
    <row r="1176" spans="1:14" x14ac:dyDescent="0.2">
      <c r="D1176" s="410" t="s">
        <v>639</v>
      </c>
      <c r="E1176" s="410" t="s">
        <v>639</v>
      </c>
      <c r="F1176" s="410" t="s">
        <v>639</v>
      </c>
      <c r="G1176" s="410" t="s">
        <v>639</v>
      </c>
      <c r="H1176" s="410"/>
      <c r="I1176" s="410" t="s">
        <v>639</v>
      </c>
      <c r="J1176" s="410" t="s">
        <v>639</v>
      </c>
      <c r="K1176" s="410" t="s">
        <v>639</v>
      </c>
      <c r="L1176" s="410" t="s">
        <v>639</v>
      </c>
      <c r="M1176" s="410" t="s">
        <v>639</v>
      </c>
      <c r="N1176" s="410" t="s">
        <v>639</v>
      </c>
    </row>
    <row r="1177" spans="1:14" x14ac:dyDescent="0.2">
      <c r="C1177" s="411" t="s">
        <v>707</v>
      </c>
      <c r="D1177" s="410"/>
      <c r="E1177" s="410"/>
      <c r="F1177" s="410"/>
      <c r="G1177" s="410"/>
      <c r="J1177" s="410"/>
    </row>
    <row r="1178" spans="1:14" x14ac:dyDescent="0.2">
      <c r="A1178" s="405">
        <v>1</v>
      </c>
      <c r="B1178" s="446">
        <v>381</v>
      </c>
      <c r="C1178" s="414" t="s">
        <v>1052</v>
      </c>
      <c r="D1178" s="415">
        <f t="shared" ref="D1178:D1189" si="351">G1072</f>
        <v>13721908.550000001</v>
      </c>
      <c r="E1178" s="417">
        <v>23900</v>
      </c>
      <c r="F1178" s="417">
        <v>-2900</v>
      </c>
      <c r="G1178" s="415">
        <f>SUM(D1178:F1178)</f>
        <v>13742908.550000001</v>
      </c>
      <c r="H1178" s="418"/>
      <c r="I1178" s="415">
        <f t="shared" ref="I1178:I1189" si="352">N1072</f>
        <v>4930118.8899999997</v>
      </c>
      <c r="J1178" s="433">
        <v>3.3000000000000002E-2</v>
      </c>
      <c r="K1178" s="418">
        <f t="shared" ref="K1178:K1189" si="353">ROUND((G1178+D1178)/2*J1178/12,0)</f>
        <v>37764</v>
      </c>
      <c r="L1178" s="418">
        <f t="shared" ref="L1178:L1189" si="354">-F1178</f>
        <v>2900</v>
      </c>
      <c r="M1178" s="417">
        <v>0</v>
      </c>
      <c r="N1178" s="408">
        <f t="shared" ref="N1178:N1189" si="355">I1178+K1178-L1178+M1178</f>
        <v>4964982.8899999997</v>
      </c>
    </row>
    <row r="1179" spans="1:14" x14ac:dyDescent="0.2">
      <c r="A1179" s="405">
        <f>A1178+1</f>
        <v>2</v>
      </c>
      <c r="B1179" s="446">
        <v>381.1</v>
      </c>
      <c r="C1179" s="414" t="s">
        <v>1052</v>
      </c>
      <c r="D1179" s="415">
        <f t="shared" si="351"/>
        <v>8776012.0600000005</v>
      </c>
      <c r="E1179" s="417">
        <v>26500</v>
      </c>
      <c r="F1179" s="417">
        <v>-3200</v>
      </c>
      <c r="G1179" s="415">
        <f>SUM(D1179:F1179)</f>
        <v>8799312.0600000005</v>
      </c>
      <c r="H1179" s="418"/>
      <c r="I1179" s="415">
        <f t="shared" si="352"/>
        <v>552677.5</v>
      </c>
      <c r="J1179" s="433">
        <v>8.0600000000000005E-2</v>
      </c>
      <c r="K1179" s="418">
        <f t="shared" si="353"/>
        <v>59024</v>
      </c>
      <c r="L1179" s="418">
        <f t="shared" si="354"/>
        <v>3200</v>
      </c>
      <c r="M1179" s="417">
        <v>0</v>
      </c>
      <c r="N1179" s="408">
        <f t="shared" si="355"/>
        <v>608501.5</v>
      </c>
    </row>
    <row r="1180" spans="1:14" x14ac:dyDescent="0.2">
      <c r="A1180" s="405">
        <f t="shared" ref="A1180:A1190" si="356">A1179+1</f>
        <v>3</v>
      </c>
      <c r="B1180" s="446">
        <v>382</v>
      </c>
      <c r="C1180" s="414" t="s">
        <v>1053</v>
      </c>
      <c r="D1180" s="415">
        <f t="shared" si="351"/>
        <v>9287592.6500000004</v>
      </c>
      <c r="E1180" s="417">
        <v>16600</v>
      </c>
      <c r="F1180" s="417">
        <v>-2000</v>
      </c>
      <c r="G1180" s="415">
        <f t="shared" ref="G1180:G1185" si="357">SUM(D1180:F1180)</f>
        <v>9302192.6500000004</v>
      </c>
      <c r="H1180" s="418"/>
      <c r="I1180" s="415">
        <f t="shared" si="352"/>
        <v>4624082.3</v>
      </c>
      <c r="J1180" s="433">
        <v>2.4400000000000002E-2</v>
      </c>
      <c r="K1180" s="418">
        <f t="shared" si="353"/>
        <v>18900</v>
      </c>
      <c r="L1180" s="418">
        <f t="shared" si="354"/>
        <v>2000</v>
      </c>
      <c r="M1180" s="417">
        <v>-100</v>
      </c>
      <c r="N1180" s="408">
        <f t="shared" si="355"/>
        <v>4640882.3</v>
      </c>
    </row>
    <row r="1181" spans="1:14" x14ac:dyDescent="0.2">
      <c r="A1181" s="405">
        <f t="shared" si="356"/>
        <v>4</v>
      </c>
      <c r="B1181" s="446">
        <v>383</v>
      </c>
      <c r="C1181" s="414" t="s">
        <v>1054</v>
      </c>
      <c r="D1181" s="415">
        <f t="shared" si="351"/>
        <v>5666420.7599999998</v>
      </c>
      <c r="E1181" s="417">
        <v>9500</v>
      </c>
      <c r="F1181" s="417">
        <v>-1100</v>
      </c>
      <c r="G1181" s="415">
        <f t="shared" si="357"/>
        <v>5674820.7599999998</v>
      </c>
      <c r="H1181" s="418"/>
      <c r="I1181" s="415">
        <f t="shared" si="352"/>
        <v>1505022.41</v>
      </c>
      <c r="J1181" s="433">
        <v>2.7300000000000001E-2</v>
      </c>
      <c r="K1181" s="418">
        <f t="shared" si="353"/>
        <v>12901</v>
      </c>
      <c r="L1181" s="418">
        <f t="shared" si="354"/>
        <v>1100</v>
      </c>
      <c r="M1181" s="417">
        <v>-100</v>
      </c>
      <c r="N1181" s="408">
        <f t="shared" si="355"/>
        <v>1516723.41</v>
      </c>
    </row>
    <row r="1182" spans="1:14" x14ac:dyDescent="0.2">
      <c r="A1182" s="405">
        <f t="shared" si="356"/>
        <v>5</v>
      </c>
      <c r="B1182" s="446">
        <v>384</v>
      </c>
      <c r="C1182" s="414" t="s">
        <v>1055</v>
      </c>
      <c r="D1182" s="415">
        <f t="shared" si="351"/>
        <v>2257522</v>
      </c>
      <c r="E1182" s="417">
        <v>0</v>
      </c>
      <c r="F1182" s="417">
        <v>0</v>
      </c>
      <c r="G1182" s="415">
        <f t="shared" si="357"/>
        <v>2257522</v>
      </c>
      <c r="H1182" s="418"/>
      <c r="I1182" s="415">
        <f t="shared" si="352"/>
        <v>1769328.73</v>
      </c>
      <c r="J1182" s="433">
        <v>1.01E-2</v>
      </c>
      <c r="K1182" s="418">
        <f t="shared" si="353"/>
        <v>1900</v>
      </c>
      <c r="L1182" s="418">
        <f t="shared" si="354"/>
        <v>0</v>
      </c>
      <c r="M1182" s="417">
        <v>0</v>
      </c>
      <c r="N1182" s="408">
        <f t="shared" si="355"/>
        <v>1771228.73</v>
      </c>
    </row>
    <row r="1183" spans="1:14" x14ac:dyDescent="0.2">
      <c r="A1183" s="405">
        <f t="shared" si="356"/>
        <v>6</v>
      </c>
      <c r="B1183" s="446">
        <v>385</v>
      </c>
      <c r="C1183" s="414" t="s">
        <v>1056</v>
      </c>
      <c r="D1183" s="415">
        <f t="shared" si="351"/>
        <v>3252183.36</v>
      </c>
      <c r="E1183" s="417">
        <v>11900</v>
      </c>
      <c r="F1183" s="417">
        <v>-1400</v>
      </c>
      <c r="G1183" s="415">
        <f t="shared" si="357"/>
        <v>3262683.36</v>
      </c>
      <c r="H1183" s="418"/>
      <c r="I1183" s="415">
        <f t="shared" si="352"/>
        <v>890204.55</v>
      </c>
      <c r="J1183" s="433">
        <v>5.0799999999999998E-2</v>
      </c>
      <c r="K1183" s="418">
        <f t="shared" si="353"/>
        <v>13790</v>
      </c>
      <c r="L1183" s="418">
        <f t="shared" si="354"/>
        <v>1400</v>
      </c>
      <c r="M1183" s="417">
        <v>-100</v>
      </c>
      <c r="N1183" s="408">
        <f t="shared" si="355"/>
        <v>902494.55</v>
      </c>
    </row>
    <row r="1184" spans="1:14" x14ac:dyDescent="0.2">
      <c r="A1184" s="405">
        <f t="shared" si="356"/>
        <v>7</v>
      </c>
      <c r="B1184" s="446">
        <v>387.2</v>
      </c>
      <c r="C1184" s="414" t="s">
        <v>1057</v>
      </c>
      <c r="D1184" s="415">
        <f t="shared" si="351"/>
        <v>0</v>
      </c>
      <c r="E1184" s="417">
        <v>0</v>
      </c>
      <c r="F1184" s="417">
        <v>0</v>
      </c>
      <c r="G1184" s="415">
        <f t="shared" si="357"/>
        <v>0</v>
      </c>
      <c r="H1184" s="418"/>
      <c r="I1184" s="415">
        <f t="shared" si="352"/>
        <v>-59912.03</v>
      </c>
      <c r="J1184" s="433">
        <v>0</v>
      </c>
      <c r="K1184" s="418">
        <f t="shared" si="353"/>
        <v>0</v>
      </c>
      <c r="L1184" s="418">
        <f t="shared" si="354"/>
        <v>0</v>
      </c>
      <c r="M1184" s="417">
        <v>0</v>
      </c>
      <c r="N1184" s="408">
        <f t="shared" si="355"/>
        <v>-59912.03</v>
      </c>
    </row>
    <row r="1185" spans="1:14" x14ac:dyDescent="0.2">
      <c r="A1185" s="405">
        <f t="shared" si="356"/>
        <v>8</v>
      </c>
      <c r="B1185" s="446">
        <v>387.41</v>
      </c>
      <c r="C1185" s="414" t="s">
        <v>1058</v>
      </c>
      <c r="D1185" s="415">
        <f t="shared" si="351"/>
        <v>735770.76</v>
      </c>
      <c r="E1185" s="417">
        <v>0</v>
      </c>
      <c r="F1185" s="417">
        <v>0</v>
      </c>
      <c r="G1185" s="415">
        <f t="shared" si="357"/>
        <v>735770.76</v>
      </c>
      <c r="H1185" s="418"/>
      <c r="I1185" s="415">
        <f t="shared" si="352"/>
        <v>386057.95</v>
      </c>
      <c r="J1185" s="433">
        <v>3.7400000000000003E-2</v>
      </c>
      <c r="K1185" s="418">
        <f t="shared" si="353"/>
        <v>2293</v>
      </c>
      <c r="L1185" s="418">
        <f t="shared" si="354"/>
        <v>0</v>
      </c>
      <c r="M1185" s="417">
        <v>0</v>
      </c>
      <c r="N1185" s="408">
        <f t="shared" si="355"/>
        <v>388350.95</v>
      </c>
    </row>
    <row r="1186" spans="1:14" x14ac:dyDescent="0.2">
      <c r="A1186" s="405">
        <f t="shared" si="356"/>
        <v>9</v>
      </c>
      <c r="B1186" s="446">
        <v>387.42</v>
      </c>
      <c r="C1186" s="414" t="s">
        <v>1059</v>
      </c>
      <c r="D1186" s="415">
        <f t="shared" si="351"/>
        <v>795186.58</v>
      </c>
      <c r="E1186" s="417">
        <v>0</v>
      </c>
      <c r="F1186" s="417">
        <v>0</v>
      </c>
      <c r="G1186" s="415">
        <f>SUM(D1186:F1186)</f>
        <v>795186.58</v>
      </c>
      <c r="H1186" s="418"/>
      <c r="I1186" s="415">
        <f t="shared" si="352"/>
        <v>552545.94999999995</v>
      </c>
      <c r="J1186" s="433">
        <v>3.7400000000000003E-2</v>
      </c>
      <c r="K1186" s="418">
        <f t="shared" si="353"/>
        <v>2478</v>
      </c>
      <c r="L1186" s="418">
        <f t="shared" si="354"/>
        <v>0</v>
      </c>
      <c r="M1186" s="417">
        <v>0</v>
      </c>
      <c r="N1186" s="408">
        <f t="shared" si="355"/>
        <v>555023.94999999995</v>
      </c>
    </row>
    <row r="1187" spans="1:14" x14ac:dyDescent="0.2">
      <c r="A1187" s="405">
        <f t="shared" si="356"/>
        <v>10</v>
      </c>
      <c r="B1187" s="446">
        <v>387.44</v>
      </c>
      <c r="C1187" s="414" t="s">
        <v>1060</v>
      </c>
      <c r="D1187" s="415">
        <f t="shared" si="351"/>
        <v>143283.93</v>
      </c>
      <c r="E1187" s="417">
        <v>0</v>
      </c>
      <c r="F1187" s="417">
        <v>0</v>
      </c>
      <c r="G1187" s="415">
        <f>SUM(D1187:F1187)</f>
        <v>143283.93</v>
      </c>
      <c r="H1187" s="418"/>
      <c r="I1187" s="415">
        <f t="shared" si="352"/>
        <v>46948.55</v>
      </c>
      <c r="J1187" s="433">
        <v>3.7400000000000003E-2</v>
      </c>
      <c r="K1187" s="418">
        <f t="shared" si="353"/>
        <v>447</v>
      </c>
      <c r="L1187" s="418">
        <f t="shared" si="354"/>
        <v>0</v>
      </c>
      <c r="M1187" s="417">
        <v>0</v>
      </c>
      <c r="N1187" s="408">
        <f t="shared" si="355"/>
        <v>47395.55</v>
      </c>
    </row>
    <row r="1188" spans="1:14" x14ac:dyDescent="0.2">
      <c r="A1188" s="405">
        <f t="shared" si="356"/>
        <v>11</v>
      </c>
      <c r="B1188" s="446">
        <v>387.45</v>
      </c>
      <c r="C1188" s="414" t="s">
        <v>1061</v>
      </c>
      <c r="D1188" s="415">
        <f t="shared" si="351"/>
        <v>3265504.66</v>
      </c>
      <c r="E1188" s="417">
        <v>-20000</v>
      </c>
      <c r="F1188" s="417">
        <v>2400</v>
      </c>
      <c r="G1188" s="415">
        <f>SUM(D1188:F1188)</f>
        <v>3247904.66</v>
      </c>
      <c r="H1188" s="418"/>
      <c r="I1188" s="415">
        <f t="shared" si="352"/>
        <v>533003.06000000006</v>
      </c>
      <c r="J1188" s="433">
        <v>3.7400000000000003E-2</v>
      </c>
      <c r="K1188" s="418">
        <f t="shared" si="353"/>
        <v>10150</v>
      </c>
      <c r="L1188" s="418">
        <f t="shared" si="354"/>
        <v>-2400</v>
      </c>
      <c r="M1188" s="417">
        <v>0</v>
      </c>
      <c r="N1188" s="408">
        <f t="shared" si="355"/>
        <v>545553.06000000006</v>
      </c>
    </row>
    <row r="1189" spans="1:14" x14ac:dyDescent="0.2">
      <c r="A1189" s="405">
        <f t="shared" si="356"/>
        <v>12</v>
      </c>
      <c r="B1189" s="446">
        <v>387.46</v>
      </c>
      <c r="C1189" s="414" t="s">
        <v>1062</v>
      </c>
      <c r="D1189" s="421">
        <f t="shared" si="351"/>
        <v>113644.47</v>
      </c>
      <c r="E1189" s="1662">
        <v>0</v>
      </c>
      <c r="F1189" s="1662">
        <v>0</v>
      </c>
      <c r="G1189" s="428">
        <f>SUM(D1189:F1189)</f>
        <v>113644.47</v>
      </c>
      <c r="H1189" s="447"/>
      <c r="I1189" s="421">
        <f t="shared" si="352"/>
        <v>112232.83</v>
      </c>
      <c r="J1189" s="433">
        <v>3.7400000000000003E-2</v>
      </c>
      <c r="K1189" s="421">
        <f t="shared" si="353"/>
        <v>354</v>
      </c>
      <c r="L1189" s="421">
        <f t="shared" si="354"/>
        <v>0</v>
      </c>
      <c r="M1189" s="422">
        <v>0</v>
      </c>
      <c r="N1189" s="423">
        <f t="shared" si="355"/>
        <v>112586.83</v>
      </c>
    </row>
    <row r="1190" spans="1:14" x14ac:dyDescent="0.2">
      <c r="A1190" s="405">
        <f t="shared" si="356"/>
        <v>13</v>
      </c>
      <c r="B1190" s="448"/>
      <c r="C1190" s="386" t="s">
        <v>1063</v>
      </c>
      <c r="D1190" s="418">
        <f>SUM(D1178:D1189,D1138:D1159)</f>
        <v>409914794.37999994</v>
      </c>
      <c r="E1190" s="418">
        <f>SUM(E1178:E1189,E1138:E1159)</f>
        <v>1151266</v>
      </c>
      <c r="F1190" s="418">
        <f>SUM(F1178:F1189,F1138:F1159)</f>
        <v>-138100</v>
      </c>
      <c r="G1190" s="418">
        <f>SUM(G1178:G1189,G1138:G1159)</f>
        <v>410927960.37999994</v>
      </c>
      <c r="H1190" s="418"/>
      <c r="I1190" s="418">
        <f>SUM(I1178:I1189,I1138:I1159)</f>
        <v>141213889.27473685</v>
      </c>
      <c r="J1190" s="418"/>
      <c r="K1190" s="418">
        <f>SUM(K1178:K1189,K1138:K1159)</f>
        <v>1148825.0494736843</v>
      </c>
      <c r="L1190" s="418">
        <f>SUM(L1178:L1189,L1138:L1159)</f>
        <v>138100</v>
      </c>
      <c r="M1190" s="418">
        <f>SUM(M1178:M1189,M1138:M1159)</f>
        <v>-37300</v>
      </c>
      <c r="N1190" s="418">
        <f>SUM(N1178:N1189,N1138:N1159)</f>
        <v>142187314.32421052</v>
      </c>
    </row>
    <row r="1191" spans="1:14" x14ac:dyDescent="0.2">
      <c r="B1191" s="448"/>
      <c r="D1191" s="418"/>
      <c r="E1191" s="418"/>
      <c r="F1191" s="418"/>
      <c r="G1191" s="418"/>
      <c r="H1191" s="418"/>
      <c r="I1191" s="439"/>
      <c r="J1191" s="418"/>
      <c r="K1191" s="418"/>
      <c r="L1191" s="418"/>
      <c r="M1191" s="418"/>
    </row>
    <row r="1192" spans="1:14" x14ac:dyDescent="0.2">
      <c r="A1192" s="405">
        <f>A1190+1</f>
        <v>14</v>
      </c>
      <c r="B1192" s="448"/>
      <c r="C1192" s="411" t="s">
        <v>737</v>
      </c>
      <c r="D1192" s="418"/>
      <c r="E1192" s="418"/>
      <c r="F1192" s="418"/>
      <c r="G1192" s="418"/>
      <c r="H1192" s="418"/>
      <c r="I1192" s="439"/>
      <c r="J1192" s="418"/>
      <c r="K1192" s="418"/>
      <c r="L1192" s="418"/>
      <c r="M1192" s="418"/>
    </row>
    <row r="1193" spans="1:14" x14ac:dyDescent="0.2">
      <c r="A1193" s="410">
        <f>A1192+1</f>
        <v>15</v>
      </c>
      <c r="B1193" s="446">
        <v>391.1</v>
      </c>
      <c r="C1193" s="414" t="s">
        <v>1064</v>
      </c>
      <c r="D1193" s="415">
        <f t="shared" ref="D1193:D1206" si="358">G1087</f>
        <v>713480.71</v>
      </c>
      <c r="E1193" s="417">
        <v>0</v>
      </c>
      <c r="F1193" s="417">
        <v>0</v>
      </c>
      <c r="G1193" s="415">
        <f t="shared" ref="G1193:G1206" si="359">SUM(D1193:F1193)</f>
        <v>713480.71</v>
      </c>
      <c r="H1193" s="418"/>
      <c r="I1193" s="415">
        <f t="shared" ref="I1193:I1206" si="360">N1087</f>
        <v>-50576.22</v>
      </c>
      <c r="J1193" s="433">
        <v>0.05</v>
      </c>
      <c r="K1193" s="418">
        <f>ROUND((G1193+D1193)/2*J1193/12,0)</f>
        <v>2973</v>
      </c>
      <c r="L1193" s="418">
        <f t="shared" ref="L1193:L1206" si="361">-F1193</f>
        <v>0</v>
      </c>
      <c r="M1193" s="417">
        <v>0</v>
      </c>
      <c r="N1193" s="408">
        <f t="shared" ref="N1193:N1206" si="362">I1193+K1193-L1193+M1193</f>
        <v>-47603.22</v>
      </c>
    </row>
    <row r="1194" spans="1:14" x14ac:dyDescent="0.2">
      <c r="A1194" s="410">
        <f t="shared" ref="A1194:A1207" si="363">A1193+1</f>
        <v>16</v>
      </c>
      <c r="B1194" s="446">
        <v>391.11</v>
      </c>
      <c r="C1194" s="414" t="s">
        <v>1065</v>
      </c>
      <c r="D1194" s="415">
        <f t="shared" si="358"/>
        <v>18815.57</v>
      </c>
      <c r="E1194" s="417">
        <v>0</v>
      </c>
      <c r="F1194" s="417">
        <v>0</v>
      </c>
      <c r="G1194" s="415">
        <f t="shared" si="359"/>
        <v>18815.57</v>
      </c>
      <c r="H1194" s="418"/>
      <c r="I1194" s="415">
        <f t="shared" si="360"/>
        <v>-11984.77</v>
      </c>
      <c r="J1194" s="433">
        <v>6.6699999999999995E-2</v>
      </c>
      <c r="K1194" s="418">
        <f>ROUND((G1194+D1194)/2*J1194/12,0)</f>
        <v>105</v>
      </c>
      <c r="L1194" s="418">
        <f t="shared" si="361"/>
        <v>0</v>
      </c>
      <c r="M1194" s="417">
        <v>0</v>
      </c>
      <c r="N1194" s="408">
        <f t="shared" si="362"/>
        <v>-11879.77</v>
      </c>
    </row>
    <row r="1195" spans="1:14" x14ac:dyDescent="0.2">
      <c r="A1195" s="410">
        <f t="shared" si="363"/>
        <v>17</v>
      </c>
      <c r="B1195" s="446">
        <v>391.12</v>
      </c>
      <c r="C1195" s="414" t="s">
        <v>1066</v>
      </c>
      <c r="D1195" s="415">
        <f t="shared" si="358"/>
        <v>853483.41</v>
      </c>
      <c r="E1195" s="417">
        <v>0</v>
      </c>
      <c r="F1195" s="417">
        <v>0</v>
      </c>
      <c r="G1195" s="415">
        <f t="shared" si="359"/>
        <v>853483.41</v>
      </c>
      <c r="H1195" s="418"/>
      <c r="I1195" s="415">
        <f t="shared" si="360"/>
        <v>689585.37</v>
      </c>
      <c r="J1195" s="433">
        <v>0.2</v>
      </c>
      <c r="K1195" s="418">
        <f>ROUND((G1195+D1195)/2*J1195/12,0)</f>
        <v>14225</v>
      </c>
      <c r="L1195" s="418">
        <f t="shared" si="361"/>
        <v>0</v>
      </c>
      <c r="M1195" s="417">
        <v>0</v>
      </c>
      <c r="N1195" s="408">
        <f t="shared" si="362"/>
        <v>703810.37</v>
      </c>
    </row>
    <row r="1196" spans="1:14" x14ac:dyDescent="0.2">
      <c r="A1196" s="410">
        <f t="shared" si="363"/>
        <v>18</v>
      </c>
      <c r="B1196" s="446">
        <v>392.2</v>
      </c>
      <c r="C1196" s="414" t="s">
        <v>1067</v>
      </c>
      <c r="D1196" s="415">
        <f t="shared" si="358"/>
        <v>95778</v>
      </c>
      <c r="E1196" s="417">
        <v>0</v>
      </c>
      <c r="F1196" s="417">
        <v>0</v>
      </c>
      <c r="G1196" s="415">
        <f t="shared" si="359"/>
        <v>95778</v>
      </c>
      <c r="H1196" s="418"/>
      <c r="I1196" s="415">
        <f t="shared" si="360"/>
        <v>22655.05</v>
      </c>
      <c r="J1196" s="433">
        <v>9.1499999999999998E-2</v>
      </c>
      <c r="K1196" s="418">
        <f>ROUND((G1196+D1196)/2*J1196/12,0)</f>
        <v>730</v>
      </c>
      <c r="L1196" s="418">
        <f t="shared" si="361"/>
        <v>0</v>
      </c>
      <c r="M1196" s="417">
        <v>0</v>
      </c>
      <c r="N1196" s="408">
        <f t="shared" si="362"/>
        <v>23385.05</v>
      </c>
    </row>
    <row r="1197" spans="1:14" x14ac:dyDescent="0.2">
      <c r="A1197" s="410">
        <f t="shared" si="363"/>
        <v>19</v>
      </c>
      <c r="B1197" s="446">
        <v>392.21</v>
      </c>
      <c r="C1197" s="414" t="s">
        <v>1068</v>
      </c>
      <c r="D1197" s="415">
        <f t="shared" si="358"/>
        <v>24462.2</v>
      </c>
      <c r="E1197" s="417">
        <v>0</v>
      </c>
      <c r="F1197" s="417">
        <v>0</v>
      </c>
      <c r="G1197" s="415">
        <f t="shared" si="359"/>
        <v>24462.2</v>
      </c>
      <c r="H1197" s="418"/>
      <c r="I1197" s="415">
        <f t="shared" si="360"/>
        <v>5187.3999999999996</v>
      </c>
      <c r="J1197" s="433">
        <v>9.1499999999999998E-2</v>
      </c>
      <c r="K1197" s="418">
        <f>ROUND((G1197+D1197)/2*J1197/12,0)</f>
        <v>187</v>
      </c>
      <c r="L1197" s="418">
        <f t="shared" si="361"/>
        <v>0</v>
      </c>
      <c r="M1197" s="417">
        <v>0</v>
      </c>
      <c r="N1197" s="408">
        <f t="shared" si="362"/>
        <v>5374.4</v>
      </c>
    </row>
    <row r="1198" spans="1:14" x14ac:dyDescent="0.2">
      <c r="A1198" s="410">
        <f t="shared" si="363"/>
        <v>20</v>
      </c>
      <c r="B1198" s="446">
        <v>393</v>
      </c>
      <c r="C1198" s="414" t="s">
        <v>1069</v>
      </c>
      <c r="D1198" s="415">
        <f t="shared" si="358"/>
        <v>0</v>
      </c>
      <c r="E1198" s="417">
        <v>0</v>
      </c>
      <c r="F1198" s="417">
        <v>0</v>
      </c>
      <c r="G1198" s="415">
        <f t="shared" si="359"/>
        <v>0</v>
      </c>
      <c r="H1198" s="418"/>
      <c r="I1198" s="415">
        <f t="shared" si="360"/>
        <v>0</v>
      </c>
      <c r="J1198" s="419" t="s">
        <v>1094</v>
      </c>
      <c r="K1198" s="417">
        <v>0</v>
      </c>
      <c r="L1198" s="418">
        <f t="shared" si="361"/>
        <v>0</v>
      </c>
      <c r="M1198" s="417">
        <v>0</v>
      </c>
      <c r="N1198" s="408">
        <f t="shared" si="362"/>
        <v>0</v>
      </c>
    </row>
    <row r="1199" spans="1:14" x14ac:dyDescent="0.2">
      <c r="A1199" s="410">
        <f t="shared" si="363"/>
        <v>21</v>
      </c>
      <c r="B1199" s="446">
        <v>394.1</v>
      </c>
      <c r="C1199" s="414" t="s">
        <v>1070</v>
      </c>
      <c r="D1199" s="415">
        <f t="shared" si="358"/>
        <v>24240.799999999999</v>
      </c>
      <c r="E1199" s="417">
        <v>0</v>
      </c>
      <c r="F1199" s="417">
        <v>0</v>
      </c>
      <c r="G1199" s="415">
        <f t="shared" si="359"/>
        <v>24240.799999999999</v>
      </c>
      <c r="H1199" s="418"/>
      <c r="I1199" s="415">
        <f t="shared" si="360"/>
        <v>14608.82</v>
      </c>
      <c r="J1199" s="433">
        <v>0.04</v>
      </c>
      <c r="K1199" s="418">
        <f>ROUND((G1199+D1199)/2*J1199/12,0)</f>
        <v>81</v>
      </c>
      <c r="L1199" s="418">
        <f t="shared" si="361"/>
        <v>0</v>
      </c>
      <c r="M1199" s="417">
        <v>0</v>
      </c>
      <c r="N1199" s="408">
        <f t="shared" si="362"/>
        <v>14689.82</v>
      </c>
    </row>
    <row r="1200" spans="1:14" x14ac:dyDescent="0.2">
      <c r="A1200" s="410">
        <f t="shared" si="363"/>
        <v>22</v>
      </c>
      <c r="B1200" s="446">
        <v>394.11</v>
      </c>
      <c r="C1200" s="414" t="s">
        <v>1071</v>
      </c>
      <c r="D1200" s="415">
        <f t="shared" si="358"/>
        <v>0</v>
      </c>
      <c r="E1200" s="417">
        <v>0</v>
      </c>
      <c r="F1200" s="417">
        <v>0</v>
      </c>
      <c r="G1200" s="415">
        <f t="shared" si="359"/>
        <v>0</v>
      </c>
      <c r="H1200" s="418"/>
      <c r="I1200" s="415">
        <f t="shared" si="360"/>
        <v>0</v>
      </c>
      <c r="J1200" s="433">
        <v>0</v>
      </c>
      <c r="K1200" s="417">
        <v>0</v>
      </c>
      <c r="L1200" s="418">
        <f t="shared" si="361"/>
        <v>0</v>
      </c>
      <c r="M1200" s="417">
        <v>0</v>
      </c>
      <c r="N1200" s="408">
        <f t="shared" si="362"/>
        <v>0</v>
      </c>
    </row>
    <row r="1201" spans="1:15" x14ac:dyDescent="0.2">
      <c r="A1201" s="410">
        <f t="shared" si="363"/>
        <v>23</v>
      </c>
      <c r="B1201" s="446">
        <v>394.13</v>
      </c>
      <c r="C1201" s="438" t="s">
        <v>1072</v>
      </c>
      <c r="D1201" s="415">
        <f t="shared" si="358"/>
        <v>0</v>
      </c>
      <c r="E1201" s="417">
        <v>0</v>
      </c>
      <c r="F1201" s="417">
        <v>0</v>
      </c>
      <c r="G1201" s="415">
        <f t="shared" si="359"/>
        <v>0</v>
      </c>
      <c r="H1201" s="418"/>
      <c r="I1201" s="415">
        <f t="shared" si="360"/>
        <v>37937.360000000001</v>
      </c>
      <c r="J1201" s="419" t="s">
        <v>1094</v>
      </c>
      <c r="K1201" s="417">
        <v>0</v>
      </c>
      <c r="L1201" s="418">
        <f t="shared" si="361"/>
        <v>0</v>
      </c>
      <c r="M1201" s="417">
        <v>0</v>
      </c>
      <c r="N1201" s="408">
        <f t="shared" si="362"/>
        <v>37937.360000000001</v>
      </c>
    </row>
    <row r="1202" spans="1:15" x14ac:dyDescent="0.2">
      <c r="A1202" s="410">
        <f t="shared" si="363"/>
        <v>24</v>
      </c>
      <c r="B1202" s="446">
        <v>394.2</v>
      </c>
      <c r="C1202" s="414" t="s">
        <v>1073</v>
      </c>
      <c r="D1202" s="415">
        <f t="shared" si="358"/>
        <v>0</v>
      </c>
      <c r="E1202" s="417">
        <v>0</v>
      </c>
      <c r="F1202" s="417">
        <v>0</v>
      </c>
      <c r="G1202" s="415">
        <f t="shared" si="359"/>
        <v>0</v>
      </c>
      <c r="H1202" s="418"/>
      <c r="I1202" s="415">
        <f t="shared" si="360"/>
        <v>185.21</v>
      </c>
      <c r="J1202" s="433">
        <v>0.04</v>
      </c>
      <c r="K1202" s="418">
        <f>ROUND((G1202+D1202)/2*J1202/12,0)</f>
        <v>0</v>
      </c>
      <c r="L1202" s="418">
        <f t="shared" si="361"/>
        <v>0</v>
      </c>
      <c r="M1202" s="417">
        <v>0</v>
      </c>
      <c r="N1202" s="408">
        <f t="shared" si="362"/>
        <v>185.21</v>
      </c>
    </row>
    <row r="1203" spans="1:15" x14ac:dyDescent="0.2">
      <c r="A1203" s="410">
        <f t="shared" si="363"/>
        <v>25</v>
      </c>
      <c r="B1203" s="446">
        <v>394.3</v>
      </c>
      <c r="C1203" s="414" t="s">
        <v>1074</v>
      </c>
      <c r="D1203" s="415">
        <f t="shared" si="358"/>
        <v>3103121.16</v>
      </c>
      <c r="E1203" s="417">
        <v>-9800</v>
      </c>
      <c r="F1203" s="417">
        <v>1200</v>
      </c>
      <c r="G1203" s="415">
        <f t="shared" si="359"/>
        <v>3094521.16</v>
      </c>
      <c r="H1203" s="418"/>
      <c r="I1203" s="415">
        <f t="shared" si="360"/>
        <v>1286387.1499999999</v>
      </c>
      <c r="J1203" s="433">
        <v>0.04</v>
      </c>
      <c r="K1203" s="418">
        <f>ROUND((G1203+D1203)/2*J1203/12,0)</f>
        <v>10329</v>
      </c>
      <c r="L1203" s="418">
        <f t="shared" si="361"/>
        <v>-1200</v>
      </c>
      <c r="M1203" s="417">
        <v>0</v>
      </c>
      <c r="N1203" s="408">
        <f t="shared" si="362"/>
        <v>1297916.1499999999</v>
      </c>
    </row>
    <row r="1204" spans="1:15" x14ac:dyDescent="0.2">
      <c r="A1204" s="410">
        <f t="shared" si="363"/>
        <v>26</v>
      </c>
      <c r="B1204" s="446">
        <v>395</v>
      </c>
      <c r="C1204" s="414" t="s">
        <v>1075</v>
      </c>
      <c r="D1204" s="415">
        <f t="shared" si="358"/>
        <v>9257.77</v>
      </c>
      <c r="E1204" s="417">
        <v>0</v>
      </c>
      <c r="F1204" s="417">
        <v>0</v>
      </c>
      <c r="G1204" s="415">
        <f t="shared" si="359"/>
        <v>9257.77</v>
      </c>
      <c r="H1204" s="418"/>
      <c r="I1204" s="415">
        <f t="shared" si="360"/>
        <v>7529.59</v>
      </c>
      <c r="J1204" s="433">
        <v>0.05</v>
      </c>
      <c r="K1204" s="418">
        <f>ROUND((G1204+D1204)/2*J1204/12,0)</f>
        <v>39</v>
      </c>
      <c r="L1204" s="418">
        <f t="shared" si="361"/>
        <v>0</v>
      </c>
      <c r="M1204" s="417">
        <v>0</v>
      </c>
      <c r="N1204" s="408">
        <f t="shared" si="362"/>
        <v>7568.59</v>
      </c>
    </row>
    <row r="1205" spans="1:15" x14ac:dyDescent="0.2">
      <c r="A1205" s="410">
        <f t="shared" si="363"/>
        <v>27</v>
      </c>
      <c r="B1205" s="446">
        <v>396</v>
      </c>
      <c r="C1205" s="414" t="s">
        <v>1076</v>
      </c>
      <c r="D1205" s="415">
        <f t="shared" si="358"/>
        <v>253134.72</v>
      </c>
      <c r="E1205" s="417">
        <v>0</v>
      </c>
      <c r="F1205" s="417">
        <v>0</v>
      </c>
      <c r="G1205" s="415">
        <f t="shared" si="359"/>
        <v>253134.72</v>
      </c>
      <c r="H1205" s="418"/>
      <c r="I1205" s="415">
        <f t="shared" si="360"/>
        <v>199321.72</v>
      </c>
      <c r="J1205" s="433">
        <v>2.5899999999999999E-2</v>
      </c>
      <c r="K1205" s="418">
        <f>ROUND((G1205+D1205)/2*J1205/12,0)</f>
        <v>546</v>
      </c>
      <c r="L1205" s="418">
        <f t="shared" si="361"/>
        <v>0</v>
      </c>
      <c r="M1205" s="417">
        <v>0</v>
      </c>
      <c r="N1205" s="408">
        <f t="shared" si="362"/>
        <v>199867.72</v>
      </c>
    </row>
    <row r="1206" spans="1:15" x14ac:dyDescent="0.2">
      <c r="A1206" s="410">
        <f t="shared" si="363"/>
        <v>28</v>
      </c>
      <c r="B1206" s="446">
        <v>398</v>
      </c>
      <c r="C1206" s="414" t="s">
        <v>1077</v>
      </c>
      <c r="D1206" s="421">
        <f t="shared" si="358"/>
        <v>259161.94</v>
      </c>
      <c r="E1206" s="1662">
        <v>4600</v>
      </c>
      <c r="F1206" s="1662">
        <v>-600</v>
      </c>
      <c r="G1206" s="421">
        <f t="shared" si="359"/>
        <v>263161.94</v>
      </c>
      <c r="H1206" s="447"/>
      <c r="I1206" s="421">
        <f t="shared" si="360"/>
        <v>4688.59</v>
      </c>
      <c r="J1206" s="433">
        <v>6.6699999999999995E-2</v>
      </c>
      <c r="K1206" s="421">
        <f>ROUND((G1206+D1206)/2*J1206/12,0)</f>
        <v>1452</v>
      </c>
      <c r="L1206" s="421">
        <f t="shared" si="361"/>
        <v>600</v>
      </c>
      <c r="M1206" s="430">
        <v>0</v>
      </c>
      <c r="N1206" s="423">
        <f t="shared" si="362"/>
        <v>5540.59</v>
      </c>
    </row>
    <row r="1207" spans="1:15" x14ac:dyDescent="0.2">
      <c r="A1207" s="410">
        <f t="shared" si="363"/>
        <v>29</v>
      </c>
      <c r="C1207" s="386" t="s">
        <v>1078</v>
      </c>
      <c r="D1207" s="447">
        <f>SUM(D1193:D1206)</f>
        <v>5354936.2799999993</v>
      </c>
      <c r="E1207" s="447">
        <f>SUM(E1193:E1206)</f>
        <v>-5200</v>
      </c>
      <c r="F1207" s="447">
        <f>SUM(F1193:F1206)</f>
        <v>600</v>
      </c>
      <c r="G1207" s="447">
        <f>SUM(G1193:G1206)</f>
        <v>5350336.2799999993</v>
      </c>
      <c r="H1207" s="447"/>
      <c r="I1207" s="447">
        <f>SUM(I1193:I1206)</f>
        <v>2205525.27</v>
      </c>
      <c r="J1207" s="424"/>
      <c r="K1207" s="447">
        <f>SUM(K1193:K1206)</f>
        <v>30667</v>
      </c>
      <c r="L1207" s="447">
        <f>SUM(L1193:L1206)</f>
        <v>-600</v>
      </c>
      <c r="M1207" s="447">
        <f>SUM(M1193:M1206)</f>
        <v>0</v>
      </c>
      <c r="N1207" s="447">
        <f>SUM(N1193:N1206)</f>
        <v>2236792.27</v>
      </c>
    </row>
    <row r="1208" spans="1:15" x14ac:dyDescent="0.2">
      <c r="D1208" s="418"/>
      <c r="E1208" s="418"/>
      <c r="F1208" s="418"/>
      <c r="G1208" s="418"/>
      <c r="H1208" s="418"/>
      <c r="I1208" s="418"/>
      <c r="J1208" s="432"/>
      <c r="K1208" s="418"/>
      <c r="L1208" s="418"/>
      <c r="M1208" s="418"/>
    </row>
    <row r="1209" spans="1:15" x14ac:dyDescent="0.2">
      <c r="A1209" s="405">
        <f>A1207+1</f>
        <v>30</v>
      </c>
      <c r="B1209" s="448"/>
      <c r="C1209" s="411" t="s">
        <v>2287</v>
      </c>
      <c r="D1209" s="418"/>
      <c r="E1209" s="418"/>
      <c r="F1209" s="418"/>
      <c r="G1209" s="418"/>
      <c r="H1209" s="418"/>
      <c r="I1209" s="439"/>
      <c r="J1209" s="418"/>
      <c r="K1209" s="418"/>
      <c r="L1209" s="418"/>
      <c r="M1209" s="418"/>
    </row>
    <row r="1210" spans="1:15" x14ac:dyDescent="0.2">
      <c r="A1210" s="1722">
        <f>A1209+1</f>
        <v>31</v>
      </c>
      <c r="B1210" s="446">
        <v>378.21</v>
      </c>
      <c r="C1210" s="1725" t="s">
        <v>2244</v>
      </c>
      <c r="D1210" s="415">
        <f>G1104</f>
        <v>-777092</v>
      </c>
      <c r="E1210" s="417">
        <v>0</v>
      </c>
      <c r="F1210" s="417">
        <v>0</v>
      </c>
      <c r="G1210" s="415">
        <f t="shared" ref="G1210" si="364">SUM(D1210:F1210)</f>
        <v>-777092</v>
      </c>
      <c r="H1210" s="418"/>
      <c r="I1210" s="415">
        <f>N1104</f>
        <v>-42395.02999999997</v>
      </c>
      <c r="J1210" s="419" t="s">
        <v>1094</v>
      </c>
      <c r="K1210" s="417">
        <v>-2158.5833333333321</v>
      </c>
      <c r="L1210" s="418">
        <f t="shared" ref="L1210" si="365">-F1210</f>
        <v>0</v>
      </c>
      <c r="M1210" s="417">
        <v>0</v>
      </c>
      <c r="N1210" s="408">
        <f t="shared" ref="N1210" si="366">I1210+K1210-L1210+M1210</f>
        <v>-44553.613333333298</v>
      </c>
      <c r="O1210" s="408"/>
    </row>
    <row r="1211" spans="1:15" x14ac:dyDescent="0.2">
      <c r="A1211" s="1722"/>
      <c r="B1211" s="446"/>
      <c r="C1211" s="438"/>
      <c r="D1211" s="415"/>
      <c r="E1211" s="417"/>
      <c r="F1211" s="417"/>
      <c r="G1211" s="415"/>
      <c r="H1211" s="418"/>
      <c r="I1211" s="419"/>
      <c r="J1211" s="419"/>
      <c r="K1211" s="417"/>
      <c r="L1211" s="418"/>
      <c r="M1211" s="417"/>
      <c r="N1211" s="408"/>
      <c r="O1211" s="408"/>
    </row>
    <row r="1212" spans="1:15" x14ac:dyDescent="0.2">
      <c r="A1212" s="410">
        <f>A1210+1</f>
        <v>32</v>
      </c>
      <c r="C1212" s="386" t="s">
        <v>774</v>
      </c>
      <c r="D1212" s="450">
        <f>D1207+D1190+D1135+D1131+D1210</f>
        <v>421398193.36999989</v>
      </c>
      <c r="E1212" s="450">
        <f>E1207+E1190+E1135+E1131+E1210</f>
        <v>1146066</v>
      </c>
      <c r="F1212" s="450">
        <f>F1207+F1190+F1135+F1131+F1210</f>
        <v>-137500</v>
      </c>
      <c r="G1212" s="450">
        <f>G1207+G1190+G1135+G1131+G1210</f>
        <v>422406759.36999989</v>
      </c>
      <c r="H1212" s="418"/>
      <c r="I1212" s="450">
        <f>I1207+I1190+I1135+I1131+I1210</f>
        <v>146321082.31291705</v>
      </c>
      <c r="J1212" s="451"/>
      <c r="K1212" s="450">
        <f>K1207+K1190+K1135+K1131+K1210</f>
        <v>1262041.3489107501</v>
      </c>
      <c r="L1212" s="450">
        <f>L1207+L1190+L1135+L1131+L1210</f>
        <v>137500</v>
      </c>
      <c r="M1212" s="450">
        <f>M1207+M1190+M1135+M1131+M1210</f>
        <v>-37300</v>
      </c>
      <c r="N1212" s="450">
        <f>N1207+N1190+N1135+N1131+N1210</f>
        <v>147408323.66182777</v>
      </c>
    </row>
    <row r="1214" spans="1:15" x14ac:dyDescent="0.2">
      <c r="A1214" s="2073" t="str">
        <f>co</f>
        <v>COLUMBIA GAS OF KENTUCKY, INC.</v>
      </c>
      <c r="B1214" s="2073"/>
      <c r="C1214" s="2073"/>
      <c r="D1214" s="2073"/>
      <c r="E1214" s="2073"/>
      <c r="F1214" s="2073"/>
      <c r="G1214" s="2073"/>
      <c r="H1214" s="2073"/>
      <c r="I1214" s="2073"/>
      <c r="J1214" s="2073"/>
      <c r="K1214" s="2073"/>
      <c r="L1214" s="2073"/>
      <c r="M1214" s="2073"/>
      <c r="N1214" s="2073"/>
    </row>
    <row r="1215" spans="1:15" x14ac:dyDescent="0.2">
      <c r="A1215" s="2073" t="str">
        <f>case</f>
        <v>CASE NO. 2016 - 00162</v>
      </c>
      <c r="B1215" s="2073"/>
      <c r="C1215" s="2073"/>
      <c r="D1215" s="2073"/>
      <c r="E1215" s="2073"/>
      <c r="F1215" s="2073"/>
      <c r="G1215" s="2073"/>
      <c r="H1215" s="2073"/>
      <c r="I1215" s="2073"/>
      <c r="J1215" s="2073"/>
      <c r="K1215" s="2073"/>
      <c r="L1215" s="2073"/>
      <c r="M1215" s="2073"/>
      <c r="N1215" s="2073"/>
    </row>
    <row r="1216" spans="1:15" x14ac:dyDescent="0.2">
      <c r="A1216" s="2074" t="s">
        <v>1106</v>
      </c>
      <c r="B1216" s="2073"/>
      <c r="C1216" s="2073"/>
      <c r="D1216" s="2073"/>
      <c r="E1216" s="2073"/>
      <c r="F1216" s="2073"/>
      <c r="G1216" s="2073"/>
      <c r="H1216" s="2073"/>
      <c r="I1216" s="2073"/>
      <c r="J1216" s="2073"/>
      <c r="K1216" s="2073"/>
      <c r="L1216" s="2073"/>
      <c r="M1216" s="2073"/>
      <c r="N1216" s="2073"/>
    </row>
    <row r="1217" spans="1:14" x14ac:dyDescent="0.2">
      <c r="A1217" s="2078" t="s">
        <v>2142</v>
      </c>
      <c r="B1217" s="2078"/>
      <c r="C1217" s="2078"/>
      <c r="D1217" s="2078"/>
      <c r="E1217" s="2078"/>
      <c r="F1217" s="2078"/>
      <c r="G1217" s="2078"/>
      <c r="H1217" s="2078"/>
      <c r="I1217" s="2078"/>
      <c r="J1217" s="2078"/>
      <c r="K1217" s="2078"/>
      <c r="L1217" s="2078"/>
      <c r="M1217" s="2078"/>
      <c r="N1217" s="2078"/>
    </row>
    <row r="1219" spans="1:14" x14ac:dyDescent="0.2">
      <c r="A1219" s="385" t="s">
        <v>1095</v>
      </c>
      <c r="I1219" s="386"/>
      <c r="N1219" s="387" t="s">
        <v>763</v>
      </c>
    </row>
    <row r="1220" spans="1:14" x14ac:dyDescent="0.2">
      <c r="A1220" s="388" t="s">
        <v>977</v>
      </c>
      <c r="I1220" s="386"/>
      <c r="N1220" s="387" t="s">
        <v>998</v>
      </c>
    </row>
    <row r="1221" spans="1:14" x14ac:dyDescent="0.2">
      <c r="A1221" s="390" t="s">
        <v>997</v>
      </c>
      <c r="B1221" s="391"/>
      <c r="C1221" s="391"/>
      <c r="D1221" s="391"/>
      <c r="E1221" s="391"/>
      <c r="F1221" s="391"/>
      <c r="G1221" s="391"/>
      <c r="H1221" s="391"/>
      <c r="I1221" s="392"/>
      <c r="L1221" s="386"/>
      <c r="M1221" s="386"/>
      <c r="N1221" s="393" t="str">
        <f>SMK</f>
        <v>WITNESS:  S. M. KATKO</v>
      </c>
    </row>
    <row r="1222" spans="1:14" x14ac:dyDescent="0.2">
      <c r="A1222" s="390"/>
      <c r="B1222" s="391"/>
      <c r="C1222" s="391"/>
      <c r="D1222" s="391"/>
      <c r="E1222" s="391"/>
      <c r="F1222" s="391"/>
      <c r="G1222" s="391"/>
      <c r="H1222" s="391"/>
      <c r="I1222" s="392"/>
      <c r="J1222" s="393"/>
      <c r="L1222" s="386"/>
      <c r="M1222" s="386"/>
    </row>
    <row r="1223" spans="1:14" x14ac:dyDescent="0.2">
      <c r="A1223" s="390"/>
      <c r="B1223" s="391"/>
      <c r="C1223" s="391"/>
      <c r="D1223" s="2075" t="s">
        <v>1088</v>
      </c>
      <c r="E1223" s="2075"/>
      <c r="F1223" s="2075"/>
      <c r="G1223" s="2075"/>
      <c r="H1223" s="391"/>
      <c r="I1223" s="2076" t="s">
        <v>1093</v>
      </c>
      <c r="J1223" s="2077"/>
      <c r="K1223" s="2077"/>
      <c r="L1223" s="2077"/>
      <c r="M1223" s="2077"/>
      <c r="N1223" s="2077"/>
    </row>
    <row r="1224" spans="1:14" x14ac:dyDescent="0.2">
      <c r="A1224" s="394"/>
      <c r="B1224" s="391"/>
      <c r="C1224" s="391"/>
      <c r="D1224" s="396" t="s">
        <v>1084</v>
      </c>
      <c r="E1224" s="391"/>
      <c r="F1224" s="391"/>
      <c r="G1224" s="395"/>
      <c r="H1224" s="395"/>
      <c r="I1224" s="397" t="s">
        <v>1089</v>
      </c>
      <c r="J1224" s="396"/>
      <c r="M1224" s="386"/>
    </row>
    <row r="1225" spans="1:14" x14ac:dyDescent="0.2">
      <c r="A1225" s="383"/>
      <c r="D1225" s="397" t="s">
        <v>865</v>
      </c>
      <c r="G1225" s="397" t="s">
        <v>867</v>
      </c>
      <c r="H1225" s="398"/>
      <c r="I1225" s="397" t="s">
        <v>865</v>
      </c>
      <c r="J1225" s="397" t="s">
        <v>956</v>
      </c>
      <c r="M1225" s="386"/>
      <c r="N1225" s="397" t="s">
        <v>867</v>
      </c>
    </row>
    <row r="1226" spans="1:14" x14ac:dyDescent="0.2">
      <c r="A1226" s="397" t="s">
        <v>1080</v>
      </c>
      <c r="B1226" s="397" t="s">
        <v>1082</v>
      </c>
      <c r="D1226" s="397" t="s">
        <v>867</v>
      </c>
      <c r="G1226" s="399" t="s">
        <v>1087</v>
      </c>
      <c r="H1226" s="398"/>
      <c r="I1226" s="399" t="s">
        <v>867</v>
      </c>
      <c r="J1226" s="397" t="s">
        <v>1090</v>
      </c>
      <c r="K1226" s="397" t="s">
        <v>956</v>
      </c>
      <c r="M1226" s="399" t="s">
        <v>1092</v>
      </c>
      <c r="N1226" s="399" t="s">
        <v>1087</v>
      </c>
    </row>
    <row r="1227" spans="1:14" x14ac:dyDescent="0.2">
      <c r="A1227" s="400" t="s">
        <v>1081</v>
      </c>
      <c r="B1227" s="400" t="s">
        <v>1081</v>
      </c>
      <c r="C1227" s="401" t="s">
        <v>1083</v>
      </c>
      <c r="D1227" s="409" t="str">
        <f>"01/31/2017"</f>
        <v>01/31/2017</v>
      </c>
      <c r="E1227" s="400" t="s">
        <v>1085</v>
      </c>
      <c r="F1227" s="400" t="s">
        <v>1086</v>
      </c>
      <c r="G1227" s="409" t="str">
        <f>"02/28/2017"</f>
        <v>02/28/2017</v>
      </c>
      <c r="H1227" s="398"/>
      <c r="I1227" s="404" t="str">
        <f>D1227</f>
        <v>01/31/2017</v>
      </c>
      <c r="J1227" s="400" t="s">
        <v>1091</v>
      </c>
      <c r="K1227" s="402" t="s">
        <v>1090</v>
      </c>
      <c r="L1227" s="402" t="s">
        <v>1086</v>
      </c>
      <c r="M1227" s="402" t="s">
        <v>955</v>
      </c>
      <c r="N1227" s="404" t="str">
        <f>G1227</f>
        <v>02/28/2017</v>
      </c>
    </row>
    <row r="1228" spans="1:14" x14ac:dyDescent="0.2">
      <c r="A1228" s="406"/>
      <c r="B1228" s="406"/>
      <c r="C1228" s="406"/>
      <c r="D1228" s="406" t="str">
        <f>"(1)"</f>
        <v>(1)</v>
      </c>
      <c r="E1228" s="406" t="str">
        <f>"(2)"</f>
        <v>(2)</v>
      </c>
      <c r="F1228" s="406" t="str">
        <f>"(3)"</f>
        <v>(3)</v>
      </c>
      <c r="G1228" s="406" t="str">
        <f>"(4)=(1+2+3)"</f>
        <v>(4)=(1+2+3)</v>
      </c>
      <c r="H1228" s="406"/>
      <c r="I1228" s="406" t="str">
        <f>"(5)"</f>
        <v>(5)</v>
      </c>
      <c r="J1228" s="406" t="str">
        <f>"(6)"</f>
        <v>(6)</v>
      </c>
      <c r="K1228" s="406" t="str">
        <f>"(7)=((1+4)/2*6/12))"</f>
        <v>(7)=((1+4)/2*6/12))</v>
      </c>
      <c r="L1228" s="406" t="str">
        <f>"(8)"</f>
        <v>(8)</v>
      </c>
      <c r="M1228" s="406" t="str">
        <f>"(9)"</f>
        <v>(9)</v>
      </c>
      <c r="N1228" s="406" t="str">
        <f>"(10)=(5+7-8+9)"</f>
        <v>(10)=(5+7-8+9)</v>
      </c>
    </row>
    <row r="1229" spans="1:14" x14ac:dyDescent="0.2">
      <c r="D1229" s="410" t="s">
        <v>639</v>
      </c>
      <c r="E1229" s="410" t="s">
        <v>639</v>
      </c>
      <c r="F1229" s="410" t="s">
        <v>639</v>
      </c>
      <c r="G1229" s="410" t="s">
        <v>639</v>
      </c>
      <c r="H1229" s="410"/>
      <c r="I1229" s="410" t="s">
        <v>639</v>
      </c>
      <c r="J1229" s="410" t="s">
        <v>639</v>
      </c>
      <c r="K1229" s="410" t="s">
        <v>639</v>
      </c>
      <c r="L1229" s="410" t="s">
        <v>639</v>
      </c>
      <c r="M1229" s="410" t="s">
        <v>639</v>
      </c>
      <c r="N1229" s="410" t="s">
        <v>639</v>
      </c>
    </row>
    <row r="1230" spans="1:14" x14ac:dyDescent="0.2">
      <c r="A1230" s="410">
        <v>1</v>
      </c>
      <c r="B1230" s="411" t="s">
        <v>1025</v>
      </c>
      <c r="C1230" s="412"/>
      <c r="M1230" s="386"/>
    </row>
    <row r="1231" spans="1:14" x14ac:dyDescent="0.2">
      <c r="A1231" s="410">
        <f>A1230+1</f>
        <v>2</v>
      </c>
      <c r="C1231" s="411" t="s">
        <v>697</v>
      </c>
      <c r="M1231" s="386"/>
    </row>
    <row r="1232" spans="1:14" x14ac:dyDescent="0.2">
      <c r="A1232" s="410">
        <f t="shared" ref="A1232:A1237" si="367">A1231+1</f>
        <v>3</v>
      </c>
      <c r="B1232" s="413">
        <v>301</v>
      </c>
      <c r="C1232" s="414" t="s">
        <v>1026</v>
      </c>
      <c r="D1232" s="415">
        <f>G1126</f>
        <v>521.20000000000005</v>
      </c>
      <c r="E1232" s="417">
        <v>0</v>
      </c>
      <c r="F1232" s="417">
        <v>0</v>
      </c>
      <c r="G1232" s="415">
        <f>SUM(D1232:F1232)</f>
        <v>521.20000000000005</v>
      </c>
      <c r="H1232" s="418"/>
      <c r="I1232" s="415">
        <f>N1126</f>
        <v>0</v>
      </c>
      <c r="J1232" s="419" t="s">
        <v>1094</v>
      </c>
      <c r="K1232" s="417">
        <v>0</v>
      </c>
      <c r="L1232" s="418">
        <f>-F1232</f>
        <v>0</v>
      </c>
      <c r="M1232" s="417">
        <v>0</v>
      </c>
      <c r="N1232" s="408">
        <f>I1232+K1232-L1232+M1232</f>
        <v>0</v>
      </c>
    </row>
    <row r="1233" spans="1:14" x14ac:dyDescent="0.2">
      <c r="A1233" s="410">
        <f t="shared" si="367"/>
        <v>4</v>
      </c>
      <c r="B1233" s="413">
        <v>303</v>
      </c>
      <c r="C1233" s="414" t="s">
        <v>1027</v>
      </c>
      <c r="D1233" s="415">
        <f>G1127</f>
        <v>74347.509999999995</v>
      </c>
      <c r="E1233" s="417">
        <v>0</v>
      </c>
      <c r="F1233" s="417">
        <v>0</v>
      </c>
      <c r="G1233" s="415">
        <f>SUM(D1233:F1233)</f>
        <v>74347.509999999995</v>
      </c>
      <c r="H1233" s="418"/>
      <c r="I1233" s="415">
        <f>N1127</f>
        <v>48071.149999999965</v>
      </c>
      <c r="J1233" s="419" t="s">
        <v>1094</v>
      </c>
      <c r="K1233" s="415">
        <f>'Intangible Amort.'!H$110</f>
        <v>206.52</v>
      </c>
      <c r="L1233" s="418">
        <f>-F1233</f>
        <v>0</v>
      </c>
      <c r="M1233" s="417">
        <v>0</v>
      </c>
      <c r="N1233" s="408">
        <f>I1233+K1233-L1233+M1233</f>
        <v>48277.669999999962</v>
      </c>
    </row>
    <row r="1234" spans="1:14" x14ac:dyDescent="0.2">
      <c r="A1234" s="410">
        <f t="shared" si="367"/>
        <v>5</v>
      </c>
      <c r="B1234" s="413">
        <v>303.10000000000002</v>
      </c>
      <c r="C1234" s="414" t="s">
        <v>1028</v>
      </c>
      <c r="D1234" s="415">
        <f>G1128</f>
        <v>0</v>
      </c>
      <c r="E1234" s="417">
        <v>0</v>
      </c>
      <c r="F1234" s="417">
        <v>0</v>
      </c>
      <c r="G1234" s="415">
        <f>SUM(D1234:F1234)</f>
        <v>0</v>
      </c>
      <c r="H1234" s="418"/>
      <c r="I1234" s="415">
        <f>N1128</f>
        <v>0</v>
      </c>
      <c r="J1234" s="419" t="s">
        <v>1094</v>
      </c>
      <c r="K1234" s="417">
        <v>0</v>
      </c>
      <c r="L1234" s="418">
        <f>-F1234</f>
        <v>0</v>
      </c>
      <c r="M1234" s="417">
        <v>0</v>
      </c>
      <c r="N1234" s="408">
        <f>I1234+K1234-L1234+M1234</f>
        <v>0</v>
      </c>
    </row>
    <row r="1235" spans="1:14" x14ac:dyDescent="0.2">
      <c r="A1235" s="410">
        <f t="shared" si="367"/>
        <v>6</v>
      </c>
      <c r="B1235" s="413">
        <v>303.2</v>
      </c>
      <c r="C1235" s="414" t="s">
        <v>1029</v>
      </c>
      <c r="D1235" s="415">
        <f>G1129</f>
        <v>0</v>
      </c>
      <c r="E1235" s="417">
        <v>0</v>
      </c>
      <c r="F1235" s="417">
        <v>0</v>
      </c>
      <c r="G1235" s="415">
        <f>SUM(D1235:F1235)</f>
        <v>0</v>
      </c>
      <c r="H1235" s="418"/>
      <c r="I1235" s="415">
        <f>N1129</f>
        <v>0</v>
      </c>
      <c r="J1235" s="419" t="s">
        <v>1094</v>
      </c>
      <c r="K1235" s="417">
        <v>0</v>
      </c>
      <c r="L1235" s="418">
        <f>-F1235</f>
        <v>0</v>
      </c>
      <c r="M1235" s="417">
        <v>0</v>
      </c>
      <c r="N1235" s="408">
        <f>I1235+K1235-L1235+M1235</f>
        <v>0</v>
      </c>
    </row>
    <row r="1236" spans="1:14" x14ac:dyDescent="0.2">
      <c r="A1236" s="410">
        <f t="shared" si="367"/>
        <v>7</v>
      </c>
      <c r="B1236" s="413">
        <v>303.3</v>
      </c>
      <c r="C1236" s="414" t="s">
        <v>1030</v>
      </c>
      <c r="D1236" s="421">
        <f>G1130</f>
        <v>6830686</v>
      </c>
      <c r="E1236" s="422">
        <v>0</v>
      </c>
      <c r="F1236" s="422">
        <v>0</v>
      </c>
      <c r="G1236" s="421">
        <f>SUM(D1236:F1236)</f>
        <v>6830686</v>
      </c>
      <c r="H1236" s="418"/>
      <c r="I1236" s="421">
        <f>N1130</f>
        <v>2980699.5309505798</v>
      </c>
      <c r="J1236" s="419" t="s">
        <v>1094</v>
      </c>
      <c r="K1236" s="421">
        <f>'Intangible Amort.'!H$188</f>
        <v>81875.077056113339</v>
      </c>
      <c r="L1236" s="421">
        <f>-F1236</f>
        <v>0</v>
      </c>
      <c r="M1236" s="422">
        <v>0</v>
      </c>
      <c r="N1236" s="423">
        <f>I1236+K1236-L1236+M1236</f>
        <v>3062574.608006693</v>
      </c>
    </row>
    <row r="1237" spans="1:14" x14ac:dyDescent="0.2">
      <c r="A1237" s="410">
        <f t="shared" si="367"/>
        <v>8</v>
      </c>
      <c r="B1237" s="413"/>
      <c r="C1237" s="414" t="s">
        <v>1031</v>
      </c>
      <c r="D1237" s="418">
        <f>SUM(D1232:D1236)</f>
        <v>6905554.71</v>
      </c>
      <c r="E1237" s="418">
        <f>SUM(E1232:E1236)</f>
        <v>0</v>
      </c>
      <c r="F1237" s="418">
        <f>SUM(F1232:F1236)</f>
        <v>0</v>
      </c>
      <c r="G1237" s="418">
        <f>SUM(G1232:G1236)</f>
        <v>6905554.71</v>
      </c>
      <c r="H1237" s="418"/>
      <c r="I1237" s="418">
        <f>SUM(I1232:I1236)</f>
        <v>3028770.6809505797</v>
      </c>
      <c r="J1237" s="424"/>
      <c r="K1237" s="418">
        <f>SUM(K1232:K1236)</f>
        <v>82081.597056113344</v>
      </c>
      <c r="L1237" s="418">
        <f>SUM(L1232:L1236)</f>
        <v>0</v>
      </c>
      <c r="M1237" s="418">
        <f>SUM(M1232:M1236)</f>
        <v>0</v>
      </c>
      <c r="N1237" s="418">
        <f>SUM(N1232:N1236)</f>
        <v>3110852.2780066929</v>
      </c>
    </row>
    <row r="1238" spans="1:14" x14ac:dyDescent="0.2">
      <c r="B1238" s="425"/>
      <c r="D1238" s="418"/>
      <c r="E1238" s="418"/>
      <c r="F1238" s="418"/>
      <c r="G1238" s="418"/>
      <c r="H1238" s="418"/>
      <c r="I1238" s="418"/>
      <c r="J1238" s="424"/>
      <c r="K1238" s="418"/>
      <c r="L1238" s="418"/>
      <c r="M1238" s="418"/>
    </row>
    <row r="1239" spans="1:14" x14ac:dyDescent="0.2">
      <c r="A1239" s="410">
        <f>A1237+1</f>
        <v>9</v>
      </c>
      <c r="B1239" s="425"/>
      <c r="C1239" s="411" t="s">
        <v>704</v>
      </c>
      <c r="D1239" s="418"/>
      <c r="E1239" s="418"/>
      <c r="F1239" s="418"/>
      <c r="G1239" s="418"/>
      <c r="H1239" s="418"/>
      <c r="I1239" s="418"/>
      <c r="J1239" s="424"/>
      <c r="K1239" s="418"/>
      <c r="L1239" s="418"/>
      <c r="M1239" s="418"/>
    </row>
    <row r="1240" spans="1:14" x14ac:dyDescent="0.2">
      <c r="A1240" s="410">
        <f>A1239+1</f>
        <v>10</v>
      </c>
      <c r="B1240" s="426">
        <v>304.10000000000002</v>
      </c>
      <c r="C1240" s="427" t="s">
        <v>1032</v>
      </c>
      <c r="D1240" s="421">
        <f>G1134</f>
        <v>0</v>
      </c>
      <c r="E1240" s="1662">
        <v>0</v>
      </c>
      <c r="F1240" s="1662">
        <v>0</v>
      </c>
      <c r="G1240" s="421">
        <f>SUM(D1240:F1240)</f>
        <v>0</v>
      </c>
      <c r="H1240" s="418"/>
      <c r="I1240" s="421">
        <f>N1134</f>
        <v>0</v>
      </c>
      <c r="J1240" s="429" t="s">
        <v>1102</v>
      </c>
      <c r="K1240" s="430">
        <v>0</v>
      </c>
      <c r="L1240" s="421">
        <f>-F1240</f>
        <v>0</v>
      </c>
      <c r="M1240" s="422">
        <v>0</v>
      </c>
      <c r="N1240" s="423">
        <f>I1240+K1240-L1240+M1240</f>
        <v>0</v>
      </c>
    </row>
    <row r="1241" spans="1:14" x14ac:dyDescent="0.2">
      <c r="A1241" s="410">
        <f>A1240+1</f>
        <v>11</v>
      </c>
      <c r="B1241" s="426"/>
      <c r="C1241" s="431" t="s">
        <v>1079</v>
      </c>
      <c r="D1241" s="418">
        <f>D1240</f>
        <v>0</v>
      </c>
      <c r="E1241" s="418">
        <f>E1240</f>
        <v>0</v>
      </c>
      <c r="F1241" s="418">
        <f>F1240</f>
        <v>0</v>
      </c>
      <c r="G1241" s="418">
        <f>G1240</f>
        <v>0</v>
      </c>
      <c r="H1241" s="418"/>
      <c r="I1241" s="418">
        <f>I1240</f>
        <v>0</v>
      </c>
      <c r="J1241" s="432"/>
      <c r="K1241" s="418">
        <f>SUM(K1240)</f>
        <v>0</v>
      </c>
      <c r="L1241" s="418">
        <f>SUM(L1240)</f>
        <v>0</v>
      </c>
      <c r="M1241" s="418">
        <f>M1240</f>
        <v>0</v>
      </c>
      <c r="N1241" s="418">
        <f>N1240</f>
        <v>0</v>
      </c>
    </row>
    <row r="1242" spans="1:14" x14ac:dyDescent="0.2">
      <c r="B1242" s="425"/>
      <c r="D1242" s="418"/>
      <c r="E1242" s="418"/>
      <c r="F1242" s="418"/>
      <c r="G1242" s="418"/>
      <c r="H1242" s="418"/>
      <c r="I1242" s="418"/>
      <c r="J1242" s="432"/>
      <c r="K1242" s="418"/>
      <c r="L1242" s="418"/>
      <c r="M1242" s="418"/>
    </row>
    <row r="1243" spans="1:14" x14ac:dyDescent="0.2">
      <c r="A1243" s="410">
        <f>A1241+1</f>
        <v>12</v>
      </c>
      <c r="B1243" s="425"/>
      <c r="C1243" s="411" t="s">
        <v>707</v>
      </c>
      <c r="D1243" s="418"/>
      <c r="E1243" s="418"/>
      <c r="F1243" s="418"/>
      <c r="G1243" s="418"/>
      <c r="H1243" s="418"/>
      <c r="I1243" s="418"/>
      <c r="J1243" s="432"/>
      <c r="K1243" s="418"/>
      <c r="L1243" s="418"/>
      <c r="M1243" s="418"/>
    </row>
    <row r="1244" spans="1:14" x14ac:dyDescent="0.2">
      <c r="A1244" s="410">
        <f>A1243+1</f>
        <v>13</v>
      </c>
      <c r="B1244" s="413">
        <v>374.1</v>
      </c>
      <c r="C1244" s="414" t="s">
        <v>1035</v>
      </c>
      <c r="D1244" s="415">
        <f t="shared" ref="D1244:D1254" si="368">G1138</f>
        <v>206</v>
      </c>
      <c r="E1244" s="417">
        <v>0</v>
      </c>
      <c r="F1244" s="417">
        <v>0</v>
      </c>
      <c r="G1244" s="415">
        <f>SUM(D1244:F1244)</f>
        <v>206</v>
      </c>
      <c r="H1244" s="418"/>
      <c r="I1244" s="415">
        <f t="shared" ref="I1244:I1254" si="369">N1138</f>
        <v>0</v>
      </c>
      <c r="J1244" s="442" t="str">
        <f t="shared" ref="J1244:J1254" si="370">J1138</f>
        <v>Non-Dep.</v>
      </c>
      <c r="K1244" s="417">
        <v>0</v>
      </c>
      <c r="L1244" s="418">
        <f t="shared" ref="L1244:L1254" si="371">-F1244</f>
        <v>0</v>
      </c>
      <c r="M1244" s="417">
        <v>0</v>
      </c>
      <c r="N1244" s="408">
        <f t="shared" ref="N1244:N1254" si="372">I1244+K1244-L1244+M1244</f>
        <v>0</v>
      </c>
    </row>
    <row r="1245" spans="1:14" x14ac:dyDescent="0.2">
      <c r="A1245" s="410">
        <f t="shared" ref="A1245:A1265" si="373">A1244+1</f>
        <v>14</v>
      </c>
      <c r="B1245" s="413">
        <v>374.2</v>
      </c>
      <c r="C1245" s="414" t="s">
        <v>1036</v>
      </c>
      <c r="D1245" s="415">
        <f t="shared" si="368"/>
        <v>877756.18</v>
      </c>
      <c r="E1245" s="417">
        <v>0</v>
      </c>
      <c r="F1245" s="417">
        <v>0</v>
      </c>
      <c r="G1245" s="415">
        <f t="shared" ref="G1245:G1254" si="374">SUM(D1245:F1245)</f>
        <v>877756.18</v>
      </c>
      <c r="H1245" s="418"/>
      <c r="I1245" s="415">
        <f t="shared" si="369"/>
        <v>-523.13</v>
      </c>
      <c r="J1245" s="442" t="str">
        <f t="shared" si="370"/>
        <v>Non-Dep.</v>
      </c>
      <c r="K1245" s="417">
        <v>0</v>
      </c>
      <c r="L1245" s="418">
        <f t="shared" si="371"/>
        <v>0</v>
      </c>
      <c r="M1245" s="417">
        <v>0</v>
      </c>
      <c r="N1245" s="408">
        <f t="shared" si="372"/>
        <v>-523.13</v>
      </c>
    </row>
    <row r="1246" spans="1:14" x14ac:dyDescent="0.2">
      <c r="A1246" s="410">
        <f t="shared" si="373"/>
        <v>15</v>
      </c>
      <c r="B1246" s="413">
        <v>374.4</v>
      </c>
      <c r="C1246" s="414" t="s">
        <v>1037</v>
      </c>
      <c r="D1246" s="415">
        <f t="shared" si="368"/>
        <v>661305.66</v>
      </c>
      <c r="E1246" s="417">
        <v>0</v>
      </c>
      <c r="F1246" s="417">
        <v>0</v>
      </c>
      <c r="G1246" s="415">
        <f t="shared" si="374"/>
        <v>661305.66</v>
      </c>
      <c r="H1246" s="418"/>
      <c r="I1246" s="415">
        <f t="shared" si="369"/>
        <v>179842.36</v>
      </c>
      <c r="J1246" s="442">
        <f t="shared" si="370"/>
        <v>1.7399999999999999E-2</v>
      </c>
      <c r="K1246" s="418">
        <f>ROUND((G1246+D1246)/2*J1246/12,0)</f>
        <v>959</v>
      </c>
      <c r="L1246" s="418">
        <f t="shared" si="371"/>
        <v>0</v>
      </c>
      <c r="M1246" s="417">
        <v>0</v>
      </c>
      <c r="N1246" s="408">
        <f t="shared" si="372"/>
        <v>180801.36</v>
      </c>
    </row>
    <row r="1247" spans="1:14" x14ac:dyDescent="0.2">
      <c r="A1247" s="410">
        <f t="shared" si="373"/>
        <v>16</v>
      </c>
      <c r="B1247" s="413">
        <v>374.5</v>
      </c>
      <c r="C1247" s="414" t="s">
        <v>1038</v>
      </c>
      <c r="D1247" s="415">
        <f t="shared" si="368"/>
        <v>2705872.55</v>
      </c>
      <c r="E1247" s="417">
        <v>4200</v>
      </c>
      <c r="F1247" s="417">
        <v>-500</v>
      </c>
      <c r="G1247" s="415">
        <f t="shared" si="374"/>
        <v>2709572.55</v>
      </c>
      <c r="H1247" s="418"/>
      <c r="I1247" s="415">
        <f t="shared" si="369"/>
        <v>931436.23</v>
      </c>
      <c r="J1247" s="442">
        <f t="shared" si="370"/>
        <v>1.29E-2</v>
      </c>
      <c r="K1247" s="418">
        <f t="shared" ref="K1247:K1252" si="375">ROUND((G1247+D1247)/2*J1247/12,0)</f>
        <v>2911</v>
      </c>
      <c r="L1247" s="418">
        <f t="shared" si="371"/>
        <v>500</v>
      </c>
      <c r="M1247" s="417">
        <v>0</v>
      </c>
      <c r="N1247" s="408">
        <f t="shared" si="372"/>
        <v>933847.23</v>
      </c>
    </row>
    <row r="1248" spans="1:14" x14ac:dyDescent="0.2">
      <c r="A1248" s="410">
        <f t="shared" si="373"/>
        <v>17</v>
      </c>
      <c r="B1248" s="413">
        <v>375.2</v>
      </c>
      <c r="C1248" s="414" t="s">
        <v>1039</v>
      </c>
      <c r="D1248" s="415">
        <f t="shared" si="368"/>
        <v>2124.98</v>
      </c>
      <c r="E1248" s="417">
        <v>0</v>
      </c>
      <c r="F1248" s="417">
        <v>0</v>
      </c>
      <c r="G1248" s="415">
        <f t="shared" si="374"/>
        <v>2124.98</v>
      </c>
      <c r="H1248" s="418"/>
      <c r="I1248" s="415">
        <f t="shared" si="369"/>
        <v>2033.32</v>
      </c>
      <c r="J1248" s="442">
        <f t="shared" si="370"/>
        <v>3.1800000000000002E-2</v>
      </c>
      <c r="K1248" s="418">
        <f t="shared" si="375"/>
        <v>6</v>
      </c>
      <c r="L1248" s="418">
        <f t="shared" si="371"/>
        <v>0</v>
      </c>
      <c r="M1248" s="417">
        <v>0</v>
      </c>
      <c r="N1248" s="408">
        <f t="shared" si="372"/>
        <v>2039.32</v>
      </c>
    </row>
    <row r="1249" spans="1:14" x14ac:dyDescent="0.2">
      <c r="A1249" s="410">
        <f t="shared" si="373"/>
        <v>18</v>
      </c>
      <c r="B1249" s="413">
        <v>375.3</v>
      </c>
      <c r="C1249" s="414" t="s">
        <v>1040</v>
      </c>
      <c r="D1249" s="415">
        <f t="shared" si="368"/>
        <v>0</v>
      </c>
      <c r="E1249" s="417">
        <v>0</v>
      </c>
      <c r="F1249" s="417">
        <v>0</v>
      </c>
      <c r="G1249" s="415">
        <f t="shared" si="374"/>
        <v>0</v>
      </c>
      <c r="H1249" s="418"/>
      <c r="I1249" s="415">
        <f t="shared" si="369"/>
        <v>-77.66</v>
      </c>
      <c r="J1249" s="442">
        <f t="shared" si="370"/>
        <v>3.1800000000000002E-2</v>
      </c>
      <c r="K1249" s="418">
        <f t="shared" si="375"/>
        <v>0</v>
      </c>
      <c r="L1249" s="418">
        <f t="shared" si="371"/>
        <v>0</v>
      </c>
      <c r="M1249" s="417">
        <v>0</v>
      </c>
      <c r="N1249" s="408">
        <f t="shared" si="372"/>
        <v>-77.66</v>
      </c>
    </row>
    <row r="1250" spans="1:14" x14ac:dyDescent="0.2">
      <c r="A1250" s="410">
        <f t="shared" si="373"/>
        <v>19</v>
      </c>
      <c r="B1250" s="413">
        <v>375.4</v>
      </c>
      <c r="C1250" s="414" t="s">
        <v>1041</v>
      </c>
      <c r="D1250" s="415">
        <f t="shared" si="368"/>
        <v>2108930.02</v>
      </c>
      <c r="E1250" s="417">
        <v>11900</v>
      </c>
      <c r="F1250" s="417">
        <v>-1400</v>
      </c>
      <c r="G1250" s="415">
        <f t="shared" si="374"/>
        <v>2119430.02</v>
      </c>
      <c r="H1250" s="418"/>
      <c r="I1250" s="415">
        <f t="shared" si="369"/>
        <v>488023.37</v>
      </c>
      <c r="J1250" s="442">
        <f t="shared" si="370"/>
        <v>3.1800000000000002E-2</v>
      </c>
      <c r="K1250" s="418">
        <f t="shared" si="375"/>
        <v>5603</v>
      </c>
      <c r="L1250" s="418">
        <f t="shared" si="371"/>
        <v>1400</v>
      </c>
      <c r="M1250" s="417">
        <v>-100</v>
      </c>
      <c r="N1250" s="408">
        <f t="shared" si="372"/>
        <v>492126.37</v>
      </c>
    </row>
    <row r="1251" spans="1:14" x14ac:dyDescent="0.2">
      <c r="A1251" s="410">
        <f t="shared" si="373"/>
        <v>20</v>
      </c>
      <c r="B1251" s="413">
        <v>375.6</v>
      </c>
      <c r="C1251" s="414" t="s">
        <v>1042</v>
      </c>
      <c r="D1251" s="415">
        <f t="shared" si="368"/>
        <v>0</v>
      </c>
      <c r="E1251" s="417">
        <v>0</v>
      </c>
      <c r="F1251" s="417">
        <v>0</v>
      </c>
      <c r="G1251" s="415">
        <f t="shared" si="374"/>
        <v>0</v>
      </c>
      <c r="H1251" s="418"/>
      <c r="I1251" s="415">
        <f t="shared" si="369"/>
        <v>0.02</v>
      </c>
      <c r="J1251" s="442">
        <f t="shared" si="370"/>
        <v>3.1800000000000002E-2</v>
      </c>
      <c r="K1251" s="418">
        <f t="shared" si="375"/>
        <v>0</v>
      </c>
      <c r="L1251" s="418">
        <f t="shared" si="371"/>
        <v>0</v>
      </c>
      <c r="M1251" s="417">
        <v>0</v>
      </c>
      <c r="N1251" s="408">
        <f t="shared" si="372"/>
        <v>0.02</v>
      </c>
    </row>
    <row r="1252" spans="1:14" x14ac:dyDescent="0.2">
      <c r="A1252" s="410">
        <f t="shared" si="373"/>
        <v>21</v>
      </c>
      <c r="B1252" s="413">
        <v>375.7</v>
      </c>
      <c r="C1252" s="414" t="s">
        <v>1043</v>
      </c>
      <c r="D1252" s="415">
        <f t="shared" si="368"/>
        <v>8298050.21</v>
      </c>
      <c r="E1252" s="417">
        <v>48300</v>
      </c>
      <c r="F1252" s="417">
        <v>-5800</v>
      </c>
      <c r="G1252" s="415">
        <f t="shared" si="374"/>
        <v>8340550.21</v>
      </c>
      <c r="H1252" s="418"/>
      <c r="I1252" s="415">
        <f t="shared" si="369"/>
        <v>3325089.06</v>
      </c>
      <c r="J1252" s="442">
        <f t="shared" si="370"/>
        <v>2.1299999999999999E-2</v>
      </c>
      <c r="K1252" s="418">
        <f t="shared" si="375"/>
        <v>14767</v>
      </c>
      <c r="L1252" s="418">
        <f t="shared" si="371"/>
        <v>5800</v>
      </c>
      <c r="M1252" s="417">
        <v>0</v>
      </c>
      <c r="N1252" s="408">
        <f t="shared" si="372"/>
        <v>3334056.06</v>
      </c>
    </row>
    <row r="1253" spans="1:14" x14ac:dyDescent="0.2">
      <c r="A1253" s="410">
        <f t="shared" si="373"/>
        <v>22</v>
      </c>
      <c r="B1253" s="413">
        <v>375.71</v>
      </c>
      <c r="C1253" s="414" t="s">
        <v>1044</v>
      </c>
      <c r="D1253" s="415">
        <f t="shared" si="368"/>
        <v>259808.94</v>
      </c>
      <c r="E1253" s="417">
        <v>0</v>
      </c>
      <c r="F1253" s="417">
        <v>0</v>
      </c>
      <c r="G1253" s="415">
        <f t="shared" si="374"/>
        <v>259808.94</v>
      </c>
      <c r="H1253" s="418"/>
      <c r="I1253" s="415">
        <f t="shared" si="369"/>
        <v>185449.60421052645</v>
      </c>
      <c r="J1253" s="442" t="str">
        <f t="shared" si="370"/>
        <v>Amort.</v>
      </c>
      <c r="K1253" s="417">
        <f>104653.88/38</f>
        <v>2754.0494736842106</v>
      </c>
      <c r="L1253" s="418">
        <f t="shared" si="371"/>
        <v>0</v>
      </c>
      <c r="M1253" s="417">
        <v>0</v>
      </c>
      <c r="N1253" s="408">
        <f t="shared" si="372"/>
        <v>188203.65368421067</v>
      </c>
    </row>
    <row r="1254" spans="1:14" x14ac:dyDescent="0.2">
      <c r="A1254" s="410">
        <f t="shared" si="373"/>
        <v>23</v>
      </c>
      <c r="B1254" s="413">
        <v>375.8</v>
      </c>
      <c r="C1254" s="414" t="s">
        <v>1045</v>
      </c>
      <c r="D1254" s="415">
        <f t="shared" si="368"/>
        <v>0</v>
      </c>
      <c r="E1254" s="417">
        <v>0</v>
      </c>
      <c r="F1254" s="417">
        <v>0</v>
      </c>
      <c r="G1254" s="415">
        <f t="shared" si="374"/>
        <v>0</v>
      </c>
      <c r="H1254" s="418"/>
      <c r="I1254" s="415">
        <f t="shared" si="369"/>
        <v>0</v>
      </c>
      <c r="J1254" s="442">
        <f t="shared" si="370"/>
        <v>0</v>
      </c>
      <c r="K1254" s="417">
        <v>0</v>
      </c>
      <c r="L1254" s="418">
        <f t="shared" si="371"/>
        <v>0</v>
      </c>
      <c r="M1254" s="417">
        <v>0</v>
      </c>
      <c r="N1254" s="408">
        <f t="shared" si="372"/>
        <v>0</v>
      </c>
    </row>
    <row r="1255" spans="1:14" x14ac:dyDescent="0.2">
      <c r="A1255" s="410">
        <f>A1254+1</f>
        <v>24</v>
      </c>
      <c r="B1255" s="413">
        <v>376</v>
      </c>
      <c r="C1255" s="438" t="s">
        <v>1096</v>
      </c>
      <c r="D1255" s="415"/>
      <c r="E1255" s="417"/>
      <c r="F1255" s="417"/>
      <c r="G1255" s="415"/>
      <c r="H1255" s="418"/>
      <c r="I1255" s="439"/>
      <c r="J1255" s="432"/>
      <c r="K1255" s="418"/>
      <c r="L1255" s="418"/>
      <c r="M1255" s="417"/>
    </row>
    <row r="1256" spans="1:14" x14ac:dyDescent="0.2">
      <c r="A1256" s="410"/>
      <c r="B1256" s="413"/>
      <c r="C1256" s="440" t="s">
        <v>1097</v>
      </c>
      <c r="D1256" s="415"/>
      <c r="E1256" s="417"/>
      <c r="F1256" s="417"/>
      <c r="G1256" s="415"/>
      <c r="H1256" s="418"/>
      <c r="I1256" s="415"/>
      <c r="J1256" s="442"/>
      <c r="K1256" s="418"/>
      <c r="L1256" s="418"/>
      <c r="M1256" s="417"/>
      <c r="N1256" s="408"/>
    </row>
    <row r="1257" spans="1:14" x14ac:dyDescent="0.2">
      <c r="A1257" s="410"/>
      <c r="B1257" s="413"/>
      <c r="C1257" s="440" t="s">
        <v>1098</v>
      </c>
      <c r="D1257" s="415"/>
      <c r="E1257" s="417"/>
      <c r="F1257" s="417"/>
      <c r="G1257" s="415"/>
      <c r="H1257" s="418"/>
      <c r="I1257" s="415"/>
      <c r="J1257" s="442"/>
      <c r="K1257" s="418"/>
      <c r="L1257" s="418"/>
      <c r="M1257" s="417"/>
      <c r="N1257" s="408"/>
    </row>
    <row r="1258" spans="1:14" x14ac:dyDescent="0.2">
      <c r="A1258" s="410"/>
      <c r="B1258" s="413"/>
      <c r="C1258" s="440" t="s">
        <v>1099</v>
      </c>
      <c r="D1258" s="415"/>
      <c r="E1258" s="417"/>
      <c r="F1258" s="417"/>
      <c r="G1258" s="415"/>
      <c r="H1258" s="418"/>
      <c r="I1258" s="415"/>
      <c r="J1258" s="442"/>
      <c r="K1258" s="418"/>
      <c r="L1258" s="418"/>
      <c r="M1258" s="417"/>
      <c r="N1258" s="408"/>
    </row>
    <row r="1259" spans="1:14" x14ac:dyDescent="0.2">
      <c r="A1259" s="410"/>
      <c r="B1259" s="413"/>
      <c r="C1259" s="440" t="s">
        <v>1100</v>
      </c>
      <c r="D1259" s="415"/>
      <c r="E1259" s="417"/>
      <c r="F1259" s="417"/>
      <c r="G1259" s="415"/>
      <c r="H1259" s="418"/>
      <c r="I1259" s="415"/>
      <c r="J1259" s="442"/>
      <c r="K1259" s="418"/>
      <c r="L1259" s="418"/>
      <c r="M1259" s="417"/>
      <c r="N1259" s="408"/>
    </row>
    <row r="1260" spans="1:14" x14ac:dyDescent="0.2">
      <c r="A1260" s="410"/>
      <c r="B1260" s="413"/>
      <c r="C1260" s="440" t="s">
        <v>1101</v>
      </c>
      <c r="D1260" s="415">
        <f t="shared" ref="D1260:D1265" si="376">G1154</f>
        <v>213870725.44</v>
      </c>
      <c r="E1260" s="417">
        <f>527600+32320</f>
        <v>559920</v>
      </c>
      <c r="F1260" s="417">
        <v>-67200</v>
      </c>
      <c r="G1260" s="415">
        <f t="shared" ref="G1260:G1265" si="377">SUM(D1260:F1260)</f>
        <v>214363445.44</v>
      </c>
      <c r="H1260" s="418"/>
      <c r="I1260" s="415">
        <f t="shared" ref="I1260:I1265" si="378">N1154</f>
        <v>57787097.609999999</v>
      </c>
      <c r="J1260" s="442">
        <f t="shared" ref="J1260:J1265" si="379">J1154</f>
        <v>2.3E-2</v>
      </c>
      <c r="K1260" s="418">
        <f t="shared" ref="K1260:K1265" si="380">ROUND((G1260+D1260)/2*J1260/12,0)</f>
        <v>410391</v>
      </c>
      <c r="L1260" s="418">
        <f t="shared" ref="L1260:L1265" si="381">-F1260</f>
        <v>67200</v>
      </c>
      <c r="M1260" s="417">
        <v>-10100</v>
      </c>
      <c r="N1260" s="408">
        <f t="shared" ref="N1260:N1265" si="382">I1260+K1260-L1260+M1260</f>
        <v>58120188.609999999</v>
      </c>
    </row>
    <row r="1261" spans="1:14" x14ac:dyDescent="0.2">
      <c r="A1261" s="410">
        <f>A1255+1</f>
        <v>25</v>
      </c>
      <c r="B1261" s="413">
        <v>378.1</v>
      </c>
      <c r="C1261" s="414" t="s">
        <v>1047</v>
      </c>
      <c r="D1261" s="415">
        <f t="shared" si="376"/>
        <v>518504.18</v>
      </c>
      <c r="E1261" s="417">
        <v>0</v>
      </c>
      <c r="F1261" s="417">
        <v>0</v>
      </c>
      <c r="G1261" s="415">
        <f t="shared" si="377"/>
        <v>518504.18</v>
      </c>
      <c r="H1261" s="418"/>
      <c r="I1261" s="415">
        <f t="shared" si="378"/>
        <v>364896.81</v>
      </c>
      <c r="J1261" s="442">
        <f t="shared" si="379"/>
        <v>3.32E-2</v>
      </c>
      <c r="K1261" s="418">
        <f t="shared" si="380"/>
        <v>1435</v>
      </c>
      <c r="L1261" s="418">
        <f t="shared" si="381"/>
        <v>0</v>
      </c>
      <c r="M1261" s="417">
        <v>0</v>
      </c>
      <c r="N1261" s="408">
        <f t="shared" si="382"/>
        <v>366331.81</v>
      </c>
    </row>
    <row r="1262" spans="1:14" x14ac:dyDescent="0.2">
      <c r="A1262" s="410">
        <f t="shared" si="373"/>
        <v>26</v>
      </c>
      <c r="B1262" s="413">
        <v>378.2</v>
      </c>
      <c r="C1262" s="414" t="s">
        <v>1048</v>
      </c>
      <c r="D1262" s="415">
        <f t="shared" si="376"/>
        <v>9798624</v>
      </c>
      <c r="E1262" s="417">
        <v>11400</v>
      </c>
      <c r="F1262" s="417">
        <v>-1400</v>
      </c>
      <c r="G1262" s="415">
        <f t="shared" si="377"/>
        <v>9808624</v>
      </c>
      <c r="H1262" s="418"/>
      <c r="I1262" s="415">
        <f t="shared" si="378"/>
        <v>3393448.91</v>
      </c>
      <c r="J1262" s="442">
        <f t="shared" si="379"/>
        <v>3.32E-2</v>
      </c>
      <c r="K1262" s="418">
        <f t="shared" si="380"/>
        <v>27123</v>
      </c>
      <c r="L1262" s="418">
        <f t="shared" si="381"/>
        <v>1400</v>
      </c>
      <c r="M1262" s="417">
        <v>-100</v>
      </c>
      <c r="N1262" s="408">
        <f t="shared" si="382"/>
        <v>3419071.91</v>
      </c>
    </row>
    <row r="1263" spans="1:14" x14ac:dyDescent="0.2">
      <c r="A1263" s="410">
        <f t="shared" si="373"/>
        <v>27</v>
      </c>
      <c r="B1263" s="413">
        <v>378.3</v>
      </c>
      <c r="C1263" s="414" t="s">
        <v>1049</v>
      </c>
      <c r="D1263" s="415">
        <f t="shared" si="376"/>
        <v>45443.08</v>
      </c>
      <c r="E1263" s="417">
        <v>0</v>
      </c>
      <c r="F1263" s="417">
        <v>0</v>
      </c>
      <c r="G1263" s="415">
        <f t="shared" si="377"/>
        <v>45443.08</v>
      </c>
      <c r="H1263" s="418"/>
      <c r="I1263" s="415">
        <f t="shared" si="378"/>
        <v>36004.04</v>
      </c>
      <c r="J1263" s="442">
        <f t="shared" si="379"/>
        <v>3.32E-2</v>
      </c>
      <c r="K1263" s="418">
        <f t="shared" si="380"/>
        <v>126</v>
      </c>
      <c r="L1263" s="418">
        <f t="shared" si="381"/>
        <v>0</v>
      </c>
      <c r="M1263" s="417">
        <v>0</v>
      </c>
      <c r="N1263" s="408">
        <f t="shared" si="382"/>
        <v>36130.04</v>
      </c>
    </row>
    <row r="1264" spans="1:14" x14ac:dyDescent="0.2">
      <c r="A1264" s="410">
        <f t="shared" si="373"/>
        <v>28</v>
      </c>
      <c r="B1264" s="413">
        <v>379.1</v>
      </c>
      <c r="C1264" s="414" t="s">
        <v>1050</v>
      </c>
      <c r="D1264" s="415">
        <f t="shared" si="376"/>
        <v>254900.59</v>
      </c>
      <c r="E1264" s="417">
        <v>0</v>
      </c>
      <c r="F1264" s="417">
        <v>0</v>
      </c>
      <c r="G1264" s="415">
        <f t="shared" si="377"/>
        <v>254900.59</v>
      </c>
      <c r="H1264" s="418"/>
      <c r="I1264" s="415">
        <f t="shared" si="378"/>
        <v>267730.57</v>
      </c>
      <c r="J1264" s="442">
        <f t="shared" si="379"/>
        <v>6.0000000000000001E-3</v>
      </c>
      <c r="K1264" s="417">
        <v>0</v>
      </c>
      <c r="L1264" s="418">
        <f t="shared" si="381"/>
        <v>0</v>
      </c>
      <c r="M1264" s="417">
        <v>0</v>
      </c>
      <c r="N1264" s="408">
        <f t="shared" si="382"/>
        <v>267730.57</v>
      </c>
    </row>
    <row r="1265" spans="1:14" x14ac:dyDescent="0.2">
      <c r="A1265" s="410">
        <f t="shared" si="373"/>
        <v>29</v>
      </c>
      <c r="B1265" s="413">
        <v>380</v>
      </c>
      <c r="C1265" s="414" t="s">
        <v>1051</v>
      </c>
      <c r="D1265" s="415">
        <f t="shared" si="376"/>
        <v>123450478.77</v>
      </c>
      <c r="E1265" s="417">
        <f>340700+21546</f>
        <v>362246</v>
      </c>
      <c r="F1265" s="417">
        <v>-43500</v>
      </c>
      <c r="G1265" s="415">
        <f t="shared" si="377"/>
        <v>123769224.77</v>
      </c>
      <c r="H1265" s="418"/>
      <c r="I1265" s="415">
        <f t="shared" si="378"/>
        <v>59233051.520000003</v>
      </c>
      <c r="J1265" s="442">
        <f t="shared" si="379"/>
        <v>5.0999999999999997E-2</v>
      </c>
      <c r="K1265" s="418">
        <f t="shared" si="380"/>
        <v>525342</v>
      </c>
      <c r="L1265" s="418">
        <f t="shared" si="381"/>
        <v>43500</v>
      </c>
      <c r="M1265" s="417">
        <v>-21700</v>
      </c>
      <c r="N1265" s="408">
        <f t="shared" si="382"/>
        <v>59693193.520000003</v>
      </c>
    </row>
    <row r="1266" spans="1:14" x14ac:dyDescent="0.2">
      <c r="A1266" s="410"/>
      <c r="B1266" s="444"/>
      <c r="C1266" s="414"/>
      <c r="D1266" s="439"/>
      <c r="E1266" s="418"/>
      <c r="F1266" s="418"/>
      <c r="G1266" s="439"/>
      <c r="H1266" s="418"/>
      <c r="I1266" s="418"/>
      <c r="J1266" s="418"/>
      <c r="K1266" s="418"/>
      <c r="L1266" s="418"/>
    </row>
    <row r="1267" spans="1:14" x14ac:dyDescent="0.2">
      <c r="A1267" s="2073" t="str">
        <f>co</f>
        <v>COLUMBIA GAS OF KENTUCKY, INC.</v>
      </c>
      <c r="B1267" s="2073"/>
      <c r="C1267" s="2073"/>
      <c r="D1267" s="2073"/>
      <c r="E1267" s="2073"/>
      <c r="F1267" s="2073"/>
      <c r="G1267" s="2073"/>
      <c r="H1267" s="2073"/>
      <c r="I1267" s="2073"/>
      <c r="J1267" s="2073"/>
      <c r="K1267" s="2073"/>
      <c r="L1267" s="2073"/>
      <c r="M1267" s="2073"/>
      <c r="N1267" s="2073"/>
    </row>
    <row r="1268" spans="1:14" x14ac:dyDescent="0.2">
      <c r="A1268" s="2073" t="str">
        <f>case</f>
        <v>CASE NO. 2016 - 00162</v>
      </c>
      <c r="B1268" s="2073"/>
      <c r="C1268" s="2073"/>
      <c r="D1268" s="2073"/>
      <c r="E1268" s="2073"/>
      <c r="F1268" s="2073"/>
      <c r="G1268" s="2073"/>
      <c r="H1268" s="2073"/>
      <c r="I1268" s="2073"/>
      <c r="J1268" s="2073"/>
      <c r="K1268" s="2073"/>
      <c r="L1268" s="2073"/>
      <c r="M1268" s="2073"/>
      <c r="N1268" s="2073"/>
    </row>
    <row r="1269" spans="1:14" x14ac:dyDescent="0.2">
      <c r="A1269" s="2074" t="s">
        <v>1106</v>
      </c>
      <c r="B1269" s="2073"/>
      <c r="C1269" s="2073"/>
      <c r="D1269" s="2073"/>
      <c r="E1269" s="2073"/>
      <c r="F1269" s="2073"/>
      <c r="G1269" s="2073"/>
      <c r="H1269" s="2073"/>
      <c r="I1269" s="2073"/>
      <c r="J1269" s="2073"/>
      <c r="K1269" s="2073"/>
      <c r="L1269" s="2073"/>
      <c r="M1269" s="2073"/>
      <c r="N1269" s="2073"/>
    </row>
    <row r="1270" spans="1:14" x14ac:dyDescent="0.2">
      <c r="A1270" s="2078" t="s">
        <v>2142</v>
      </c>
      <c r="B1270" s="2078"/>
      <c r="C1270" s="2078"/>
      <c r="D1270" s="2078"/>
      <c r="E1270" s="2078"/>
      <c r="F1270" s="2078"/>
      <c r="G1270" s="2078"/>
      <c r="H1270" s="2078"/>
      <c r="I1270" s="2078"/>
      <c r="J1270" s="2078"/>
      <c r="K1270" s="2078"/>
      <c r="L1270" s="2078"/>
      <c r="M1270" s="2078"/>
      <c r="N1270" s="2078"/>
    </row>
    <row r="1272" spans="1:14" x14ac:dyDescent="0.2">
      <c r="A1272" s="388" t="s">
        <v>976</v>
      </c>
      <c r="M1272" s="386"/>
      <c r="N1272" s="387" t="s">
        <v>763</v>
      </c>
    </row>
    <row r="1273" spans="1:14" x14ac:dyDescent="0.2">
      <c r="A1273" s="388" t="s">
        <v>977</v>
      </c>
      <c r="M1273" s="386"/>
      <c r="N1273" s="387" t="s">
        <v>999</v>
      </c>
    </row>
    <row r="1274" spans="1:14" x14ac:dyDescent="0.2">
      <c r="A1274" s="445" t="str">
        <f>A1221</f>
        <v>WORKPAPER REFERENCE NO(S).: WPB-2.3</v>
      </c>
      <c r="B1274" s="391"/>
      <c r="C1274" s="391"/>
      <c r="D1274" s="391"/>
      <c r="E1274" s="391"/>
      <c r="F1274" s="391"/>
      <c r="G1274" s="391"/>
      <c r="H1274" s="391"/>
      <c r="M1274" s="392"/>
      <c r="N1274" s="393" t="str">
        <f>SMK</f>
        <v>WITNESS:  S. M. KATKO</v>
      </c>
    </row>
    <row r="1275" spans="1:14" x14ac:dyDescent="0.2">
      <c r="A1275" s="390"/>
      <c r="B1275" s="391"/>
      <c r="C1275" s="391"/>
      <c r="D1275" s="391"/>
      <c r="E1275" s="391"/>
      <c r="F1275" s="391"/>
      <c r="G1275" s="391"/>
      <c r="H1275" s="391"/>
      <c r="I1275" s="392"/>
      <c r="J1275" s="393"/>
      <c r="L1275" s="386"/>
      <c r="M1275" s="386"/>
    </row>
    <row r="1276" spans="1:14" x14ac:dyDescent="0.2">
      <c r="A1276" s="390"/>
      <c r="B1276" s="391"/>
      <c r="C1276" s="391"/>
      <c r="D1276" s="2075" t="s">
        <v>1088</v>
      </c>
      <c r="E1276" s="2075"/>
      <c r="F1276" s="2075"/>
      <c r="G1276" s="2075"/>
      <c r="H1276" s="391"/>
      <c r="I1276" s="2076" t="s">
        <v>1093</v>
      </c>
      <c r="J1276" s="2077"/>
      <c r="K1276" s="2077"/>
      <c r="L1276" s="2077"/>
      <c r="M1276" s="2077"/>
      <c r="N1276" s="2077"/>
    </row>
    <row r="1277" spans="1:14" x14ac:dyDescent="0.2">
      <c r="A1277" s="394"/>
      <c r="B1277" s="391"/>
      <c r="C1277" s="391"/>
      <c r="D1277" s="396" t="s">
        <v>1084</v>
      </c>
      <c r="E1277" s="391"/>
      <c r="F1277" s="391"/>
      <c r="G1277" s="395"/>
      <c r="H1277" s="395"/>
      <c r="I1277" s="397" t="s">
        <v>1089</v>
      </c>
      <c r="J1277" s="396"/>
      <c r="M1277" s="386"/>
    </row>
    <row r="1278" spans="1:14" x14ac:dyDescent="0.2">
      <c r="A1278" s="383"/>
      <c r="D1278" s="397" t="s">
        <v>865</v>
      </c>
      <c r="G1278" s="397" t="s">
        <v>867</v>
      </c>
      <c r="H1278" s="398"/>
      <c r="I1278" s="397" t="s">
        <v>865</v>
      </c>
      <c r="J1278" s="397" t="s">
        <v>956</v>
      </c>
      <c r="M1278" s="386"/>
      <c r="N1278" s="397" t="s">
        <v>867</v>
      </c>
    </row>
    <row r="1279" spans="1:14" x14ac:dyDescent="0.2">
      <c r="A1279" s="397" t="s">
        <v>1080</v>
      </c>
      <c r="B1279" s="397" t="s">
        <v>1082</v>
      </c>
      <c r="D1279" s="397" t="s">
        <v>867</v>
      </c>
      <c r="G1279" s="399" t="s">
        <v>1087</v>
      </c>
      <c r="H1279" s="398"/>
      <c r="I1279" s="399" t="s">
        <v>867</v>
      </c>
      <c r="J1279" s="397" t="s">
        <v>1090</v>
      </c>
      <c r="K1279" s="397" t="s">
        <v>956</v>
      </c>
      <c r="M1279" s="399" t="s">
        <v>1092</v>
      </c>
      <c r="N1279" s="399" t="s">
        <v>1087</v>
      </c>
    </row>
    <row r="1280" spans="1:14" x14ac:dyDescent="0.2">
      <c r="A1280" s="400" t="s">
        <v>1081</v>
      </c>
      <c r="B1280" s="400" t="s">
        <v>1081</v>
      </c>
      <c r="C1280" s="401" t="s">
        <v>1083</v>
      </c>
      <c r="D1280" s="404" t="str">
        <f>D1227</f>
        <v>01/31/2017</v>
      </c>
      <c r="E1280" s="400" t="s">
        <v>1085</v>
      </c>
      <c r="F1280" s="400" t="s">
        <v>1086</v>
      </c>
      <c r="G1280" s="404" t="str">
        <f>G1227</f>
        <v>02/28/2017</v>
      </c>
      <c r="H1280" s="398"/>
      <c r="I1280" s="404" t="str">
        <f>D1280</f>
        <v>01/31/2017</v>
      </c>
      <c r="J1280" s="400" t="s">
        <v>1091</v>
      </c>
      <c r="K1280" s="402" t="s">
        <v>1090</v>
      </c>
      <c r="L1280" s="402" t="s">
        <v>1086</v>
      </c>
      <c r="M1280" s="402" t="s">
        <v>955</v>
      </c>
      <c r="N1280" s="404" t="str">
        <f>G1280</f>
        <v>02/28/2017</v>
      </c>
    </row>
    <row r="1281" spans="1:14" x14ac:dyDescent="0.2">
      <c r="A1281" s="406"/>
      <c r="B1281" s="406"/>
      <c r="C1281" s="406"/>
      <c r="D1281" s="406" t="str">
        <f>"(1)"</f>
        <v>(1)</v>
      </c>
      <c r="E1281" s="406" t="str">
        <f>"(2)"</f>
        <v>(2)</v>
      </c>
      <c r="F1281" s="406" t="str">
        <f>"(3)"</f>
        <v>(3)</v>
      </c>
      <c r="G1281" s="406" t="str">
        <f>"(4)=(1+2+3)"</f>
        <v>(4)=(1+2+3)</v>
      </c>
      <c r="H1281" s="406"/>
      <c r="I1281" s="406" t="str">
        <f>"(5)"</f>
        <v>(5)</v>
      </c>
      <c r="J1281" s="406" t="str">
        <f>"(6)"</f>
        <v>(6)</v>
      </c>
      <c r="K1281" s="406" t="str">
        <f>"(7)=((1+4)/2*6/12))"</f>
        <v>(7)=((1+4)/2*6/12))</v>
      </c>
      <c r="L1281" s="406" t="str">
        <f>"(8)"</f>
        <v>(8)</v>
      </c>
      <c r="M1281" s="406" t="str">
        <f>"(9)"</f>
        <v>(9)</v>
      </c>
      <c r="N1281" s="406" t="str">
        <f>"(10)=(5+7-8+9)"</f>
        <v>(10)=(5+7-8+9)</v>
      </c>
    </row>
    <row r="1282" spans="1:14" x14ac:dyDescent="0.2">
      <c r="D1282" s="410" t="s">
        <v>639</v>
      </c>
      <c r="E1282" s="410" t="s">
        <v>639</v>
      </c>
      <c r="F1282" s="410" t="s">
        <v>639</v>
      </c>
      <c r="G1282" s="410" t="s">
        <v>639</v>
      </c>
      <c r="H1282" s="410"/>
      <c r="I1282" s="410" t="s">
        <v>639</v>
      </c>
      <c r="J1282" s="410" t="s">
        <v>639</v>
      </c>
      <c r="K1282" s="410" t="s">
        <v>639</v>
      </c>
      <c r="L1282" s="410" t="s">
        <v>639</v>
      </c>
      <c r="M1282" s="410" t="s">
        <v>639</v>
      </c>
      <c r="N1282" s="410" t="s">
        <v>639</v>
      </c>
    </row>
    <row r="1283" spans="1:14" x14ac:dyDescent="0.2">
      <c r="C1283" s="411" t="s">
        <v>707</v>
      </c>
      <c r="D1283" s="410"/>
      <c r="E1283" s="410"/>
      <c r="F1283" s="410"/>
      <c r="G1283" s="410"/>
      <c r="J1283" s="410"/>
    </row>
    <row r="1284" spans="1:14" x14ac:dyDescent="0.2">
      <c r="A1284" s="405">
        <v>1</v>
      </c>
      <c r="B1284" s="446">
        <v>381</v>
      </c>
      <c r="C1284" s="414" t="s">
        <v>1052</v>
      </c>
      <c r="D1284" s="415">
        <f t="shared" ref="D1284:D1295" si="383">G1178</f>
        <v>13742908.550000001</v>
      </c>
      <c r="E1284" s="417">
        <v>15000</v>
      </c>
      <c r="F1284" s="417">
        <v>-1800</v>
      </c>
      <c r="G1284" s="415">
        <f>SUM(D1284:F1284)</f>
        <v>13756108.550000001</v>
      </c>
      <c r="H1284" s="418"/>
      <c r="I1284" s="415">
        <f t="shared" ref="I1284:I1295" si="384">N1178</f>
        <v>4964982.8899999997</v>
      </c>
      <c r="J1284" s="442">
        <f t="shared" ref="J1284:J1295" si="385">J1178</f>
        <v>3.3000000000000002E-2</v>
      </c>
      <c r="K1284" s="418">
        <f t="shared" ref="K1284:K1295" si="386">ROUND((G1284+D1284)/2*J1284/12,0)</f>
        <v>37811</v>
      </c>
      <c r="L1284" s="418">
        <f t="shared" ref="L1284:L1295" si="387">-F1284</f>
        <v>1800</v>
      </c>
      <c r="M1284" s="417">
        <v>0</v>
      </c>
      <c r="N1284" s="408">
        <f t="shared" ref="N1284:N1295" si="388">I1284+K1284-L1284+M1284</f>
        <v>5000993.8899999997</v>
      </c>
    </row>
    <row r="1285" spans="1:14" x14ac:dyDescent="0.2">
      <c r="A1285" s="405">
        <f>A1284+1</f>
        <v>2</v>
      </c>
      <c r="B1285" s="446">
        <v>381.1</v>
      </c>
      <c r="C1285" s="414" t="s">
        <v>1052</v>
      </c>
      <c r="D1285" s="415">
        <f t="shared" si="383"/>
        <v>8799312.0600000005</v>
      </c>
      <c r="E1285" s="417">
        <v>5300</v>
      </c>
      <c r="F1285" s="417">
        <v>-600</v>
      </c>
      <c r="G1285" s="415">
        <f>SUM(D1285:F1285)</f>
        <v>8804012.0600000005</v>
      </c>
      <c r="H1285" s="418"/>
      <c r="I1285" s="415">
        <f t="shared" si="384"/>
        <v>608501.5</v>
      </c>
      <c r="J1285" s="442">
        <f t="shared" si="385"/>
        <v>8.0600000000000005E-2</v>
      </c>
      <c r="K1285" s="418">
        <f t="shared" si="386"/>
        <v>59118</v>
      </c>
      <c r="L1285" s="418">
        <f t="shared" si="387"/>
        <v>600</v>
      </c>
      <c r="M1285" s="417">
        <v>0</v>
      </c>
      <c r="N1285" s="408">
        <f t="shared" si="388"/>
        <v>667019.5</v>
      </c>
    </row>
    <row r="1286" spans="1:14" x14ac:dyDescent="0.2">
      <c r="A1286" s="405">
        <f t="shared" ref="A1286:A1296" si="389">A1285+1</f>
        <v>3</v>
      </c>
      <c r="B1286" s="446">
        <v>382</v>
      </c>
      <c r="C1286" s="414" t="s">
        <v>1053</v>
      </c>
      <c r="D1286" s="415">
        <f t="shared" si="383"/>
        <v>9302192.6500000004</v>
      </c>
      <c r="E1286" s="417">
        <v>20300</v>
      </c>
      <c r="F1286" s="417">
        <v>-2400</v>
      </c>
      <c r="G1286" s="415">
        <f t="shared" ref="G1286:G1291" si="390">SUM(D1286:F1286)</f>
        <v>9320092.6500000004</v>
      </c>
      <c r="H1286" s="418"/>
      <c r="I1286" s="415">
        <f t="shared" si="384"/>
        <v>4640882.3</v>
      </c>
      <c r="J1286" s="442">
        <f t="shared" si="385"/>
        <v>2.4400000000000002E-2</v>
      </c>
      <c r="K1286" s="418">
        <f t="shared" si="386"/>
        <v>18933</v>
      </c>
      <c r="L1286" s="418">
        <f t="shared" si="387"/>
        <v>2400</v>
      </c>
      <c r="M1286" s="417">
        <v>-100</v>
      </c>
      <c r="N1286" s="408">
        <f t="shared" si="388"/>
        <v>4657315.3</v>
      </c>
    </row>
    <row r="1287" spans="1:14" x14ac:dyDescent="0.2">
      <c r="A1287" s="405">
        <f t="shared" si="389"/>
        <v>4</v>
      </c>
      <c r="B1287" s="446">
        <v>383</v>
      </c>
      <c r="C1287" s="414" t="s">
        <v>1054</v>
      </c>
      <c r="D1287" s="415">
        <f t="shared" si="383"/>
        <v>5674820.7599999998</v>
      </c>
      <c r="E1287" s="417">
        <v>16800</v>
      </c>
      <c r="F1287" s="417">
        <v>-2000</v>
      </c>
      <c r="G1287" s="415">
        <f t="shared" si="390"/>
        <v>5689620.7599999998</v>
      </c>
      <c r="H1287" s="418"/>
      <c r="I1287" s="415">
        <f t="shared" si="384"/>
        <v>1516723.41</v>
      </c>
      <c r="J1287" s="442">
        <f t="shared" si="385"/>
        <v>2.7300000000000001E-2</v>
      </c>
      <c r="K1287" s="418">
        <f t="shared" si="386"/>
        <v>12927</v>
      </c>
      <c r="L1287" s="418">
        <f t="shared" si="387"/>
        <v>2000</v>
      </c>
      <c r="M1287" s="417">
        <v>-100</v>
      </c>
      <c r="N1287" s="408">
        <f t="shared" si="388"/>
        <v>1527550.41</v>
      </c>
    </row>
    <row r="1288" spans="1:14" x14ac:dyDescent="0.2">
      <c r="A1288" s="405">
        <f t="shared" si="389"/>
        <v>5</v>
      </c>
      <c r="B1288" s="446">
        <v>384</v>
      </c>
      <c r="C1288" s="414" t="s">
        <v>1055</v>
      </c>
      <c r="D1288" s="415">
        <f t="shared" si="383"/>
        <v>2257522</v>
      </c>
      <c r="E1288" s="417">
        <v>0</v>
      </c>
      <c r="F1288" s="417">
        <v>0</v>
      </c>
      <c r="G1288" s="415">
        <f t="shared" si="390"/>
        <v>2257522</v>
      </c>
      <c r="H1288" s="418"/>
      <c r="I1288" s="415">
        <f t="shared" si="384"/>
        <v>1771228.73</v>
      </c>
      <c r="J1288" s="442">
        <f t="shared" si="385"/>
        <v>1.01E-2</v>
      </c>
      <c r="K1288" s="418">
        <f t="shared" si="386"/>
        <v>1900</v>
      </c>
      <c r="L1288" s="418">
        <f t="shared" si="387"/>
        <v>0</v>
      </c>
      <c r="M1288" s="417">
        <v>0</v>
      </c>
      <c r="N1288" s="408">
        <f t="shared" si="388"/>
        <v>1773128.73</v>
      </c>
    </row>
    <row r="1289" spans="1:14" x14ac:dyDescent="0.2">
      <c r="A1289" s="405">
        <f t="shared" si="389"/>
        <v>6</v>
      </c>
      <c r="B1289" s="446">
        <v>385</v>
      </c>
      <c r="C1289" s="414" t="s">
        <v>1056</v>
      </c>
      <c r="D1289" s="415">
        <f t="shared" si="383"/>
        <v>3262683.36</v>
      </c>
      <c r="E1289" s="417">
        <v>11900</v>
      </c>
      <c r="F1289" s="417">
        <v>-1400</v>
      </c>
      <c r="G1289" s="415">
        <f t="shared" si="390"/>
        <v>3273183.36</v>
      </c>
      <c r="H1289" s="418"/>
      <c r="I1289" s="415">
        <f t="shared" si="384"/>
        <v>902494.55</v>
      </c>
      <c r="J1289" s="442">
        <f t="shared" si="385"/>
        <v>5.0799999999999998E-2</v>
      </c>
      <c r="K1289" s="418">
        <f t="shared" si="386"/>
        <v>13834</v>
      </c>
      <c r="L1289" s="418">
        <f t="shared" si="387"/>
        <v>1400</v>
      </c>
      <c r="M1289" s="417">
        <v>-100</v>
      </c>
      <c r="N1289" s="408">
        <f t="shared" si="388"/>
        <v>914828.55</v>
      </c>
    </row>
    <row r="1290" spans="1:14" x14ac:dyDescent="0.2">
      <c r="A1290" s="405">
        <f t="shared" si="389"/>
        <v>7</v>
      </c>
      <c r="B1290" s="446">
        <v>387.2</v>
      </c>
      <c r="C1290" s="414" t="s">
        <v>1057</v>
      </c>
      <c r="D1290" s="415">
        <f t="shared" si="383"/>
        <v>0</v>
      </c>
      <c r="E1290" s="417">
        <v>0</v>
      </c>
      <c r="F1290" s="417">
        <v>0</v>
      </c>
      <c r="G1290" s="415">
        <f t="shared" si="390"/>
        <v>0</v>
      </c>
      <c r="H1290" s="418"/>
      <c r="I1290" s="415">
        <f t="shared" si="384"/>
        <v>-59912.03</v>
      </c>
      <c r="J1290" s="442">
        <f t="shared" si="385"/>
        <v>0</v>
      </c>
      <c r="K1290" s="418">
        <f t="shared" si="386"/>
        <v>0</v>
      </c>
      <c r="L1290" s="418">
        <f t="shared" si="387"/>
        <v>0</v>
      </c>
      <c r="M1290" s="417">
        <v>0</v>
      </c>
      <c r="N1290" s="408">
        <f t="shared" si="388"/>
        <v>-59912.03</v>
      </c>
    </row>
    <row r="1291" spans="1:14" x14ac:dyDescent="0.2">
      <c r="A1291" s="405">
        <f t="shared" si="389"/>
        <v>8</v>
      </c>
      <c r="B1291" s="446">
        <v>387.41</v>
      </c>
      <c r="C1291" s="414" t="s">
        <v>1058</v>
      </c>
      <c r="D1291" s="415">
        <f t="shared" si="383"/>
        <v>735770.76</v>
      </c>
      <c r="E1291" s="417">
        <v>0</v>
      </c>
      <c r="F1291" s="417">
        <v>0</v>
      </c>
      <c r="G1291" s="415">
        <f t="shared" si="390"/>
        <v>735770.76</v>
      </c>
      <c r="H1291" s="418"/>
      <c r="I1291" s="415">
        <f t="shared" si="384"/>
        <v>388350.95</v>
      </c>
      <c r="J1291" s="442">
        <f t="shared" si="385"/>
        <v>3.7400000000000003E-2</v>
      </c>
      <c r="K1291" s="418">
        <f t="shared" si="386"/>
        <v>2293</v>
      </c>
      <c r="L1291" s="418">
        <f t="shared" si="387"/>
        <v>0</v>
      </c>
      <c r="M1291" s="417">
        <v>0</v>
      </c>
      <c r="N1291" s="408">
        <f t="shared" si="388"/>
        <v>390643.95</v>
      </c>
    </row>
    <row r="1292" spans="1:14" x14ac:dyDescent="0.2">
      <c r="A1292" s="405">
        <f t="shared" si="389"/>
        <v>9</v>
      </c>
      <c r="B1292" s="446">
        <v>387.42</v>
      </c>
      <c r="C1292" s="414" t="s">
        <v>1059</v>
      </c>
      <c r="D1292" s="415">
        <f t="shared" si="383"/>
        <v>795186.58</v>
      </c>
      <c r="E1292" s="417">
        <v>0</v>
      </c>
      <c r="F1292" s="417">
        <v>0</v>
      </c>
      <c r="G1292" s="415">
        <f>SUM(D1292:F1292)</f>
        <v>795186.58</v>
      </c>
      <c r="H1292" s="418"/>
      <c r="I1292" s="415">
        <f t="shared" si="384"/>
        <v>555023.94999999995</v>
      </c>
      <c r="J1292" s="442">
        <f t="shared" si="385"/>
        <v>3.7400000000000003E-2</v>
      </c>
      <c r="K1292" s="418">
        <f t="shared" si="386"/>
        <v>2478</v>
      </c>
      <c r="L1292" s="418">
        <f t="shared" si="387"/>
        <v>0</v>
      </c>
      <c r="M1292" s="417">
        <v>0</v>
      </c>
      <c r="N1292" s="408">
        <f t="shared" si="388"/>
        <v>557501.94999999995</v>
      </c>
    </row>
    <row r="1293" spans="1:14" x14ac:dyDescent="0.2">
      <c r="A1293" s="405">
        <f t="shared" si="389"/>
        <v>10</v>
      </c>
      <c r="B1293" s="446">
        <v>387.44</v>
      </c>
      <c r="C1293" s="414" t="s">
        <v>1060</v>
      </c>
      <c r="D1293" s="415">
        <f t="shared" si="383"/>
        <v>143283.93</v>
      </c>
      <c r="E1293" s="417">
        <v>0</v>
      </c>
      <c r="F1293" s="417">
        <v>0</v>
      </c>
      <c r="G1293" s="415">
        <f>SUM(D1293:F1293)</f>
        <v>143283.93</v>
      </c>
      <c r="H1293" s="418"/>
      <c r="I1293" s="415">
        <f t="shared" si="384"/>
        <v>47395.55</v>
      </c>
      <c r="J1293" s="442">
        <f t="shared" si="385"/>
        <v>3.7400000000000003E-2</v>
      </c>
      <c r="K1293" s="418">
        <f t="shared" si="386"/>
        <v>447</v>
      </c>
      <c r="L1293" s="418">
        <f t="shared" si="387"/>
        <v>0</v>
      </c>
      <c r="M1293" s="417">
        <v>0</v>
      </c>
      <c r="N1293" s="408">
        <f t="shared" si="388"/>
        <v>47842.55</v>
      </c>
    </row>
    <row r="1294" spans="1:14" x14ac:dyDescent="0.2">
      <c r="A1294" s="405">
        <f t="shared" si="389"/>
        <v>11</v>
      </c>
      <c r="B1294" s="446">
        <v>387.45</v>
      </c>
      <c r="C1294" s="414" t="s">
        <v>1061</v>
      </c>
      <c r="D1294" s="415">
        <f t="shared" si="383"/>
        <v>3247904.66</v>
      </c>
      <c r="E1294" s="417">
        <v>-20000</v>
      </c>
      <c r="F1294" s="417">
        <v>2400</v>
      </c>
      <c r="G1294" s="415">
        <f>SUM(D1294:F1294)</f>
        <v>3230304.66</v>
      </c>
      <c r="H1294" s="418"/>
      <c r="I1294" s="415">
        <f t="shared" si="384"/>
        <v>545553.06000000006</v>
      </c>
      <c r="J1294" s="442">
        <f t="shared" si="385"/>
        <v>3.7400000000000003E-2</v>
      </c>
      <c r="K1294" s="418">
        <f t="shared" si="386"/>
        <v>10095</v>
      </c>
      <c r="L1294" s="418">
        <f t="shared" si="387"/>
        <v>-2400</v>
      </c>
      <c r="M1294" s="417">
        <v>0</v>
      </c>
      <c r="N1294" s="408">
        <f t="shared" si="388"/>
        <v>558048.06000000006</v>
      </c>
    </row>
    <row r="1295" spans="1:14" x14ac:dyDescent="0.2">
      <c r="A1295" s="405">
        <f t="shared" si="389"/>
        <v>12</v>
      </c>
      <c r="B1295" s="446">
        <v>387.46</v>
      </c>
      <c r="C1295" s="414" t="s">
        <v>1062</v>
      </c>
      <c r="D1295" s="421">
        <f t="shared" si="383"/>
        <v>113644.47</v>
      </c>
      <c r="E1295" s="1662">
        <v>0</v>
      </c>
      <c r="F1295" s="1662">
        <v>0</v>
      </c>
      <c r="G1295" s="428">
        <f>SUM(D1295:F1295)</f>
        <v>113644.47</v>
      </c>
      <c r="H1295" s="447"/>
      <c r="I1295" s="421">
        <f t="shared" si="384"/>
        <v>112586.83</v>
      </c>
      <c r="J1295" s="442">
        <f t="shared" si="385"/>
        <v>3.7400000000000003E-2</v>
      </c>
      <c r="K1295" s="421">
        <f t="shared" si="386"/>
        <v>354</v>
      </c>
      <c r="L1295" s="421">
        <f t="shared" si="387"/>
        <v>0</v>
      </c>
      <c r="M1295" s="422">
        <v>0</v>
      </c>
      <c r="N1295" s="423">
        <f t="shared" si="388"/>
        <v>112940.83</v>
      </c>
    </row>
    <row r="1296" spans="1:14" x14ac:dyDescent="0.2">
      <c r="A1296" s="405">
        <f t="shared" si="389"/>
        <v>13</v>
      </c>
      <c r="B1296" s="448"/>
      <c r="C1296" s="386" t="s">
        <v>1063</v>
      </c>
      <c r="D1296" s="418">
        <f>SUM(D1284:D1295,D1244:D1265)</f>
        <v>410927960.37999994</v>
      </c>
      <c r="E1296" s="418">
        <f>SUM(E1284:E1295,E1244:E1265)</f>
        <v>1047266</v>
      </c>
      <c r="F1296" s="418">
        <f>SUM(F1284:F1295,F1244:F1265)</f>
        <v>-125600</v>
      </c>
      <c r="G1296" s="418">
        <f>SUM(G1284:G1295,G1244:G1265)</f>
        <v>411849626.37999994</v>
      </c>
      <c r="H1296" s="418"/>
      <c r="I1296" s="418">
        <f>SUM(I1284:I1295,I1244:I1265)</f>
        <v>142187314.32421052</v>
      </c>
      <c r="J1296" s="418"/>
      <c r="K1296" s="418">
        <f>SUM(K1284:K1295,K1244:K1265)</f>
        <v>1151607.0494736843</v>
      </c>
      <c r="L1296" s="418">
        <f>SUM(L1284:L1295,L1244:L1265)</f>
        <v>125600</v>
      </c>
      <c r="M1296" s="418">
        <f>SUM(M1284:M1295,M1244:M1265)</f>
        <v>-32300</v>
      </c>
      <c r="N1296" s="418">
        <f>SUM(N1284:N1295,N1244:N1265)</f>
        <v>143181021.3736842</v>
      </c>
    </row>
    <row r="1297" spans="1:14" x14ac:dyDescent="0.2">
      <c r="B1297" s="448"/>
      <c r="D1297" s="418"/>
      <c r="E1297" s="418"/>
      <c r="F1297" s="418"/>
      <c r="G1297" s="418"/>
      <c r="H1297" s="418"/>
      <c r="I1297" s="439"/>
      <c r="J1297" s="418"/>
      <c r="K1297" s="418"/>
      <c r="L1297" s="418"/>
      <c r="M1297" s="418"/>
    </row>
    <row r="1298" spans="1:14" x14ac:dyDescent="0.2">
      <c r="A1298" s="405">
        <f>A1296+1</f>
        <v>14</v>
      </c>
      <c r="B1298" s="448"/>
      <c r="C1298" s="411" t="s">
        <v>737</v>
      </c>
      <c r="D1298" s="418"/>
      <c r="E1298" s="418"/>
      <c r="F1298" s="418"/>
      <c r="G1298" s="418"/>
      <c r="H1298" s="418"/>
      <c r="I1298" s="439"/>
      <c r="J1298" s="418"/>
      <c r="K1298" s="418"/>
      <c r="L1298" s="418"/>
      <c r="M1298" s="418"/>
    </row>
    <row r="1299" spans="1:14" x14ac:dyDescent="0.2">
      <c r="A1299" s="410">
        <f>A1298+1</f>
        <v>15</v>
      </c>
      <c r="B1299" s="446">
        <v>391.1</v>
      </c>
      <c r="C1299" s="414" t="s">
        <v>1064</v>
      </c>
      <c r="D1299" s="415">
        <f t="shared" ref="D1299:D1312" si="391">G1193</f>
        <v>713480.71</v>
      </c>
      <c r="E1299" s="417">
        <v>0</v>
      </c>
      <c r="F1299" s="417">
        <v>0</v>
      </c>
      <c r="G1299" s="415">
        <f t="shared" ref="G1299:G1312" si="392">SUM(D1299:F1299)</f>
        <v>713480.71</v>
      </c>
      <c r="H1299" s="418"/>
      <c r="I1299" s="415">
        <f t="shared" ref="I1299:I1312" si="393">N1193</f>
        <v>-47603.22</v>
      </c>
      <c r="J1299" s="442">
        <f t="shared" ref="J1299:J1312" si="394">J1193</f>
        <v>0.05</v>
      </c>
      <c r="K1299" s="418">
        <f>ROUND((G1299+D1299)/2*J1299/12,0)</f>
        <v>2973</v>
      </c>
      <c r="L1299" s="418">
        <f t="shared" ref="L1299:L1312" si="395">-F1299</f>
        <v>0</v>
      </c>
      <c r="M1299" s="417">
        <v>0</v>
      </c>
      <c r="N1299" s="408">
        <f t="shared" ref="N1299:N1312" si="396">I1299+K1299-L1299+M1299</f>
        <v>-44630.22</v>
      </c>
    </row>
    <row r="1300" spans="1:14" x14ac:dyDescent="0.2">
      <c r="A1300" s="410">
        <f t="shared" ref="A1300:A1313" si="397">A1299+1</f>
        <v>16</v>
      </c>
      <c r="B1300" s="446">
        <v>391.11</v>
      </c>
      <c r="C1300" s="414" t="s">
        <v>1065</v>
      </c>
      <c r="D1300" s="415">
        <f t="shared" si="391"/>
        <v>18815.57</v>
      </c>
      <c r="E1300" s="417">
        <v>0</v>
      </c>
      <c r="F1300" s="417">
        <v>0</v>
      </c>
      <c r="G1300" s="415">
        <f t="shared" si="392"/>
        <v>18815.57</v>
      </c>
      <c r="H1300" s="418"/>
      <c r="I1300" s="415">
        <f t="shared" si="393"/>
        <v>-11879.77</v>
      </c>
      <c r="J1300" s="442">
        <f t="shared" si="394"/>
        <v>6.6699999999999995E-2</v>
      </c>
      <c r="K1300" s="418">
        <f>ROUND((G1300+D1300)/2*J1300/12,0)</f>
        <v>105</v>
      </c>
      <c r="L1300" s="418">
        <f t="shared" si="395"/>
        <v>0</v>
      </c>
      <c r="M1300" s="417">
        <v>0</v>
      </c>
      <c r="N1300" s="408">
        <f t="shared" si="396"/>
        <v>-11774.77</v>
      </c>
    </row>
    <row r="1301" spans="1:14" x14ac:dyDescent="0.2">
      <c r="A1301" s="410">
        <f t="shared" si="397"/>
        <v>17</v>
      </c>
      <c r="B1301" s="446">
        <v>391.12</v>
      </c>
      <c r="C1301" s="414" t="s">
        <v>1066</v>
      </c>
      <c r="D1301" s="415">
        <f t="shared" si="391"/>
        <v>853483.41</v>
      </c>
      <c r="E1301" s="417">
        <v>0</v>
      </c>
      <c r="F1301" s="417">
        <v>0</v>
      </c>
      <c r="G1301" s="415">
        <f t="shared" si="392"/>
        <v>853483.41</v>
      </c>
      <c r="H1301" s="418"/>
      <c r="I1301" s="415">
        <f t="shared" si="393"/>
        <v>703810.37</v>
      </c>
      <c r="J1301" s="442">
        <f t="shared" si="394"/>
        <v>0.2</v>
      </c>
      <c r="K1301" s="418">
        <f>ROUND((G1301+D1301)/2*J1301/12,0)</f>
        <v>14225</v>
      </c>
      <c r="L1301" s="418">
        <f t="shared" si="395"/>
        <v>0</v>
      </c>
      <c r="M1301" s="417">
        <v>0</v>
      </c>
      <c r="N1301" s="408">
        <f t="shared" si="396"/>
        <v>718035.37</v>
      </c>
    </row>
    <row r="1302" spans="1:14" x14ac:dyDescent="0.2">
      <c r="A1302" s="410">
        <f t="shared" si="397"/>
        <v>18</v>
      </c>
      <c r="B1302" s="446">
        <v>392.2</v>
      </c>
      <c r="C1302" s="414" t="s">
        <v>1067</v>
      </c>
      <c r="D1302" s="415">
        <f t="shared" si="391"/>
        <v>95778</v>
      </c>
      <c r="E1302" s="417">
        <v>0</v>
      </c>
      <c r="F1302" s="417">
        <v>0</v>
      </c>
      <c r="G1302" s="415">
        <f t="shared" si="392"/>
        <v>95778</v>
      </c>
      <c r="H1302" s="418"/>
      <c r="I1302" s="415">
        <f t="shared" si="393"/>
        <v>23385.05</v>
      </c>
      <c r="J1302" s="442">
        <f t="shared" si="394"/>
        <v>9.1499999999999998E-2</v>
      </c>
      <c r="K1302" s="418">
        <f>ROUND((G1302+D1302)/2*J1302/12,0)</f>
        <v>730</v>
      </c>
      <c r="L1302" s="418">
        <f t="shared" si="395"/>
        <v>0</v>
      </c>
      <c r="M1302" s="417">
        <v>0</v>
      </c>
      <c r="N1302" s="408">
        <f t="shared" si="396"/>
        <v>24115.05</v>
      </c>
    </row>
    <row r="1303" spans="1:14" x14ac:dyDescent="0.2">
      <c r="A1303" s="410">
        <f t="shared" si="397"/>
        <v>19</v>
      </c>
      <c r="B1303" s="446">
        <v>392.21</v>
      </c>
      <c r="C1303" s="414" t="s">
        <v>1068</v>
      </c>
      <c r="D1303" s="415">
        <f t="shared" si="391"/>
        <v>24462.2</v>
      </c>
      <c r="E1303" s="417">
        <v>0</v>
      </c>
      <c r="F1303" s="417">
        <v>0</v>
      </c>
      <c r="G1303" s="415">
        <f t="shared" si="392"/>
        <v>24462.2</v>
      </c>
      <c r="H1303" s="418"/>
      <c r="I1303" s="415">
        <f t="shared" si="393"/>
        <v>5374.4</v>
      </c>
      <c r="J1303" s="442">
        <f t="shared" si="394"/>
        <v>9.1499999999999998E-2</v>
      </c>
      <c r="K1303" s="418">
        <f>ROUND((G1303+D1303)/2*J1303/12,0)</f>
        <v>187</v>
      </c>
      <c r="L1303" s="418">
        <f t="shared" si="395"/>
        <v>0</v>
      </c>
      <c r="M1303" s="417">
        <v>0</v>
      </c>
      <c r="N1303" s="408">
        <f t="shared" si="396"/>
        <v>5561.4</v>
      </c>
    </row>
    <row r="1304" spans="1:14" x14ac:dyDescent="0.2">
      <c r="A1304" s="410">
        <f t="shared" si="397"/>
        <v>20</v>
      </c>
      <c r="B1304" s="446">
        <v>393</v>
      </c>
      <c r="C1304" s="414" t="s">
        <v>1069</v>
      </c>
      <c r="D1304" s="415">
        <f t="shared" si="391"/>
        <v>0</v>
      </c>
      <c r="E1304" s="417">
        <v>0</v>
      </c>
      <c r="F1304" s="417">
        <v>0</v>
      </c>
      <c r="G1304" s="415">
        <f t="shared" si="392"/>
        <v>0</v>
      </c>
      <c r="H1304" s="418"/>
      <c r="I1304" s="415">
        <f t="shared" si="393"/>
        <v>0</v>
      </c>
      <c r="J1304" s="442" t="str">
        <f t="shared" si="394"/>
        <v>Amort.</v>
      </c>
      <c r="K1304" s="417">
        <v>0</v>
      </c>
      <c r="L1304" s="418">
        <f t="shared" si="395"/>
        <v>0</v>
      </c>
      <c r="M1304" s="417">
        <v>0</v>
      </c>
      <c r="N1304" s="408">
        <f t="shared" si="396"/>
        <v>0</v>
      </c>
    </row>
    <row r="1305" spans="1:14" x14ac:dyDescent="0.2">
      <c r="A1305" s="410">
        <f t="shared" si="397"/>
        <v>21</v>
      </c>
      <c r="B1305" s="446">
        <v>394.1</v>
      </c>
      <c r="C1305" s="414" t="s">
        <v>1070</v>
      </c>
      <c r="D1305" s="415">
        <f t="shared" si="391"/>
        <v>24240.799999999999</v>
      </c>
      <c r="E1305" s="417">
        <v>0</v>
      </c>
      <c r="F1305" s="417">
        <v>0</v>
      </c>
      <c r="G1305" s="415">
        <f t="shared" si="392"/>
        <v>24240.799999999999</v>
      </c>
      <c r="H1305" s="418"/>
      <c r="I1305" s="415">
        <f t="shared" si="393"/>
        <v>14689.82</v>
      </c>
      <c r="J1305" s="442">
        <f t="shared" si="394"/>
        <v>0.04</v>
      </c>
      <c r="K1305" s="418">
        <f t="shared" ref="K1305:K1312" si="398">ROUND((G1305+D1305)/2*J1305/12,0)</f>
        <v>81</v>
      </c>
      <c r="L1305" s="418">
        <f t="shared" si="395"/>
        <v>0</v>
      </c>
      <c r="M1305" s="417">
        <v>0</v>
      </c>
      <c r="N1305" s="408">
        <f t="shared" si="396"/>
        <v>14770.82</v>
      </c>
    </row>
    <row r="1306" spans="1:14" x14ac:dyDescent="0.2">
      <c r="A1306" s="410">
        <f t="shared" si="397"/>
        <v>22</v>
      </c>
      <c r="B1306" s="446">
        <v>394.11</v>
      </c>
      <c r="C1306" s="414" t="s">
        <v>1071</v>
      </c>
      <c r="D1306" s="415">
        <f t="shared" si="391"/>
        <v>0</v>
      </c>
      <c r="E1306" s="417">
        <v>0</v>
      </c>
      <c r="F1306" s="417">
        <v>0</v>
      </c>
      <c r="G1306" s="415">
        <f t="shared" si="392"/>
        <v>0</v>
      </c>
      <c r="H1306" s="418"/>
      <c r="I1306" s="415">
        <f t="shared" si="393"/>
        <v>0</v>
      </c>
      <c r="J1306" s="442">
        <f t="shared" si="394"/>
        <v>0</v>
      </c>
      <c r="K1306" s="417">
        <v>0</v>
      </c>
      <c r="L1306" s="418">
        <f t="shared" si="395"/>
        <v>0</v>
      </c>
      <c r="M1306" s="417">
        <v>0</v>
      </c>
      <c r="N1306" s="408">
        <f t="shared" si="396"/>
        <v>0</v>
      </c>
    </row>
    <row r="1307" spans="1:14" x14ac:dyDescent="0.2">
      <c r="A1307" s="410">
        <f t="shared" si="397"/>
        <v>23</v>
      </c>
      <c r="B1307" s="446">
        <v>394.13</v>
      </c>
      <c r="C1307" s="438" t="s">
        <v>1072</v>
      </c>
      <c r="D1307" s="415">
        <f t="shared" si="391"/>
        <v>0</v>
      </c>
      <c r="E1307" s="417">
        <v>0</v>
      </c>
      <c r="F1307" s="417">
        <v>0</v>
      </c>
      <c r="G1307" s="415">
        <f t="shared" si="392"/>
        <v>0</v>
      </c>
      <c r="H1307" s="418"/>
      <c r="I1307" s="415">
        <f t="shared" si="393"/>
        <v>37937.360000000001</v>
      </c>
      <c r="J1307" s="442" t="str">
        <f t="shared" si="394"/>
        <v>Amort.</v>
      </c>
      <c r="K1307" s="417">
        <v>0</v>
      </c>
      <c r="L1307" s="418">
        <f t="shared" si="395"/>
        <v>0</v>
      </c>
      <c r="M1307" s="417">
        <v>0</v>
      </c>
      <c r="N1307" s="408">
        <f t="shared" si="396"/>
        <v>37937.360000000001</v>
      </c>
    </row>
    <row r="1308" spans="1:14" x14ac:dyDescent="0.2">
      <c r="A1308" s="410">
        <f t="shared" si="397"/>
        <v>24</v>
      </c>
      <c r="B1308" s="446">
        <v>394.2</v>
      </c>
      <c r="C1308" s="414" t="s">
        <v>1073</v>
      </c>
      <c r="D1308" s="415">
        <f t="shared" si="391"/>
        <v>0</v>
      </c>
      <c r="E1308" s="417">
        <v>0</v>
      </c>
      <c r="F1308" s="417">
        <v>0</v>
      </c>
      <c r="G1308" s="415">
        <f t="shared" si="392"/>
        <v>0</v>
      </c>
      <c r="H1308" s="418"/>
      <c r="I1308" s="415">
        <f t="shared" si="393"/>
        <v>185.21</v>
      </c>
      <c r="J1308" s="442">
        <f t="shared" si="394"/>
        <v>0.04</v>
      </c>
      <c r="K1308" s="418">
        <f t="shared" si="398"/>
        <v>0</v>
      </c>
      <c r="L1308" s="418">
        <f t="shared" si="395"/>
        <v>0</v>
      </c>
      <c r="M1308" s="417">
        <v>0</v>
      </c>
      <c r="N1308" s="408">
        <f t="shared" si="396"/>
        <v>185.21</v>
      </c>
    </row>
    <row r="1309" spans="1:14" x14ac:dyDescent="0.2">
      <c r="A1309" s="410">
        <f t="shared" si="397"/>
        <v>25</v>
      </c>
      <c r="B1309" s="446">
        <v>394.3</v>
      </c>
      <c r="C1309" s="414" t="s">
        <v>1074</v>
      </c>
      <c r="D1309" s="415">
        <f t="shared" si="391"/>
        <v>3094521.16</v>
      </c>
      <c r="E1309" s="417">
        <v>-9800</v>
      </c>
      <c r="F1309" s="417">
        <v>1200</v>
      </c>
      <c r="G1309" s="415">
        <f t="shared" si="392"/>
        <v>3085921.16</v>
      </c>
      <c r="H1309" s="418"/>
      <c r="I1309" s="415">
        <f t="shared" si="393"/>
        <v>1297916.1499999999</v>
      </c>
      <c r="J1309" s="442">
        <f t="shared" si="394"/>
        <v>0.04</v>
      </c>
      <c r="K1309" s="418">
        <f t="shared" si="398"/>
        <v>10301</v>
      </c>
      <c r="L1309" s="418">
        <f t="shared" si="395"/>
        <v>-1200</v>
      </c>
      <c r="M1309" s="417">
        <v>0</v>
      </c>
      <c r="N1309" s="408">
        <f t="shared" si="396"/>
        <v>1309417.1499999999</v>
      </c>
    </row>
    <row r="1310" spans="1:14" x14ac:dyDescent="0.2">
      <c r="A1310" s="410">
        <f t="shared" si="397"/>
        <v>26</v>
      </c>
      <c r="B1310" s="446">
        <v>395</v>
      </c>
      <c r="C1310" s="414" t="s">
        <v>1075</v>
      </c>
      <c r="D1310" s="415">
        <f t="shared" si="391"/>
        <v>9257.77</v>
      </c>
      <c r="E1310" s="417">
        <v>0</v>
      </c>
      <c r="F1310" s="417">
        <v>0</v>
      </c>
      <c r="G1310" s="415">
        <f t="shared" si="392"/>
        <v>9257.77</v>
      </c>
      <c r="H1310" s="418"/>
      <c r="I1310" s="415">
        <f t="shared" si="393"/>
        <v>7568.59</v>
      </c>
      <c r="J1310" s="442">
        <f t="shared" si="394"/>
        <v>0.05</v>
      </c>
      <c r="K1310" s="418">
        <f t="shared" si="398"/>
        <v>39</v>
      </c>
      <c r="L1310" s="418">
        <f t="shared" si="395"/>
        <v>0</v>
      </c>
      <c r="M1310" s="417">
        <v>0</v>
      </c>
      <c r="N1310" s="408">
        <f t="shared" si="396"/>
        <v>7607.59</v>
      </c>
    </row>
    <row r="1311" spans="1:14" x14ac:dyDescent="0.2">
      <c r="A1311" s="410">
        <f t="shared" si="397"/>
        <v>27</v>
      </c>
      <c r="B1311" s="446">
        <v>396</v>
      </c>
      <c r="C1311" s="414" t="s">
        <v>1076</v>
      </c>
      <c r="D1311" s="415">
        <f t="shared" si="391"/>
        <v>253134.72</v>
      </c>
      <c r="E1311" s="417">
        <v>0</v>
      </c>
      <c r="F1311" s="417">
        <v>0</v>
      </c>
      <c r="G1311" s="415">
        <f t="shared" si="392"/>
        <v>253134.72</v>
      </c>
      <c r="H1311" s="418"/>
      <c r="I1311" s="415">
        <f t="shared" si="393"/>
        <v>199867.72</v>
      </c>
      <c r="J1311" s="442">
        <f t="shared" si="394"/>
        <v>2.5899999999999999E-2</v>
      </c>
      <c r="K1311" s="418">
        <f t="shared" si="398"/>
        <v>546</v>
      </c>
      <c r="L1311" s="418">
        <f t="shared" si="395"/>
        <v>0</v>
      </c>
      <c r="M1311" s="417">
        <v>0</v>
      </c>
      <c r="N1311" s="408">
        <f t="shared" si="396"/>
        <v>200413.72</v>
      </c>
    </row>
    <row r="1312" spans="1:14" x14ac:dyDescent="0.2">
      <c r="A1312" s="410">
        <f t="shared" si="397"/>
        <v>28</v>
      </c>
      <c r="B1312" s="446">
        <v>398</v>
      </c>
      <c r="C1312" s="414" t="s">
        <v>1077</v>
      </c>
      <c r="D1312" s="421">
        <f t="shared" si="391"/>
        <v>263161.94</v>
      </c>
      <c r="E1312" s="1662">
        <v>4600</v>
      </c>
      <c r="F1312" s="1662">
        <v>-600</v>
      </c>
      <c r="G1312" s="421">
        <f t="shared" si="392"/>
        <v>267161.94</v>
      </c>
      <c r="H1312" s="447"/>
      <c r="I1312" s="421">
        <f t="shared" si="393"/>
        <v>5540.59</v>
      </c>
      <c r="J1312" s="442">
        <f t="shared" si="394"/>
        <v>6.6699999999999995E-2</v>
      </c>
      <c r="K1312" s="421">
        <f t="shared" si="398"/>
        <v>1474</v>
      </c>
      <c r="L1312" s="421">
        <f t="shared" si="395"/>
        <v>600</v>
      </c>
      <c r="M1312" s="430">
        <v>0</v>
      </c>
      <c r="N1312" s="423">
        <f t="shared" si="396"/>
        <v>6414.59</v>
      </c>
    </row>
    <row r="1313" spans="1:15" x14ac:dyDescent="0.2">
      <c r="A1313" s="410">
        <f t="shared" si="397"/>
        <v>29</v>
      </c>
      <c r="C1313" s="386" t="s">
        <v>1078</v>
      </c>
      <c r="D1313" s="447">
        <f>SUM(D1299:D1312)</f>
        <v>5350336.2799999993</v>
      </c>
      <c r="E1313" s="447">
        <f>SUM(E1299:E1312)</f>
        <v>-5200</v>
      </c>
      <c r="F1313" s="447">
        <f>SUM(F1299:F1312)</f>
        <v>600</v>
      </c>
      <c r="G1313" s="447">
        <f>SUM(G1299:G1312)</f>
        <v>5345736.2799999993</v>
      </c>
      <c r="H1313" s="447"/>
      <c r="I1313" s="447">
        <f>SUM(I1299:I1312)</f>
        <v>2236792.27</v>
      </c>
      <c r="J1313" s="424"/>
      <c r="K1313" s="447">
        <f>SUM(K1299:K1312)</f>
        <v>30661</v>
      </c>
      <c r="L1313" s="447">
        <f>SUM(L1299:L1312)</f>
        <v>-600</v>
      </c>
      <c r="M1313" s="447">
        <f>SUM(M1299:M1312)</f>
        <v>0</v>
      </c>
      <c r="N1313" s="447">
        <f>SUM(N1299:N1312)</f>
        <v>2268053.27</v>
      </c>
    </row>
    <row r="1314" spans="1:15" x14ac:dyDescent="0.2">
      <c r="D1314" s="418"/>
      <c r="E1314" s="418"/>
      <c r="F1314" s="418"/>
      <c r="G1314" s="418"/>
      <c r="H1314" s="418"/>
      <c r="I1314" s="418"/>
      <c r="J1314" s="432"/>
      <c r="K1314" s="418"/>
      <c r="L1314" s="418"/>
      <c r="M1314" s="418"/>
    </row>
    <row r="1315" spans="1:15" x14ac:dyDescent="0.2">
      <c r="A1315" s="405">
        <f>A1313+1</f>
        <v>30</v>
      </c>
      <c r="B1315" s="448"/>
      <c r="C1315" s="411" t="s">
        <v>2287</v>
      </c>
      <c r="D1315" s="418"/>
      <c r="E1315" s="418"/>
      <c r="F1315" s="418"/>
      <c r="G1315" s="418"/>
      <c r="H1315" s="418"/>
      <c r="I1315" s="439"/>
      <c r="J1315" s="418"/>
      <c r="K1315" s="418"/>
      <c r="L1315" s="418"/>
      <c r="M1315" s="418"/>
    </row>
    <row r="1316" spans="1:15" x14ac:dyDescent="0.2">
      <c r="A1316" s="1722">
        <f>A1315+1</f>
        <v>31</v>
      </c>
      <c r="B1316" s="446">
        <v>378.21</v>
      </c>
      <c r="C1316" s="1725" t="s">
        <v>2244</v>
      </c>
      <c r="D1316" s="415">
        <f>G1210</f>
        <v>-777092</v>
      </c>
      <c r="E1316" s="417">
        <v>0</v>
      </c>
      <c r="F1316" s="417">
        <v>0</v>
      </c>
      <c r="G1316" s="415">
        <f t="shared" ref="G1316" si="399">SUM(D1316:F1316)</f>
        <v>-777092</v>
      </c>
      <c r="H1316" s="418"/>
      <c r="I1316" s="415">
        <f>N1210</f>
        <v>-44553.613333333298</v>
      </c>
      <c r="J1316" s="419" t="s">
        <v>1094</v>
      </c>
      <c r="K1316" s="417">
        <v>-2158.5833333333321</v>
      </c>
      <c r="L1316" s="418">
        <f t="shared" ref="L1316" si="400">-F1316</f>
        <v>0</v>
      </c>
      <c r="M1316" s="417">
        <v>0</v>
      </c>
      <c r="N1316" s="408">
        <f t="shared" ref="N1316" si="401">I1316+K1316-L1316+M1316</f>
        <v>-46712.196666666627</v>
      </c>
      <c r="O1316" s="408"/>
    </row>
    <row r="1317" spans="1:15" x14ac:dyDescent="0.2">
      <c r="A1317" s="1722"/>
      <c r="B1317" s="446"/>
      <c r="C1317" s="438"/>
      <c r="D1317" s="415"/>
      <c r="E1317" s="417"/>
      <c r="F1317" s="417"/>
      <c r="G1317" s="415"/>
      <c r="H1317" s="418"/>
      <c r="I1317" s="419"/>
      <c r="J1317" s="419"/>
      <c r="K1317" s="417"/>
      <c r="L1317" s="418"/>
      <c r="M1317" s="417"/>
      <c r="N1317" s="408"/>
      <c r="O1317" s="408"/>
    </row>
    <row r="1318" spans="1:15" x14ac:dyDescent="0.2">
      <c r="A1318" s="410">
        <f>A1316+1</f>
        <v>32</v>
      </c>
      <c r="C1318" s="386" t="s">
        <v>774</v>
      </c>
      <c r="D1318" s="450">
        <f>D1313+D1296+D1241+D1237+D1316</f>
        <v>422406759.36999989</v>
      </c>
      <c r="E1318" s="450">
        <f>E1313+E1296+E1241+E1237+E1316</f>
        <v>1042066</v>
      </c>
      <c r="F1318" s="450">
        <f>F1313+F1296+F1241+F1237+F1316</f>
        <v>-125000</v>
      </c>
      <c r="G1318" s="450">
        <f>G1313+G1296+G1241+G1237+G1316</f>
        <v>423323825.36999989</v>
      </c>
      <c r="H1318" s="418"/>
      <c r="I1318" s="450">
        <f>I1313+I1296+I1241+I1237+I1316</f>
        <v>147408323.66182777</v>
      </c>
      <c r="J1318" s="451"/>
      <c r="K1318" s="450">
        <f>K1313+K1296+K1241+K1237+K1316</f>
        <v>1262191.0631964644</v>
      </c>
      <c r="L1318" s="450">
        <f>L1313+L1296+L1241+L1237+L1316</f>
        <v>125000</v>
      </c>
      <c r="M1318" s="450">
        <f>M1313+M1296+M1241+M1237+M1316</f>
        <v>-32300</v>
      </c>
      <c r="N1318" s="450">
        <f>N1313+N1296+N1241+N1237+N1316</f>
        <v>148513214.72502425</v>
      </c>
    </row>
    <row r="1320" spans="1:15" x14ac:dyDescent="0.2">
      <c r="A1320" s="2073" t="str">
        <f>co</f>
        <v>COLUMBIA GAS OF KENTUCKY, INC.</v>
      </c>
      <c r="B1320" s="2073"/>
      <c r="C1320" s="2073"/>
      <c r="D1320" s="2073"/>
      <c r="E1320" s="2073"/>
      <c r="F1320" s="2073"/>
      <c r="G1320" s="2073"/>
      <c r="H1320" s="2073"/>
      <c r="I1320" s="2073"/>
      <c r="J1320" s="2073"/>
      <c r="K1320" s="2073"/>
      <c r="L1320" s="2073"/>
      <c r="M1320" s="2073"/>
      <c r="N1320" s="2073"/>
    </row>
    <row r="1321" spans="1:15" x14ac:dyDescent="0.2">
      <c r="A1321" s="2073" t="str">
        <f>case</f>
        <v>CASE NO. 2016 - 00162</v>
      </c>
      <c r="B1321" s="2073"/>
      <c r="C1321" s="2073"/>
      <c r="D1321" s="2073"/>
      <c r="E1321" s="2073"/>
      <c r="F1321" s="2073"/>
      <c r="G1321" s="2073"/>
      <c r="H1321" s="2073"/>
      <c r="I1321" s="2073"/>
      <c r="J1321" s="2073"/>
      <c r="K1321" s="2073"/>
      <c r="L1321" s="2073"/>
      <c r="M1321" s="2073"/>
      <c r="N1321" s="2073"/>
    </row>
    <row r="1322" spans="1:15" x14ac:dyDescent="0.2">
      <c r="A1322" s="2074" t="s">
        <v>1106</v>
      </c>
      <c r="B1322" s="2073"/>
      <c r="C1322" s="2073"/>
      <c r="D1322" s="2073"/>
      <c r="E1322" s="2073"/>
      <c r="F1322" s="2073"/>
      <c r="G1322" s="2073"/>
      <c r="H1322" s="2073"/>
      <c r="I1322" s="2073"/>
      <c r="J1322" s="2073"/>
      <c r="K1322" s="2073"/>
      <c r="L1322" s="2073"/>
      <c r="M1322" s="2073"/>
      <c r="N1322" s="2073"/>
    </row>
    <row r="1323" spans="1:15" x14ac:dyDescent="0.2">
      <c r="A1323" s="2078" t="s">
        <v>2142</v>
      </c>
      <c r="B1323" s="2078"/>
      <c r="C1323" s="2078"/>
      <c r="D1323" s="2078"/>
      <c r="E1323" s="2078"/>
      <c r="F1323" s="2078"/>
      <c r="G1323" s="2078"/>
      <c r="H1323" s="2078"/>
      <c r="I1323" s="2078"/>
      <c r="J1323" s="2078"/>
      <c r="K1323" s="2078"/>
      <c r="L1323" s="2078"/>
      <c r="M1323" s="2078"/>
      <c r="N1323" s="2078"/>
    </row>
    <row r="1325" spans="1:15" x14ac:dyDescent="0.2">
      <c r="A1325" s="385" t="s">
        <v>1095</v>
      </c>
      <c r="I1325" s="386"/>
      <c r="N1325" s="387" t="s">
        <v>763</v>
      </c>
    </row>
    <row r="1326" spans="1:15" x14ac:dyDescent="0.2">
      <c r="A1326" s="388" t="s">
        <v>977</v>
      </c>
      <c r="I1326" s="386"/>
      <c r="N1326" s="387" t="s">
        <v>998</v>
      </c>
    </row>
    <row r="1327" spans="1:15" x14ac:dyDescent="0.2">
      <c r="A1327" s="390" t="s">
        <v>997</v>
      </c>
      <c r="B1327" s="391"/>
      <c r="C1327" s="391"/>
      <c r="D1327" s="391"/>
      <c r="E1327" s="391"/>
      <c r="F1327" s="391"/>
      <c r="G1327" s="391"/>
      <c r="H1327" s="391"/>
      <c r="I1327" s="392"/>
      <c r="L1327" s="386"/>
      <c r="M1327" s="386"/>
      <c r="N1327" s="393" t="str">
        <f>SMK</f>
        <v>WITNESS:  S. M. KATKO</v>
      </c>
    </row>
    <row r="1328" spans="1:15" x14ac:dyDescent="0.2">
      <c r="A1328" s="390"/>
      <c r="B1328" s="391"/>
      <c r="C1328" s="391"/>
      <c r="D1328" s="391"/>
      <c r="E1328" s="391"/>
      <c r="F1328" s="391"/>
      <c r="G1328" s="391"/>
      <c r="H1328" s="391"/>
      <c r="I1328" s="392"/>
      <c r="J1328" s="393"/>
      <c r="L1328" s="386"/>
      <c r="M1328" s="386"/>
    </row>
    <row r="1329" spans="1:14" x14ac:dyDescent="0.2">
      <c r="A1329" s="390"/>
      <c r="B1329" s="391"/>
      <c r="C1329" s="391"/>
      <c r="D1329" s="2075" t="s">
        <v>1088</v>
      </c>
      <c r="E1329" s="2075"/>
      <c r="F1329" s="2075"/>
      <c r="G1329" s="2075"/>
      <c r="H1329" s="391"/>
      <c r="I1329" s="2076" t="s">
        <v>1093</v>
      </c>
      <c r="J1329" s="2077"/>
      <c r="K1329" s="2077"/>
      <c r="L1329" s="2077"/>
      <c r="M1329" s="2077"/>
      <c r="N1329" s="2077"/>
    </row>
    <row r="1330" spans="1:14" x14ac:dyDescent="0.2">
      <c r="A1330" s="394"/>
      <c r="B1330" s="391"/>
      <c r="C1330" s="391"/>
      <c r="D1330" s="396" t="s">
        <v>1084</v>
      </c>
      <c r="E1330" s="391"/>
      <c r="F1330" s="391"/>
      <c r="G1330" s="395"/>
      <c r="H1330" s="395"/>
      <c r="I1330" s="397" t="s">
        <v>1089</v>
      </c>
      <c r="J1330" s="396"/>
      <c r="M1330" s="386"/>
    </row>
    <row r="1331" spans="1:14" x14ac:dyDescent="0.2">
      <c r="A1331" s="383"/>
      <c r="D1331" s="397" t="s">
        <v>865</v>
      </c>
      <c r="G1331" s="397" t="s">
        <v>867</v>
      </c>
      <c r="H1331" s="398"/>
      <c r="I1331" s="397" t="s">
        <v>865</v>
      </c>
      <c r="J1331" s="397" t="s">
        <v>956</v>
      </c>
      <c r="M1331" s="386"/>
      <c r="N1331" s="397" t="s">
        <v>867</v>
      </c>
    </row>
    <row r="1332" spans="1:14" x14ac:dyDescent="0.2">
      <c r="A1332" s="397" t="s">
        <v>1080</v>
      </c>
      <c r="B1332" s="397" t="s">
        <v>1082</v>
      </c>
      <c r="D1332" s="397" t="s">
        <v>867</v>
      </c>
      <c r="G1332" s="399" t="s">
        <v>1087</v>
      </c>
      <c r="H1332" s="398"/>
      <c r="I1332" s="399" t="s">
        <v>867</v>
      </c>
      <c r="J1332" s="397" t="s">
        <v>1090</v>
      </c>
      <c r="K1332" s="397" t="s">
        <v>956</v>
      </c>
      <c r="M1332" s="399" t="s">
        <v>1092</v>
      </c>
      <c r="N1332" s="399" t="s">
        <v>1087</v>
      </c>
    </row>
    <row r="1333" spans="1:14" x14ac:dyDescent="0.2">
      <c r="A1333" s="400" t="s">
        <v>1081</v>
      </c>
      <c r="B1333" s="400" t="s">
        <v>1081</v>
      </c>
      <c r="C1333" s="401" t="s">
        <v>1083</v>
      </c>
      <c r="D1333" s="409" t="str">
        <f>"02/28/2017"</f>
        <v>02/28/2017</v>
      </c>
      <c r="E1333" s="400" t="s">
        <v>1085</v>
      </c>
      <c r="F1333" s="400" t="s">
        <v>1086</v>
      </c>
      <c r="G1333" s="409" t="str">
        <f>"03/31/2017"</f>
        <v>03/31/2017</v>
      </c>
      <c r="H1333" s="398"/>
      <c r="I1333" s="404" t="str">
        <f>D1333</f>
        <v>02/28/2017</v>
      </c>
      <c r="J1333" s="400" t="s">
        <v>1091</v>
      </c>
      <c r="K1333" s="402" t="s">
        <v>1090</v>
      </c>
      <c r="L1333" s="402" t="s">
        <v>1086</v>
      </c>
      <c r="M1333" s="402" t="s">
        <v>955</v>
      </c>
      <c r="N1333" s="404" t="str">
        <f>G1333</f>
        <v>03/31/2017</v>
      </c>
    </row>
    <row r="1334" spans="1:14" x14ac:dyDescent="0.2">
      <c r="A1334" s="406"/>
      <c r="B1334" s="406"/>
      <c r="C1334" s="406"/>
      <c r="D1334" s="406" t="str">
        <f>"(1)"</f>
        <v>(1)</v>
      </c>
      <c r="E1334" s="406" t="str">
        <f>"(2)"</f>
        <v>(2)</v>
      </c>
      <c r="F1334" s="406" t="str">
        <f>"(3)"</f>
        <v>(3)</v>
      </c>
      <c r="G1334" s="406" t="str">
        <f>"(4)=(1+2+3)"</f>
        <v>(4)=(1+2+3)</v>
      </c>
      <c r="H1334" s="406"/>
      <c r="I1334" s="406" t="str">
        <f>"(5)"</f>
        <v>(5)</v>
      </c>
      <c r="J1334" s="406" t="str">
        <f>"(6)"</f>
        <v>(6)</v>
      </c>
      <c r="K1334" s="406" t="str">
        <f>"(7)=((1+4)/2*6/12))"</f>
        <v>(7)=((1+4)/2*6/12))</v>
      </c>
      <c r="L1334" s="406" t="str">
        <f>"(8)"</f>
        <v>(8)</v>
      </c>
      <c r="M1334" s="406" t="str">
        <f>"(9)"</f>
        <v>(9)</v>
      </c>
      <c r="N1334" s="406" t="str">
        <f>"(10)=(5+7-8+9)"</f>
        <v>(10)=(5+7-8+9)</v>
      </c>
    </row>
    <row r="1335" spans="1:14" x14ac:dyDescent="0.2">
      <c r="D1335" s="410" t="s">
        <v>639</v>
      </c>
      <c r="E1335" s="410" t="s">
        <v>639</v>
      </c>
      <c r="F1335" s="410" t="s">
        <v>639</v>
      </c>
      <c r="G1335" s="410" t="s">
        <v>639</v>
      </c>
      <c r="H1335" s="410"/>
      <c r="I1335" s="410" t="s">
        <v>639</v>
      </c>
      <c r="J1335" s="410" t="s">
        <v>639</v>
      </c>
      <c r="K1335" s="410" t="s">
        <v>639</v>
      </c>
      <c r="L1335" s="410" t="s">
        <v>639</v>
      </c>
      <c r="M1335" s="410" t="s">
        <v>639</v>
      </c>
      <c r="N1335" s="410" t="s">
        <v>639</v>
      </c>
    </row>
    <row r="1336" spans="1:14" x14ac:dyDescent="0.2">
      <c r="A1336" s="410">
        <v>1</v>
      </c>
      <c r="B1336" s="411" t="s">
        <v>1025</v>
      </c>
      <c r="C1336" s="412"/>
      <c r="M1336" s="386"/>
    </row>
    <row r="1337" spans="1:14" x14ac:dyDescent="0.2">
      <c r="A1337" s="410">
        <f>A1336+1</f>
        <v>2</v>
      </c>
      <c r="C1337" s="411" t="s">
        <v>697</v>
      </c>
      <c r="M1337" s="386"/>
    </row>
    <row r="1338" spans="1:14" x14ac:dyDescent="0.2">
      <c r="A1338" s="410">
        <f t="shared" ref="A1338:A1343" si="402">A1337+1</f>
        <v>3</v>
      </c>
      <c r="B1338" s="413">
        <v>301</v>
      </c>
      <c r="C1338" s="414" t="s">
        <v>1026</v>
      </c>
      <c r="D1338" s="415">
        <f>G1232</f>
        <v>521.20000000000005</v>
      </c>
      <c r="E1338" s="417">
        <v>0</v>
      </c>
      <c r="F1338" s="417">
        <v>0</v>
      </c>
      <c r="G1338" s="415">
        <f>SUM(D1338:F1338)</f>
        <v>521.20000000000005</v>
      </c>
      <c r="H1338" s="418"/>
      <c r="I1338" s="415">
        <f>N1232</f>
        <v>0</v>
      </c>
      <c r="J1338" s="419" t="s">
        <v>1094</v>
      </c>
      <c r="K1338" s="417">
        <v>0</v>
      </c>
      <c r="L1338" s="418">
        <f>-F1338</f>
        <v>0</v>
      </c>
      <c r="M1338" s="417">
        <v>0</v>
      </c>
      <c r="N1338" s="408">
        <f>I1338+K1338-L1338+M1338</f>
        <v>0</v>
      </c>
    </row>
    <row r="1339" spans="1:14" x14ac:dyDescent="0.2">
      <c r="A1339" s="410">
        <f t="shared" si="402"/>
        <v>4</v>
      </c>
      <c r="B1339" s="413">
        <v>303</v>
      </c>
      <c r="C1339" s="414" t="s">
        <v>1027</v>
      </c>
      <c r="D1339" s="415">
        <f>G1233</f>
        <v>74347.509999999995</v>
      </c>
      <c r="E1339" s="417">
        <v>0</v>
      </c>
      <c r="F1339" s="417">
        <v>0</v>
      </c>
      <c r="G1339" s="415">
        <f>SUM(D1339:F1339)</f>
        <v>74347.509999999995</v>
      </c>
      <c r="H1339" s="418"/>
      <c r="I1339" s="415">
        <f>N1233</f>
        <v>48277.669999999962</v>
      </c>
      <c r="J1339" s="419" t="s">
        <v>1094</v>
      </c>
      <c r="K1339" s="415">
        <f>'Intangible Amort.'!I$110</f>
        <v>206.52</v>
      </c>
      <c r="L1339" s="418">
        <f>-F1339</f>
        <v>0</v>
      </c>
      <c r="M1339" s="417">
        <v>0</v>
      </c>
      <c r="N1339" s="408">
        <f>I1339+K1339-L1339+M1339</f>
        <v>48484.189999999959</v>
      </c>
    </row>
    <row r="1340" spans="1:14" x14ac:dyDescent="0.2">
      <c r="A1340" s="410">
        <f t="shared" si="402"/>
        <v>5</v>
      </c>
      <c r="B1340" s="413">
        <v>303.10000000000002</v>
      </c>
      <c r="C1340" s="414" t="s">
        <v>1028</v>
      </c>
      <c r="D1340" s="415">
        <f>G1234</f>
        <v>0</v>
      </c>
      <c r="E1340" s="417">
        <v>0</v>
      </c>
      <c r="F1340" s="417">
        <v>0</v>
      </c>
      <c r="G1340" s="415">
        <f>SUM(D1340:F1340)</f>
        <v>0</v>
      </c>
      <c r="H1340" s="418"/>
      <c r="I1340" s="415">
        <f>N1234</f>
        <v>0</v>
      </c>
      <c r="J1340" s="419" t="s">
        <v>1094</v>
      </c>
      <c r="K1340" s="417">
        <v>0</v>
      </c>
      <c r="L1340" s="418">
        <f>-F1340</f>
        <v>0</v>
      </c>
      <c r="M1340" s="417">
        <v>0</v>
      </c>
      <c r="N1340" s="408">
        <f>I1340+K1340-L1340+M1340</f>
        <v>0</v>
      </c>
    </row>
    <row r="1341" spans="1:14" x14ac:dyDescent="0.2">
      <c r="A1341" s="410">
        <f t="shared" si="402"/>
        <v>6</v>
      </c>
      <c r="B1341" s="413">
        <v>303.2</v>
      </c>
      <c r="C1341" s="414" t="s">
        <v>1029</v>
      </c>
      <c r="D1341" s="415">
        <f>G1235</f>
        <v>0</v>
      </c>
      <c r="E1341" s="417">
        <v>0</v>
      </c>
      <c r="F1341" s="417">
        <v>0</v>
      </c>
      <c r="G1341" s="415">
        <f>SUM(D1341:F1341)</f>
        <v>0</v>
      </c>
      <c r="H1341" s="418"/>
      <c r="I1341" s="415">
        <f>N1235</f>
        <v>0</v>
      </c>
      <c r="J1341" s="419" t="s">
        <v>1094</v>
      </c>
      <c r="K1341" s="417">
        <v>0</v>
      </c>
      <c r="L1341" s="418">
        <f>-F1341</f>
        <v>0</v>
      </c>
      <c r="M1341" s="417">
        <v>0</v>
      </c>
      <c r="N1341" s="408">
        <f>I1341+K1341-L1341+M1341</f>
        <v>0</v>
      </c>
    </row>
    <row r="1342" spans="1:14" x14ac:dyDescent="0.2">
      <c r="A1342" s="410">
        <f t="shared" si="402"/>
        <v>7</v>
      </c>
      <c r="B1342" s="413">
        <v>303.3</v>
      </c>
      <c r="C1342" s="414" t="s">
        <v>1030</v>
      </c>
      <c r="D1342" s="421">
        <f>G1236</f>
        <v>6830686</v>
      </c>
      <c r="E1342" s="422">
        <v>0</v>
      </c>
      <c r="F1342" s="422">
        <v>0</v>
      </c>
      <c r="G1342" s="421">
        <f>SUM(D1342:F1342)</f>
        <v>6830686</v>
      </c>
      <c r="H1342" s="418"/>
      <c r="I1342" s="421">
        <f>N1236</f>
        <v>3062574.608006693</v>
      </c>
      <c r="J1342" s="419" t="s">
        <v>1094</v>
      </c>
      <c r="K1342" s="421">
        <f>'Intangible Amort.'!I$188</f>
        <v>81875.077056113339</v>
      </c>
      <c r="L1342" s="421">
        <f>-F1342</f>
        <v>0</v>
      </c>
      <c r="M1342" s="422">
        <v>0</v>
      </c>
      <c r="N1342" s="423">
        <f>I1342+K1342-L1342+M1342</f>
        <v>3144449.6850628061</v>
      </c>
    </row>
    <row r="1343" spans="1:14" x14ac:dyDescent="0.2">
      <c r="A1343" s="410">
        <f t="shared" si="402"/>
        <v>8</v>
      </c>
      <c r="B1343" s="413"/>
      <c r="C1343" s="414" t="s">
        <v>1031</v>
      </c>
      <c r="D1343" s="418">
        <f>SUM(D1338:D1342)</f>
        <v>6905554.71</v>
      </c>
      <c r="E1343" s="418">
        <f>SUM(E1338:E1342)</f>
        <v>0</v>
      </c>
      <c r="F1343" s="418">
        <f>SUM(F1338:F1342)</f>
        <v>0</v>
      </c>
      <c r="G1343" s="418">
        <f>SUM(G1338:G1342)</f>
        <v>6905554.71</v>
      </c>
      <c r="H1343" s="418"/>
      <c r="I1343" s="418">
        <f>SUM(I1338:I1342)</f>
        <v>3110852.2780066929</v>
      </c>
      <c r="J1343" s="424"/>
      <c r="K1343" s="418">
        <f>SUM(K1338:K1342)</f>
        <v>82081.597056113344</v>
      </c>
      <c r="L1343" s="418">
        <f>SUM(L1338:L1342)</f>
        <v>0</v>
      </c>
      <c r="M1343" s="418">
        <f>SUM(M1338:M1342)</f>
        <v>0</v>
      </c>
      <c r="N1343" s="418">
        <f>SUM(N1338:N1342)</f>
        <v>3192933.8750628061</v>
      </c>
    </row>
    <row r="1344" spans="1:14" x14ac:dyDescent="0.2">
      <c r="B1344" s="425"/>
      <c r="D1344" s="418"/>
      <c r="E1344" s="418"/>
      <c r="F1344" s="418"/>
      <c r="G1344" s="418"/>
      <c r="H1344" s="418"/>
      <c r="I1344" s="418"/>
      <c r="J1344" s="424"/>
      <c r="K1344" s="418"/>
      <c r="L1344" s="418"/>
      <c r="M1344" s="418"/>
    </row>
    <row r="1345" spans="1:14" x14ac:dyDescent="0.2">
      <c r="A1345" s="410">
        <f>A1343+1</f>
        <v>9</v>
      </c>
      <c r="B1345" s="425"/>
      <c r="C1345" s="411" t="s">
        <v>704</v>
      </c>
      <c r="D1345" s="418"/>
      <c r="E1345" s="418"/>
      <c r="F1345" s="418"/>
      <c r="G1345" s="418"/>
      <c r="H1345" s="418"/>
      <c r="I1345" s="418"/>
      <c r="J1345" s="424"/>
      <c r="K1345" s="418"/>
      <c r="L1345" s="418"/>
      <c r="M1345" s="418"/>
    </row>
    <row r="1346" spans="1:14" x14ac:dyDescent="0.2">
      <c r="A1346" s="410">
        <f>A1345+1</f>
        <v>10</v>
      </c>
      <c r="B1346" s="426">
        <v>304.10000000000002</v>
      </c>
      <c r="C1346" s="427" t="s">
        <v>1032</v>
      </c>
      <c r="D1346" s="421">
        <f>G1240</f>
        <v>0</v>
      </c>
      <c r="E1346" s="1662">
        <v>0</v>
      </c>
      <c r="F1346" s="1662">
        <v>0</v>
      </c>
      <c r="G1346" s="421">
        <f>SUM(D1346:F1346)</f>
        <v>0</v>
      </c>
      <c r="H1346" s="418"/>
      <c r="I1346" s="421">
        <f>N1240</f>
        <v>0</v>
      </c>
      <c r="J1346" s="429" t="s">
        <v>1102</v>
      </c>
      <c r="K1346" s="430">
        <v>0</v>
      </c>
      <c r="L1346" s="421">
        <f>-F1346</f>
        <v>0</v>
      </c>
      <c r="M1346" s="422">
        <v>0</v>
      </c>
      <c r="N1346" s="423">
        <f>I1346+K1346-L1346+M1346</f>
        <v>0</v>
      </c>
    </row>
    <row r="1347" spans="1:14" x14ac:dyDescent="0.2">
      <c r="A1347" s="410">
        <f>A1346+1</f>
        <v>11</v>
      </c>
      <c r="B1347" s="426"/>
      <c r="C1347" s="431" t="s">
        <v>1079</v>
      </c>
      <c r="D1347" s="418">
        <f>D1346</f>
        <v>0</v>
      </c>
      <c r="E1347" s="418">
        <f>E1346</f>
        <v>0</v>
      </c>
      <c r="F1347" s="418">
        <f>F1346</f>
        <v>0</v>
      </c>
      <c r="G1347" s="418">
        <f>G1346</f>
        <v>0</v>
      </c>
      <c r="H1347" s="418"/>
      <c r="I1347" s="418">
        <f>I1346</f>
        <v>0</v>
      </c>
      <c r="J1347" s="432"/>
      <c r="K1347" s="418">
        <f>SUM(K1346)</f>
        <v>0</v>
      </c>
      <c r="L1347" s="418">
        <f>SUM(L1346)</f>
        <v>0</v>
      </c>
      <c r="M1347" s="418">
        <f>M1346</f>
        <v>0</v>
      </c>
      <c r="N1347" s="418">
        <f>N1346</f>
        <v>0</v>
      </c>
    </row>
    <row r="1348" spans="1:14" x14ac:dyDescent="0.2">
      <c r="B1348" s="425"/>
      <c r="D1348" s="418"/>
      <c r="E1348" s="418"/>
      <c r="F1348" s="418"/>
      <c r="G1348" s="418"/>
      <c r="H1348" s="418"/>
      <c r="I1348" s="418"/>
      <c r="J1348" s="432"/>
      <c r="K1348" s="418"/>
      <c r="L1348" s="418"/>
      <c r="M1348" s="418"/>
    </row>
    <row r="1349" spans="1:14" x14ac:dyDescent="0.2">
      <c r="A1349" s="410">
        <f>A1347+1</f>
        <v>12</v>
      </c>
      <c r="B1349" s="425"/>
      <c r="C1349" s="411" t="s">
        <v>707</v>
      </c>
      <c r="D1349" s="418"/>
      <c r="E1349" s="418"/>
      <c r="F1349" s="418"/>
      <c r="G1349" s="418"/>
      <c r="H1349" s="418"/>
      <c r="I1349" s="418"/>
      <c r="J1349" s="432"/>
      <c r="K1349" s="418"/>
      <c r="L1349" s="418"/>
      <c r="M1349" s="418"/>
    </row>
    <row r="1350" spans="1:14" x14ac:dyDescent="0.2">
      <c r="A1350" s="410">
        <f>A1349+1</f>
        <v>13</v>
      </c>
      <c r="B1350" s="413">
        <v>374.1</v>
      </c>
      <c r="C1350" s="414" t="s">
        <v>1035</v>
      </c>
      <c r="D1350" s="415">
        <f t="shared" ref="D1350:D1360" si="403">G1244</f>
        <v>206</v>
      </c>
      <c r="E1350" s="417">
        <v>0</v>
      </c>
      <c r="F1350" s="417">
        <v>0</v>
      </c>
      <c r="G1350" s="415">
        <f>SUM(D1350:F1350)</f>
        <v>206</v>
      </c>
      <c r="H1350" s="418"/>
      <c r="I1350" s="415">
        <f t="shared" ref="I1350:I1360" si="404">N1244</f>
        <v>0</v>
      </c>
      <c r="J1350" s="442" t="str">
        <f t="shared" ref="J1350:J1360" si="405">J1244</f>
        <v>Non-Dep.</v>
      </c>
      <c r="K1350" s="417">
        <v>0</v>
      </c>
      <c r="L1350" s="418">
        <f t="shared" ref="L1350:L1360" si="406">-F1350</f>
        <v>0</v>
      </c>
      <c r="M1350" s="417">
        <v>0</v>
      </c>
      <c r="N1350" s="408">
        <f t="shared" ref="N1350:N1360" si="407">I1350+K1350-L1350+M1350</f>
        <v>0</v>
      </c>
    </row>
    <row r="1351" spans="1:14" x14ac:dyDescent="0.2">
      <c r="A1351" s="410">
        <f t="shared" ref="A1351:A1371" si="408">A1350+1</f>
        <v>14</v>
      </c>
      <c r="B1351" s="413">
        <v>374.2</v>
      </c>
      <c r="C1351" s="414" t="s">
        <v>1036</v>
      </c>
      <c r="D1351" s="415">
        <f t="shared" si="403"/>
        <v>877756.18</v>
      </c>
      <c r="E1351" s="417">
        <v>0</v>
      </c>
      <c r="F1351" s="417">
        <v>0</v>
      </c>
      <c r="G1351" s="415">
        <f t="shared" ref="G1351:G1360" si="409">SUM(D1351:F1351)</f>
        <v>877756.18</v>
      </c>
      <c r="H1351" s="418"/>
      <c r="I1351" s="415">
        <f t="shared" si="404"/>
        <v>-523.13</v>
      </c>
      <c r="J1351" s="442" t="str">
        <f t="shared" si="405"/>
        <v>Non-Dep.</v>
      </c>
      <c r="K1351" s="417">
        <v>0</v>
      </c>
      <c r="L1351" s="418">
        <f t="shared" si="406"/>
        <v>0</v>
      </c>
      <c r="M1351" s="417">
        <v>0</v>
      </c>
      <c r="N1351" s="408">
        <f t="shared" si="407"/>
        <v>-523.13</v>
      </c>
    </row>
    <row r="1352" spans="1:14" x14ac:dyDescent="0.2">
      <c r="A1352" s="410">
        <f t="shared" si="408"/>
        <v>15</v>
      </c>
      <c r="B1352" s="413">
        <v>374.4</v>
      </c>
      <c r="C1352" s="414" t="s">
        <v>1037</v>
      </c>
      <c r="D1352" s="415">
        <f t="shared" si="403"/>
        <v>661305.66</v>
      </c>
      <c r="E1352" s="417">
        <v>0</v>
      </c>
      <c r="F1352" s="417">
        <v>0</v>
      </c>
      <c r="G1352" s="415">
        <f t="shared" si="409"/>
        <v>661305.66</v>
      </c>
      <c r="H1352" s="418"/>
      <c r="I1352" s="415">
        <f t="shared" si="404"/>
        <v>180801.36</v>
      </c>
      <c r="J1352" s="442">
        <f t="shared" si="405"/>
        <v>1.7399999999999999E-2</v>
      </c>
      <c r="K1352" s="418">
        <f>ROUND((G1352+D1352)/2*J1352/12,0)</f>
        <v>959</v>
      </c>
      <c r="L1352" s="418">
        <f t="shared" si="406"/>
        <v>0</v>
      </c>
      <c r="M1352" s="417">
        <v>0</v>
      </c>
      <c r="N1352" s="408">
        <f t="shared" si="407"/>
        <v>181760.36</v>
      </c>
    </row>
    <row r="1353" spans="1:14" x14ac:dyDescent="0.2">
      <c r="A1353" s="410">
        <f t="shared" si="408"/>
        <v>16</v>
      </c>
      <c r="B1353" s="413">
        <v>374.5</v>
      </c>
      <c r="C1353" s="414" t="s">
        <v>1038</v>
      </c>
      <c r="D1353" s="415">
        <f t="shared" si="403"/>
        <v>2709572.55</v>
      </c>
      <c r="E1353" s="417">
        <v>3500</v>
      </c>
      <c r="F1353" s="417">
        <v>-400</v>
      </c>
      <c r="G1353" s="415">
        <f t="shared" si="409"/>
        <v>2712672.55</v>
      </c>
      <c r="H1353" s="418"/>
      <c r="I1353" s="415">
        <f t="shared" si="404"/>
        <v>933847.23</v>
      </c>
      <c r="J1353" s="442">
        <f t="shared" si="405"/>
        <v>1.29E-2</v>
      </c>
      <c r="K1353" s="418">
        <f t="shared" ref="K1353:K1358" si="410">ROUND((G1353+D1353)/2*J1353/12,0)</f>
        <v>2914</v>
      </c>
      <c r="L1353" s="418">
        <f t="shared" si="406"/>
        <v>400</v>
      </c>
      <c r="M1353" s="417">
        <v>0</v>
      </c>
      <c r="N1353" s="408">
        <f t="shared" si="407"/>
        <v>936361.23</v>
      </c>
    </row>
    <row r="1354" spans="1:14" x14ac:dyDescent="0.2">
      <c r="A1354" s="410">
        <f t="shared" si="408"/>
        <v>17</v>
      </c>
      <c r="B1354" s="413">
        <v>375.2</v>
      </c>
      <c r="C1354" s="414" t="s">
        <v>1039</v>
      </c>
      <c r="D1354" s="415">
        <f t="shared" si="403"/>
        <v>2124.98</v>
      </c>
      <c r="E1354" s="417">
        <v>0</v>
      </c>
      <c r="F1354" s="417">
        <v>0</v>
      </c>
      <c r="G1354" s="415">
        <f t="shared" si="409"/>
        <v>2124.98</v>
      </c>
      <c r="H1354" s="418"/>
      <c r="I1354" s="415">
        <f t="shared" si="404"/>
        <v>2039.32</v>
      </c>
      <c r="J1354" s="442">
        <f t="shared" si="405"/>
        <v>3.1800000000000002E-2</v>
      </c>
      <c r="K1354" s="418">
        <f t="shared" si="410"/>
        <v>6</v>
      </c>
      <c r="L1354" s="418">
        <f t="shared" si="406"/>
        <v>0</v>
      </c>
      <c r="M1354" s="417">
        <v>0</v>
      </c>
      <c r="N1354" s="408">
        <f t="shared" si="407"/>
        <v>2045.32</v>
      </c>
    </row>
    <row r="1355" spans="1:14" x14ac:dyDescent="0.2">
      <c r="A1355" s="410">
        <f t="shared" si="408"/>
        <v>18</v>
      </c>
      <c r="B1355" s="413">
        <v>375.3</v>
      </c>
      <c r="C1355" s="414" t="s">
        <v>1040</v>
      </c>
      <c r="D1355" s="415">
        <f t="shared" si="403"/>
        <v>0</v>
      </c>
      <c r="E1355" s="417">
        <v>0</v>
      </c>
      <c r="F1355" s="417">
        <v>0</v>
      </c>
      <c r="G1355" s="415">
        <f t="shared" si="409"/>
        <v>0</v>
      </c>
      <c r="H1355" s="418"/>
      <c r="I1355" s="415">
        <f t="shared" si="404"/>
        <v>-77.66</v>
      </c>
      <c r="J1355" s="442">
        <f t="shared" si="405"/>
        <v>3.1800000000000002E-2</v>
      </c>
      <c r="K1355" s="418">
        <f t="shared" si="410"/>
        <v>0</v>
      </c>
      <c r="L1355" s="418">
        <f t="shared" si="406"/>
        <v>0</v>
      </c>
      <c r="M1355" s="417">
        <v>0</v>
      </c>
      <c r="N1355" s="408">
        <f t="shared" si="407"/>
        <v>-77.66</v>
      </c>
    </row>
    <row r="1356" spans="1:14" x14ac:dyDescent="0.2">
      <c r="A1356" s="410">
        <f t="shared" si="408"/>
        <v>19</v>
      </c>
      <c r="B1356" s="413">
        <v>375.4</v>
      </c>
      <c r="C1356" s="414" t="s">
        <v>1041</v>
      </c>
      <c r="D1356" s="415">
        <f t="shared" si="403"/>
        <v>2119430.02</v>
      </c>
      <c r="E1356" s="417">
        <v>11400</v>
      </c>
      <c r="F1356" s="417">
        <v>-1400</v>
      </c>
      <c r="G1356" s="415">
        <f t="shared" si="409"/>
        <v>2129430.02</v>
      </c>
      <c r="H1356" s="418"/>
      <c r="I1356" s="415">
        <f t="shared" si="404"/>
        <v>492126.37</v>
      </c>
      <c r="J1356" s="442">
        <f t="shared" si="405"/>
        <v>3.1800000000000002E-2</v>
      </c>
      <c r="K1356" s="418">
        <f t="shared" si="410"/>
        <v>5630</v>
      </c>
      <c r="L1356" s="418">
        <f t="shared" si="406"/>
        <v>1400</v>
      </c>
      <c r="M1356" s="417">
        <v>-100</v>
      </c>
      <c r="N1356" s="408">
        <f t="shared" si="407"/>
        <v>496256.37</v>
      </c>
    </row>
    <row r="1357" spans="1:14" x14ac:dyDescent="0.2">
      <c r="A1357" s="410">
        <f t="shared" si="408"/>
        <v>20</v>
      </c>
      <c r="B1357" s="413">
        <v>375.6</v>
      </c>
      <c r="C1357" s="414" t="s">
        <v>1042</v>
      </c>
      <c r="D1357" s="415">
        <f t="shared" si="403"/>
        <v>0</v>
      </c>
      <c r="E1357" s="417">
        <v>0</v>
      </c>
      <c r="F1357" s="417">
        <v>0</v>
      </c>
      <c r="G1357" s="415">
        <f t="shared" si="409"/>
        <v>0</v>
      </c>
      <c r="H1357" s="418"/>
      <c r="I1357" s="415">
        <f t="shared" si="404"/>
        <v>0.02</v>
      </c>
      <c r="J1357" s="442">
        <f t="shared" si="405"/>
        <v>3.1800000000000002E-2</v>
      </c>
      <c r="K1357" s="418">
        <f t="shared" si="410"/>
        <v>0</v>
      </c>
      <c r="L1357" s="418">
        <f t="shared" si="406"/>
        <v>0</v>
      </c>
      <c r="M1357" s="417">
        <v>0</v>
      </c>
      <c r="N1357" s="408">
        <f t="shared" si="407"/>
        <v>0.02</v>
      </c>
    </row>
    <row r="1358" spans="1:14" x14ac:dyDescent="0.2">
      <c r="A1358" s="410">
        <f t="shared" si="408"/>
        <v>21</v>
      </c>
      <c r="B1358" s="413">
        <v>375.7</v>
      </c>
      <c r="C1358" s="414" t="s">
        <v>1043</v>
      </c>
      <c r="D1358" s="415">
        <f t="shared" si="403"/>
        <v>8340550.21</v>
      </c>
      <c r="E1358" s="417">
        <v>48300</v>
      </c>
      <c r="F1358" s="417">
        <v>-5800</v>
      </c>
      <c r="G1358" s="415">
        <f t="shared" si="409"/>
        <v>8383050.2100000009</v>
      </c>
      <c r="H1358" s="418"/>
      <c r="I1358" s="415">
        <f t="shared" si="404"/>
        <v>3334056.06</v>
      </c>
      <c r="J1358" s="442">
        <f t="shared" si="405"/>
        <v>2.1299999999999999E-2</v>
      </c>
      <c r="K1358" s="418">
        <f t="shared" si="410"/>
        <v>14842</v>
      </c>
      <c r="L1358" s="418">
        <f t="shared" si="406"/>
        <v>5800</v>
      </c>
      <c r="M1358" s="417">
        <v>0</v>
      </c>
      <c r="N1358" s="408">
        <f t="shared" si="407"/>
        <v>3343098.06</v>
      </c>
    </row>
    <row r="1359" spans="1:14" x14ac:dyDescent="0.2">
      <c r="A1359" s="410">
        <f t="shared" si="408"/>
        <v>22</v>
      </c>
      <c r="B1359" s="413">
        <v>375.71</v>
      </c>
      <c r="C1359" s="414" t="s">
        <v>1044</v>
      </c>
      <c r="D1359" s="415">
        <f t="shared" si="403"/>
        <v>259808.94</v>
      </c>
      <c r="E1359" s="417">
        <v>0</v>
      </c>
      <c r="F1359" s="417">
        <v>0</v>
      </c>
      <c r="G1359" s="415">
        <f t="shared" si="409"/>
        <v>259808.94</v>
      </c>
      <c r="H1359" s="418"/>
      <c r="I1359" s="415">
        <f t="shared" si="404"/>
        <v>188203.65368421067</v>
      </c>
      <c r="J1359" s="442" t="str">
        <f t="shared" si="405"/>
        <v>Amort.</v>
      </c>
      <c r="K1359" s="417">
        <f>104653.88/38</f>
        <v>2754.0494736842106</v>
      </c>
      <c r="L1359" s="418">
        <f t="shared" si="406"/>
        <v>0</v>
      </c>
      <c r="M1359" s="417">
        <v>0</v>
      </c>
      <c r="N1359" s="408">
        <f t="shared" si="407"/>
        <v>190957.7031578949</v>
      </c>
    </row>
    <row r="1360" spans="1:14" x14ac:dyDescent="0.2">
      <c r="A1360" s="410">
        <f t="shared" si="408"/>
        <v>23</v>
      </c>
      <c r="B1360" s="413">
        <v>375.8</v>
      </c>
      <c r="C1360" s="414" t="s">
        <v>1045</v>
      </c>
      <c r="D1360" s="415">
        <f t="shared" si="403"/>
        <v>0</v>
      </c>
      <c r="E1360" s="417">
        <v>0</v>
      </c>
      <c r="F1360" s="417">
        <v>0</v>
      </c>
      <c r="G1360" s="415">
        <f t="shared" si="409"/>
        <v>0</v>
      </c>
      <c r="H1360" s="418"/>
      <c r="I1360" s="415">
        <f t="shared" si="404"/>
        <v>0</v>
      </c>
      <c r="J1360" s="442">
        <f t="shared" si="405"/>
        <v>0</v>
      </c>
      <c r="K1360" s="417">
        <v>0</v>
      </c>
      <c r="L1360" s="418">
        <f t="shared" si="406"/>
        <v>0</v>
      </c>
      <c r="M1360" s="417">
        <v>0</v>
      </c>
      <c r="N1360" s="408">
        <f t="shared" si="407"/>
        <v>0</v>
      </c>
    </row>
    <row r="1361" spans="1:14" x14ac:dyDescent="0.2">
      <c r="A1361" s="410">
        <f>A1360+1</f>
        <v>24</v>
      </c>
      <c r="B1361" s="413">
        <v>376</v>
      </c>
      <c r="C1361" s="438" t="s">
        <v>1096</v>
      </c>
      <c r="D1361" s="415"/>
      <c r="E1361" s="417"/>
      <c r="F1361" s="417"/>
      <c r="G1361" s="415"/>
      <c r="H1361" s="418"/>
      <c r="I1361" s="439"/>
      <c r="J1361" s="432"/>
      <c r="K1361" s="418"/>
      <c r="L1361" s="418"/>
      <c r="M1361" s="417"/>
    </row>
    <row r="1362" spans="1:14" x14ac:dyDescent="0.2">
      <c r="A1362" s="410"/>
      <c r="B1362" s="413"/>
      <c r="C1362" s="440" t="s">
        <v>1097</v>
      </c>
      <c r="D1362" s="415"/>
      <c r="E1362" s="417"/>
      <c r="F1362" s="417"/>
      <c r="G1362" s="415"/>
      <c r="H1362" s="418"/>
      <c r="I1362" s="415"/>
      <c r="J1362" s="442"/>
      <c r="K1362" s="418"/>
      <c r="L1362" s="418"/>
      <c r="M1362" s="417"/>
      <c r="N1362" s="408"/>
    </row>
    <row r="1363" spans="1:14" x14ac:dyDescent="0.2">
      <c r="A1363" s="410"/>
      <c r="B1363" s="413"/>
      <c r="C1363" s="440" t="s">
        <v>1098</v>
      </c>
      <c r="D1363" s="415"/>
      <c r="E1363" s="417"/>
      <c r="F1363" s="417"/>
      <c r="G1363" s="415"/>
      <c r="H1363" s="418"/>
      <c r="I1363" s="415"/>
      <c r="J1363" s="442"/>
      <c r="K1363" s="418"/>
      <c r="L1363" s="418"/>
      <c r="M1363" s="417"/>
      <c r="N1363" s="408"/>
    </row>
    <row r="1364" spans="1:14" x14ac:dyDescent="0.2">
      <c r="A1364" s="410"/>
      <c r="B1364" s="413"/>
      <c r="C1364" s="440" t="s">
        <v>1099</v>
      </c>
      <c r="D1364" s="415"/>
      <c r="E1364" s="417"/>
      <c r="F1364" s="417"/>
      <c r="G1364" s="415"/>
      <c r="H1364" s="418"/>
      <c r="I1364" s="415"/>
      <c r="J1364" s="442"/>
      <c r="K1364" s="418"/>
      <c r="L1364" s="418"/>
      <c r="M1364" s="417"/>
      <c r="N1364" s="408"/>
    </row>
    <row r="1365" spans="1:14" x14ac:dyDescent="0.2">
      <c r="A1365" s="410"/>
      <c r="B1365" s="413"/>
      <c r="C1365" s="440" t="s">
        <v>1100</v>
      </c>
      <c r="D1365" s="415"/>
      <c r="E1365" s="417"/>
      <c r="F1365" s="417"/>
      <c r="G1365" s="415"/>
      <c r="H1365" s="418"/>
      <c r="I1365" s="415"/>
      <c r="J1365" s="442"/>
      <c r="K1365" s="418"/>
      <c r="L1365" s="418"/>
      <c r="M1365" s="417"/>
      <c r="N1365" s="408"/>
    </row>
    <row r="1366" spans="1:14" x14ac:dyDescent="0.2">
      <c r="A1366" s="410"/>
      <c r="B1366" s="413"/>
      <c r="C1366" s="440" t="s">
        <v>1101</v>
      </c>
      <c r="D1366" s="415">
        <f t="shared" ref="D1366:D1371" si="411">G1260</f>
        <v>214363445.44</v>
      </c>
      <c r="E1366" s="417">
        <f>616200+32320</f>
        <v>648520</v>
      </c>
      <c r="F1366" s="417">
        <v>-77800</v>
      </c>
      <c r="G1366" s="415">
        <f t="shared" ref="G1366:G1371" si="412">SUM(D1366:F1366)</f>
        <v>214934165.44</v>
      </c>
      <c r="H1366" s="418"/>
      <c r="I1366" s="415">
        <f t="shared" ref="I1366:I1371" si="413">N1260</f>
        <v>58120188.609999999</v>
      </c>
      <c r="J1366" s="442">
        <f t="shared" ref="J1366:J1371" si="414">J1260</f>
        <v>2.3E-2</v>
      </c>
      <c r="K1366" s="418">
        <f t="shared" ref="K1366:K1371" si="415">ROUND((G1366+D1366)/2*J1366/12,0)</f>
        <v>411410</v>
      </c>
      <c r="L1366" s="418">
        <f t="shared" ref="L1366:L1371" si="416">-F1366</f>
        <v>77800</v>
      </c>
      <c r="M1366" s="417">
        <v>-11700</v>
      </c>
      <c r="N1366" s="408">
        <f t="shared" ref="N1366:N1371" si="417">I1366+K1366-L1366+M1366</f>
        <v>58442098.609999999</v>
      </c>
    </row>
    <row r="1367" spans="1:14" x14ac:dyDescent="0.2">
      <c r="A1367" s="410">
        <f>A1361+1</f>
        <v>25</v>
      </c>
      <c r="B1367" s="413">
        <v>378.1</v>
      </c>
      <c r="C1367" s="414" t="s">
        <v>1047</v>
      </c>
      <c r="D1367" s="415">
        <f t="shared" si="411"/>
        <v>518504.18</v>
      </c>
      <c r="E1367" s="417">
        <v>0</v>
      </c>
      <c r="F1367" s="417">
        <v>0</v>
      </c>
      <c r="G1367" s="415">
        <f t="shared" si="412"/>
        <v>518504.18</v>
      </c>
      <c r="H1367" s="418"/>
      <c r="I1367" s="415">
        <f t="shared" si="413"/>
        <v>366331.81</v>
      </c>
      <c r="J1367" s="442">
        <f t="shared" si="414"/>
        <v>3.32E-2</v>
      </c>
      <c r="K1367" s="418">
        <f t="shared" si="415"/>
        <v>1435</v>
      </c>
      <c r="L1367" s="418">
        <f t="shared" si="416"/>
        <v>0</v>
      </c>
      <c r="M1367" s="417">
        <v>0</v>
      </c>
      <c r="N1367" s="408">
        <f t="shared" si="417"/>
        <v>367766.81</v>
      </c>
    </row>
    <row r="1368" spans="1:14" x14ac:dyDescent="0.2">
      <c r="A1368" s="410">
        <f t="shared" si="408"/>
        <v>26</v>
      </c>
      <c r="B1368" s="413">
        <v>378.2</v>
      </c>
      <c r="C1368" s="414" t="s">
        <v>1048</v>
      </c>
      <c r="D1368" s="415">
        <f t="shared" si="411"/>
        <v>9808624</v>
      </c>
      <c r="E1368" s="417">
        <v>12400</v>
      </c>
      <c r="F1368" s="417">
        <v>-1500</v>
      </c>
      <c r="G1368" s="415">
        <f t="shared" si="412"/>
        <v>9819524</v>
      </c>
      <c r="H1368" s="418"/>
      <c r="I1368" s="415">
        <f t="shared" si="413"/>
        <v>3419071.91</v>
      </c>
      <c r="J1368" s="442">
        <f t="shared" si="414"/>
        <v>3.32E-2</v>
      </c>
      <c r="K1368" s="418">
        <f t="shared" si="415"/>
        <v>27152</v>
      </c>
      <c r="L1368" s="418">
        <f t="shared" si="416"/>
        <v>1500</v>
      </c>
      <c r="M1368" s="417">
        <v>-100</v>
      </c>
      <c r="N1368" s="408">
        <f t="shared" si="417"/>
        <v>3444623.91</v>
      </c>
    </row>
    <row r="1369" spans="1:14" x14ac:dyDescent="0.2">
      <c r="A1369" s="410">
        <f t="shared" si="408"/>
        <v>27</v>
      </c>
      <c r="B1369" s="413">
        <v>378.3</v>
      </c>
      <c r="C1369" s="414" t="s">
        <v>1049</v>
      </c>
      <c r="D1369" s="415">
        <f t="shared" si="411"/>
        <v>45443.08</v>
      </c>
      <c r="E1369" s="417">
        <v>0</v>
      </c>
      <c r="F1369" s="417">
        <v>0</v>
      </c>
      <c r="G1369" s="415">
        <f t="shared" si="412"/>
        <v>45443.08</v>
      </c>
      <c r="H1369" s="418"/>
      <c r="I1369" s="415">
        <f t="shared" si="413"/>
        <v>36130.04</v>
      </c>
      <c r="J1369" s="442">
        <f t="shared" si="414"/>
        <v>3.32E-2</v>
      </c>
      <c r="K1369" s="418">
        <f t="shared" si="415"/>
        <v>126</v>
      </c>
      <c r="L1369" s="418">
        <f t="shared" si="416"/>
        <v>0</v>
      </c>
      <c r="M1369" s="417">
        <v>0</v>
      </c>
      <c r="N1369" s="408">
        <f t="shared" si="417"/>
        <v>36256.04</v>
      </c>
    </row>
    <row r="1370" spans="1:14" x14ac:dyDescent="0.2">
      <c r="A1370" s="410">
        <f t="shared" si="408"/>
        <v>28</v>
      </c>
      <c r="B1370" s="413">
        <v>379.1</v>
      </c>
      <c r="C1370" s="414" t="s">
        <v>1050</v>
      </c>
      <c r="D1370" s="415">
        <f t="shared" si="411"/>
        <v>254900.59</v>
      </c>
      <c r="E1370" s="417">
        <v>0</v>
      </c>
      <c r="F1370" s="417">
        <v>0</v>
      </c>
      <c r="G1370" s="415">
        <f t="shared" si="412"/>
        <v>254900.59</v>
      </c>
      <c r="H1370" s="418"/>
      <c r="I1370" s="415">
        <f t="shared" si="413"/>
        <v>267730.57</v>
      </c>
      <c r="J1370" s="442">
        <f t="shared" si="414"/>
        <v>6.0000000000000001E-3</v>
      </c>
      <c r="K1370" s="417">
        <v>0</v>
      </c>
      <c r="L1370" s="418">
        <f t="shared" si="416"/>
        <v>0</v>
      </c>
      <c r="M1370" s="417">
        <v>0</v>
      </c>
      <c r="N1370" s="408">
        <f t="shared" si="417"/>
        <v>267730.57</v>
      </c>
    </row>
    <row r="1371" spans="1:14" x14ac:dyDescent="0.2">
      <c r="A1371" s="410">
        <f t="shared" si="408"/>
        <v>29</v>
      </c>
      <c r="B1371" s="413">
        <v>380</v>
      </c>
      <c r="C1371" s="414" t="s">
        <v>1051</v>
      </c>
      <c r="D1371" s="415">
        <f t="shared" si="411"/>
        <v>123769224.77</v>
      </c>
      <c r="E1371" s="417">
        <f>349700+21546</f>
        <v>371246</v>
      </c>
      <c r="F1371" s="417">
        <v>-44500</v>
      </c>
      <c r="G1371" s="415">
        <f t="shared" si="412"/>
        <v>124095970.77</v>
      </c>
      <c r="H1371" s="418"/>
      <c r="I1371" s="415">
        <f t="shared" si="413"/>
        <v>59693193.520000003</v>
      </c>
      <c r="J1371" s="442">
        <f t="shared" si="414"/>
        <v>5.0999999999999997E-2</v>
      </c>
      <c r="K1371" s="418">
        <f t="shared" si="415"/>
        <v>526714</v>
      </c>
      <c r="L1371" s="418">
        <f t="shared" si="416"/>
        <v>44500</v>
      </c>
      <c r="M1371" s="417">
        <v>-22300</v>
      </c>
      <c r="N1371" s="408">
        <f t="shared" si="417"/>
        <v>60153107.520000003</v>
      </c>
    </row>
    <row r="1372" spans="1:14" x14ac:dyDescent="0.2">
      <c r="A1372" s="410"/>
      <c r="B1372" s="444"/>
      <c r="C1372" s="414"/>
      <c r="D1372" s="439"/>
      <c r="E1372" s="418"/>
      <c r="F1372" s="418"/>
      <c r="G1372" s="439"/>
      <c r="H1372" s="418"/>
      <c r="I1372" s="418"/>
      <c r="J1372" s="418"/>
      <c r="K1372" s="418"/>
      <c r="L1372" s="418"/>
    </row>
    <row r="1373" spans="1:14" x14ac:dyDescent="0.2">
      <c r="A1373" s="2073" t="str">
        <f>co</f>
        <v>COLUMBIA GAS OF KENTUCKY, INC.</v>
      </c>
      <c r="B1373" s="2073"/>
      <c r="C1373" s="2073"/>
      <c r="D1373" s="2073"/>
      <c r="E1373" s="2073"/>
      <c r="F1373" s="2073"/>
      <c r="G1373" s="2073"/>
      <c r="H1373" s="2073"/>
      <c r="I1373" s="2073"/>
      <c r="J1373" s="2073"/>
      <c r="K1373" s="2073"/>
      <c r="L1373" s="2073"/>
      <c r="M1373" s="2073"/>
      <c r="N1373" s="2073"/>
    </row>
    <row r="1374" spans="1:14" x14ac:dyDescent="0.2">
      <c r="A1374" s="2073" t="str">
        <f>case</f>
        <v>CASE NO. 2016 - 00162</v>
      </c>
      <c r="B1374" s="2073"/>
      <c r="C1374" s="2073"/>
      <c r="D1374" s="2073"/>
      <c r="E1374" s="2073"/>
      <c r="F1374" s="2073"/>
      <c r="G1374" s="2073"/>
      <c r="H1374" s="2073"/>
      <c r="I1374" s="2073"/>
      <c r="J1374" s="2073"/>
      <c r="K1374" s="2073"/>
      <c r="L1374" s="2073"/>
      <c r="M1374" s="2073"/>
      <c r="N1374" s="2073"/>
    </row>
    <row r="1375" spans="1:14" x14ac:dyDescent="0.2">
      <c r="A1375" s="2074" t="s">
        <v>1106</v>
      </c>
      <c r="B1375" s="2073"/>
      <c r="C1375" s="2073"/>
      <c r="D1375" s="2073"/>
      <c r="E1375" s="2073"/>
      <c r="F1375" s="2073"/>
      <c r="G1375" s="2073"/>
      <c r="H1375" s="2073"/>
      <c r="I1375" s="2073"/>
      <c r="J1375" s="2073"/>
      <c r="K1375" s="2073"/>
      <c r="L1375" s="2073"/>
      <c r="M1375" s="2073"/>
      <c r="N1375" s="2073"/>
    </row>
    <row r="1376" spans="1:14" x14ac:dyDescent="0.2">
      <c r="A1376" s="2078" t="s">
        <v>2142</v>
      </c>
      <c r="B1376" s="2078"/>
      <c r="C1376" s="2078"/>
      <c r="D1376" s="2078"/>
      <c r="E1376" s="2078"/>
      <c r="F1376" s="2078"/>
      <c r="G1376" s="2078"/>
      <c r="H1376" s="2078"/>
      <c r="I1376" s="2078"/>
      <c r="J1376" s="2078"/>
      <c r="K1376" s="2078"/>
      <c r="L1376" s="2078"/>
      <c r="M1376" s="2078"/>
      <c r="N1376" s="2078"/>
    </row>
    <row r="1378" spans="1:14" x14ac:dyDescent="0.2">
      <c r="A1378" s="388" t="s">
        <v>976</v>
      </c>
      <c r="M1378" s="386"/>
      <c r="N1378" s="387" t="s">
        <v>763</v>
      </c>
    </row>
    <row r="1379" spans="1:14" x14ac:dyDescent="0.2">
      <c r="A1379" s="388" t="s">
        <v>977</v>
      </c>
      <c r="M1379" s="386"/>
      <c r="N1379" s="387" t="s">
        <v>999</v>
      </c>
    </row>
    <row r="1380" spans="1:14" x14ac:dyDescent="0.2">
      <c r="A1380" s="445" t="str">
        <f>A1327</f>
        <v>WORKPAPER REFERENCE NO(S).: WPB-2.3</v>
      </c>
      <c r="B1380" s="391"/>
      <c r="C1380" s="391"/>
      <c r="D1380" s="391"/>
      <c r="E1380" s="391"/>
      <c r="F1380" s="391"/>
      <c r="G1380" s="391"/>
      <c r="H1380" s="391"/>
      <c r="M1380" s="392"/>
      <c r="N1380" s="393" t="str">
        <f>SMK</f>
        <v>WITNESS:  S. M. KATKO</v>
      </c>
    </row>
    <row r="1381" spans="1:14" x14ac:dyDescent="0.2">
      <c r="A1381" s="390"/>
      <c r="B1381" s="391"/>
      <c r="C1381" s="391"/>
      <c r="D1381" s="391"/>
      <c r="E1381" s="391"/>
      <c r="F1381" s="391"/>
      <c r="G1381" s="391"/>
      <c r="H1381" s="391"/>
      <c r="I1381" s="392"/>
      <c r="J1381" s="393"/>
      <c r="L1381" s="386"/>
      <c r="M1381" s="386"/>
    </row>
    <row r="1382" spans="1:14" x14ac:dyDescent="0.2">
      <c r="A1382" s="390"/>
      <c r="B1382" s="391"/>
      <c r="C1382" s="391"/>
      <c r="D1382" s="2075" t="s">
        <v>1088</v>
      </c>
      <c r="E1382" s="2075"/>
      <c r="F1382" s="2075"/>
      <c r="G1382" s="2075"/>
      <c r="H1382" s="391"/>
      <c r="I1382" s="2076" t="s">
        <v>1093</v>
      </c>
      <c r="J1382" s="2077"/>
      <c r="K1382" s="2077"/>
      <c r="L1382" s="2077"/>
      <c r="M1382" s="2077"/>
      <c r="N1382" s="2077"/>
    </row>
    <row r="1383" spans="1:14" x14ac:dyDescent="0.2">
      <c r="A1383" s="394"/>
      <c r="B1383" s="391"/>
      <c r="C1383" s="391"/>
      <c r="D1383" s="396" t="s">
        <v>1084</v>
      </c>
      <c r="E1383" s="391"/>
      <c r="F1383" s="391"/>
      <c r="G1383" s="395"/>
      <c r="H1383" s="395"/>
      <c r="I1383" s="397" t="s">
        <v>1089</v>
      </c>
      <c r="J1383" s="396"/>
      <c r="M1383" s="386"/>
    </row>
    <row r="1384" spans="1:14" x14ac:dyDescent="0.2">
      <c r="A1384" s="383"/>
      <c r="D1384" s="397" t="s">
        <v>865</v>
      </c>
      <c r="G1384" s="397" t="s">
        <v>867</v>
      </c>
      <c r="H1384" s="398"/>
      <c r="I1384" s="397" t="s">
        <v>865</v>
      </c>
      <c r="J1384" s="397" t="s">
        <v>956</v>
      </c>
      <c r="M1384" s="386"/>
      <c r="N1384" s="397" t="s">
        <v>867</v>
      </c>
    </row>
    <row r="1385" spans="1:14" x14ac:dyDescent="0.2">
      <c r="A1385" s="397" t="s">
        <v>1080</v>
      </c>
      <c r="B1385" s="397" t="s">
        <v>1082</v>
      </c>
      <c r="D1385" s="397" t="s">
        <v>867</v>
      </c>
      <c r="G1385" s="399" t="s">
        <v>1087</v>
      </c>
      <c r="H1385" s="398"/>
      <c r="I1385" s="399" t="s">
        <v>867</v>
      </c>
      <c r="J1385" s="397" t="s">
        <v>1090</v>
      </c>
      <c r="K1385" s="397" t="s">
        <v>956</v>
      </c>
      <c r="M1385" s="399" t="s">
        <v>1092</v>
      </c>
      <c r="N1385" s="399" t="s">
        <v>1087</v>
      </c>
    </row>
    <row r="1386" spans="1:14" x14ac:dyDescent="0.2">
      <c r="A1386" s="400" t="s">
        <v>1081</v>
      </c>
      <c r="B1386" s="400" t="s">
        <v>1081</v>
      </c>
      <c r="C1386" s="401" t="s">
        <v>1083</v>
      </c>
      <c r="D1386" s="404" t="str">
        <f>D1333</f>
        <v>02/28/2017</v>
      </c>
      <c r="E1386" s="400" t="s">
        <v>1085</v>
      </c>
      <c r="F1386" s="400" t="s">
        <v>1086</v>
      </c>
      <c r="G1386" s="404" t="str">
        <f>G1333</f>
        <v>03/31/2017</v>
      </c>
      <c r="H1386" s="398"/>
      <c r="I1386" s="404" t="str">
        <f>D1386</f>
        <v>02/28/2017</v>
      </c>
      <c r="J1386" s="400" t="s">
        <v>1091</v>
      </c>
      <c r="K1386" s="402" t="s">
        <v>1090</v>
      </c>
      <c r="L1386" s="402" t="s">
        <v>1086</v>
      </c>
      <c r="M1386" s="402" t="s">
        <v>955</v>
      </c>
      <c r="N1386" s="404" t="str">
        <f>G1386</f>
        <v>03/31/2017</v>
      </c>
    </row>
    <row r="1387" spans="1:14" x14ac:dyDescent="0.2">
      <c r="A1387" s="406"/>
      <c r="B1387" s="406"/>
      <c r="C1387" s="406"/>
      <c r="D1387" s="406" t="str">
        <f>"(1)"</f>
        <v>(1)</v>
      </c>
      <c r="E1387" s="406" t="str">
        <f>"(2)"</f>
        <v>(2)</v>
      </c>
      <c r="F1387" s="406" t="str">
        <f>"(3)"</f>
        <v>(3)</v>
      </c>
      <c r="G1387" s="406" t="str">
        <f>"(4)=(1+2+3)"</f>
        <v>(4)=(1+2+3)</v>
      </c>
      <c r="H1387" s="406"/>
      <c r="I1387" s="406" t="str">
        <f>"(5)"</f>
        <v>(5)</v>
      </c>
      <c r="J1387" s="406" t="str">
        <f>"(6)"</f>
        <v>(6)</v>
      </c>
      <c r="K1387" s="406" t="str">
        <f>"(7)=((1+4)/2*6/12))"</f>
        <v>(7)=((1+4)/2*6/12))</v>
      </c>
      <c r="L1387" s="406" t="str">
        <f>"(8)"</f>
        <v>(8)</v>
      </c>
      <c r="M1387" s="406" t="str">
        <f>"(9)"</f>
        <v>(9)</v>
      </c>
      <c r="N1387" s="406" t="str">
        <f>"(10)=(5+7-8+9)"</f>
        <v>(10)=(5+7-8+9)</v>
      </c>
    </row>
    <row r="1388" spans="1:14" x14ac:dyDescent="0.2">
      <c r="D1388" s="410" t="s">
        <v>639</v>
      </c>
      <c r="E1388" s="410" t="s">
        <v>639</v>
      </c>
      <c r="F1388" s="410" t="s">
        <v>639</v>
      </c>
      <c r="G1388" s="410" t="s">
        <v>639</v>
      </c>
      <c r="H1388" s="410"/>
      <c r="I1388" s="410" t="s">
        <v>639</v>
      </c>
      <c r="J1388" s="410" t="s">
        <v>639</v>
      </c>
      <c r="K1388" s="410" t="s">
        <v>639</v>
      </c>
      <c r="L1388" s="410" t="s">
        <v>639</v>
      </c>
      <c r="M1388" s="410" t="s">
        <v>639</v>
      </c>
      <c r="N1388" s="410" t="s">
        <v>639</v>
      </c>
    </row>
    <row r="1389" spans="1:14" x14ac:dyDescent="0.2">
      <c r="C1389" s="411" t="s">
        <v>707</v>
      </c>
      <c r="D1389" s="410"/>
      <c r="E1389" s="410"/>
      <c r="F1389" s="410"/>
      <c r="G1389" s="410"/>
      <c r="J1389" s="410"/>
    </row>
    <row r="1390" spans="1:14" x14ac:dyDescent="0.2">
      <c r="A1390" s="405">
        <v>1</v>
      </c>
      <c r="B1390" s="446">
        <v>381</v>
      </c>
      <c r="C1390" s="414" t="s">
        <v>1052</v>
      </c>
      <c r="D1390" s="415">
        <f t="shared" ref="D1390:D1401" si="418">G1284</f>
        <v>13756108.550000001</v>
      </c>
      <c r="E1390" s="417">
        <v>16900</v>
      </c>
      <c r="F1390" s="417">
        <v>-2000</v>
      </c>
      <c r="G1390" s="415">
        <f>SUM(D1390:F1390)</f>
        <v>13771008.550000001</v>
      </c>
      <c r="H1390" s="418"/>
      <c r="I1390" s="415">
        <f t="shared" ref="I1390:I1401" si="419">N1284</f>
        <v>5000993.8899999997</v>
      </c>
      <c r="J1390" s="442">
        <f t="shared" ref="J1390:J1401" si="420">J1284</f>
        <v>3.3000000000000002E-2</v>
      </c>
      <c r="K1390" s="418">
        <f t="shared" ref="K1390:K1401" si="421">ROUND((G1390+D1390)/2*J1390/12,0)</f>
        <v>37850</v>
      </c>
      <c r="L1390" s="418">
        <f t="shared" ref="L1390:L1401" si="422">-F1390</f>
        <v>2000</v>
      </c>
      <c r="M1390" s="417">
        <v>0</v>
      </c>
      <c r="N1390" s="408">
        <f t="shared" ref="N1390:N1401" si="423">I1390+K1390-L1390+M1390</f>
        <v>5036843.8899999997</v>
      </c>
    </row>
    <row r="1391" spans="1:14" x14ac:dyDescent="0.2">
      <c r="A1391" s="405">
        <f>A1390+1</f>
        <v>2</v>
      </c>
      <c r="B1391" s="446">
        <v>381.1</v>
      </c>
      <c r="C1391" s="414" t="s">
        <v>1052</v>
      </c>
      <c r="D1391" s="415">
        <f t="shared" si="418"/>
        <v>8804012.0600000005</v>
      </c>
      <c r="E1391" s="417">
        <v>5300</v>
      </c>
      <c r="F1391" s="417">
        <v>-600</v>
      </c>
      <c r="G1391" s="415">
        <f>SUM(D1391:F1391)</f>
        <v>8808712.0600000005</v>
      </c>
      <c r="H1391" s="418"/>
      <c r="I1391" s="415">
        <f t="shared" si="419"/>
        <v>667019.5</v>
      </c>
      <c r="J1391" s="442">
        <f t="shared" si="420"/>
        <v>8.0600000000000005E-2</v>
      </c>
      <c r="K1391" s="418">
        <f t="shared" si="421"/>
        <v>59149</v>
      </c>
      <c r="L1391" s="418">
        <f t="shared" si="422"/>
        <v>600</v>
      </c>
      <c r="M1391" s="417">
        <v>0</v>
      </c>
      <c r="N1391" s="408">
        <f t="shared" si="423"/>
        <v>725568.5</v>
      </c>
    </row>
    <row r="1392" spans="1:14" x14ac:dyDescent="0.2">
      <c r="A1392" s="405">
        <f t="shared" ref="A1392:A1402" si="424">A1391+1</f>
        <v>3</v>
      </c>
      <c r="B1392" s="446">
        <v>382</v>
      </c>
      <c r="C1392" s="414" t="s">
        <v>1053</v>
      </c>
      <c r="D1392" s="415">
        <f t="shared" si="418"/>
        <v>9320092.6500000004</v>
      </c>
      <c r="E1392" s="417">
        <v>18300</v>
      </c>
      <c r="F1392" s="417">
        <v>-2200</v>
      </c>
      <c r="G1392" s="415">
        <f t="shared" ref="G1392:G1397" si="425">SUM(D1392:F1392)</f>
        <v>9336192.6500000004</v>
      </c>
      <c r="H1392" s="418"/>
      <c r="I1392" s="415">
        <f t="shared" si="419"/>
        <v>4657315.3</v>
      </c>
      <c r="J1392" s="442">
        <f t="shared" si="420"/>
        <v>2.4400000000000002E-2</v>
      </c>
      <c r="K1392" s="418">
        <f t="shared" si="421"/>
        <v>18967</v>
      </c>
      <c r="L1392" s="418">
        <f t="shared" si="422"/>
        <v>2200</v>
      </c>
      <c r="M1392" s="417">
        <v>-100</v>
      </c>
      <c r="N1392" s="408">
        <f t="shared" si="423"/>
        <v>4673982.3</v>
      </c>
    </row>
    <row r="1393" spans="1:14" x14ac:dyDescent="0.2">
      <c r="A1393" s="405">
        <f t="shared" si="424"/>
        <v>4</v>
      </c>
      <c r="B1393" s="446">
        <v>383</v>
      </c>
      <c r="C1393" s="414" t="s">
        <v>1054</v>
      </c>
      <c r="D1393" s="415">
        <f t="shared" si="418"/>
        <v>5689620.7599999998</v>
      </c>
      <c r="E1393" s="417">
        <v>13900</v>
      </c>
      <c r="F1393" s="417">
        <v>-1700</v>
      </c>
      <c r="G1393" s="415">
        <f t="shared" si="425"/>
        <v>5701820.7599999998</v>
      </c>
      <c r="H1393" s="418"/>
      <c r="I1393" s="415">
        <f t="shared" si="419"/>
        <v>1527550.41</v>
      </c>
      <c r="J1393" s="442">
        <f t="shared" si="420"/>
        <v>2.7300000000000001E-2</v>
      </c>
      <c r="K1393" s="418">
        <f t="shared" si="421"/>
        <v>12958</v>
      </c>
      <c r="L1393" s="418">
        <f t="shared" si="422"/>
        <v>1700</v>
      </c>
      <c r="M1393" s="417">
        <v>-100</v>
      </c>
      <c r="N1393" s="408">
        <f t="shared" si="423"/>
        <v>1538708.41</v>
      </c>
    </row>
    <row r="1394" spans="1:14" x14ac:dyDescent="0.2">
      <c r="A1394" s="405">
        <f t="shared" si="424"/>
        <v>5</v>
      </c>
      <c r="B1394" s="446">
        <v>384</v>
      </c>
      <c r="C1394" s="414" t="s">
        <v>1055</v>
      </c>
      <c r="D1394" s="415">
        <f t="shared" si="418"/>
        <v>2257522</v>
      </c>
      <c r="E1394" s="417">
        <v>0</v>
      </c>
      <c r="F1394" s="417">
        <v>0</v>
      </c>
      <c r="G1394" s="415">
        <f t="shared" si="425"/>
        <v>2257522</v>
      </c>
      <c r="H1394" s="418"/>
      <c r="I1394" s="415">
        <f t="shared" si="419"/>
        <v>1773128.73</v>
      </c>
      <c r="J1394" s="442">
        <f t="shared" si="420"/>
        <v>1.01E-2</v>
      </c>
      <c r="K1394" s="418">
        <f t="shared" si="421"/>
        <v>1900</v>
      </c>
      <c r="L1394" s="418">
        <f t="shared" si="422"/>
        <v>0</v>
      </c>
      <c r="M1394" s="417">
        <v>0</v>
      </c>
      <c r="N1394" s="408">
        <f t="shared" si="423"/>
        <v>1775028.73</v>
      </c>
    </row>
    <row r="1395" spans="1:14" x14ac:dyDescent="0.2">
      <c r="A1395" s="405">
        <f t="shared" si="424"/>
        <v>6</v>
      </c>
      <c r="B1395" s="446">
        <v>385</v>
      </c>
      <c r="C1395" s="414" t="s">
        <v>1056</v>
      </c>
      <c r="D1395" s="415">
        <f t="shared" si="418"/>
        <v>3273183.36</v>
      </c>
      <c r="E1395" s="417">
        <v>11400</v>
      </c>
      <c r="F1395" s="417">
        <v>-1400</v>
      </c>
      <c r="G1395" s="415">
        <f t="shared" si="425"/>
        <v>3283183.36</v>
      </c>
      <c r="H1395" s="418"/>
      <c r="I1395" s="415">
        <f t="shared" si="419"/>
        <v>914828.55</v>
      </c>
      <c r="J1395" s="442">
        <f t="shared" si="420"/>
        <v>5.0799999999999998E-2</v>
      </c>
      <c r="K1395" s="418">
        <f t="shared" si="421"/>
        <v>13878</v>
      </c>
      <c r="L1395" s="418">
        <f t="shared" si="422"/>
        <v>1400</v>
      </c>
      <c r="M1395" s="417">
        <v>-100</v>
      </c>
      <c r="N1395" s="408">
        <f t="shared" si="423"/>
        <v>927206.55</v>
      </c>
    </row>
    <row r="1396" spans="1:14" x14ac:dyDescent="0.2">
      <c r="A1396" s="405">
        <f t="shared" si="424"/>
        <v>7</v>
      </c>
      <c r="B1396" s="446">
        <v>387.2</v>
      </c>
      <c r="C1396" s="414" t="s">
        <v>1057</v>
      </c>
      <c r="D1396" s="415">
        <f t="shared" si="418"/>
        <v>0</v>
      </c>
      <c r="E1396" s="417">
        <v>0</v>
      </c>
      <c r="F1396" s="417">
        <v>0</v>
      </c>
      <c r="G1396" s="415">
        <f t="shared" si="425"/>
        <v>0</v>
      </c>
      <c r="H1396" s="418"/>
      <c r="I1396" s="415">
        <f t="shared" si="419"/>
        <v>-59912.03</v>
      </c>
      <c r="J1396" s="442">
        <f t="shared" si="420"/>
        <v>0</v>
      </c>
      <c r="K1396" s="418">
        <f t="shared" si="421"/>
        <v>0</v>
      </c>
      <c r="L1396" s="418">
        <f t="shared" si="422"/>
        <v>0</v>
      </c>
      <c r="M1396" s="417">
        <v>0</v>
      </c>
      <c r="N1396" s="408">
        <f t="shared" si="423"/>
        <v>-59912.03</v>
      </c>
    </row>
    <row r="1397" spans="1:14" x14ac:dyDescent="0.2">
      <c r="A1397" s="405">
        <f t="shared" si="424"/>
        <v>8</v>
      </c>
      <c r="B1397" s="446">
        <v>387.41</v>
      </c>
      <c r="C1397" s="414" t="s">
        <v>1058</v>
      </c>
      <c r="D1397" s="415">
        <f t="shared" si="418"/>
        <v>735770.76</v>
      </c>
      <c r="E1397" s="417">
        <v>0</v>
      </c>
      <c r="F1397" s="417">
        <v>0</v>
      </c>
      <c r="G1397" s="415">
        <f t="shared" si="425"/>
        <v>735770.76</v>
      </c>
      <c r="H1397" s="418"/>
      <c r="I1397" s="415">
        <f t="shared" si="419"/>
        <v>390643.95</v>
      </c>
      <c r="J1397" s="442">
        <f t="shared" si="420"/>
        <v>3.7400000000000003E-2</v>
      </c>
      <c r="K1397" s="418">
        <f t="shared" si="421"/>
        <v>2293</v>
      </c>
      <c r="L1397" s="418">
        <f t="shared" si="422"/>
        <v>0</v>
      </c>
      <c r="M1397" s="417">
        <v>0</v>
      </c>
      <c r="N1397" s="408">
        <f t="shared" si="423"/>
        <v>392936.95</v>
      </c>
    </row>
    <row r="1398" spans="1:14" x14ac:dyDescent="0.2">
      <c r="A1398" s="405">
        <f t="shared" si="424"/>
        <v>9</v>
      </c>
      <c r="B1398" s="446">
        <v>387.42</v>
      </c>
      <c r="C1398" s="414" t="s">
        <v>1059</v>
      </c>
      <c r="D1398" s="415">
        <f t="shared" si="418"/>
        <v>795186.58</v>
      </c>
      <c r="E1398" s="417">
        <v>0</v>
      </c>
      <c r="F1398" s="417">
        <v>0</v>
      </c>
      <c r="G1398" s="415">
        <f>SUM(D1398:F1398)</f>
        <v>795186.58</v>
      </c>
      <c r="H1398" s="418"/>
      <c r="I1398" s="415">
        <f t="shared" si="419"/>
        <v>557501.94999999995</v>
      </c>
      <c r="J1398" s="442">
        <f t="shared" si="420"/>
        <v>3.7400000000000003E-2</v>
      </c>
      <c r="K1398" s="418">
        <f t="shared" si="421"/>
        <v>2478</v>
      </c>
      <c r="L1398" s="418">
        <f t="shared" si="422"/>
        <v>0</v>
      </c>
      <c r="M1398" s="417">
        <v>0</v>
      </c>
      <c r="N1398" s="408">
        <f t="shared" si="423"/>
        <v>559979.94999999995</v>
      </c>
    </row>
    <row r="1399" spans="1:14" x14ac:dyDescent="0.2">
      <c r="A1399" s="405">
        <f t="shared" si="424"/>
        <v>10</v>
      </c>
      <c r="B1399" s="446">
        <v>387.44</v>
      </c>
      <c r="C1399" s="414" t="s">
        <v>1060</v>
      </c>
      <c r="D1399" s="415">
        <f t="shared" si="418"/>
        <v>143283.93</v>
      </c>
      <c r="E1399" s="417">
        <v>0</v>
      </c>
      <c r="F1399" s="417">
        <v>0</v>
      </c>
      <c r="G1399" s="415">
        <f>SUM(D1399:F1399)</f>
        <v>143283.93</v>
      </c>
      <c r="H1399" s="418"/>
      <c r="I1399" s="415">
        <f t="shared" si="419"/>
        <v>47842.55</v>
      </c>
      <c r="J1399" s="442">
        <f t="shared" si="420"/>
        <v>3.7400000000000003E-2</v>
      </c>
      <c r="K1399" s="418">
        <f t="shared" si="421"/>
        <v>447</v>
      </c>
      <c r="L1399" s="418">
        <f t="shared" si="422"/>
        <v>0</v>
      </c>
      <c r="M1399" s="417">
        <v>0</v>
      </c>
      <c r="N1399" s="408">
        <f t="shared" si="423"/>
        <v>48289.55</v>
      </c>
    </row>
    <row r="1400" spans="1:14" x14ac:dyDescent="0.2">
      <c r="A1400" s="405">
        <f t="shared" si="424"/>
        <v>11</v>
      </c>
      <c r="B1400" s="446">
        <v>387.45</v>
      </c>
      <c r="C1400" s="414" t="s">
        <v>1061</v>
      </c>
      <c r="D1400" s="415">
        <f t="shared" si="418"/>
        <v>3230304.66</v>
      </c>
      <c r="E1400" s="417">
        <f>3300+80000</f>
        <v>83300</v>
      </c>
      <c r="F1400" s="417">
        <v>-10000</v>
      </c>
      <c r="G1400" s="415">
        <f>SUM(D1400:F1400)</f>
        <v>3303604.66</v>
      </c>
      <c r="H1400" s="418"/>
      <c r="I1400" s="415">
        <f t="shared" si="419"/>
        <v>558048.06000000006</v>
      </c>
      <c r="J1400" s="442">
        <f t="shared" si="420"/>
        <v>3.7400000000000003E-2</v>
      </c>
      <c r="K1400" s="418">
        <f t="shared" si="421"/>
        <v>10182</v>
      </c>
      <c r="L1400" s="418">
        <f t="shared" si="422"/>
        <v>10000</v>
      </c>
      <c r="M1400" s="417">
        <v>0</v>
      </c>
      <c r="N1400" s="408">
        <f t="shared" si="423"/>
        <v>558230.06000000006</v>
      </c>
    </row>
    <row r="1401" spans="1:14" x14ac:dyDescent="0.2">
      <c r="A1401" s="405">
        <f t="shared" si="424"/>
        <v>12</v>
      </c>
      <c r="B1401" s="446">
        <v>387.46</v>
      </c>
      <c r="C1401" s="414" t="s">
        <v>1062</v>
      </c>
      <c r="D1401" s="421">
        <f t="shared" si="418"/>
        <v>113644.47</v>
      </c>
      <c r="E1401" s="1662">
        <v>0</v>
      </c>
      <c r="F1401" s="1662">
        <v>0</v>
      </c>
      <c r="G1401" s="428">
        <f>SUM(D1401:F1401)</f>
        <v>113644.47</v>
      </c>
      <c r="H1401" s="447"/>
      <c r="I1401" s="421">
        <f t="shared" si="419"/>
        <v>112940.83</v>
      </c>
      <c r="J1401" s="442">
        <f t="shared" si="420"/>
        <v>3.7400000000000003E-2</v>
      </c>
      <c r="K1401" s="421">
        <f t="shared" si="421"/>
        <v>354</v>
      </c>
      <c r="L1401" s="421">
        <f t="shared" si="422"/>
        <v>0</v>
      </c>
      <c r="M1401" s="422">
        <v>0</v>
      </c>
      <c r="N1401" s="423">
        <f t="shared" si="423"/>
        <v>113294.83</v>
      </c>
    </row>
    <row r="1402" spans="1:14" x14ac:dyDescent="0.2">
      <c r="A1402" s="405">
        <f t="shared" si="424"/>
        <v>13</v>
      </c>
      <c r="B1402" s="448"/>
      <c r="C1402" s="386" t="s">
        <v>1063</v>
      </c>
      <c r="D1402" s="418">
        <f>SUM(D1390:D1401,D1350:D1371)</f>
        <v>411849626.37999994</v>
      </c>
      <c r="E1402" s="418">
        <f>SUM(E1390:E1401,E1350:E1371)</f>
        <v>1244466</v>
      </c>
      <c r="F1402" s="418">
        <f>SUM(F1390:F1401,F1350:F1371)</f>
        <v>-149300</v>
      </c>
      <c r="G1402" s="418">
        <f>SUM(G1390:G1401,G1350:G1371)</f>
        <v>412944792.37999994</v>
      </c>
      <c r="H1402" s="418"/>
      <c r="I1402" s="418">
        <f>SUM(I1390:I1401,I1350:I1371)</f>
        <v>143181021.3736842</v>
      </c>
      <c r="J1402" s="418"/>
      <c r="K1402" s="418">
        <f>SUM(K1390:K1401,K1350:K1371)</f>
        <v>1154398.0494736843</v>
      </c>
      <c r="L1402" s="418">
        <f>SUM(L1390:L1401,L1350:L1371)</f>
        <v>149300</v>
      </c>
      <c r="M1402" s="418">
        <f>SUM(M1390:M1401,M1350:M1371)</f>
        <v>-34500</v>
      </c>
      <c r="N1402" s="418">
        <f>SUM(N1390:N1401,N1350:N1371)</f>
        <v>144151619.4231579</v>
      </c>
    </row>
    <row r="1403" spans="1:14" x14ac:dyDescent="0.2">
      <c r="B1403" s="448"/>
      <c r="D1403" s="418"/>
      <c r="E1403" s="418"/>
      <c r="F1403" s="418"/>
      <c r="G1403" s="418"/>
      <c r="H1403" s="418"/>
      <c r="I1403" s="439"/>
      <c r="J1403" s="418"/>
      <c r="K1403" s="418"/>
      <c r="L1403" s="418"/>
      <c r="M1403" s="418"/>
    </row>
    <row r="1404" spans="1:14" x14ac:dyDescent="0.2">
      <c r="A1404" s="405">
        <f>A1402+1</f>
        <v>14</v>
      </c>
      <c r="B1404" s="448"/>
      <c r="C1404" s="411" t="s">
        <v>737</v>
      </c>
      <c r="D1404" s="418"/>
      <c r="E1404" s="418"/>
      <c r="F1404" s="418"/>
      <c r="G1404" s="418"/>
      <c r="H1404" s="418"/>
      <c r="I1404" s="439"/>
      <c r="J1404" s="418"/>
      <c r="K1404" s="418"/>
      <c r="L1404" s="418"/>
      <c r="M1404" s="418"/>
    </row>
    <row r="1405" spans="1:14" x14ac:dyDescent="0.2">
      <c r="A1405" s="410">
        <f>A1404+1</f>
        <v>15</v>
      </c>
      <c r="B1405" s="446">
        <v>391.1</v>
      </c>
      <c r="C1405" s="414" t="s">
        <v>1064</v>
      </c>
      <c r="D1405" s="415">
        <f t="shared" ref="D1405:D1418" si="426">G1299</f>
        <v>713480.71</v>
      </c>
      <c r="E1405" s="417">
        <v>0</v>
      </c>
      <c r="F1405" s="417">
        <v>0</v>
      </c>
      <c r="G1405" s="415">
        <f t="shared" ref="G1405:G1418" si="427">SUM(D1405:F1405)</f>
        <v>713480.71</v>
      </c>
      <c r="H1405" s="418"/>
      <c r="I1405" s="415">
        <f t="shared" ref="I1405:I1418" si="428">N1299</f>
        <v>-44630.22</v>
      </c>
      <c r="J1405" s="442">
        <f t="shared" ref="J1405:J1418" si="429">J1299</f>
        <v>0.05</v>
      </c>
      <c r="K1405" s="418">
        <f t="shared" ref="K1405:K1418" si="430">ROUND((G1405+D1405)/2*J1405/12,0)</f>
        <v>2973</v>
      </c>
      <c r="L1405" s="418">
        <f t="shared" ref="L1405:L1418" si="431">-F1405</f>
        <v>0</v>
      </c>
      <c r="M1405" s="417">
        <v>0</v>
      </c>
      <c r="N1405" s="408">
        <f t="shared" ref="N1405:N1418" si="432">I1405+K1405-L1405+M1405</f>
        <v>-41657.22</v>
      </c>
    </row>
    <row r="1406" spans="1:14" x14ac:dyDescent="0.2">
      <c r="A1406" s="410">
        <f t="shared" ref="A1406:A1419" si="433">A1405+1</f>
        <v>16</v>
      </c>
      <c r="B1406" s="446">
        <v>391.11</v>
      </c>
      <c r="C1406" s="414" t="s">
        <v>1065</v>
      </c>
      <c r="D1406" s="415">
        <f t="shared" si="426"/>
        <v>18815.57</v>
      </c>
      <c r="E1406" s="417">
        <v>0</v>
      </c>
      <c r="F1406" s="417">
        <v>0</v>
      </c>
      <c r="G1406" s="415">
        <f t="shared" si="427"/>
        <v>18815.57</v>
      </c>
      <c r="H1406" s="418"/>
      <c r="I1406" s="415">
        <f t="shared" si="428"/>
        <v>-11774.77</v>
      </c>
      <c r="J1406" s="442">
        <f t="shared" si="429"/>
        <v>6.6699999999999995E-2</v>
      </c>
      <c r="K1406" s="418">
        <f t="shared" si="430"/>
        <v>105</v>
      </c>
      <c r="L1406" s="418">
        <f t="shared" si="431"/>
        <v>0</v>
      </c>
      <c r="M1406" s="417">
        <v>0</v>
      </c>
      <c r="N1406" s="408">
        <f t="shared" si="432"/>
        <v>-11669.77</v>
      </c>
    </row>
    <row r="1407" spans="1:14" x14ac:dyDescent="0.2">
      <c r="A1407" s="410">
        <f t="shared" si="433"/>
        <v>17</v>
      </c>
      <c r="B1407" s="446">
        <v>391.12</v>
      </c>
      <c r="C1407" s="414" t="s">
        <v>1066</v>
      </c>
      <c r="D1407" s="415">
        <f t="shared" si="426"/>
        <v>853483.41</v>
      </c>
      <c r="E1407" s="417">
        <v>0</v>
      </c>
      <c r="F1407" s="417">
        <v>0</v>
      </c>
      <c r="G1407" s="415">
        <f t="shared" si="427"/>
        <v>853483.41</v>
      </c>
      <c r="H1407" s="418"/>
      <c r="I1407" s="415">
        <f t="shared" si="428"/>
        <v>718035.37</v>
      </c>
      <c r="J1407" s="442">
        <f t="shared" si="429"/>
        <v>0.2</v>
      </c>
      <c r="K1407" s="418">
        <f t="shared" si="430"/>
        <v>14225</v>
      </c>
      <c r="L1407" s="418">
        <f t="shared" si="431"/>
        <v>0</v>
      </c>
      <c r="M1407" s="417">
        <v>0</v>
      </c>
      <c r="N1407" s="408">
        <f t="shared" si="432"/>
        <v>732260.37</v>
      </c>
    </row>
    <row r="1408" spans="1:14" x14ac:dyDescent="0.2">
      <c r="A1408" s="410">
        <f t="shared" si="433"/>
        <v>18</v>
      </c>
      <c r="B1408" s="446">
        <v>392.2</v>
      </c>
      <c r="C1408" s="414" t="s">
        <v>1067</v>
      </c>
      <c r="D1408" s="415">
        <f t="shared" si="426"/>
        <v>95778</v>
      </c>
      <c r="E1408" s="417">
        <v>0</v>
      </c>
      <c r="F1408" s="417">
        <v>0</v>
      </c>
      <c r="G1408" s="415">
        <f t="shared" si="427"/>
        <v>95778</v>
      </c>
      <c r="H1408" s="418"/>
      <c r="I1408" s="415">
        <f t="shared" si="428"/>
        <v>24115.05</v>
      </c>
      <c r="J1408" s="442">
        <f t="shared" si="429"/>
        <v>9.1499999999999998E-2</v>
      </c>
      <c r="K1408" s="418">
        <f t="shared" si="430"/>
        <v>730</v>
      </c>
      <c r="L1408" s="418">
        <f t="shared" si="431"/>
        <v>0</v>
      </c>
      <c r="M1408" s="417">
        <v>0</v>
      </c>
      <c r="N1408" s="408">
        <f t="shared" si="432"/>
        <v>24845.05</v>
      </c>
    </row>
    <row r="1409" spans="1:15" x14ac:dyDescent="0.2">
      <c r="A1409" s="410">
        <f t="shared" si="433"/>
        <v>19</v>
      </c>
      <c r="B1409" s="446">
        <v>392.21</v>
      </c>
      <c r="C1409" s="414" t="s">
        <v>1068</v>
      </c>
      <c r="D1409" s="415">
        <f t="shared" si="426"/>
        <v>24462.2</v>
      </c>
      <c r="E1409" s="417">
        <v>0</v>
      </c>
      <c r="F1409" s="417">
        <v>0</v>
      </c>
      <c r="G1409" s="415">
        <f t="shared" si="427"/>
        <v>24462.2</v>
      </c>
      <c r="H1409" s="418"/>
      <c r="I1409" s="415">
        <f t="shared" si="428"/>
        <v>5561.4</v>
      </c>
      <c r="J1409" s="442">
        <f t="shared" si="429"/>
        <v>9.1499999999999998E-2</v>
      </c>
      <c r="K1409" s="418">
        <f t="shared" si="430"/>
        <v>187</v>
      </c>
      <c r="L1409" s="418">
        <f t="shared" si="431"/>
        <v>0</v>
      </c>
      <c r="M1409" s="417">
        <v>0</v>
      </c>
      <c r="N1409" s="408">
        <f t="shared" si="432"/>
        <v>5748.4</v>
      </c>
    </row>
    <row r="1410" spans="1:15" x14ac:dyDescent="0.2">
      <c r="A1410" s="410">
        <f t="shared" si="433"/>
        <v>20</v>
      </c>
      <c r="B1410" s="446">
        <v>393</v>
      </c>
      <c r="C1410" s="414" t="s">
        <v>1069</v>
      </c>
      <c r="D1410" s="415">
        <f t="shared" si="426"/>
        <v>0</v>
      </c>
      <c r="E1410" s="417">
        <v>0</v>
      </c>
      <c r="F1410" s="417">
        <v>0</v>
      </c>
      <c r="G1410" s="415">
        <f t="shared" si="427"/>
        <v>0</v>
      </c>
      <c r="H1410" s="418"/>
      <c r="I1410" s="415">
        <f t="shared" si="428"/>
        <v>0</v>
      </c>
      <c r="J1410" s="442" t="str">
        <f t="shared" si="429"/>
        <v>Amort.</v>
      </c>
      <c r="K1410" s="417">
        <v>0</v>
      </c>
      <c r="L1410" s="418">
        <f t="shared" si="431"/>
        <v>0</v>
      </c>
      <c r="M1410" s="417">
        <v>0</v>
      </c>
      <c r="N1410" s="408">
        <f t="shared" si="432"/>
        <v>0</v>
      </c>
    </row>
    <row r="1411" spans="1:15" x14ac:dyDescent="0.2">
      <c r="A1411" s="410">
        <f t="shared" si="433"/>
        <v>21</v>
      </c>
      <c r="B1411" s="446">
        <v>394.1</v>
      </c>
      <c r="C1411" s="414" t="s">
        <v>1070</v>
      </c>
      <c r="D1411" s="415">
        <f t="shared" si="426"/>
        <v>24240.799999999999</v>
      </c>
      <c r="E1411" s="417">
        <v>0</v>
      </c>
      <c r="F1411" s="417">
        <v>0</v>
      </c>
      <c r="G1411" s="415">
        <f t="shared" si="427"/>
        <v>24240.799999999999</v>
      </c>
      <c r="H1411" s="418"/>
      <c r="I1411" s="415">
        <f t="shared" si="428"/>
        <v>14770.82</v>
      </c>
      <c r="J1411" s="442">
        <f t="shared" si="429"/>
        <v>0.04</v>
      </c>
      <c r="K1411" s="418">
        <f t="shared" si="430"/>
        <v>81</v>
      </c>
      <c r="L1411" s="418">
        <f t="shared" si="431"/>
        <v>0</v>
      </c>
      <c r="M1411" s="417">
        <v>0</v>
      </c>
      <c r="N1411" s="408">
        <f t="shared" si="432"/>
        <v>14851.82</v>
      </c>
    </row>
    <row r="1412" spans="1:15" x14ac:dyDescent="0.2">
      <c r="A1412" s="410">
        <f t="shared" si="433"/>
        <v>22</v>
      </c>
      <c r="B1412" s="446">
        <v>394.11</v>
      </c>
      <c r="C1412" s="414" t="s">
        <v>1071</v>
      </c>
      <c r="D1412" s="415">
        <f t="shared" si="426"/>
        <v>0</v>
      </c>
      <c r="E1412" s="417">
        <v>0</v>
      </c>
      <c r="F1412" s="417">
        <v>0</v>
      </c>
      <c r="G1412" s="415">
        <f t="shared" si="427"/>
        <v>0</v>
      </c>
      <c r="H1412" s="418"/>
      <c r="I1412" s="415">
        <f t="shared" si="428"/>
        <v>0</v>
      </c>
      <c r="J1412" s="442">
        <f t="shared" si="429"/>
        <v>0</v>
      </c>
      <c r="K1412" s="417">
        <v>0</v>
      </c>
      <c r="L1412" s="418">
        <f t="shared" si="431"/>
        <v>0</v>
      </c>
      <c r="M1412" s="417">
        <v>0</v>
      </c>
      <c r="N1412" s="408">
        <f t="shared" si="432"/>
        <v>0</v>
      </c>
    </row>
    <row r="1413" spans="1:15" x14ac:dyDescent="0.2">
      <c r="A1413" s="410">
        <f t="shared" si="433"/>
        <v>23</v>
      </c>
      <c r="B1413" s="446">
        <v>394.13</v>
      </c>
      <c r="C1413" s="438" t="s">
        <v>1072</v>
      </c>
      <c r="D1413" s="415">
        <f t="shared" si="426"/>
        <v>0</v>
      </c>
      <c r="E1413" s="417">
        <v>0</v>
      </c>
      <c r="F1413" s="417">
        <v>0</v>
      </c>
      <c r="G1413" s="415">
        <f t="shared" si="427"/>
        <v>0</v>
      </c>
      <c r="H1413" s="418"/>
      <c r="I1413" s="415">
        <f t="shared" si="428"/>
        <v>37937.360000000001</v>
      </c>
      <c r="J1413" s="442" t="str">
        <f t="shared" si="429"/>
        <v>Amort.</v>
      </c>
      <c r="K1413" s="417">
        <v>0</v>
      </c>
      <c r="L1413" s="418">
        <f t="shared" si="431"/>
        <v>0</v>
      </c>
      <c r="M1413" s="417">
        <v>0</v>
      </c>
      <c r="N1413" s="408">
        <f t="shared" si="432"/>
        <v>37937.360000000001</v>
      </c>
    </row>
    <row r="1414" spans="1:15" x14ac:dyDescent="0.2">
      <c r="A1414" s="410">
        <f t="shared" si="433"/>
        <v>24</v>
      </c>
      <c r="B1414" s="446">
        <v>394.2</v>
      </c>
      <c r="C1414" s="414" t="s">
        <v>1073</v>
      </c>
      <c r="D1414" s="415">
        <f t="shared" si="426"/>
        <v>0</v>
      </c>
      <c r="E1414" s="417">
        <v>0</v>
      </c>
      <c r="F1414" s="417">
        <v>0</v>
      </c>
      <c r="G1414" s="415">
        <f t="shared" si="427"/>
        <v>0</v>
      </c>
      <c r="H1414" s="418"/>
      <c r="I1414" s="415">
        <f t="shared" si="428"/>
        <v>185.21</v>
      </c>
      <c r="J1414" s="442">
        <f t="shared" si="429"/>
        <v>0.04</v>
      </c>
      <c r="K1414" s="418">
        <f t="shared" si="430"/>
        <v>0</v>
      </c>
      <c r="L1414" s="418">
        <f t="shared" si="431"/>
        <v>0</v>
      </c>
      <c r="M1414" s="417">
        <v>0</v>
      </c>
      <c r="N1414" s="408">
        <f t="shared" si="432"/>
        <v>185.21</v>
      </c>
    </row>
    <row r="1415" spans="1:15" x14ac:dyDescent="0.2">
      <c r="A1415" s="410">
        <f t="shared" si="433"/>
        <v>25</v>
      </c>
      <c r="B1415" s="446">
        <v>394.3</v>
      </c>
      <c r="C1415" s="414" t="s">
        <v>1074</v>
      </c>
      <c r="D1415" s="415">
        <f t="shared" si="426"/>
        <v>3085921.16</v>
      </c>
      <c r="E1415" s="417">
        <v>1600</v>
      </c>
      <c r="F1415" s="417">
        <v>-200</v>
      </c>
      <c r="G1415" s="415">
        <f t="shared" si="427"/>
        <v>3087321.16</v>
      </c>
      <c r="H1415" s="418"/>
      <c r="I1415" s="415">
        <f t="shared" si="428"/>
        <v>1309417.1499999999</v>
      </c>
      <c r="J1415" s="442">
        <f t="shared" si="429"/>
        <v>0.04</v>
      </c>
      <c r="K1415" s="418">
        <f t="shared" si="430"/>
        <v>10289</v>
      </c>
      <c r="L1415" s="418">
        <f t="shared" si="431"/>
        <v>200</v>
      </c>
      <c r="M1415" s="417">
        <v>0</v>
      </c>
      <c r="N1415" s="408">
        <f t="shared" si="432"/>
        <v>1319506.1499999999</v>
      </c>
    </row>
    <row r="1416" spans="1:15" x14ac:dyDescent="0.2">
      <c r="A1416" s="410">
        <f t="shared" si="433"/>
        <v>26</v>
      </c>
      <c r="B1416" s="446">
        <v>395</v>
      </c>
      <c r="C1416" s="414" t="s">
        <v>1075</v>
      </c>
      <c r="D1416" s="415">
        <f t="shared" si="426"/>
        <v>9257.77</v>
      </c>
      <c r="E1416" s="417">
        <v>0</v>
      </c>
      <c r="F1416" s="417">
        <v>0</v>
      </c>
      <c r="G1416" s="415">
        <f t="shared" si="427"/>
        <v>9257.77</v>
      </c>
      <c r="H1416" s="418"/>
      <c r="I1416" s="415">
        <f t="shared" si="428"/>
        <v>7607.59</v>
      </c>
      <c r="J1416" s="442">
        <f t="shared" si="429"/>
        <v>0.05</v>
      </c>
      <c r="K1416" s="418">
        <f t="shared" si="430"/>
        <v>39</v>
      </c>
      <c r="L1416" s="418">
        <f t="shared" si="431"/>
        <v>0</v>
      </c>
      <c r="M1416" s="417">
        <v>0</v>
      </c>
      <c r="N1416" s="408">
        <f t="shared" si="432"/>
        <v>7646.59</v>
      </c>
    </row>
    <row r="1417" spans="1:15" x14ac:dyDescent="0.2">
      <c r="A1417" s="410">
        <f t="shared" si="433"/>
        <v>27</v>
      </c>
      <c r="B1417" s="446">
        <v>396</v>
      </c>
      <c r="C1417" s="414" t="s">
        <v>1076</v>
      </c>
      <c r="D1417" s="415">
        <f t="shared" si="426"/>
        <v>253134.72</v>
      </c>
      <c r="E1417" s="417">
        <v>0</v>
      </c>
      <c r="F1417" s="417">
        <v>0</v>
      </c>
      <c r="G1417" s="415">
        <f t="shared" si="427"/>
        <v>253134.72</v>
      </c>
      <c r="H1417" s="418"/>
      <c r="I1417" s="415">
        <f t="shared" si="428"/>
        <v>200413.72</v>
      </c>
      <c r="J1417" s="442">
        <f t="shared" si="429"/>
        <v>2.5899999999999999E-2</v>
      </c>
      <c r="K1417" s="418">
        <f t="shared" si="430"/>
        <v>546</v>
      </c>
      <c r="L1417" s="418">
        <f t="shared" si="431"/>
        <v>0</v>
      </c>
      <c r="M1417" s="417">
        <v>0</v>
      </c>
      <c r="N1417" s="408">
        <f t="shared" si="432"/>
        <v>200959.72</v>
      </c>
    </row>
    <row r="1418" spans="1:15" x14ac:dyDescent="0.2">
      <c r="A1418" s="410">
        <f t="shared" si="433"/>
        <v>28</v>
      </c>
      <c r="B1418" s="446">
        <v>398</v>
      </c>
      <c r="C1418" s="414" t="s">
        <v>1077</v>
      </c>
      <c r="D1418" s="421">
        <f t="shared" si="426"/>
        <v>267161.94</v>
      </c>
      <c r="E1418" s="1662">
        <v>4600</v>
      </c>
      <c r="F1418" s="1662">
        <v>-600</v>
      </c>
      <c r="G1418" s="421">
        <f t="shared" si="427"/>
        <v>271161.94</v>
      </c>
      <c r="H1418" s="447"/>
      <c r="I1418" s="421">
        <f t="shared" si="428"/>
        <v>6414.59</v>
      </c>
      <c r="J1418" s="442">
        <f t="shared" si="429"/>
        <v>6.6699999999999995E-2</v>
      </c>
      <c r="K1418" s="421">
        <f t="shared" si="430"/>
        <v>1496</v>
      </c>
      <c r="L1418" s="421">
        <f t="shared" si="431"/>
        <v>600</v>
      </c>
      <c r="M1418" s="430">
        <v>0</v>
      </c>
      <c r="N1418" s="423">
        <f t="shared" si="432"/>
        <v>7310.59</v>
      </c>
    </row>
    <row r="1419" spans="1:15" x14ac:dyDescent="0.2">
      <c r="A1419" s="410">
        <f t="shared" si="433"/>
        <v>29</v>
      </c>
      <c r="C1419" s="386" t="s">
        <v>1078</v>
      </c>
      <c r="D1419" s="447">
        <f>SUM(D1405:D1418)</f>
        <v>5345736.2799999993</v>
      </c>
      <c r="E1419" s="447">
        <f>SUM(E1405:E1418)</f>
        <v>6200</v>
      </c>
      <c r="F1419" s="447">
        <f>SUM(F1405:F1418)</f>
        <v>-800</v>
      </c>
      <c r="G1419" s="447">
        <f>SUM(G1405:G1418)</f>
        <v>5351136.2799999993</v>
      </c>
      <c r="H1419" s="447"/>
      <c r="I1419" s="447">
        <f>SUM(I1405:I1418)</f>
        <v>2268053.27</v>
      </c>
      <c r="J1419" s="424"/>
      <c r="K1419" s="447">
        <f>SUM(K1405:K1418)</f>
        <v>30671</v>
      </c>
      <c r="L1419" s="447">
        <f>SUM(L1405:L1418)</f>
        <v>800</v>
      </c>
      <c r="M1419" s="447">
        <f>SUM(M1405:M1418)</f>
        <v>0</v>
      </c>
      <c r="N1419" s="447">
        <f>SUM(N1405:N1418)</f>
        <v>2297924.27</v>
      </c>
    </row>
    <row r="1420" spans="1:15" x14ac:dyDescent="0.2">
      <c r="D1420" s="418"/>
      <c r="E1420" s="418"/>
      <c r="F1420" s="418"/>
      <c r="G1420" s="418"/>
      <c r="H1420" s="418"/>
      <c r="I1420" s="418"/>
      <c r="J1420" s="432"/>
      <c r="K1420" s="418"/>
      <c r="L1420" s="418"/>
      <c r="M1420" s="418"/>
    </row>
    <row r="1421" spans="1:15" x14ac:dyDescent="0.2">
      <c r="A1421" s="405">
        <f>A1419+1</f>
        <v>30</v>
      </c>
      <c r="B1421" s="448"/>
      <c r="C1421" s="411" t="s">
        <v>2287</v>
      </c>
      <c r="D1421" s="418"/>
      <c r="E1421" s="418"/>
      <c r="F1421" s="418"/>
      <c r="G1421" s="418"/>
      <c r="H1421" s="418"/>
      <c r="I1421" s="439"/>
      <c r="J1421" s="418"/>
      <c r="K1421" s="418"/>
      <c r="L1421" s="418"/>
      <c r="M1421" s="418"/>
    </row>
    <row r="1422" spans="1:15" x14ac:dyDescent="0.2">
      <c r="A1422" s="1722">
        <f>A1421+1</f>
        <v>31</v>
      </c>
      <c r="B1422" s="446">
        <v>378.21</v>
      </c>
      <c r="C1422" s="1725" t="s">
        <v>2244</v>
      </c>
      <c r="D1422" s="415">
        <f>G1316</f>
        <v>-777092</v>
      </c>
      <c r="E1422" s="417">
        <v>0</v>
      </c>
      <c r="F1422" s="417">
        <v>0</v>
      </c>
      <c r="G1422" s="415">
        <f t="shared" ref="G1422" si="434">SUM(D1422:F1422)</f>
        <v>-777092</v>
      </c>
      <c r="H1422" s="418"/>
      <c r="I1422" s="415">
        <f>N1316</f>
        <v>-46712.196666666627</v>
      </c>
      <c r="J1422" s="419" t="s">
        <v>1094</v>
      </c>
      <c r="K1422" s="417">
        <v>-2158.5833333333321</v>
      </c>
      <c r="L1422" s="418">
        <f t="shared" ref="L1422" si="435">-F1422</f>
        <v>0</v>
      </c>
      <c r="M1422" s="417">
        <v>0</v>
      </c>
      <c r="N1422" s="408">
        <f t="shared" ref="N1422" si="436">I1422+K1422-L1422+M1422</f>
        <v>-48870.779999999955</v>
      </c>
      <c r="O1422" s="408"/>
    </row>
    <row r="1423" spans="1:15" x14ac:dyDescent="0.2">
      <c r="A1423" s="1722"/>
      <c r="B1423" s="446"/>
      <c r="C1423" s="438"/>
      <c r="D1423" s="415"/>
      <c r="E1423" s="417"/>
      <c r="F1423" s="417"/>
      <c r="G1423" s="415"/>
      <c r="H1423" s="418"/>
      <c r="I1423" s="419"/>
      <c r="J1423" s="419"/>
      <c r="K1423" s="417"/>
      <c r="L1423" s="418"/>
      <c r="M1423" s="417"/>
      <c r="N1423" s="408"/>
      <c r="O1423" s="408"/>
    </row>
    <row r="1424" spans="1:15" x14ac:dyDescent="0.2">
      <c r="A1424" s="410">
        <f>A1422+1</f>
        <v>32</v>
      </c>
      <c r="C1424" s="386" t="s">
        <v>774</v>
      </c>
      <c r="D1424" s="450">
        <f>D1419+D1402+D1347+D1343+D1422</f>
        <v>423323825.36999989</v>
      </c>
      <c r="E1424" s="450">
        <f>E1419+E1402+E1347+E1343+E1422</f>
        <v>1250666</v>
      </c>
      <c r="F1424" s="450">
        <f>F1419+F1402+F1347+F1343+F1422</f>
        <v>-150100</v>
      </c>
      <c r="G1424" s="450">
        <f>G1419+G1402+G1347+G1343+G1422</f>
        <v>424424391.36999989</v>
      </c>
      <c r="H1424" s="418"/>
      <c r="I1424" s="450">
        <f>I1419+I1402+I1347+I1343+I1422</f>
        <v>148513214.72502425</v>
      </c>
      <c r="J1424" s="451"/>
      <c r="K1424" s="450">
        <f>K1419+K1402+K1347+K1343+K1422</f>
        <v>1264992.0631964644</v>
      </c>
      <c r="L1424" s="450">
        <f>L1419+L1402+L1347+L1343+L1422</f>
        <v>150100</v>
      </c>
      <c r="M1424" s="450">
        <f>M1419+M1402+M1347+M1343+M1422</f>
        <v>-34500</v>
      </c>
      <c r="N1424" s="450">
        <f>N1419+N1402+N1347+N1343+N1422</f>
        <v>149593606.7882207</v>
      </c>
    </row>
    <row r="1426" spans="1:14" x14ac:dyDescent="0.2">
      <c r="A1426" s="2073" t="str">
        <f>co</f>
        <v>COLUMBIA GAS OF KENTUCKY, INC.</v>
      </c>
      <c r="B1426" s="2073"/>
      <c r="C1426" s="2073"/>
      <c r="D1426" s="2073"/>
      <c r="E1426" s="2073"/>
      <c r="F1426" s="2073"/>
      <c r="G1426" s="2073"/>
      <c r="H1426" s="2073"/>
      <c r="I1426" s="2073"/>
      <c r="J1426" s="2073"/>
      <c r="K1426" s="2073"/>
      <c r="L1426" s="2073"/>
      <c r="M1426" s="2073"/>
      <c r="N1426" s="2073"/>
    </row>
    <row r="1427" spans="1:14" x14ac:dyDescent="0.2">
      <c r="A1427" s="2073" t="str">
        <f>case</f>
        <v>CASE NO. 2016 - 00162</v>
      </c>
      <c r="B1427" s="2073"/>
      <c r="C1427" s="2073"/>
      <c r="D1427" s="2073"/>
      <c r="E1427" s="2073"/>
      <c r="F1427" s="2073"/>
      <c r="G1427" s="2073"/>
      <c r="H1427" s="2073"/>
      <c r="I1427" s="2073"/>
      <c r="J1427" s="2073"/>
      <c r="K1427" s="2073"/>
      <c r="L1427" s="2073"/>
      <c r="M1427" s="2073"/>
      <c r="N1427" s="2073"/>
    </row>
    <row r="1428" spans="1:14" x14ac:dyDescent="0.2">
      <c r="A1428" s="2074" t="s">
        <v>1106</v>
      </c>
      <c r="B1428" s="2073"/>
      <c r="C1428" s="2073"/>
      <c r="D1428" s="2073"/>
      <c r="E1428" s="2073"/>
      <c r="F1428" s="2073"/>
      <c r="G1428" s="2073"/>
      <c r="H1428" s="2073"/>
      <c r="I1428" s="2073"/>
      <c r="J1428" s="2073"/>
      <c r="K1428" s="2073"/>
      <c r="L1428" s="2073"/>
      <c r="M1428" s="2073"/>
      <c r="N1428" s="2073"/>
    </row>
    <row r="1429" spans="1:14" x14ac:dyDescent="0.2">
      <c r="A1429" s="2078" t="s">
        <v>2142</v>
      </c>
      <c r="B1429" s="2078"/>
      <c r="C1429" s="2078"/>
      <c r="D1429" s="2078"/>
      <c r="E1429" s="2078"/>
      <c r="F1429" s="2078"/>
      <c r="G1429" s="2078"/>
      <c r="H1429" s="2078"/>
      <c r="I1429" s="2078"/>
      <c r="J1429" s="2078"/>
      <c r="K1429" s="2078"/>
      <c r="L1429" s="2078"/>
      <c r="M1429" s="2078"/>
      <c r="N1429" s="2078"/>
    </row>
    <row r="1431" spans="1:14" x14ac:dyDescent="0.2">
      <c r="A1431" s="385" t="s">
        <v>1095</v>
      </c>
      <c r="I1431" s="386"/>
      <c r="N1431" s="387" t="s">
        <v>763</v>
      </c>
    </row>
    <row r="1432" spans="1:14" x14ac:dyDescent="0.2">
      <c r="A1432" s="388" t="s">
        <v>977</v>
      </c>
      <c r="I1432" s="386"/>
      <c r="N1432" s="387" t="s">
        <v>998</v>
      </c>
    </row>
    <row r="1433" spans="1:14" x14ac:dyDescent="0.2">
      <c r="A1433" s="390" t="s">
        <v>997</v>
      </c>
      <c r="B1433" s="391"/>
      <c r="C1433" s="391"/>
      <c r="D1433" s="391"/>
      <c r="E1433" s="391"/>
      <c r="F1433" s="391"/>
      <c r="G1433" s="391"/>
      <c r="H1433" s="391"/>
      <c r="I1433" s="392"/>
      <c r="L1433" s="386"/>
      <c r="M1433" s="386"/>
      <c r="N1433" s="393" t="str">
        <f>SMK</f>
        <v>WITNESS:  S. M. KATKO</v>
      </c>
    </row>
    <row r="1434" spans="1:14" x14ac:dyDescent="0.2">
      <c r="A1434" s="390"/>
      <c r="B1434" s="391"/>
      <c r="C1434" s="391"/>
      <c r="D1434" s="391"/>
      <c r="E1434" s="391"/>
      <c r="F1434" s="391"/>
      <c r="G1434" s="391"/>
      <c r="H1434" s="391"/>
      <c r="I1434" s="392"/>
      <c r="J1434" s="393"/>
      <c r="L1434" s="386"/>
      <c r="M1434" s="386"/>
    </row>
    <row r="1435" spans="1:14" x14ac:dyDescent="0.2">
      <c r="A1435" s="390"/>
      <c r="B1435" s="391"/>
      <c r="C1435" s="391"/>
      <c r="D1435" s="2075" t="s">
        <v>1088</v>
      </c>
      <c r="E1435" s="2075"/>
      <c r="F1435" s="2075"/>
      <c r="G1435" s="2075"/>
      <c r="H1435" s="391"/>
      <c r="I1435" s="2076" t="s">
        <v>1093</v>
      </c>
      <c r="J1435" s="2077"/>
      <c r="K1435" s="2077"/>
      <c r="L1435" s="2077"/>
      <c r="M1435" s="2077"/>
      <c r="N1435" s="2077"/>
    </row>
    <row r="1436" spans="1:14" x14ac:dyDescent="0.2">
      <c r="A1436" s="394"/>
      <c r="B1436" s="391"/>
      <c r="C1436" s="391"/>
      <c r="D1436" s="396" t="s">
        <v>1084</v>
      </c>
      <c r="E1436" s="391"/>
      <c r="F1436" s="391"/>
      <c r="G1436" s="395"/>
      <c r="H1436" s="395"/>
      <c r="I1436" s="397" t="s">
        <v>1089</v>
      </c>
      <c r="J1436" s="396"/>
      <c r="M1436" s="386"/>
    </row>
    <row r="1437" spans="1:14" x14ac:dyDescent="0.2">
      <c r="A1437" s="383"/>
      <c r="D1437" s="397" t="s">
        <v>865</v>
      </c>
      <c r="G1437" s="397" t="s">
        <v>867</v>
      </c>
      <c r="H1437" s="398"/>
      <c r="I1437" s="397" t="s">
        <v>865</v>
      </c>
      <c r="J1437" s="397" t="s">
        <v>956</v>
      </c>
      <c r="M1437" s="386"/>
      <c r="N1437" s="397" t="s">
        <v>867</v>
      </c>
    </row>
    <row r="1438" spans="1:14" x14ac:dyDescent="0.2">
      <c r="A1438" s="397" t="s">
        <v>1080</v>
      </c>
      <c r="B1438" s="397" t="s">
        <v>1082</v>
      </c>
      <c r="D1438" s="397" t="s">
        <v>867</v>
      </c>
      <c r="G1438" s="399" t="s">
        <v>1087</v>
      </c>
      <c r="H1438" s="398"/>
      <c r="I1438" s="399" t="s">
        <v>867</v>
      </c>
      <c r="J1438" s="397" t="s">
        <v>1090</v>
      </c>
      <c r="K1438" s="397" t="s">
        <v>956</v>
      </c>
      <c r="M1438" s="399" t="s">
        <v>1092</v>
      </c>
      <c r="N1438" s="399" t="s">
        <v>1087</v>
      </c>
    </row>
    <row r="1439" spans="1:14" x14ac:dyDescent="0.2">
      <c r="A1439" s="400" t="s">
        <v>1081</v>
      </c>
      <c r="B1439" s="400" t="s">
        <v>1081</v>
      </c>
      <c r="C1439" s="401" t="s">
        <v>1083</v>
      </c>
      <c r="D1439" s="409" t="str">
        <f>"03/31/2017"</f>
        <v>03/31/2017</v>
      </c>
      <c r="E1439" s="400" t="s">
        <v>1085</v>
      </c>
      <c r="F1439" s="400" t="s">
        <v>1086</v>
      </c>
      <c r="G1439" s="409" t="str">
        <f>"04/30/2017"</f>
        <v>04/30/2017</v>
      </c>
      <c r="H1439" s="398"/>
      <c r="I1439" s="404" t="str">
        <f>D1439</f>
        <v>03/31/2017</v>
      </c>
      <c r="J1439" s="400" t="s">
        <v>1091</v>
      </c>
      <c r="K1439" s="402" t="s">
        <v>1090</v>
      </c>
      <c r="L1439" s="402" t="s">
        <v>1086</v>
      </c>
      <c r="M1439" s="402" t="s">
        <v>955</v>
      </c>
      <c r="N1439" s="404" t="str">
        <f>G1439</f>
        <v>04/30/2017</v>
      </c>
    </row>
    <row r="1440" spans="1:14" x14ac:dyDescent="0.2">
      <c r="A1440" s="406"/>
      <c r="B1440" s="406"/>
      <c r="C1440" s="406"/>
      <c r="D1440" s="406" t="str">
        <f>"(1)"</f>
        <v>(1)</v>
      </c>
      <c r="E1440" s="406" t="str">
        <f>"(2)"</f>
        <v>(2)</v>
      </c>
      <c r="F1440" s="406" t="str">
        <f>"(3)"</f>
        <v>(3)</v>
      </c>
      <c r="G1440" s="406" t="str">
        <f>"(4)=(1+2+3)"</f>
        <v>(4)=(1+2+3)</v>
      </c>
      <c r="H1440" s="406"/>
      <c r="I1440" s="406" t="str">
        <f>"(5)"</f>
        <v>(5)</v>
      </c>
      <c r="J1440" s="406" t="str">
        <f>"(6)"</f>
        <v>(6)</v>
      </c>
      <c r="K1440" s="406" t="str">
        <f>"(7)=((1+4)/2*6/12))"</f>
        <v>(7)=((1+4)/2*6/12))</v>
      </c>
      <c r="L1440" s="406" t="str">
        <f>"(8)"</f>
        <v>(8)</v>
      </c>
      <c r="M1440" s="406" t="str">
        <f>"(9)"</f>
        <v>(9)</v>
      </c>
      <c r="N1440" s="406" t="str">
        <f>"(10)=(5+7-8+9)"</f>
        <v>(10)=(5+7-8+9)</v>
      </c>
    </row>
    <row r="1441" spans="1:14" x14ac:dyDescent="0.2">
      <c r="D1441" s="410" t="s">
        <v>639</v>
      </c>
      <c r="E1441" s="410" t="s">
        <v>639</v>
      </c>
      <c r="F1441" s="410" t="s">
        <v>639</v>
      </c>
      <c r="G1441" s="410" t="s">
        <v>639</v>
      </c>
      <c r="H1441" s="410"/>
      <c r="I1441" s="410" t="s">
        <v>639</v>
      </c>
      <c r="J1441" s="410" t="s">
        <v>639</v>
      </c>
      <c r="K1441" s="410" t="s">
        <v>639</v>
      </c>
      <c r="L1441" s="410" t="s">
        <v>639</v>
      </c>
      <c r="M1441" s="410" t="s">
        <v>639</v>
      </c>
      <c r="N1441" s="410" t="s">
        <v>639</v>
      </c>
    </row>
    <row r="1442" spans="1:14" x14ac:dyDescent="0.2">
      <c r="A1442" s="410">
        <v>1</v>
      </c>
      <c r="B1442" s="411" t="s">
        <v>1025</v>
      </c>
      <c r="C1442" s="412"/>
      <c r="M1442" s="386"/>
    </row>
    <row r="1443" spans="1:14" x14ac:dyDescent="0.2">
      <c r="A1443" s="410">
        <f>A1442+1</f>
        <v>2</v>
      </c>
      <c r="C1443" s="411" t="s">
        <v>697</v>
      </c>
      <c r="M1443" s="386"/>
    </row>
    <row r="1444" spans="1:14" x14ac:dyDescent="0.2">
      <c r="A1444" s="410">
        <f t="shared" ref="A1444:A1449" si="437">A1443+1</f>
        <v>3</v>
      </c>
      <c r="B1444" s="413">
        <v>301</v>
      </c>
      <c r="C1444" s="414" t="s">
        <v>1026</v>
      </c>
      <c r="D1444" s="415">
        <f>G1338</f>
        <v>521.20000000000005</v>
      </c>
      <c r="E1444" s="417">
        <v>0</v>
      </c>
      <c r="F1444" s="417">
        <v>0</v>
      </c>
      <c r="G1444" s="415">
        <f>SUM(D1444:F1444)</f>
        <v>521.20000000000005</v>
      </c>
      <c r="H1444" s="418"/>
      <c r="I1444" s="415">
        <f>N1338</f>
        <v>0</v>
      </c>
      <c r="J1444" s="419" t="s">
        <v>1094</v>
      </c>
      <c r="K1444" s="417">
        <v>0</v>
      </c>
      <c r="L1444" s="418">
        <f>-F1444</f>
        <v>0</v>
      </c>
      <c r="M1444" s="417">
        <v>0</v>
      </c>
      <c r="N1444" s="408">
        <f>I1444+K1444-L1444+M1444</f>
        <v>0</v>
      </c>
    </row>
    <row r="1445" spans="1:14" x14ac:dyDescent="0.2">
      <c r="A1445" s="410">
        <f t="shared" si="437"/>
        <v>4</v>
      </c>
      <c r="B1445" s="413">
        <v>303</v>
      </c>
      <c r="C1445" s="414" t="s">
        <v>1027</v>
      </c>
      <c r="D1445" s="415">
        <f>G1339</f>
        <v>74347.509999999995</v>
      </c>
      <c r="E1445" s="417">
        <v>0</v>
      </c>
      <c r="F1445" s="417">
        <v>0</v>
      </c>
      <c r="G1445" s="415">
        <f>SUM(D1445:F1445)</f>
        <v>74347.509999999995</v>
      </c>
      <c r="H1445" s="418"/>
      <c r="I1445" s="415">
        <f>N1339</f>
        <v>48484.189999999959</v>
      </c>
      <c r="J1445" s="419" t="s">
        <v>1094</v>
      </c>
      <c r="K1445" s="415">
        <f>'Intangible Amort.'!J$110</f>
        <v>206.52</v>
      </c>
      <c r="L1445" s="418">
        <f>-F1445</f>
        <v>0</v>
      </c>
      <c r="M1445" s="417">
        <v>0</v>
      </c>
      <c r="N1445" s="408">
        <f>I1445+K1445-L1445+M1445</f>
        <v>48690.709999999955</v>
      </c>
    </row>
    <row r="1446" spans="1:14" x14ac:dyDescent="0.2">
      <c r="A1446" s="410">
        <f t="shared" si="437"/>
        <v>5</v>
      </c>
      <c r="B1446" s="413">
        <v>303.10000000000002</v>
      </c>
      <c r="C1446" s="414" t="s">
        <v>1028</v>
      </c>
      <c r="D1446" s="415">
        <f>G1340</f>
        <v>0</v>
      </c>
      <c r="E1446" s="417">
        <v>0</v>
      </c>
      <c r="F1446" s="417">
        <v>0</v>
      </c>
      <c r="G1446" s="415">
        <f>SUM(D1446:F1446)</f>
        <v>0</v>
      </c>
      <c r="H1446" s="418"/>
      <c r="I1446" s="415">
        <f>N1340</f>
        <v>0</v>
      </c>
      <c r="J1446" s="419" t="s">
        <v>1094</v>
      </c>
      <c r="K1446" s="417">
        <v>0</v>
      </c>
      <c r="L1446" s="418">
        <f>-F1446</f>
        <v>0</v>
      </c>
      <c r="M1446" s="417">
        <v>0</v>
      </c>
      <c r="N1446" s="408">
        <f>I1446+K1446-L1446+M1446</f>
        <v>0</v>
      </c>
    </row>
    <row r="1447" spans="1:14" x14ac:dyDescent="0.2">
      <c r="A1447" s="410">
        <f t="shared" si="437"/>
        <v>6</v>
      </c>
      <c r="B1447" s="413">
        <v>303.2</v>
      </c>
      <c r="C1447" s="414" t="s">
        <v>1029</v>
      </c>
      <c r="D1447" s="415">
        <f>G1341</f>
        <v>0</v>
      </c>
      <c r="E1447" s="417">
        <v>0</v>
      </c>
      <c r="F1447" s="417">
        <v>0</v>
      </c>
      <c r="G1447" s="415">
        <f>SUM(D1447:F1447)</f>
        <v>0</v>
      </c>
      <c r="H1447" s="418"/>
      <c r="I1447" s="415">
        <f>N1341</f>
        <v>0</v>
      </c>
      <c r="J1447" s="419" t="s">
        <v>1094</v>
      </c>
      <c r="K1447" s="417">
        <v>0</v>
      </c>
      <c r="L1447" s="418">
        <f>-F1447</f>
        <v>0</v>
      </c>
      <c r="M1447" s="417">
        <v>0</v>
      </c>
      <c r="N1447" s="408">
        <f>I1447+K1447-L1447+M1447</f>
        <v>0</v>
      </c>
    </row>
    <row r="1448" spans="1:14" x14ac:dyDescent="0.2">
      <c r="A1448" s="410">
        <f t="shared" si="437"/>
        <v>7</v>
      </c>
      <c r="B1448" s="413">
        <v>303.3</v>
      </c>
      <c r="C1448" s="414" t="s">
        <v>1030</v>
      </c>
      <c r="D1448" s="421">
        <f>G1342</f>
        <v>6830686</v>
      </c>
      <c r="E1448" s="422">
        <v>187900</v>
      </c>
      <c r="F1448" s="422">
        <v>0</v>
      </c>
      <c r="G1448" s="421">
        <f>SUM(D1448:F1448)</f>
        <v>7018586</v>
      </c>
      <c r="H1448" s="418"/>
      <c r="I1448" s="421">
        <f>N1342</f>
        <v>3144449.6850628061</v>
      </c>
      <c r="J1448" s="419" t="s">
        <v>1094</v>
      </c>
      <c r="K1448" s="421">
        <f>'Intangible Amort.'!J$188</f>
        <v>83441.077056113339</v>
      </c>
      <c r="L1448" s="421">
        <f>-F1448</f>
        <v>0</v>
      </c>
      <c r="M1448" s="422">
        <v>0</v>
      </c>
      <c r="N1448" s="423">
        <f>I1448+K1448-L1448+M1448</f>
        <v>3227890.7621189193</v>
      </c>
    </row>
    <row r="1449" spans="1:14" x14ac:dyDescent="0.2">
      <c r="A1449" s="410">
        <f t="shared" si="437"/>
        <v>8</v>
      </c>
      <c r="B1449" s="413"/>
      <c r="C1449" s="414" t="s">
        <v>1031</v>
      </c>
      <c r="D1449" s="418">
        <f>SUM(D1444:D1448)</f>
        <v>6905554.71</v>
      </c>
      <c r="E1449" s="418">
        <f>SUM(E1444:E1448)</f>
        <v>187900</v>
      </c>
      <c r="F1449" s="418">
        <f>SUM(F1444:F1448)</f>
        <v>0</v>
      </c>
      <c r="G1449" s="418">
        <f>SUM(G1444:G1448)</f>
        <v>7093454.71</v>
      </c>
      <c r="H1449" s="418"/>
      <c r="I1449" s="418">
        <f>SUM(I1444:I1448)</f>
        <v>3192933.8750628061</v>
      </c>
      <c r="J1449" s="424"/>
      <c r="K1449" s="418">
        <f>SUM(K1444:K1448)</f>
        <v>83647.597056113344</v>
      </c>
      <c r="L1449" s="418">
        <f>SUM(L1444:L1448)</f>
        <v>0</v>
      </c>
      <c r="M1449" s="418">
        <f>SUM(M1444:M1448)</f>
        <v>0</v>
      </c>
      <c r="N1449" s="418">
        <f>SUM(N1444:N1448)</f>
        <v>3276581.4721189192</v>
      </c>
    </row>
    <row r="1450" spans="1:14" x14ac:dyDescent="0.2">
      <c r="B1450" s="425"/>
      <c r="D1450" s="418"/>
      <c r="E1450" s="418"/>
      <c r="F1450" s="418"/>
      <c r="G1450" s="418"/>
      <c r="H1450" s="418"/>
      <c r="I1450" s="418"/>
      <c r="J1450" s="424"/>
      <c r="K1450" s="418"/>
      <c r="L1450" s="418"/>
      <c r="M1450" s="418"/>
    </row>
    <row r="1451" spans="1:14" x14ac:dyDescent="0.2">
      <c r="A1451" s="410">
        <f>A1449+1</f>
        <v>9</v>
      </c>
      <c r="B1451" s="425"/>
      <c r="C1451" s="411" t="s">
        <v>704</v>
      </c>
      <c r="D1451" s="418"/>
      <c r="E1451" s="418"/>
      <c r="F1451" s="418"/>
      <c r="G1451" s="418"/>
      <c r="H1451" s="418"/>
      <c r="I1451" s="418"/>
      <c r="J1451" s="424"/>
      <c r="K1451" s="418"/>
      <c r="L1451" s="418"/>
      <c r="M1451" s="418"/>
    </row>
    <row r="1452" spans="1:14" x14ac:dyDescent="0.2">
      <c r="A1452" s="410">
        <f>A1451+1</f>
        <v>10</v>
      </c>
      <c r="B1452" s="426">
        <v>304.10000000000002</v>
      </c>
      <c r="C1452" s="427" t="s">
        <v>1032</v>
      </c>
      <c r="D1452" s="421">
        <f>G1346</f>
        <v>0</v>
      </c>
      <c r="E1452" s="1662">
        <v>0</v>
      </c>
      <c r="F1452" s="1662">
        <v>0</v>
      </c>
      <c r="G1452" s="421">
        <f>SUM(D1452:F1452)</f>
        <v>0</v>
      </c>
      <c r="H1452" s="418"/>
      <c r="I1452" s="421">
        <f>N1346</f>
        <v>0</v>
      </c>
      <c r="J1452" s="429" t="s">
        <v>1102</v>
      </c>
      <c r="K1452" s="430">
        <v>0</v>
      </c>
      <c r="L1452" s="421">
        <f>-F1452</f>
        <v>0</v>
      </c>
      <c r="M1452" s="422">
        <v>0</v>
      </c>
      <c r="N1452" s="423">
        <f>I1452+K1452-L1452+M1452</f>
        <v>0</v>
      </c>
    </row>
    <row r="1453" spans="1:14" x14ac:dyDescent="0.2">
      <c r="A1453" s="410">
        <f>A1452+1</f>
        <v>11</v>
      </c>
      <c r="B1453" s="426"/>
      <c r="C1453" s="431" t="s">
        <v>1079</v>
      </c>
      <c r="D1453" s="418">
        <f>D1452</f>
        <v>0</v>
      </c>
      <c r="E1453" s="418">
        <f>E1452</f>
        <v>0</v>
      </c>
      <c r="F1453" s="418">
        <f>F1452</f>
        <v>0</v>
      </c>
      <c r="G1453" s="418">
        <f>G1452</f>
        <v>0</v>
      </c>
      <c r="H1453" s="418"/>
      <c r="I1453" s="418">
        <f>I1452</f>
        <v>0</v>
      </c>
      <c r="J1453" s="432"/>
      <c r="K1453" s="418">
        <f>SUM(K1452)</f>
        <v>0</v>
      </c>
      <c r="L1453" s="418">
        <f>SUM(L1452)</f>
        <v>0</v>
      </c>
      <c r="M1453" s="418">
        <f>M1452</f>
        <v>0</v>
      </c>
      <c r="N1453" s="418">
        <f>N1452</f>
        <v>0</v>
      </c>
    </row>
    <row r="1454" spans="1:14" x14ac:dyDescent="0.2">
      <c r="B1454" s="425"/>
      <c r="D1454" s="418"/>
      <c r="E1454" s="418"/>
      <c r="F1454" s="418"/>
      <c r="G1454" s="418"/>
      <c r="H1454" s="418"/>
      <c r="I1454" s="418"/>
      <c r="J1454" s="432"/>
      <c r="K1454" s="418"/>
      <c r="L1454" s="418"/>
      <c r="M1454" s="418"/>
    </row>
    <row r="1455" spans="1:14" x14ac:dyDescent="0.2">
      <c r="A1455" s="410">
        <f>A1453+1</f>
        <v>12</v>
      </c>
      <c r="B1455" s="425"/>
      <c r="C1455" s="411" t="s">
        <v>707</v>
      </c>
      <c r="D1455" s="418"/>
      <c r="E1455" s="418"/>
      <c r="F1455" s="418"/>
      <c r="G1455" s="418"/>
      <c r="H1455" s="418"/>
      <c r="I1455" s="418"/>
      <c r="J1455" s="432"/>
      <c r="K1455" s="418"/>
      <c r="L1455" s="418"/>
      <c r="M1455" s="418"/>
    </row>
    <row r="1456" spans="1:14" x14ac:dyDescent="0.2">
      <c r="A1456" s="410">
        <f>A1455+1</f>
        <v>13</v>
      </c>
      <c r="B1456" s="413">
        <v>374.1</v>
      </c>
      <c r="C1456" s="414" t="s">
        <v>1035</v>
      </c>
      <c r="D1456" s="415">
        <f t="shared" ref="D1456:D1466" si="438">G1350</f>
        <v>206</v>
      </c>
      <c r="E1456" s="417">
        <v>0</v>
      </c>
      <c r="F1456" s="417">
        <v>0</v>
      </c>
      <c r="G1456" s="415">
        <f>SUM(D1456:F1456)</f>
        <v>206</v>
      </c>
      <c r="H1456" s="418"/>
      <c r="I1456" s="415">
        <f t="shared" ref="I1456:I1466" si="439">N1350</f>
        <v>0</v>
      </c>
      <c r="J1456" s="442" t="str">
        <f t="shared" ref="J1456:J1466" si="440">J1350</f>
        <v>Non-Dep.</v>
      </c>
      <c r="K1456" s="417">
        <v>0</v>
      </c>
      <c r="L1456" s="418">
        <f t="shared" ref="L1456:L1466" si="441">-F1456</f>
        <v>0</v>
      </c>
      <c r="M1456" s="417">
        <v>0</v>
      </c>
      <c r="N1456" s="408">
        <f t="shared" ref="N1456:N1466" si="442">I1456+K1456-L1456+M1456</f>
        <v>0</v>
      </c>
    </row>
    <row r="1457" spans="1:14" x14ac:dyDescent="0.2">
      <c r="A1457" s="410">
        <f t="shared" ref="A1457:A1477" si="443">A1456+1</f>
        <v>14</v>
      </c>
      <c r="B1457" s="413">
        <v>374.2</v>
      </c>
      <c r="C1457" s="414" t="s">
        <v>1036</v>
      </c>
      <c r="D1457" s="415">
        <f t="shared" si="438"/>
        <v>877756.18</v>
      </c>
      <c r="E1457" s="417">
        <v>0</v>
      </c>
      <c r="F1457" s="417">
        <v>0</v>
      </c>
      <c r="G1457" s="415">
        <f t="shared" ref="G1457:G1466" si="444">SUM(D1457:F1457)</f>
        <v>877756.18</v>
      </c>
      <c r="H1457" s="418"/>
      <c r="I1457" s="415">
        <f t="shared" si="439"/>
        <v>-523.13</v>
      </c>
      <c r="J1457" s="442" t="str">
        <f t="shared" si="440"/>
        <v>Non-Dep.</v>
      </c>
      <c r="K1457" s="417">
        <v>0</v>
      </c>
      <c r="L1457" s="418">
        <f t="shared" si="441"/>
        <v>0</v>
      </c>
      <c r="M1457" s="417">
        <v>0</v>
      </c>
      <c r="N1457" s="408">
        <f t="shared" si="442"/>
        <v>-523.13</v>
      </c>
    </row>
    <row r="1458" spans="1:14" x14ac:dyDescent="0.2">
      <c r="A1458" s="410">
        <f t="shared" si="443"/>
        <v>15</v>
      </c>
      <c r="B1458" s="413">
        <v>374.4</v>
      </c>
      <c r="C1458" s="414" t="s">
        <v>1037</v>
      </c>
      <c r="D1458" s="415">
        <f t="shared" si="438"/>
        <v>661305.66</v>
      </c>
      <c r="E1458" s="417">
        <v>0</v>
      </c>
      <c r="F1458" s="417">
        <v>0</v>
      </c>
      <c r="G1458" s="415">
        <f t="shared" si="444"/>
        <v>661305.66</v>
      </c>
      <c r="H1458" s="418"/>
      <c r="I1458" s="415">
        <f t="shared" si="439"/>
        <v>181760.36</v>
      </c>
      <c r="J1458" s="442">
        <f t="shared" si="440"/>
        <v>1.7399999999999999E-2</v>
      </c>
      <c r="K1458" s="418">
        <f>ROUND((G1458+D1458)/2*J1458/12,0)</f>
        <v>959</v>
      </c>
      <c r="L1458" s="418">
        <f t="shared" si="441"/>
        <v>0</v>
      </c>
      <c r="M1458" s="417">
        <v>0</v>
      </c>
      <c r="N1458" s="408">
        <f t="shared" si="442"/>
        <v>182719.35999999999</v>
      </c>
    </row>
    <row r="1459" spans="1:14" x14ac:dyDescent="0.2">
      <c r="A1459" s="410">
        <f t="shared" si="443"/>
        <v>16</v>
      </c>
      <c r="B1459" s="413">
        <v>374.5</v>
      </c>
      <c r="C1459" s="414" t="s">
        <v>1038</v>
      </c>
      <c r="D1459" s="415">
        <f t="shared" si="438"/>
        <v>2712672.55</v>
      </c>
      <c r="E1459" s="417">
        <v>5800</v>
      </c>
      <c r="F1459" s="417">
        <v>-700</v>
      </c>
      <c r="G1459" s="415">
        <f t="shared" si="444"/>
        <v>2717772.55</v>
      </c>
      <c r="H1459" s="418"/>
      <c r="I1459" s="415">
        <f t="shared" si="439"/>
        <v>936361.23</v>
      </c>
      <c r="J1459" s="442">
        <f t="shared" si="440"/>
        <v>1.29E-2</v>
      </c>
      <c r="K1459" s="418">
        <f t="shared" ref="K1459:K1464" si="445">ROUND((G1459+D1459)/2*J1459/12,0)</f>
        <v>2919</v>
      </c>
      <c r="L1459" s="418">
        <f t="shared" si="441"/>
        <v>700</v>
      </c>
      <c r="M1459" s="417">
        <v>0</v>
      </c>
      <c r="N1459" s="408">
        <f t="shared" si="442"/>
        <v>938580.23</v>
      </c>
    </row>
    <row r="1460" spans="1:14" x14ac:dyDescent="0.2">
      <c r="A1460" s="410">
        <f t="shared" si="443"/>
        <v>17</v>
      </c>
      <c r="B1460" s="413">
        <v>375.2</v>
      </c>
      <c r="C1460" s="414" t="s">
        <v>1039</v>
      </c>
      <c r="D1460" s="415">
        <f t="shared" si="438"/>
        <v>2124.98</v>
      </c>
      <c r="E1460" s="417">
        <v>0</v>
      </c>
      <c r="F1460" s="417">
        <v>0</v>
      </c>
      <c r="G1460" s="415">
        <f t="shared" si="444"/>
        <v>2124.98</v>
      </c>
      <c r="H1460" s="418"/>
      <c r="I1460" s="415">
        <f t="shared" si="439"/>
        <v>2045.32</v>
      </c>
      <c r="J1460" s="442">
        <f t="shared" si="440"/>
        <v>3.1800000000000002E-2</v>
      </c>
      <c r="K1460" s="418">
        <f t="shared" si="445"/>
        <v>6</v>
      </c>
      <c r="L1460" s="418">
        <f t="shared" si="441"/>
        <v>0</v>
      </c>
      <c r="M1460" s="417">
        <v>0</v>
      </c>
      <c r="N1460" s="408">
        <f t="shared" si="442"/>
        <v>2051.3199999999997</v>
      </c>
    </row>
    <row r="1461" spans="1:14" x14ac:dyDescent="0.2">
      <c r="A1461" s="410">
        <f t="shared" si="443"/>
        <v>18</v>
      </c>
      <c r="B1461" s="413">
        <v>375.3</v>
      </c>
      <c r="C1461" s="414" t="s">
        <v>1040</v>
      </c>
      <c r="D1461" s="415">
        <f t="shared" si="438"/>
        <v>0</v>
      </c>
      <c r="E1461" s="417">
        <v>0</v>
      </c>
      <c r="F1461" s="417">
        <v>0</v>
      </c>
      <c r="G1461" s="415">
        <f t="shared" si="444"/>
        <v>0</v>
      </c>
      <c r="H1461" s="418"/>
      <c r="I1461" s="415">
        <f t="shared" si="439"/>
        <v>-77.66</v>
      </c>
      <c r="J1461" s="442">
        <f t="shared" si="440"/>
        <v>3.1800000000000002E-2</v>
      </c>
      <c r="K1461" s="418">
        <f t="shared" si="445"/>
        <v>0</v>
      </c>
      <c r="L1461" s="418">
        <f t="shared" si="441"/>
        <v>0</v>
      </c>
      <c r="M1461" s="417">
        <v>0</v>
      </c>
      <c r="N1461" s="408">
        <f t="shared" si="442"/>
        <v>-77.66</v>
      </c>
    </row>
    <row r="1462" spans="1:14" x14ac:dyDescent="0.2">
      <c r="A1462" s="410">
        <f t="shared" si="443"/>
        <v>19</v>
      </c>
      <c r="B1462" s="413">
        <v>375.4</v>
      </c>
      <c r="C1462" s="414" t="s">
        <v>1041</v>
      </c>
      <c r="D1462" s="415">
        <f t="shared" si="438"/>
        <v>2129430.02</v>
      </c>
      <c r="E1462" s="417">
        <v>18100</v>
      </c>
      <c r="F1462" s="417">
        <v>-2200</v>
      </c>
      <c r="G1462" s="415">
        <f t="shared" si="444"/>
        <v>2145330.02</v>
      </c>
      <c r="H1462" s="418"/>
      <c r="I1462" s="415">
        <f t="shared" si="439"/>
        <v>496256.37</v>
      </c>
      <c r="J1462" s="442">
        <f t="shared" si="440"/>
        <v>3.1800000000000002E-2</v>
      </c>
      <c r="K1462" s="418">
        <f t="shared" si="445"/>
        <v>5664</v>
      </c>
      <c r="L1462" s="418">
        <f t="shared" si="441"/>
        <v>2200</v>
      </c>
      <c r="M1462" s="417">
        <v>-200</v>
      </c>
      <c r="N1462" s="408">
        <f t="shared" si="442"/>
        <v>499520.37</v>
      </c>
    </row>
    <row r="1463" spans="1:14" x14ac:dyDescent="0.2">
      <c r="A1463" s="410">
        <f t="shared" si="443"/>
        <v>20</v>
      </c>
      <c r="B1463" s="413">
        <v>375.6</v>
      </c>
      <c r="C1463" s="414" t="s">
        <v>1042</v>
      </c>
      <c r="D1463" s="415">
        <f t="shared" si="438"/>
        <v>0</v>
      </c>
      <c r="E1463" s="417">
        <v>0</v>
      </c>
      <c r="F1463" s="417">
        <v>0</v>
      </c>
      <c r="G1463" s="415">
        <f t="shared" si="444"/>
        <v>0</v>
      </c>
      <c r="H1463" s="418"/>
      <c r="I1463" s="415">
        <f t="shared" si="439"/>
        <v>0.02</v>
      </c>
      <c r="J1463" s="442">
        <f t="shared" si="440"/>
        <v>3.1800000000000002E-2</v>
      </c>
      <c r="K1463" s="418">
        <f t="shared" si="445"/>
        <v>0</v>
      </c>
      <c r="L1463" s="418">
        <f t="shared" si="441"/>
        <v>0</v>
      </c>
      <c r="M1463" s="417">
        <v>0</v>
      </c>
      <c r="N1463" s="408">
        <f t="shared" si="442"/>
        <v>0.02</v>
      </c>
    </row>
    <row r="1464" spans="1:14" x14ac:dyDescent="0.2">
      <c r="A1464" s="410">
        <f t="shared" si="443"/>
        <v>21</v>
      </c>
      <c r="B1464" s="413">
        <v>375.7</v>
      </c>
      <c r="C1464" s="414" t="s">
        <v>1043</v>
      </c>
      <c r="D1464" s="415">
        <f t="shared" si="438"/>
        <v>8383050.2100000009</v>
      </c>
      <c r="E1464" s="417">
        <v>48300</v>
      </c>
      <c r="F1464" s="417">
        <v>-5800</v>
      </c>
      <c r="G1464" s="415">
        <f t="shared" si="444"/>
        <v>8425550.2100000009</v>
      </c>
      <c r="H1464" s="418"/>
      <c r="I1464" s="415">
        <f t="shared" si="439"/>
        <v>3343098.06</v>
      </c>
      <c r="J1464" s="442">
        <f t="shared" si="440"/>
        <v>2.1299999999999999E-2</v>
      </c>
      <c r="K1464" s="418">
        <f t="shared" si="445"/>
        <v>14918</v>
      </c>
      <c r="L1464" s="418">
        <f t="shared" si="441"/>
        <v>5800</v>
      </c>
      <c r="M1464" s="417">
        <v>0</v>
      </c>
      <c r="N1464" s="408">
        <f t="shared" si="442"/>
        <v>3352216.06</v>
      </c>
    </row>
    <row r="1465" spans="1:14" x14ac:dyDescent="0.2">
      <c r="A1465" s="410">
        <f t="shared" si="443"/>
        <v>22</v>
      </c>
      <c r="B1465" s="413">
        <v>375.71</v>
      </c>
      <c r="C1465" s="414" t="s">
        <v>1044</v>
      </c>
      <c r="D1465" s="415">
        <f t="shared" si="438"/>
        <v>259808.94</v>
      </c>
      <c r="E1465" s="417">
        <v>0</v>
      </c>
      <c r="F1465" s="417">
        <v>0</v>
      </c>
      <c r="G1465" s="415">
        <f t="shared" si="444"/>
        <v>259808.94</v>
      </c>
      <c r="H1465" s="418"/>
      <c r="I1465" s="415">
        <f t="shared" si="439"/>
        <v>190957.7031578949</v>
      </c>
      <c r="J1465" s="442" t="str">
        <f t="shared" si="440"/>
        <v>Amort.</v>
      </c>
      <c r="K1465" s="417">
        <f>104653.88/38</f>
        <v>2754.0494736842106</v>
      </c>
      <c r="L1465" s="418">
        <f t="shared" si="441"/>
        <v>0</v>
      </c>
      <c r="M1465" s="417">
        <v>0</v>
      </c>
      <c r="N1465" s="408">
        <f t="shared" si="442"/>
        <v>193711.75263157912</v>
      </c>
    </row>
    <row r="1466" spans="1:14" x14ac:dyDescent="0.2">
      <c r="A1466" s="410">
        <f t="shared" si="443"/>
        <v>23</v>
      </c>
      <c r="B1466" s="413">
        <v>375.8</v>
      </c>
      <c r="C1466" s="414" t="s">
        <v>1045</v>
      </c>
      <c r="D1466" s="415">
        <f t="shared" si="438"/>
        <v>0</v>
      </c>
      <c r="E1466" s="417">
        <v>0</v>
      </c>
      <c r="F1466" s="417">
        <v>0</v>
      </c>
      <c r="G1466" s="415">
        <f t="shared" si="444"/>
        <v>0</v>
      </c>
      <c r="H1466" s="418"/>
      <c r="I1466" s="415">
        <f t="shared" si="439"/>
        <v>0</v>
      </c>
      <c r="J1466" s="442">
        <f t="shared" si="440"/>
        <v>0</v>
      </c>
      <c r="K1466" s="417">
        <v>0</v>
      </c>
      <c r="L1466" s="418">
        <f t="shared" si="441"/>
        <v>0</v>
      </c>
      <c r="M1466" s="417">
        <v>0</v>
      </c>
      <c r="N1466" s="408">
        <f t="shared" si="442"/>
        <v>0</v>
      </c>
    </row>
    <row r="1467" spans="1:14" x14ac:dyDescent="0.2">
      <c r="A1467" s="410">
        <f>A1466+1</f>
        <v>24</v>
      </c>
      <c r="B1467" s="413">
        <v>376</v>
      </c>
      <c r="C1467" s="438" t="s">
        <v>1096</v>
      </c>
      <c r="D1467" s="415"/>
      <c r="E1467" s="417"/>
      <c r="F1467" s="417"/>
      <c r="G1467" s="415"/>
      <c r="H1467" s="418"/>
      <c r="I1467" s="439"/>
      <c r="J1467" s="432"/>
      <c r="K1467" s="418"/>
      <c r="L1467" s="418"/>
      <c r="M1467" s="417"/>
    </row>
    <row r="1468" spans="1:14" x14ac:dyDescent="0.2">
      <c r="A1468" s="410"/>
      <c r="B1468" s="413"/>
      <c r="C1468" s="440" t="s">
        <v>1097</v>
      </c>
      <c r="D1468" s="415"/>
      <c r="E1468" s="417"/>
      <c r="F1468" s="417"/>
      <c r="G1468" s="415"/>
      <c r="H1468" s="418"/>
      <c r="I1468" s="415"/>
      <c r="J1468" s="442"/>
      <c r="K1468" s="418"/>
      <c r="L1468" s="418"/>
      <c r="M1468" s="417"/>
      <c r="N1468" s="408"/>
    </row>
    <row r="1469" spans="1:14" x14ac:dyDescent="0.2">
      <c r="A1469" s="410"/>
      <c r="B1469" s="413"/>
      <c r="C1469" s="440" t="s">
        <v>1098</v>
      </c>
      <c r="D1469" s="415"/>
      <c r="E1469" s="417"/>
      <c r="F1469" s="417"/>
      <c r="G1469" s="415"/>
      <c r="H1469" s="418"/>
      <c r="I1469" s="415"/>
      <c r="J1469" s="442"/>
      <c r="K1469" s="418"/>
      <c r="L1469" s="418"/>
      <c r="M1469" s="417"/>
      <c r="N1469" s="408"/>
    </row>
    <row r="1470" spans="1:14" x14ac:dyDescent="0.2">
      <c r="A1470" s="410"/>
      <c r="B1470" s="413"/>
      <c r="C1470" s="440" t="s">
        <v>1099</v>
      </c>
      <c r="D1470" s="415"/>
      <c r="E1470" s="417"/>
      <c r="F1470" s="417"/>
      <c r="G1470" s="415"/>
      <c r="H1470" s="418"/>
      <c r="I1470" s="415"/>
      <c r="J1470" s="442"/>
      <c r="K1470" s="418"/>
      <c r="L1470" s="418"/>
      <c r="M1470" s="417"/>
      <c r="N1470" s="408"/>
    </row>
    <row r="1471" spans="1:14" x14ac:dyDescent="0.2">
      <c r="A1471" s="410"/>
      <c r="B1471" s="413"/>
      <c r="C1471" s="440" t="s">
        <v>1100</v>
      </c>
      <c r="D1471" s="415"/>
      <c r="E1471" s="417"/>
      <c r="F1471" s="417"/>
      <c r="G1471" s="415"/>
      <c r="H1471" s="418"/>
      <c r="I1471" s="415"/>
      <c r="J1471" s="442"/>
      <c r="K1471" s="418"/>
      <c r="L1471" s="418"/>
      <c r="M1471" s="417"/>
      <c r="N1471" s="408"/>
    </row>
    <row r="1472" spans="1:14" x14ac:dyDescent="0.2">
      <c r="A1472" s="410"/>
      <c r="B1472" s="413"/>
      <c r="C1472" s="440" t="s">
        <v>1101</v>
      </c>
      <c r="D1472" s="415">
        <f t="shared" ref="D1472:D1477" si="446">G1366</f>
        <v>214934165.44</v>
      </c>
      <c r="E1472" s="417">
        <f>957000+32320</f>
        <v>989320</v>
      </c>
      <c r="F1472" s="417">
        <v>-118700</v>
      </c>
      <c r="G1472" s="415">
        <f t="shared" ref="G1472:G1477" si="447">SUM(D1472:F1472)</f>
        <v>215804785.44</v>
      </c>
      <c r="H1472" s="418"/>
      <c r="I1472" s="415">
        <f t="shared" ref="I1472:I1477" si="448">N1366</f>
        <v>58442098.609999999</v>
      </c>
      <c r="J1472" s="442">
        <f t="shared" ref="J1472:J1477" si="449">J1366</f>
        <v>2.3E-2</v>
      </c>
      <c r="K1472" s="418">
        <f t="shared" ref="K1472:K1477" si="450">ROUND((G1472+D1472)/2*J1472/12,0)</f>
        <v>412791</v>
      </c>
      <c r="L1472" s="418">
        <f t="shared" ref="L1472:L1477" si="451">-F1472</f>
        <v>118700</v>
      </c>
      <c r="M1472" s="417">
        <v>-17800</v>
      </c>
      <c r="N1472" s="408">
        <f t="shared" ref="N1472:N1477" si="452">I1472+K1472-L1472+M1472</f>
        <v>58718389.609999999</v>
      </c>
    </row>
    <row r="1473" spans="1:14" x14ac:dyDescent="0.2">
      <c r="A1473" s="410">
        <f>A1467+1</f>
        <v>25</v>
      </c>
      <c r="B1473" s="413">
        <v>378.1</v>
      </c>
      <c r="C1473" s="414" t="s">
        <v>1047</v>
      </c>
      <c r="D1473" s="415">
        <f t="shared" si="446"/>
        <v>518504.18</v>
      </c>
      <c r="E1473" s="417">
        <v>0</v>
      </c>
      <c r="F1473" s="417">
        <v>0</v>
      </c>
      <c r="G1473" s="415">
        <f t="shared" si="447"/>
        <v>518504.18</v>
      </c>
      <c r="H1473" s="418"/>
      <c r="I1473" s="415">
        <f t="shared" si="448"/>
        <v>367766.81</v>
      </c>
      <c r="J1473" s="442">
        <f t="shared" si="449"/>
        <v>3.32E-2</v>
      </c>
      <c r="K1473" s="418">
        <f t="shared" si="450"/>
        <v>1435</v>
      </c>
      <c r="L1473" s="418">
        <f t="shared" si="451"/>
        <v>0</v>
      </c>
      <c r="M1473" s="417">
        <v>0</v>
      </c>
      <c r="N1473" s="408">
        <f t="shared" si="452"/>
        <v>369201.81</v>
      </c>
    </row>
    <row r="1474" spans="1:14" x14ac:dyDescent="0.2">
      <c r="A1474" s="410">
        <f t="shared" si="443"/>
        <v>26</v>
      </c>
      <c r="B1474" s="413">
        <v>378.2</v>
      </c>
      <c r="C1474" s="414" t="s">
        <v>1048</v>
      </c>
      <c r="D1474" s="415">
        <f t="shared" si="446"/>
        <v>9819524</v>
      </c>
      <c r="E1474" s="417">
        <v>19200</v>
      </c>
      <c r="F1474" s="417">
        <v>-2300</v>
      </c>
      <c r="G1474" s="415">
        <f t="shared" si="447"/>
        <v>9836424</v>
      </c>
      <c r="H1474" s="418"/>
      <c r="I1474" s="415">
        <f t="shared" si="448"/>
        <v>3444623.91</v>
      </c>
      <c r="J1474" s="442">
        <f t="shared" si="449"/>
        <v>3.32E-2</v>
      </c>
      <c r="K1474" s="418">
        <f t="shared" si="450"/>
        <v>27191</v>
      </c>
      <c r="L1474" s="418">
        <f t="shared" si="451"/>
        <v>2300</v>
      </c>
      <c r="M1474" s="417">
        <v>-100</v>
      </c>
      <c r="N1474" s="408">
        <f t="shared" si="452"/>
        <v>3469414.91</v>
      </c>
    </row>
    <row r="1475" spans="1:14" x14ac:dyDescent="0.2">
      <c r="A1475" s="410">
        <f t="shared" si="443"/>
        <v>27</v>
      </c>
      <c r="B1475" s="413">
        <v>378.3</v>
      </c>
      <c r="C1475" s="414" t="s">
        <v>1049</v>
      </c>
      <c r="D1475" s="415">
        <f t="shared" si="446"/>
        <v>45443.08</v>
      </c>
      <c r="E1475" s="417">
        <v>0</v>
      </c>
      <c r="F1475" s="417">
        <v>0</v>
      </c>
      <c r="G1475" s="415">
        <f t="shared" si="447"/>
        <v>45443.08</v>
      </c>
      <c r="H1475" s="418"/>
      <c r="I1475" s="415">
        <f t="shared" si="448"/>
        <v>36256.04</v>
      </c>
      <c r="J1475" s="442">
        <f t="shared" si="449"/>
        <v>3.32E-2</v>
      </c>
      <c r="K1475" s="418">
        <f t="shared" si="450"/>
        <v>126</v>
      </c>
      <c r="L1475" s="418">
        <f t="shared" si="451"/>
        <v>0</v>
      </c>
      <c r="M1475" s="417">
        <v>0</v>
      </c>
      <c r="N1475" s="408">
        <f t="shared" si="452"/>
        <v>36382.04</v>
      </c>
    </row>
    <row r="1476" spans="1:14" x14ac:dyDescent="0.2">
      <c r="A1476" s="410">
        <f t="shared" si="443"/>
        <v>28</v>
      </c>
      <c r="B1476" s="413">
        <v>379.1</v>
      </c>
      <c r="C1476" s="414" t="s">
        <v>1050</v>
      </c>
      <c r="D1476" s="415">
        <f t="shared" si="446"/>
        <v>254900.59</v>
      </c>
      <c r="E1476" s="417">
        <v>0</v>
      </c>
      <c r="F1476" s="417">
        <v>0</v>
      </c>
      <c r="G1476" s="415">
        <f t="shared" si="447"/>
        <v>254900.59</v>
      </c>
      <c r="H1476" s="418"/>
      <c r="I1476" s="415">
        <f t="shared" si="448"/>
        <v>267730.57</v>
      </c>
      <c r="J1476" s="442">
        <f t="shared" si="449"/>
        <v>6.0000000000000001E-3</v>
      </c>
      <c r="K1476" s="417">
        <v>0</v>
      </c>
      <c r="L1476" s="418">
        <f t="shared" si="451"/>
        <v>0</v>
      </c>
      <c r="M1476" s="417">
        <v>0</v>
      </c>
      <c r="N1476" s="408">
        <f t="shared" si="452"/>
        <v>267730.57</v>
      </c>
    </row>
    <row r="1477" spans="1:14" x14ac:dyDescent="0.2">
      <c r="A1477" s="410">
        <f t="shared" si="443"/>
        <v>29</v>
      </c>
      <c r="B1477" s="413">
        <v>380</v>
      </c>
      <c r="C1477" s="414" t="s">
        <v>1051</v>
      </c>
      <c r="D1477" s="415">
        <f t="shared" si="446"/>
        <v>124095970.77</v>
      </c>
      <c r="E1477" s="417">
        <f>546900+21546</f>
        <v>568446</v>
      </c>
      <c r="F1477" s="417">
        <v>-68200</v>
      </c>
      <c r="G1477" s="415">
        <f t="shared" si="447"/>
        <v>124596216.77</v>
      </c>
      <c r="H1477" s="418"/>
      <c r="I1477" s="415">
        <f t="shared" si="448"/>
        <v>60153107.520000003</v>
      </c>
      <c r="J1477" s="442">
        <f t="shared" si="449"/>
        <v>5.0999999999999997E-2</v>
      </c>
      <c r="K1477" s="418">
        <f t="shared" si="450"/>
        <v>528471</v>
      </c>
      <c r="L1477" s="418">
        <f t="shared" si="451"/>
        <v>68200</v>
      </c>
      <c r="M1477" s="417">
        <v>-34100</v>
      </c>
      <c r="N1477" s="408">
        <f t="shared" si="452"/>
        <v>60579278.520000003</v>
      </c>
    </row>
    <row r="1478" spans="1:14" x14ac:dyDescent="0.2">
      <c r="A1478" s="410"/>
      <c r="B1478" s="444"/>
      <c r="C1478" s="414"/>
      <c r="D1478" s="439"/>
      <c r="E1478" s="418"/>
      <c r="F1478" s="418"/>
      <c r="G1478" s="439"/>
      <c r="H1478" s="418"/>
      <c r="I1478" s="418"/>
      <c r="J1478" s="418"/>
      <c r="K1478" s="418"/>
      <c r="L1478" s="418"/>
    </row>
    <row r="1479" spans="1:14" x14ac:dyDescent="0.2">
      <c r="A1479" s="2073" t="str">
        <f>co</f>
        <v>COLUMBIA GAS OF KENTUCKY, INC.</v>
      </c>
      <c r="B1479" s="2073"/>
      <c r="C1479" s="2073"/>
      <c r="D1479" s="2073"/>
      <c r="E1479" s="2073"/>
      <c r="F1479" s="2073"/>
      <c r="G1479" s="2073"/>
      <c r="H1479" s="2073"/>
      <c r="I1479" s="2073"/>
      <c r="J1479" s="2073"/>
      <c r="K1479" s="2073"/>
      <c r="L1479" s="2073"/>
      <c r="M1479" s="2073"/>
      <c r="N1479" s="2073"/>
    </row>
    <row r="1480" spans="1:14" x14ac:dyDescent="0.2">
      <c r="A1480" s="2073" t="str">
        <f>case</f>
        <v>CASE NO. 2016 - 00162</v>
      </c>
      <c r="B1480" s="2073"/>
      <c r="C1480" s="2073"/>
      <c r="D1480" s="2073"/>
      <c r="E1480" s="2073"/>
      <c r="F1480" s="2073"/>
      <c r="G1480" s="2073"/>
      <c r="H1480" s="2073"/>
      <c r="I1480" s="2073"/>
      <c r="J1480" s="2073"/>
      <c r="K1480" s="2073"/>
      <c r="L1480" s="2073"/>
      <c r="M1480" s="2073"/>
      <c r="N1480" s="2073"/>
    </row>
    <row r="1481" spans="1:14" x14ac:dyDescent="0.2">
      <c r="A1481" s="2074" t="s">
        <v>1106</v>
      </c>
      <c r="B1481" s="2073"/>
      <c r="C1481" s="2073"/>
      <c r="D1481" s="2073"/>
      <c r="E1481" s="2073"/>
      <c r="F1481" s="2073"/>
      <c r="G1481" s="2073"/>
      <c r="H1481" s="2073"/>
      <c r="I1481" s="2073"/>
      <c r="J1481" s="2073"/>
      <c r="K1481" s="2073"/>
      <c r="L1481" s="2073"/>
      <c r="M1481" s="2073"/>
      <c r="N1481" s="2073"/>
    </row>
    <row r="1482" spans="1:14" x14ac:dyDescent="0.2">
      <c r="A1482" s="2078" t="s">
        <v>2142</v>
      </c>
      <c r="B1482" s="2078"/>
      <c r="C1482" s="2078"/>
      <c r="D1482" s="2078"/>
      <c r="E1482" s="2078"/>
      <c r="F1482" s="2078"/>
      <c r="G1482" s="2078"/>
      <c r="H1482" s="2078"/>
      <c r="I1482" s="2078"/>
      <c r="J1482" s="2078"/>
      <c r="K1482" s="2078"/>
      <c r="L1482" s="2078"/>
      <c r="M1482" s="2078"/>
      <c r="N1482" s="2078"/>
    </row>
    <row r="1484" spans="1:14" x14ac:dyDescent="0.2">
      <c r="A1484" s="388" t="s">
        <v>976</v>
      </c>
      <c r="M1484" s="386"/>
      <c r="N1484" s="387" t="s">
        <v>763</v>
      </c>
    </row>
    <row r="1485" spans="1:14" x14ac:dyDescent="0.2">
      <c r="A1485" s="388" t="s">
        <v>977</v>
      </c>
      <c r="M1485" s="386"/>
      <c r="N1485" s="387" t="s">
        <v>999</v>
      </c>
    </row>
    <row r="1486" spans="1:14" x14ac:dyDescent="0.2">
      <c r="A1486" s="445" t="str">
        <f>A1433</f>
        <v>WORKPAPER REFERENCE NO(S).: WPB-2.3</v>
      </c>
      <c r="B1486" s="391"/>
      <c r="C1486" s="391"/>
      <c r="D1486" s="391"/>
      <c r="E1486" s="391"/>
      <c r="F1486" s="391"/>
      <c r="G1486" s="391"/>
      <c r="H1486" s="391"/>
      <c r="M1486" s="392"/>
      <c r="N1486" s="393" t="str">
        <f>SMK</f>
        <v>WITNESS:  S. M. KATKO</v>
      </c>
    </row>
    <row r="1487" spans="1:14" x14ac:dyDescent="0.2">
      <c r="A1487" s="390"/>
      <c r="B1487" s="391"/>
      <c r="C1487" s="391"/>
      <c r="D1487" s="391"/>
      <c r="E1487" s="391"/>
      <c r="F1487" s="391"/>
      <c r="G1487" s="391"/>
      <c r="H1487" s="391"/>
      <c r="I1487" s="392"/>
      <c r="J1487" s="393"/>
      <c r="L1487" s="386"/>
      <c r="M1487" s="386"/>
    </row>
    <row r="1488" spans="1:14" x14ac:dyDescent="0.2">
      <c r="A1488" s="390"/>
      <c r="B1488" s="391"/>
      <c r="C1488" s="391"/>
      <c r="D1488" s="2075" t="s">
        <v>1088</v>
      </c>
      <c r="E1488" s="2075"/>
      <c r="F1488" s="2075"/>
      <c r="G1488" s="2075"/>
      <c r="H1488" s="391"/>
      <c r="I1488" s="2076" t="s">
        <v>1093</v>
      </c>
      <c r="J1488" s="2077"/>
      <c r="K1488" s="2077"/>
      <c r="L1488" s="2077"/>
      <c r="M1488" s="2077"/>
      <c r="N1488" s="2077"/>
    </row>
    <row r="1489" spans="1:14" x14ac:dyDescent="0.2">
      <c r="A1489" s="394"/>
      <c r="B1489" s="391"/>
      <c r="C1489" s="391"/>
      <c r="D1489" s="396" t="s">
        <v>1084</v>
      </c>
      <c r="E1489" s="391"/>
      <c r="F1489" s="391"/>
      <c r="G1489" s="395"/>
      <c r="H1489" s="395"/>
      <c r="I1489" s="397" t="s">
        <v>1089</v>
      </c>
      <c r="J1489" s="396"/>
      <c r="M1489" s="386"/>
    </row>
    <row r="1490" spans="1:14" x14ac:dyDescent="0.2">
      <c r="A1490" s="383"/>
      <c r="D1490" s="397" t="s">
        <v>865</v>
      </c>
      <c r="G1490" s="397" t="s">
        <v>867</v>
      </c>
      <c r="H1490" s="398"/>
      <c r="I1490" s="397" t="s">
        <v>865</v>
      </c>
      <c r="J1490" s="397" t="s">
        <v>956</v>
      </c>
      <c r="M1490" s="386"/>
      <c r="N1490" s="397" t="s">
        <v>867</v>
      </c>
    </row>
    <row r="1491" spans="1:14" x14ac:dyDescent="0.2">
      <c r="A1491" s="397" t="s">
        <v>1080</v>
      </c>
      <c r="B1491" s="397" t="s">
        <v>1082</v>
      </c>
      <c r="D1491" s="397" t="s">
        <v>867</v>
      </c>
      <c r="G1491" s="399" t="s">
        <v>1087</v>
      </c>
      <c r="H1491" s="398"/>
      <c r="I1491" s="399" t="s">
        <v>867</v>
      </c>
      <c r="J1491" s="397" t="s">
        <v>1090</v>
      </c>
      <c r="K1491" s="397" t="s">
        <v>956</v>
      </c>
      <c r="M1491" s="399" t="s">
        <v>1092</v>
      </c>
      <c r="N1491" s="399" t="s">
        <v>1087</v>
      </c>
    </row>
    <row r="1492" spans="1:14" x14ac:dyDescent="0.2">
      <c r="A1492" s="400" t="s">
        <v>1081</v>
      </c>
      <c r="B1492" s="400" t="s">
        <v>1081</v>
      </c>
      <c r="C1492" s="401" t="s">
        <v>1083</v>
      </c>
      <c r="D1492" s="404" t="str">
        <f>D1439</f>
        <v>03/31/2017</v>
      </c>
      <c r="E1492" s="400" t="s">
        <v>1085</v>
      </c>
      <c r="F1492" s="400" t="s">
        <v>1086</v>
      </c>
      <c r="G1492" s="404" t="str">
        <f>G1439</f>
        <v>04/30/2017</v>
      </c>
      <c r="H1492" s="398"/>
      <c r="I1492" s="404" t="str">
        <f>D1492</f>
        <v>03/31/2017</v>
      </c>
      <c r="J1492" s="400" t="s">
        <v>1091</v>
      </c>
      <c r="K1492" s="402" t="s">
        <v>1090</v>
      </c>
      <c r="L1492" s="402" t="s">
        <v>1086</v>
      </c>
      <c r="M1492" s="402" t="s">
        <v>955</v>
      </c>
      <c r="N1492" s="404" t="str">
        <f>G1492</f>
        <v>04/30/2017</v>
      </c>
    </row>
    <row r="1493" spans="1:14" x14ac:dyDescent="0.2">
      <c r="A1493" s="406"/>
      <c r="B1493" s="406"/>
      <c r="C1493" s="406"/>
      <c r="D1493" s="406" t="str">
        <f>"(1)"</f>
        <v>(1)</v>
      </c>
      <c r="E1493" s="406" t="str">
        <f>"(2)"</f>
        <v>(2)</v>
      </c>
      <c r="F1493" s="406" t="str">
        <f>"(3)"</f>
        <v>(3)</v>
      </c>
      <c r="G1493" s="406" t="str">
        <f>"(4)=(1+2+3)"</f>
        <v>(4)=(1+2+3)</v>
      </c>
      <c r="H1493" s="406"/>
      <c r="I1493" s="406" t="str">
        <f>"(5)"</f>
        <v>(5)</v>
      </c>
      <c r="J1493" s="406" t="str">
        <f>"(6)"</f>
        <v>(6)</v>
      </c>
      <c r="K1493" s="406" t="str">
        <f>"(7)=((1+4)/2*6/12))"</f>
        <v>(7)=((1+4)/2*6/12))</v>
      </c>
      <c r="L1493" s="406" t="str">
        <f>"(8)"</f>
        <v>(8)</v>
      </c>
      <c r="M1493" s="406" t="str">
        <f>"(9)"</f>
        <v>(9)</v>
      </c>
      <c r="N1493" s="406" t="str">
        <f>"(10)=(5+7-8+9)"</f>
        <v>(10)=(5+7-8+9)</v>
      </c>
    </row>
    <row r="1494" spans="1:14" x14ac:dyDescent="0.2">
      <c r="D1494" s="410" t="s">
        <v>639</v>
      </c>
      <c r="E1494" s="410" t="s">
        <v>639</v>
      </c>
      <c r="F1494" s="410" t="s">
        <v>639</v>
      </c>
      <c r="G1494" s="410" t="s">
        <v>639</v>
      </c>
      <c r="H1494" s="410"/>
      <c r="I1494" s="410" t="s">
        <v>639</v>
      </c>
      <c r="J1494" s="410" t="s">
        <v>639</v>
      </c>
      <c r="K1494" s="410" t="s">
        <v>639</v>
      </c>
      <c r="L1494" s="410" t="s">
        <v>639</v>
      </c>
      <c r="M1494" s="410" t="s">
        <v>639</v>
      </c>
      <c r="N1494" s="410" t="s">
        <v>639</v>
      </c>
    </row>
    <row r="1495" spans="1:14" x14ac:dyDescent="0.2">
      <c r="C1495" s="411" t="s">
        <v>707</v>
      </c>
      <c r="D1495" s="410"/>
      <c r="E1495" s="410"/>
      <c r="F1495" s="410"/>
      <c r="G1495" s="410"/>
      <c r="J1495" s="410"/>
    </row>
    <row r="1496" spans="1:14" x14ac:dyDescent="0.2">
      <c r="A1496" s="405">
        <v>1</v>
      </c>
      <c r="B1496" s="446">
        <v>381</v>
      </c>
      <c r="C1496" s="414" t="s">
        <v>1052</v>
      </c>
      <c r="D1496" s="415">
        <f t="shared" ref="D1496:D1507" si="453">G1390</f>
        <v>13771008.550000001</v>
      </c>
      <c r="E1496" s="417">
        <v>25900</v>
      </c>
      <c r="F1496" s="417">
        <v>-3100</v>
      </c>
      <c r="G1496" s="415">
        <f>SUM(D1496:F1496)</f>
        <v>13793808.550000001</v>
      </c>
      <c r="H1496" s="418"/>
      <c r="I1496" s="415">
        <f t="shared" ref="I1496:I1507" si="454">N1390</f>
        <v>5036843.8899999997</v>
      </c>
      <c r="J1496" s="442">
        <f t="shared" ref="J1496:J1507" si="455">J1390</f>
        <v>3.3000000000000002E-2</v>
      </c>
      <c r="K1496" s="418">
        <f t="shared" ref="K1496:K1507" si="456">ROUND((G1496+D1496)/2*J1496/12,0)</f>
        <v>37902</v>
      </c>
      <c r="L1496" s="418">
        <f t="shared" ref="L1496:L1507" si="457">-F1496</f>
        <v>3100</v>
      </c>
      <c r="M1496" s="417">
        <v>0</v>
      </c>
      <c r="N1496" s="408">
        <f t="shared" ref="N1496:N1507" si="458">I1496+K1496-L1496+M1496</f>
        <v>5071645.8899999997</v>
      </c>
    </row>
    <row r="1497" spans="1:14" x14ac:dyDescent="0.2">
      <c r="A1497" s="405">
        <f>A1496+1</f>
        <v>2</v>
      </c>
      <c r="B1497" s="446">
        <v>381.1</v>
      </c>
      <c r="C1497" s="414" t="s">
        <v>1052</v>
      </c>
      <c r="D1497" s="415">
        <f t="shared" si="453"/>
        <v>8808712.0600000005</v>
      </c>
      <c r="E1497" s="417">
        <v>5300</v>
      </c>
      <c r="F1497" s="417">
        <v>-600</v>
      </c>
      <c r="G1497" s="415">
        <f>SUM(D1497:F1497)</f>
        <v>8813412.0600000005</v>
      </c>
      <c r="H1497" s="418"/>
      <c r="I1497" s="415">
        <f t="shared" si="454"/>
        <v>725568.5</v>
      </c>
      <c r="J1497" s="442">
        <f t="shared" si="455"/>
        <v>8.0600000000000005E-2</v>
      </c>
      <c r="K1497" s="418">
        <f t="shared" si="456"/>
        <v>59181</v>
      </c>
      <c r="L1497" s="418">
        <f t="shared" si="457"/>
        <v>600</v>
      </c>
      <c r="M1497" s="417">
        <v>0</v>
      </c>
      <c r="N1497" s="408">
        <f t="shared" si="458"/>
        <v>784149.5</v>
      </c>
    </row>
    <row r="1498" spans="1:14" x14ac:dyDescent="0.2">
      <c r="A1498" s="405">
        <f t="shared" ref="A1498:A1508" si="459">A1497+1</f>
        <v>3</v>
      </c>
      <c r="B1498" s="446">
        <v>382</v>
      </c>
      <c r="C1498" s="414" t="s">
        <v>1053</v>
      </c>
      <c r="D1498" s="415">
        <f t="shared" si="453"/>
        <v>9336192.6500000004</v>
      </c>
      <c r="E1498" s="417">
        <v>29500</v>
      </c>
      <c r="F1498" s="417">
        <v>-3500</v>
      </c>
      <c r="G1498" s="415">
        <f t="shared" ref="G1498:G1503" si="460">SUM(D1498:F1498)</f>
        <v>9362192.6500000004</v>
      </c>
      <c r="H1498" s="418"/>
      <c r="I1498" s="415">
        <f t="shared" si="454"/>
        <v>4673982.3</v>
      </c>
      <c r="J1498" s="442">
        <f t="shared" si="455"/>
        <v>2.4400000000000002E-2</v>
      </c>
      <c r="K1498" s="418">
        <f t="shared" si="456"/>
        <v>19010</v>
      </c>
      <c r="L1498" s="418">
        <f t="shared" si="457"/>
        <v>3500</v>
      </c>
      <c r="M1498" s="417">
        <v>-200</v>
      </c>
      <c r="N1498" s="408">
        <f t="shared" si="458"/>
        <v>4689292.3</v>
      </c>
    </row>
    <row r="1499" spans="1:14" x14ac:dyDescent="0.2">
      <c r="A1499" s="405">
        <f t="shared" si="459"/>
        <v>4</v>
      </c>
      <c r="B1499" s="446">
        <v>383</v>
      </c>
      <c r="C1499" s="414" t="s">
        <v>1054</v>
      </c>
      <c r="D1499" s="415">
        <f t="shared" si="453"/>
        <v>5701820.7599999998</v>
      </c>
      <c r="E1499" s="417">
        <v>22900</v>
      </c>
      <c r="F1499" s="417">
        <v>-2700</v>
      </c>
      <c r="G1499" s="415">
        <f t="shared" si="460"/>
        <v>5722020.7599999998</v>
      </c>
      <c r="H1499" s="418"/>
      <c r="I1499" s="415">
        <f t="shared" si="454"/>
        <v>1538708.41</v>
      </c>
      <c r="J1499" s="442">
        <f t="shared" si="455"/>
        <v>2.7300000000000001E-2</v>
      </c>
      <c r="K1499" s="418">
        <f t="shared" si="456"/>
        <v>12995</v>
      </c>
      <c r="L1499" s="418">
        <f t="shared" si="457"/>
        <v>2700</v>
      </c>
      <c r="M1499" s="417">
        <v>-100</v>
      </c>
      <c r="N1499" s="408">
        <f t="shared" si="458"/>
        <v>1548903.41</v>
      </c>
    </row>
    <row r="1500" spans="1:14" x14ac:dyDescent="0.2">
      <c r="A1500" s="405">
        <f t="shared" si="459"/>
        <v>5</v>
      </c>
      <c r="B1500" s="446">
        <v>384</v>
      </c>
      <c r="C1500" s="414" t="s">
        <v>1055</v>
      </c>
      <c r="D1500" s="415">
        <f t="shared" si="453"/>
        <v>2257522</v>
      </c>
      <c r="E1500" s="417">
        <v>0</v>
      </c>
      <c r="F1500" s="417">
        <v>0</v>
      </c>
      <c r="G1500" s="415">
        <f t="shared" si="460"/>
        <v>2257522</v>
      </c>
      <c r="H1500" s="418"/>
      <c r="I1500" s="415">
        <f t="shared" si="454"/>
        <v>1775028.73</v>
      </c>
      <c r="J1500" s="442">
        <f t="shared" si="455"/>
        <v>1.01E-2</v>
      </c>
      <c r="K1500" s="418">
        <f t="shared" si="456"/>
        <v>1900</v>
      </c>
      <c r="L1500" s="418">
        <f t="shared" si="457"/>
        <v>0</v>
      </c>
      <c r="M1500" s="417">
        <v>0</v>
      </c>
      <c r="N1500" s="408">
        <f t="shared" si="458"/>
        <v>1776928.73</v>
      </c>
    </row>
    <row r="1501" spans="1:14" x14ac:dyDescent="0.2">
      <c r="A1501" s="405">
        <f t="shared" si="459"/>
        <v>6</v>
      </c>
      <c r="B1501" s="446">
        <v>385</v>
      </c>
      <c r="C1501" s="414" t="s">
        <v>1056</v>
      </c>
      <c r="D1501" s="415">
        <f t="shared" si="453"/>
        <v>3283183.36</v>
      </c>
      <c r="E1501" s="417">
        <v>18100</v>
      </c>
      <c r="F1501" s="417">
        <v>-2200</v>
      </c>
      <c r="G1501" s="415">
        <f t="shared" si="460"/>
        <v>3299083.36</v>
      </c>
      <c r="H1501" s="418"/>
      <c r="I1501" s="415">
        <f t="shared" si="454"/>
        <v>927206.55</v>
      </c>
      <c r="J1501" s="442">
        <f t="shared" si="455"/>
        <v>5.0799999999999998E-2</v>
      </c>
      <c r="K1501" s="418">
        <f t="shared" si="456"/>
        <v>13932</v>
      </c>
      <c r="L1501" s="418">
        <f t="shared" si="457"/>
        <v>2200</v>
      </c>
      <c r="M1501" s="417">
        <v>-100</v>
      </c>
      <c r="N1501" s="408">
        <f t="shared" si="458"/>
        <v>938838.55</v>
      </c>
    </row>
    <row r="1502" spans="1:14" x14ac:dyDescent="0.2">
      <c r="A1502" s="405">
        <f t="shared" si="459"/>
        <v>7</v>
      </c>
      <c r="B1502" s="446">
        <v>387.2</v>
      </c>
      <c r="C1502" s="414" t="s">
        <v>1057</v>
      </c>
      <c r="D1502" s="415">
        <f t="shared" si="453"/>
        <v>0</v>
      </c>
      <c r="E1502" s="417">
        <v>0</v>
      </c>
      <c r="F1502" s="417">
        <v>0</v>
      </c>
      <c r="G1502" s="415">
        <f t="shared" si="460"/>
        <v>0</v>
      </c>
      <c r="H1502" s="418"/>
      <c r="I1502" s="415">
        <f t="shared" si="454"/>
        <v>-59912.03</v>
      </c>
      <c r="J1502" s="442">
        <f t="shared" si="455"/>
        <v>0</v>
      </c>
      <c r="K1502" s="418">
        <f t="shared" si="456"/>
        <v>0</v>
      </c>
      <c r="L1502" s="418">
        <f t="shared" si="457"/>
        <v>0</v>
      </c>
      <c r="M1502" s="417">
        <v>0</v>
      </c>
      <c r="N1502" s="408">
        <f t="shared" si="458"/>
        <v>-59912.03</v>
      </c>
    </row>
    <row r="1503" spans="1:14" x14ac:dyDescent="0.2">
      <c r="A1503" s="405">
        <f t="shared" si="459"/>
        <v>8</v>
      </c>
      <c r="B1503" s="446">
        <v>387.41</v>
      </c>
      <c r="C1503" s="414" t="s">
        <v>1058</v>
      </c>
      <c r="D1503" s="415">
        <f t="shared" si="453"/>
        <v>735770.76</v>
      </c>
      <c r="E1503" s="417">
        <v>0</v>
      </c>
      <c r="F1503" s="417">
        <v>0</v>
      </c>
      <c r="G1503" s="415">
        <f t="shared" si="460"/>
        <v>735770.76</v>
      </c>
      <c r="H1503" s="418"/>
      <c r="I1503" s="415">
        <f t="shared" si="454"/>
        <v>392936.95</v>
      </c>
      <c r="J1503" s="442">
        <f t="shared" si="455"/>
        <v>3.7400000000000003E-2</v>
      </c>
      <c r="K1503" s="418">
        <f t="shared" si="456"/>
        <v>2293</v>
      </c>
      <c r="L1503" s="418">
        <f t="shared" si="457"/>
        <v>0</v>
      </c>
      <c r="M1503" s="417">
        <v>0</v>
      </c>
      <c r="N1503" s="408">
        <f t="shared" si="458"/>
        <v>395229.95</v>
      </c>
    </row>
    <row r="1504" spans="1:14" x14ac:dyDescent="0.2">
      <c r="A1504" s="405">
        <f t="shared" si="459"/>
        <v>9</v>
      </c>
      <c r="B1504" s="446">
        <v>387.42</v>
      </c>
      <c r="C1504" s="414" t="s">
        <v>1059</v>
      </c>
      <c r="D1504" s="415">
        <f t="shared" si="453"/>
        <v>795186.58</v>
      </c>
      <c r="E1504" s="417">
        <v>0</v>
      </c>
      <c r="F1504" s="417">
        <v>0</v>
      </c>
      <c r="G1504" s="415">
        <f>SUM(D1504:F1504)</f>
        <v>795186.58</v>
      </c>
      <c r="H1504" s="418"/>
      <c r="I1504" s="415">
        <f t="shared" si="454"/>
        <v>559979.94999999995</v>
      </c>
      <c r="J1504" s="442">
        <f t="shared" si="455"/>
        <v>3.7400000000000003E-2</v>
      </c>
      <c r="K1504" s="418">
        <f t="shared" si="456"/>
        <v>2478</v>
      </c>
      <c r="L1504" s="418">
        <f t="shared" si="457"/>
        <v>0</v>
      </c>
      <c r="M1504" s="417">
        <v>0</v>
      </c>
      <c r="N1504" s="408">
        <f t="shared" si="458"/>
        <v>562457.94999999995</v>
      </c>
    </row>
    <row r="1505" spans="1:14" x14ac:dyDescent="0.2">
      <c r="A1505" s="405">
        <f t="shared" si="459"/>
        <v>10</v>
      </c>
      <c r="B1505" s="446">
        <v>387.44</v>
      </c>
      <c r="C1505" s="414" t="s">
        <v>1060</v>
      </c>
      <c r="D1505" s="415">
        <f t="shared" si="453"/>
        <v>143283.93</v>
      </c>
      <c r="E1505" s="417">
        <v>0</v>
      </c>
      <c r="F1505" s="417">
        <v>0</v>
      </c>
      <c r="G1505" s="415">
        <f>SUM(D1505:F1505)</f>
        <v>143283.93</v>
      </c>
      <c r="H1505" s="418"/>
      <c r="I1505" s="415">
        <f t="shared" si="454"/>
        <v>48289.55</v>
      </c>
      <c r="J1505" s="442">
        <f t="shared" si="455"/>
        <v>3.7400000000000003E-2</v>
      </c>
      <c r="K1505" s="418">
        <f t="shared" si="456"/>
        <v>447</v>
      </c>
      <c r="L1505" s="418">
        <f t="shared" si="457"/>
        <v>0</v>
      </c>
      <c r="M1505" s="417">
        <v>0</v>
      </c>
      <c r="N1505" s="408">
        <f t="shared" si="458"/>
        <v>48736.55</v>
      </c>
    </row>
    <row r="1506" spans="1:14" x14ac:dyDescent="0.2">
      <c r="A1506" s="405">
        <f t="shared" si="459"/>
        <v>11</v>
      </c>
      <c r="B1506" s="446">
        <v>387.45</v>
      </c>
      <c r="C1506" s="414" t="s">
        <v>1061</v>
      </c>
      <c r="D1506" s="415">
        <f t="shared" si="453"/>
        <v>3303604.66</v>
      </c>
      <c r="E1506" s="417">
        <f>3300+80000</f>
        <v>83300</v>
      </c>
      <c r="F1506" s="417">
        <v>-10000</v>
      </c>
      <c r="G1506" s="415">
        <f>SUM(D1506:F1506)</f>
        <v>3376904.66</v>
      </c>
      <c r="H1506" s="418"/>
      <c r="I1506" s="415">
        <f t="shared" si="454"/>
        <v>558230.06000000006</v>
      </c>
      <c r="J1506" s="442">
        <f t="shared" si="455"/>
        <v>3.7400000000000003E-2</v>
      </c>
      <c r="K1506" s="418">
        <f t="shared" si="456"/>
        <v>10410</v>
      </c>
      <c r="L1506" s="418">
        <f t="shared" si="457"/>
        <v>10000</v>
      </c>
      <c r="M1506" s="417">
        <v>0</v>
      </c>
      <c r="N1506" s="408">
        <f t="shared" si="458"/>
        <v>558640.06000000006</v>
      </c>
    </row>
    <row r="1507" spans="1:14" x14ac:dyDescent="0.2">
      <c r="A1507" s="405">
        <f t="shared" si="459"/>
        <v>12</v>
      </c>
      <c r="B1507" s="446">
        <v>387.46</v>
      </c>
      <c r="C1507" s="414" t="s">
        <v>1062</v>
      </c>
      <c r="D1507" s="421">
        <f t="shared" si="453"/>
        <v>113644.47</v>
      </c>
      <c r="E1507" s="1662">
        <v>0</v>
      </c>
      <c r="F1507" s="1662">
        <v>0</v>
      </c>
      <c r="G1507" s="428">
        <f>SUM(D1507:F1507)</f>
        <v>113644.47</v>
      </c>
      <c r="H1507" s="447"/>
      <c r="I1507" s="421">
        <f t="shared" si="454"/>
        <v>113294.83</v>
      </c>
      <c r="J1507" s="442">
        <f t="shared" si="455"/>
        <v>3.7400000000000003E-2</v>
      </c>
      <c r="K1507" s="421">
        <f t="shared" si="456"/>
        <v>354</v>
      </c>
      <c r="L1507" s="421">
        <f t="shared" si="457"/>
        <v>0</v>
      </c>
      <c r="M1507" s="422">
        <v>0</v>
      </c>
      <c r="N1507" s="423">
        <f t="shared" si="458"/>
        <v>113648.83</v>
      </c>
    </row>
    <row r="1508" spans="1:14" x14ac:dyDescent="0.2">
      <c r="A1508" s="405">
        <f t="shared" si="459"/>
        <v>13</v>
      </c>
      <c r="B1508" s="448"/>
      <c r="C1508" s="386" t="s">
        <v>1063</v>
      </c>
      <c r="D1508" s="418">
        <f>SUM(D1496:D1507,D1456:D1477)</f>
        <v>412944792.37999994</v>
      </c>
      <c r="E1508" s="418">
        <f>SUM(E1496:E1507,E1456:E1477)</f>
        <v>1834166</v>
      </c>
      <c r="F1508" s="418">
        <f>SUM(F1496:F1507,F1456:F1477)</f>
        <v>-220000</v>
      </c>
      <c r="G1508" s="418">
        <f>SUM(G1496:G1507,G1456:G1477)</f>
        <v>414558958.37999994</v>
      </c>
      <c r="H1508" s="418"/>
      <c r="I1508" s="418">
        <f>SUM(I1496:I1507,I1456:I1477)</f>
        <v>144151619.4231579</v>
      </c>
      <c r="J1508" s="418"/>
      <c r="K1508" s="418">
        <f>SUM(K1496:K1507,K1456:K1477)</f>
        <v>1158136.0494736843</v>
      </c>
      <c r="L1508" s="418">
        <f>SUM(L1496:L1507,L1456:L1477)</f>
        <v>220000</v>
      </c>
      <c r="M1508" s="418">
        <f>SUM(M1496:M1507,M1456:M1477)</f>
        <v>-52600</v>
      </c>
      <c r="N1508" s="418">
        <f>SUM(N1496:N1507,N1456:N1477)</f>
        <v>145037155.47263157</v>
      </c>
    </row>
    <row r="1509" spans="1:14" x14ac:dyDescent="0.2">
      <c r="B1509" s="448"/>
      <c r="D1509" s="418"/>
      <c r="E1509" s="418"/>
      <c r="F1509" s="418"/>
      <c r="G1509" s="418"/>
      <c r="H1509" s="418"/>
      <c r="I1509" s="439"/>
      <c r="J1509" s="418"/>
      <c r="K1509" s="418"/>
      <c r="L1509" s="418"/>
      <c r="M1509" s="418"/>
    </row>
    <row r="1510" spans="1:14" x14ac:dyDescent="0.2">
      <c r="A1510" s="405">
        <f>A1508+1</f>
        <v>14</v>
      </c>
      <c r="B1510" s="448"/>
      <c r="C1510" s="411" t="s">
        <v>737</v>
      </c>
      <c r="D1510" s="418"/>
      <c r="E1510" s="418"/>
      <c r="F1510" s="418"/>
      <c r="G1510" s="418"/>
      <c r="H1510" s="418"/>
      <c r="I1510" s="439"/>
      <c r="J1510" s="418"/>
      <c r="K1510" s="418"/>
      <c r="L1510" s="418"/>
      <c r="M1510" s="418"/>
    </row>
    <row r="1511" spans="1:14" x14ac:dyDescent="0.2">
      <c r="A1511" s="410">
        <f>A1510+1</f>
        <v>15</v>
      </c>
      <c r="B1511" s="446">
        <v>391.1</v>
      </c>
      <c r="C1511" s="414" t="s">
        <v>1064</v>
      </c>
      <c r="D1511" s="415">
        <f t="shared" ref="D1511:D1524" si="461">G1405</f>
        <v>713480.71</v>
      </c>
      <c r="E1511" s="417">
        <v>0</v>
      </c>
      <c r="F1511" s="417">
        <v>0</v>
      </c>
      <c r="G1511" s="415">
        <f t="shared" ref="G1511:G1524" si="462">SUM(D1511:F1511)</f>
        <v>713480.71</v>
      </c>
      <c r="H1511" s="418"/>
      <c r="I1511" s="415">
        <f t="shared" ref="I1511:I1524" si="463">N1405</f>
        <v>-41657.22</v>
      </c>
      <c r="J1511" s="442">
        <f t="shared" ref="J1511:J1524" si="464">J1405</f>
        <v>0.05</v>
      </c>
      <c r="K1511" s="418">
        <f>ROUND((G1511+D1511)/2*J1511/12,0)</f>
        <v>2973</v>
      </c>
      <c r="L1511" s="418">
        <f t="shared" ref="L1511:L1524" si="465">-F1511</f>
        <v>0</v>
      </c>
      <c r="M1511" s="417">
        <v>0</v>
      </c>
      <c r="N1511" s="408">
        <f t="shared" ref="N1511:N1524" si="466">I1511+K1511-L1511+M1511</f>
        <v>-38684.22</v>
      </c>
    </row>
    <row r="1512" spans="1:14" x14ac:dyDescent="0.2">
      <c r="A1512" s="410">
        <f t="shared" ref="A1512:A1525" si="467">A1511+1</f>
        <v>16</v>
      </c>
      <c r="B1512" s="446">
        <v>391.11</v>
      </c>
      <c r="C1512" s="414" t="s">
        <v>1065</v>
      </c>
      <c r="D1512" s="415">
        <f t="shared" si="461"/>
        <v>18815.57</v>
      </c>
      <c r="E1512" s="417">
        <v>0</v>
      </c>
      <c r="F1512" s="417">
        <v>0</v>
      </c>
      <c r="G1512" s="415">
        <f t="shared" si="462"/>
        <v>18815.57</v>
      </c>
      <c r="H1512" s="418"/>
      <c r="I1512" s="415">
        <f t="shared" si="463"/>
        <v>-11669.77</v>
      </c>
      <c r="J1512" s="442">
        <f t="shared" si="464"/>
        <v>6.6699999999999995E-2</v>
      </c>
      <c r="K1512" s="418">
        <f>ROUND((G1512+D1512)/2*J1512/12,0)</f>
        <v>105</v>
      </c>
      <c r="L1512" s="418">
        <f t="shared" si="465"/>
        <v>0</v>
      </c>
      <c r="M1512" s="417">
        <v>0</v>
      </c>
      <c r="N1512" s="408">
        <f t="shared" si="466"/>
        <v>-11564.77</v>
      </c>
    </row>
    <row r="1513" spans="1:14" x14ac:dyDescent="0.2">
      <c r="A1513" s="410">
        <f t="shared" si="467"/>
        <v>17</v>
      </c>
      <c r="B1513" s="446">
        <v>391.12</v>
      </c>
      <c r="C1513" s="414" t="s">
        <v>1066</v>
      </c>
      <c r="D1513" s="415">
        <f t="shared" si="461"/>
        <v>853483.41</v>
      </c>
      <c r="E1513" s="417">
        <v>630000</v>
      </c>
      <c r="F1513" s="417">
        <v>-75600</v>
      </c>
      <c r="G1513" s="415">
        <f t="shared" si="462"/>
        <v>1407883.4100000001</v>
      </c>
      <c r="H1513" s="418"/>
      <c r="I1513" s="415">
        <f t="shared" si="463"/>
        <v>732260.37</v>
      </c>
      <c r="J1513" s="442">
        <f t="shared" si="464"/>
        <v>0.2</v>
      </c>
      <c r="K1513" s="418">
        <f>ROUND((G1513+D1513)/2*J1513/12,0)</f>
        <v>18845</v>
      </c>
      <c r="L1513" s="418">
        <f t="shared" si="465"/>
        <v>75600</v>
      </c>
      <c r="M1513" s="417">
        <v>0</v>
      </c>
      <c r="N1513" s="408">
        <f t="shared" si="466"/>
        <v>675505.37</v>
      </c>
    </row>
    <row r="1514" spans="1:14" x14ac:dyDescent="0.2">
      <c r="A1514" s="410">
        <f t="shared" si="467"/>
        <v>18</v>
      </c>
      <c r="B1514" s="446">
        <v>392.2</v>
      </c>
      <c r="C1514" s="414" t="s">
        <v>1067</v>
      </c>
      <c r="D1514" s="415">
        <f t="shared" si="461"/>
        <v>95778</v>
      </c>
      <c r="E1514" s="417">
        <v>0</v>
      </c>
      <c r="F1514" s="417">
        <v>0</v>
      </c>
      <c r="G1514" s="415">
        <f t="shared" si="462"/>
        <v>95778</v>
      </c>
      <c r="H1514" s="418"/>
      <c r="I1514" s="415">
        <f t="shared" si="463"/>
        <v>24845.05</v>
      </c>
      <c r="J1514" s="442">
        <f t="shared" si="464"/>
        <v>9.1499999999999998E-2</v>
      </c>
      <c r="K1514" s="418">
        <f>ROUND((G1514+D1514)/2*J1514/12,0)</f>
        <v>730</v>
      </c>
      <c r="L1514" s="418">
        <f t="shared" si="465"/>
        <v>0</v>
      </c>
      <c r="M1514" s="417">
        <v>0</v>
      </c>
      <c r="N1514" s="408">
        <f t="shared" si="466"/>
        <v>25575.05</v>
      </c>
    </row>
    <row r="1515" spans="1:14" x14ac:dyDescent="0.2">
      <c r="A1515" s="410">
        <f t="shared" si="467"/>
        <v>19</v>
      </c>
      <c r="B1515" s="446">
        <v>392.21</v>
      </c>
      <c r="C1515" s="414" t="s">
        <v>1068</v>
      </c>
      <c r="D1515" s="415">
        <f t="shared" si="461"/>
        <v>24462.2</v>
      </c>
      <c r="E1515" s="417">
        <v>0</v>
      </c>
      <c r="F1515" s="417">
        <v>0</v>
      </c>
      <c r="G1515" s="415">
        <f t="shared" si="462"/>
        <v>24462.2</v>
      </c>
      <c r="H1515" s="418"/>
      <c r="I1515" s="415">
        <f t="shared" si="463"/>
        <v>5748.4</v>
      </c>
      <c r="J1515" s="442">
        <f t="shared" si="464"/>
        <v>9.1499999999999998E-2</v>
      </c>
      <c r="K1515" s="418">
        <f t="shared" ref="K1515:K1524" si="468">ROUND((G1515+D1515)/2*J1515/12,0)</f>
        <v>187</v>
      </c>
      <c r="L1515" s="418">
        <f t="shared" si="465"/>
        <v>0</v>
      </c>
      <c r="M1515" s="417">
        <v>0</v>
      </c>
      <c r="N1515" s="408">
        <f t="shared" si="466"/>
        <v>5935.4</v>
      </c>
    </row>
    <row r="1516" spans="1:14" x14ac:dyDescent="0.2">
      <c r="A1516" s="410">
        <f t="shared" si="467"/>
        <v>20</v>
      </c>
      <c r="B1516" s="446">
        <v>393</v>
      </c>
      <c r="C1516" s="414" t="s">
        <v>1069</v>
      </c>
      <c r="D1516" s="415">
        <f t="shared" si="461"/>
        <v>0</v>
      </c>
      <c r="E1516" s="417">
        <v>0</v>
      </c>
      <c r="F1516" s="417">
        <v>0</v>
      </c>
      <c r="G1516" s="415">
        <f t="shared" si="462"/>
        <v>0</v>
      </c>
      <c r="H1516" s="418"/>
      <c r="I1516" s="415">
        <f t="shared" si="463"/>
        <v>0</v>
      </c>
      <c r="J1516" s="442" t="str">
        <f t="shared" si="464"/>
        <v>Amort.</v>
      </c>
      <c r="K1516" s="417">
        <v>0</v>
      </c>
      <c r="L1516" s="418">
        <f t="shared" si="465"/>
        <v>0</v>
      </c>
      <c r="M1516" s="417">
        <v>0</v>
      </c>
      <c r="N1516" s="408">
        <f t="shared" si="466"/>
        <v>0</v>
      </c>
    </row>
    <row r="1517" spans="1:14" x14ac:dyDescent="0.2">
      <c r="A1517" s="410">
        <f t="shared" si="467"/>
        <v>21</v>
      </c>
      <c r="B1517" s="446">
        <v>394.1</v>
      </c>
      <c r="C1517" s="414" t="s">
        <v>1070</v>
      </c>
      <c r="D1517" s="415">
        <f t="shared" si="461"/>
        <v>24240.799999999999</v>
      </c>
      <c r="E1517" s="417">
        <v>0</v>
      </c>
      <c r="F1517" s="417">
        <v>0</v>
      </c>
      <c r="G1517" s="415">
        <f t="shared" si="462"/>
        <v>24240.799999999999</v>
      </c>
      <c r="H1517" s="418"/>
      <c r="I1517" s="415">
        <f t="shared" si="463"/>
        <v>14851.82</v>
      </c>
      <c r="J1517" s="442">
        <f t="shared" si="464"/>
        <v>0.04</v>
      </c>
      <c r="K1517" s="418">
        <f t="shared" si="468"/>
        <v>81</v>
      </c>
      <c r="L1517" s="418">
        <f t="shared" si="465"/>
        <v>0</v>
      </c>
      <c r="M1517" s="417">
        <v>0</v>
      </c>
      <c r="N1517" s="408">
        <f t="shared" si="466"/>
        <v>14932.82</v>
      </c>
    </row>
    <row r="1518" spans="1:14" x14ac:dyDescent="0.2">
      <c r="A1518" s="410">
        <f t="shared" si="467"/>
        <v>22</v>
      </c>
      <c r="B1518" s="446">
        <v>394.11</v>
      </c>
      <c r="C1518" s="414" t="s">
        <v>1071</v>
      </c>
      <c r="D1518" s="415">
        <f t="shared" si="461"/>
        <v>0</v>
      </c>
      <c r="E1518" s="417">
        <v>0</v>
      </c>
      <c r="F1518" s="417">
        <v>0</v>
      </c>
      <c r="G1518" s="415">
        <f t="shared" si="462"/>
        <v>0</v>
      </c>
      <c r="H1518" s="418"/>
      <c r="I1518" s="415">
        <f t="shared" si="463"/>
        <v>0</v>
      </c>
      <c r="J1518" s="442">
        <f t="shared" si="464"/>
        <v>0</v>
      </c>
      <c r="K1518" s="417">
        <v>0</v>
      </c>
      <c r="L1518" s="418">
        <f t="shared" si="465"/>
        <v>0</v>
      </c>
      <c r="M1518" s="417">
        <v>0</v>
      </c>
      <c r="N1518" s="408">
        <f t="shared" si="466"/>
        <v>0</v>
      </c>
    </row>
    <row r="1519" spans="1:14" x14ac:dyDescent="0.2">
      <c r="A1519" s="410">
        <f t="shared" si="467"/>
        <v>23</v>
      </c>
      <c r="B1519" s="446">
        <v>394.13</v>
      </c>
      <c r="C1519" s="438" t="s">
        <v>1072</v>
      </c>
      <c r="D1519" s="415">
        <f t="shared" si="461"/>
        <v>0</v>
      </c>
      <c r="E1519" s="417">
        <v>0</v>
      </c>
      <c r="F1519" s="417">
        <v>0</v>
      </c>
      <c r="G1519" s="415">
        <f t="shared" si="462"/>
        <v>0</v>
      </c>
      <c r="H1519" s="418"/>
      <c r="I1519" s="415">
        <f t="shared" si="463"/>
        <v>37937.360000000001</v>
      </c>
      <c r="J1519" s="442" t="str">
        <f t="shared" si="464"/>
        <v>Amort.</v>
      </c>
      <c r="K1519" s="417">
        <v>0</v>
      </c>
      <c r="L1519" s="418">
        <f t="shared" si="465"/>
        <v>0</v>
      </c>
      <c r="M1519" s="417">
        <v>0</v>
      </c>
      <c r="N1519" s="408">
        <f t="shared" si="466"/>
        <v>37937.360000000001</v>
      </c>
    </row>
    <row r="1520" spans="1:14" x14ac:dyDescent="0.2">
      <c r="A1520" s="410">
        <f t="shared" si="467"/>
        <v>24</v>
      </c>
      <c r="B1520" s="446">
        <v>394.2</v>
      </c>
      <c r="C1520" s="414" t="s">
        <v>1073</v>
      </c>
      <c r="D1520" s="415">
        <f t="shared" si="461"/>
        <v>0</v>
      </c>
      <c r="E1520" s="417">
        <v>0</v>
      </c>
      <c r="F1520" s="417">
        <v>0</v>
      </c>
      <c r="G1520" s="415">
        <f t="shared" si="462"/>
        <v>0</v>
      </c>
      <c r="H1520" s="418"/>
      <c r="I1520" s="415">
        <f t="shared" si="463"/>
        <v>185.21</v>
      </c>
      <c r="J1520" s="442">
        <f t="shared" si="464"/>
        <v>0.04</v>
      </c>
      <c r="K1520" s="418">
        <f t="shared" si="468"/>
        <v>0</v>
      </c>
      <c r="L1520" s="418">
        <f t="shared" si="465"/>
        <v>0</v>
      </c>
      <c r="M1520" s="417">
        <v>0</v>
      </c>
      <c r="N1520" s="408">
        <f t="shared" si="466"/>
        <v>185.21</v>
      </c>
    </row>
    <row r="1521" spans="1:15" x14ac:dyDescent="0.2">
      <c r="A1521" s="410">
        <f t="shared" si="467"/>
        <v>25</v>
      </c>
      <c r="B1521" s="446">
        <v>394.3</v>
      </c>
      <c r="C1521" s="414" t="s">
        <v>1074</v>
      </c>
      <c r="D1521" s="415">
        <f t="shared" si="461"/>
        <v>3087321.16</v>
      </c>
      <c r="E1521" s="417">
        <v>1600</v>
      </c>
      <c r="F1521" s="417">
        <v>-200</v>
      </c>
      <c r="G1521" s="415">
        <f t="shared" si="462"/>
        <v>3088721.16</v>
      </c>
      <c r="H1521" s="418"/>
      <c r="I1521" s="415">
        <f t="shared" si="463"/>
        <v>1319506.1499999999</v>
      </c>
      <c r="J1521" s="442">
        <f t="shared" si="464"/>
        <v>0.04</v>
      </c>
      <c r="K1521" s="418">
        <f t="shared" si="468"/>
        <v>10293</v>
      </c>
      <c r="L1521" s="418">
        <f t="shared" si="465"/>
        <v>200</v>
      </c>
      <c r="M1521" s="417">
        <v>0</v>
      </c>
      <c r="N1521" s="408">
        <f t="shared" si="466"/>
        <v>1329599.1499999999</v>
      </c>
    </row>
    <row r="1522" spans="1:15" x14ac:dyDescent="0.2">
      <c r="A1522" s="410">
        <f t="shared" si="467"/>
        <v>26</v>
      </c>
      <c r="B1522" s="446">
        <v>395</v>
      </c>
      <c r="C1522" s="414" t="s">
        <v>1075</v>
      </c>
      <c r="D1522" s="415">
        <f t="shared" si="461"/>
        <v>9257.77</v>
      </c>
      <c r="E1522" s="417">
        <v>0</v>
      </c>
      <c r="F1522" s="417">
        <v>0</v>
      </c>
      <c r="G1522" s="415">
        <f t="shared" si="462"/>
        <v>9257.77</v>
      </c>
      <c r="H1522" s="418"/>
      <c r="I1522" s="415">
        <f t="shared" si="463"/>
        <v>7646.59</v>
      </c>
      <c r="J1522" s="442">
        <f t="shared" si="464"/>
        <v>0.05</v>
      </c>
      <c r="K1522" s="418">
        <f t="shared" si="468"/>
        <v>39</v>
      </c>
      <c r="L1522" s="418">
        <f t="shared" si="465"/>
        <v>0</v>
      </c>
      <c r="M1522" s="417">
        <v>0</v>
      </c>
      <c r="N1522" s="408">
        <f t="shared" si="466"/>
        <v>7685.59</v>
      </c>
    </row>
    <row r="1523" spans="1:15" x14ac:dyDescent="0.2">
      <c r="A1523" s="410">
        <f t="shared" si="467"/>
        <v>27</v>
      </c>
      <c r="B1523" s="446">
        <v>396</v>
      </c>
      <c r="C1523" s="414" t="s">
        <v>1076</v>
      </c>
      <c r="D1523" s="415">
        <f t="shared" si="461"/>
        <v>253134.72</v>
      </c>
      <c r="E1523" s="417">
        <v>0</v>
      </c>
      <c r="F1523" s="417">
        <v>0</v>
      </c>
      <c r="G1523" s="415">
        <f t="shared" si="462"/>
        <v>253134.72</v>
      </c>
      <c r="H1523" s="418"/>
      <c r="I1523" s="415">
        <f t="shared" si="463"/>
        <v>200959.72</v>
      </c>
      <c r="J1523" s="442">
        <f t="shared" si="464"/>
        <v>2.5899999999999999E-2</v>
      </c>
      <c r="K1523" s="418">
        <f t="shared" si="468"/>
        <v>546</v>
      </c>
      <c r="L1523" s="418">
        <f t="shared" si="465"/>
        <v>0</v>
      </c>
      <c r="M1523" s="417">
        <v>0</v>
      </c>
      <c r="N1523" s="408">
        <f t="shared" si="466"/>
        <v>201505.72</v>
      </c>
    </row>
    <row r="1524" spans="1:15" x14ac:dyDescent="0.2">
      <c r="A1524" s="410">
        <f t="shared" si="467"/>
        <v>28</v>
      </c>
      <c r="B1524" s="446">
        <v>398</v>
      </c>
      <c r="C1524" s="414" t="s">
        <v>1077</v>
      </c>
      <c r="D1524" s="421">
        <f t="shared" si="461"/>
        <v>271161.94</v>
      </c>
      <c r="E1524" s="1662">
        <v>4600</v>
      </c>
      <c r="F1524" s="1662">
        <v>-600</v>
      </c>
      <c r="G1524" s="421">
        <f t="shared" si="462"/>
        <v>275161.94</v>
      </c>
      <c r="H1524" s="447"/>
      <c r="I1524" s="421">
        <f t="shared" si="463"/>
        <v>7310.59</v>
      </c>
      <c r="J1524" s="442">
        <f t="shared" si="464"/>
        <v>6.6699999999999995E-2</v>
      </c>
      <c r="K1524" s="421">
        <f t="shared" si="468"/>
        <v>1518</v>
      </c>
      <c r="L1524" s="421">
        <f t="shared" si="465"/>
        <v>600</v>
      </c>
      <c r="M1524" s="430">
        <v>0</v>
      </c>
      <c r="N1524" s="423">
        <f t="shared" si="466"/>
        <v>8228.59</v>
      </c>
    </row>
    <row r="1525" spans="1:15" x14ac:dyDescent="0.2">
      <c r="A1525" s="410">
        <f t="shared" si="467"/>
        <v>29</v>
      </c>
      <c r="C1525" s="386" t="s">
        <v>1078</v>
      </c>
      <c r="D1525" s="447">
        <f>SUM(D1511:D1524)</f>
        <v>5351136.2799999993</v>
      </c>
      <c r="E1525" s="447">
        <f>SUM(E1511:E1524)</f>
        <v>636200</v>
      </c>
      <c r="F1525" s="447">
        <f>SUM(F1511:F1524)</f>
        <v>-76400</v>
      </c>
      <c r="G1525" s="447">
        <f>SUM(G1511:G1524)</f>
        <v>5910936.2799999993</v>
      </c>
      <c r="H1525" s="447"/>
      <c r="I1525" s="447">
        <f>SUM(I1511:I1524)</f>
        <v>2297924.27</v>
      </c>
      <c r="J1525" s="424"/>
      <c r="K1525" s="447">
        <f>SUM(K1511:K1524)</f>
        <v>35317</v>
      </c>
      <c r="L1525" s="447">
        <f>SUM(L1511:L1524)</f>
        <v>76400</v>
      </c>
      <c r="M1525" s="447">
        <f>SUM(M1511:M1524)</f>
        <v>0</v>
      </c>
      <c r="N1525" s="447">
        <f>SUM(N1511:N1524)</f>
        <v>2256841.27</v>
      </c>
    </row>
    <row r="1526" spans="1:15" x14ac:dyDescent="0.2">
      <c r="D1526" s="418"/>
      <c r="E1526" s="418"/>
      <c r="F1526" s="418"/>
      <c r="G1526" s="418"/>
      <c r="H1526" s="418"/>
      <c r="I1526" s="418"/>
      <c r="J1526" s="432"/>
      <c r="K1526" s="418"/>
      <c r="L1526" s="418"/>
      <c r="M1526" s="418"/>
    </row>
    <row r="1527" spans="1:15" x14ac:dyDescent="0.2">
      <c r="A1527" s="405">
        <f>A1525+1</f>
        <v>30</v>
      </c>
      <c r="B1527" s="448"/>
      <c r="C1527" s="411" t="s">
        <v>2287</v>
      </c>
      <c r="D1527" s="418"/>
      <c r="E1527" s="418"/>
      <c r="F1527" s="418"/>
      <c r="G1527" s="418"/>
      <c r="H1527" s="418"/>
      <c r="I1527" s="439"/>
      <c r="J1527" s="418"/>
      <c r="K1527" s="418"/>
      <c r="L1527" s="418"/>
      <c r="M1527" s="418"/>
    </row>
    <row r="1528" spans="1:15" x14ac:dyDescent="0.2">
      <c r="A1528" s="1722">
        <f>A1527+1</f>
        <v>31</v>
      </c>
      <c r="B1528" s="446">
        <v>378.21</v>
      </c>
      <c r="C1528" s="1725" t="s">
        <v>2244</v>
      </c>
      <c r="D1528" s="415">
        <f>G1422</f>
        <v>-777092</v>
      </c>
      <c r="E1528" s="417">
        <v>0</v>
      </c>
      <c r="F1528" s="417">
        <v>0</v>
      </c>
      <c r="G1528" s="415">
        <f t="shared" ref="G1528" si="469">SUM(D1528:F1528)</f>
        <v>-777092</v>
      </c>
      <c r="H1528" s="418"/>
      <c r="I1528" s="415">
        <f>N1422</f>
        <v>-48870.779999999955</v>
      </c>
      <c r="J1528" s="419" t="s">
        <v>1094</v>
      </c>
      <c r="K1528" s="417">
        <v>-2158.5833333333321</v>
      </c>
      <c r="L1528" s="418">
        <f t="shared" ref="L1528" si="470">-F1528</f>
        <v>0</v>
      </c>
      <c r="M1528" s="417">
        <v>0</v>
      </c>
      <c r="N1528" s="408">
        <f t="shared" ref="N1528" si="471">I1528+K1528-L1528+M1528</f>
        <v>-51029.363333333284</v>
      </c>
      <c r="O1528" s="408"/>
    </row>
    <row r="1529" spans="1:15" x14ac:dyDescent="0.2">
      <c r="A1529" s="1722"/>
      <c r="B1529" s="446"/>
      <c r="C1529" s="438"/>
      <c r="D1529" s="415"/>
      <c r="E1529" s="417"/>
      <c r="F1529" s="417"/>
      <c r="G1529" s="415"/>
      <c r="H1529" s="418"/>
      <c r="I1529" s="419"/>
      <c r="J1529" s="419"/>
      <c r="K1529" s="417"/>
      <c r="L1529" s="418"/>
      <c r="M1529" s="417"/>
      <c r="N1529" s="408"/>
      <c r="O1529" s="408"/>
    </row>
    <row r="1530" spans="1:15" x14ac:dyDescent="0.2">
      <c r="A1530" s="410">
        <f>A1528+1</f>
        <v>32</v>
      </c>
      <c r="C1530" s="386" t="s">
        <v>774</v>
      </c>
      <c r="D1530" s="450">
        <f>D1525+D1508+D1453+D1449+D1528</f>
        <v>424424391.36999989</v>
      </c>
      <c r="E1530" s="450">
        <f>E1525+E1508+E1453+E1449+E1528</f>
        <v>2658266</v>
      </c>
      <c r="F1530" s="450">
        <f>F1525+F1508+F1453+F1449+F1528</f>
        <v>-296400</v>
      </c>
      <c r="G1530" s="450">
        <f>G1525+G1508+G1453+G1449+G1528</f>
        <v>426786257.36999989</v>
      </c>
      <c r="H1530" s="418"/>
      <c r="I1530" s="450">
        <f>I1525+I1508+I1453+I1449+I1528</f>
        <v>149593606.7882207</v>
      </c>
      <c r="J1530" s="451"/>
      <c r="K1530" s="450">
        <f>K1525+K1508+K1453+K1449+K1528</f>
        <v>1274942.0631964644</v>
      </c>
      <c r="L1530" s="450">
        <f>L1525+L1508+L1453+L1449+L1528</f>
        <v>296400</v>
      </c>
      <c r="M1530" s="450">
        <f>M1525+M1508+M1453+M1449+M1528</f>
        <v>-52600</v>
      </c>
      <c r="N1530" s="450">
        <f>N1525+N1508+N1453+N1449+N1528</f>
        <v>150519548.85141715</v>
      </c>
    </row>
    <row r="1532" spans="1:15" x14ac:dyDescent="0.2">
      <c r="A1532" s="2073" t="str">
        <f>co</f>
        <v>COLUMBIA GAS OF KENTUCKY, INC.</v>
      </c>
      <c r="B1532" s="2073"/>
      <c r="C1532" s="2073"/>
      <c r="D1532" s="2073"/>
      <c r="E1532" s="2073"/>
      <c r="F1532" s="2073"/>
      <c r="G1532" s="2073"/>
      <c r="H1532" s="2073"/>
      <c r="I1532" s="2073"/>
      <c r="J1532" s="2073"/>
      <c r="K1532" s="2073"/>
      <c r="L1532" s="2073"/>
      <c r="M1532" s="2073"/>
      <c r="N1532" s="2073"/>
    </row>
    <row r="1533" spans="1:15" x14ac:dyDescent="0.2">
      <c r="A1533" s="2073" t="str">
        <f>case</f>
        <v>CASE NO. 2016 - 00162</v>
      </c>
      <c r="B1533" s="2073"/>
      <c r="C1533" s="2073"/>
      <c r="D1533" s="2073"/>
      <c r="E1533" s="2073"/>
      <c r="F1533" s="2073"/>
      <c r="G1533" s="2073"/>
      <c r="H1533" s="2073"/>
      <c r="I1533" s="2073"/>
      <c r="J1533" s="2073"/>
      <c r="K1533" s="2073"/>
      <c r="L1533" s="2073"/>
      <c r="M1533" s="2073"/>
      <c r="N1533" s="2073"/>
    </row>
    <row r="1534" spans="1:15" x14ac:dyDescent="0.2">
      <c r="A1534" s="2074" t="s">
        <v>1106</v>
      </c>
      <c r="B1534" s="2073"/>
      <c r="C1534" s="2073"/>
      <c r="D1534" s="2073"/>
      <c r="E1534" s="2073"/>
      <c r="F1534" s="2073"/>
      <c r="G1534" s="2073"/>
      <c r="H1534" s="2073"/>
      <c r="I1534" s="2073"/>
      <c r="J1534" s="2073"/>
      <c r="K1534" s="2073"/>
      <c r="L1534" s="2073"/>
      <c r="M1534" s="2073"/>
      <c r="N1534" s="2073"/>
    </row>
    <row r="1535" spans="1:15" x14ac:dyDescent="0.2">
      <c r="A1535" s="2078" t="s">
        <v>2142</v>
      </c>
      <c r="B1535" s="2078"/>
      <c r="C1535" s="2078"/>
      <c r="D1535" s="2078"/>
      <c r="E1535" s="2078"/>
      <c r="F1535" s="2078"/>
      <c r="G1535" s="2078"/>
      <c r="H1535" s="2078"/>
      <c r="I1535" s="2078"/>
      <c r="J1535" s="2078"/>
      <c r="K1535" s="2078"/>
      <c r="L1535" s="2078"/>
      <c r="M1535" s="2078"/>
      <c r="N1535" s="2078"/>
    </row>
    <row r="1537" spans="1:14" x14ac:dyDescent="0.2">
      <c r="A1537" s="385" t="s">
        <v>1095</v>
      </c>
      <c r="I1537" s="386"/>
      <c r="N1537" s="387" t="s">
        <v>763</v>
      </c>
    </row>
    <row r="1538" spans="1:14" x14ac:dyDescent="0.2">
      <c r="A1538" s="388" t="s">
        <v>977</v>
      </c>
      <c r="I1538" s="386"/>
      <c r="N1538" s="387" t="s">
        <v>998</v>
      </c>
    </row>
    <row r="1539" spans="1:14" x14ac:dyDescent="0.2">
      <c r="A1539" s="390" t="s">
        <v>997</v>
      </c>
      <c r="B1539" s="391"/>
      <c r="C1539" s="391"/>
      <c r="D1539" s="391"/>
      <c r="E1539" s="391"/>
      <c r="F1539" s="391"/>
      <c r="G1539" s="391"/>
      <c r="H1539" s="391"/>
      <c r="I1539" s="392"/>
      <c r="L1539" s="386"/>
      <c r="M1539" s="386"/>
      <c r="N1539" s="393" t="str">
        <f>SMK</f>
        <v>WITNESS:  S. M. KATKO</v>
      </c>
    </row>
    <row r="1540" spans="1:14" x14ac:dyDescent="0.2">
      <c r="A1540" s="390"/>
      <c r="B1540" s="391"/>
      <c r="C1540" s="391"/>
      <c r="D1540" s="391"/>
      <c r="E1540" s="391"/>
      <c r="F1540" s="391"/>
      <c r="G1540" s="391"/>
      <c r="H1540" s="391"/>
      <c r="I1540" s="392"/>
      <c r="J1540" s="393"/>
      <c r="L1540" s="386"/>
      <c r="M1540" s="386"/>
    </row>
    <row r="1541" spans="1:14" x14ac:dyDescent="0.2">
      <c r="A1541" s="390"/>
      <c r="B1541" s="391"/>
      <c r="C1541" s="391"/>
      <c r="D1541" s="2075" t="s">
        <v>1088</v>
      </c>
      <c r="E1541" s="2075"/>
      <c r="F1541" s="2075"/>
      <c r="G1541" s="2075"/>
      <c r="H1541" s="391"/>
      <c r="I1541" s="2076" t="s">
        <v>1093</v>
      </c>
      <c r="J1541" s="2077"/>
      <c r="K1541" s="2077"/>
      <c r="L1541" s="2077"/>
      <c r="M1541" s="2077"/>
      <c r="N1541" s="2077"/>
    </row>
    <row r="1542" spans="1:14" x14ac:dyDescent="0.2">
      <c r="A1542" s="394"/>
      <c r="B1542" s="391"/>
      <c r="C1542" s="391"/>
      <c r="D1542" s="396" t="s">
        <v>1084</v>
      </c>
      <c r="E1542" s="391"/>
      <c r="F1542" s="391"/>
      <c r="G1542" s="395"/>
      <c r="H1542" s="395"/>
      <c r="I1542" s="397" t="s">
        <v>1089</v>
      </c>
      <c r="J1542" s="396"/>
      <c r="M1542" s="386"/>
    </row>
    <row r="1543" spans="1:14" x14ac:dyDescent="0.2">
      <c r="A1543" s="383"/>
      <c r="D1543" s="397" t="s">
        <v>865</v>
      </c>
      <c r="G1543" s="397" t="s">
        <v>867</v>
      </c>
      <c r="H1543" s="398"/>
      <c r="I1543" s="397" t="s">
        <v>865</v>
      </c>
      <c r="J1543" s="397" t="s">
        <v>956</v>
      </c>
      <c r="M1543" s="386"/>
      <c r="N1543" s="397" t="s">
        <v>867</v>
      </c>
    </row>
    <row r="1544" spans="1:14" x14ac:dyDescent="0.2">
      <c r="A1544" s="397" t="s">
        <v>1080</v>
      </c>
      <c r="B1544" s="397" t="s">
        <v>1082</v>
      </c>
      <c r="D1544" s="397" t="s">
        <v>867</v>
      </c>
      <c r="G1544" s="399" t="s">
        <v>1087</v>
      </c>
      <c r="H1544" s="398"/>
      <c r="I1544" s="399" t="s">
        <v>867</v>
      </c>
      <c r="J1544" s="397" t="s">
        <v>1090</v>
      </c>
      <c r="K1544" s="397" t="s">
        <v>956</v>
      </c>
      <c r="M1544" s="399" t="s">
        <v>1092</v>
      </c>
      <c r="N1544" s="399" t="s">
        <v>1087</v>
      </c>
    </row>
    <row r="1545" spans="1:14" x14ac:dyDescent="0.2">
      <c r="A1545" s="400" t="s">
        <v>1081</v>
      </c>
      <c r="B1545" s="400" t="s">
        <v>1081</v>
      </c>
      <c r="C1545" s="401" t="s">
        <v>1083</v>
      </c>
      <c r="D1545" s="409" t="str">
        <f>"04/30/2017"</f>
        <v>04/30/2017</v>
      </c>
      <c r="E1545" s="400" t="s">
        <v>1085</v>
      </c>
      <c r="F1545" s="400" t="s">
        <v>1086</v>
      </c>
      <c r="G1545" s="409" t="str">
        <f>"05/31/2017"</f>
        <v>05/31/2017</v>
      </c>
      <c r="H1545" s="398"/>
      <c r="I1545" s="404" t="str">
        <f>D1545</f>
        <v>04/30/2017</v>
      </c>
      <c r="J1545" s="400" t="s">
        <v>1091</v>
      </c>
      <c r="K1545" s="402" t="s">
        <v>1090</v>
      </c>
      <c r="L1545" s="402" t="s">
        <v>1086</v>
      </c>
      <c r="M1545" s="402" t="s">
        <v>955</v>
      </c>
      <c r="N1545" s="404" t="str">
        <f>G1545</f>
        <v>05/31/2017</v>
      </c>
    </row>
    <row r="1546" spans="1:14" x14ac:dyDescent="0.2">
      <c r="A1546" s="406"/>
      <c r="B1546" s="406"/>
      <c r="C1546" s="406"/>
      <c r="D1546" s="406" t="str">
        <f>"(1)"</f>
        <v>(1)</v>
      </c>
      <c r="E1546" s="406" t="str">
        <f>"(2)"</f>
        <v>(2)</v>
      </c>
      <c r="F1546" s="406" t="str">
        <f>"(3)"</f>
        <v>(3)</v>
      </c>
      <c r="G1546" s="406" t="str">
        <f>"(4)=(1+2+3)"</f>
        <v>(4)=(1+2+3)</v>
      </c>
      <c r="H1546" s="406"/>
      <c r="I1546" s="406" t="str">
        <f>"(5)"</f>
        <v>(5)</v>
      </c>
      <c r="J1546" s="406" t="str">
        <f>"(6)"</f>
        <v>(6)</v>
      </c>
      <c r="K1546" s="406" t="str">
        <f>"(7)=((1+4)/2*6/12))"</f>
        <v>(7)=((1+4)/2*6/12))</v>
      </c>
      <c r="L1546" s="406" t="str">
        <f>"(8)"</f>
        <v>(8)</v>
      </c>
      <c r="M1546" s="406" t="str">
        <f>"(9)"</f>
        <v>(9)</v>
      </c>
      <c r="N1546" s="406" t="str">
        <f>"(10)=(5+7-8+9)"</f>
        <v>(10)=(5+7-8+9)</v>
      </c>
    </row>
    <row r="1547" spans="1:14" x14ac:dyDescent="0.2">
      <c r="D1547" s="410" t="s">
        <v>639</v>
      </c>
      <c r="E1547" s="410" t="s">
        <v>639</v>
      </c>
      <c r="F1547" s="410" t="s">
        <v>639</v>
      </c>
      <c r="G1547" s="410" t="s">
        <v>639</v>
      </c>
      <c r="H1547" s="410"/>
      <c r="I1547" s="410" t="s">
        <v>639</v>
      </c>
      <c r="J1547" s="410" t="s">
        <v>639</v>
      </c>
      <c r="K1547" s="410" t="s">
        <v>639</v>
      </c>
      <c r="L1547" s="410" t="s">
        <v>639</v>
      </c>
      <c r="M1547" s="410" t="s">
        <v>639</v>
      </c>
      <c r="N1547" s="410" t="s">
        <v>639</v>
      </c>
    </row>
    <row r="1548" spans="1:14" x14ac:dyDescent="0.2">
      <c r="A1548" s="410">
        <v>1</v>
      </c>
      <c r="B1548" s="411" t="s">
        <v>1025</v>
      </c>
      <c r="C1548" s="412"/>
      <c r="M1548" s="386"/>
    </row>
    <row r="1549" spans="1:14" x14ac:dyDescent="0.2">
      <c r="A1549" s="410">
        <f>A1548+1</f>
        <v>2</v>
      </c>
      <c r="C1549" s="411" t="s">
        <v>697</v>
      </c>
      <c r="M1549" s="386"/>
    </row>
    <row r="1550" spans="1:14" x14ac:dyDescent="0.2">
      <c r="A1550" s="410">
        <f t="shared" ref="A1550:A1555" si="472">A1549+1</f>
        <v>3</v>
      </c>
      <c r="B1550" s="413">
        <v>301</v>
      </c>
      <c r="C1550" s="414" t="s">
        <v>1026</v>
      </c>
      <c r="D1550" s="415">
        <f>G1444</f>
        <v>521.20000000000005</v>
      </c>
      <c r="E1550" s="417">
        <v>0</v>
      </c>
      <c r="F1550" s="417">
        <v>0</v>
      </c>
      <c r="G1550" s="415">
        <f>SUM(D1550:F1550)</f>
        <v>521.20000000000005</v>
      </c>
      <c r="H1550" s="418"/>
      <c r="I1550" s="415">
        <f>N1444</f>
        <v>0</v>
      </c>
      <c r="J1550" s="419" t="s">
        <v>1094</v>
      </c>
      <c r="K1550" s="417">
        <v>0</v>
      </c>
      <c r="L1550" s="418">
        <f>-F1550</f>
        <v>0</v>
      </c>
      <c r="M1550" s="417">
        <v>0</v>
      </c>
      <c r="N1550" s="408">
        <f>I1550+K1550-L1550+M1550</f>
        <v>0</v>
      </c>
    </row>
    <row r="1551" spans="1:14" x14ac:dyDescent="0.2">
      <c r="A1551" s="410">
        <f t="shared" si="472"/>
        <v>4</v>
      </c>
      <c r="B1551" s="413">
        <v>303</v>
      </c>
      <c r="C1551" s="414" t="s">
        <v>1027</v>
      </c>
      <c r="D1551" s="415">
        <f>G1445</f>
        <v>74347.509999999995</v>
      </c>
      <c r="E1551" s="417">
        <v>0</v>
      </c>
      <c r="F1551" s="417">
        <v>0</v>
      </c>
      <c r="G1551" s="415">
        <f>SUM(D1551:F1551)</f>
        <v>74347.509999999995</v>
      </c>
      <c r="H1551" s="418"/>
      <c r="I1551" s="415">
        <f>N1445</f>
        <v>48690.709999999955</v>
      </c>
      <c r="J1551" s="419" t="s">
        <v>1094</v>
      </c>
      <c r="K1551" s="415">
        <f>'Intangible Amort.'!K$110</f>
        <v>206.52</v>
      </c>
      <c r="L1551" s="418">
        <f>-F1551</f>
        <v>0</v>
      </c>
      <c r="M1551" s="417">
        <v>0</v>
      </c>
      <c r="N1551" s="408">
        <f>I1551+K1551-L1551+M1551</f>
        <v>48897.229999999952</v>
      </c>
    </row>
    <row r="1552" spans="1:14" x14ac:dyDescent="0.2">
      <c r="A1552" s="410">
        <f t="shared" si="472"/>
        <v>5</v>
      </c>
      <c r="B1552" s="413">
        <v>303.10000000000002</v>
      </c>
      <c r="C1552" s="414" t="s">
        <v>1028</v>
      </c>
      <c r="D1552" s="415">
        <f>G1446</f>
        <v>0</v>
      </c>
      <c r="E1552" s="417">
        <v>0</v>
      </c>
      <c r="F1552" s="417">
        <v>0</v>
      </c>
      <c r="G1552" s="415">
        <f>SUM(D1552:F1552)</f>
        <v>0</v>
      </c>
      <c r="H1552" s="418"/>
      <c r="I1552" s="415">
        <f>N1446</f>
        <v>0</v>
      </c>
      <c r="J1552" s="419" t="s">
        <v>1094</v>
      </c>
      <c r="K1552" s="417">
        <v>0</v>
      </c>
      <c r="L1552" s="418">
        <f>-F1552</f>
        <v>0</v>
      </c>
      <c r="M1552" s="417">
        <v>0</v>
      </c>
      <c r="N1552" s="408">
        <f>I1552+K1552-L1552+M1552</f>
        <v>0</v>
      </c>
    </row>
    <row r="1553" spans="1:14" x14ac:dyDescent="0.2">
      <c r="A1553" s="410">
        <f t="shared" si="472"/>
        <v>6</v>
      </c>
      <c r="B1553" s="413">
        <v>303.2</v>
      </c>
      <c r="C1553" s="414" t="s">
        <v>1029</v>
      </c>
      <c r="D1553" s="415">
        <f>G1447</f>
        <v>0</v>
      </c>
      <c r="E1553" s="417">
        <v>0</v>
      </c>
      <c r="F1553" s="417">
        <v>0</v>
      </c>
      <c r="G1553" s="415">
        <f>SUM(D1553:F1553)</f>
        <v>0</v>
      </c>
      <c r="H1553" s="418"/>
      <c r="I1553" s="415">
        <f>N1447</f>
        <v>0</v>
      </c>
      <c r="J1553" s="419" t="s">
        <v>1094</v>
      </c>
      <c r="K1553" s="417">
        <v>0</v>
      </c>
      <c r="L1553" s="418">
        <f>-F1553</f>
        <v>0</v>
      </c>
      <c r="M1553" s="417">
        <v>0</v>
      </c>
      <c r="N1553" s="408">
        <f>I1553+K1553-L1553+M1553</f>
        <v>0</v>
      </c>
    </row>
    <row r="1554" spans="1:14" x14ac:dyDescent="0.2">
      <c r="A1554" s="410">
        <f t="shared" si="472"/>
        <v>7</v>
      </c>
      <c r="B1554" s="413">
        <v>303.3</v>
      </c>
      <c r="C1554" s="414" t="s">
        <v>1030</v>
      </c>
      <c r="D1554" s="421">
        <f>G1448</f>
        <v>7018586</v>
      </c>
      <c r="E1554" s="422">
        <v>0</v>
      </c>
      <c r="F1554" s="422">
        <v>0</v>
      </c>
      <c r="G1554" s="421">
        <f>SUM(D1554:F1554)</f>
        <v>7018586</v>
      </c>
      <c r="H1554" s="418"/>
      <c r="I1554" s="421">
        <f>N1448</f>
        <v>3227890.7621189193</v>
      </c>
      <c r="J1554" s="419" t="s">
        <v>1094</v>
      </c>
      <c r="K1554" s="421">
        <f>'Intangible Amort.'!K$188</f>
        <v>85006.077056113339</v>
      </c>
      <c r="L1554" s="421">
        <f>-F1554</f>
        <v>0</v>
      </c>
      <c r="M1554" s="422">
        <v>0</v>
      </c>
      <c r="N1554" s="423">
        <f>I1554+K1554-L1554+M1554</f>
        <v>3312896.8391750325</v>
      </c>
    </row>
    <row r="1555" spans="1:14" x14ac:dyDescent="0.2">
      <c r="A1555" s="410">
        <f t="shared" si="472"/>
        <v>8</v>
      </c>
      <c r="B1555" s="413"/>
      <c r="C1555" s="414" t="s">
        <v>1031</v>
      </c>
      <c r="D1555" s="418">
        <f>SUM(D1550:D1554)</f>
        <v>7093454.71</v>
      </c>
      <c r="E1555" s="418">
        <f>SUM(E1550:E1554)</f>
        <v>0</v>
      </c>
      <c r="F1555" s="418">
        <f>SUM(F1550:F1554)</f>
        <v>0</v>
      </c>
      <c r="G1555" s="418">
        <f>SUM(G1550:G1554)</f>
        <v>7093454.71</v>
      </c>
      <c r="H1555" s="418"/>
      <c r="I1555" s="418">
        <f>SUM(I1550:I1554)</f>
        <v>3276581.4721189192</v>
      </c>
      <c r="J1555" s="424"/>
      <c r="K1555" s="418">
        <f>SUM(K1550:K1554)</f>
        <v>85212.597056113344</v>
      </c>
      <c r="L1555" s="418">
        <f>SUM(L1550:L1554)</f>
        <v>0</v>
      </c>
      <c r="M1555" s="418">
        <f>SUM(M1550:M1554)</f>
        <v>0</v>
      </c>
      <c r="N1555" s="418">
        <f>SUM(N1550:N1554)</f>
        <v>3361794.0691750324</v>
      </c>
    </row>
    <row r="1556" spans="1:14" x14ac:dyDescent="0.2">
      <c r="B1556" s="425"/>
      <c r="D1556" s="418"/>
      <c r="E1556" s="418"/>
      <c r="F1556" s="418"/>
      <c r="G1556" s="418"/>
      <c r="H1556" s="418"/>
      <c r="I1556" s="418"/>
      <c r="J1556" s="424"/>
      <c r="K1556" s="418"/>
      <c r="L1556" s="418"/>
      <c r="M1556" s="418"/>
    </row>
    <row r="1557" spans="1:14" x14ac:dyDescent="0.2">
      <c r="A1557" s="410">
        <f>A1555+1</f>
        <v>9</v>
      </c>
      <c r="B1557" s="425"/>
      <c r="C1557" s="411" t="s">
        <v>704</v>
      </c>
      <c r="D1557" s="418"/>
      <c r="E1557" s="418"/>
      <c r="F1557" s="418"/>
      <c r="G1557" s="418"/>
      <c r="H1557" s="418"/>
      <c r="I1557" s="418"/>
      <c r="J1557" s="424"/>
      <c r="K1557" s="418"/>
      <c r="L1557" s="418"/>
      <c r="M1557" s="418"/>
    </row>
    <row r="1558" spans="1:14" x14ac:dyDescent="0.2">
      <c r="A1558" s="410">
        <f>A1557+1</f>
        <v>10</v>
      </c>
      <c r="B1558" s="426">
        <v>304.10000000000002</v>
      </c>
      <c r="C1558" s="427" t="s">
        <v>1032</v>
      </c>
      <c r="D1558" s="421">
        <f>G1452</f>
        <v>0</v>
      </c>
      <c r="E1558" s="1662">
        <v>0</v>
      </c>
      <c r="F1558" s="1662">
        <v>0</v>
      </c>
      <c r="G1558" s="421">
        <f>SUM(D1558:F1558)</f>
        <v>0</v>
      </c>
      <c r="H1558" s="418"/>
      <c r="I1558" s="421">
        <f>N1452</f>
        <v>0</v>
      </c>
      <c r="J1558" s="429" t="s">
        <v>1102</v>
      </c>
      <c r="K1558" s="430">
        <v>0</v>
      </c>
      <c r="L1558" s="421">
        <f>-F1558</f>
        <v>0</v>
      </c>
      <c r="M1558" s="422">
        <v>0</v>
      </c>
      <c r="N1558" s="423">
        <f>I1558+K1558-L1558+M1558</f>
        <v>0</v>
      </c>
    </row>
    <row r="1559" spans="1:14" x14ac:dyDescent="0.2">
      <c r="A1559" s="410">
        <f>A1558+1</f>
        <v>11</v>
      </c>
      <c r="B1559" s="426"/>
      <c r="C1559" s="431" t="s">
        <v>1079</v>
      </c>
      <c r="D1559" s="418">
        <f>D1558</f>
        <v>0</v>
      </c>
      <c r="E1559" s="418">
        <f>E1558</f>
        <v>0</v>
      </c>
      <c r="F1559" s="418">
        <f>F1558</f>
        <v>0</v>
      </c>
      <c r="G1559" s="418">
        <f>G1558</f>
        <v>0</v>
      </c>
      <c r="H1559" s="418"/>
      <c r="I1559" s="418">
        <f>I1558</f>
        <v>0</v>
      </c>
      <c r="J1559" s="432"/>
      <c r="K1559" s="418">
        <f>SUM(K1558)</f>
        <v>0</v>
      </c>
      <c r="L1559" s="418">
        <f>SUM(L1558)</f>
        <v>0</v>
      </c>
      <c r="M1559" s="418">
        <f>M1558</f>
        <v>0</v>
      </c>
      <c r="N1559" s="418">
        <f>N1558</f>
        <v>0</v>
      </c>
    </row>
    <row r="1560" spans="1:14" x14ac:dyDescent="0.2">
      <c r="B1560" s="425"/>
      <c r="D1560" s="418"/>
      <c r="E1560" s="418"/>
      <c r="F1560" s="418"/>
      <c r="G1560" s="418"/>
      <c r="H1560" s="418"/>
      <c r="I1560" s="418"/>
      <c r="J1560" s="432"/>
      <c r="K1560" s="418"/>
      <c r="L1560" s="418"/>
      <c r="M1560" s="418"/>
    </row>
    <row r="1561" spans="1:14" x14ac:dyDescent="0.2">
      <c r="A1561" s="410">
        <f>A1559+1</f>
        <v>12</v>
      </c>
      <c r="B1561" s="425"/>
      <c r="C1561" s="411" t="s">
        <v>707</v>
      </c>
      <c r="D1561" s="418"/>
      <c r="E1561" s="418"/>
      <c r="F1561" s="418"/>
      <c r="G1561" s="418"/>
      <c r="H1561" s="418"/>
      <c r="I1561" s="418"/>
      <c r="J1561" s="432"/>
      <c r="K1561" s="418"/>
      <c r="L1561" s="418"/>
      <c r="M1561" s="418"/>
    </row>
    <row r="1562" spans="1:14" x14ac:dyDescent="0.2">
      <c r="A1562" s="410">
        <f>A1561+1</f>
        <v>13</v>
      </c>
      <c r="B1562" s="413">
        <v>374.1</v>
      </c>
      <c r="C1562" s="414" t="s">
        <v>1035</v>
      </c>
      <c r="D1562" s="415">
        <f t="shared" ref="D1562:D1572" si="473">G1456</f>
        <v>206</v>
      </c>
      <c r="E1562" s="417">
        <v>0</v>
      </c>
      <c r="F1562" s="417">
        <v>0</v>
      </c>
      <c r="G1562" s="415">
        <f>SUM(D1562:F1562)</f>
        <v>206</v>
      </c>
      <c r="H1562" s="418"/>
      <c r="I1562" s="415">
        <f t="shared" ref="I1562:I1572" si="474">N1456</f>
        <v>0</v>
      </c>
      <c r="J1562" s="442" t="str">
        <f t="shared" ref="J1562:J1572" si="475">J1456</f>
        <v>Non-Dep.</v>
      </c>
      <c r="K1562" s="417">
        <v>0</v>
      </c>
      <c r="L1562" s="418">
        <f t="shared" ref="L1562:L1572" si="476">-F1562</f>
        <v>0</v>
      </c>
      <c r="M1562" s="417">
        <v>0</v>
      </c>
      <c r="N1562" s="408">
        <f t="shared" ref="N1562:N1572" si="477">I1562+K1562-L1562+M1562</f>
        <v>0</v>
      </c>
    </row>
    <row r="1563" spans="1:14" x14ac:dyDescent="0.2">
      <c r="A1563" s="410">
        <f t="shared" ref="A1563:A1583" si="478">A1562+1</f>
        <v>14</v>
      </c>
      <c r="B1563" s="413">
        <v>374.2</v>
      </c>
      <c r="C1563" s="414" t="s">
        <v>1036</v>
      </c>
      <c r="D1563" s="415">
        <f t="shared" si="473"/>
        <v>877756.18</v>
      </c>
      <c r="E1563" s="417">
        <v>0</v>
      </c>
      <c r="F1563" s="417">
        <v>0</v>
      </c>
      <c r="G1563" s="415">
        <f t="shared" ref="G1563:G1572" si="479">SUM(D1563:F1563)</f>
        <v>877756.18</v>
      </c>
      <c r="H1563" s="418"/>
      <c r="I1563" s="415">
        <f t="shared" si="474"/>
        <v>-523.13</v>
      </c>
      <c r="J1563" s="442" t="str">
        <f t="shared" si="475"/>
        <v>Non-Dep.</v>
      </c>
      <c r="K1563" s="417">
        <v>0</v>
      </c>
      <c r="L1563" s="418">
        <f t="shared" si="476"/>
        <v>0</v>
      </c>
      <c r="M1563" s="417">
        <v>0</v>
      </c>
      <c r="N1563" s="408">
        <f t="shared" si="477"/>
        <v>-523.13</v>
      </c>
    </row>
    <row r="1564" spans="1:14" x14ac:dyDescent="0.2">
      <c r="A1564" s="410">
        <f t="shared" si="478"/>
        <v>15</v>
      </c>
      <c r="B1564" s="413">
        <v>374.4</v>
      </c>
      <c r="C1564" s="414" t="s">
        <v>1037</v>
      </c>
      <c r="D1564" s="415">
        <f t="shared" si="473"/>
        <v>661305.66</v>
      </c>
      <c r="E1564" s="417">
        <v>0</v>
      </c>
      <c r="F1564" s="417">
        <v>0</v>
      </c>
      <c r="G1564" s="415">
        <f t="shared" si="479"/>
        <v>661305.66</v>
      </c>
      <c r="H1564" s="418"/>
      <c r="I1564" s="415">
        <f t="shared" si="474"/>
        <v>182719.35999999999</v>
      </c>
      <c r="J1564" s="442">
        <f t="shared" si="475"/>
        <v>1.7399999999999999E-2</v>
      </c>
      <c r="K1564" s="418">
        <f>ROUND((G1564+D1564)/2*J1564/12,0)</f>
        <v>959</v>
      </c>
      <c r="L1564" s="418">
        <f t="shared" si="476"/>
        <v>0</v>
      </c>
      <c r="M1564" s="417">
        <v>0</v>
      </c>
      <c r="N1564" s="408">
        <f t="shared" si="477"/>
        <v>183678.36</v>
      </c>
    </row>
    <row r="1565" spans="1:14" x14ac:dyDescent="0.2">
      <c r="A1565" s="410">
        <f t="shared" si="478"/>
        <v>16</v>
      </c>
      <c r="B1565" s="413">
        <v>374.5</v>
      </c>
      <c r="C1565" s="414" t="s">
        <v>1038</v>
      </c>
      <c r="D1565" s="415">
        <f t="shared" si="473"/>
        <v>2717772.55</v>
      </c>
      <c r="E1565" s="417">
        <v>4800</v>
      </c>
      <c r="F1565" s="417">
        <v>-600</v>
      </c>
      <c r="G1565" s="415">
        <f t="shared" si="479"/>
        <v>2721972.55</v>
      </c>
      <c r="H1565" s="418"/>
      <c r="I1565" s="415">
        <f t="shared" si="474"/>
        <v>938580.23</v>
      </c>
      <c r="J1565" s="442">
        <f t="shared" si="475"/>
        <v>1.29E-2</v>
      </c>
      <c r="K1565" s="418">
        <f t="shared" ref="K1565:K1570" si="480">ROUND((G1565+D1565)/2*J1565/12,0)</f>
        <v>2924</v>
      </c>
      <c r="L1565" s="418">
        <f t="shared" si="476"/>
        <v>600</v>
      </c>
      <c r="M1565" s="417">
        <v>0</v>
      </c>
      <c r="N1565" s="408">
        <f t="shared" si="477"/>
        <v>940904.23</v>
      </c>
    </row>
    <row r="1566" spans="1:14" x14ac:dyDescent="0.2">
      <c r="A1566" s="410">
        <f t="shared" si="478"/>
        <v>17</v>
      </c>
      <c r="B1566" s="413">
        <v>375.2</v>
      </c>
      <c r="C1566" s="414" t="s">
        <v>1039</v>
      </c>
      <c r="D1566" s="415">
        <f t="shared" si="473"/>
        <v>2124.98</v>
      </c>
      <c r="E1566" s="417">
        <v>0</v>
      </c>
      <c r="F1566" s="417">
        <v>0</v>
      </c>
      <c r="G1566" s="415">
        <f t="shared" si="479"/>
        <v>2124.98</v>
      </c>
      <c r="H1566" s="418"/>
      <c r="I1566" s="415">
        <f t="shared" si="474"/>
        <v>2051.3199999999997</v>
      </c>
      <c r="J1566" s="442">
        <f t="shared" si="475"/>
        <v>3.1800000000000002E-2</v>
      </c>
      <c r="K1566" s="418">
        <f t="shared" si="480"/>
        <v>6</v>
      </c>
      <c r="L1566" s="418">
        <f t="shared" si="476"/>
        <v>0</v>
      </c>
      <c r="M1566" s="417">
        <v>0</v>
      </c>
      <c r="N1566" s="408">
        <f t="shared" si="477"/>
        <v>2057.3199999999997</v>
      </c>
    </row>
    <row r="1567" spans="1:14" x14ac:dyDescent="0.2">
      <c r="A1567" s="410">
        <f t="shared" si="478"/>
        <v>18</v>
      </c>
      <c r="B1567" s="413">
        <v>375.3</v>
      </c>
      <c r="C1567" s="414" t="s">
        <v>1040</v>
      </c>
      <c r="D1567" s="415">
        <f t="shared" si="473"/>
        <v>0</v>
      </c>
      <c r="E1567" s="417">
        <v>0</v>
      </c>
      <c r="F1567" s="417">
        <v>0</v>
      </c>
      <c r="G1567" s="415">
        <f t="shared" si="479"/>
        <v>0</v>
      </c>
      <c r="H1567" s="418"/>
      <c r="I1567" s="415">
        <f t="shared" si="474"/>
        <v>-77.66</v>
      </c>
      <c r="J1567" s="442">
        <f t="shared" si="475"/>
        <v>3.1800000000000002E-2</v>
      </c>
      <c r="K1567" s="418">
        <f t="shared" si="480"/>
        <v>0</v>
      </c>
      <c r="L1567" s="418">
        <f t="shared" si="476"/>
        <v>0</v>
      </c>
      <c r="M1567" s="417">
        <v>0</v>
      </c>
      <c r="N1567" s="408">
        <f t="shared" si="477"/>
        <v>-77.66</v>
      </c>
    </row>
    <row r="1568" spans="1:14" x14ac:dyDescent="0.2">
      <c r="A1568" s="410">
        <f t="shared" si="478"/>
        <v>19</v>
      </c>
      <c r="B1568" s="413">
        <v>375.4</v>
      </c>
      <c r="C1568" s="414" t="s">
        <v>1041</v>
      </c>
      <c r="D1568" s="415">
        <f t="shared" si="473"/>
        <v>2145330.02</v>
      </c>
      <c r="E1568" s="417">
        <v>20600</v>
      </c>
      <c r="F1568" s="417">
        <v>-2500</v>
      </c>
      <c r="G1568" s="415">
        <f t="shared" si="479"/>
        <v>2163430.02</v>
      </c>
      <c r="H1568" s="418"/>
      <c r="I1568" s="415">
        <f t="shared" si="474"/>
        <v>499520.37</v>
      </c>
      <c r="J1568" s="442">
        <f t="shared" si="475"/>
        <v>3.1800000000000002E-2</v>
      </c>
      <c r="K1568" s="418">
        <f t="shared" si="480"/>
        <v>5709</v>
      </c>
      <c r="L1568" s="418">
        <f t="shared" si="476"/>
        <v>2500</v>
      </c>
      <c r="M1568" s="417">
        <v>-200</v>
      </c>
      <c r="N1568" s="408">
        <f t="shared" si="477"/>
        <v>502529.37</v>
      </c>
    </row>
    <row r="1569" spans="1:14" x14ac:dyDescent="0.2">
      <c r="A1569" s="410">
        <f t="shared" si="478"/>
        <v>20</v>
      </c>
      <c r="B1569" s="413">
        <v>375.6</v>
      </c>
      <c r="C1569" s="414" t="s">
        <v>1042</v>
      </c>
      <c r="D1569" s="415">
        <f t="shared" si="473"/>
        <v>0</v>
      </c>
      <c r="E1569" s="417">
        <v>0</v>
      </c>
      <c r="F1569" s="417">
        <v>0</v>
      </c>
      <c r="G1569" s="415">
        <f t="shared" si="479"/>
        <v>0</v>
      </c>
      <c r="H1569" s="418"/>
      <c r="I1569" s="415">
        <f t="shared" si="474"/>
        <v>0.02</v>
      </c>
      <c r="J1569" s="442">
        <f t="shared" si="475"/>
        <v>3.1800000000000002E-2</v>
      </c>
      <c r="K1569" s="418">
        <f t="shared" si="480"/>
        <v>0</v>
      </c>
      <c r="L1569" s="418">
        <f t="shared" si="476"/>
        <v>0</v>
      </c>
      <c r="M1569" s="417">
        <v>0</v>
      </c>
      <c r="N1569" s="408">
        <f t="shared" si="477"/>
        <v>0.02</v>
      </c>
    </row>
    <row r="1570" spans="1:14" x14ac:dyDescent="0.2">
      <c r="A1570" s="410">
        <f t="shared" si="478"/>
        <v>21</v>
      </c>
      <c r="B1570" s="413">
        <v>375.7</v>
      </c>
      <c r="C1570" s="414" t="s">
        <v>1043</v>
      </c>
      <c r="D1570" s="415">
        <f t="shared" si="473"/>
        <v>8425550.2100000009</v>
      </c>
      <c r="E1570" s="417">
        <v>48300</v>
      </c>
      <c r="F1570" s="417">
        <v>-5800</v>
      </c>
      <c r="G1570" s="415">
        <f t="shared" si="479"/>
        <v>8468050.2100000009</v>
      </c>
      <c r="H1570" s="418"/>
      <c r="I1570" s="415">
        <f t="shared" si="474"/>
        <v>3352216.06</v>
      </c>
      <c r="J1570" s="442">
        <f t="shared" si="475"/>
        <v>2.1299999999999999E-2</v>
      </c>
      <c r="K1570" s="418">
        <f t="shared" si="480"/>
        <v>14993</v>
      </c>
      <c r="L1570" s="418">
        <f t="shared" si="476"/>
        <v>5800</v>
      </c>
      <c r="M1570" s="417">
        <v>0</v>
      </c>
      <c r="N1570" s="408">
        <f t="shared" si="477"/>
        <v>3361409.06</v>
      </c>
    </row>
    <row r="1571" spans="1:14" x14ac:dyDescent="0.2">
      <c r="A1571" s="410">
        <f t="shared" si="478"/>
        <v>22</v>
      </c>
      <c r="B1571" s="413">
        <v>375.71</v>
      </c>
      <c r="C1571" s="414" t="s">
        <v>1044</v>
      </c>
      <c r="D1571" s="415">
        <f t="shared" si="473"/>
        <v>259808.94</v>
      </c>
      <c r="E1571" s="417">
        <v>0</v>
      </c>
      <c r="F1571" s="417">
        <v>0</v>
      </c>
      <c r="G1571" s="415">
        <f t="shared" si="479"/>
        <v>259808.94</v>
      </c>
      <c r="H1571" s="418"/>
      <c r="I1571" s="415">
        <f t="shared" si="474"/>
        <v>193711.75263157912</v>
      </c>
      <c r="J1571" s="442" t="str">
        <f t="shared" si="475"/>
        <v>Amort.</v>
      </c>
      <c r="K1571" s="417">
        <f>104653.88/38</f>
        <v>2754.0494736842106</v>
      </c>
      <c r="L1571" s="418">
        <f t="shared" si="476"/>
        <v>0</v>
      </c>
      <c r="M1571" s="417">
        <v>0</v>
      </c>
      <c r="N1571" s="408">
        <f t="shared" si="477"/>
        <v>196465.80210526334</v>
      </c>
    </row>
    <row r="1572" spans="1:14" x14ac:dyDescent="0.2">
      <c r="A1572" s="410">
        <f t="shared" si="478"/>
        <v>23</v>
      </c>
      <c r="B1572" s="413">
        <v>375.8</v>
      </c>
      <c r="C1572" s="414" t="s">
        <v>1045</v>
      </c>
      <c r="D1572" s="415">
        <f t="shared" si="473"/>
        <v>0</v>
      </c>
      <c r="E1572" s="417">
        <v>0</v>
      </c>
      <c r="F1572" s="417">
        <v>0</v>
      </c>
      <c r="G1572" s="415">
        <f t="shared" si="479"/>
        <v>0</v>
      </c>
      <c r="H1572" s="418"/>
      <c r="I1572" s="415">
        <f t="shared" si="474"/>
        <v>0</v>
      </c>
      <c r="J1572" s="442">
        <f t="shared" si="475"/>
        <v>0</v>
      </c>
      <c r="K1572" s="417">
        <v>0</v>
      </c>
      <c r="L1572" s="418">
        <f t="shared" si="476"/>
        <v>0</v>
      </c>
      <c r="M1572" s="417">
        <v>0</v>
      </c>
      <c r="N1572" s="408">
        <f t="shared" si="477"/>
        <v>0</v>
      </c>
    </row>
    <row r="1573" spans="1:14" x14ac:dyDescent="0.2">
      <c r="A1573" s="410">
        <f>A1572+1</f>
        <v>24</v>
      </c>
      <c r="B1573" s="413">
        <v>376</v>
      </c>
      <c r="C1573" s="438" t="s">
        <v>1096</v>
      </c>
      <c r="D1573" s="415"/>
      <c r="E1573" s="416"/>
      <c r="F1573" s="416"/>
      <c r="G1573" s="415"/>
      <c r="H1573" s="418"/>
      <c r="I1573" s="439"/>
      <c r="J1573" s="432"/>
      <c r="K1573" s="418"/>
      <c r="L1573" s="418"/>
      <c r="M1573" s="417"/>
    </row>
    <row r="1574" spans="1:14" x14ac:dyDescent="0.2">
      <c r="A1574" s="410"/>
      <c r="B1574" s="413"/>
      <c r="C1574" s="440" t="s">
        <v>1097</v>
      </c>
      <c r="D1574" s="415"/>
      <c r="E1574" s="417"/>
      <c r="F1574" s="417"/>
      <c r="G1574" s="415"/>
      <c r="H1574" s="418"/>
      <c r="I1574" s="415"/>
      <c r="J1574" s="442"/>
      <c r="K1574" s="418"/>
      <c r="L1574" s="418"/>
      <c r="M1574" s="417"/>
      <c r="N1574" s="408"/>
    </row>
    <row r="1575" spans="1:14" x14ac:dyDescent="0.2">
      <c r="A1575" s="410"/>
      <c r="B1575" s="413"/>
      <c r="C1575" s="440" t="s">
        <v>1098</v>
      </c>
      <c r="D1575" s="415"/>
      <c r="E1575" s="417"/>
      <c r="F1575" s="417"/>
      <c r="G1575" s="415"/>
      <c r="H1575" s="418"/>
      <c r="I1575" s="415"/>
      <c r="J1575" s="442"/>
      <c r="K1575" s="418"/>
      <c r="L1575" s="418"/>
      <c r="M1575" s="417"/>
      <c r="N1575" s="408"/>
    </row>
    <row r="1576" spans="1:14" x14ac:dyDescent="0.2">
      <c r="A1576" s="410"/>
      <c r="B1576" s="413"/>
      <c r="C1576" s="440" t="s">
        <v>1099</v>
      </c>
      <c r="D1576" s="415"/>
      <c r="E1576" s="417"/>
      <c r="F1576" s="417"/>
      <c r="G1576" s="415"/>
      <c r="H1576" s="418"/>
      <c r="I1576" s="415"/>
      <c r="J1576" s="442"/>
      <c r="K1576" s="418"/>
      <c r="L1576" s="418"/>
      <c r="M1576" s="417"/>
      <c r="N1576" s="408"/>
    </row>
    <row r="1577" spans="1:14" x14ac:dyDescent="0.2">
      <c r="A1577" s="410"/>
      <c r="B1577" s="413"/>
      <c r="C1577" s="440" t="s">
        <v>1100</v>
      </c>
      <c r="D1577" s="415"/>
      <c r="E1577" s="417"/>
      <c r="F1577" s="417"/>
      <c r="G1577" s="415"/>
      <c r="H1577" s="418"/>
      <c r="I1577" s="415"/>
      <c r="J1577" s="442"/>
      <c r="K1577" s="418"/>
      <c r="L1577" s="418"/>
      <c r="M1577" s="417"/>
      <c r="N1577" s="408"/>
    </row>
    <row r="1578" spans="1:14" x14ac:dyDescent="0.2">
      <c r="A1578" s="410"/>
      <c r="B1578" s="413"/>
      <c r="C1578" s="440" t="s">
        <v>1101</v>
      </c>
      <c r="D1578" s="415">
        <f t="shared" ref="D1578:D1583" si="481">G1472</f>
        <v>215804785.44</v>
      </c>
      <c r="E1578" s="417">
        <f>1187600+32320</f>
        <v>1219920</v>
      </c>
      <c r="F1578" s="417">
        <v>-146400</v>
      </c>
      <c r="G1578" s="415">
        <f t="shared" ref="G1578:G1583" si="482">SUM(D1578:F1578)</f>
        <v>216878305.44</v>
      </c>
      <c r="H1578" s="418"/>
      <c r="I1578" s="415">
        <f t="shared" ref="I1578:I1583" si="483">N1472</f>
        <v>58718389.609999999</v>
      </c>
      <c r="J1578" s="442">
        <f t="shared" ref="J1578:J1583" si="484">J1472</f>
        <v>2.3E-2</v>
      </c>
      <c r="K1578" s="418">
        <f t="shared" ref="K1578:K1583" si="485">ROUND((G1578+D1578)/2*J1578/12,0)</f>
        <v>414655</v>
      </c>
      <c r="L1578" s="418">
        <f t="shared" ref="L1578:L1583" si="486">-F1578</f>
        <v>146400</v>
      </c>
      <c r="M1578" s="417">
        <v>-22000</v>
      </c>
      <c r="N1578" s="408">
        <f t="shared" ref="N1578:N1583" si="487">I1578+K1578-L1578+M1578</f>
        <v>58964644.609999999</v>
      </c>
    </row>
    <row r="1579" spans="1:14" x14ac:dyDescent="0.2">
      <c r="A1579" s="410">
        <f>A1573+1</f>
        <v>25</v>
      </c>
      <c r="B1579" s="413">
        <v>378.1</v>
      </c>
      <c r="C1579" s="414" t="s">
        <v>1047</v>
      </c>
      <c r="D1579" s="415">
        <f t="shared" si="481"/>
        <v>518504.18</v>
      </c>
      <c r="E1579" s="417">
        <v>0</v>
      </c>
      <c r="F1579" s="417">
        <v>0</v>
      </c>
      <c r="G1579" s="415">
        <f t="shared" si="482"/>
        <v>518504.18</v>
      </c>
      <c r="H1579" s="418"/>
      <c r="I1579" s="415">
        <f t="shared" si="483"/>
        <v>369201.81</v>
      </c>
      <c r="J1579" s="442">
        <f t="shared" si="484"/>
        <v>3.32E-2</v>
      </c>
      <c r="K1579" s="418">
        <f t="shared" si="485"/>
        <v>1435</v>
      </c>
      <c r="L1579" s="418">
        <f t="shared" si="486"/>
        <v>0</v>
      </c>
      <c r="M1579" s="417">
        <v>0</v>
      </c>
      <c r="N1579" s="408">
        <f t="shared" si="487"/>
        <v>370636.81</v>
      </c>
    </row>
    <row r="1580" spans="1:14" x14ac:dyDescent="0.2">
      <c r="A1580" s="410">
        <f t="shared" si="478"/>
        <v>26</v>
      </c>
      <c r="B1580" s="413">
        <v>378.2</v>
      </c>
      <c r="C1580" s="414" t="s">
        <v>1048</v>
      </c>
      <c r="D1580" s="415">
        <f t="shared" si="481"/>
        <v>9836424</v>
      </c>
      <c r="E1580" s="417">
        <v>27200</v>
      </c>
      <c r="F1580" s="417">
        <v>-3300</v>
      </c>
      <c r="G1580" s="415">
        <f t="shared" si="482"/>
        <v>9860324</v>
      </c>
      <c r="H1580" s="418"/>
      <c r="I1580" s="415">
        <f t="shared" si="483"/>
        <v>3469414.91</v>
      </c>
      <c r="J1580" s="442">
        <f t="shared" si="484"/>
        <v>3.32E-2</v>
      </c>
      <c r="K1580" s="418">
        <f t="shared" si="485"/>
        <v>27247</v>
      </c>
      <c r="L1580" s="418">
        <f t="shared" si="486"/>
        <v>3300</v>
      </c>
      <c r="M1580" s="417">
        <v>-200</v>
      </c>
      <c r="N1580" s="408">
        <f t="shared" si="487"/>
        <v>3493161.91</v>
      </c>
    </row>
    <row r="1581" spans="1:14" x14ac:dyDescent="0.2">
      <c r="A1581" s="410">
        <f t="shared" si="478"/>
        <v>27</v>
      </c>
      <c r="B1581" s="413">
        <v>378.3</v>
      </c>
      <c r="C1581" s="414" t="s">
        <v>1049</v>
      </c>
      <c r="D1581" s="415">
        <f t="shared" si="481"/>
        <v>45443.08</v>
      </c>
      <c r="E1581" s="417">
        <v>0</v>
      </c>
      <c r="F1581" s="417">
        <v>0</v>
      </c>
      <c r="G1581" s="415">
        <f t="shared" si="482"/>
        <v>45443.08</v>
      </c>
      <c r="H1581" s="418"/>
      <c r="I1581" s="415">
        <f t="shared" si="483"/>
        <v>36382.04</v>
      </c>
      <c r="J1581" s="442">
        <f t="shared" si="484"/>
        <v>3.32E-2</v>
      </c>
      <c r="K1581" s="418">
        <f t="shared" si="485"/>
        <v>126</v>
      </c>
      <c r="L1581" s="418">
        <f t="shared" si="486"/>
        <v>0</v>
      </c>
      <c r="M1581" s="417">
        <v>0</v>
      </c>
      <c r="N1581" s="408">
        <f t="shared" si="487"/>
        <v>36508.04</v>
      </c>
    </row>
    <row r="1582" spans="1:14" x14ac:dyDescent="0.2">
      <c r="A1582" s="410">
        <f t="shared" si="478"/>
        <v>28</v>
      </c>
      <c r="B1582" s="413">
        <v>379.1</v>
      </c>
      <c r="C1582" s="414" t="s">
        <v>1050</v>
      </c>
      <c r="D1582" s="415">
        <f t="shared" si="481"/>
        <v>254900.59</v>
      </c>
      <c r="E1582" s="417">
        <v>0</v>
      </c>
      <c r="F1582" s="417">
        <v>0</v>
      </c>
      <c r="G1582" s="415">
        <f t="shared" si="482"/>
        <v>254900.59</v>
      </c>
      <c r="H1582" s="418"/>
      <c r="I1582" s="415">
        <f t="shared" si="483"/>
        <v>267730.57</v>
      </c>
      <c r="J1582" s="442">
        <f t="shared" si="484"/>
        <v>6.0000000000000001E-3</v>
      </c>
      <c r="K1582" s="417">
        <v>0</v>
      </c>
      <c r="L1582" s="418">
        <f t="shared" si="486"/>
        <v>0</v>
      </c>
      <c r="M1582" s="417">
        <v>0</v>
      </c>
      <c r="N1582" s="408">
        <f t="shared" si="487"/>
        <v>267730.57</v>
      </c>
    </row>
    <row r="1583" spans="1:14" x14ac:dyDescent="0.2">
      <c r="A1583" s="410">
        <f t="shared" si="478"/>
        <v>29</v>
      </c>
      <c r="B1583" s="413">
        <v>380</v>
      </c>
      <c r="C1583" s="414" t="s">
        <v>1051</v>
      </c>
      <c r="D1583" s="415">
        <f t="shared" si="481"/>
        <v>124596216.77</v>
      </c>
      <c r="E1583" s="417">
        <f>705600+21546</f>
        <v>727146</v>
      </c>
      <c r="F1583" s="417">
        <v>-87300</v>
      </c>
      <c r="G1583" s="415">
        <f t="shared" si="482"/>
        <v>125236062.77</v>
      </c>
      <c r="H1583" s="418"/>
      <c r="I1583" s="415">
        <f t="shared" si="483"/>
        <v>60579278.520000003</v>
      </c>
      <c r="J1583" s="442">
        <f t="shared" si="484"/>
        <v>5.0999999999999997E-2</v>
      </c>
      <c r="K1583" s="418">
        <f t="shared" si="485"/>
        <v>530894</v>
      </c>
      <c r="L1583" s="418">
        <f t="shared" si="486"/>
        <v>87300</v>
      </c>
      <c r="M1583" s="417">
        <v>-43600</v>
      </c>
      <c r="N1583" s="408">
        <f t="shared" si="487"/>
        <v>60979272.520000003</v>
      </c>
    </row>
    <row r="1584" spans="1:14" x14ac:dyDescent="0.2">
      <c r="A1584" s="410"/>
      <c r="B1584" s="444"/>
      <c r="C1584" s="414"/>
      <c r="D1584" s="439"/>
      <c r="E1584" s="418"/>
      <c r="F1584" s="418"/>
      <c r="G1584" s="439"/>
      <c r="H1584" s="418"/>
      <c r="I1584" s="418"/>
      <c r="J1584" s="418"/>
      <c r="K1584" s="418"/>
      <c r="L1584" s="418"/>
    </row>
    <row r="1585" spans="1:14" x14ac:dyDescent="0.2">
      <c r="A1585" s="2073" t="str">
        <f>co</f>
        <v>COLUMBIA GAS OF KENTUCKY, INC.</v>
      </c>
      <c r="B1585" s="2073"/>
      <c r="C1585" s="2073"/>
      <c r="D1585" s="2073"/>
      <c r="E1585" s="2073"/>
      <c r="F1585" s="2073"/>
      <c r="G1585" s="2073"/>
      <c r="H1585" s="2073"/>
      <c r="I1585" s="2073"/>
      <c r="J1585" s="2073"/>
      <c r="K1585" s="2073"/>
      <c r="L1585" s="2073"/>
      <c r="M1585" s="2073"/>
      <c r="N1585" s="2073"/>
    </row>
    <row r="1586" spans="1:14" x14ac:dyDescent="0.2">
      <c r="A1586" s="2073" t="str">
        <f>case</f>
        <v>CASE NO. 2016 - 00162</v>
      </c>
      <c r="B1586" s="2073"/>
      <c r="C1586" s="2073"/>
      <c r="D1586" s="2073"/>
      <c r="E1586" s="2073"/>
      <c r="F1586" s="2073"/>
      <c r="G1586" s="2073"/>
      <c r="H1586" s="2073"/>
      <c r="I1586" s="2073"/>
      <c r="J1586" s="2073"/>
      <c r="K1586" s="2073"/>
      <c r="L1586" s="2073"/>
      <c r="M1586" s="2073"/>
      <c r="N1586" s="2073"/>
    </row>
    <row r="1587" spans="1:14" x14ac:dyDescent="0.2">
      <c r="A1587" s="2074" t="s">
        <v>1106</v>
      </c>
      <c r="B1587" s="2073"/>
      <c r="C1587" s="2073"/>
      <c r="D1587" s="2073"/>
      <c r="E1587" s="2073"/>
      <c r="F1587" s="2073"/>
      <c r="G1587" s="2073"/>
      <c r="H1587" s="2073"/>
      <c r="I1587" s="2073"/>
      <c r="J1587" s="2073"/>
      <c r="K1587" s="2073"/>
      <c r="L1587" s="2073"/>
      <c r="M1587" s="2073"/>
      <c r="N1587" s="2073"/>
    </row>
    <row r="1588" spans="1:14" x14ac:dyDescent="0.2">
      <c r="A1588" s="2078" t="s">
        <v>2142</v>
      </c>
      <c r="B1588" s="2078"/>
      <c r="C1588" s="2078"/>
      <c r="D1588" s="2078"/>
      <c r="E1588" s="2078"/>
      <c r="F1588" s="2078"/>
      <c r="G1588" s="2078"/>
      <c r="H1588" s="2078"/>
      <c r="I1588" s="2078"/>
      <c r="J1588" s="2078"/>
      <c r="K1588" s="2078"/>
      <c r="L1588" s="2078"/>
      <c r="M1588" s="2078"/>
      <c r="N1588" s="2078"/>
    </row>
    <row r="1590" spans="1:14" x14ac:dyDescent="0.2">
      <c r="A1590" s="388" t="s">
        <v>976</v>
      </c>
      <c r="M1590" s="386"/>
      <c r="N1590" s="387" t="s">
        <v>763</v>
      </c>
    </row>
    <row r="1591" spans="1:14" x14ac:dyDescent="0.2">
      <c r="A1591" s="388" t="s">
        <v>977</v>
      </c>
      <c r="M1591" s="386"/>
      <c r="N1591" s="387" t="s">
        <v>999</v>
      </c>
    </row>
    <row r="1592" spans="1:14" x14ac:dyDescent="0.2">
      <c r="A1592" s="445" t="str">
        <f>A1539</f>
        <v>WORKPAPER REFERENCE NO(S).: WPB-2.3</v>
      </c>
      <c r="B1592" s="391"/>
      <c r="C1592" s="391"/>
      <c r="D1592" s="391"/>
      <c r="E1592" s="391"/>
      <c r="F1592" s="391"/>
      <c r="G1592" s="391"/>
      <c r="H1592" s="391"/>
      <c r="M1592" s="392"/>
      <c r="N1592" s="393" t="str">
        <f>SMK</f>
        <v>WITNESS:  S. M. KATKO</v>
      </c>
    </row>
    <row r="1593" spans="1:14" x14ac:dyDescent="0.2">
      <c r="A1593" s="390"/>
      <c r="B1593" s="391"/>
      <c r="C1593" s="391"/>
      <c r="D1593" s="391"/>
      <c r="E1593" s="391"/>
      <c r="F1593" s="391"/>
      <c r="G1593" s="391"/>
      <c r="H1593" s="391"/>
      <c r="I1593" s="392"/>
      <c r="J1593" s="393"/>
      <c r="L1593" s="386"/>
      <c r="M1593" s="386"/>
    </row>
    <row r="1594" spans="1:14" x14ac:dyDescent="0.2">
      <c r="A1594" s="390"/>
      <c r="B1594" s="391"/>
      <c r="C1594" s="391"/>
      <c r="D1594" s="2075" t="s">
        <v>1088</v>
      </c>
      <c r="E1594" s="2075"/>
      <c r="F1594" s="2075"/>
      <c r="G1594" s="2075"/>
      <c r="H1594" s="391"/>
      <c r="I1594" s="2076" t="s">
        <v>1093</v>
      </c>
      <c r="J1594" s="2077"/>
      <c r="K1594" s="2077"/>
      <c r="L1594" s="2077"/>
      <c r="M1594" s="2077"/>
      <c r="N1594" s="2077"/>
    </row>
    <row r="1595" spans="1:14" x14ac:dyDescent="0.2">
      <c r="A1595" s="394"/>
      <c r="B1595" s="391"/>
      <c r="C1595" s="391"/>
      <c r="D1595" s="396" t="s">
        <v>1084</v>
      </c>
      <c r="E1595" s="391"/>
      <c r="F1595" s="391"/>
      <c r="G1595" s="395"/>
      <c r="H1595" s="395"/>
      <c r="I1595" s="397" t="s">
        <v>1089</v>
      </c>
      <c r="J1595" s="396"/>
      <c r="M1595" s="386"/>
    </row>
    <row r="1596" spans="1:14" x14ac:dyDescent="0.2">
      <c r="A1596" s="383"/>
      <c r="D1596" s="397" t="s">
        <v>865</v>
      </c>
      <c r="G1596" s="397" t="s">
        <v>867</v>
      </c>
      <c r="H1596" s="398"/>
      <c r="I1596" s="397" t="s">
        <v>865</v>
      </c>
      <c r="J1596" s="397" t="s">
        <v>956</v>
      </c>
      <c r="M1596" s="386"/>
      <c r="N1596" s="397" t="s">
        <v>867</v>
      </c>
    </row>
    <row r="1597" spans="1:14" x14ac:dyDescent="0.2">
      <c r="A1597" s="397" t="s">
        <v>1080</v>
      </c>
      <c r="B1597" s="397" t="s">
        <v>1082</v>
      </c>
      <c r="D1597" s="397" t="s">
        <v>867</v>
      </c>
      <c r="G1597" s="399" t="s">
        <v>1087</v>
      </c>
      <c r="H1597" s="398"/>
      <c r="I1597" s="399" t="s">
        <v>867</v>
      </c>
      <c r="J1597" s="397" t="s">
        <v>1090</v>
      </c>
      <c r="K1597" s="397" t="s">
        <v>956</v>
      </c>
      <c r="M1597" s="399" t="s">
        <v>1092</v>
      </c>
      <c r="N1597" s="399" t="s">
        <v>1087</v>
      </c>
    </row>
    <row r="1598" spans="1:14" x14ac:dyDescent="0.2">
      <c r="A1598" s="400" t="s">
        <v>1081</v>
      </c>
      <c r="B1598" s="400" t="s">
        <v>1081</v>
      </c>
      <c r="C1598" s="401" t="s">
        <v>1083</v>
      </c>
      <c r="D1598" s="404" t="str">
        <f>D1545</f>
        <v>04/30/2017</v>
      </c>
      <c r="E1598" s="400" t="s">
        <v>1085</v>
      </c>
      <c r="F1598" s="400" t="s">
        <v>1086</v>
      </c>
      <c r="G1598" s="404" t="str">
        <f>G1545</f>
        <v>05/31/2017</v>
      </c>
      <c r="H1598" s="398"/>
      <c r="I1598" s="404" t="str">
        <f>D1598</f>
        <v>04/30/2017</v>
      </c>
      <c r="J1598" s="400" t="s">
        <v>1091</v>
      </c>
      <c r="K1598" s="402" t="s">
        <v>1090</v>
      </c>
      <c r="L1598" s="402" t="s">
        <v>1086</v>
      </c>
      <c r="M1598" s="402" t="s">
        <v>955</v>
      </c>
      <c r="N1598" s="404" t="str">
        <f>G1598</f>
        <v>05/31/2017</v>
      </c>
    </row>
    <row r="1599" spans="1:14" x14ac:dyDescent="0.2">
      <c r="A1599" s="406"/>
      <c r="B1599" s="406"/>
      <c r="C1599" s="406"/>
      <c r="D1599" s="406" t="str">
        <f>"(1)"</f>
        <v>(1)</v>
      </c>
      <c r="E1599" s="406" t="str">
        <f>"(2)"</f>
        <v>(2)</v>
      </c>
      <c r="F1599" s="406" t="str">
        <f>"(3)"</f>
        <v>(3)</v>
      </c>
      <c r="G1599" s="406" t="str">
        <f>"(4)=(1+2+3)"</f>
        <v>(4)=(1+2+3)</v>
      </c>
      <c r="H1599" s="406"/>
      <c r="I1599" s="406" t="str">
        <f>"(5)"</f>
        <v>(5)</v>
      </c>
      <c r="J1599" s="406" t="str">
        <f>"(6)"</f>
        <v>(6)</v>
      </c>
      <c r="K1599" s="406" t="str">
        <f>"(7)=((1+4)/2*6/12))"</f>
        <v>(7)=((1+4)/2*6/12))</v>
      </c>
      <c r="L1599" s="406" t="str">
        <f>"(8)"</f>
        <v>(8)</v>
      </c>
      <c r="M1599" s="406" t="str">
        <f>"(9)"</f>
        <v>(9)</v>
      </c>
      <c r="N1599" s="406" t="str">
        <f>"(10)=(5+7-8+9)"</f>
        <v>(10)=(5+7-8+9)</v>
      </c>
    </row>
    <row r="1600" spans="1:14" x14ac:dyDescent="0.2">
      <c r="D1600" s="410" t="s">
        <v>639</v>
      </c>
      <c r="E1600" s="410" t="s">
        <v>639</v>
      </c>
      <c r="F1600" s="410" t="s">
        <v>639</v>
      </c>
      <c r="G1600" s="410" t="s">
        <v>639</v>
      </c>
      <c r="H1600" s="410"/>
      <c r="I1600" s="410" t="s">
        <v>639</v>
      </c>
      <c r="J1600" s="410" t="s">
        <v>639</v>
      </c>
      <c r="K1600" s="410" t="s">
        <v>639</v>
      </c>
      <c r="L1600" s="410" t="s">
        <v>639</v>
      </c>
      <c r="M1600" s="410" t="s">
        <v>639</v>
      </c>
      <c r="N1600" s="410" t="s">
        <v>639</v>
      </c>
    </row>
    <row r="1601" spans="1:14" x14ac:dyDescent="0.2">
      <c r="C1601" s="411" t="s">
        <v>707</v>
      </c>
      <c r="D1601" s="410"/>
      <c r="E1601" s="410"/>
      <c r="F1601" s="410"/>
      <c r="G1601" s="410"/>
      <c r="J1601" s="410"/>
    </row>
    <row r="1602" spans="1:14" x14ac:dyDescent="0.2">
      <c r="A1602" s="405">
        <v>1</v>
      </c>
      <c r="B1602" s="446">
        <v>381</v>
      </c>
      <c r="C1602" s="414" t="s">
        <v>1052</v>
      </c>
      <c r="D1602" s="415">
        <f t="shared" ref="D1602:D1613" si="488">G1496</f>
        <v>13793808.550000001</v>
      </c>
      <c r="E1602" s="417">
        <v>38400</v>
      </c>
      <c r="F1602" s="417">
        <v>-4600</v>
      </c>
      <c r="G1602" s="415">
        <f>SUM(D1602:F1602)</f>
        <v>13827608.550000001</v>
      </c>
      <c r="H1602" s="418"/>
      <c r="I1602" s="415">
        <f t="shared" ref="I1602:I1613" si="489">N1496</f>
        <v>5071645.8899999997</v>
      </c>
      <c r="J1602" s="442">
        <f t="shared" ref="J1602:J1613" si="490">J1496</f>
        <v>3.3000000000000002E-2</v>
      </c>
      <c r="K1602" s="418">
        <f t="shared" ref="K1602:K1613" si="491">ROUND((G1602+D1602)/2*J1602/12,0)</f>
        <v>37979</v>
      </c>
      <c r="L1602" s="418">
        <f t="shared" ref="L1602:L1613" si="492">-F1602</f>
        <v>4600</v>
      </c>
      <c r="M1602" s="417">
        <v>0</v>
      </c>
      <c r="N1602" s="408">
        <f t="shared" ref="N1602:N1613" si="493">I1602+K1602-L1602+M1602</f>
        <v>5105024.8899999997</v>
      </c>
    </row>
    <row r="1603" spans="1:14" x14ac:dyDescent="0.2">
      <c r="A1603" s="405">
        <f>A1602+1</f>
        <v>2</v>
      </c>
      <c r="B1603" s="446">
        <v>381.1</v>
      </c>
      <c r="C1603" s="414" t="s">
        <v>1052</v>
      </c>
      <c r="D1603" s="415">
        <f t="shared" si="488"/>
        <v>8813412.0600000005</v>
      </c>
      <c r="E1603" s="417">
        <v>10600</v>
      </c>
      <c r="F1603" s="417">
        <v>-1300</v>
      </c>
      <c r="G1603" s="415">
        <f>SUM(D1603:F1603)</f>
        <v>8822712.0600000005</v>
      </c>
      <c r="H1603" s="418"/>
      <c r="I1603" s="415">
        <f t="shared" si="489"/>
        <v>784149.5</v>
      </c>
      <c r="J1603" s="442">
        <f t="shared" si="490"/>
        <v>8.0600000000000005E-2</v>
      </c>
      <c r="K1603" s="418">
        <f t="shared" si="491"/>
        <v>59228</v>
      </c>
      <c r="L1603" s="418">
        <f t="shared" si="492"/>
        <v>1300</v>
      </c>
      <c r="M1603" s="417">
        <v>0</v>
      </c>
      <c r="N1603" s="408">
        <f t="shared" si="493"/>
        <v>842077.5</v>
      </c>
    </row>
    <row r="1604" spans="1:14" x14ac:dyDescent="0.2">
      <c r="A1604" s="405">
        <f t="shared" ref="A1604:A1614" si="494">A1603+1</f>
        <v>3</v>
      </c>
      <c r="B1604" s="446">
        <v>382</v>
      </c>
      <c r="C1604" s="414" t="s">
        <v>1053</v>
      </c>
      <c r="D1604" s="415">
        <f t="shared" si="488"/>
        <v>9362192.6500000004</v>
      </c>
      <c r="E1604" s="417">
        <v>30000</v>
      </c>
      <c r="F1604" s="417">
        <v>-3600</v>
      </c>
      <c r="G1604" s="415">
        <f t="shared" ref="G1604:G1609" si="495">SUM(D1604:F1604)</f>
        <v>9388592.6500000004</v>
      </c>
      <c r="H1604" s="418"/>
      <c r="I1604" s="415">
        <f t="shared" si="489"/>
        <v>4689292.3</v>
      </c>
      <c r="J1604" s="442">
        <f t="shared" si="490"/>
        <v>2.4400000000000002E-2</v>
      </c>
      <c r="K1604" s="418">
        <f t="shared" si="491"/>
        <v>19063</v>
      </c>
      <c r="L1604" s="418">
        <f t="shared" si="492"/>
        <v>3600</v>
      </c>
      <c r="M1604" s="417">
        <v>-200</v>
      </c>
      <c r="N1604" s="408">
        <f t="shared" si="493"/>
        <v>4704555.3</v>
      </c>
    </row>
    <row r="1605" spans="1:14" x14ac:dyDescent="0.2">
      <c r="A1605" s="405">
        <f t="shared" si="494"/>
        <v>4</v>
      </c>
      <c r="B1605" s="446">
        <v>383</v>
      </c>
      <c r="C1605" s="414" t="s">
        <v>1054</v>
      </c>
      <c r="D1605" s="415">
        <f t="shared" si="488"/>
        <v>5722020.7599999998</v>
      </c>
      <c r="E1605" s="417">
        <v>19000</v>
      </c>
      <c r="F1605" s="417">
        <v>-2300</v>
      </c>
      <c r="G1605" s="415">
        <f t="shared" si="495"/>
        <v>5738720.7599999998</v>
      </c>
      <c r="H1605" s="418"/>
      <c r="I1605" s="415">
        <f t="shared" si="489"/>
        <v>1548903.41</v>
      </c>
      <c r="J1605" s="442">
        <f t="shared" si="490"/>
        <v>2.7300000000000001E-2</v>
      </c>
      <c r="K1605" s="418">
        <f t="shared" si="491"/>
        <v>13037</v>
      </c>
      <c r="L1605" s="418">
        <f t="shared" si="492"/>
        <v>2300</v>
      </c>
      <c r="M1605" s="417">
        <v>-100</v>
      </c>
      <c r="N1605" s="408">
        <f t="shared" si="493"/>
        <v>1559540.41</v>
      </c>
    </row>
    <row r="1606" spans="1:14" x14ac:dyDescent="0.2">
      <c r="A1606" s="405">
        <f t="shared" si="494"/>
        <v>5</v>
      </c>
      <c r="B1606" s="446">
        <v>384</v>
      </c>
      <c r="C1606" s="414" t="s">
        <v>1055</v>
      </c>
      <c r="D1606" s="415">
        <f t="shared" si="488"/>
        <v>2257522</v>
      </c>
      <c r="E1606" s="417">
        <v>0</v>
      </c>
      <c r="F1606" s="417">
        <v>0</v>
      </c>
      <c r="G1606" s="415">
        <f t="shared" si="495"/>
        <v>2257522</v>
      </c>
      <c r="H1606" s="418"/>
      <c r="I1606" s="415">
        <f t="shared" si="489"/>
        <v>1776928.73</v>
      </c>
      <c r="J1606" s="442">
        <f t="shared" si="490"/>
        <v>1.01E-2</v>
      </c>
      <c r="K1606" s="418">
        <f t="shared" si="491"/>
        <v>1900</v>
      </c>
      <c r="L1606" s="418">
        <f t="shared" si="492"/>
        <v>0</v>
      </c>
      <c r="M1606" s="417">
        <v>0</v>
      </c>
      <c r="N1606" s="408">
        <f t="shared" si="493"/>
        <v>1778828.73</v>
      </c>
    </row>
    <row r="1607" spans="1:14" x14ac:dyDescent="0.2">
      <c r="A1607" s="405">
        <f t="shared" si="494"/>
        <v>6</v>
      </c>
      <c r="B1607" s="446">
        <v>385</v>
      </c>
      <c r="C1607" s="414" t="s">
        <v>1056</v>
      </c>
      <c r="D1607" s="415">
        <f t="shared" si="488"/>
        <v>3299083.36</v>
      </c>
      <c r="E1607" s="417">
        <v>20600</v>
      </c>
      <c r="F1607" s="417">
        <v>-2500</v>
      </c>
      <c r="G1607" s="415">
        <f t="shared" si="495"/>
        <v>3317183.36</v>
      </c>
      <c r="H1607" s="418"/>
      <c r="I1607" s="415">
        <f t="shared" si="489"/>
        <v>938838.55</v>
      </c>
      <c r="J1607" s="442">
        <f t="shared" si="490"/>
        <v>5.0799999999999998E-2</v>
      </c>
      <c r="K1607" s="418">
        <f t="shared" si="491"/>
        <v>14004</v>
      </c>
      <c r="L1607" s="418">
        <f t="shared" si="492"/>
        <v>2500</v>
      </c>
      <c r="M1607" s="417">
        <v>-100</v>
      </c>
      <c r="N1607" s="408">
        <f t="shared" si="493"/>
        <v>950242.55</v>
      </c>
    </row>
    <row r="1608" spans="1:14" x14ac:dyDescent="0.2">
      <c r="A1608" s="405">
        <f t="shared" si="494"/>
        <v>7</v>
      </c>
      <c r="B1608" s="446">
        <v>387.2</v>
      </c>
      <c r="C1608" s="414" t="s">
        <v>1057</v>
      </c>
      <c r="D1608" s="415">
        <f t="shared" si="488"/>
        <v>0</v>
      </c>
      <c r="E1608" s="417">
        <v>0</v>
      </c>
      <c r="F1608" s="417">
        <v>0</v>
      </c>
      <c r="G1608" s="415">
        <f t="shared" si="495"/>
        <v>0</v>
      </c>
      <c r="H1608" s="418"/>
      <c r="I1608" s="415">
        <f t="shared" si="489"/>
        <v>-59912.03</v>
      </c>
      <c r="J1608" s="442">
        <f t="shared" si="490"/>
        <v>0</v>
      </c>
      <c r="K1608" s="418">
        <f t="shared" si="491"/>
        <v>0</v>
      </c>
      <c r="L1608" s="418">
        <f t="shared" si="492"/>
        <v>0</v>
      </c>
      <c r="M1608" s="417">
        <v>0</v>
      </c>
      <c r="N1608" s="408">
        <f t="shared" si="493"/>
        <v>-59912.03</v>
      </c>
    </row>
    <row r="1609" spans="1:14" x14ac:dyDescent="0.2">
      <c r="A1609" s="405">
        <f t="shared" si="494"/>
        <v>8</v>
      </c>
      <c r="B1609" s="446">
        <v>387.41</v>
      </c>
      <c r="C1609" s="414" t="s">
        <v>1058</v>
      </c>
      <c r="D1609" s="415">
        <f t="shared" si="488"/>
        <v>735770.76</v>
      </c>
      <c r="E1609" s="417">
        <v>0</v>
      </c>
      <c r="F1609" s="417">
        <v>0</v>
      </c>
      <c r="G1609" s="415">
        <f t="shared" si="495"/>
        <v>735770.76</v>
      </c>
      <c r="H1609" s="418"/>
      <c r="I1609" s="415">
        <f t="shared" si="489"/>
        <v>395229.95</v>
      </c>
      <c r="J1609" s="442">
        <f t="shared" si="490"/>
        <v>3.7400000000000003E-2</v>
      </c>
      <c r="K1609" s="418">
        <f t="shared" si="491"/>
        <v>2293</v>
      </c>
      <c r="L1609" s="418">
        <f t="shared" si="492"/>
        <v>0</v>
      </c>
      <c r="M1609" s="417">
        <v>0</v>
      </c>
      <c r="N1609" s="408">
        <f t="shared" si="493"/>
        <v>397522.95</v>
      </c>
    </row>
    <row r="1610" spans="1:14" x14ac:dyDescent="0.2">
      <c r="A1610" s="405">
        <f t="shared" si="494"/>
        <v>9</v>
      </c>
      <c r="B1610" s="446">
        <v>387.42</v>
      </c>
      <c r="C1610" s="414" t="s">
        <v>1059</v>
      </c>
      <c r="D1610" s="415">
        <f t="shared" si="488"/>
        <v>795186.58</v>
      </c>
      <c r="E1610" s="417">
        <v>0</v>
      </c>
      <c r="F1610" s="417">
        <v>0</v>
      </c>
      <c r="G1610" s="415">
        <f>SUM(D1610:F1610)</f>
        <v>795186.58</v>
      </c>
      <c r="H1610" s="418"/>
      <c r="I1610" s="415">
        <f t="shared" si="489"/>
        <v>562457.94999999995</v>
      </c>
      <c r="J1610" s="442">
        <f t="shared" si="490"/>
        <v>3.7400000000000003E-2</v>
      </c>
      <c r="K1610" s="418">
        <f t="shared" si="491"/>
        <v>2478</v>
      </c>
      <c r="L1610" s="418">
        <f t="shared" si="492"/>
        <v>0</v>
      </c>
      <c r="M1610" s="417">
        <v>0</v>
      </c>
      <c r="N1610" s="408">
        <f t="shared" si="493"/>
        <v>564935.94999999995</v>
      </c>
    </row>
    <row r="1611" spans="1:14" x14ac:dyDescent="0.2">
      <c r="A1611" s="405">
        <f t="shared" si="494"/>
        <v>10</v>
      </c>
      <c r="B1611" s="446">
        <v>387.44</v>
      </c>
      <c r="C1611" s="414" t="s">
        <v>1060</v>
      </c>
      <c r="D1611" s="415">
        <f t="shared" si="488"/>
        <v>143283.93</v>
      </c>
      <c r="E1611" s="417">
        <v>0</v>
      </c>
      <c r="F1611" s="417">
        <v>0</v>
      </c>
      <c r="G1611" s="415">
        <f>SUM(D1611:F1611)</f>
        <v>143283.93</v>
      </c>
      <c r="H1611" s="418"/>
      <c r="I1611" s="415">
        <f t="shared" si="489"/>
        <v>48736.55</v>
      </c>
      <c r="J1611" s="442">
        <f t="shared" si="490"/>
        <v>3.7400000000000003E-2</v>
      </c>
      <c r="K1611" s="418">
        <f t="shared" si="491"/>
        <v>447</v>
      </c>
      <c r="L1611" s="418">
        <f t="shared" si="492"/>
        <v>0</v>
      </c>
      <c r="M1611" s="417">
        <v>0</v>
      </c>
      <c r="N1611" s="408">
        <f t="shared" si="493"/>
        <v>49183.55</v>
      </c>
    </row>
    <row r="1612" spans="1:14" x14ac:dyDescent="0.2">
      <c r="A1612" s="405">
        <f t="shared" si="494"/>
        <v>11</v>
      </c>
      <c r="B1612" s="446">
        <v>387.45</v>
      </c>
      <c r="C1612" s="414" t="s">
        <v>1061</v>
      </c>
      <c r="D1612" s="415">
        <f t="shared" si="488"/>
        <v>3376904.66</v>
      </c>
      <c r="E1612" s="417">
        <f>80800+80000</f>
        <v>160800</v>
      </c>
      <c r="F1612" s="417">
        <v>-19300</v>
      </c>
      <c r="G1612" s="415">
        <f>SUM(D1612:F1612)</f>
        <v>3518404.66</v>
      </c>
      <c r="H1612" s="418"/>
      <c r="I1612" s="415">
        <f t="shared" si="489"/>
        <v>558640.06000000006</v>
      </c>
      <c r="J1612" s="442">
        <f t="shared" si="490"/>
        <v>3.7400000000000003E-2</v>
      </c>
      <c r="K1612" s="418">
        <f t="shared" si="491"/>
        <v>10745</v>
      </c>
      <c r="L1612" s="418">
        <f t="shared" si="492"/>
        <v>19300</v>
      </c>
      <c r="M1612" s="417">
        <v>0</v>
      </c>
      <c r="N1612" s="408">
        <f t="shared" si="493"/>
        <v>550085.06000000006</v>
      </c>
    </row>
    <row r="1613" spans="1:14" x14ac:dyDescent="0.2">
      <c r="A1613" s="405">
        <f t="shared" si="494"/>
        <v>12</v>
      </c>
      <c r="B1613" s="446">
        <v>387.46</v>
      </c>
      <c r="C1613" s="414" t="s">
        <v>1062</v>
      </c>
      <c r="D1613" s="421">
        <f t="shared" si="488"/>
        <v>113644.47</v>
      </c>
      <c r="E1613" s="1662">
        <v>0</v>
      </c>
      <c r="F1613" s="1662">
        <v>0</v>
      </c>
      <c r="G1613" s="428">
        <f>SUM(D1613:F1613)</f>
        <v>113644.47</v>
      </c>
      <c r="H1613" s="447"/>
      <c r="I1613" s="421">
        <f t="shared" si="489"/>
        <v>113648.83</v>
      </c>
      <c r="J1613" s="442">
        <f t="shared" si="490"/>
        <v>3.7400000000000003E-2</v>
      </c>
      <c r="K1613" s="421">
        <f t="shared" si="491"/>
        <v>354</v>
      </c>
      <c r="L1613" s="421">
        <f t="shared" si="492"/>
        <v>0</v>
      </c>
      <c r="M1613" s="422">
        <v>0</v>
      </c>
      <c r="N1613" s="423">
        <f t="shared" si="493"/>
        <v>114002.83</v>
      </c>
    </row>
    <row r="1614" spans="1:14" x14ac:dyDescent="0.2">
      <c r="A1614" s="405">
        <f t="shared" si="494"/>
        <v>13</v>
      </c>
      <c r="B1614" s="448"/>
      <c r="C1614" s="386" t="s">
        <v>1063</v>
      </c>
      <c r="D1614" s="418">
        <f>SUM(D1602:D1613,D1562:D1583)</f>
        <v>414558958.37999994</v>
      </c>
      <c r="E1614" s="418">
        <f>SUM(E1602:E1613,E1562:E1583)</f>
        <v>2327366</v>
      </c>
      <c r="F1614" s="418">
        <f>SUM(F1602:F1613,F1562:F1583)</f>
        <v>-279500</v>
      </c>
      <c r="G1614" s="418">
        <f>SUM(G1602:G1613,G1562:G1583)</f>
        <v>416606824.37999994</v>
      </c>
      <c r="H1614" s="418"/>
      <c r="I1614" s="418">
        <f>SUM(I1602:I1613,I1562:I1583)</f>
        <v>145037155.47263157</v>
      </c>
      <c r="J1614" s="418"/>
      <c r="K1614" s="418">
        <f>SUM(K1602:K1613,K1562:K1583)</f>
        <v>1163230.0494736843</v>
      </c>
      <c r="L1614" s="418">
        <f>SUM(L1602:L1613,L1562:L1583)</f>
        <v>279500</v>
      </c>
      <c r="M1614" s="418">
        <f>SUM(M1602:M1613,M1562:M1583)</f>
        <v>-66400</v>
      </c>
      <c r="N1614" s="418">
        <f>SUM(N1602:N1613,N1562:N1583)</f>
        <v>145854485.52210525</v>
      </c>
    </row>
    <row r="1615" spans="1:14" x14ac:dyDescent="0.2">
      <c r="B1615" s="448"/>
      <c r="D1615" s="418"/>
      <c r="E1615" s="418"/>
      <c r="F1615" s="418"/>
      <c r="G1615" s="418"/>
      <c r="H1615" s="418"/>
      <c r="I1615" s="439"/>
      <c r="J1615" s="418"/>
      <c r="K1615" s="418"/>
      <c r="L1615" s="418"/>
      <c r="M1615" s="418"/>
    </row>
    <row r="1616" spans="1:14" x14ac:dyDescent="0.2">
      <c r="A1616" s="405">
        <f>A1614+1</f>
        <v>14</v>
      </c>
      <c r="B1616" s="448"/>
      <c r="C1616" s="411" t="s">
        <v>737</v>
      </c>
      <c r="D1616" s="418"/>
      <c r="E1616" s="418"/>
      <c r="F1616" s="418"/>
      <c r="G1616" s="418"/>
      <c r="H1616" s="418"/>
      <c r="I1616" s="439"/>
      <c r="J1616" s="418"/>
      <c r="K1616" s="418"/>
      <c r="L1616" s="418"/>
      <c r="M1616" s="418"/>
    </row>
    <row r="1617" spans="1:14" x14ac:dyDescent="0.2">
      <c r="A1617" s="410">
        <f>A1616+1</f>
        <v>15</v>
      </c>
      <c r="B1617" s="446">
        <v>391.1</v>
      </c>
      <c r="C1617" s="414" t="s">
        <v>1064</v>
      </c>
      <c r="D1617" s="415">
        <f t="shared" ref="D1617:D1630" si="496">G1511</f>
        <v>713480.71</v>
      </c>
      <c r="E1617" s="417">
        <v>0</v>
      </c>
      <c r="F1617" s="417">
        <v>0</v>
      </c>
      <c r="G1617" s="415">
        <f t="shared" ref="G1617:G1630" si="497">SUM(D1617:F1617)</f>
        <v>713480.71</v>
      </c>
      <c r="H1617" s="418"/>
      <c r="I1617" s="415">
        <f t="shared" ref="I1617:I1630" si="498">N1511</f>
        <v>-38684.22</v>
      </c>
      <c r="J1617" s="442">
        <f t="shared" ref="J1617:J1630" si="499">J1511</f>
        <v>0.05</v>
      </c>
      <c r="K1617" s="418">
        <f>ROUND((G1617+D1617)/2*J1617/12,0)</f>
        <v>2973</v>
      </c>
      <c r="L1617" s="418">
        <f t="shared" ref="L1617:L1630" si="500">-F1617</f>
        <v>0</v>
      </c>
      <c r="M1617" s="417">
        <v>0</v>
      </c>
      <c r="N1617" s="408">
        <f t="shared" ref="N1617:N1630" si="501">I1617+K1617-L1617+M1617</f>
        <v>-35711.22</v>
      </c>
    </row>
    <row r="1618" spans="1:14" x14ac:dyDescent="0.2">
      <c r="A1618" s="410">
        <f t="shared" ref="A1618:A1631" si="502">A1617+1</f>
        <v>16</v>
      </c>
      <c r="B1618" s="446">
        <v>391.11</v>
      </c>
      <c r="C1618" s="414" t="s">
        <v>1065</v>
      </c>
      <c r="D1618" s="415">
        <f t="shared" si="496"/>
        <v>18815.57</v>
      </c>
      <c r="E1618" s="417">
        <v>0</v>
      </c>
      <c r="F1618" s="417">
        <v>0</v>
      </c>
      <c r="G1618" s="415">
        <f t="shared" si="497"/>
        <v>18815.57</v>
      </c>
      <c r="H1618" s="418"/>
      <c r="I1618" s="415">
        <f t="shared" si="498"/>
        <v>-11564.77</v>
      </c>
      <c r="J1618" s="442">
        <f t="shared" si="499"/>
        <v>6.6699999999999995E-2</v>
      </c>
      <c r="K1618" s="418">
        <f>ROUND((G1618+D1618)/2*J1618/12,0)</f>
        <v>105</v>
      </c>
      <c r="L1618" s="418">
        <f t="shared" si="500"/>
        <v>0</v>
      </c>
      <c r="M1618" s="417">
        <v>0</v>
      </c>
      <c r="N1618" s="408">
        <f t="shared" si="501"/>
        <v>-11459.77</v>
      </c>
    </row>
    <row r="1619" spans="1:14" x14ac:dyDescent="0.2">
      <c r="A1619" s="410">
        <f t="shared" si="502"/>
        <v>17</v>
      </c>
      <c r="B1619" s="446">
        <v>391.12</v>
      </c>
      <c r="C1619" s="414" t="s">
        <v>1066</v>
      </c>
      <c r="D1619" s="415">
        <f t="shared" si="496"/>
        <v>1407883.4100000001</v>
      </c>
      <c r="E1619" s="417">
        <v>0</v>
      </c>
      <c r="F1619" s="417">
        <v>0</v>
      </c>
      <c r="G1619" s="415">
        <f t="shared" si="497"/>
        <v>1407883.4100000001</v>
      </c>
      <c r="H1619" s="418"/>
      <c r="I1619" s="415">
        <f t="shared" si="498"/>
        <v>675505.37</v>
      </c>
      <c r="J1619" s="442">
        <f t="shared" si="499"/>
        <v>0.2</v>
      </c>
      <c r="K1619" s="418">
        <f>ROUND((G1619+D1619)/2*J1619/12,0)</f>
        <v>23465</v>
      </c>
      <c r="L1619" s="418">
        <f t="shared" si="500"/>
        <v>0</v>
      </c>
      <c r="M1619" s="417">
        <v>0</v>
      </c>
      <c r="N1619" s="408">
        <f t="shared" si="501"/>
        <v>698970.37</v>
      </c>
    </row>
    <row r="1620" spans="1:14" x14ac:dyDescent="0.2">
      <c r="A1620" s="410">
        <f t="shared" si="502"/>
        <v>18</v>
      </c>
      <c r="B1620" s="446">
        <v>392.2</v>
      </c>
      <c r="C1620" s="414" t="s">
        <v>1067</v>
      </c>
      <c r="D1620" s="415">
        <f t="shared" si="496"/>
        <v>95778</v>
      </c>
      <c r="E1620" s="417">
        <v>0</v>
      </c>
      <c r="F1620" s="417">
        <v>0</v>
      </c>
      <c r="G1620" s="415">
        <f t="shared" si="497"/>
        <v>95778</v>
      </c>
      <c r="H1620" s="418"/>
      <c r="I1620" s="415">
        <f t="shared" si="498"/>
        <v>25575.05</v>
      </c>
      <c r="J1620" s="442">
        <f t="shared" si="499"/>
        <v>9.1499999999999998E-2</v>
      </c>
      <c r="K1620" s="418">
        <f>ROUND((G1620+D1620)/2*J1620/12,0)</f>
        <v>730</v>
      </c>
      <c r="L1620" s="418">
        <f t="shared" si="500"/>
        <v>0</v>
      </c>
      <c r="M1620" s="417">
        <v>0</v>
      </c>
      <c r="N1620" s="408">
        <f t="shared" si="501"/>
        <v>26305.05</v>
      </c>
    </row>
    <row r="1621" spans="1:14" x14ac:dyDescent="0.2">
      <c r="A1621" s="410">
        <f t="shared" si="502"/>
        <v>19</v>
      </c>
      <c r="B1621" s="446">
        <v>392.21</v>
      </c>
      <c r="C1621" s="414" t="s">
        <v>1068</v>
      </c>
      <c r="D1621" s="415">
        <f t="shared" si="496"/>
        <v>24462.2</v>
      </c>
      <c r="E1621" s="417">
        <v>0</v>
      </c>
      <c r="F1621" s="417">
        <v>0</v>
      </c>
      <c r="G1621" s="415">
        <f t="shared" si="497"/>
        <v>24462.2</v>
      </c>
      <c r="H1621" s="418"/>
      <c r="I1621" s="415">
        <f t="shared" si="498"/>
        <v>5935.4</v>
      </c>
      <c r="J1621" s="442">
        <f t="shared" si="499"/>
        <v>9.1499999999999998E-2</v>
      </c>
      <c r="K1621" s="418">
        <f>ROUND((G1621+D1621)/2*J1621/12,0)</f>
        <v>187</v>
      </c>
      <c r="L1621" s="418">
        <f t="shared" si="500"/>
        <v>0</v>
      </c>
      <c r="M1621" s="417">
        <v>0</v>
      </c>
      <c r="N1621" s="408">
        <f t="shared" si="501"/>
        <v>6122.4</v>
      </c>
    </row>
    <row r="1622" spans="1:14" x14ac:dyDescent="0.2">
      <c r="A1622" s="410">
        <f t="shared" si="502"/>
        <v>20</v>
      </c>
      <c r="B1622" s="446">
        <v>393</v>
      </c>
      <c r="C1622" s="414" t="s">
        <v>1069</v>
      </c>
      <c r="D1622" s="415">
        <f t="shared" si="496"/>
        <v>0</v>
      </c>
      <c r="E1622" s="417">
        <v>0</v>
      </c>
      <c r="F1622" s="417">
        <v>0</v>
      </c>
      <c r="G1622" s="415">
        <f t="shared" si="497"/>
        <v>0</v>
      </c>
      <c r="H1622" s="418"/>
      <c r="I1622" s="415">
        <f t="shared" si="498"/>
        <v>0</v>
      </c>
      <c r="J1622" s="442" t="str">
        <f t="shared" si="499"/>
        <v>Amort.</v>
      </c>
      <c r="K1622" s="417">
        <v>0</v>
      </c>
      <c r="L1622" s="418">
        <f t="shared" si="500"/>
        <v>0</v>
      </c>
      <c r="M1622" s="417">
        <v>0</v>
      </c>
      <c r="N1622" s="408">
        <f t="shared" si="501"/>
        <v>0</v>
      </c>
    </row>
    <row r="1623" spans="1:14" x14ac:dyDescent="0.2">
      <c r="A1623" s="410">
        <f t="shared" si="502"/>
        <v>21</v>
      </c>
      <c r="B1623" s="446">
        <v>394.1</v>
      </c>
      <c r="C1623" s="414" t="s">
        <v>1070</v>
      </c>
      <c r="D1623" s="415">
        <f t="shared" si="496"/>
        <v>24240.799999999999</v>
      </c>
      <c r="E1623" s="417">
        <v>0</v>
      </c>
      <c r="F1623" s="417">
        <v>0</v>
      </c>
      <c r="G1623" s="415">
        <f t="shared" si="497"/>
        <v>24240.799999999999</v>
      </c>
      <c r="H1623" s="418"/>
      <c r="I1623" s="415">
        <f t="shared" si="498"/>
        <v>14932.82</v>
      </c>
      <c r="J1623" s="442">
        <f t="shared" si="499"/>
        <v>0.04</v>
      </c>
      <c r="K1623" s="418">
        <f t="shared" ref="K1623:K1630" si="503">ROUND((G1623+D1623)/2*J1623/12,0)</f>
        <v>81</v>
      </c>
      <c r="L1623" s="418">
        <f t="shared" si="500"/>
        <v>0</v>
      </c>
      <c r="M1623" s="417">
        <v>0</v>
      </c>
      <c r="N1623" s="408">
        <f t="shared" si="501"/>
        <v>15013.82</v>
      </c>
    </row>
    <row r="1624" spans="1:14" x14ac:dyDescent="0.2">
      <c r="A1624" s="410">
        <f t="shared" si="502"/>
        <v>22</v>
      </c>
      <c r="B1624" s="446">
        <v>394.11</v>
      </c>
      <c r="C1624" s="414" t="s">
        <v>1071</v>
      </c>
      <c r="D1624" s="415">
        <f t="shared" si="496"/>
        <v>0</v>
      </c>
      <c r="E1624" s="417">
        <v>0</v>
      </c>
      <c r="F1624" s="417">
        <v>0</v>
      </c>
      <c r="G1624" s="415">
        <f t="shared" si="497"/>
        <v>0</v>
      </c>
      <c r="H1624" s="418"/>
      <c r="I1624" s="415">
        <f t="shared" si="498"/>
        <v>0</v>
      </c>
      <c r="J1624" s="442">
        <f t="shared" si="499"/>
        <v>0</v>
      </c>
      <c r="K1624" s="417">
        <v>0</v>
      </c>
      <c r="L1624" s="418">
        <f t="shared" si="500"/>
        <v>0</v>
      </c>
      <c r="M1624" s="417">
        <v>0</v>
      </c>
      <c r="N1624" s="408">
        <f t="shared" si="501"/>
        <v>0</v>
      </c>
    </row>
    <row r="1625" spans="1:14" x14ac:dyDescent="0.2">
      <c r="A1625" s="410">
        <f t="shared" si="502"/>
        <v>23</v>
      </c>
      <c r="B1625" s="446">
        <v>394.13</v>
      </c>
      <c r="C1625" s="438" t="s">
        <v>1072</v>
      </c>
      <c r="D1625" s="415">
        <f t="shared" si="496"/>
        <v>0</v>
      </c>
      <c r="E1625" s="417">
        <v>0</v>
      </c>
      <c r="F1625" s="417">
        <v>0</v>
      </c>
      <c r="G1625" s="415">
        <f t="shared" si="497"/>
        <v>0</v>
      </c>
      <c r="H1625" s="418"/>
      <c r="I1625" s="415">
        <f t="shared" si="498"/>
        <v>37937.360000000001</v>
      </c>
      <c r="J1625" s="442" t="str">
        <f t="shared" si="499"/>
        <v>Amort.</v>
      </c>
      <c r="K1625" s="417">
        <v>0</v>
      </c>
      <c r="L1625" s="418">
        <f t="shared" si="500"/>
        <v>0</v>
      </c>
      <c r="M1625" s="417">
        <v>0</v>
      </c>
      <c r="N1625" s="408">
        <f t="shared" si="501"/>
        <v>37937.360000000001</v>
      </c>
    </row>
    <row r="1626" spans="1:14" x14ac:dyDescent="0.2">
      <c r="A1626" s="410">
        <f t="shared" si="502"/>
        <v>24</v>
      </c>
      <c r="B1626" s="446">
        <v>394.2</v>
      </c>
      <c r="C1626" s="414" t="s">
        <v>1073</v>
      </c>
      <c r="D1626" s="415">
        <f t="shared" si="496"/>
        <v>0</v>
      </c>
      <c r="E1626" s="417">
        <v>0</v>
      </c>
      <c r="F1626" s="417">
        <v>0</v>
      </c>
      <c r="G1626" s="415">
        <f t="shared" si="497"/>
        <v>0</v>
      </c>
      <c r="H1626" s="418"/>
      <c r="I1626" s="415">
        <f t="shared" si="498"/>
        <v>185.21</v>
      </c>
      <c r="J1626" s="442">
        <f t="shared" si="499"/>
        <v>0.04</v>
      </c>
      <c r="K1626" s="418">
        <f t="shared" si="503"/>
        <v>0</v>
      </c>
      <c r="L1626" s="418">
        <f t="shared" si="500"/>
        <v>0</v>
      </c>
      <c r="M1626" s="417">
        <v>0</v>
      </c>
      <c r="N1626" s="408">
        <f t="shared" si="501"/>
        <v>185.21</v>
      </c>
    </row>
    <row r="1627" spans="1:14" x14ac:dyDescent="0.2">
      <c r="A1627" s="410">
        <f t="shared" si="502"/>
        <v>25</v>
      </c>
      <c r="B1627" s="446">
        <v>394.3</v>
      </c>
      <c r="C1627" s="414" t="s">
        <v>1074</v>
      </c>
      <c r="D1627" s="415">
        <f t="shared" si="496"/>
        <v>3088721.16</v>
      </c>
      <c r="E1627" s="417">
        <v>39800</v>
      </c>
      <c r="F1627" s="417">
        <v>-4800</v>
      </c>
      <c r="G1627" s="415">
        <f t="shared" si="497"/>
        <v>3123721.16</v>
      </c>
      <c r="H1627" s="418"/>
      <c r="I1627" s="415">
        <f t="shared" si="498"/>
        <v>1329599.1499999999</v>
      </c>
      <c r="J1627" s="442">
        <f t="shared" si="499"/>
        <v>0.04</v>
      </c>
      <c r="K1627" s="418">
        <f t="shared" si="503"/>
        <v>10354</v>
      </c>
      <c r="L1627" s="418">
        <f t="shared" si="500"/>
        <v>4800</v>
      </c>
      <c r="M1627" s="417">
        <v>0</v>
      </c>
      <c r="N1627" s="408">
        <f t="shared" si="501"/>
        <v>1335153.1499999999</v>
      </c>
    </row>
    <row r="1628" spans="1:14" x14ac:dyDescent="0.2">
      <c r="A1628" s="410">
        <f t="shared" si="502"/>
        <v>26</v>
      </c>
      <c r="B1628" s="446">
        <v>395</v>
      </c>
      <c r="C1628" s="414" t="s">
        <v>1075</v>
      </c>
      <c r="D1628" s="415">
        <f t="shared" si="496"/>
        <v>9257.77</v>
      </c>
      <c r="E1628" s="417">
        <v>0</v>
      </c>
      <c r="F1628" s="417">
        <v>0</v>
      </c>
      <c r="G1628" s="415">
        <f t="shared" si="497"/>
        <v>9257.77</v>
      </c>
      <c r="H1628" s="418"/>
      <c r="I1628" s="415">
        <f t="shared" si="498"/>
        <v>7685.59</v>
      </c>
      <c r="J1628" s="442">
        <f t="shared" si="499"/>
        <v>0.05</v>
      </c>
      <c r="K1628" s="418">
        <f t="shared" si="503"/>
        <v>39</v>
      </c>
      <c r="L1628" s="418">
        <f t="shared" si="500"/>
        <v>0</v>
      </c>
      <c r="M1628" s="417">
        <v>0</v>
      </c>
      <c r="N1628" s="408">
        <f t="shared" si="501"/>
        <v>7724.59</v>
      </c>
    </row>
    <row r="1629" spans="1:14" x14ac:dyDescent="0.2">
      <c r="A1629" s="410">
        <f t="shared" si="502"/>
        <v>27</v>
      </c>
      <c r="B1629" s="446">
        <v>396</v>
      </c>
      <c r="C1629" s="414" t="s">
        <v>1076</v>
      </c>
      <c r="D1629" s="415">
        <f t="shared" si="496"/>
        <v>253134.72</v>
      </c>
      <c r="E1629" s="417">
        <v>0</v>
      </c>
      <c r="F1629" s="417">
        <v>0</v>
      </c>
      <c r="G1629" s="415">
        <f t="shared" si="497"/>
        <v>253134.72</v>
      </c>
      <c r="H1629" s="418"/>
      <c r="I1629" s="415">
        <f t="shared" si="498"/>
        <v>201505.72</v>
      </c>
      <c r="J1629" s="442">
        <f t="shared" si="499"/>
        <v>2.5899999999999999E-2</v>
      </c>
      <c r="K1629" s="418">
        <f t="shared" si="503"/>
        <v>546</v>
      </c>
      <c r="L1629" s="418">
        <f t="shared" si="500"/>
        <v>0</v>
      </c>
      <c r="M1629" s="417">
        <v>0</v>
      </c>
      <c r="N1629" s="408">
        <f t="shared" si="501"/>
        <v>202051.72</v>
      </c>
    </row>
    <row r="1630" spans="1:14" x14ac:dyDescent="0.2">
      <c r="A1630" s="410">
        <f t="shared" si="502"/>
        <v>28</v>
      </c>
      <c r="B1630" s="446">
        <v>398</v>
      </c>
      <c r="C1630" s="414" t="s">
        <v>1077</v>
      </c>
      <c r="D1630" s="421">
        <f t="shared" si="496"/>
        <v>275161.94</v>
      </c>
      <c r="E1630" s="1662">
        <v>4600</v>
      </c>
      <c r="F1630" s="1662">
        <v>-600</v>
      </c>
      <c r="G1630" s="421">
        <f t="shared" si="497"/>
        <v>279161.94</v>
      </c>
      <c r="H1630" s="447"/>
      <c r="I1630" s="421">
        <f t="shared" si="498"/>
        <v>8228.59</v>
      </c>
      <c r="J1630" s="442">
        <f t="shared" si="499"/>
        <v>6.6699999999999995E-2</v>
      </c>
      <c r="K1630" s="421">
        <f t="shared" si="503"/>
        <v>1541</v>
      </c>
      <c r="L1630" s="421">
        <f t="shared" si="500"/>
        <v>600</v>
      </c>
      <c r="M1630" s="430">
        <v>0</v>
      </c>
      <c r="N1630" s="423">
        <f t="shared" si="501"/>
        <v>9169.59</v>
      </c>
    </row>
    <row r="1631" spans="1:14" x14ac:dyDescent="0.2">
      <c r="A1631" s="410">
        <f t="shared" si="502"/>
        <v>29</v>
      </c>
      <c r="C1631" s="386" t="s">
        <v>1078</v>
      </c>
      <c r="D1631" s="447">
        <f>SUM(D1617:D1630)</f>
        <v>5910936.2799999993</v>
      </c>
      <c r="E1631" s="447">
        <f>SUM(E1617:E1630)</f>
        <v>44400</v>
      </c>
      <c r="F1631" s="447">
        <f>SUM(F1617:F1630)</f>
        <v>-5400</v>
      </c>
      <c r="G1631" s="447">
        <f>SUM(G1617:G1630)</f>
        <v>5949936.2799999993</v>
      </c>
      <c r="H1631" s="447"/>
      <c r="I1631" s="447">
        <f>SUM(I1617:I1630)</f>
        <v>2256841.27</v>
      </c>
      <c r="J1631" s="424"/>
      <c r="K1631" s="447">
        <f>SUM(K1617:K1630)</f>
        <v>40021</v>
      </c>
      <c r="L1631" s="447">
        <f>SUM(L1617:L1630)</f>
        <v>5400</v>
      </c>
      <c r="M1631" s="447">
        <f>SUM(M1617:M1630)</f>
        <v>0</v>
      </c>
      <c r="N1631" s="447">
        <f>SUM(N1617:N1630)</f>
        <v>2291462.27</v>
      </c>
    </row>
    <row r="1632" spans="1:14" x14ac:dyDescent="0.2">
      <c r="D1632" s="418"/>
      <c r="E1632" s="418"/>
      <c r="F1632" s="418"/>
      <c r="G1632" s="418"/>
      <c r="H1632" s="418"/>
      <c r="I1632" s="418"/>
      <c r="J1632" s="432"/>
      <c r="K1632" s="418"/>
      <c r="L1632" s="418"/>
      <c r="M1632" s="418"/>
    </row>
    <row r="1633" spans="1:15" x14ac:dyDescent="0.2">
      <c r="A1633" s="405">
        <f>A1631+1</f>
        <v>30</v>
      </c>
      <c r="B1633" s="448"/>
      <c r="C1633" s="411" t="s">
        <v>2287</v>
      </c>
      <c r="D1633" s="418"/>
      <c r="E1633" s="418"/>
      <c r="F1633" s="418"/>
      <c r="G1633" s="418"/>
      <c r="H1633" s="418"/>
      <c r="I1633" s="439"/>
      <c r="J1633" s="418"/>
      <c r="K1633" s="418"/>
      <c r="L1633" s="418"/>
      <c r="M1633" s="418"/>
    </row>
    <row r="1634" spans="1:15" x14ac:dyDescent="0.2">
      <c r="A1634" s="1722">
        <f>A1633+1</f>
        <v>31</v>
      </c>
      <c r="B1634" s="446">
        <v>378.21</v>
      </c>
      <c r="C1634" s="1725" t="s">
        <v>2244</v>
      </c>
      <c r="D1634" s="415">
        <f>G1528</f>
        <v>-777092</v>
      </c>
      <c r="E1634" s="417">
        <v>0</v>
      </c>
      <c r="F1634" s="417">
        <v>0</v>
      </c>
      <c r="G1634" s="415">
        <f t="shared" ref="G1634" si="504">SUM(D1634:F1634)</f>
        <v>-777092</v>
      </c>
      <c r="H1634" s="418"/>
      <c r="I1634" s="415">
        <f>N1528</f>
        <v>-51029.363333333284</v>
      </c>
      <c r="J1634" s="419" t="s">
        <v>1094</v>
      </c>
      <c r="K1634" s="417">
        <v>-2158.5833333333321</v>
      </c>
      <c r="L1634" s="418">
        <f t="shared" ref="L1634" si="505">-F1634</f>
        <v>0</v>
      </c>
      <c r="M1634" s="417">
        <v>0</v>
      </c>
      <c r="N1634" s="408">
        <f t="shared" ref="N1634" si="506">I1634+K1634-L1634+M1634</f>
        <v>-53187.946666666612</v>
      </c>
      <c r="O1634" s="408"/>
    </row>
    <row r="1635" spans="1:15" x14ac:dyDescent="0.2">
      <c r="A1635" s="1722"/>
      <c r="B1635" s="446"/>
      <c r="C1635" s="438"/>
      <c r="D1635" s="415"/>
      <c r="E1635" s="417"/>
      <c r="F1635" s="417"/>
      <c r="G1635" s="415"/>
      <c r="H1635" s="418"/>
      <c r="I1635" s="419"/>
      <c r="J1635" s="419"/>
      <c r="K1635" s="417"/>
      <c r="L1635" s="418"/>
      <c r="M1635" s="417"/>
      <c r="N1635" s="408"/>
      <c r="O1635" s="408"/>
    </row>
    <row r="1636" spans="1:15" x14ac:dyDescent="0.2">
      <c r="A1636" s="410">
        <f>A1634+1</f>
        <v>32</v>
      </c>
      <c r="C1636" s="386" t="s">
        <v>774</v>
      </c>
      <c r="D1636" s="450">
        <f>D1631+D1614+D1559+D1555+D1634</f>
        <v>426786257.36999989</v>
      </c>
      <c r="E1636" s="450">
        <f>E1631+E1614+E1559+E1555+E1634</f>
        <v>2371766</v>
      </c>
      <c r="F1636" s="450">
        <f>F1631+F1614+F1559+F1555+F1634</f>
        <v>-284900</v>
      </c>
      <c r="G1636" s="450">
        <f>G1631+G1614+G1559+G1555+G1634</f>
        <v>428873123.36999989</v>
      </c>
      <c r="H1636" s="418"/>
      <c r="I1636" s="450">
        <f>I1631+I1614+I1559+I1555+I1634</f>
        <v>150519548.85141715</v>
      </c>
      <c r="J1636" s="451"/>
      <c r="K1636" s="450">
        <f>K1631+K1614+K1559+K1555+K1634</f>
        <v>1286305.0631964644</v>
      </c>
      <c r="L1636" s="450">
        <f>L1631+L1614+L1559+L1555+L1634</f>
        <v>284900</v>
      </c>
      <c r="M1636" s="450">
        <f>M1631+M1614+M1559+M1555+M1634</f>
        <v>-66400</v>
      </c>
      <c r="N1636" s="450">
        <f>N1631+N1614+N1559+N1555+N1634</f>
        <v>151454553.91461363</v>
      </c>
    </row>
    <row r="1638" spans="1:15" x14ac:dyDescent="0.2">
      <c r="A1638" s="2073" t="str">
        <f>co</f>
        <v>COLUMBIA GAS OF KENTUCKY, INC.</v>
      </c>
      <c r="B1638" s="2073"/>
      <c r="C1638" s="2073"/>
      <c r="D1638" s="2073"/>
      <c r="E1638" s="2073"/>
      <c r="F1638" s="2073"/>
      <c r="G1638" s="2073"/>
      <c r="H1638" s="2073"/>
      <c r="I1638" s="2073"/>
      <c r="J1638" s="2073"/>
      <c r="K1638" s="2073"/>
      <c r="L1638" s="2073"/>
      <c r="M1638" s="2073"/>
      <c r="N1638" s="2073"/>
    </row>
    <row r="1639" spans="1:15" x14ac:dyDescent="0.2">
      <c r="A1639" s="2073" t="str">
        <f>case</f>
        <v>CASE NO. 2016 - 00162</v>
      </c>
      <c r="B1639" s="2073"/>
      <c r="C1639" s="2073"/>
      <c r="D1639" s="2073"/>
      <c r="E1639" s="2073"/>
      <c r="F1639" s="2073"/>
      <c r="G1639" s="2073"/>
      <c r="H1639" s="2073"/>
      <c r="I1639" s="2073"/>
      <c r="J1639" s="2073"/>
      <c r="K1639" s="2073"/>
      <c r="L1639" s="2073"/>
      <c r="M1639" s="2073"/>
      <c r="N1639" s="2073"/>
    </row>
    <row r="1640" spans="1:15" x14ac:dyDescent="0.2">
      <c r="A1640" s="2074" t="s">
        <v>1106</v>
      </c>
      <c r="B1640" s="2073"/>
      <c r="C1640" s="2073"/>
      <c r="D1640" s="2073"/>
      <c r="E1640" s="2073"/>
      <c r="F1640" s="2073"/>
      <c r="G1640" s="2073"/>
      <c r="H1640" s="2073"/>
      <c r="I1640" s="2073"/>
      <c r="J1640" s="2073"/>
      <c r="K1640" s="2073"/>
      <c r="L1640" s="2073"/>
      <c r="M1640" s="2073"/>
      <c r="N1640" s="2073"/>
    </row>
    <row r="1641" spans="1:15" x14ac:dyDescent="0.2">
      <c r="A1641" s="2078" t="s">
        <v>2142</v>
      </c>
      <c r="B1641" s="2078"/>
      <c r="C1641" s="2078"/>
      <c r="D1641" s="2078"/>
      <c r="E1641" s="2078"/>
      <c r="F1641" s="2078"/>
      <c r="G1641" s="2078"/>
      <c r="H1641" s="2078"/>
      <c r="I1641" s="2078"/>
      <c r="J1641" s="2078"/>
      <c r="K1641" s="2078"/>
      <c r="L1641" s="2078"/>
      <c r="M1641" s="2078"/>
      <c r="N1641" s="2078"/>
    </row>
    <row r="1643" spans="1:15" x14ac:dyDescent="0.2">
      <c r="A1643" s="385" t="s">
        <v>1095</v>
      </c>
      <c r="I1643" s="386"/>
      <c r="N1643" s="387" t="s">
        <v>763</v>
      </c>
    </row>
    <row r="1644" spans="1:15" x14ac:dyDescent="0.2">
      <c r="A1644" s="388" t="s">
        <v>977</v>
      </c>
      <c r="I1644" s="386"/>
      <c r="N1644" s="387" t="s">
        <v>998</v>
      </c>
    </row>
    <row r="1645" spans="1:15" x14ac:dyDescent="0.2">
      <c r="A1645" s="390" t="s">
        <v>997</v>
      </c>
      <c r="B1645" s="391"/>
      <c r="C1645" s="391"/>
      <c r="D1645" s="391"/>
      <c r="E1645" s="391"/>
      <c r="F1645" s="391"/>
      <c r="G1645" s="391"/>
      <c r="H1645" s="391"/>
      <c r="I1645" s="392"/>
      <c r="L1645" s="386"/>
      <c r="M1645" s="386"/>
      <c r="N1645" s="393" t="str">
        <f>SMK</f>
        <v>WITNESS:  S. M. KATKO</v>
      </c>
    </row>
    <row r="1646" spans="1:15" x14ac:dyDescent="0.2">
      <c r="A1646" s="390"/>
      <c r="B1646" s="391"/>
      <c r="C1646" s="391"/>
      <c r="D1646" s="391"/>
      <c r="E1646" s="391"/>
      <c r="F1646" s="391"/>
      <c r="G1646" s="391"/>
      <c r="H1646" s="391"/>
      <c r="I1646" s="392"/>
      <c r="J1646" s="393"/>
      <c r="L1646" s="386"/>
      <c r="M1646" s="386"/>
    </row>
    <row r="1647" spans="1:15" x14ac:dyDescent="0.2">
      <c r="A1647" s="390"/>
      <c r="B1647" s="391"/>
      <c r="C1647" s="391"/>
      <c r="D1647" s="2075" t="s">
        <v>1088</v>
      </c>
      <c r="E1647" s="2075"/>
      <c r="F1647" s="2075"/>
      <c r="G1647" s="2075"/>
      <c r="H1647" s="391"/>
      <c r="I1647" s="2076" t="s">
        <v>1093</v>
      </c>
      <c r="J1647" s="2077"/>
      <c r="K1647" s="2077"/>
      <c r="L1647" s="2077"/>
      <c r="M1647" s="2077"/>
      <c r="N1647" s="2077"/>
    </row>
    <row r="1648" spans="1:15" x14ac:dyDescent="0.2">
      <c r="A1648" s="394"/>
      <c r="B1648" s="391"/>
      <c r="C1648" s="391"/>
      <c r="D1648" s="396" t="s">
        <v>1084</v>
      </c>
      <c r="E1648" s="391"/>
      <c r="F1648" s="391"/>
      <c r="G1648" s="395"/>
      <c r="H1648" s="395"/>
      <c r="I1648" s="397" t="s">
        <v>1089</v>
      </c>
      <c r="J1648" s="396"/>
      <c r="M1648" s="386"/>
    </row>
    <row r="1649" spans="1:14" x14ac:dyDescent="0.2">
      <c r="A1649" s="383"/>
      <c r="D1649" s="397" t="s">
        <v>865</v>
      </c>
      <c r="G1649" s="397" t="s">
        <v>867</v>
      </c>
      <c r="H1649" s="398"/>
      <c r="I1649" s="397" t="s">
        <v>865</v>
      </c>
      <c r="J1649" s="397" t="s">
        <v>956</v>
      </c>
      <c r="M1649" s="386"/>
      <c r="N1649" s="397" t="s">
        <v>867</v>
      </c>
    </row>
    <row r="1650" spans="1:14" x14ac:dyDescent="0.2">
      <c r="A1650" s="397" t="s">
        <v>1080</v>
      </c>
      <c r="B1650" s="397" t="s">
        <v>1082</v>
      </c>
      <c r="D1650" s="397" t="s">
        <v>867</v>
      </c>
      <c r="G1650" s="399" t="s">
        <v>1087</v>
      </c>
      <c r="H1650" s="398"/>
      <c r="I1650" s="399" t="s">
        <v>867</v>
      </c>
      <c r="J1650" s="397" t="s">
        <v>1090</v>
      </c>
      <c r="K1650" s="397" t="s">
        <v>956</v>
      </c>
      <c r="M1650" s="399" t="s">
        <v>1092</v>
      </c>
      <c r="N1650" s="399" t="s">
        <v>1087</v>
      </c>
    </row>
    <row r="1651" spans="1:14" x14ac:dyDescent="0.2">
      <c r="A1651" s="400" t="s">
        <v>1081</v>
      </c>
      <c r="B1651" s="400" t="s">
        <v>1081</v>
      </c>
      <c r="C1651" s="401" t="s">
        <v>1083</v>
      </c>
      <c r="D1651" s="409" t="str">
        <f>"05/31/2017"</f>
        <v>05/31/2017</v>
      </c>
      <c r="E1651" s="400" t="s">
        <v>1085</v>
      </c>
      <c r="F1651" s="400" t="s">
        <v>1086</v>
      </c>
      <c r="G1651" s="409" t="str">
        <f>"06/30/2017"</f>
        <v>06/30/2017</v>
      </c>
      <c r="H1651" s="398"/>
      <c r="I1651" s="404" t="str">
        <f>D1651</f>
        <v>05/31/2017</v>
      </c>
      <c r="J1651" s="400" t="s">
        <v>1091</v>
      </c>
      <c r="K1651" s="402" t="s">
        <v>1090</v>
      </c>
      <c r="L1651" s="402" t="s">
        <v>1086</v>
      </c>
      <c r="M1651" s="402" t="s">
        <v>955</v>
      </c>
      <c r="N1651" s="404" t="str">
        <f>G1651</f>
        <v>06/30/2017</v>
      </c>
    </row>
    <row r="1652" spans="1:14" x14ac:dyDescent="0.2">
      <c r="A1652" s="406"/>
      <c r="B1652" s="406"/>
      <c r="C1652" s="406"/>
      <c r="D1652" s="406" t="str">
        <f>"(1)"</f>
        <v>(1)</v>
      </c>
      <c r="E1652" s="406" t="str">
        <f>"(2)"</f>
        <v>(2)</v>
      </c>
      <c r="F1652" s="406" t="str">
        <f>"(3)"</f>
        <v>(3)</v>
      </c>
      <c r="G1652" s="406" t="str">
        <f>"(4)=(1+2+3)"</f>
        <v>(4)=(1+2+3)</v>
      </c>
      <c r="H1652" s="406"/>
      <c r="I1652" s="406" t="str">
        <f>"(5)"</f>
        <v>(5)</v>
      </c>
      <c r="J1652" s="406" t="str">
        <f>"(6)"</f>
        <v>(6)</v>
      </c>
      <c r="K1652" s="406" t="str">
        <f>"(7)=((1+4)/2*6/12))"</f>
        <v>(7)=((1+4)/2*6/12))</v>
      </c>
      <c r="L1652" s="406" t="str">
        <f>"(8)"</f>
        <v>(8)</v>
      </c>
      <c r="M1652" s="406" t="str">
        <f>"(9)"</f>
        <v>(9)</v>
      </c>
      <c r="N1652" s="406" t="str">
        <f>"(10)=(5+7-8+9)"</f>
        <v>(10)=(5+7-8+9)</v>
      </c>
    </row>
    <row r="1653" spans="1:14" x14ac:dyDescent="0.2">
      <c r="D1653" s="410" t="s">
        <v>639</v>
      </c>
      <c r="E1653" s="410" t="s">
        <v>639</v>
      </c>
      <c r="F1653" s="410" t="s">
        <v>639</v>
      </c>
      <c r="G1653" s="410" t="s">
        <v>639</v>
      </c>
      <c r="H1653" s="410"/>
      <c r="I1653" s="410" t="s">
        <v>639</v>
      </c>
      <c r="J1653" s="410" t="s">
        <v>639</v>
      </c>
      <c r="K1653" s="410" t="s">
        <v>639</v>
      </c>
      <c r="L1653" s="410" t="s">
        <v>639</v>
      </c>
      <c r="M1653" s="410" t="s">
        <v>639</v>
      </c>
      <c r="N1653" s="410" t="s">
        <v>639</v>
      </c>
    </row>
    <row r="1654" spans="1:14" x14ac:dyDescent="0.2">
      <c r="A1654" s="410">
        <v>1</v>
      </c>
      <c r="B1654" s="411" t="s">
        <v>1025</v>
      </c>
      <c r="C1654" s="412"/>
      <c r="M1654" s="386"/>
    </row>
    <row r="1655" spans="1:14" x14ac:dyDescent="0.2">
      <c r="A1655" s="410">
        <f>A1654+1</f>
        <v>2</v>
      </c>
      <c r="C1655" s="411" t="s">
        <v>697</v>
      </c>
      <c r="M1655" s="386"/>
    </row>
    <row r="1656" spans="1:14" x14ac:dyDescent="0.2">
      <c r="A1656" s="410">
        <f t="shared" ref="A1656:A1661" si="507">A1655+1</f>
        <v>3</v>
      </c>
      <c r="B1656" s="413">
        <v>301</v>
      </c>
      <c r="C1656" s="414" t="s">
        <v>1026</v>
      </c>
      <c r="D1656" s="415">
        <f>G1550</f>
        <v>521.20000000000005</v>
      </c>
      <c r="E1656" s="417">
        <v>0</v>
      </c>
      <c r="F1656" s="417">
        <v>0</v>
      </c>
      <c r="G1656" s="415">
        <f>SUM(D1656:F1656)</f>
        <v>521.20000000000005</v>
      </c>
      <c r="H1656" s="418"/>
      <c r="I1656" s="415">
        <f>N1550</f>
        <v>0</v>
      </c>
      <c r="J1656" s="419" t="s">
        <v>1094</v>
      </c>
      <c r="K1656" s="417">
        <v>0</v>
      </c>
      <c r="L1656" s="418">
        <f>-F1656</f>
        <v>0</v>
      </c>
      <c r="M1656" s="417">
        <v>0</v>
      </c>
      <c r="N1656" s="408">
        <f>I1656+K1656-L1656+M1656</f>
        <v>0</v>
      </c>
    </row>
    <row r="1657" spans="1:14" x14ac:dyDescent="0.2">
      <c r="A1657" s="410">
        <f t="shared" si="507"/>
        <v>4</v>
      </c>
      <c r="B1657" s="413">
        <v>303</v>
      </c>
      <c r="C1657" s="414" t="s">
        <v>1027</v>
      </c>
      <c r="D1657" s="415">
        <f>G1551</f>
        <v>74347.509999999995</v>
      </c>
      <c r="E1657" s="417">
        <v>0</v>
      </c>
      <c r="F1657" s="417">
        <v>0</v>
      </c>
      <c r="G1657" s="415">
        <f>SUM(D1657:F1657)</f>
        <v>74347.509999999995</v>
      </c>
      <c r="H1657" s="418"/>
      <c r="I1657" s="415">
        <f>N1551</f>
        <v>48897.229999999952</v>
      </c>
      <c r="J1657" s="419" t="s">
        <v>1094</v>
      </c>
      <c r="K1657" s="415">
        <f>'Intangible Amort.'!L$110</f>
        <v>206.52</v>
      </c>
      <c r="L1657" s="418">
        <f>-F1657</f>
        <v>0</v>
      </c>
      <c r="M1657" s="417">
        <v>0</v>
      </c>
      <c r="N1657" s="408">
        <f>I1657+K1657-L1657+M1657</f>
        <v>49103.749999999949</v>
      </c>
    </row>
    <row r="1658" spans="1:14" x14ac:dyDescent="0.2">
      <c r="A1658" s="410">
        <f t="shared" si="507"/>
        <v>5</v>
      </c>
      <c r="B1658" s="413">
        <v>303.10000000000002</v>
      </c>
      <c r="C1658" s="414" t="s">
        <v>1028</v>
      </c>
      <c r="D1658" s="415">
        <f>G1552</f>
        <v>0</v>
      </c>
      <c r="E1658" s="417">
        <v>0</v>
      </c>
      <c r="F1658" s="417">
        <v>0</v>
      </c>
      <c r="G1658" s="415">
        <f>SUM(D1658:F1658)</f>
        <v>0</v>
      </c>
      <c r="H1658" s="418"/>
      <c r="I1658" s="415">
        <f>N1552</f>
        <v>0</v>
      </c>
      <c r="J1658" s="419" t="s">
        <v>1094</v>
      </c>
      <c r="K1658" s="417">
        <v>0</v>
      </c>
      <c r="L1658" s="418">
        <f>-F1658</f>
        <v>0</v>
      </c>
      <c r="M1658" s="417">
        <v>0</v>
      </c>
      <c r="N1658" s="408">
        <f>I1658+K1658-L1658+M1658</f>
        <v>0</v>
      </c>
    </row>
    <row r="1659" spans="1:14" x14ac:dyDescent="0.2">
      <c r="A1659" s="410">
        <f t="shared" si="507"/>
        <v>6</v>
      </c>
      <c r="B1659" s="413">
        <v>303.2</v>
      </c>
      <c r="C1659" s="414" t="s">
        <v>1029</v>
      </c>
      <c r="D1659" s="415">
        <f>G1553</f>
        <v>0</v>
      </c>
      <c r="E1659" s="417">
        <v>0</v>
      </c>
      <c r="F1659" s="417">
        <v>0</v>
      </c>
      <c r="G1659" s="415">
        <f>SUM(D1659:F1659)</f>
        <v>0</v>
      </c>
      <c r="H1659" s="418"/>
      <c r="I1659" s="415">
        <f>N1553</f>
        <v>0</v>
      </c>
      <c r="J1659" s="419" t="s">
        <v>1094</v>
      </c>
      <c r="K1659" s="417">
        <v>0</v>
      </c>
      <c r="L1659" s="418">
        <f>-F1659</f>
        <v>0</v>
      </c>
      <c r="M1659" s="417">
        <v>0</v>
      </c>
      <c r="N1659" s="408">
        <f>I1659+K1659-L1659+M1659</f>
        <v>0</v>
      </c>
    </row>
    <row r="1660" spans="1:14" x14ac:dyDescent="0.2">
      <c r="A1660" s="410">
        <f t="shared" si="507"/>
        <v>7</v>
      </c>
      <c r="B1660" s="413">
        <v>303.3</v>
      </c>
      <c r="C1660" s="414" t="s">
        <v>1030</v>
      </c>
      <c r="D1660" s="421">
        <f>G1554</f>
        <v>7018586</v>
      </c>
      <c r="E1660" s="422">
        <v>0</v>
      </c>
      <c r="F1660" s="422">
        <v>0</v>
      </c>
      <c r="G1660" s="421">
        <f>SUM(D1660:F1660)</f>
        <v>7018586</v>
      </c>
      <c r="H1660" s="418"/>
      <c r="I1660" s="421">
        <f>N1554</f>
        <v>3312896.8391750325</v>
      </c>
      <c r="J1660" s="419" t="s">
        <v>1094</v>
      </c>
      <c r="K1660" s="421">
        <f>'Intangible Amort.'!L$188</f>
        <v>84463.826088371396</v>
      </c>
      <c r="L1660" s="421">
        <f>-F1660</f>
        <v>0</v>
      </c>
      <c r="M1660" s="422">
        <v>0</v>
      </c>
      <c r="N1660" s="423">
        <f>I1660+K1660-L1660+M1660</f>
        <v>3397360.6652634037</v>
      </c>
    </row>
    <row r="1661" spans="1:14" x14ac:dyDescent="0.2">
      <c r="A1661" s="410">
        <f t="shared" si="507"/>
        <v>8</v>
      </c>
      <c r="B1661" s="413"/>
      <c r="C1661" s="414" t="s">
        <v>1031</v>
      </c>
      <c r="D1661" s="418">
        <f>SUM(D1656:D1660)</f>
        <v>7093454.71</v>
      </c>
      <c r="E1661" s="418">
        <f>SUM(E1656:E1660)</f>
        <v>0</v>
      </c>
      <c r="F1661" s="418">
        <f>SUM(F1656:F1660)</f>
        <v>0</v>
      </c>
      <c r="G1661" s="418">
        <f>SUM(G1656:G1660)</f>
        <v>7093454.71</v>
      </c>
      <c r="H1661" s="418"/>
      <c r="I1661" s="418">
        <f>SUM(I1656:I1660)</f>
        <v>3361794.0691750324</v>
      </c>
      <c r="J1661" s="424"/>
      <c r="K1661" s="418">
        <f>SUM(K1656:K1660)</f>
        <v>84670.3460883714</v>
      </c>
      <c r="L1661" s="418">
        <f>SUM(L1656:L1660)</f>
        <v>0</v>
      </c>
      <c r="M1661" s="418">
        <f>SUM(M1656:M1660)</f>
        <v>0</v>
      </c>
      <c r="N1661" s="418">
        <f>SUM(N1656:N1660)</f>
        <v>3446464.4152634037</v>
      </c>
    </row>
    <row r="1662" spans="1:14" x14ac:dyDescent="0.2">
      <c r="B1662" s="425"/>
      <c r="D1662" s="418"/>
      <c r="E1662" s="418"/>
      <c r="F1662" s="418"/>
      <c r="G1662" s="418"/>
      <c r="H1662" s="418"/>
      <c r="I1662" s="418"/>
      <c r="J1662" s="424"/>
      <c r="K1662" s="418"/>
      <c r="L1662" s="418"/>
      <c r="M1662" s="418"/>
    </row>
    <row r="1663" spans="1:14" x14ac:dyDescent="0.2">
      <c r="A1663" s="410">
        <f>A1661+1</f>
        <v>9</v>
      </c>
      <c r="B1663" s="425"/>
      <c r="C1663" s="411" t="s">
        <v>704</v>
      </c>
      <c r="D1663" s="418"/>
      <c r="E1663" s="418"/>
      <c r="F1663" s="418"/>
      <c r="G1663" s="418"/>
      <c r="H1663" s="418"/>
      <c r="I1663" s="418"/>
      <c r="J1663" s="424"/>
      <c r="K1663" s="418"/>
      <c r="L1663" s="418"/>
      <c r="M1663" s="418"/>
    </row>
    <row r="1664" spans="1:14" x14ac:dyDescent="0.2">
      <c r="A1664" s="410">
        <f>A1663+1</f>
        <v>10</v>
      </c>
      <c r="B1664" s="426">
        <v>304.10000000000002</v>
      </c>
      <c r="C1664" s="427" t="s">
        <v>1032</v>
      </c>
      <c r="D1664" s="421">
        <f>G1558</f>
        <v>0</v>
      </c>
      <c r="E1664" s="422">
        <v>0</v>
      </c>
      <c r="F1664" s="422">
        <v>0</v>
      </c>
      <c r="G1664" s="421">
        <f>SUM(D1664:F1664)</f>
        <v>0</v>
      </c>
      <c r="H1664" s="418"/>
      <c r="I1664" s="421">
        <f>N1558</f>
        <v>0</v>
      </c>
      <c r="J1664" s="429" t="s">
        <v>1102</v>
      </c>
      <c r="K1664" s="430">
        <v>0</v>
      </c>
      <c r="L1664" s="421">
        <f>-F1664</f>
        <v>0</v>
      </c>
      <c r="M1664" s="422">
        <v>0</v>
      </c>
      <c r="N1664" s="423">
        <f>I1664+K1664-L1664+M1664</f>
        <v>0</v>
      </c>
    </row>
    <row r="1665" spans="1:14" x14ac:dyDescent="0.2">
      <c r="A1665" s="410">
        <f>A1664+1</f>
        <v>11</v>
      </c>
      <c r="B1665" s="426"/>
      <c r="C1665" s="431" t="s">
        <v>1079</v>
      </c>
      <c r="D1665" s="418">
        <f>D1664</f>
        <v>0</v>
      </c>
      <c r="E1665" s="418">
        <f>E1664</f>
        <v>0</v>
      </c>
      <c r="F1665" s="418">
        <f>F1664</f>
        <v>0</v>
      </c>
      <c r="G1665" s="418">
        <f>G1664</f>
        <v>0</v>
      </c>
      <c r="H1665" s="418"/>
      <c r="I1665" s="418">
        <f>I1664</f>
        <v>0</v>
      </c>
      <c r="J1665" s="432"/>
      <c r="K1665" s="418">
        <f>SUM(K1664)</f>
        <v>0</v>
      </c>
      <c r="L1665" s="418">
        <f>SUM(L1664)</f>
        <v>0</v>
      </c>
      <c r="M1665" s="418">
        <f>M1664</f>
        <v>0</v>
      </c>
      <c r="N1665" s="418">
        <f>N1664</f>
        <v>0</v>
      </c>
    </row>
    <row r="1666" spans="1:14" x14ac:dyDescent="0.2">
      <c r="B1666" s="425"/>
      <c r="D1666" s="418"/>
      <c r="E1666" s="418"/>
      <c r="F1666" s="418"/>
      <c r="G1666" s="418"/>
      <c r="H1666" s="418"/>
      <c r="I1666" s="418"/>
      <c r="J1666" s="432"/>
      <c r="K1666" s="418"/>
      <c r="L1666" s="418"/>
      <c r="M1666" s="418"/>
    </row>
    <row r="1667" spans="1:14" x14ac:dyDescent="0.2">
      <c r="A1667" s="410">
        <f>A1665+1</f>
        <v>12</v>
      </c>
      <c r="B1667" s="425"/>
      <c r="C1667" s="411" t="s">
        <v>707</v>
      </c>
      <c r="D1667" s="418"/>
      <c r="E1667" s="418"/>
      <c r="F1667" s="418"/>
      <c r="G1667" s="418"/>
      <c r="H1667" s="418"/>
      <c r="I1667" s="418"/>
      <c r="J1667" s="432"/>
      <c r="K1667" s="418"/>
      <c r="L1667" s="418"/>
      <c r="M1667" s="418"/>
    </row>
    <row r="1668" spans="1:14" x14ac:dyDescent="0.2">
      <c r="A1668" s="410">
        <f>A1667+1</f>
        <v>13</v>
      </c>
      <c r="B1668" s="413">
        <v>374.1</v>
      </c>
      <c r="C1668" s="414" t="s">
        <v>1035</v>
      </c>
      <c r="D1668" s="415">
        <f t="shared" ref="D1668:D1678" si="508">G1562</f>
        <v>206</v>
      </c>
      <c r="E1668" s="417">
        <v>0</v>
      </c>
      <c r="F1668" s="417">
        <v>0</v>
      </c>
      <c r="G1668" s="415">
        <f>SUM(D1668:F1668)</f>
        <v>206</v>
      </c>
      <c r="H1668" s="418"/>
      <c r="I1668" s="415">
        <f t="shared" ref="I1668:I1678" si="509">N1562</f>
        <v>0</v>
      </c>
      <c r="J1668" s="429" t="s">
        <v>1102</v>
      </c>
      <c r="K1668" s="417">
        <v>0</v>
      </c>
      <c r="L1668" s="418">
        <f t="shared" ref="L1668:L1678" si="510">-F1668</f>
        <v>0</v>
      </c>
      <c r="M1668" s="417">
        <v>0</v>
      </c>
      <c r="N1668" s="408">
        <f t="shared" ref="N1668:N1678" si="511">I1668+K1668-L1668+M1668</f>
        <v>0</v>
      </c>
    </row>
    <row r="1669" spans="1:14" x14ac:dyDescent="0.2">
      <c r="A1669" s="410">
        <f t="shared" ref="A1669:A1689" si="512">A1668+1</f>
        <v>14</v>
      </c>
      <c r="B1669" s="413">
        <v>374.2</v>
      </c>
      <c r="C1669" s="414" t="s">
        <v>1036</v>
      </c>
      <c r="D1669" s="415">
        <f t="shared" si="508"/>
        <v>877756.18</v>
      </c>
      <c r="E1669" s="417">
        <v>0</v>
      </c>
      <c r="F1669" s="417">
        <v>0</v>
      </c>
      <c r="G1669" s="415">
        <f t="shared" ref="G1669:G1678" si="513">SUM(D1669:F1669)</f>
        <v>877756.18</v>
      </c>
      <c r="H1669" s="418"/>
      <c r="I1669" s="415">
        <f t="shared" si="509"/>
        <v>-523.13</v>
      </c>
      <c r="J1669" s="429" t="s">
        <v>1102</v>
      </c>
      <c r="K1669" s="417">
        <v>0</v>
      </c>
      <c r="L1669" s="418">
        <f t="shared" si="510"/>
        <v>0</v>
      </c>
      <c r="M1669" s="417">
        <v>0</v>
      </c>
      <c r="N1669" s="408">
        <f t="shared" si="511"/>
        <v>-523.13</v>
      </c>
    </row>
    <row r="1670" spans="1:14" x14ac:dyDescent="0.2">
      <c r="A1670" s="410">
        <f t="shared" si="512"/>
        <v>15</v>
      </c>
      <c r="B1670" s="413">
        <v>374.4</v>
      </c>
      <c r="C1670" s="414" t="s">
        <v>1037</v>
      </c>
      <c r="D1670" s="415">
        <f t="shared" si="508"/>
        <v>661305.66</v>
      </c>
      <c r="E1670" s="417">
        <v>0</v>
      </c>
      <c r="F1670" s="417">
        <v>0</v>
      </c>
      <c r="G1670" s="415">
        <f t="shared" si="513"/>
        <v>661305.66</v>
      </c>
      <c r="H1670" s="418"/>
      <c r="I1670" s="415">
        <f t="shared" si="509"/>
        <v>183678.36</v>
      </c>
      <c r="J1670" s="442">
        <f t="shared" ref="J1670:J1676" si="514">J1564</f>
        <v>1.7399999999999999E-2</v>
      </c>
      <c r="K1670" s="418">
        <f>ROUND((G1670+D1670)/2*J1670/12,0)</f>
        <v>959</v>
      </c>
      <c r="L1670" s="418">
        <f t="shared" si="510"/>
        <v>0</v>
      </c>
      <c r="M1670" s="417">
        <v>0</v>
      </c>
      <c r="N1670" s="408">
        <f t="shared" si="511"/>
        <v>184637.36</v>
      </c>
    </row>
    <row r="1671" spans="1:14" x14ac:dyDescent="0.2">
      <c r="A1671" s="410">
        <f t="shared" si="512"/>
        <v>16</v>
      </c>
      <c r="B1671" s="413">
        <v>374.5</v>
      </c>
      <c r="C1671" s="414" t="s">
        <v>1038</v>
      </c>
      <c r="D1671" s="415">
        <f t="shared" si="508"/>
        <v>2721972.55</v>
      </c>
      <c r="E1671" s="417">
        <v>4800</v>
      </c>
      <c r="F1671" s="417">
        <v>-600</v>
      </c>
      <c r="G1671" s="415">
        <f t="shared" si="513"/>
        <v>2726172.55</v>
      </c>
      <c r="H1671" s="418"/>
      <c r="I1671" s="415">
        <f t="shared" si="509"/>
        <v>940904.23</v>
      </c>
      <c r="J1671" s="442">
        <f t="shared" si="514"/>
        <v>1.29E-2</v>
      </c>
      <c r="K1671" s="418">
        <f t="shared" ref="K1671:K1676" si="515">ROUND((G1671+D1671)/2*J1671/12,0)</f>
        <v>2928</v>
      </c>
      <c r="L1671" s="418">
        <f t="shared" si="510"/>
        <v>600</v>
      </c>
      <c r="M1671" s="417">
        <v>0</v>
      </c>
      <c r="N1671" s="408">
        <f t="shared" si="511"/>
        <v>943232.23</v>
      </c>
    </row>
    <row r="1672" spans="1:14" x14ac:dyDescent="0.2">
      <c r="A1672" s="410">
        <f t="shared" si="512"/>
        <v>17</v>
      </c>
      <c r="B1672" s="413">
        <v>375.2</v>
      </c>
      <c r="C1672" s="414" t="s">
        <v>1039</v>
      </c>
      <c r="D1672" s="415">
        <f t="shared" si="508"/>
        <v>2124.98</v>
      </c>
      <c r="E1672" s="417">
        <v>0</v>
      </c>
      <c r="F1672" s="417">
        <v>0</v>
      </c>
      <c r="G1672" s="415">
        <f t="shared" si="513"/>
        <v>2124.98</v>
      </c>
      <c r="H1672" s="418"/>
      <c r="I1672" s="415">
        <f t="shared" si="509"/>
        <v>2057.3199999999997</v>
      </c>
      <c r="J1672" s="442">
        <f t="shared" si="514"/>
        <v>3.1800000000000002E-2</v>
      </c>
      <c r="K1672" s="418">
        <f t="shared" si="515"/>
        <v>6</v>
      </c>
      <c r="L1672" s="418">
        <f t="shared" si="510"/>
        <v>0</v>
      </c>
      <c r="M1672" s="417">
        <v>0</v>
      </c>
      <c r="N1672" s="408">
        <f t="shared" si="511"/>
        <v>2063.3199999999997</v>
      </c>
    </row>
    <row r="1673" spans="1:14" x14ac:dyDescent="0.2">
      <c r="A1673" s="410">
        <f t="shared" si="512"/>
        <v>18</v>
      </c>
      <c r="B1673" s="413">
        <v>375.3</v>
      </c>
      <c r="C1673" s="414" t="s">
        <v>1040</v>
      </c>
      <c r="D1673" s="415">
        <f t="shared" si="508"/>
        <v>0</v>
      </c>
      <c r="E1673" s="417">
        <v>0</v>
      </c>
      <c r="F1673" s="417">
        <v>0</v>
      </c>
      <c r="G1673" s="415">
        <f t="shared" si="513"/>
        <v>0</v>
      </c>
      <c r="H1673" s="418"/>
      <c r="I1673" s="415">
        <f t="shared" si="509"/>
        <v>-77.66</v>
      </c>
      <c r="J1673" s="442">
        <f t="shared" si="514"/>
        <v>3.1800000000000002E-2</v>
      </c>
      <c r="K1673" s="418">
        <f t="shared" si="515"/>
        <v>0</v>
      </c>
      <c r="L1673" s="418">
        <f t="shared" si="510"/>
        <v>0</v>
      </c>
      <c r="M1673" s="417">
        <v>0</v>
      </c>
      <c r="N1673" s="408">
        <f t="shared" si="511"/>
        <v>-77.66</v>
      </c>
    </row>
    <row r="1674" spans="1:14" x14ac:dyDescent="0.2">
      <c r="A1674" s="410">
        <f t="shared" si="512"/>
        <v>19</v>
      </c>
      <c r="B1674" s="413">
        <v>375.4</v>
      </c>
      <c r="C1674" s="414" t="s">
        <v>1041</v>
      </c>
      <c r="D1674" s="415">
        <f t="shared" si="508"/>
        <v>2163430.02</v>
      </c>
      <c r="E1674" s="417">
        <v>25100</v>
      </c>
      <c r="F1674" s="417">
        <v>-3000</v>
      </c>
      <c r="G1674" s="415">
        <f t="shared" si="513"/>
        <v>2185530.02</v>
      </c>
      <c r="H1674" s="418"/>
      <c r="I1674" s="415">
        <f t="shared" si="509"/>
        <v>502529.37</v>
      </c>
      <c r="J1674" s="442">
        <f t="shared" si="514"/>
        <v>3.1800000000000002E-2</v>
      </c>
      <c r="K1674" s="418">
        <f t="shared" si="515"/>
        <v>5762</v>
      </c>
      <c r="L1674" s="418">
        <f t="shared" si="510"/>
        <v>3000</v>
      </c>
      <c r="M1674" s="417">
        <v>-300</v>
      </c>
      <c r="N1674" s="408">
        <f t="shared" si="511"/>
        <v>504991.37</v>
      </c>
    </row>
    <row r="1675" spans="1:14" x14ac:dyDescent="0.2">
      <c r="A1675" s="410">
        <f t="shared" si="512"/>
        <v>20</v>
      </c>
      <c r="B1675" s="413">
        <v>375.6</v>
      </c>
      <c r="C1675" s="414" t="s">
        <v>1042</v>
      </c>
      <c r="D1675" s="415">
        <f t="shared" si="508"/>
        <v>0</v>
      </c>
      <c r="E1675" s="417">
        <v>0</v>
      </c>
      <c r="F1675" s="417">
        <v>0</v>
      </c>
      <c r="G1675" s="415">
        <f t="shared" si="513"/>
        <v>0</v>
      </c>
      <c r="H1675" s="418"/>
      <c r="I1675" s="415">
        <f t="shared" si="509"/>
        <v>0.02</v>
      </c>
      <c r="J1675" s="442">
        <f t="shared" si="514"/>
        <v>3.1800000000000002E-2</v>
      </c>
      <c r="K1675" s="418">
        <f t="shared" si="515"/>
        <v>0</v>
      </c>
      <c r="L1675" s="418">
        <f t="shared" si="510"/>
        <v>0</v>
      </c>
      <c r="M1675" s="417">
        <v>0</v>
      </c>
      <c r="N1675" s="408">
        <f t="shared" si="511"/>
        <v>0.02</v>
      </c>
    </row>
    <row r="1676" spans="1:14" x14ac:dyDescent="0.2">
      <c r="A1676" s="410">
        <f t="shared" si="512"/>
        <v>21</v>
      </c>
      <c r="B1676" s="413">
        <v>375.7</v>
      </c>
      <c r="C1676" s="414" t="s">
        <v>1043</v>
      </c>
      <c r="D1676" s="415">
        <f t="shared" si="508"/>
        <v>8468050.2100000009</v>
      </c>
      <c r="E1676" s="417">
        <v>48300</v>
      </c>
      <c r="F1676" s="417">
        <v>-5800</v>
      </c>
      <c r="G1676" s="415">
        <f t="shared" si="513"/>
        <v>8510550.2100000009</v>
      </c>
      <c r="H1676" s="418"/>
      <c r="I1676" s="415">
        <f t="shared" si="509"/>
        <v>3361409.06</v>
      </c>
      <c r="J1676" s="442">
        <f t="shared" si="514"/>
        <v>2.1299999999999999E-2</v>
      </c>
      <c r="K1676" s="418">
        <f t="shared" si="515"/>
        <v>15069</v>
      </c>
      <c r="L1676" s="418">
        <f t="shared" si="510"/>
        <v>5800</v>
      </c>
      <c r="M1676" s="417">
        <v>0</v>
      </c>
      <c r="N1676" s="408">
        <f t="shared" si="511"/>
        <v>3370678.06</v>
      </c>
    </row>
    <row r="1677" spans="1:14" x14ac:dyDescent="0.2">
      <c r="A1677" s="410">
        <f t="shared" si="512"/>
        <v>22</v>
      </c>
      <c r="B1677" s="413">
        <v>375.71</v>
      </c>
      <c r="C1677" s="414" t="s">
        <v>1044</v>
      </c>
      <c r="D1677" s="415">
        <f t="shared" si="508"/>
        <v>259808.94</v>
      </c>
      <c r="E1677" s="417">
        <v>0</v>
      </c>
      <c r="F1677" s="417">
        <v>0</v>
      </c>
      <c r="G1677" s="415">
        <f t="shared" si="513"/>
        <v>259808.94</v>
      </c>
      <c r="H1677" s="418"/>
      <c r="I1677" s="415">
        <f t="shared" si="509"/>
        <v>196465.80210526334</v>
      </c>
      <c r="J1677" s="419" t="s">
        <v>1094</v>
      </c>
      <c r="K1677" s="417">
        <f>104653.88/38</f>
        <v>2754.0494736842106</v>
      </c>
      <c r="L1677" s="418">
        <f t="shared" si="510"/>
        <v>0</v>
      </c>
      <c r="M1677" s="417">
        <v>0</v>
      </c>
      <c r="N1677" s="408">
        <f t="shared" si="511"/>
        <v>199219.85157894756</v>
      </c>
    </row>
    <row r="1678" spans="1:14" x14ac:dyDescent="0.2">
      <c r="A1678" s="410">
        <f t="shared" si="512"/>
        <v>23</v>
      </c>
      <c r="B1678" s="413">
        <v>375.8</v>
      </c>
      <c r="C1678" s="414" t="s">
        <v>1045</v>
      </c>
      <c r="D1678" s="415">
        <f t="shared" si="508"/>
        <v>0</v>
      </c>
      <c r="E1678" s="417">
        <v>0</v>
      </c>
      <c r="F1678" s="417">
        <v>0</v>
      </c>
      <c r="G1678" s="415">
        <f t="shared" si="513"/>
        <v>0</v>
      </c>
      <c r="H1678" s="418"/>
      <c r="I1678" s="415">
        <f t="shared" si="509"/>
        <v>0</v>
      </c>
      <c r="J1678" s="442">
        <f>J1572</f>
        <v>0</v>
      </c>
      <c r="K1678" s="417">
        <v>0</v>
      </c>
      <c r="L1678" s="418">
        <f t="shared" si="510"/>
        <v>0</v>
      </c>
      <c r="M1678" s="417">
        <v>0</v>
      </c>
      <c r="N1678" s="408">
        <f t="shared" si="511"/>
        <v>0</v>
      </c>
    </row>
    <row r="1679" spans="1:14" x14ac:dyDescent="0.2">
      <c r="A1679" s="410">
        <f>A1678+1</f>
        <v>24</v>
      </c>
      <c r="B1679" s="413">
        <v>376</v>
      </c>
      <c r="C1679" s="438" t="s">
        <v>1096</v>
      </c>
      <c r="D1679" s="415"/>
      <c r="E1679" s="417"/>
      <c r="F1679" s="417"/>
      <c r="G1679" s="415"/>
      <c r="H1679" s="418"/>
      <c r="I1679" s="439"/>
      <c r="J1679" s="432"/>
      <c r="K1679" s="418"/>
      <c r="L1679" s="418"/>
      <c r="M1679" s="417"/>
    </row>
    <row r="1680" spans="1:14" x14ac:dyDescent="0.2">
      <c r="A1680" s="410"/>
      <c r="B1680" s="413"/>
      <c r="C1680" s="440" t="s">
        <v>1097</v>
      </c>
      <c r="D1680" s="415"/>
      <c r="E1680" s="417"/>
      <c r="F1680" s="417"/>
      <c r="G1680" s="415"/>
      <c r="H1680" s="418"/>
      <c r="I1680" s="415"/>
      <c r="J1680" s="442"/>
      <c r="K1680" s="418"/>
      <c r="L1680" s="418"/>
      <c r="M1680" s="417"/>
      <c r="N1680" s="408"/>
    </row>
    <row r="1681" spans="1:14" x14ac:dyDescent="0.2">
      <c r="A1681" s="410"/>
      <c r="B1681" s="413"/>
      <c r="C1681" s="440" t="s">
        <v>1098</v>
      </c>
      <c r="D1681" s="415"/>
      <c r="E1681" s="417"/>
      <c r="F1681" s="417"/>
      <c r="G1681" s="415"/>
      <c r="H1681" s="418"/>
      <c r="I1681" s="415"/>
      <c r="J1681" s="442"/>
      <c r="K1681" s="418"/>
      <c r="L1681" s="418"/>
      <c r="M1681" s="417"/>
      <c r="N1681" s="408"/>
    </row>
    <row r="1682" spans="1:14" x14ac:dyDescent="0.2">
      <c r="A1682" s="410"/>
      <c r="B1682" s="413"/>
      <c r="C1682" s="440" t="s">
        <v>1099</v>
      </c>
      <c r="D1682" s="415"/>
      <c r="E1682" s="417"/>
      <c r="F1682" s="417"/>
      <c r="G1682" s="415"/>
      <c r="H1682" s="418"/>
      <c r="I1682" s="415"/>
      <c r="J1682" s="442"/>
      <c r="K1682" s="418"/>
      <c r="L1682" s="418"/>
      <c r="M1682" s="417"/>
      <c r="N1682" s="408"/>
    </row>
    <row r="1683" spans="1:14" x14ac:dyDescent="0.2">
      <c r="A1683" s="410"/>
      <c r="B1683" s="413"/>
      <c r="C1683" s="440" t="s">
        <v>1100</v>
      </c>
      <c r="D1683" s="415"/>
      <c r="E1683" s="417"/>
      <c r="F1683" s="417"/>
      <c r="G1683" s="415"/>
      <c r="H1683" s="418"/>
      <c r="I1683" s="415"/>
      <c r="J1683" s="442"/>
      <c r="K1683" s="418"/>
      <c r="L1683" s="418"/>
      <c r="M1683" s="417"/>
      <c r="N1683" s="408"/>
    </row>
    <row r="1684" spans="1:14" x14ac:dyDescent="0.2">
      <c r="A1684" s="410"/>
      <c r="B1684" s="413"/>
      <c r="C1684" s="440" t="s">
        <v>1101</v>
      </c>
      <c r="D1684" s="415">
        <f t="shared" ref="D1684:D1689" si="516">G1578</f>
        <v>216878305.44</v>
      </c>
      <c r="E1684" s="417">
        <f>1754300+32320</f>
        <v>1786620</v>
      </c>
      <c r="F1684" s="417">
        <v>-214400</v>
      </c>
      <c r="G1684" s="415">
        <f t="shared" ref="G1684:G1689" si="517">SUM(D1684:F1684)</f>
        <v>218450525.44</v>
      </c>
      <c r="H1684" s="418"/>
      <c r="I1684" s="415">
        <f t="shared" ref="I1684:I1689" si="518">N1578</f>
        <v>58964644.609999999</v>
      </c>
      <c r="J1684" s="442">
        <f t="shared" ref="J1684:J1689" si="519">J1578</f>
        <v>2.3E-2</v>
      </c>
      <c r="K1684" s="418">
        <f t="shared" ref="K1684:K1689" si="520">ROUND((G1684+D1684)/2*J1684/12,0)</f>
        <v>417190</v>
      </c>
      <c r="L1684" s="418">
        <f t="shared" ref="L1684:L1689" si="521">-F1684</f>
        <v>214400</v>
      </c>
      <c r="M1684" s="417">
        <v>-32200</v>
      </c>
      <c r="N1684" s="408">
        <f t="shared" ref="N1684:N1689" si="522">I1684+K1684-L1684+M1684</f>
        <v>59135234.609999999</v>
      </c>
    </row>
    <row r="1685" spans="1:14" x14ac:dyDescent="0.2">
      <c r="A1685" s="410">
        <f>A1679+1</f>
        <v>25</v>
      </c>
      <c r="B1685" s="413">
        <v>378.1</v>
      </c>
      <c r="C1685" s="414" t="s">
        <v>1047</v>
      </c>
      <c r="D1685" s="415">
        <f t="shared" si="516"/>
        <v>518504.18</v>
      </c>
      <c r="E1685" s="417">
        <v>0</v>
      </c>
      <c r="F1685" s="417">
        <v>0</v>
      </c>
      <c r="G1685" s="415">
        <f t="shared" si="517"/>
        <v>518504.18</v>
      </c>
      <c r="H1685" s="418"/>
      <c r="I1685" s="415">
        <f t="shared" si="518"/>
        <v>370636.81</v>
      </c>
      <c r="J1685" s="442">
        <f t="shared" si="519"/>
        <v>3.32E-2</v>
      </c>
      <c r="K1685" s="418">
        <f t="shared" si="520"/>
        <v>1435</v>
      </c>
      <c r="L1685" s="418">
        <f t="shared" si="521"/>
        <v>0</v>
      </c>
      <c r="M1685" s="417">
        <v>0</v>
      </c>
      <c r="N1685" s="408">
        <f t="shared" si="522"/>
        <v>372071.81</v>
      </c>
    </row>
    <row r="1686" spans="1:14" x14ac:dyDescent="0.2">
      <c r="A1686" s="410">
        <f t="shared" si="512"/>
        <v>26</v>
      </c>
      <c r="B1686" s="413">
        <v>378.2</v>
      </c>
      <c r="C1686" s="414" t="s">
        <v>1048</v>
      </c>
      <c r="D1686" s="415">
        <f t="shared" si="516"/>
        <v>9860324</v>
      </c>
      <c r="E1686" s="417">
        <v>36200</v>
      </c>
      <c r="F1686" s="417">
        <v>-4300</v>
      </c>
      <c r="G1686" s="415">
        <f t="shared" si="517"/>
        <v>9892224</v>
      </c>
      <c r="H1686" s="418"/>
      <c r="I1686" s="415">
        <f t="shared" si="518"/>
        <v>3493161.91</v>
      </c>
      <c r="J1686" s="442">
        <f t="shared" si="519"/>
        <v>3.32E-2</v>
      </c>
      <c r="K1686" s="418">
        <f t="shared" si="520"/>
        <v>27324</v>
      </c>
      <c r="L1686" s="418">
        <f t="shared" si="521"/>
        <v>4300</v>
      </c>
      <c r="M1686" s="417">
        <v>-200</v>
      </c>
      <c r="N1686" s="408">
        <f t="shared" si="522"/>
        <v>3515985.91</v>
      </c>
    </row>
    <row r="1687" spans="1:14" x14ac:dyDescent="0.2">
      <c r="A1687" s="410">
        <f t="shared" si="512"/>
        <v>27</v>
      </c>
      <c r="B1687" s="413">
        <v>378.3</v>
      </c>
      <c r="C1687" s="414" t="s">
        <v>1049</v>
      </c>
      <c r="D1687" s="415">
        <f t="shared" si="516"/>
        <v>45443.08</v>
      </c>
      <c r="E1687" s="417">
        <v>0</v>
      </c>
      <c r="F1687" s="417">
        <v>0</v>
      </c>
      <c r="G1687" s="415">
        <f t="shared" si="517"/>
        <v>45443.08</v>
      </c>
      <c r="H1687" s="418"/>
      <c r="I1687" s="415">
        <f t="shared" si="518"/>
        <v>36508.04</v>
      </c>
      <c r="J1687" s="442">
        <f t="shared" si="519"/>
        <v>3.32E-2</v>
      </c>
      <c r="K1687" s="418">
        <f t="shared" si="520"/>
        <v>126</v>
      </c>
      <c r="L1687" s="418">
        <f t="shared" si="521"/>
        <v>0</v>
      </c>
      <c r="M1687" s="417">
        <v>0</v>
      </c>
      <c r="N1687" s="408">
        <f t="shared" si="522"/>
        <v>36634.04</v>
      </c>
    </row>
    <row r="1688" spans="1:14" x14ac:dyDescent="0.2">
      <c r="A1688" s="410">
        <f t="shared" si="512"/>
        <v>28</v>
      </c>
      <c r="B1688" s="413">
        <v>379.1</v>
      </c>
      <c r="C1688" s="414" t="s">
        <v>1050</v>
      </c>
      <c r="D1688" s="415">
        <f t="shared" si="516"/>
        <v>254900.59</v>
      </c>
      <c r="E1688" s="417">
        <v>0</v>
      </c>
      <c r="F1688" s="417">
        <v>0</v>
      </c>
      <c r="G1688" s="415">
        <f t="shared" si="517"/>
        <v>254900.59</v>
      </c>
      <c r="H1688" s="418"/>
      <c r="I1688" s="415">
        <f t="shared" si="518"/>
        <v>267730.57</v>
      </c>
      <c r="J1688" s="442">
        <f t="shared" si="519"/>
        <v>6.0000000000000001E-3</v>
      </c>
      <c r="K1688" s="417">
        <v>0</v>
      </c>
      <c r="L1688" s="418">
        <f t="shared" si="521"/>
        <v>0</v>
      </c>
      <c r="M1688" s="417">
        <v>0</v>
      </c>
      <c r="N1688" s="408">
        <f t="shared" si="522"/>
        <v>267730.57</v>
      </c>
    </row>
    <row r="1689" spans="1:14" x14ac:dyDescent="0.2">
      <c r="A1689" s="410">
        <f t="shared" si="512"/>
        <v>29</v>
      </c>
      <c r="B1689" s="413">
        <v>380</v>
      </c>
      <c r="C1689" s="414" t="s">
        <v>1051</v>
      </c>
      <c r="D1689" s="415">
        <f t="shared" si="516"/>
        <v>125236062.77</v>
      </c>
      <c r="E1689" s="417">
        <f>907000+21546</f>
        <v>928546</v>
      </c>
      <c r="F1689" s="417">
        <v>-111400</v>
      </c>
      <c r="G1689" s="415">
        <f t="shared" si="517"/>
        <v>126053208.77</v>
      </c>
      <c r="H1689" s="418"/>
      <c r="I1689" s="415">
        <f t="shared" si="518"/>
        <v>60979272.520000003</v>
      </c>
      <c r="J1689" s="442">
        <f t="shared" si="519"/>
        <v>5.0999999999999997E-2</v>
      </c>
      <c r="K1689" s="418">
        <f t="shared" si="520"/>
        <v>533990</v>
      </c>
      <c r="L1689" s="418">
        <f t="shared" si="521"/>
        <v>111400</v>
      </c>
      <c r="M1689" s="417">
        <v>-55700</v>
      </c>
      <c r="N1689" s="408">
        <f t="shared" si="522"/>
        <v>61346162.520000003</v>
      </c>
    </row>
    <row r="1690" spans="1:14" x14ac:dyDescent="0.2">
      <c r="A1690" s="410"/>
      <c r="B1690" s="444"/>
      <c r="C1690" s="414"/>
      <c r="D1690" s="439"/>
      <c r="E1690" s="418"/>
      <c r="F1690" s="417"/>
      <c r="G1690" s="439"/>
      <c r="H1690" s="418"/>
      <c r="I1690" s="418"/>
      <c r="J1690" s="418"/>
      <c r="K1690" s="418"/>
      <c r="L1690" s="418"/>
    </row>
    <row r="1691" spans="1:14" x14ac:dyDescent="0.2">
      <c r="A1691" s="2073" t="str">
        <f>co</f>
        <v>COLUMBIA GAS OF KENTUCKY, INC.</v>
      </c>
      <c r="B1691" s="2073"/>
      <c r="C1691" s="2073"/>
      <c r="D1691" s="2073"/>
      <c r="E1691" s="2073"/>
      <c r="F1691" s="2073"/>
      <c r="G1691" s="2073"/>
      <c r="H1691" s="2073"/>
      <c r="I1691" s="2073"/>
      <c r="J1691" s="2073"/>
      <c r="K1691" s="2073"/>
      <c r="L1691" s="2073"/>
      <c r="M1691" s="2073"/>
      <c r="N1691" s="2073"/>
    </row>
    <row r="1692" spans="1:14" x14ac:dyDescent="0.2">
      <c r="A1692" s="2073" t="str">
        <f>case</f>
        <v>CASE NO. 2016 - 00162</v>
      </c>
      <c r="B1692" s="2073"/>
      <c r="C1692" s="2073"/>
      <c r="D1692" s="2073"/>
      <c r="E1692" s="2073"/>
      <c r="F1692" s="2073"/>
      <c r="G1692" s="2073"/>
      <c r="H1692" s="2073"/>
      <c r="I1692" s="2073"/>
      <c r="J1692" s="2073"/>
      <c r="K1692" s="2073"/>
      <c r="L1692" s="2073"/>
      <c r="M1692" s="2073"/>
      <c r="N1692" s="2073"/>
    </row>
    <row r="1693" spans="1:14" x14ac:dyDescent="0.2">
      <c r="A1693" s="2074" t="s">
        <v>1106</v>
      </c>
      <c r="B1693" s="2073"/>
      <c r="C1693" s="2073"/>
      <c r="D1693" s="2073"/>
      <c r="E1693" s="2073"/>
      <c r="F1693" s="2073"/>
      <c r="G1693" s="2073"/>
      <c r="H1693" s="2073"/>
      <c r="I1693" s="2073"/>
      <c r="J1693" s="2073"/>
      <c r="K1693" s="2073"/>
      <c r="L1693" s="2073"/>
      <c r="M1693" s="2073"/>
      <c r="N1693" s="2073"/>
    </row>
    <row r="1694" spans="1:14" x14ac:dyDescent="0.2">
      <c r="A1694" s="2078" t="s">
        <v>2142</v>
      </c>
      <c r="B1694" s="2078"/>
      <c r="C1694" s="2078"/>
      <c r="D1694" s="2078"/>
      <c r="E1694" s="2078"/>
      <c r="F1694" s="2078"/>
      <c r="G1694" s="2078"/>
      <c r="H1694" s="2078"/>
      <c r="I1694" s="2078"/>
      <c r="J1694" s="2078"/>
      <c r="K1694" s="2078"/>
      <c r="L1694" s="2078"/>
      <c r="M1694" s="2078"/>
      <c r="N1694" s="2078"/>
    </row>
    <row r="1696" spans="1:14" x14ac:dyDescent="0.2">
      <c r="A1696" s="388" t="s">
        <v>976</v>
      </c>
      <c r="M1696" s="386"/>
      <c r="N1696" s="387" t="s">
        <v>763</v>
      </c>
    </row>
    <row r="1697" spans="1:14" x14ac:dyDescent="0.2">
      <c r="A1697" s="388" t="s">
        <v>977</v>
      </c>
      <c r="M1697" s="386"/>
      <c r="N1697" s="387" t="s">
        <v>999</v>
      </c>
    </row>
    <row r="1698" spans="1:14" x14ac:dyDescent="0.2">
      <c r="A1698" s="445" t="str">
        <f>A1645</f>
        <v>WORKPAPER REFERENCE NO(S).: WPB-2.3</v>
      </c>
      <c r="B1698" s="391"/>
      <c r="C1698" s="391"/>
      <c r="D1698" s="391"/>
      <c r="E1698" s="391"/>
      <c r="F1698" s="391"/>
      <c r="G1698" s="391"/>
      <c r="H1698" s="391"/>
      <c r="M1698" s="392"/>
      <c r="N1698" s="393" t="str">
        <f>SMK</f>
        <v>WITNESS:  S. M. KATKO</v>
      </c>
    </row>
    <row r="1699" spans="1:14" x14ac:dyDescent="0.2">
      <c r="A1699" s="390"/>
      <c r="B1699" s="391"/>
      <c r="C1699" s="391"/>
      <c r="D1699" s="391"/>
      <c r="E1699" s="391"/>
      <c r="F1699" s="391"/>
      <c r="G1699" s="391"/>
      <c r="H1699" s="391"/>
      <c r="I1699" s="392"/>
      <c r="J1699" s="393"/>
      <c r="L1699" s="386"/>
      <c r="M1699" s="386"/>
    </row>
    <row r="1700" spans="1:14" x14ac:dyDescent="0.2">
      <c r="A1700" s="390"/>
      <c r="B1700" s="391"/>
      <c r="C1700" s="391"/>
      <c r="D1700" s="2075" t="s">
        <v>1088</v>
      </c>
      <c r="E1700" s="2075"/>
      <c r="F1700" s="2075"/>
      <c r="G1700" s="2075"/>
      <c r="H1700" s="391"/>
      <c r="I1700" s="2076" t="s">
        <v>1093</v>
      </c>
      <c r="J1700" s="2077"/>
      <c r="K1700" s="2077"/>
      <c r="L1700" s="2077"/>
      <c r="M1700" s="2077"/>
      <c r="N1700" s="2077"/>
    </row>
    <row r="1701" spans="1:14" x14ac:dyDescent="0.2">
      <c r="A1701" s="394"/>
      <c r="B1701" s="391"/>
      <c r="C1701" s="391"/>
      <c r="D1701" s="396" t="s">
        <v>1084</v>
      </c>
      <c r="E1701" s="391"/>
      <c r="F1701" s="391"/>
      <c r="G1701" s="395"/>
      <c r="H1701" s="395"/>
      <c r="I1701" s="397" t="s">
        <v>1089</v>
      </c>
      <c r="J1701" s="396"/>
      <c r="M1701" s="386"/>
    </row>
    <row r="1702" spans="1:14" x14ac:dyDescent="0.2">
      <c r="A1702" s="383"/>
      <c r="D1702" s="397" t="s">
        <v>865</v>
      </c>
      <c r="G1702" s="397" t="s">
        <v>867</v>
      </c>
      <c r="H1702" s="398"/>
      <c r="I1702" s="397" t="s">
        <v>865</v>
      </c>
      <c r="J1702" s="397" t="s">
        <v>956</v>
      </c>
      <c r="M1702" s="386"/>
      <c r="N1702" s="397" t="s">
        <v>867</v>
      </c>
    </row>
    <row r="1703" spans="1:14" x14ac:dyDescent="0.2">
      <c r="A1703" s="397" t="s">
        <v>1080</v>
      </c>
      <c r="B1703" s="397" t="s">
        <v>1082</v>
      </c>
      <c r="D1703" s="397" t="s">
        <v>867</v>
      </c>
      <c r="G1703" s="399" t="s">
        <v>1087</v>
      </c>
      <c r="H1703" s="398"/>
      <c r="I1703" s="399" t="s">
        <v>867</v>
      </c>
      <c r="J1703" s="397" t="s">
        <v>1090</v>
      </c>
      <c r="K1703" s="397" t="s">
        <v>956</v>
      </c>
      <c r="M1703" s="399" t="s">
        <v>1092</v>
      </c>
      <c r="N1703" s="399" t="s">
        <v>1087</v>
      </c>
    </row>
    <row r="1704" spans="1:14" x14ac:dyDescent="0.2">
      <c r="A1704" s="400" t="s">
        <v>1081</v>
      </c>
      <c r="B1704" s="400" t="s">
        <v>1081</v>
      </c>
      <c r="C1704" s="401" t="s">
        <v>1083</v>
      </c>
      <c r="D1704" s="404" t="str">
        <f>D1651</f>
        <v>05/31/2017</v>
      </c>
      <c r="E1704" s="400" t="s">
        <v>1085</v>
      </c>
      <c r="F1704" s="400" t="s">
        <v>1086</v>
      </c>
      <c r="G1704" s="404" t="str">
        <f>G1651</f>
        <v>06/30/2017</v>
      </c>
      <c r="H1704" s="398"/>
      <c r="I1704" s="404" t="str">
        <f>D1704</f>
        <v>05/31/2017</v>
      </c>
      <c r="J1704" s="400" t="s">
        <v>1091</v>
      </c>
      <c r="K1704" s="402" t="s">
        <v>1090</v>
      </c>
      <c r="L1704" s="402" t="s">
        <v>1086</v>
      </c>
      <c r="M1704" s="402" t="s">
        <v>955</v>
      </c>
      <c r="N1704" s="404" t="str">
        <f>G1704</f>
        <v>06/30/2017</v>
      </c>
    </row>
    <row r="1705" spans="1:14" x14ac:dyDescent="0.2">
      <c r="A1705" s="406"/>
      <c r="B1705" s="406"/>
      <c r="C1705" s="406"/>
      <c r="D1705" s="406" t="str">
        <f>"(1)"</f>
        <v>(1)</v>
      </c>
      <c r="E1705" s="406" t="str">
        <f>"(2)"</f>
        <v>(2)</v>
      </c>
      <c r="F1705" s="406" t="str">
        <f>"(3)"</f>
        <v>(3)</v>
      </c>
      <c r="G1705" s="406" t="str">
        <f>"(4)=(1+2+3)"</f>
        <v>(4)=(1+2+3)</v>
      </c>
      <c r="H1705" s="406"/>
      <c r="I1705" s="406" t="str">
        <f>"(5)"</f>
        <v>(5)</v>
      </c>
      <c r="J1705" s="406" t="str">
        <f>"(6)"</f>
        <v>(6)</v>
      </c>
      <c r="K1705" s="406" t="str">
        <f>"(7)=((1+4)/2*6/12))"</f>
        <v>(7)=((1+4)/2*6/12))</v>
      </c>
      <c r="L1705" s="406" t="str">
        <f>"(8)"</f>
        <v>(8)</v>
      </c>
      <c r="M1705" s="406" t="str">
        <f>"(9)"</f>
        <v>(9)</v>
      </c>
      <c r="N1705" s="406" t="str">
        <f>"(10)=(5+7-8+9)"</f>
        <v>(10)=(5+7-8+9)</v>
      </c>
    </row>
    <row r="1706" spans="1:14" x14ac:dyDescent="0.2">
      <c r="D1706" s="410" t="s">
        <v>639</v>
      </c>
      <c r="E1706" s="410" t="s">
        <v>639</v>
      </c>
      <c r="F1706" s="410" t="s">
        <v>639</v>
      </c>
      <c r="G1706" s="410" t="s">
        <v>639</v>
      </c>
      <c r="H1706" s="410"/>
      <c r="I1706" s="410" t="s">
        <v>639</v>
      </c>
      <c r="J1706" s="410" t="s">
        <v>639</v>
      </c>
      <c r="K1706" s="410" t="s">
        <v>639</v>
      </c>
      <c r="L1706" s="410" t="s">
        <v>639</v>
      </c>
      <c r="M1706" s="410" t="s">
        <v>639</v>
      </c>
      <c r="N1706" s="410" t="s">
        <v>639</v>
      </c>
    </row>
    <row r="1707" spans="1:14" x14ac:dyDescent="0.2">
      <c r="C1707" s="411" t="s">
        <v>707</v>
      </c>
      <c r="D1707" s="410"/>
      <c r="E1707" s="410"/>
      <c r="F1707" s="410"/>
      <c r="G1707" s="410"/>
      <c r="J1707" s="410"/>
    </row>
    <row r="1708" spans="1:14" x14ac:dyDescent="0.2">
      <c r="A1708" s="405">
        <v>1</v>
      </c>
      <c r="B1708" s="446">
        <v>381</v>
      </c>
      <c r="C1708" s="414" t="s">
        <v>1052</v>
      </c>
      <c r="D1708" s="415">
        <f t="shared" ref="D1708:D1719" si="523">G1602</f>
        <v>13827608.550000001</v>
      </c>
      <c r="E1708" s="417">
        <v>51900</v>
      </c>
      <c r="F1708" s="417">
        <v>-6200</v>
      </c>
      <c r="G1708" s="415">
        <f>SUM(D1708:F1708)</f>
        <v>13873308.550000001</v>
      </c>
      <c r="H1708" s="418"/>
      <c r="I1708" s="415">
        <f t="shared" ref="I1708:I1719" si="524">N1602</f>
        <v>5105024.8899999997</v>
      </c>
      <c r="J1708" s="442">
        <f t="shared" ref="J1708:J1719" si="525">J1602</f>
        <v>3.3000000000000002E-2</v>
      </c>
      <c r="K1708" s="418">
        <f t="shared" ref="K1708:K1719" si="526">ROUND((G1708+D1708)/2*J1708/12,0)</f>
        <v>38089</v>
      </c>
      <c r="L1708" s="418">
        <f t="shared" ref="L1708:L1719" si="527">-F1708</f>
        <v>6200</v>
      </c>
      <c r="M1708" s="417">
        <v>0</v>
      </c>
      <c r="N1708" s="408">
        <f t="shared" ref="N1708:N1719" si="528">I1708+K1708-L1708+M1708</f>
        <v>5136913.8899999997</v>
      </c>
    </row>
    <row r="1709" spans="1:14" x14ac:dyDescent="0.2">
      <c r="A1709" s="405">
        <f>A1708+1</f>
        <v>2</v>
      </c>
      <c r="B1709" s="446">
        <v>381.1</v>
      </c>
      <c r="C1709" s="414" t="s">
        <v>1052</v>
      </c>
      <c r="D1709" s="415">
        <f t="shared" si="523"/>
        <v>8822712.0600000005</v>
      </c>
      <c r="E1709" s="417">
        <v>5300</v>
      </c>
      <c r="F1709" s="417">
        <v>-600</v>
      </c>
      <c r="G1709" s="415">
        <f>SUM(D1709:F1709)</f>
        <v>8827412.0600000005</v>
      </c>
      <c r="H1709" s="418"/>
      <c r="I1709" s="415">
        <f t="shared" si="524"/>
        <v>842077.5</v>
      </c>
      <c r="J1709" s="442">
        <f t="shared" si="525"/>
        <v>8.0600000000000005E-2</v>
      </c>
      <c r="K1709" s="418">
        <f t="shared" si="526"/>
        <v>59275</v>
      </c>
      <c r="L1709" s="418">
        <f t="shared" si="527"/>
        <v>600</v>
      </c>
      <c r="M1709" s="417">
        <v>0</v>
      </c>
      <c r="N1709" s="408">
        <f t="shared" si="528"/>
        <v>900752.5</v>
      </c>
    </row>
    <row r="1710" spans="1:14" x14ac:dyDescent="0.2">
      <c r="A1710" s="405">
        <f t="shared" ref="A1710:A1720" si="529">A1709+1</f>
        <v>3</v>
      </c>
      <c r="B1710" s="446">
        <v>382</v>
      </c>
      <c r="C1710" s="414" t="s">
        <v>1053</v>
      </c>
      <c r="D1710" s="415">
        <f t="shared" si="523"/>
        <v>9388592.6500000004</v>
      </c>
      <c r="E1710" s="417">
        <v>34500</v>
      </c>
      <c r="F1710" s="417">
        <v>-4100</v>
      </c>
      <c r="G1710" s="415">
        <f t="shared" ref="G1710:G1715" si="530">SUM(D1710:F1710)</f>
        <v>9418992.6500000004</v>
      </c>
      <c r="H1710" s="418"/>
      <c r="I1710" s="415">
        <f t="shared" si="524"/>
        <v>4704555.3</v>
      </c>
      <c r="J1710" s="442">
        <f t="shared" si="525"/>
        <v>2.4400000000000002E-2</v>
      </c>
      <c r="K1710" s="418">
        <f t="shared" si="526"/>
        <v>19121</v>
      </c>
      <c r="L1710" s="418">
        <f t="shared" si="527"/>
        <v>4100</v>
      </c>
      <c r="M1710" s="417">
        <v>-200</v>
      </c>
      <c r="N1710" s="408">
        <f t="shared" si="528"/>
        <v>4719376.3</v>
      </c>
    </row>
    <row r="1711" spans="1:14" x14ac:dyDescent="0.2">
      <c r="A1711" s="405">
        <f t="shared" si="529"/>
        <v>4</v>
      </c>
      <c r="B1711" s="446">
        <v>383</v>
      </c>
      <c r="C1711" s="414" t="s">
        <v>1054</v>
      </c>
      <c r="D1711" s="415">
        <f t="shared" si="523"/>
        <v>5738720.7599999998</v>
      </c>
      <c r="E1711" s="417">
        <v>19100</v>
      </c>
      <c r="F1711" s="417">
        <v>-2300</v>
      </c>
      <c r="G1711" s="415">
        <f t="shared" si="530"/>
        <v>5755520.7599999998</v>
      </c>
      <c r="H1711" s="418"/>
      <c r="I1711" s="415">
        <f t="shared" si="524"/>
        <v>1559540.41</v>
      </c>
      <c r="J1711" s="442">
        <f t="shared" si="525"/>
        <v>2.7300000000000001E-2</v>
      </c>
      <c r="K1711" s="418">
        <f t="shared" si="526"/>
        <v>13075</v>
      </c>
      <c r="L1711" s="418">
        <f t="shared" si="527"/>
        <v>2300</v>
      </c>
      <c r="M1711" s="417">
        <v>-100</v>
      </c>
      <c r="N1711" s="408">
        <f t="shared" si="528"/>
        <v>1570215.41</v>
      </c>
    </row>
    <row r="1712" spans="1:14" x14ac:dyDescent="0.2">
      <c r="A1712" s="405">
        <f t="shared" si="529"/>
        <v>5</v>
      </c>
      <c r="B1712" s="446">
        <v>384</v>
      </c>
      <c r="C1712" s="414" t="s">
        <v>1055</v>
      </c>
      <c r="D1712" s="415">
        <f t="shared" si="523"/>
        <v>2257522</v>
      </c>
      <c r="E1712" s="417">
        <v>0</v>
      </c>
      <c r="F1712" s="417">
        <v>0</v>
      </c>
      <c r="G1712" s="415">
        <f t="shared" si="530"/>
        <v>2257522</v>
      </c>
      <c r="H1712" s="418"/>
      <c r="I1712" s="415">
        <f t="shared" si="524"/>
        <v>1778828.73</v>
      </c>
      <c r="J1712" s="442">
        <f t="shared" si="525"/>
        <v>1.01E-2</v>
      </c>
      <c r="K1712" s="418">
        <f t="shared" si="526"/>
        <v>1900</v>
      </c>
      <c r="L1712" s="418">
        <f t="shared" si="527"/>
        <v>0</v>
      </c>
      <c r="M1712" s="417">
        <v>0</v>
      </c>
      <c r="N1712" s="408">
        <f t="shared" si="528"/>
        <v>1780728.73</v>
      </c>
    </row>
    <row r="1713" spans="1:14" x14ac:dyDescent="0.2">
      <c r="A1713" s="405">
        <f t="shared" si="529"/>
        <v>6</v>
      </c>
      <c r="B1713" s="446">
        <v>385</v>
      </c>
      <c r="C1713" s="414" t="s">
        <v>1056</v>
      </c>
      <c r="D1713" s="415">
        <f t="shared" si="523"/>
        <v>3317183.36</v>
      </c>
      <c r="E1713" s="417">
        <v>25100</v>
      </c>
      <c r="F1713" s="417">
        <v>-3000</v>
      </c>
      <c r="G1713" s="415">
        <f t="shared" si="530"/>
        <v>3339283.36</v>
      </c>
      <c r="H1713" s="418"/>
      <c r="I1713" s="415">
        <f t="shared" si="524"/>
        <v>950242.55</v>
      </c>
      <c r="J1713" s="442">
        <f t="shared" si="525"/>
        <v>5.0799999999999998E-2</v>
      </c>
      <c r="K1713" s="418">
        <f t="shared" si="526"/>
        <v>14090</v>
      </c>
      <c r="L1713" s="418">
        <f t="shared" si="527"/>
        <v>3000</v>
      </c>
      <c r="M1713" s="417">
        <v>-200</v>
      </c>
      <c r="N1713" s="408">
        <f t="shared" si="528"/>
        <v>961132.55</v>
      </c>
    </row>
    <row r="1714" spans="1:14" x14ac:dyDescent="0.2">
      <c r="A1714" s="405">
        <f t="shared" si="529"/>
        <v>7</v>
      </c>
      <c r="B1714" s="446">
        <v>387.2</v>
      </c>
      <c r="C1714" s="414" t="s">
        <v>1057</v>
      </c>
      <c r="D1714" s="415">
        <f t="shared" si="523"/>
        <v>0</v>
      </c>
      <c r="E1714" s="417">
        <v>0</v>
      </c>
      <c r="F1714" s="417">
        <v>0</v>
      </c>
      <c r="G1714" s="415">
        <f t="shared" si="530"/>
        <v>0</v>
      </c>
      <c r="H1714" s="418"/>
      <c r="I1714" s="415">
        <f t="shared" si="524"/>
        <v>-59912.03</v>
      </c>
      <c r="J1714" s="442">
        <f t="shared" si="525"/>
        <v>0</v>
      </c>
      <c r="K1714" s="418">
        <f t="shared" si="526"/>
        <v>0</v>
      </c>
      <c r="L1714" s="418">
        <f t="shared" si="527"/>
        <v>0</v>
      </c>
      <c r="M1714" s="417">
        <v>0</v>
      </c>
      <c r="N1714" s="408">
        <f t="shared" si="528"/>
        <v>-59912.03</v>
      </c>
    </row>
    <row r="1715" spans="1:14" x14ac:dyDescent="0.2">
      <c r="A1715" s="405">
        <f t="shared" si="529"/>
        <v>8</v>
      </c>
      <c r="B1715" s="446">
        <v>387.41</v>
      </c>
      <c r="C1715" s="414" t="s">
        <v>1058</v>
      </c>
      <c r="D1715" s="415">
        <f t="shared" si="523"/>
        <v>735770.76</v>
      </c>
      <c r="E1715" s="417">
        <v>0</v>
      </c>
      <c r="F1715" s="417">
        <v>0</v>
      </c>
      <c r="G1715" s="415">
        <f t="shared" si="530"/>
        <v>735770.76</v>
      </c>
      <c r="H1715" s="418"/>
      <c r="I1715" s="415">
        <f t="shared" si="524"/>
        <v>397522.95</v>
      </c>
      <c r="J1715" s="442">
        <f t="shared" si="525"/>
        <v>3.7400000000000003E-2</v>
      </c>
      <c r="K1715" s="418">
        <f t="shared" si="526"/>
        <v>2293</v>
      </c>
      <c r="L1715" s="418">
        <f t="shared" si="527"/>
        <v>0</v>
      </c>
      <c r="M1715" s="417">
        <v>0</v>
      </c>
      <c r="N1715" s="408">
        <f t="shared" si="528"/>
        <v>399815.95</v>
      </c>
    </row>
    <row r="1716" spans="1:14" x14ac:dyDescent="0.2">
      <c r="A1716" s="405">
        <f t="shared" si="529"/>
        <v>9</v>
      </c>
      <c r="B1716" s="446">
        <v>387.42</v>
      </c>
      <c r="C1716" s="414" t="s">
        <v>1059</v>
      </c>
      <c r="D1716" s="415">
        <f t="shared" si="523"/>
        <v>795186.58</v>
      </c>
      <c r="E1716" s="417">
        <v>0</v>
      </c>
      <c r="F1716" s="417">
        <v>0</v>
      </c>
      <c r="G1716" s="415">
        <f>SUM(D1716:F1716)</f>
        <v>795186.58</v>
      </c>
      <c r="H1716" s="418"/>
      <c r="I1716" s="415">
        <f t="shared" si="524"/>
        <v>564935.94999999995</v>
      </c>
      <c r="J1716" s="442">
        <f t="shared" si="525"/>
        <v>3.7400000000000003E-2</v>
      </c>
      <c r="K1716" s="418">
        <f t="shared" si="526"/>
        <v>2478</v>
      </c>
      <c r="L1716" s="418">
        <f t="shared" si="527"/>
        <v>0</v>
      </c>
      <c r="M1716" s="417">
        <v>0</v>
      </c>
      <c r="N1716" s="408">
        <f t="shared" si="528"/>
        <v>567413.94999999995</v>
      </c>
    </row>
    <row r="1717" spans="1:14" x14ac:dyDescent="0.2">
      <c r="A1717" s="405">
        <f t="shared" si="529"/>
        <v>10</v>
      </c>
      <c r="B1717" s="446">
        <v>387.44</v>
      </c>
      <c r="C1717" s="414" t="s">
        <v>1060</v>
      </c>
      <c r="D1717" s="415">
        <f t="shared" si="523"/>
        <v>143283.93</v>
      </c>
      <c r="E1717" s="417">
        <v>0</v>
      </c>
      <c r="F1717" s="417">
        <v>0</v>
      </c>
      <c r="G1717" s="415">
        <f>SUM(D1717:F1717)</f>
        <v>143283.93</v>
      </c>
      <c r="H1717" s="418"/>
      <c r="I1717" s="415">
        <f t="shared" si="524"/>
        <v>49183.55</v>
      </c>
      <c r="J1717" s="442">
        <f t="shared" si="525"/>
        <v>3.7400000000000003E-2</v>
      </c>
      <c r="K1717" s="418">
        <f t="shared" si="526"/>
        <v>447</v>
      </c>
      <c r="L1717" s="418">
        <f t="shared" si="527"/>
        <v>0</v>
      </c>
      <c r="M1717" s="417">
        <v>0</v>
      </c>
      <c r="N1717" s="408">
        <f t="shared" si="528"/>
        <v>49630.55</v>
      </c>
    </row>
    <row r="1718" spans="1:14" x14ac:dyDescent="0.2">
      <c r="A1718" s="405">
        <f t="shared" si="529"/>
        <v>11</v>
      </c>
      <c r="B1718" s="446">
        <v>387.45</v>
      </c>
      <c r="C1718" s="414" t="s">
        <v>1061</v>
      </c>
      <c r="D1718" s="415">
        <f t="shared" si="523"/>
        <v>3518404.66</v>
      </c>
      <c r="E1718" s="417">
        <f>42100+80000</f>
        <v>122100</v>
      </c>
      <c r="F1718" s="417">
        <v>-14600</v>
      </c>
      <c r="G1718" s="415">
        <f>SUM(D1718:F1718)</f>
        <v>3625904.66</v>
      </c>
      <c r="H1718" s="418"/>
      <c r="I1718" s="415">
        <f t="shared" si="524"/>
        <v>550085.06000000006</v>
      </c>
      <c r="J1718" s="442">
        <f t="shared" si="525"/>
        <v>3.7400000000000003E-2</v>
      </c>
      <c r="K1718" s="418">
        <f t="shared" si="526"/>
        <v>11133</v>
      </c>
      <c r="L1718" s="418">
        <f t="shared" si="527"/>
        <v>14600</v>
      </c>
      <c r="M1718" s="417">
        <v>0</v>
      </c>
      <c r="N1718" s="408">
        <f t="shared" si="528"/>
        <v>546618.06000000006</v>
      </c>
    </row>
    <row r="1719" spans="1:14" x14ac:dyDescent="0.2">
      <c r="A1719" s="405">
        <f t="shared" si="529"/>
        <v>12</v>
      </c>
      <c r="B1719" s="446">
        <v>387.46</v>
      </c>
      <c r="C1719" s="414" t="s">
        <v>1062</v>
      </c>
      <c r="D1719" s="421">
        <f t="shared" si="523"/>
        <v>113644.47</v>
      </c>
      <c r="E1719" s="1662">
        <v>0</v>
      </c>
      <c r="F1719" s="1662">
        <v>0</v>
      </c>
      <c r="G1719" s="428">
        <f>SUM(D1719:F1719)</f>
        <v>113644.47</v>
      </c>
      <c r="H1719" s="447"/>
      <c r="I1719" s="421">
        <f t="shared" si="524"/>
        <v>114002.83</v>
      </c>
      <c r="J1719" s="442">
        <f t="shared" si="525"/>
        <v>3.7400000000000003E-2</v>
      </c>
      <c r="K1719" s="421">
        <f t="shared" si="526"/>
        <v>354</v>
      </c>
      <c r="L1719" s="421">
        <f t="shared" si="527"/>
        <v>0</v>
      </c>
      <c r="M1719" s="422">
        <v>0</v>
      </c>
      <c r="N1719" s="423">
        <f t="shared" si="528"/>
        <v>114356.83</v>
      </c>
    </row>
    <row r="1720" spans="1:14" x14ac:dyDescent="0.2">
      <c r="A1720" s="405">
        <f t="shared" si="529"/>
        <v>13</v>
      </c>
      <c r="B1720" s="448"/>
      <c r="C1720" s="386" t="s">
        <v>1063</v>
      </c>
      <c r="D1720" s="418">
        <f>SUM(D1708:D1719,D1668:D1689)</f>
        <v>416606824.37999994</v>
      </c>
      <c r="E1720" s="418">
        <f>SUM(E1708:E1719,E1668:E1689)</f>
        <v>3087566</v>
      </c>
      <c r="F1720" s="418">
        <f>SUM(F1708:F1719,F1668:F1689)</f>
        <v>-370300</v>
      </c>
      <c r="G1720" s="418">
        <f>SUM(G1708:G1719,G1668:G1689)</f>
        <v>419324090.37999994</v>
      </c>
      <c r="H1720" s="418"/>
      <c r="I1720" s="418">
        <f>SUM(I1708:I1719,I1668:I1689)</f>
        <v>145854485.52210525</v>
      </c>
      <c r="J1720" s="418"/>
      <c r="K1720" s="418">
        <f>SUM(K1708:K1719,K1668:K1689)</f>
        <v>1169798.0494736843</v>
      </c>
      <c r="L1720" s="418">
        <f>SUM(L1708:L1719,L1668:L1689)</f>
        <v>370300</v>
      </c>
      <c r="M1720" s="418">
        <f>SUM(M1708:M1719,M1668:M1689)</f>
        <v>-88900</v>
      </c>
      <c r="N1720" s="418">
        <f>SUM(N1708:N1719,N1668:N1689)</f>
        <v>146565083.57157895</v>
      </c>
    </row>
    <row r="1721" spans="1:14" x14ac:dyDescent="0.2">
      <c r="B1721" s="448"/>
      <c r="D1721" s="418"/>
      <c r="E1721" s="418"/>
      <c r="F1721" s="418"/>
      <c r="G1721" s="418"/>
      <c r="H1721" s="418"/>
      <c r="I1721" s="439"/>
      <c r="J1721" s="418"/>
      <c r="K1721" s="418"/>
      <c r="L1721" s="418"/>
      <c r="M1721" s="418"/>
    </row>
    <row r="1722" spans="1:14" x14ac:dyDescent="0.2">
      <c r="A1722" s="405">
        <f>A1720+1</f>
        <v>14</v>
      </c>
      <c r="B1722" s="448"/>
      <c r="C1722" s="411" t="s">
        <v>737</v>
      </c>
      <c r="D1722" s="418"/>
      <c r="E1722" s="418"/>
      <c r="F1722" s="418"/>
      <c r="G1722" s="418"/>
      <c r="H1722" s="418"/>
      <c r="I1722" s="439"/>
      <c r="J1722" s="418"/>
      <c r="K1722" s="418"/>
      <c r="L1722" s="418"/>
      <c r="M1722" s="418"/>
    </row>
    <row r="1723" spans="1:14" x14ac:dyDescent="0.2">
      <c r="A1723" s="410">
        <f>A1722+1</f>
        <v>15</v>
      </c>
      <c r="B1723" s="446">
        <v>391.1</v>
      </c>
      <c r="C1723" s="414" t="s">
        <v>1064</v>
      </c>
      <c r="D1723" s="415">
        <f t="shared" ref="D1723:D1736" si="531">G1617</f>
        <v>713480.71</v>
      </c>
      <c r="E1723" s="417">
        <v>0</v>
      </c>
      <c r="F1723" s="417">
        <v>0</v>
      </c>
      <c r="G1723" s="415">
        <f t="shared" ref="G1723:G1736" si="532">SUM(D1723:F1723)</f>
        <v>713480.71</v>
      </c>
      <c r="H1723" s="418"/>
      <c r="I1723" s="415">
        <f t="shared" ref="I1723:I1736" si="533">N1617</f>
        <v>-35711.22</v>
      </c>
      <c r="J1723" s="442">
        <f t="shared" ref="J1723:J1736" si="534">J1617</f>
        <v>0.05</v>
      </c>
      <c r="K1723" s="418">
        <f>ROUND((G1723+D1723)/2*J1723/12,0)</f>
        <v>2973</v>
      </c>
      <c r="L1723" s="418">
        <f t="shared" ref="L1723:L1736" si="535">-F1723</f>
        <v>0</v>
      </c>
      <c r="M1723" s="417">
        <v>0</v>
      </c>
      <c r="N1723" s="408">
        <f t="shared" ref="N1723:N1736" si="536">I1723+K1723-L1723+M1723</f>
        <v>-32738.22</v>
      </c>
    </row>
    <row r="1724" spans="1:14" x14ac:dyDescent="0.2">
      <c r="A1724" s="410">
        <f t="shared" ref="A1724:A1737" si="537">A1723+1</f>
        <v>16</v>
      </c>
      <c r="B1724" s="446">
        <v>391.11</v>
      </c>
      <c r="C1724" s="414" t="s">
        <v>1065</v>
      </c>
      <c r="D1724" s="415">
        <f t="shared" si="531"/>
        <v>18815.57</v>
      </c>
      <c r="E1724" s="417">
        <v>0</v>
      </c>
      <c r="F1724" s="417">
        <v>0</v>
      </c>
      <c r="G1724" s="415">
        <f t="shared" si="532"/>
        <v>18815.57</v>
      </c>
      <c r="H1724" s="418"/>
      <c r="I1724" s="415">
        <f t="shared" si="533"/>
        <v>-11459.77</v>
      </c>
      <c r="J1724" s="442">
        <f t="shared" si="534"/>
        <v>6.6699999999999995E-2</v>
      </c>
      <c r="K1724" s="418">
        <f>ROUND((G1724+D1724)/2*J1724/12,0)</f>
        <v>105</v>
      </c>
      <c r="L1724" s="418">
        <f t="shared" si="535"/>
        <v>0</v>
      </c>
      <c r="M1724" s="417">
        <v>0</v>
      </c>
      <c r="N1724" s="408">
        <f t="shared" si="536"/>
        <v>-11354.77</v>
      </c>
    </row>
    <row r="1725" spans="1:14" x14ac:dyDescent="0.2">
      <c r="A1725" s="410">
        <f t="shared" si="537"/>
        <v>17</v>
      </c>
      <c r="B1725" s="446">
        <v>391.12</v>
      </c>
      <c r="C1725" s="414" t="s">
        <v>1066</v>
      </c>
      <c r="D1725" s="415">
        <f t="shared" si="531"/>
        <v>1407883.4100000001</v>
      </c>
      <c r="E1725" s="417">
        <v>0</v>
      </c>
      <c r="F1725" s="417">
        <v>0</v>
      </c>
      <c r="G1725" s="415">
        <f t="shared" si="532"/>
        <v>1407883.4100000001</v>
      </c>
      <c r="H1725" s="418"/>
      <c r="I1725" s="415">
        <f t="shared" si="533"/>
        <v>698970.37</v>
      </c>
      <c r="J1725" s="442">
        <f t="shared" si="534"/>
        <v>0.2</v>
      </c>
      <c r="K1725" s="418">
        <f>ROUND((G1725+D1725)/2*J1725/12,0)</f>
        <v>23465</v>
      </c>
      <c r="L1725" s="418">
        <f t="shared" si="535"/>
        <v>0</v>
      </c>
      <c r="M1725" s="417">
        <v>0</v>
      </c>
      <c r="N1725" s="408">
        <f t="shared" si="536"/>
        <v>722435.37</v>
      </c>
    </row>
    <row r="1726" spans="1:14" x14ac:dyDescent="0.2">
      <c r="A1726" s="410">
        <f t="shared" si="537"/>
        <v>18</v>
      </c>
      <c r="B1726" s="446">
        <v>392.2</v>
      </c>
      <c r="C1726" s="414" t="s">
        <v>1067</v>
      </c>
      <c r="D1726" s="415">
        <f t="shared" si="531"/>
        <v>95778</v>
      </c>
      <c r="E1726" s="417">
        <v>0</v>
      </c>
      <c r="F1726" s="417">
        <v>0</v>
      </c>
      <c r="G1726" s="415">
        <f t="shared" si="532"/>
        <v>95778</v>
      </c>
      <c r="H1726" s="418"/>
      <c r="I1726" s="415">
        <f t="shared" si="533"/>
        <v>26305.05</v>
      </c>
      <c r="J1726" s="442">
        <f t="shared" si="534"/>
        <v>9.1499999999999998E-2</v>
      </c>
      <c r="K1726" s="418">
        <f>ROUND((G1726+D1726)/2*J1726/12,0)</f>
        <v>730</v>
      </c>
      <c r="L1726" s="418">
        <f t="shared" si="535"/>
        <v>0</v>
      </c>
      <c r="M1726" s="417">
        <v>0</v>
      </c>
      <c r="N1726" s="408">
        <f t="shared" si="536"/>
        <v>27035.05</v>
      </c>
    </row>
    <row r="1727" spans="1:14" x14ac:dyDescent="0.2">
      <c r="A1727" s="410">
        <f t="shared" si="537"/>
        <v>19</v>
      </c>
      <c r="B1727" s="446">
        <v>392.21</v>
      </c>
      <c r="C1727" s="414" t="s">
        <v>1068</v>
      </c>
      <c r="D1727" s="415">
        <f t="shared" si="531"/>
        <v>24462.2</v>
      </c>
      <c r="E1727" s="417">
        <v>0</v>
      </c>
      <c r="F1727" s="417">
        <v>0</v>
      </c>
      <c r="G1727" s="415">
        <f t="shared" si="532"/>
        <v>24462.2</v>
      </c>
      <c r="H1727" s="418"/>
      <c r="I1727" s="415">
        <f t="shared" si="533"/>
        <v>6122.4</v>
      </c>
      <c r="J1727" s="442">
        <f t="shared" si="534"/>
        <v>9.1499999999999998E-2</v>
      </c>
      <c r="K1727" s="418">
        <f>ROUND((G1727+D1727)/2*J1727/12,0)</f>
        <v>187</v>
      </c>
      <c r="L1727" s="418">
        <f t="shared" si="535"/>
        <v>0</v>
      </c>
      <c r="M1727" s="417">
        <v>0</v>
      </c>
      <c r="N1727" s="408">
        <f t="shared" si="536"/>
        <v>6309.4</v>
      </c>
    </row>
    <row r="1728" spans="1:14" x14ac:dyDescent="0.2">
      <c r="A1728" s="410">
        <f t="shared" si="537"/>
        <v>20</v>
      </c>
      <c r="B1728" s="446">
        <v>393</v>
      </c>
      <c r="C1728" s="414" t="s">
        <v>1069</v>
      </c>
      <c r="D1728" s="415">
        <f t="shared" si="531"/>
        <v>0</v>
      </c>
      <c r="E1728" s="417">
        <v>0</v>
      </c>
      <c r="F1728" s="417">
        <v>0</v>
      </c>
      <c r="G1728" s="415">
        <f t="shared" si="532"/>
        <v>0</v>
      </c>
      <c r="H1728" s="418"/>
      <c r="I1728" s="415">
        <f t="shared" si="533"/>
        <v>0</v>
      </c>
      <c r="J1728" s="442" t="str">
        <f t="shared" si="534"/>
        <v>Amort.</v>
      </c>
      <c r="K1728" s="417">
        <v>0</v>
      </c>
      <c r="L1728" s="418">
        <f t="shared" si="535"/>
        <v>0</v>
      </c>
      <c r="M1728" s="417">
        <v>0</v>
      </c>
      <c r="N1728" s="408">
        <f t="shared" si="536"/>
        <v>0</v>
      </c>
    </row>
    <row r="1729" spans="1:15" x14ac:dyDescent="0.2">
      <c r="A1729" s="410">
        <f t="shared" si="537"/>
        <v>21</v>
      </c>
      <c r="B1729" s="446">
        <v>394.1</v>
      </c>
      <c r="C1729" s="414" t="s">
        <v>1070</v>
      </c>
      <c r="D1729" s="415">
        <f t="shared" si="531"/>
        <v>24240.799999999999</v>
      </c>
      <c r="E1729" s="417">
        <v>0</v>
      </c>
      <c r="F1729" s="417">
        <v>0</v>
      </c>
      <c r="G1729" s="415">
        <f t="shared" si="532"/>
        <v>24240.799999999999</v>
      </c>
      <c r="H1729" s="418"/>
      <c r="I1729" s="415">
        <f t="shared" si="533"/>
        <v>15013.82</v>
      </c>
      <c r="J1729" s="442">
        <f t="shared" si="534"/>
        <v>0.04</v>
      </c>
      <c r="K1729" s="418">
        <f t="shared" ref="K1729:K1736" si="538">ROUND((G1729+D1729)/2*J1729/12,0)</f>
        <v>81</v>
      </c>
      <c r="L1729" s="418">
        <f t="shared" si="535"/>
        <v>0</v>
      </c>
      <c r="M1729" s="417">
        <v>0</v>
      </c>
      <c r="N1729" s="408">
        <f t="shared" si="536"/>
        <v>15094.82</v>
      </c>
    </row>
    <row r="1730" spans="1:15" x14ac:dyDescent="0.2">
      <c r="A1730" s="410">
        <f t="shared" si="537"/>
        <v>22</v>
      </c>
      <c r="B1730" s="446">
        <v>394.11</v>
      </c>
      <c r="C1730" s="414" t="s">
        <v>1071</v>
      </c>
      <c r="D1730" s="415">
        <f t="shared" si="531"/>
        <v>0</v>
      </c>
      <c r="E1730" s="417">
        <v>0</v>
      </c>
      <c r="F1730" s="417">
        <v>0</v>
      </c>
      <c r="G1730" s="415">
        <f t="shared" si="532"/>
        <v>0</v>
      </c>
      <c r="H1730" s="418"/>
      <c r="I1730" s="415">
        <f t="shared" si="533"/>
        <v>0</v>
      </c>
      <c r="J1730" s="442">
        <f t="shared" si="534"/>
        <v>0</v>
      </c>
      <c r="K1730" s="417">
        <v>0</v>
      </c>
      <c r="L1730" s="418">
        <f t="shared" si="535"/>
        <v>0</v>
      </c>
      <c r="M1730" s="417">
        <v>0</v>
      </c>
      <c r="N1730" s="408">
        <f t="shared" si="536"/>
        <v>0</v>
      </c>
    </row>
    <row r="1731" spans="1:15" x14ac:dyDescent="0.2">
      <c r="A1731" s="410">
        <f t="shared" si="537"/>
        <v>23</v>
      </c>
      <c r="B1731" s="446">
        <v>394.13</v>
      </c>
      <c r="C1731" s="438" t="s">
        <v>1072</v>
      </c>
      <c r="D1731" s="415">
        <f t="shared" si="531"/>
        <v>0</v>
      </c>
      <c r="E1731" s="417">
        <v>0</v>
      </c>
      <c r="F1731" s="417">
        <v>0</v>
      </c>
      <c r="G1731" s="415">
        <f t="shared" si="532"/>
        <v>0</v>
      </c>
      <c r="H1731" s="418"/>
      <c r="I1731" s="415">
        <f t="shared" si="533"/>
        <v>37937.360000000001</v>
      </c>
      <c r="J1731" s="442" t="str">
        <f t="shared" si="534"/>
        <v>Amort.</v>
      </c>
      <c r="K1731" s="417">
        <v>0</v>
      </c>
      <c r="L1731" s="418">
        <f t="shared" si="535"/>
        <v>0</v>
      </c>
      <c r="M1731" s="417">
        <v>0</v>
      </c>
      <c r="N1731" s="408">
        <f t="shared" si="536"/>
        <v>37937.360000000001</v>
      </c>
    </row>
    <row r="1732" spans="1:15" x14ac:dyDescent="0.2">
      <c r="A1732" s="410">
        <f t="shared" si="537"/>
        <v>24</v>
      </c>
      <c r="B1732" s="446">
        <v>394.2</v>
      </c>
      <c r="C1732" s="414" t="s">
        <v>1073</v>
      </c>
      <c r="D1732" s="415">
        <f t="shared" si="531"/>
        <v>0</v>
      </c>
      <c r="E1732" s="417">
        <v>0</v>
      </c>
      <c r="F1732" s="417">
        <v>0</v>
      </c>
      <c r="G1732" s="415">
        <f t="shared" si="532"/>
        <v>0</v>
      </c>
      <c r="H1732" s="418"/>
      <c r="I1732" s="415">
        <f t="shared" si="533"/>
        <v>185.21</v>
      </c>
      <c r="J1732" s="442">
        <f t="shared" si="534"/>
        <v>0.04</v>
      </c>
      <c r="K1732" s="418">
        <f t="shared" si="538"/>
        <v>0</v>
      </c>
      <c r="L1732" s="418">
        <f t="shared" si="535"/>
        <v>0</v>
      </c>
      <c r="M1732" s="417">
        <v>0</v>
      </c>
      <c r="N1732" s="408">
        <f t="shared" si="536"/>
        <v>185.21</v>
      </c>
    </row>
    <row r="1733" spans="1:15" x14ac:dyDescent="0.2">
      <c r="A1733" s="410">
        <f t="shared" si="537"/>
        <v>25</v>
      </c>
      <c r="B1733" s="446">
        <v>394.3</v>
      </c>
      <c r="C1733" s="414" t="s">
        <v>1074</v>
      </c>
      <c r="D1733" s="415">
        <f t="shared" si="531"/>
        <v>3123721.16</v>
      </c>
      <c r="E1733" s="417">
        <v>20700</v>
      </c>
      <c r="F1733" s="417">
        <v>-2500</v>
      </c>
      <c r="G1733" s="415">
        <f t="shared" si="532"/>
        <v>3141921.16</v>
      </c>
      <c r="H1733" s="418"/>
      <c r="I1733" s="415">
        <f t="shared" si="533"/>
        <v>1335153.1499999999</v>
      </c>
      <c r="J1733" s="442">
        <f t="shared" si="534"/>
        <v>0.04</v>
      </c>
      <c r="K1733" s="418">
        <f t="shared" si="538"/>
        <v>10443</v>
      </c>
      <c r="L1733" s="418">
        <f t="shared" si="535"/>
        <v>2500</v>
      </c>
      <c r="M1733" s="417">
        <v>0</v>
      </c>
      <c r="N1733" s="408">
        <f t="shared" si="536"/>
        <v>1343096.15</v>
      </c>
    </row>
    <row r="1734" spans="1:15" x14ac:dyDescent="0.2">
      <c r="A1734" s="410">
        <f t="shared" si="537"/>
        <v>26</v>
      </c>
      <c r="B1734" s="446">
        <v>395</v>
      </c>
      <c r="C1734" s="414" t="s">
        <v>1075</v>
      </c>
      <c r="D1734" s="415">
        <f t="shared" si="531"/>
        <v>9257.77</v>
      </c>
      <c r="E1734" s="417">
        <v>0</v>
      </c>
      <c r="F1734" s="417">
        <v>0</v>
      </c>
      <c r="G1734" s="415">
        <f t="shared" si="532"/>
        <v>9257.77</v>
      </c>
      <c r="H1734" s="418"/>
      <c r="I1734" s="415">
        <f t="shared" si="533"/>
        <v>7724.59</v>
      </c>
      <c r="J1734" s="442">
        <f t="shared" si="534"/>
        <v>0.05</v>
      </c>
      <c r="K1734" s="418">
        <f t="shared" si="538"/>
        <v>39</v>
      </c>
      <c r="L1734" s="418">
        <f t="shared" si="535"/>
        <v>0</v>
      </c>
      <c r="M1734" s="417">
        <v>0</v>
      </c>
      <c r="N1734" s="408">
        <f t="shared" si="536"/>
        <v>7763.59</v>
      </c>
    </row>
    <row r="1735" spans="1:15" x14ac:dyDescent="0.2">
      <c r="A1735" s="410">
        <f t="shared" si="537"/>
        <v>27</v>
      </c>
      <c r="B1735" s="446">
        <v>396</v>
      </c>
      <c r="C1735" s="414" t="s">
        <v>1076</v>
      </c>
      <c r="D1735" s="415">
        <f t="shared" si="531"/>
        <v>253134.72</v>
      </c>
      <c r="E1735" s="417">
        <v>0</v>
      </c>
      <c r="F1735" s="417">
        <v>0</v>
      </c>
      <c r="G1735" s="415">
        <f t="shared" si="532"/>
        <v>253134.72</v>
      </c>
      <c r="H1735" s="418"/>
      <c r="I1735" s="415">
        <f t="shared" si="533"/>
        <v>202051.72</v>
      </c>
      <c r="J1735" s="442">
        <f t="shared" si="534"/>
        <v>2.5899999999999999E-2</v>
      </c>
      <c r="K1735" s="418">
        <f t="shared" si="538"/>
        <v>546</v>
      </c>
      <c r="L1735" s="418">
        <f t="shared" si="535"/>
        <v>0</v>
      </c>
      <c r="M1735" s="417">
        <v>0</v>
      </c>
      <c r="N1735" s="408">
        <f t="shared" si="536"/>
        <v>202597.72</v>
      </c>
    </row>
    <row r="1736" spans="1:15" x14ac:dyDescent="0.2">
      <c r="A1736" s="410">
        <f t="shared" si="537"/>
        <v>28</v>
      </c>
      <c r="B1736" s="446">
        <v>398</v>
      </c>
      <c r="C1736" s="414" t="s">
        <v>1077</v>
      </c>
      <c r="D1736" s="421">
        <f t="shared" si="531"/>
        <v>279161.94</v>
      </c>
      <c r="E1736" s="1662">
        <v>4600</v>
      </c>
      <c r="F1736" s="1662">
        <v>-600</v>
      </c>
      <c r="G1736" s="421">
        <f t="shared" si="532"/>
        <v>283161.94</v>
      </c>
      <c r="H1736" s="447"/>
      <c r="I1736" s="421">
        <f t="shared" si="533"/>
        <v>9169.59</v>
      </c>
      <c r="J1736" s="442">
        <f t="shared" si="534"/>
        <v>6.6699999999999995E-2</v>
      </c>
      <c r="K1736" s="421">
        <f t="shared" si="538"/>
        <v>1563</v>
      </c>
      <c r="L1736" s="421">
        <f t="shared" si="535"/>
        <v>600</v>
      </c>
      <c r="M1736" s="430">
        <v>0</v>
      </c>
      <c r="N1736" s="423">
        <f t="shared" si="536"/>
        <v>10132.59</v>
      </c>
    </row>
    <row r="1737" spans="1:15" x14ac:dyDescent="0.2">
      <c r="A1737" s="410">
        <f t="shared" si="537"/>
        <v>29</v>
      </c>
      <c r="C1737" s="386" t="s">
        <v>1078</v>
      </c>
      <c r="D1737" s="447">
        <f>SUM(D1723:D1736)</f>
        <v>5949936.2799999993</v>
      </c>
      <c r="E1737" s="447">
        <f>SUM(E1723:E1736)</f>
        <v>25300</v>
      </c>
      <c r="F1737" s="447">
        <f>SUM(F1723:F1736)</f>
        <v>-3100</v>
      </c>
      <c r="G1737" s="447">
        <f>SUM(G1723:G1736)</f>
        <v>5972136.2799999993</v>
      </c>
      <c r="H1737" s="447"/>
      <c r="I1737" s="447">
        <f>SUM(I1723:I1736)</f>
        <v>2291462.27</v>
      </c>
      <c r="J1737" s="424"/>
      <c r="K1737" s="447">
        <f>SUM(K1723:K1736)</f>
        <v>40132</v>
      </c>
      <c r="L1737" s="447">
        <f>SUM(L1723:L1736)</f>
        <v>3100</v>
      </c>
      <c r="M1737" s="447">
        <f>SUM(M1723:M1736)</f>
        <v>0</v>
      </c>
      <c r="N1737" s="447">
        <f>SUM(N1723:N1736)</f>
        <v>2328494.27</v>
      </c>
    </row>
    <row r="1738" spans="1:15" x14ac:dyDescent="0.2">
      <c r="D1738" s="418"/>
      <c r="E1738" s="418"/>
      <c r="F1738" s="418"/>
      <c r="G1738" s="418"/>
      <c r="H1738" s="418"/>
      <c r="I1738" s="418"/>
      <c r="J1738" s="432"/>
      <c r="K1738" s="418"/>
      <c r="L1738" s="418"/>
      <c r="M1738" s="418"/>
    </row>
    <row r="1739" spans="1:15" x14ac:dyDescent="0.2">
      <c r="A1739" s="405">
        <f>A1737+1</f>
        <v>30</v>
      </c>
      <c r="B1739" s="448"/>
      <c r="C1739" s="411" t="s">
        <v>2287</v>
      </c>
      <c r="D1739" s="418"/>
      <c r="E1739" s="418"/>
      <c r="F1739" s="418"/>
      <c r="G1739" s="418"/>
      <c r="H1739" s="418"/>
      <c r="I1739" s="439"/>
      <c r="J1739" s="418"/>
      <c r="K1739" s="418"/>
      <c r="L1739" s="418"/>
      <c r="M1739" s="418"/>
    </row>
    <row r="1740" spans="1:15" x14ac:dyDescent="0.2">
      <c r="A1740" s="1722">
        <f>A1739+1</f>
        <v>31</v>
      </c>
      <c r="B1740" s="446">
        <v>378.21</v>
      </c>
      <c r="C1740" s="1725" t="s">
        <v>2244</v>
      </c>
      <c r="D1740" s="415">
        <f>G1634</f>
        <v>-777092</v>
      </c>
      <c r="E1740" s="417">
        <v>0</v>
      </c>
      <c r="F1740" s="417">
        <v>0</v>
      </c>
      <c r="G1740" s="415">
        <f t="shared" ref="G1740" si="539">SUM(D1740:F1740)</f>
        <v>-777092</v>
      </c>
      <c r="H1740" s="418"/>
      <c r="I1740" s="415">
        <f>N1634</f>
        <v>-53187.946666666612</v>
      </c>
      <c r="J1740" s="419" t="s">
        <v>1094</v>
      </c>
      <c r="K1740" s="417">
        <v>-2158.5833333333321</v>
      </c>
      <c r="L1740" s="418">
        <f t="shared" ref="L1740" si="540">-F1740</f>
        <v>0</v>
      </c>
      <c r="M1740" s="417">
        <v>0</v>
      </c>
      <c r="N1740" s="408">
        <f t="shared" ref="N1740" si="541">I1740+K1740-L1740+M1740</f>
        <v>-55346.529999999941</v>
      </c>
      <c r="O1740" s="408"/>
    </row>
    <row r="1741" spans="1:15" x14ac:dyDescent="0.2">
      <c r="A1741" s="1722"/>
      <c r="B1741" s="446"/>
      <c r="C1741" s="438"/>
      <c r="D1741" s="415"/>
      <c r="E1741" s="417"/>
      <c r="F1741" s="417"/>
      <c r="G1741" s="415"/>
      <c r="H1741" s="418"/>
      <c r="I1741" s="419"/>
      <c r="J1741" s="419"/>
      <c r="K1741" s="417"/>
      <c r="L1741" s="418"/>
      <c r="M1741" s="417"/>
      <c r="N1741" s="408"/>
      <c r="O1741" s="408"/>
    </row>
    <row r="1742" spans="1:15" x14ac:dyDescent="0.2">
      <c r="A1742" s="410">
        <f>A1740+1</f>
        <v>32</v>
      </c>
      <c r="C1742" s="386" t="s">
        <v>774</v>
      </c>
      <c r="D1742" s="450">
        <f>D1737+D1720+D1665+D1661+D1740</f>
        <v>428873123.36999989</v>
      </c>
      <c r="E1742" s="450">
        <f>E1737+E1720+E1665+E1661+E1740</f>
        <v>3112866</v>
      </c>
      <c r="F1742" s="450">
        <f>F1737+F1720+F1665+F1661+F1740</f>
        <v>-373400</v>
      </c>
      <c r="G1742" s="450">
        <f>G1737+G1720+G1665+G1661+G1740</f>
        <v>431612589.36999989</v>
      </c>
      <c r="H1742" s="418"/>
      <c r="I1742" s="450">
        <f>I1737+I1720+I1665+I1661+I1740</f>
        <v>151454553.91461363</v>
      </c>
      <c r="J1742" s="451"/>
      <c r="K1742" s="450">
        <f>K1737+K1720+K1665+K1661+K1740</f>
        <v>1292441.8122287225</v>
      </c>
      <c r="L1742" s="450">
        <f>L1737+L1720+L1665+L1661+L1740</f>
        <v>373400</v>
      </c>
      <c r="M1742" s="450">
        <f>M1737+M1720+M1665+M1661+M1740</f>
        <v>-88900</v>
      </c>
      <c r="N1742" s="450">
        <f>N1737+N1720+N1665+N1661+N1740</f>
        <v>152284695.72684237</v>
      </c>
    </row>
    <row r="1744" spans="1:15" x14ac:dyDescent="0.2">
      <c r="A1744" s="2073" t="str">
        <f>co</f>
        <v>COLUMBIA GAS OF KENTUCKY, INC.</v>
      </c>
      <c r="B1744" s="2073"/>
      <c r="C1744" s="2073"/>
      <c r="D1744" s="2073"/>
      <c r="E1744" s="2073"/>
      <c r="F1744" s="2073"/>
      <c r="G1744" s="2073"/>
      <c r="H1744" s="2073"/>
      <c r="I1744" s="2073"/>
      <c r="J1744" s="2073"/>
      <c r="K1744" s="2073"/>
      <c r="L1744" s="2073"/>
      <c r="M1744" s="2073"/>
      <c r="N1744" s="2073"/>
    </row>
    <row r="1745" spans="1:14" x14ac:dyDescent="0.2">
      <c r="A1745" s="2073" t="str">
        <f>case</f>
        <v>CASE NO. 2016 - 00162</v>
      </c>
      <c r="B1745" s="2073"/>
      <c r="C1745" s="2073"/>
      <c r="D1745" s="2073"/>
      <c r="E1745" s="2073"/>
      <c r="F1745" s="2073"/>
      <c r="G1745" s="2073"/>
      <c r="H1745" s="2073"/>
      <c r="I1745" s="2073"/>
      <c r="J1745" s="2073"/>
      <c r="K1745" s="2073"/>
      <c r="L1745" s="2073"/>
      <c r="M1745" s="2073"/>
      <c r="N1745" s="2073"/>
    </row>
    <row r="1746" spans="1:14" x14ac:dyDescent="0.2">
      <c r="A1746" s="2074" t="s">
        <v>1106</v>
      </c>
      <c r="B1746" s="2073"/>
      <c r="C1746" s="2073"/>
      <c r="D1746" s="2073"/>
      <c r="E1746" s="2073"/>
      <c r="F1746" s="2073"/>
      <c r="G1746" s="2073"/>
      <c r="H1746" s="2073"/>
      <c r="I1746" s="2073"/>
      <c r="J1746" s="2073"/>
      <c r="K1746" s="2073"/>
      <c r="L1746" s="2073"/>
      <c r="M1746" s="2073"/>
      <c r="N1746" s="2073"/>
    </row>
    <row r="1747" spans="1:14" x14ac:dyDescent="0.2">
      <c r="A1747" s="2078" t="s">
        <v>2142</v>
      </c>
      <c r="B1747" s="2078"/>
      <c r="C1747" s="2078"/>
      <c r="D1747" s="2078"/>
      <c r="E1747" s="2078"/>
      <c r="F1747" s="2078"/>
      <c r="G1747" s="2078"/>
      <c r="H1747" s="2078"/>
      <c r="I1747" s="2078"/>
      <c r="J1747" s="2078"/>
      <c r="K1747" s="2078"/>
      <c r="L1747" s="2078"/>
      <c r="M1747" s="2078"/>
      <c r="N1747" s="2078"/>
    </row>
    <row r="1749" spans="1:14" x14ac:dyDescent="0.2">
      <c r="A1749" s="385" t="s">
        <v>1095</v>
      </c>
      <c r="I1749" s="386"/>
      <c r="N1749" s="387" t="s">
        <v>763</v>
      </c>
    </row>
    <row r="1750" spans="1:14" x14ac:dyDescent="0.2">
      <c r="A1750" s="388" t="s">
        <v>977</v>
      </c>
      <c r="I1750" s="386"/>
      <c r="N1750" s="387" t="s">
        <v>998</v>
      </c>
    </row>
    <row r="1751" spans="1:14" x14ac:dyDescent="0.2">
      <c r="A1751" s="390" t="s">
        <v>997</v>
      </c>
      <c r="B1751" s="391"/>
      <c r="C1751" s="391"/>
      <c r="D1751" s="391"/>
      <c r="E1751" s="391"/>
      <c r="F1751" s="391"/>
      <c r="G1751" s="391"/>
      <c r="H1751" s="391"/>
      <c r="I1751" s="392"/>
      <c r="L1751" s="386"/>
      <c r="M1751" s="386"/>
      <c r="N1751" s="393" t="str">
        <f>SMK</f>
        <v>WITNESS:  S. M. KATKO</v>
      </c>
    </row>
    <row r="1752" spans="1:14" x14ac:dyDescent="0.2">
      <c r="A1752" s="390"/>
      <c r="B1752" s="391"/>
      <c r="C1752" s="391"/>
      <c r="D1752" s="391"/>
      <c r="E1752" s="391"/>
      <c r="F1752" s="391"/>
      <c r="G1752" s="391"/>
      <c r="H1752" s="391"/>
      <c r="I1752" s="392"/>
      <c r="J1752" s="393"/>
      <c r="L1752" s="386"/>
      <c r="M1752" s="386"/>
    </row>
    <row r="1753" spans="1:14" x14ac:dyDescent="0.2">
      <c r="A1753" s="390"/>
      <c r="B1753" s="391"/>
      <c r="C1753" s="391"/>
      <c r="D1753" s="2075" t="s">
        <v>1088</v>
      </c>
      <c r="E1753" s="2075"/>
      <c r="F1753" s="2075"/>
      <c r="G1753" s="2075"/>
      <c r="H1753" s="391"/>
      <c r="I1753" s="2076" t="s">
        <v>1093</v>
      </c>
      <c r="J1753" s="2077"/>
      <c r="K1753" s="2077"/>
      <c r="L1753" s="2077"/>
      <c r="M1753" s="2077"/>
      <c r="N1753" s="2077"/>
    </row>
    <row r="1754" spans="1:14" x14ac:dyDescent="0.2">
      <c r="A1754" s="394"/>
      <c r="B1754" s="391"/>
      <c r="C1754" s="391"/>
      <c r="D1754" s="396" t="s">
        <v>1084</v>
      </c>
      <c r="E1754" s="391"/>
      <c r="F1754" s="391"/>
      <c r="G1754" s="395"/>
      <c r="H1754" s="395"/>
      <c r="I1754" s="397" t="s">
        <v>1089</v>
      </c>
      <c r="J1754" s="396"/>
      <c r="M1754" s="386"/>
    </row>
    <row r="1755" spans="1:14" x14ac:dyDescent="0.2">
      <c r="A1755" s="383"/>
      <c r="D1755" s="397" t="s">
        <v>865</v>
      </c>
      <c r="G1755" s="397" t="s">
        <v>867</v>
      </c>
      <c r="H1755" s="398"/>
      <c r="I1755" s="397" t="s">
        <v>865</v>
      </c>
      <c r="J1755" s="397" t="s">
        <v>956</v>
      </c>
      <c r="M1755" s="386"/>
      <c r="N1755" s="397" t="s">
        <v>867</v>
      </c>
    </row>
    <row r="1756" spans="1:14" x14ac:dyDescent="0.2">
      <c r="A1756" s="397" t="s">
        <v>1080</v>
      </c>
      <c r="B1756" s="397" t="s">
        <v>1082</v>
      </c>
      <c r="D1756" s="397" t="s">
        <v>867</v>
      </c>
      <c r="G1756" s="399" t="s">
        <v>1087</v>
      </c>
      <c r="H1756" s="398"/>
      <c r="I1756" s="399" t="s">
        <v>867</v>
      </c>
      <c r="J1756" s="397" t="s">
        <v>1090</v>
      </c>
      <c r="K1756" s="397" t="s">
        <v>956</v>
      </c>
      <c r="M1756" s="399" t="s">
        <v>1092</v>
      </c>
      <c r="N1756" s="399" t="s">
        <v>1087</v>
      </c>
    </row>
    <row r="1757" spans="1:14" x14ac:dyDescent="0.2">
      <c r="A1757" s="400" t="s">
        <v>1081</v>
      </c>
      <c r="B1757" s="400" t="s">
        <v>1081</v>
      </c>
      <c r="C1757" s="401" t="s">
        <v>1083</v>
      </c>
      <c r="D1757" s="409" t="str">
        <f>"06/30/2017"</f>
        <v>06/30/2017</v>
      </c>
      <c r="E1757" s="400" t="s">
        <v>1085</v>
      </c>
      <c r="F1757" s="400" t="s">
        <v>1086</v>
      </c>
      <c r="G1757" s="409" t="str">
        <f>"07/31/2017"</f>
        <v>07/31/2017</v>
      </c>
      <c r="H1757" s="398"/>
      <c r="I1757" s="404" t="str">
        <f>D1757</f>
        <v>06/30/2017</v>
      </c>
      <c r="J1757" s="400" t="s">
        <v>1091</v>
      </c>
      <c r="K1757" s="402" t="s">
        <v>1090</v>
      </c>
      <c r="L1757" s="402" t="s">
        <v>1086</v>
      </c>
      <c r="M1757" s="402" t="s">
        <v>955</v>
      </c>
      <c r="N1757" s="404" t="str">
        <f>G1757</f>
        <v>07/31/2017</v>
      </c>
    </row>
    <row r="1758" spans="1:14" x14ac:dyDescent="0.2">
      <c r="A1758" s="406"/>
      <c r="B1758" s="406"/>
      <c r="C1758" s="406"/>
      <c r="D1758" s="406" t="str">
        <f>"(1)"</f>
        <v>(1)</v>
      </c>
      <c r="E1758" s="406" t="str">
        <f>"(2)"</f>
        <v>(2)</v>
      </c>
      <c r="F1758" s="406" t="str">
        <f>"(3)"</f>
        <v>(3)</v>
      </c>
      <c r="G1758" s="406" t="str">
        <f>"(4)=(1+2+3)"</f>
        <v>(4)=(1+2+3)</v>
      </c>
      <c r="H1758" s="406"/>
      <c r="I1758" s="406" t="str">
        <f>"(5)"</f>
        <v>(5)</v>
      </c>
      <c r="J1758" s="406" t="str">
        <f>"(6)"</f>
        <v>(6)</v>
      </c>
      <c r="K1758" s="406" t="str">
        <f>"(7)=((1+4)/2*6/12))"</f>
        <v>(7)=((1+4)/2*6/12))</v>
      </c>
      <c r="L1758" s="406" t="str">
        <f>"(8)"</f>
        <v>(8)</v>
      </c>
      <c r="M1758" s="406" t="str">
        <f>"(9)"</f>
        <v>(9)</v>
      </c>
      <c r="N1758" s="406" t="str">
        <f>"(10)=(5+7-8+9)"</f>
        <v>(10)=(5+7-8+9)</v>
      </c>
    </row>
    <row r="1759" spans="1:14" x14ac:dyDescent="0.2">
      <c r="D1759" s="410" t="s">
        <v>639</v>
      </c>
      <c r="E1759" s="410" t="s">
        <v>639</v>
      </c>
      <c r="F1759" s="410" t="s">
        <v>639</v>
      </c>
      <c r="G1759" s="410" t="s">
        <v>639</v>
      </c>
      <c r="H1759" s="410"/>
      <c r="I1759" s="410" t="s">
        <v>639</v>
      </c>
      <c r="J1759" s="410" t="s">
        <v>639</v>
      </c>
      <c r="K1759" s="410" t="s">
        <v>639</v>
      </c>
      <c r="L1759" s="410" t="s">
        <v>639</v>
      </c>
      <c r="M1759" s="410" t="s">
        <v>639</v>
      </c>
      <c r="N1759" s="410" t="s">
        <v>639</v>
      </c>
    </row>
    <row r="1760" spans="1:14" x14ac:dyDescent="0.2">
      <c r="A1760" s="410">
        <v>1</v>
      </c>
      <c r="B1760" s="411" t="s">
        <v>1025</v>
      </c>
      <c r="C1760" s="412"/>
      <c r="M1760" s="386"/>
    </row>
    <row r="1761" spans="1:14" x14ac:dyDescent="0.2">
      <c r="A1761" s="410">
        <f>A1760+1</f>
        <v>2</v>
      </c>
      <c r="C1761" s="411" t="s">
        <v>697</v>
      </c>
      <c r="M1761" s="386"/>
    </row>
    <row r="1762" spans="1:14" x14ac:dyDescent="0.2">
      <c r="A1762" s="410">
        <f t="shared" ref="A1762:A1767" si="542">A1761+1</f>
        <v>3</v>
      </c>
      <c r="B1762" s="413">
        <v>301</v>
      </c>
      <c r="C1762" s="414" t="s">
        <v>1026</v>
      </c>
      <c r="D1762" s="415">
        <f>G1656</f>
        <v>521.20000000000005</v>
      </c>
      <c r="E1762" s="417">
        <v>0</v>
      </c>
      <c r="F1762" s="417">
        <v>0</v>
      </c>
      <c r="G1762" s="415">
        <f>SUM(D1762:F1762)</f>
        <v>521.20000000000005</v>
      </c>
      <c r="H1762" s="418"/>
      <c r="I1762" s="415">
        <f>N1656</f>
        <v>0</v>
      </c>
      <c r="J1762" s="419" t="s">
        <v>1094</v>
      </c>
      <c r="K1762" s="417">
        <v>0</v>
      </c>
      <c r="L1762" s="418">
        <f>-F1762</f>
        <v>0</v>
      </c>
      <c r="M1762" s="417">
        <v>0</v>
      </c>
      <c r="N1762" s="408">
        <f>I1762+K1762-L1762+M1762</f>
        <v>0</v>
      </c>
    </row>
    <row r="1763" spans="1:14" x14ac:dyDescent="0.2">
      <c r="A1763" s="410">
        <f t="shared" si="542"/>
        <v>4</v>
      </c>
      <c r="B1763" s="413">
        <v>303</v>
      </c>
      <c r="C1763" s="414" t="s">
        <v>1027</v>
      </c>
      <c r="D1763" s="415">
        <f>G1657</f>
        <v>74347.509999999995</v>
      </c>
      <c r="E1763" s="417">
        <v>0</v>
      </c>
      <c r="F1763" s="417">
        <v>0</v>
      </c>
      <c r="G1763" s="415">
        <f>SUM(D1763:F1763)</f>
        <v>74347.509999999995</v>
      </c>
      <c r="H1763" s="418"/>
      <c r="I1763" s="415">
        <f>N1657</f>
        <v>49103.749999999949</v>
      </c>
      <c r="J1763" s="419" t="s">
        <v>1094</v>
      </c>
      <c r="K1763" s="415">
        <f>'Intangible Amort.'!M$110</f>
        <v>206.52</v>
      </c>
      <c r="L1763" s="418">
        <f>-F1763</f>
        <v>0</v>
      </c>
      <c r="M1763" s="417">
        <v>0</v>
      </c>
      <c r="N1763" s="408">
        <f>I1763+K1763-L1763+M1763</f>
        <v>49310.269999999946</v>
      </c>
    </row>
    <row r="1764" spans="1:14" x14ac:dyDescent="0.2">
      <c r="A1764" s="410">
        <f t="shared" si="542"/>
        <v>5</v>
      </c>
      <c r="B1764" s="413">
        <v>303.10000000000002</v>
      </c>
      <c r="C1764" s="414" t="s">
        <v>1028</v>
      </c>
      <c r="D1764" s="415">
        <f>G1658</f>
        <v>0</v>
      </c>
      <c r="E1764" s="417">
        <v>0</v>
      </c>
      <c r="F1764" s="417">
        <v>0</v>
      </c>
      <c r="G1764" s="415">
        <f>SUM(D1764:F1764)</f>
        <v>0</v>
      </c>
      <c r="H1764" s="418"/>
      <c r="I1764" s="415">
        <f>N1658</f>
        <v>0</v>
      </c>
      <c r="J1764" s="419" t="s">
        <v>1094</v>
      </c>
      <c r="K1764" s="417">
        <v>0</v>
      </c>
      <c r="L1764" s="418">
        <f>-F1764</f>
        <v>0</v>
      </c>
      <c r="M1764" s="417">
        <v>0</v>
      </c>
      <c r="N1764" s="408">
        <f>I1764+K1764-L1764+M1764</f>
        <v>0</v>
      </c>
    </row>
    <row r="1765" spans="1:14" x14ac:dyDescent="0.2">
      <c r="A1765" s="410">
        <f t="shared" si="542"/>
        <v>6</v>
      </c>
      <c r="B1765" s="413">
        <v>303.2</v>
      </c>
      <c r="C1765" s="414" t="s">
        <v>1029</v>
      </c>
      <c r="D1765" s="415">
        <f>G1659</f>
        <v>0</v>
      </c>
      <c r="E1765" s="417">
        <v>0</v>
      </c>
      <c r="F1765" s="417">
        <v>0</v>
      </c>
      <c r="G1765" s="415">
        <f>SUM(D1765:F1765)</f>
        <v>0</v>
      </c>
      <c r="H1765" s="418"/>
      <c r="I1765" s="415">
        <f>N1659</f>
        <v>0</v>
      </c>
      <c r="J1765" s="419" t="s">
        <v>1094</v>
      </c>
      <c r="K1765" s="417">
        <v>0</v>
      </c>
      <c r="L1765" s="418">
        <f>-F1765</f>
        <v>0</v>
      </c>
      <c r="M1765" s="417">
        <v>0</v>
      </c>
      <c r="N1765" s="408">
        <f>I1765+K1765-L1765+M1765</f>
        <v>0</v>
      </c>
    </row>
    <row r="1766" spans="1:14" x14ac:dyDescent="0.2">
      <c r="A1766" s="410">
        <f t="shared" si="542"/>
        <v>7</v>
      </c>
      <c r="B1766" s="413">
        <v>303.3</v>
      </c>
      <c r="C1766" s="414" t="s">
        <v>1030</v>
      </c>
      <c r="D1766" s="421">
        <f>G1660</f>
        <v>7018586</v>
      </c>
      <c r="E1766" s="422">
        <v>2652000</v>
      </c>
      <c r="F1766" s="422">
        <v>0</v>
      </c>
      <c r="G1766" s="421">
        <f>SUM(D1766:F1766)</f>
        <v>9670586</v>
      </c>
      <c r="H1766" s="418"/>
      <c r="I1766" s="421">
        <f>N1660</f>
        <v>3397360.6652634037</v>
      </c>
      <c r="J1766" s="419" t="s">
        <v>1094</v>
      </c>
      <c r="K1766" s="421">
        <f>'Intangible Amort.'!M$188</f>
        <v>105933.1099691143</v>
      </c>
      <c r="L1766" s="421">
        <f>-F1766</f>
        <v>0</v>
      </c>
      <c r="M1766" s="422">
        <v>0</v>
      </c>
      <c r="N1766" s="423">
        <f>I1766+K1766-L1766+M1766</f>
        <v>3503293.7752325181</v>
      </c>
    </row>
    <row r="1767" spans="1:14" x14ac:dyDescent="0.2">
      <c r="A1767" s="410">
        <f t="shared" si="542"/>
        <v>8</v>
      </c>
      <c r="B1767" s="413"/>
      <c r="C1767" s="414" t="s">
        <v>1031</v>
      </c>
      <c r="D1767" s="418">
        <f>SUM(D1762:D1766)</f>
        <v>7093454.71</v>
      </c>
      <c r="E1767" s="418">
        <f>SUM(E1762:E1766)</f>
        <v>2652000</v>
      </c>
      <c r="F1767" s="418">
        <f>SUM(F1762:F1766)</f>
        <v>0</v>
      </c>
      <c r="G1767" s="418">
        <f>SUM(G1762:G1766)</f>
        <v>9745454.7100000009</v>
      </c>
      <c r="H1767" s="418"/>
      <c r="I1767" s="418">
        <f>SUM(I1762:I1766)</f>
        <v>3446464.4152634037</v>
      </c>
      <c r="J1767" s="424"/>
      <c r="K1767" s="418">
        <f>SUM(K1762:K1766)</f>
        <v>106139.62996911431</v>
      </c>
      <c r="L1767" s="418">
        <f>SUM(L1762:L1766)</f>
        <v>0</v>
      </c>
      <c r="M1767" s="418">
        <f>SUM(M1762:M1766)</f>
        <v>0</v>
      </c>
      <c r="N1767" s="418">
        <f>SUM(N1762:N1766)</f>
        <v>3552604.0452325181</v>
      </c>
    </row>
    <row r="1768" spans="1:14" x14ac:dyDescent="0.2">
      <c r="B1768" s="425"/>
      <c r="D1768" s="418"/>
      <c r="E1768" s="418"/>
      <c r="F1768" s="418"/>
      <c r="G1768" s="418"/>
      <c r="H1768" s="418"/>
      <c r="I1768" s="418"/>
      <c r="J1768" s="424"/>
      <c r="K1768" s="418"/>
      <c r="L1768" s="418"/>
      <c r="M1768" s="418"/>
    </row>
    <row r="1769" spans="1:14" x14ac:dyDescent="0.2">
      <c r="A1769" s="410">
        <f>A1767+1</f>
        <v>9</v>
      </c>
      <c r="B1769" s="425"/>
      <c r="C1769" s="411" t="s">
        <v>704</v>
      </c>
      <c r="D1769" s="418"/>
      <c r="E1769" s="418"/>
      <c r="F1769" s="418"/>
      <c r="G1769" s="418"/>
      <c r="H1769" s="418"/>
      <c r="I1769" s="418"/>
      <c r="J1769" s="424"/>
      <c r="K1769" s="418"/>
      <c r="L1769" s="418"/>
      <c r="M1769" s="418"/>
    </row>
    <row r="1770" spans="1:14" x14ac:dyDescent="0.2">
      <c r="A1770" s="410">
        <f>A1769+1</f>
        <v>10</v>
      </c>
      <c r="B1770" s="426">
        <v>304.10000000000002</v>
      </c>
      <c r="C1770" s="427" t="s">
        <v>1032</v>
      </c>
      <c r="D1770" s="421">
        <f>G1664</f>
        <v>0</v>
      </c>
      <c r="E1770" s="430">
        <v>0</v>
      </c>
      <c r="F1770" s="430">
        <v>0</v>
      </c>
      <c r="G1770" s="421">
        <f>SUM(D1770:F1770)</f>
        <v>0</v>
      </c>
      <c r="H1770" s="418"/>
      <c r="I1770" s="421">
        <f>N1664</f>
        <v>0</v>
      </c>
      <c r="J1770" s="429" t="s">
        <v>1102</v>
      </c>
      <c r="K1770" s="430">
        <v>0</v>
      </c>
      <c r="L1770" s="421">
        <f>-F1770</f>
        <v>0</v>
      </c>
      <c r="M1770" s="422">
        <v>0</v>
      </c>
      <c r="N1770" s="423">
        <f>I1770+K1770-L1770+M1770</f>
        <v>0</v>
      </c>
    </row>
    <row r="1771" spans="1:14" x14ac:dyDescent="0.2">
      <c r="A1771" s="410">
        <f>A1770+1</f>
        <v>11</v>
      </c>
      <c r="B1771" s="426"/>
      <c r="C1771" s="431" t="s">
        <v>1079</v>
      </c>
      <c r="D1771" s="418">
        <f>D1770</f>
        <v>0</v>
      </c>
      <c r="E1771" s="418">
        <f>E1770</f>
        <v>0</v>
      </c>
      <c r="F1771" s="418">
        <f>F1770</f>
        <v>0</v>
      </c>
      <c r="G1771" s="418">
        <f>G1770</f>
        <v>0</v>
      </c>
      <c r="H1771" s="418"/>
      <c r="I1771" s="418">
        <f>I1770</f>
        <v>0</v>
      </c>
      <c r="J1771" s="432"/>
      <c r="K1771" s="418">
        <f>SUM(K1770)</f>
        <v>0</v>
      </c>
      <c r="L1771" s="418">
        <f>SUM(L1770)</f>
        <v>0</v>
      </c>
      <c r="M1771" s="418">
        <f>M1770</f>
        <v>0</v>
      </c>
      <c r="N1771" s="418">
        <f>N1770</f>
        <v>0</v>
      </c>
    </row>
    <row r="1772" spans="1:14" x14ac:dyDescent="0.2">
      <c r="B1772" s="425"/>
      <c r="D1772" s="418"/>
      <c r="E1772" s="418"/>
      <c r="F1772" s="418"/>
      <c r="G1772" s="418"/>
      <c r="H1772" s="418"/>
      <c r="I1772" s="418"/>
      <c r="J1772" s="432"/>
      <c r="K1772" s="418"/>
      <c r="L1772" s="418"/>
      <c r="M1772" s="418"/>
    </row>
    <row r="1773" spans="1:14" x14ac:dyDescent="0.2">
      <c r="A1773" s="410">
        <f>A1771+1</f>
        <v>12</v>
      </c>
      <c r="B1773" s="425"/>
      <c r="C1773" s="411" t="s">
        <v>707</v>
      </c>
      <c r="D1773" s="418"/>
      <c r="E1773" s="418"/>
      <c r="F1773" s="418"/>
      <c r="G1773" s="418"/>
      <c r="H1773" s="418"/>
      <c r="I1773" s="418"/>
      <c r="J1773" s="432"/>
      <c r="K1773" s="418"/>
      <c r="L1773" s="418"/>
      <c r="M1773" s="418"/>
    </row>
    <row r="1774" spans="1:14" x14ac:dyDescent="0.2">
      <c r="A1774" s="410">
        <f>A1773+1</f>
        <v>13</v>
      </c>
      <c r="B1774" s="413">
        <v>374.1</v>
      </c>
      <c r="C1774" s="414" t="s">
        <v>1035</v>
      </c>
      <c r="D1774" s="415">
        <f t="shared" ref="D1774:D1784" si="543">G1668</f>
        <v>206</v>
      </c>
      <c r="E1774" s="417">
        <v>0</v>
      </c>
      <c r="F1774" s="417">
        <v>0</v>
      </c>
      <c r="G1774" s="415">
        <f>SUM(D1774:F1774)</f>
        <v>206</v>
      </c>
      <c r="H1774" s="418"/>
      <c r="I1774" s="415">
        <f t="shared" ref="I1774:I1784" si="544">N1668</f>
        <v>0</v>
      </c>
      <c r="J1774" s="429" t="s">
        <v>1102</v>
      </c>
      <c r="K1774" s="417">
        <v>0</v>
      </c>
      <c r="L1774" s="418">
        <f t="shared" ref="L1774:L1784" si="545">-F1774</f>
        <v>0</v>
      </c>
      <c r="M1774" s="417">
        <v>0</v>
      </c>
      <c r="N1774" s="408">
        <f t="shared" ref="N1774:N1784" si="546">I1774+K1774-L1774+M1774</f>
        <v>0</v>
      </c>
    </row>
    <row r="1775" spans="1:14" x14ac:dyDescent="0.2">
      <c r="A1775" s="410">
        <f t="shared" ref="A1775:A1795" si="547">A1774+1</f>
        <v>14</v>
      </c>
      <c r="B1775" s="413">
        <v>374.2</v>
      </c>
      <c r="C1775" s="414" t="s">
        <v>1036</v>
      </c>
      <c r="D1775" s="415">
        <f t="shared" si="543"/>
        <v>877756.18</v>
      </c>
      <c r="E1775" s="417">
        <v>0</v>
      </c>
      <c r="F1775" s="417">
        <v>0</v>
      </c>
      <c r="G1775" s="415">
        <f t="shared" ref="G1775:G1784" si="548">SUM(D1775:F1775)</f>
        <v>877756.18</v>
      </c>
      <c r="H1775" s="418"/>
      <c r="I1775" s="415">
        <f t="shared" si="544"/>
        <v>-523.13</v>
      </c>
      <c r="J1775" s="429" t="s">
        <v>1102</v>
      </c>
      <c r="K1775" s="417">
        <v>0</v>
      </c>
      <c r="L1775" s="418">
        <f t="shared" si="545"/>
        <v>0</v>
      </c>
      <c r="M1775" s="417">
        <v>0</v>
      </c>
      <c r="N1775" s="408">
        <f t="shared" si="546"/>
        <v>-523.13</v>
      </c>
    </row>
    <row r="1776" spans="1:14" x14ac:dyDescent="0.2">
      <c r="A1776" s="410">
        <f t="shared" si="547"/>
        <v>15</v>
      </c>
      <c r="B1776" s="413">
        <v>374.4</v>
      </c>
      <c r="C1776" s="414" t="s">
        <v>1037</v>
      </c>
      <c r="D1776" s="415">
        <f t="shared" si="543"/>
        <v>661305.66</v>
      </c>
      <c r="E1776" s="417">
        <v>0</v>
      </c>
      <c r="F1776" s="417">
        <v>0</v>
      </c>
      <c r="G1776" s="415">
        <f t="shared" si="548"/>
        <v>661305.66</v>
      </c>
      <c r="H1776" s="418"/>
      <c r="I1776" s="415">
        <f t="shared" si="544"/>
        <v>184637.36</v>
      </c>
      <c r="J1776" s="442">
        <f t="shared" ref="J1776:J1782" si="549">J1670</f>
        <v>1.7399999999999999E-2</v>
      </c>
      <c r="K1776" s="418">
        <f>ROUND((G1776+D1776)/2*J1776/12,0)</f>
        <v>959</v>
      </c>
      <c r="L1776" s="418">
        <f t="shared" si="545"/>
        <v>0</v>
      </c>
      <c r="M1776" s="417">
        <v>0</v>
      </c>
      <c r="N1776" s="408">
        <f t="shared" si="546"/>
        <v>185596.36</v>
      </c>
    </row>
    <row r="1777" spans="1:14" x14ac:dyDescent="0.2">
      <c r="A1777" s="410">
        <f t="shared" si="547"/>
        <v>16</v>
      </c>
      <c r="B1777" s="413">
        <v>374.5</v>
      </c>
      <c r="C1777" s="414" t="s">
        <v>1038</v>
      </c>
      <c r="D1777" s="415">
        <f t="shared" si="543"/>
        <v>2726172.55</v>
      </c>
      <c r="E1777" s="417">
        <v>5600</v>
      </c>
      <c r="F1777" s="417">
        <v>-700</v>
      </c>
      <c r="G1777" s="415">
        <f t="shared" si="548"/>
        <v>2731072.55</v>
      </c>
      <c r="H1777" s="418"/>
      <c r="I1777" s="415">
        <f t="shared" si="544"/>
        <v>943232.23</v>
      </c>
      <c r="J1777" s="442">
        <f t="shared" si="549"/>
        <v>1.29E-2</v>
      </c>
      <c r="K1777" s="418">
        <f t="shared" ref="K1777:K1782" si="550">ROUND((G1777+D1777)/2*J1777/12,0)</f>
        <v>2933</v>
      </c>
      <c r="L1777" s="418">
        <f t="shared" si="545"/>
        <v>700</v>
      </c>
      <c r="M1777" s="417">
        <v>0</v>
      </c>
      <c r="N1777" s="408">
        <f t="shared" si="546"/>
        <v>945465.23</v>
      </c>
    </row>
    <row r="1778" spans="1:14" x14ac:dyDescent="0.2">
      <c r="A1778" s="410">
        <f t="shared" si="547"/>
        <v>17</v>
      </c>
      <c r="B1778" s="413">
        <v>375.2</v>
      </c>
      <c r="C1778" s="414" t="s">
        <v>1039</v>
      </c>
      <c r="D1778" s="415">
        <f t="shared" si="543"/>
        <v>2124.98</v>
      </c>
      <c r="E1778" s="417">
        <v>0</v>
      </c>
      <c r="F1778" s="417">
        <v>0</v>
      </c>
      <c r="G1778" s="415">
        <f t="shared" si="548"/>
        <v>2124.98</v>
      </c>
      <c r="H1778" s="418"/>
      <c r="I1778" s="415">
        <f t="shared" si="544"/>
        <v>2063.3199999999997</v>
      </c>
      <c r="J1778" s="442">
        <f t="shared" si="549"/>
        <v>3.1800000000000002E-2</v>
      </c>
      <c r="K1778" s="418">
        <f t="shared" si="550"/>
        <v>6</v>
      </c>
      <c r="L1778" s="418">
        <f t="shared" si="545"/>
        <v>0</v>
      </c>
      <c r="M1778" s="417">
        <v>0</v>
      </c>
      <c r="N1778" s="408">
        <f t="shared" si="546"/>
        <v>2069.3199999999997</v>
      </c>
    </row>
    <row r="1779" spans="1:14" x14ac:dyDescent="0.2">
      <c r="A1779" s="410">
        <f t="shared" si="547"/>
        <v>18</v>
      </c>
      <c r="B1779" s="413">
        <v>375.3</v>
      </c>
      <c r="C1779" s="414" t="s">
        <v>1040</v>
      </c>
      <c r="D1779" s="415">
        <f t="shared" si="543"/>
        <v>0</v>
      </c>
      <c r="E1779" s="417">
        <v>0</v>
      </c>
      <c r="F1779" s="417">
        <v>0</v>
      </c>
      <c r="G1779" s="415">
        <f t="shared" si="548"/>
        <v>0</v>
      </c>
      <c r="H1779" s="418"/>
      <c r="I1779" s="415">
        <f t="shared" si="544"/>
        <v>-77.66</v>
      </c>
      <c r="J1779" s="442">
        <f t="shared" si="549"/>
        <v>3.1800000000000002E-2</v>
      </c>
      <c r="K1779" s="418">
        <f t="shared" si="550"/>
        <v>0</v>
      </c>
      <c r="L1779" s="418">
        <f t="shared" si="545"/>
        <v>0</v>
      </c>
      <c r="M1779" s="417">
        <v>0</v>
      </c>
      <c r="N1779" s="408">
        <f t="shared" si="546"/>
        <v>-77.66</v>
      </c>
    </row>
    <row r="1780" spans="1:14" x14ac:dyDescent="0.2">
      <c r="A1780" s="410">
        <f t="shared" si="547"/>
        <v>19</v>
      </c>
      <c r="B1780" s="413">
        <v>375.4</v>
      </c>
      <c r="C1780" s="414" t="s">
        <v>1041</v>
      </c>
      <c r="D1780" s="415">
        <f t="shared" si="543"/>
        <v>2185530.02</v>
      </c>
      <c r="E1780" s="417">
        <v>26800</v>
      </c>
      <c r="F1780" s="417">
        <v>-3200</v>
      </c>
      <c r="G1780" s="415">
        <f t="shared" si="548"/>
        <v>2209130.02</v>
      </c>
      <c r="H1780" s="418"/>
      <c r="I1780" s="415">
        <f t="shared" si="544"/>
        <v>504991.37</v>
      </c>
      <c r="J1780" s="442">
        <f t="shared" si="549"/>
        <v>3.1800000000000002E-2</v>
      </c>
      <c r="K1780" s="418">
        <f t="shared" si="550"/>
        <v>5823</v>
      </c>
      <c r="L1780" s="418">
        <f t="shared" si="545"/>
        <v>3200</v>
      </c>
      <c r="M1780" s="417">
        <v>-300</v>
      </c>
      <c r="N1780" s="408">
        <f t="shared" si="546"/>
        <v>507314.37</v>
      </c>
    </row>
    <row r="1781" spans="1:14" x14ac:dyDescent="0.2">
      <c r="A1781" s="410">
        <f t="shared" si="547"/>
        <v>20</v>
      </c>
      <c r="B1781" s="413">
        <v>375.6</v>
      </c>
      <c r="C1781" s="414" t="s">
        <v>1042</v>
      </c>
      <c r="D1781" s="415">
        <f t="shared" si="543"/>
        <v>0</v>
      </c>
      <c r="E1781" s="417">
        <v>0</v>
      </c>
      <c r="F1781" s="417">
        <v>0</v>
      </c>
      <c r="G1781" s="415">
        <f t="shared" si="548"/>
        <v>0</v>
      </c>
      <c r="H1781" s="418"/>
      <c r="I1781" s="415">
        <f t="shared" si="544"/>
        <v>0.02</v>
      </c>
      <c r="J1781" s="442">
        <f t="shared" si="549"/>
        <v>3.1800000000000002E-2</v>
      </c>
      <c r="K1781" s="418">
        <f t="shared" si="550"/>
        <v>0</v>
      </c>
      <c r="L1781" s="418">
        <f t="shared" si="545"/>
        <v>0</v>
      </c>
      <c r="M1781" s="417">
        <v>0</v>
      </c>
      <c r="N1781" s="408">
        <f t="shared" si="546"/>
        <v>0.02</v>
      </c>
    </row>
    <row r="1782" spans="1:14" x14ac:dyDescent="0.2">
      <c r="A1782" s="410">
        <f t="shared" si="547"/>
        <v>21</v>
      </c>
      <c r="B1782" s="413">
        <v>375.7</v>
      </c>
      <c r="C1782" s="414" t="s">
        <v>1043</v>
      </c>
      <c r="D1782" s="415">
        <f t="shared" si="543"/>
        <v>8510550.2100000009</v>
      </c>
      <c r="E1782" s="417">
        <f>48300</f>
        <v>48300</v>
      </c>
      <c r="F1782" s="417">
        <v>-5800</v>
      </c>
      <c r="G1782" s="415">
        <f t="shared" si="548"/>
        <v>8553050.2100000009</v>
      </c>
      <c r="H1782" s="418"/>
      <c r="I1782" s="415">
        <f t="shared" si="544"/>
        <v>3370678.06</v>
      </c>
      <c r="J1782" s="442">
        <f t="shared" si="549"/>
        <v>2.1299999999999999E-2</v>
      </c>
      <c r="K1782" s="418">
        <f t="shared" si="550"/>
        <v>15144</v>
      </c>
      <c r="L1782" s="418">
        <f t="shared" si="545"/>
        <v>5800</v>
      </c>
      <c r="M1782" s="417">
        <v>0</v>
      </c>
      <c r="N1782" s="408">
        <f t="shared" si="546"/>
        <v>3380022.06</v>
      </c>
    </row>
    <row r="1783" spans="1:14" x14ac:dyDescent="0.2">
      <c r="A1783" s="410">
        <f t="shared" si="547"/>
        <v>22</v>
      </c>
      <c r="B1783" s="413">
        <v>375.71</v>
      </c>
      <c r="C1783" s="414" t="s">
        <v>1044</v>
      </c>
      <c r="D1783" s="415">
        <f t="shared" si="543"/>
        <v>259808.94</v>
      </c>
      <c r="E1783" s="417">
        <v>0</v>
      </c>
      <c r="F1783" s="417">
        <v>0</v>
      </c>
      <c r="G1783" s="415">
        <f t="shared" si="548"/>
        <v>259808.94</v>
      </c>
      <c r="H1783" s="418"/>
      <c r="I1783" s="415">
        <f t="shared" si="544"/>
        <v>199219.85157894756</v>
      </c>
      <c r="J1783" s="419" t="s">
        <v>1094</v>
      </c>
      <c r="K1783" s="417">
        <f>104653.88/38</f>
        <v>2754.0494736842106</v>
      </c>
      <c r="L1783" s="418">
        <f t="shared" si="545"/>
        <v>0</v>
      </c>
      <c r="M1783" s="417">
        <v>0</v>
      </c>
      <c r="N1783" s="408">
        <f t="shared" si="546"/>
        <v>201973.90105263179</v>
      </c>
    </row>
    <row r="1784" spans="1:14" x14ac:dyDescent="0.2">
      <c r="A1784" s="410">
        <f t="shared" si="547"/>
        <v>23</v>
      </c>
      <c r="B1784" s="413">
        <v>375.8</v>
      </c>
      <c r="C1784" s="414" t="s">
        <v>1045</v>
      </c>
      <c r="D1784" s="415">
        <f t="shared" si="543"/>
        <v>0</v>
      </c>
      <c r="E1784" s="417">
        <v>0</v>
      </c>
      <c r="F1784" s="417">
        <v>0</v>
      </c>
      <c r="G1784" s="415">
        <f t="shared" si="548"/>
        <v>0</v>
      </c>
      <c r="H1784" s="418"/>
      <c r="I1784" s="415">
        <f t="shared" si="544"/>
        <v>0</v>
      </c>
      <c r="J1784" s="442">
        <f>J1678</f>
        <v>0</v>
      </c>
      <c r="K1784" s="417">
        <v>0</v>
      </c>
      <c r="L1784" s="418">
        <f t="shared" si="545"/>
        <v>0</v>
      </c>
      <c r="M1784" s="417">
        <v>0</v>
      </c>
      <c r="N1784" s="408">
        <f t="shared" si="546"/>
        <v>0</v>
      </c>
    </row>
    <row r="1785" spans="1:14" x14ac:dyDescent="0.2">
      <c r="A1785" s="410">
        <f>A1784+1</f>
        <v>24</v>
      </c>
      <c r="B1785" s="413">
        <v>376</v>
      </c>
      <c r="C1785" s="438" t="s">
        <v>1096</v>
      </c>
      <c r="D1785" s="415"/>
      <c r="E1785" s="417"/>
      <c r="F1785" s="417"/>
      <c r="G1785" s="415"/>
      <c r="H1785" s="418"/>
      <c r="I1785" s="439"/>
      <c r="J1785" s="432"/>
      <c r="K1785" s="418"/>
      <c r="L1785" s="418"/>
      <c r="M1785" s="417"/>
    </row>
    <row r="1786" spans="1:14" x14ac:dyDescent="0.2">
      <c r="A1786" s="410"/>
      <c r="B1786" s="413"/>
      <c r="C1786" s="440" t="s">
        <v>1097</v>
      </c>
      <c r="D1786" s="415"/>
      <c r="E1786" s="417"/>
      <c r="F1786" s="417"/>
      <c r="G1786" s="415"/>
      <c r="H1786" s="418"/>
      <c r="I1786" s="415"/>
      <c r="J1786" s="442"/>
      <c r="K1786" s="418"/>
      <c r="L1786" s="418"/>
      <c r="M1786" s="417"/>
      <c r="N1786" s="408"/>
    </row>
    <row r="1787" spans="1:14" x14ac:dyDescent="0.2">
      <c r="A1787" s="410"/>
      <c r="B1787" s="413"/>
      <c r="C1787" s="440" t="s">
        <v>1098</v>
      </c>
      <c r="D1787" s="415"/>
      <c r="E1787" s="417"/>
      <c r="F1787" s="417"/>
      <c r="G1787" s="415"/>
      <c r="H1787" s="418"/>
      <c r="I1787" s="415"/>
      <c r="J1787" s="442"/>
      <c r="K1787" s="418"/>
      <c r="L1787" s="418"/>
      <c r="M1787" s="417"/>
      <c r="N1787" s="408"/>
    </row>
    <row r="1788" spans="1:14" x14ac:dyDescent="0.2">
      <c r="A1788" s="410"/>
      <c r="B1788" s="413"/>
      <c r="C1788" s="440" t="s">
        <v>1099</v>
      </c>
      <c r="D1788" s="415"/>
      <c r="E1788" s="417"/>
      <c r="F1788" s="417"/>
      <c r="G1788" s="415"/>
      <c r="H1788" s="418"/>
      <c r="I1788" s="415"/>
      <c r="J1788" s="442"/>
      <c r="K1788" s="418"/>
      <c r="L1788" s="418"/>
      <c r="M1788" s="417"/>
      <c r="N1788" s="408"/>
    </row>
    <row r="1789" spans="1:14" x14ac:dyDescent="0.2">
      <c r="A1789" s="410"/>
      <c r="B1789" s="413"/>
      <c r="C1789" s="440" t="s">
        <v>1100</v>
      </c>
      <c r="D1789" s="415"/>
      <c r="E1789" s="417"/>
      <c r="F1789" s="417"/>
      <c r="G1789" s="415"/>
      <c r="H1789" s="418"/>
      <c r="I1789" s="415"/>
      <c r="J1789" s="442"/>
      <c r="K1789" s="418"/>
      <c r="L1789" s="418"/>
      <c r="M1789" s="417"/>
      <c r="N1789" s="408"/>
    </row>
    <row r="1790" spans="1:14" x14ac:dyDescent="0.2">
      <c r="A1790" s="410"/>
      <c r="B1790" s="413"/>
      <c r="C1790" s="440" t="s">
        <v>1101</v>
      </c>
      <c r="D1790" s="415">
        <f t="shared" ref="D1790:D1795" si="551">G1684</f>
        <v>218450525.44</v>
      </c>
      <c r="E1790" s="417">
        <f>1582200+32320</f>
        <v>1614520</v>
      </c>
      <c r="F1790" s="417">
        <v>-193700</v>
      </c>
      <c r="G1790" s="415">
        <f t="shared" ref="G1790:G1795" si="552">SUM(D1790:F1790)</f>
        <v>219871345.44</v>
      </c>
      <c r="H1790" s="418"/>
      <c r="I1790" s="415">
        <f t="shared" ref="I1790:I1795" si="553">N1684</f>
        <v>59135234.609999999</v>
      </c>
      <c r="J1790" s="442">
        <f t="shared" ref="J1790:J1795" si="554">J1684</f>
        <v>2.3E-2</v>
      </c>
      <c r="K1790" s="418">
        <f t="shared" ref="K1790:K1795" si="555">ROUND((G1790+D1790)/2*J1790/12,0)</f>
        <v>420058</v>
      </c>
      <c r="L1790" s="418">
        <f t="shared" ref="L1790:L1795" si="556">-F1790</f>
        <v>193700</v>
      </c>
      <c r="M1790" s="417">
        <v>-29100</v>
      </c>
      <c r="N1790" s="408">
        <f t="shared" ref="N1790:N1795" si="557">I1790+K1790-L1790+M1790</f>
        <v>59332492.609999999</v>
      </c>
    </row>
    <row r="1791" spans="1:14" x14ac:dyDescent="0.2">
      <c r="A1791" s="410">
        <f>A1785+1</f>
        <v>25</v>
      </c>
      <c r="B1791" s="413">
        <v>378.1</v>
      </c>
      <c r="C1791" s="414" t="s">
        <v>1047</v>
      </c>
      <c r="D1791" s="415">
        <f t="shared" si="551"/>
        <v>518504.18</v>
      </c>
      <c r="E1791" s="417">
        <v>0</v>
      </c>
      <c r="F1791" s="417">
        <v>0</v>
      </c>
      <c r="G1791" s="415">
        <f t="shared" si="552"/>
        <v>518504.18</v>
      </c>
      <c r="H1791" s="418"/>
      <c r="I1791" s="415">
        <f t="shared" si="553"/>
        <v>372071.81</v>
      </c>
      <c r="J1791" s="442">
        <f t="shared" si="554"/>
        <v>3.32E-2</v>
      </c>
      <c r="K1791" s="418">
        <f t="shared" si="555"/>
        <v>1435</v>
      </c>
      <c r="L1791" s="418">
        <f t="shared" si="556"/>
        <v>0</v>
      </c>
      <c r="M1791" s="417">
        <v>0</v>
      </c>
      <c r="N1791" s="408">
        <f t="shared" si="557"/>
        <v>373506.81</v>
      </c>
    </row>
    <row r="1792" spans="1:14" x14ac:dyDescent="0.2">
      <c r="A1792" s="410">
        <f t="shared" si="547"/>
        <v>26</v>
      </c>
      <c r="B1792" s="413">
        <v>378.2</v>
      </c>
      <c r="C1792" s="414" t="s">
        <v>1048</v>
      </c>
      <c r="D1792" s="415">
        <f t="shared" si="551"/>
        <v>9892224</v>
      </c>
      <c r="E1792" s="417">
        <v>37000</v>
      </c>
      <c r="F1792" s="417">
        <v>-4400</v>
      </c>
      <c r="G1792" s="415">
        <f t="shared" si="552"/>
        <v>9924824</v>
      </c>
      <c r="H1792" s="418"/>
      <c r="I1792" s="415">
        <f t="shared" si="553"/>
        <v>3515985.91</v>
      </c>
      <c r="J1792" s="442">
        <f t="shared" si="554"/>
        <v>3.32E-2</v>
      </c>
      <c r="K1792" s="418">
        <f t="shared" si="555"/>
        <v>27414</v>
      </c>
      <c r="L1792" s="418">
        <f t="shared" si="556"/>
        <v>4400</v>
      </c>
      <c r="M1792" s="417">
        <v>-200</v>
      </c>
      <c r="N1792" s="408">
        <f t="shared" si="557"/>
        <v>3538799.91</v>
      </c>
    </row>
    <row r="1793" spans="1:14" x14ac:dyDescent="0.2">
      <c r="A1793" s="410">
        <f t="shared" si="547"/>
        <v>27</v>
      </c>
      <c r="B1793" s="413">
        <v>378.3</v>
      </c>
      <c r="C1793" s="414" t="s">
        <v>1049</v>
      </c>
      <c r="D1793" s="415">
        <f t="shared" si="551"/>
        <v>45443.08</v>
      </c>
      <c r="E1793" s="417">
        <v>0</v>
      </c>
      <c r="F1793" s="417">
        <v>0</v>
      </c>
      <c r="G1793" s="415">
        <f t="shared" si="552"/>
        <v>45443.08</v>
      </c>
      <c r="H1793" s="418"/>
      <c r="I1793" s="415">
        <f t="shared" si="553"/>
        <v>36634.04</v>
      </c>
      <c r="J1793" s="442">
        <f t="shared" si="554"/>
        <v>3.32E-2</v>
      </c>
      <c r="K1793" s="418">
        <f t="shared" si="555"/>
        <v>126</v>
      </c>
      <c r="L1793" s="418">
        <f t="shared" si="556"/>
        <v>0</v>
      </c>
      <c r="M1793" s="417">
        <v>0</v>
      </c>
      <c r="N1793" s="408">
        <f t="shared" si="557"/>
        <v>36760.04</v>
      </c>
    </row>
    <row r="1794" spans="1:14" x14ac:dyDescent="0.2">
      <c r="A1794" s="410">
        <f t="shared" si="547"/>
        <v>28</v>
      </c>
      <c r="B1794" s="413">
        <v>379.1</v>
      </c>
      <c r="C1794" s="414" t="s">
        <v>1050</v>
      </c>
      <c r="D1794" s="415">
        <f t="shared" si="551"/>
        <v>254900.59</v>
      </c>
      <c r="E1794" s="417">
        <v>0</v>
      </c>
      <c r="F1794" s="417">
        <v>0</v>
      </c>
      <c r="G1794" s="415">
        <f t="shared" si="552"/>
        <v>254900.59</v>
      </c>
      <c r="H1794" s="418"/>
      <c r="I1794" s="415">
        <f t="shared" si="553"/>
        <v>267730.57</v>
      </c>
      <c r="J1794" s="442">
        <f t="shared" si="554"/>
        <v>6.0000000000000001E-3</v>
      </c>
      <c r="K1794" s="417">
        <v>0</v>
      </c>
      <c r="L1794" s="418">
        <f t="shared" si="556"/>
        <v>0</v>
      </c>
      <c r="M1794" s="417">
        <v>0</v>
      </c>
      <c r="N1794" s="408">
        <f t="shared" si="557"/>
        <v>267730.57</v>
      </c>
    </row>
    <row r="1795" spans="1:14" x14ac:dyDescent="0.2">
      <c r="A1795" s="410">
        <f t="shared" si="547"/>
        <v>29</v>
      </c>
      <c r="B1795" s="413">
        <v>380</v>
      </c>
      <c r="C1795" s="414" t="s">
        <v>1051</v>
      </c>
      <c r="D1795" s="415">
        <f t="shared" si="551"/>
        <v>126053208.77</v>
      </c>
      <c r="E1795" s="417">
        <f>944000+21546</f>
        <v>965546</v>
      </c>
      <c r="F1795" s="417">
        <v>-115900</v>
      </c>
      <c r="G1795" s="415">
        <f t="shared" si="552"/>
        <v>126902854.77</v>
      </c>
      <c r="H1795" s="418"/>
      <c r="I1795" s="415">
        <f t="shared" si="553"/>
        <v>61346162.520000003</v>
      </c>
      <c r="J1795" s="442">
        <f t="shared" si="554"/>
        <v>5.0999999999999997E-2</v>
      </c>
      <c r="K1795" s="418">
        <f t="shared" si="555"/>
        <v>537532</v>
      </c>
      <c r="L1795" s="418">
        <f t="shared" si="556"/>
        <v>115900</v>
      </c>
      <c r="M1795" s="417">
        <v>-57900</v>
      </c>
      <c r="N1795" s="408">
        <f t="shared" si="557"/>
        <v>61709894.520000003</v>
      </c>
    </row>
    <row r="1796" spans="1:14" x14ac:dyDescent="0.2">
      <c r="A1796" s="410"/>
      <c r="B1796" s="444"/>
      <c r="C1796" s="414"/>
      <c r="D1796" s="439"/>
      <c r="E1796" s="418"/>
      <c r="F1796" s="418"/>
      <c r="G1796" s="439"/>
      <c r="H1796" s="418"/>
      <c r="I1796" s="418"/>
      <c r="J1796" s="418"/>
      <c r="K1796" s="418"/>
      <c r="L1796" s="418"/>
    </row>
    <row r="1797" spans="1:14" x14ac:dyDescent="0.2">
      <c r="A1797" s="2073" t="str">
        <f>co</f>
        <v>COLUMBIA GAS OF KENTUCKY, INC.</v>
      </c>
      <c r="B1797" s="2073"/>
      <c r="C1797" s="2073"/>
      <c r="D1797" s="2073"/>
      <c r="E1797" s="2073"/>
      <c r="F1797" s="2073"/>
      <c r="G1797" s="2073"/>
      <c r="H1797" s="2073"/>
      <c r="I1797" s="2073"/>
      <c r="J1797" s="2073"/>
      <c r="K1797" s="2073"/>
      <c r="L1797" s="2073"/>
      <c r="M1797" s="2073"/>
      <c r="N1797" s="2073"/>
    </row>
    <row r="1798" spans="1:14" x14ac:dyDescent="0.2">
      <c r="A1798" s="2073" t="str">
        <f>case</f>
        <v>CASE NO. 2016 - 00162</v>
      </c>
      <c r="B1798" s="2073"/>
      <c r="C1798" s="2073"/>
      <c r="D1798" s="2073"/>
      <c r="E1798" s="2073"/>
      <c r="F1798" s="2073"/>
      <c r="G1798" s="2073"/>
      <c r="H1798" s="2073"/>
      <c r="I1798" s="2073"/>
      <c r="J1798" s="2073"/>
      <c r="K1798" s="2073"/>
      <c r="L1798" s="2073"/>
      <c r="M1798" s="2073"/>
      <c r="N1798" s="2073"/>
    </row>
    <row r="1799" spans="1:14" x14ac:dyDescent="0.2">
      <c r="A1799" s="2074" t="s">
        <v>1106</v>
      </c>
      <c r="B1799" s="2073"/>
      <c r="C1799" s="2073"/>
      <c r="D1799" s="2073"/>
      <c r="E1799" s="2073"/>
      <c r="F1799" s="2073"/>
      <c r="G1799" s="2073"/>
      <c r="H1799" s="2073"/>
      <c r="I1799" s="2073"/>
      <c r="J1799" s="2073"/>
      <c r="K1799" s="2073"/>
      <c r="L1799" s="2073"/>
      <c r="M1799" s="2073"/>
      <c r="N1799" s="2073"/>
    </row>
    <row r="1800" spans="1:14" x14ac:dyDescent="0.2">
      <c r="A1800" s="2078" t="s">
        <v>2142</v>
      </c>
      <c r="B1800" s="2078"/>
      <c r="C1800" s="2078"/>
      <c r="D1800" s="2078"/>
      <c r="E1800" s="2078"/>
      <c r="F1800" s="2078"/>
      <c r="G1800" s="2078"/>
      <c r="H1800" s="2078"/>
      <c r="I1800" s="2078"/>
      <c r="J1800" s="2078"/>
      <c r="K1800" s="2078"/>
      <c r="L1800" s="2078"/>
      <c r="M1800" s="2078"/>
      <c r="N1800" s="2078"/>
    </row>
    <row r="1802" spans="1:14" x14ac:dyDescent="0.2">
      <c r="A1802" s="388" t="s">
        <v>976</v>
      </c>
      <c r="M1802" s="386"/>
      <c r="N1802" s="387" t="s">
        <v>763</v>
      </c>
    </row>
    <row r="1803" spans="1:14" x14ac:dyDescent="0.2">
      <c r="A1803" s="388" t="s">
        <v>977</v>
      </c>
      <c r="M1803" s="386"/>
      <c r="N1803" s="387" t="s">
        <v>999</v>
      </c>
    </row>
    <row r="1804" spans="1:14" x14ac:dyDescent="0.2">
      <c r="A1804" s="445" t="str">
        <f>A1751</f>
        <v>WORKPAPER REFERENCE NO(S).: WPB-2.3</v>
      </c>
      <c r="B1804" s="391"/>
      <c r="C1804" s="391"/>
      <c r="D1804" s="391"/>
      <c r="E1804" s="391"/>
      <c r="F1804" s="391"/>
      <c r="G1804" s="391"/>
      <c r="H1804" s="391"/>
      <c r="M1804" s="392"/>
      <c r="N1804" s="393" t="str">
        <f>SMK</f>
        <v>WITNESS:  S. M. KATKO</v>
      </c>
    </row>
    <row r="1805" spans="1:14" x14ac:dyDescent="0.2">
      <c r="A1805" s="390"/>
      <c r="B1805" s="391"/>
      <c r="C1805" s="391"/>
      <c r="D1805" s="391"/>
      <c r="E1805" s="391"/>
      <c r="F1805" s="391"/>
      <c r="G1805" s="391"/>
      <c r="H1805" s="391"/>
      <c r="I1805" s="392"/>
      <c r="J1805" s="393"/>
      <c r="L1805" s="386"/>
      <c r="M1805" s="386"/>
    </row>
    <row r="1806" spans="1:14" x14ac:dyDescent="0.2">
      <c r="A1806" s="390"/>
      <c r="B1806" s="391"/>
      <c r="C1806" s="391"/>
      <c r="D1806" s="2075" t="s">
        <v>1088</v>
      </c>
      <c r="E1806" s="2075"/>
      <c r="F1806" s="2075"/>
      <c r="G1806" s="2075"/>
      <c r="H1806" s="391"/>
      <c r="I1806" s="2076" t="s">
        <v>1093</v>
      </c>
      <c r="J1806" s="2077"/>
      <c r="K1806" s="2077"/>
      <c r="L1806" s="2077"/>
      <c r="M1806" s="2077"/>
      <c r="N1806" s="2077"/>
    </row>
    <row r="1807" spans="1:14" x14ac:dyDescent="0.2">
      <c r="A1807" s="394"/>
      <c r="B1807" s="391"/>
      <c r="C1807" s="391"/>
      <c r="D1807" s="396" t="s">
        <v>1084</v>
      </c>
      <c r="E1807" s="391"/>
      <c r="F1807" s="391"/>
      <c r="G1807" s="395"/>
      <c r="H1807" s="395"/>
      <c r="I1807" s="397" t="s">
        <v>1089</v>
      </c>
      <c r="J1807" s="396"/>
      <c r="M1807" s="386"/>
    </row>
    <row r="1808" spans="1:14" x14ac:dyDescent="0.2">
      <c r="A1808" s="383"/>
      <c r="D1808" s="397" t="s">
        <v>865</v>
      </c>
      <c r="G1808" s="397" t="s">
        <v>867</v>
      </c>
      <c r="H1808" s="398"/>
      <c r="I1808" s="397" t="s">
        <v>865</v>
      </c>
      <c r="J1808" s="397" t="s">
        <v>956</v>
      </c>
      <c r="M1808" s="386"/>
      <c r="N1808" s="397" t="s">
        <v>867</v>
      </c>
    </row>
    <row r="1809" spans="1:14" x14ac:dyDescent="0.2">
      <c r="A1809" s="397" t="s">
        <v>1080</v>
      </c>
      <c r="B1809" s="397" t="s">
        <v>1082</v>
      </c>
      <c r="D1809" s="397" t="s">
        <v>867</v>
      </c>
      <c r="G1809" s="399" t="s">
        <v>1087</v>
      </c>
      <c r="H1809" s="398"/>
      <c r="I1809" s="399" t="s">
        <v>867</v>
      </c>
      <c r="J1809" s="397" t="s">
        <v>1090</v>
      </c>
      <c r="K1809" s="397" t="s">
        <v>956</v>
      </c>
      <c r="M1809" s="399" t="s">
        <v>1092</v>
      </c>
      <c r="N1809" s="399" t="s">
        <v>1087</v>
      </c>
    </row>
    <row r="1810" spans="1:14" x14ac:dyDescent="0.2">
      <c r="A1810" s="400" t="s">
        <v>1081</v>
      </c>
      <c r="B1810" s="400" t="s">
        <v>1081</v>
      </c>
      <c r="C1810" s="401" t="s">
        <v>1083</v>
      </c>
      <c r="D1810" s="404" t="str">
        <f>D1757</f>
        <v>06/30/2017</v>
      </c>
      <c r="E1810" s="400" t="s">
        <v>1085</v>
      </c>
      <c r="F1810" s="400" t="s">
        <v>1086</v>
      </c>
      <c r="G1810" s="404" t="str">
        <f>G1757</f>
        <v>07/31/2017</v>
      </c>
      <c r="H1810" s="398"/>
      <c r="I1810" s="404" t="str">
        <f>D1810</f>
        <v>06/30/2017</v>
      </c>
      <c r="J1810" s="400" t="s">
        <v>1091</v>
      </c>
      <c r="K1810" s="402" t="s">
        <v>1090</v>
      </c>
      <c r="L1810" s="402" t="s">
        <v>1086</v>
      </c>
      <c r="M1810" s="402" t="s">
        <v>955</v>
      </c>
      <c r="N1810" s="404" t="str">
        <f>G1810</f>
        <v>07/31/2017</v>
      </c>
    </row>
    <row r="1811" spans="1:14" x14ac:dyDescent="0.2">
      <c r="A1811" s="406"/>
      <c r="B1811" s="406"/>
      <c r="C1811" s="406"/>
      <c r="D1811" s="406" t="str">
        <f>"(1)"</f>
        <v>(1)</v>
      </c>
      <c r="E1811" s="406" t="str">
        <f>"(2)"</f>
        <v>(2)</v>
      </c>
      <c r="F1811" s="406" t="str">
        <f>"(3)"</f>
        <v>(3)</v>
      </c>
      <c r="G1811" s="406" t="str">
        <f>"(4)=(1+2+3)"</f>
        <v>(4)=(1+2+3)</v>
      </c>
      <c r="H1811" s="406"/>
      <c r="I1811" s="406" t="str">
        <f>"(5)"</f>
        <v>(5)</v>
      </c>
      <c r="J1811" s="406" t="str">
        <f>"(6)"</f>
        <v>(6)</v>
      </c>
      <c r="K1811" s="406" t="str">
        <f>"(7)=((1+4)/2*6/12))"</f>
        <v>(7)=((1+4)/2*6/12))</v>
      </c>
      <c r="L1811" s="406" t="str">
        <f>"(8)"</f>
        <v>(8)</v>
      </c>
      <c r="M1811" s="406" t="str">
        <f>"(9)"</f>
        <v>(9)</v>
      </c>
      <c r="N1811" s="406" t="str">
        <f>"(10)=(5+7-8+9)"</f>
        <v>(10)=(5+7-8+9)</v>
      </c>
    </row>
    <row r="1812" spans="1:14" x14ac:dyDescent="0.2">
      <c r="D1812" s="410" t="s">
        <v>639</v>
      </c>
      <c r="E1812" s="410" t="s">
        <v>639</v>
      </c>
      <c r="F1812" s="410" t="s">
        <v>639</v>
      </c>
      <c r="G1812" s="410" t="s">
        <v>639</v>
      </c>
      <c r="H1812" s="410"/>
      <c r="I1812" s="410" t="s">
        <v>639</v>
      </c>
      <c r="J1812" s="410" t="s">
        <v>639</v>
      </c>
      <c r="K1812" s="410" t="s">
        <v>639</v>
      </c>
      <c r="L1812" s="410" t="s">
        <v>639</v>
      </c>
      <c r="M1812" s="410" t="s">
        <v>639</v>
      </c>
      <c r="N1812" s="410" t="s">
        <v>639</v>
      </c>
    </row>
    <row r="1813" spans="1:14" x14ac:dyDescent="0.2">
      <c r="C1813" s="411" t="s">
        <v>707</v>
      </c>
      <c r="D1813" s="410"/>
      <c r="E1813" s="410"/>
      <c r="F1813" s="410"/>
      <c r="G1813" s="410"/>
      <c r="J1813" s="410"/>
    </row>
    <row r="1814" spans="1:14" x14ac:dyDescent="0.2">
      <c r="A1814" s="405">
        <v>1</v>
      </c>
      <c r="B1814" s="446">
        <v>381</v>
      </c>
      <c r="C1814" s="414" t="s">
        <v>1052</v>
      </c>
      <c r="D1814" s="415">
        <f t="shared" ref="D1814:D1825" si="558">G1708</f>
        <v>13873308.550000001</v>
      </c>
      <c r="E1814" s="417">
        <v>52700</v>
      </c>
      <c r="F1814" s="417">
        <v>-6300</v>
      </c>
      <c r="G1814" s="415">
        <f>SUM(D1814:F1814)</f>
        <v>13919708.550000001</v>
      </c>
      <c r="H1814" s="418"/>
      <c r="I1814" s="415">
        <f t="shared" ref="I1814:I1825" si="559">N1708</f>
        <v>5136913.8899999997</v>
      </c>
      <c r="J1814" s="442">
        <f t="shared" ref="J1814:J1825" si="560">J1708</f>
        <v>3.3000000000000002E-2</v>
      </c>
      <c r="K1814" s="418">
        <f t="shared" ref="K1814:K1825" si="561">ROUND((G1814+D1814)/2*J1814/12,0)</f>
        <v>38215</v>
      </c>
      <c r="L1814" s="418">
        <f t="shared" ref="L1814:L1825" si="562">-F1814</f>
        <v>6300</v>
      </c>
      <c r="M1814" s="417">
        <v>0</v>
      </c>
      <c r="N1814" s="408">
        <f t="shared" ref="N1814:N1825" si="563">I1814+K1814-L1814+M1814</f>
        <v>5168828.8899999997</v>
      </c>
    </row>
    <row r="1815" spans="1:14" x14ac:dyDescent="0.2">
      <c r="A1815" s="405">
        <f>A1814+1</f>
        <v>2</v>
      </c>
      <c r="B1815" s="446">
        <v>381.1</v>
      </c>
      <c r="C1815" s="414" t="s">
        <v>1052</v>
      </c>
      <c r="D1815" s="415">
        <f t="shared" si="558"/>
        <v>8827412.0600000005</v>
      </c>
      <c r="E1815" s="417">
        <v>5300</v>
      </c>
      <c r="F1815" s="417">
        <v>-600</v>
      </c>
      <c r="G1815" s="415">
        <f>SUM(D1815:F1815)</f>
        <v>8832112.0600000005</v>
      </c>
      <c r="H1815" s="418"/>
      <c r="I1815" s="415">
        <f t="shared" si="559"/>
        <v>900752.5</v>
      </c>
      <c r="J1815" s="442">
        <f t="shared" si="560"/>
        <v>8.0600000000000005E-2</v>
      </c>
      <c r="K1815" s="418">
        <f t="shared" si="561"/>
        <v>59307</v>
      </c>
      <c r="L1815" s="418">
        <f t="shared" si="562"/>
        <v>600</v>
      </c>
      <c r="M1815" s="417">
        <v>0</v>
      </c>
      <c r="N1815" s="408">
        <f t="shared" si="563"/>
        <v>959459.5</v>
      </c>
    </row>
    <row r="1816" spans="1:14" x14ac:dyDescent="0.2">
      <c r="A1816" s="405">
        <f t="shared" ref="A1816:A1826" si="564">A1815+1</f>
        <v>3</v>
      </c>
      <c r="B1816" s="446">
        <v>382</v>
      </c>
      <c r="C1816" s="414" t="s">
        <v>1053</v>
      </c>
      <c r="D1816" s="415">
        <f t="shared" si="558"/>
        <v>9418992.6500000004</v>
      </c>
      <c r="E1816" s="417">
        <v>38000</v>
      </c>
      <c r="F1816" s="417">
        <v>-4600</v>
      </c>
      <c r="G1816" s="415">
        <f t="shared" ref="G1816:G1821" si="565">SUM(D1816:F1816)</f>
        <v>9452392.6500000004</v>
      </c>
      <c r="H1816" s="418"/>
      <c r="I1816" s="415">
        <f t="shared" si="559"/>
        <v>4719376.3</v>
      </c>
      <c r="J1816" s="442">
        <f t="shared" si="560"/>
        <v>2.4400000000000002E-2</v>
      </c>
      <c r="K1816" s="418">
        <f t="shared" si="561"/>
        <v>19186</v>
      </c>
      <c r="L1816" s="418">
        <f t="shared" si="562"/>
        <v>4600</v>
      </c>
      <c r="M1816" s="417">
        <v>-200</v>
      </c>
      <c r="N1816" s="408">
        <f t="shared" si="563"/>
        <v>4733762.3</v>
      </c>
    </row>
    <row r="1817" spans="1:14" x14ac:dyDescent="0.2">
      <c r="A1817" s="405">
        <f t="shared" si="564"/>
        <v>4</v>
      </c>
      <c r="B1817" s="446">
        <v>383</v>
      </c>
      <c r="C1817" s="414" t="s">
        <v>1054</v>
      </c>
      <c r="D1817" s="415">
        <f t="shared" si="558"/>
        <v>5755520.7599999998</v>
      </c>
      <c r="E1817" s="417">
        <v>22500</v>
      </c>
      <c r="F1817" s="417">
        <v>-2700</v>
      </c>
      <c r="G1817" s="415">
        <f t="shared" si="565"/>
        <v>5775320.7599999998</v>
      </c>
      <c r="H1817" s="418"/>
      <c r="I1817" s="415">
        <f t="shared" si="559"/>
        <v>1570215.41</v>
      </c>
      <c r="J1817" s="442">
        <f t="shared" si="560"/>
        <v>2.7300000000000001E-2</v>
      </c>
      <c r="K1817" s="418">
        <f t="shared" si="561"/>
        <v>13116</v>
      </c>
      <c r="L1817" s="418">
        <f t="shared" si="562"/>
        <v>2700</v>
      </c>
      <c r="M1817" s="417">
        <v>-100</v>
      </c>
      <c r="N1817" s="408">
        <f t="shared" si="563"/>
        <v>1580531.41</v>
      </c>
    </row>
    <row r="1818" spans="1:14" x14ac:dyDescent="0.2">
      <c r="A1818" s="405">
        <f t="shared" si="564"/>
        <v>5</v>
      </c>
      <c r="B1818" s="446">
        <v>384</v>
      </c>
      <c r="C1818" s="414" t="s">
        <v>1055</v>
      </c>
      <c r="D1818" s="415">
        <f t="shared" si="558"/>
        <v>2257522</v>
      </c>
      <c r="E1818" s="417">
        <v>0</v>
      </c>
      <c r="F1818" s="417">
        <v>0</v>
      </c>
      <c r="G1818" s="415">
        <f t="shared" si="565"/>
        <v>2257522</v>
      </c>
      <c r="H1818" s="418"/>
      <c r="I1818" s="415">
        <f t="shared" si="559"/>
        <v>1780728.73</v>
      </c>
      <c r="J1818" s="442">
        <f t="shared" si="560"/>
        <v>1.01E-2</v>
      </c>
      <c r="K1818" s="418">
        <f t="shared" si="561"/>
        <v>1900</v>
      </c>
      <c r="L1818" s="418">
        <f t="shared" si="562"/>
        <v>0</v>
      </c>
      <c r="M1818" s="417">
        <v>0</v>
      </c>
      <c r="N1818" s="408">
        <f t="shared" si="563"/>
        <v>1782628.73</v>
      </c>
    </row>
    <row r="1819" spans="1:14" x14ac:dyDescent="0.2">
      <c r="A1819" s="405">
        <f t="shared" si="564"/>
        <v>6</v>
      </c>
      <c r="B1819" s="446">
        <v>385</v>
      </c>
      <c r="C1819" s="414" t="s">
        <v>1056</v>
      </c>
      <c r="D1819" s="415">
        <f t="shared" si="558"/>
        <v>3339283.36</v>
      </c>
      <c r="E1819" s="417">
        <v>26800</v>
      </c>
      <c r="F1819" s="417">
        <v>-3200</v>
      </c>
      <c r="G1819" s="415">
        <f t="shared" si="565"/>
        <v>3362883.36</v>
      </c>
      <c r="H1819" s="418"/>
      <c r="I1819" s="415">
        <f t="shared" si="559"/>
        <v>961132.55</v>
      </c>
      <c r="J1819" s="442">
        <f t="shared" si="560"/>
        <v>5.0799999999999998E-2</v>
      </c>
      <c r="K1819" s="418">
        <f t="shared" si="561"/>
        <v>14186</v>
      </c>
      <c r="L1819" s="418">
        <f t="shared" si="562"/>
        <v>3200</v>
      </c>
      <c r="M1819" s="417">
        <v>-200</v>
      </c>
      <c r="N1819" s="408">
        <f t="shared" si="563"/>
        <v>971918.55</v>
      </c>
    </row>
    <row r="1820" spans="1:14" x14ac:dyDescent="0.2">
      <c r="A1820" s="405">
        <f t="shared" si="564"/>
        <v>7</v>
      </c>
      <c r="B1820" s="446">
        <v>387.2</v>
      </c>
      <c r="C1820" s="414" t="s">
        <v>1057</v>
      </c>
      <c r="D1820" s="415">
        <f t="shared" si="558"/>
        <v>0</v>
      </c>
      <c r="E1820" s="417">
        <v>0</v>
      </c>
      <c r="F1820" s="417">
        <v>0</v>
      </c>
      <c r="G1820" s="415">
        <f t="shared" si="565"/>
        <v>0</v>
      </c>
      <c r="H1820" s="418"/>
      <c r="I1820" s="415">
        <f t="shared" si="559"/>
        <v>-59912.03</v>
      </c>
      <c r="J1820" s="442">
        <f t="shared" si="560"/>
        <v>0</v>
      </c>
      <c r="K1820" s="418">
        <f t="shared" si="561"/>
        <v>0</v>
      </c>
      <c r="L1820" s="418">
        <f t="shared" si="562"/>
        <v>0</v>
      </c>
      <c r="M1820" s="417">
        <v>0</v>
      </c>
      <c r="N1820" s="408">
        <f t="shared" si="563"/>
        <v>-59912.03</v>
      </c>
    </row>
    <row r="1821" spans="1:14" x14ac:dyDescent="0.2">
      <c r="A1821" s="405">
        <f t="shared" si="564"/>
        <v>8</v>
      </c>
      <c r="B1821" s="446">
        <v>387.41</v>
      </c>
      <c r="C1821" s="414" t="s">
        <v>1058</v>
      </c>
      <c r="D1821" s="415">
        <f t="shared" si="558"/>
        <v>735770.76</v>
      </c>
      <c r="E1821" s="417">
        <v>0</v>
      </c>
      <c r="F1821" s="417">
        <v>0</v>
      </c>
      <c r="G1821" s="415">
        <f t="shared" si="565"/>
        <v>735770.76</v>
      </c>
      <c r="H1821" s="418"/>
      <c r="I1821" s="415">
        <f t="shared" si="559"/>
        <v>399815.95</v>
      </c>
      <c r="J1821" s="442">
        <f t="shared" si="560"/>
        <v>3.7400000000000003E-2</v>
      </c>
      <c r="K1821" s="418">
        <f t="shared" si="561"/>
        <v>2293</v>
      </c>
      <c r="L1821" s="418">
        <f t="shared" si="562"/>
        <v>0</v>
      </c>
      <c r="M1821" s="417">
        <v>0</v>
      </c>
      <c r="N1821" s="408">
        <f t="shared" si="563"/>
        <v>402108.95</v>
      </c>
    </row>
    <row r="1822" spans="1:14" x14ac:dyDescent="0.2">
      <c r="A1822" s="405">
        <f t="shared" si="564"/>
        <v>9</v>
      </c>
      <c r="B1822" s="446">
        <v>387.42</v>
      </c>
      <c r="C1822" s="414" t="s">
        <v>1059</v>
      </c>
      <c r="D1822" s="415">
        <f t="shared" si="558"/>
        <v>795186.58</v>
      </c>
      <c r="E1822" s="417">
        <v>0</v>
      </c>
      <c r="F1822" s="417">
        <v>0</v>
      </c>
      <c r="G1822" s="415">
        <f>SUM(D1822:F1822)</f>
        <v>795186.58</v>
      </c>
      <c r="H1822" s="418"/>
      <c r="I1822" s="415">
        <f t="shared" si="559"/>
        <v>567413.94999999995</v>
      </c>
      <c r="J1822" s="442">
        <f t="shared" si="560"/>
        <v>3.7400000000000003E-2</v>
      </c>
      <c r="K1822" s="418">
        <f t="shared" si="561"/>
        <v>2478</v>
      </c>
      <c r="L1822" s="418">
        <f t="shared" si="562"/>
        <v>0</v>
      </c>
      <c r="M1822" s="417">
        <v>0</v>
      </c>
      <c r="N1822" s="408">
        <f t="shared" si="563"/>
        <v>569891.94999999995</v>
      </c>
    </row>
    <row r="1823" spans="1:14" x14ac:dyDescent="0.2">
      <c r="A1823" s="405">
        <f t="shared" si="564"/>
        <v>10</v>
      </c>
      <c r="B1823" s="446">
        <v>387.44</v>
      </c>
      <c r="C1823" s="414" t="s">
        <v>1060</v>
      </c>
      <c r="D1823" s="415">
        <f t="shared" si="558"/>
        <v>143283.93</v>
      </c>
      <c r="E1823" s="417">
        <v>0</v>
      </c>
      <c r="F1823" s="417">
        <v>0</v>
      </c>
      <c r="G1823" s="415">
        <f>SUM(D1823:F1823)</f>
        <v>143283.93</v>
      </c>
      <c r="H1823" s="418"/>
      <c r="I1823" s="415">
        <f t="shared" si="559"/>
        <v>49630.55</v>
      </c>
      <c r="J1823" s="442">
        <f t="shared" si="560"/>
        <v>3.7400000000000003E-2</v>
      </c>
      <c r="K1823" s="418">
        <f t="shared" si="561"/>
        <v>447</v>
      </c>
      <c r="L1823" s="418">
        <f t="shared" si="562"/>
        <v>0</v>
      </c>
      <c r="M1823" s="417">
        <v>0</v>
      </c>
      <c r="N1823" s="408">
        <f t="shared" si="563"/>
        <v>50077.55</v>
      </c>
    </row>
    <row r="1824" spans="1:14" x14ac:dyDescent="0.2">
      <c r="A1824" s="405">
        <f t="shared" si="564"/>
        <v>11</v>
      </c>
      <c r="B1824" s="446">
        <v>387.45</v>
      </c>
      <c r="C1824" s="414" t="s">
        <v>1061</v>
      </c>
      <c r="D1824" s="415">
        <f t="shared" si="558"/>
        <v>3625904.66</v>
      </c>
      <c r="E1824" s="417">
        <f>57600+80000</f>
        <v>137600</v>
      </c>
      <c r="F1824" s="417">
        <v>-16500</v>
      </c>
      <c r="G1824" s="415">
        <f>SUM(D1824:F1824)</f>
        <v>3747004.66</v>
      </c>
      <c r="H1824" s="418"/>
      <c r="I1824" s="415">
        <f t="shared" si="559"/>
        <v>546618.06000000006</v>
      </c>
      <c r="J1824" s="442">
        <f t="shared" si="560"/>
        <v>3.7400000000000003E-2</v>
      </c>
      <c r="K1824" s="418">
        <f t="shared" si="561"/>
        <v>11489</v>
      </c>
      <c r="L1824" s="418">
        <f t="shared" si="562"/>
        <v>16500</v>
      </c>
      <c r="M1824" s="417">
        <v>0</v>
      </c>
      <c r="N1824" s="408">
        <f t="shared" si="563"/>
        <v>541607.06000000006</v>
      </c>
    </row>
    <row r="1825" spans="1:14" x14ac:dyDescent="0.2">
      <c r="A1825" s="405">
        <f t="shared" si="564"/>
        <v>12</v>
      </c>
      <c r="B1825" s="446">
        <v>387.46</v>
      </c>
      <c r="C1825" s="414" t="s">
        <v>1062</v>
      </c>
      <c r="D1825" s="421">
        <f t="shared" si="558"/>
        <v>113644.47</v>
      </c>
      <c r="E1825" s="1662">
        <v>0</v>
      </c>
      <c r="F1825" s="1662">
        <v>0</v>
      </c>
      <c r="G1825" s="428">
        <f>SUM(D1825:F1825)</f>
        <v>113644.47</v>
      </c>
      <c r="H1825" s="447"/>
      <c r="I1825" s="421">
        <f t="shared" si="559"/>
        <v>114356.83</v>
      </c>
      <c r="J1825" s="442">
        <f t="shared" si="560"/>
        <v>3.7400000000000003E-2</v>
      </c>
      <c r="K1825" s="421">
        <f t="shared" si="561"/>
        <v>354</v>
      </c>
      <c r="L1825" s="421">
        <f t="shared" si="562"/>
        <v>0</v>
      </c>
      <c r="M1825" s="422">
        <v>0</v>
      </c>
      <c r="N1825" s="423">
        <f t="shared" si="563"/>
        <v>114710.83</v>
      </c>
    </row>
    <row r="1826" spans="1:14" x14ac:dyDescent="0.2">
      <c r="A1826" s="405">
        <f t="shared" si="564"/>
        <v>13</v>
      </c>
      <c r="B1826" s="448"/>
      <c r="C1826" s="386" t="s">
        <v>1063</v>
      </c>
      <c r="D1826" s="418">
        <f>SUM(D1814:D1825,D1774:D1795)</f>
        <v>419324090.37999994</v>
      </c>
      <c r="E1826" s="418">
        <f>SUM(E1814:E1825,E1774:E1795)</f>
        <v>2980666</v>
      </c>
      <c r="F1826" s="418">
        <f>SUM(F1814:F1825,F1774:F1795)</f>
        <v>-357600</v>
      </c>
      <c r="G1826" s="418">
        <f>SUM(G1814:G1825,G1774:G1795)</f>
        <v>421947156.37999994</v>
      </c>
      <c r="H1826" s="418"/>
      <c r="I1826" s="418">
        <f>SUM(I1814:I1825,I1774:I1795)</f>
        <v>146565083.57157895</v>
      </c>
      <c r="J1826" s="418"/>
      <c r="K1826" s="418">
        <f>SUM(K1814:K1825,K1774:K1795)</f>
        <v>1177155.0494736843</v>
      </c>
      <c r="L1826" s="418">
        <f>SUM(L1814:L1825,L1774:L1795)</f>
        <v>357600</v>
      </c>
      <c r="M1826" s="418">
        <f>SUM(M1814:M1825,M1774:M1795)</f>
        <v>-88000</v>
      </c>
      <c r="N1826" s="418">
        <f>SUM(N1814:N1825,N1774:N1795)</f>
        <v>147296638.62105262</v>
      </c>
    </row>
    <row r="1827" spans="1:14" x14ac:dyDescent="0.2">
      <c r="B1827" s="448"/>
      <c r="D1827" s="418"/>
      <c r="E1827" s="418"/>
      <c r="F1827" s="418"/>
      <c r="G1827" s="418"/>
      <c r="H1827" s="418"/>
      <c r="I1827" s="439"/>
      <c r="J1827" s="418"/>
      <c r="K1827" s="418"/>
      <c r="L1827" s="418"/>
      <c r="M1827" s="418"/>
    </row>
    <row r="1828" spans="1:14" x14ac:dyDescent="0.2">
      <c r="A1828" s="405">
        <f>A1826+1</f>
        <v>14</v>
      </c>
      <c r="B1828" s="448"/>
      <c r="C1828" s="411" t="s">
        <v>737</v>
      </c>
      <c r="D1828" s="418"/>
      <c r="E1828" s="418"/>
      <c r="F1828" s="418"/>
      <c r="G1828" s="418"/>
      <c r="H1828" s="418"/>
      <c r="I1828" s="439"/>
      <c r="J1828" s="418"/>
      <c r="K1828" s="418"/>
      <c r="L1828" s="418"/>
      <c r="M1828" s="418"/>
    </row>
    <row r="1829" spans="1:14" x14ac:dyDescent="0.2">
      <c r="A1829" s="410">
        <f>A1828+1</f>
        <v>15</v>
      </c>
      <c r="B1829" s="446">
        <v>391.1</v>
      </c>
      <c r="C1829" s="414" t="s">
        <v>1064</v>
      </c>
      <c r="D1829" s="415">
        <f t="shared" ref="D1829:D1842" si="566">G1723</f>
        <v>713480.71</v>
      </c>
      <c r="E1829" s="417">
        <v>0</v>
      </c>
      <c r="F1829" s="417">
        <v>0</v>
      </c>
      <c r="G1829" s="415">
        <f t="shared" ref="G1829:G1842" si="567">SUM(D1829:F1829)</f>
        <v>713480.71</v>
      </c>
      <c r="H1829" s="418"/>
      <c r="I1829" s="415">
        <f t="shared" ref="I1829:I1842" si="568">N1723</f>
        <v>-32738.22</v>
      </c>
      <c r="J1829" s="442">
        <f t="shared" ref="J1829:J1842" si="569">J1723</f>
        <v>0.05</v>
      </c>
      <c r="K1829" s="418">
        <f>ROUND((G1829+D1829)/2*J1829/12,0)</f>
        <v>2973</v>
      </c>
      <c r="L1829" s="418">
        <f t="shared" ref="L1829:L1842" si="570">-F1829</f>
        <v>0</v>
      </c>
      <c r="M1829" s="417">
        <v>0</v>
      </c>
      <c r="N1829" s="408">
        <f t="shared" ref="N1829:N1842" si="571">I1829+K1829-L1829+M1829</f>
        <v>-29765.22</v>
      </c>
    </row>
    <row r="1830" spans="1:14" x14ac:dyDescent="0.2">
      <c r="A1830" s="410">
        <f t="shared" ref="A1830:A1843" si="572">A1829+1</f>
        <v>16</v>
      </c>
      <c r="B1830" s="446">
        <v>391.11</v>
      </c>
      <c r="C1830" s="414" t="s">
        <v>1065</v>
      </c>
      <c r="D1830" s="415">
        <f t="shared" si="566"/>
        <v>18815.57</v>
      </c>
      <c r="E1830" s="417">
        <v>0</v>
      </c>
      <c r="F1830" s="417">
        <v>0</v>
      </c>
      <c r="G1830" s="415">
        <f t="shared" si="567"/>
        <v>18815.57</v>
      </c>
      <c r="H1830" s="418"/>
      <c r="I1830" s="415">
        <f t="shared" si="568"/>
        <v>-11354.77</v>
      </c>
      <c r="J1830" s="442">
        <f t="shared" si="569"/>
        <v>6.6699999999999995E-2</v>
      </c>
      <c r="K1830" s="418">
        <f>ROUND((G1830+D1830)/2*J1830/12,0)</f>
        <v>105</v>
      </c>
      <c r="L1830" s="418">
        <f t="shared" si="570"/>
        <v>0</v>
      </c>
      <c r="M1830" s="417">
        <v>0</v>
      </c>
      <c r="N1830" s="408">
        <f t="shared" si="571"/>
        <v>-11249.77</v>
      </c>
    </row>
    <row r="1831" spans="1:14" x14ac:dyDescent="0.2">
      <c r="A1831" s="410">
        <f t="shared" si="572"/>
        <v>17</v>
      </c>
      <c r="B1831" s="446">
        <v>391.12</v>
      </c>
      <c r="C1831" s="414" t="s">
        <v>1066</v>
      </c>
      <c r="D1831" s="415">
        <f t="shared" si="566"/>
        <v>1407883.4100000001</v>
      </c>
      <c r="E1831" s="417">
        <v>0</v>
      </c>
      <c r="F1831" s="417">
        <v>0</v>
      </c>
      <c r="G1831" s="415">
        <f t="shared" si="567"/>
        <v>1407883.4100000001</v>
      </c>
      <c r="H1831" s="418"/>
      <c r="I1831" s="415">
        <f t="shared" si="568"/>
        <v>722435.37</v>
      </c>
      <c r="J1831" s="442">
        <f t="shared" si="569"/>
        <v>0.2</v>
      </c>
      <c r="K1831" s="418">
        <f>ROUND((G1831+D1831)/2*J1831/12,0)</f>
        <v>23465</v>
      </c>
      <c r="L1831" s="418">
        <f t="shared" si="570"/>
        <v>0</v>
      </c>
      <c r="M1831" s="417">
        <v>0</v>
      </c>
      <c r="N1831" s="408">
        <f t="shared" si="571"/>
        <v>745900.37</v>
      </c>
    </row>
    <row r="1832" spans="1:14" x14ac:dyDescent="0.2">
      <c r="A1832" s="410">
        <f t="shared" si="572"/>
        <v>18</v>
      </c>
      <c r="B1832" s="446">
        <v>392.2</v>
      </c>
      <c r="C1832" s="414" t="s">
        <v>1067</v>
      </c>
      <c r="D1832" s="415">
        <f t="shared" si="566"/>
        <v>95778</v>
      </c>
      <c r="E1832" s="417">
        <v>0</v>
      </c>
      <c r="F1832" s="417">
        <v>0</v>
      </c>
      <c r="G1832" s="415">
        <f t="shared" si="567"/>
        <v>95778</v>
      </c>
      <c r="H1832" s="418"/>
      <c r="I1832" s="415">
        <f t="shared" si="568"/>
        <v>27035.05</v>
      </c>
      <c r="J1832" s="442">
        <f t="shared" si="569"/>
        <v>9.1499999999999998E-2</v>
      </c>
      <c r="K1832" s="418">
        <f>ROUND((G1832+D1832)/2*J1832/12,0)</f>
        <v>730</v>
      </c>
      <c r="L1832" s="418">
        <f t="shared" si="570"/>
        <v>0</v>
      </c>
      <c r="M1832" s="417">
        <v>0</v>
      </c>
      <c r="N1832" s="408">
        <f t="shared" si="571"/>
        <v>27765.05</v>
      </c>
    </row>
    <row r="1833" spans="1:14" x14ac:dyDescent="0.2">
      <c r="A1833" s="410">
        <f t="shared" si="572"/>
        <v>19</v>
      </c>
      <c r="B1833" s="446">
        <v>392.21</v>
      </c>
      <c r="C1833" s="414" t="s">
        <v>1068</v>
      </c>
      <c r="D1833" s="415">
        <f t="shared" si="566"/>
        <v>24462.2</v>
      </c>
      <c r="E1833" s="417">
        <v>0</v>
      </c>
      <c r="F1833" s="417">
        <v>0</v>
      </c>
      <c r="G1833" s="415">
        <f t="shared" si="567"/>
        <v>24462.2</v>
      </c>
      <c r="H1833" s="418"/>
      <c r="I1833" s="415">
        <f t="shared" si="568"/>
        <v>6309.4</v>
      </c>
      <c r="J1833" s="442">
        <f t="shared" si="569"/>
        <v>9.1499999999999998E-2</v>
      </c>
      <c r="K1833" s="418">
        <f>ROUND((G1833+D1833)/2*J1833/12,0)</f>
        <v>187</v>
      </c>
      <c r="L1833" s="418">
        <f t="shared" si="570"/>
        <v>0</v>
      </c>
      <c r="M1833" s="417">
        <v>0</v>
      </c>
      <c r="N1833" s="408">
        <f t="shared" si="571"/>
        <v>6496.4</v>
      </c>
    </row>
    <row r="1834" spans="1:14" x14ac:dyDescent="0.2">
      <c r="A1834" s="410">
        <f t="shared" si="572"/>
        <v>20</v>
      </c>
      <c r="B1834" s="446">
        <v>393</v>
      </c>
      <c r="C1834" s="414" t="s">
        <v>1069</v>
      </c>
      <c r="D1834" s="415">
        <f t="shared" si="566"/>
        <v>0</v>
      </c>
      <c r="E1834" s="417">
        <v>0</v>
      </c>
      <c r="F1834" s="417">
        <v>0</v>
      </c>
      <c r="G1834" s="415">
        <f t="shared" si="567"/>
        <v>0</v>
      </c>
      <c r="H1834" s="418"/>
      <c r="I1834" s="415">
        <f t="shared" si="568"/>
        <v>0</v>
      </c>
      <c r="J1834" s="442" t="str">
        <f t="shared" si="569"/>
        <v>Amort.</v>
      </c>
      <c r="K1834" s="417">
        <v>0</v>
      </c>
      <c r="L1834" s="418">
        <f t="shared" si="570"/>
        <v>0</v>
      </c>
      <c r="M1834" s="417">
        <v>0</v>
      </c>
      <c r="N1834" s="408">
        <f t="shared" si="571"/>
        <v>0</v>
      </c>
    </row>
    <row r="1835" spans="1:14" x14ac:dyDescent="0.2">
      <c r="A1835" s="410">
        <f t="shared" si="572"/>
        <v>21</v>
      </c>
      <c r="B1835" s="446">
        <v>394.1</v>
      </c>
      <c r="C1835" s="414" t="s">
        <v>1070</v>
      </c>
      <c r="D1835" s="415">
        <f t="shared" si="566"/>
        <v>24240.799999999999</v>
      </c>
      <c r="E1835" s="417">
        <v>0</v>
      </c>
      <c r="F1835" s="417">
        <v>0</v>
      </c>
      <c r="G1835" s="415">
        <f t="shared" si="567"/>
        <v>24240.799999999999</v>
      </c>
      <c r="H1835" s="418"/>
      <c r="I1835" s="415">
        <f t="shared" si="568"/>
        <v>15094.82</v>
      </c>
      <c r="J1835" s="442">
        <f t="shared" si="569"/>
        <v>0.04</v>
      </c>
      <c r="K1835" s="418">
        <f t="shared" ref="K1835:K1842" si="573">ROUND((G1835+D1835)/2*J1835/12,0)</f>
        <v>81</v>
      </c>
      <c r="L1835" s="418">
        <f t="shared" si="570"/>
        <v>0</v>
      </c>
      <c r="M1835" s="417">
        <v>0</v>
      </c>
      <c r="N1835" s="408">
        <f t="shared" si="571"/>
        <v>15175.82</v>
      </c>
    </row>
    <row r="1836" spans="1:14" x14ac:dyDescent="0.2">
      <c r="A1836" s="410">
        <f t="shared" si="572"/>
        <v>22</v>
      </c>
      <c r="B1836" s="446">
        <v>394.11</v>
      </c>
      <c r="C1836" s="414" t="s">
        <v>1071</v>
      </c>
      <c r="D1836" s="415">
        <f t="shared" si="566"/>
        <v>0</v>
      </c>
      <c r="E1836" s="417">
        <v>0</v>
      </c>
      <c r="F1836" s="417">
        <v>0</v>
      </c>
      <c r="G1836" s="415">
        <f t="shared" si="567"/>
        <v>0</v>
      </c>
      <c r="H1836" s="418"/>
      <c r="I1836" s="415">
        <f t="shared" si="568"/>
        <v>0</v>
      </c>
      <c r="J1836" s="442">
        <f t="shared" si="569"/>
        <v>0</v>
      </c>
      <c r="K1836" s="417">
        <v>0</v>
      </c>
      <c r="L1836" s="418">
        <f t="shared" si="570"/>
        <v>0</v>
      </c>
      <c r="M1836" s="417">
        <v>0</v>
      </c>
      <c r="N1836" s="408">
        <f t="shared" si="571"/>
        <v>0</v>
      </c>
    </row>
    <row r="1837" spans="1:14" x14ac:dyDescent="0.2">
      <c r="A1837" s="410">
        <f t="shared" si="572"/>
        <v>23</v>
      </c>
      <c r="B1837" s="446">
        <v>394.13</v>
      </c>
      <c r="C1837" s="438" t="s">
        <v>1072</v>
      </c>
      <c r="D1837" s="415">
        <f t="shared" si="566"/>
        <v>0</v>
      </c>
      <c r="E1837" s="417">
        <v>0</v>
      </c>
      <c r="F1837" s="417">
        <v>0</v>
      </c>
      <c r="G1837" s="415">
        <f t="shared" si="567"/>
        <v>0</v>
      </c>
      <c r="H1837" s="418"/>
      <c r="I1837" s="415">
        <f t="shared" si="568"/>
        <v>37937.360000000001</v>
      </c>
      <c r="J1837" s="442" t="str">
        <f t="shared" si="569"/>
        <v>Amort.</v>
      </c>
      <c r="K1837" s="417">
        <v>0</v>
      </c>
      <c r="L1837" s="418">
        <f t="shared" si="570"/>
        <v>0</v>
      </c>
      <c r="M1837" s="417">
        <v>0</v>
      </c>
      <c r="N1837" s="408">
        <f t="shared" si="571"/>
        <v>37937.360000000001</v>
      </c>
    </row>
    <row r="1838" spans="1:14" x14ac:dyDescent="0.2">
      <c r="A1838" s="410">
        <f t="shared" si="572"/>
        <v>24</v>
      </c>
      <c r="B1838" s="446">
        <v>394.2</v>
      </c>
      <c r="C1838" s="414" t="s">
        <v>1073</v>
      </c>
      <c r="D1838" s="415">
        <f t="shared" si="566"/>
        <v>0</v>
      </c>
      <c r="E1838" s="417">
        <v>0</v>
      </c>
      <c r="F1838" s="417">
        <v>0</v>
      </c>
      <c r="G1838" s="415">
        <f t="shared" si="567"/>
        <v>0</v>
      </c>
      <c r="H1838" s="418"/>
      <c r="I1838" s="415">
        <f t="shared" si="568"/>
        <v>185.21</v>
      </c>
      <c r="J1838" s="442">
        <f t="shared" si="569"/>
        <v>0.04</v>
      </c>
      <c r="K1838" s="418">
        <f t="shared" si="573"/>
        <v>0</v>
      </c>
      <c r="L1838" s="418">
        <f t="shared" si="570"/>
        <v>0</v>
      </c>
      <c r="M1838" s="417">
        <v>0</v>
      </c>
      <c r="N1838" s="408">
        <f t="shared" si="571"/>
        <v>185.21</v>
      </c>
    </row>
    <row r="1839" spans="1:14" x14ac:dyDescent="0.2">
      <c r="A1839" s="410">
        <f t="shared" si="572"/>
        <v>25</v>
      </c>
      <c r="B1839" s="446">
        <v>394.3</v>
      </c>
      <c r="C1839" s="414" t="s">
        <v>1074</v>
      </c>
      <c r="D1839" s="415">
        <f t="shared" si="566"/>
        <v>3141921.16</v>
      </c>
      <c r="E1839" s="417">
        <f>28400</f>
        <v>28400</v>
      </c>
      <c r="F1839" s="417">
        <v>-3400</v>
      </c>
      <c r="G1839" s="415">
        <f t="shared" si="567"/>
        <v>3166921.16</v>
      </c>
      <c r="H1839" s="418"/>
      <c r="I1839" s="415">
        <f t="shared" si="568"/>
        <v>1343096.15</v>
      </c>
      <c r="J1839" s="442">
        <f t="shared" si="569"/>
        <v>0.04</v>
      </c>
      <c r="K1839" s="418">
        <f t="shared" si="573"/>
        <v>10515</v>
      </c>
      <c r="L1839" s="418">
        <f t="shared" si="570"/>
        <v>3400</v>
      </c>
      <c r="M1839" s="417">
        <v>0</v>
      </c>
      <c r="N1839" s="408">
        <f t="shared" si="571"/>
        <v>1350211.15</v>
      </c>
    </row>
    <row r="1840" spans="1:14" x14ac:dyDescent="0.2">
      <c r="A1840" s="410">
        <f t="shared" si="572"/>
        <v>26</v>
      </c>
      <c r="B1840" s="446">
        <v>395</v>
      </c>
      <c r="C1840" s="414" t="s">
        <v>1075</v>
      </c>
      <c r="D1840" s="415">
        <f t="shared" si="566"/>
        <v>9257.77</v>
      </c>
      <c r="E1840" s="417">
        <v>0</v>
      </c>
      <c r="F1840" s="417">
        <v>0</v>
      </c>
      <c r="G1840" s="415">
        <f t="shared" si="567"/>
        <v>9257.77</v>
      </c>
      <c r="H1840" s="418"/>
      <c r="I1840" s="415">
        <f t="shared" si="568"/>
        <v>7763.59</v>
      </c>
      <c r="J1840" s="442">
        <f t="shared" si="569"/>
        <v>0.05</v>
      </c>
      <c r="K1840" s="418">
        <f t="shared" si="573"/>
        <v>39</v>
      </c>
      <c r="L1840" s="418">
        <f t="shared" si="570"/>
        <v>0</v>
      </c>
      <c r="M1840" s="417">
        <v>0</v>
      </c>
      <c r="N1840" s="408">
        <f t="shared" si="571"/>
        <v>7802.59</v>
      </c>
    </row>
    <row r="1841" spans="1:15" x14ac:dyDescent="0.2">
      <c r="A1841" s="410">
        <f t="shared" si="572"/>
        <v>27</v>
      </c>
      <c r="B1841" s="446">
        <v>396</v>
      </c>
      <c r="C1841" s="414" t="s">
        <v>1076</v>
      </c>
      <c r="D1841" s="415">
        <f t="shared" si="566"/>
        <v>253134.72</v>
      </c>
      <c r="E1841" s="417">
        <v>0</v>
      </c>
      <c r="F1841" s="417">
        <v>0</v>
      </c>
      <c r="G1841" s="415">
        <f t="shared" si="567"/>
        <v>253134.72</v>
      </c>
      <c r="H1841" s="418"/>
      <c r="I1841" s="415">
        <f t="shared" si="568"/>
        <v>202597.72</v>
      </c>
      <c r="J1841" s="442">
        <f t="shared" si="569"/>
        <v>2.5899999999999999E-2</v>
      </c>
      <c r="K1841" s="418">
        <f t="shared" si="573"/>
        <v>546</v>
      </c>
      <c r="L1841" s="418">
        <f t="shared" si="570"/>
        <v>0</v>
      </c>
      <c r="M1841" s="417">
        <v>0</v>
      </c>
      <c r="N1841" s="408">
        <f t="shared" si="571"/>
        <v>203143.72</v>
      </c>
    </row>
    <row r="1842" spans="1:15" x14ac:dyDescent="0.2">
      <c r="A1842" s="410">
        <f t="shared" si="572"/>
        <v>28</v>
      </c>
      <c r="B1842" s="446">
        <v>398</v>
      </c>
      <c r="C1842" s="414" t="s">
        <v>1077</v>
      </c>
      <c r="D1842" s="421">
        <f t="shared" si="566"/>
        <v>283161.94</v>
      </c>
      <c r="E1842" s="430">
        <f>4600</f>
        <v>4600</v>
      </c>
      <c r="F1842" s="1662">
        <v>-600</v>
      </c>
      <c r="G1842" s="421">
        <f t="shared" si="567"/>
        <v>287161.94</v>
      </c>
      <c r="H1842" s="447"/>
      <c r="I1842" s="421">
        <f t="shared" si="568"/>
        <v>10132.59</v>
      </c>
      <c r="J1842" s="442">
        <f t="shared" si="569"/>
        <v>6.6699999999999995E-2</v>
      </c>
      <c r="K1842" s="421">
        <f t="shared" si="573"/>
        <v>1585</v>
      </c>
      <c r="L1842" s="421">
        <f t="shared" si="570"/>
        <v>600</v>
      </c>
      <c r="M1842" s="430">
        <v>0</v>
      </c>
      <c r="N1842" s="423">
        <f t="shared" si="571"/>
        <v>11117.59</v>
      </c>
    </row>
    <row r="1843" spans="1:15" x14ac:dyDescent="0.2">
      <c r="A1843" s="410">
        <f t="shared" si="572"/>
        <v>29</v>
      </c>
      <c r="C1843" s="386" t="s">
        <v>1078</v>
      </c>
      <c r="D1843" s="447">
        <f>SUM(D1829:D1842)</f>
        <v>5972136.2799999993</v>
      </c>
      <c r="E1843" s="447">
        <f>SUM(E1829:E1842)</f>
        <v>33000</v>
      </c>
      <c r="F1843" s="447">
        <f>SUM(F1829:F1842)</f>
        <v>-4000</v>
      </c>
      <c r="G1843" s="447">
        <f>SUM(G1829:G1842)</f>
        <v>6001136.2799999993</v>
      </c>
      <c r="H1843" s="447"/>
      <c r="I1843" s="447">
        <f>SUM(I1829:I1842)</f>
        <v>2328494.27</v>
      </c>
      <c r="J1843" s="424"/>
      <c r="K1843" s="447">
        <f>SUM(K1829:K1842)</f>
        <v>40226</v>
      </c>
      <c r="L1843" s="447">
        <f>SUM(L1829:L1842)</f>
        <v>4000</v>
      </c>
      <c r="M1843" s="447">
        <f>SUM(M1829:M1842)</f>
        <v>0</v>
      </c>
      <c r="N1843" s="447">
        <f>SUM(N1829:N1842)</f>
        <v>2364720.27</v>
      </c>
    </row>
    <row r="1844" spans="1:15" x14ac:dyDescent="0.2">
      <c r="D1844" s="418"/>
      <c r="E1844" s="418"/>
      <c r="F1844" s="418"/>
      <c r="G1844" s="418"/>
      <c r="H1844" s="418"/>
      <c r="I1844" s="418"/>
      <c r="J1844" s="432"/>
      <c r="K1844" s="418"/>
      <c r="L1844" s="418"/>
      <c r="M1844" s="418"/>
    </row>
    <row r="1845" spans="1:15" x14ac:dyDescent="0.2">
      <c r="A1845" s="405">
        <f>A1843+1</f>
        <v>30</v>
      </c>
      <c r="B1845" s="448"/>
      <c r="C1845" s="411" t="s">
        <v>2287</v>
      </c>
      <c r="D1845" s="418"/>
      <c r="E1845" s="418"/>
      <c r="F1845" s="418"/>
      <c r="G1845" s="418"/>
      <c r="H1845" s="418"/>
      <c r="I1845" s="439"/>
      <c r="J1845" s="418"/>
      <c r="K1845" s="418"/>
      <c r="L1845" s="418"/>
      <c r="M1845" s="418"/>
    </row>
    <row r="1846" spans="1:15" x14ac:dyDescent="0.2">
      <c r="A1846" s="1722">
        <f>A1845+1</f>
        <v>31</v>
      </c>
      <c r="B1846" s="446">
        <v>378.21</v>
      </c>
      <c r="C1846" s="1725" t="s">
        <v>2244</v>
      </c>
      <c r="D1846" s="415">
        <f>G1740</f>
        <v>-777092</v>
      </c>
      <c r="E1846" s="417">
        <v>0</v>
      </c>
      <c r="F1846" s="417">
        <v>0</v>
      </c>
      <c r="G1846" s="415">
        <f t="shared" ref="G1846" si="574">SUM(D1846:F1846)</f>
        <v>-777092</v>
      </c>
      <c r="H1846" s="418"/>
      <c r="I1846" s="415">
        <f>N1740</f>
        <v>-55346.529999999941</v>
      </c>
      <c r="J1846" s="419" t="s">
        <v>1094</v>
      </c>
      <c r="K1846" s="417">
        <v>-2158.5833333333321</v>
      </c>
      <c r="L1846" s="418">
        <f t="shared" ref="L1846" si="575">-F1846</f>
        <v>0</v>
      </c>
      <c r="M1846" s="417">
        <v>0</v>
      </c>
      <c r="N1846" s="408">
        <f t="shared" ref="N1846" si="576">I1846+K1846-L1846+M1846</f>
        <v>-57505.113333333269</v>
      </c>
      <c r="O1846" s="408"/>
    </row>
    <row r="1847" spans="1:15" x14ac:dyDescent="0.2">
      <c r="A1847" s="1722"/>
      <c r="B1847" s="446"/>
      <c r="C1847" s="438"/>
      <c r="D1847" s="415"/>
      <c r="E1847" s="417"/>
      <c r="F1847" s="417"/>
      <c r="G1847" s="415"/>
      <c r="H1847" s="418"/>
      <c r="I1847" s="419"/>
      <c r="J1847" s="419"/>
      <c r="K1847" s="417"/>
      <c r="L1847" s="418"/>
      <c r="M1847" s="417"/>
      <c r="N1847" s="408"/>
      <c r="O1847" s="408"/>
    </row>
    <row r="1848" spans="1:15" x14ac:dyDescent="0.2">
      <c r="A1848" s="410">
        <f>A1846+1</f>
        <v>32</v>
      </c>
      <c r="C1848" s="386" t="s">
        <v>774</v>
      </c>
      <c r="D1848" s="450">
        <f>D1843+D1826+D1771+D1767+D1846</f>
        <v>431612589.36999989</v>
      </c>
      <c r="E1848" s="450">
        <f>E1843+E1826+E1771+E1767+E1846</f>
        <v>5665666</v>
      </c>
      <c r="F1848" s="450">
        <f>F1843+F1826+F1771+F1767+F1846</f>
        <v>-361600</v>
      </c>
      <c r="G1848" s="450">
        <f>G1843+G1826+G1771+G1767+G1846</f>
        <v>436916655.36999989</v>
      </c>
      <c r="H1848" s="418"/>
      <c r="I1848" s="450">
        <f>I1843+I1826+I1771+I1767+I1846</f>
        <v>152284695.72684237</v>
      </c>
      <c r="J1848" s="451"/>
      <c r="K1848" s="450">
        <f>K1843+K1826+K1771+K1767+K1846</f>
        <v>1321362.0961094652</v>
      </c>
      <c r="L1848" s="450">
        <f>L1843+L1826+L1771+L1767+L1846</f>
        <v>361600</v>
      </c>
      <c r="M1848" s="450">
        <f>M1843+M1826+M1771+M1767+M1846</f>
        <v>-88000</v>
      </c>
      <c r="N1848" s="450">
        <f>N1843+N1826+N1771+N1767+N1846</f>
        <v>153156457.82295179</v>
      </c>
    </row>
    <row r="1850" spans="1:15" x14ac:dyDescent="0.2">
      <c r="A1850" s="2073" t="str">
        <f>co</f>
        <v>COLUMBIA GAS OF KENTUCKY, INC.</v>
      </c>
      <c r="B1850" s="2073"/>
      <c r="C1850" s="2073"/>
      <c r="D1850" s="2073"/>
      <c r="E1850" s="2073"/>
      <c r="F1850" s="2073"/>
      <c r="G1850" s="2073"/>
      <c r="H1850" s="2073"/>
      <c r="I1850" s="2073"/>
      <c r="J1850" s="2073"/>
      <c r="K1850" s="2073"/>
      <c r="L1850" s="2073"/>
      <c r="M1850" s="2073"/>
      <c r="N1850" s="2073"/>
    </row>
    <row r="1851" spans="1:15" x14ac:dyDescent="0.2">
      <c r="A1851" s="2073" t="str">
        <f>case</f>
        <v>CASE NO. 2016 - 00162</v>
      </c>
      <c r="B1851" s="2073"/>
      <c r="C1851" s="2073"/>
      <c r="D1851" s="2073"/>
      <c r="E1851" s="2073"/>
      <c r="F1851" s="2073"/>
      <c r="G1851" s="2073"/>
      <c r="H1851" s="2073"/>
      <c r="I1851" s="2073"/>
      <c r="J1851" s="2073"/>
      <c r="K1851" s="2073"/>
      <c r="L1851" s="2073"/>
      <c r="M1851" s="2073"/>
      <c r="N1851" s="2073"/>
    </row>
    <row r="1852" spans="1:15" x14ac:dyDescent="0.2">
      <c r="A1852" s="2074" t="s">
        <v>1106</v>
      </c>
      <c r="B1852" s="2073"/>
      <c r="C1852" s="2073"/>
      <c r="D1852" s="2073"/>
      <c r="E1852" s="2073"/>
      <c r="F1852" s="2073"/>
      <c r="G1852" s="2073"/>
      <c r="H1852" s="2073"/>
      <c r="I1852" s="2073"/>
      <c r="J1852" s="2073"/>
      <c r="K1852" s="2073"/>
      <c r="L1852" s="2073"/>
      <c r="M1852" s="2073"/>
      <c r="N1852" s="2073"/>
    </row>
    <row r="1853" spans="1:15" x14ac:dyDescent="0.2">
      <c r="A1853" s="2078" t="s">
        <v>2142</v>
      </c>
      <c r="B1853" s="2078"/>
      <c r="C1853" s="2078"/>
      <c r="D1853" s="2078"/>
      <c r="E1853" s="2078"/>
      <c r="F1853" s="2078"/>
      <c r="G1853" s="2078"/>
      <c r="H1853" s="2078"/>
      <c r="I1853" s="2078"/>
      <c r="J1853" s="2078"/>
      <c r="K1853" s="2078"/>
      <c r="L1853" s="2078"/>
      <c r="M1853" s="2078"/>
      <c r="N1853" s="2078"/>
    </row>
    <row r="1855" spans="1:15" x14ac:dyDescent="0.2">
      <c r="A1855" s="385" t="s">
        <v>1095</v>
      </c>
      <c r="I1855" s="386"/>
      <c r="N1855" s="387" t="s">
        <v>763</v>
      </c>
    </row>
    <row r="1856" spans="1:15" x14ac:dyDescent="0.2">
      <c r="A1856" s="388" t="s">
        <v>977</v>
      </c>
      <c r="I1856" s="386"/>
      <c r="N1856" s="387" t="s">
        <v>998</v>
      </c>
    </row>
    <row r="1857" spans="1:14" x14ac:dyDescent="0.2">
      <c r="A1857" s="390" t="s">
        <v>997</v>
      </c>
      <c r="B1857" s="391"/>
      <c r="C1857" s="391"/>
      <c r="D1857" s="391"/>
      <c r="E1857" s="391"/>
      <c r="F1857" s="391"/>
      <c r="G1857" s="391"/>
      <c r="H1857" s="391"/>
      <c r="I1857" s="392"/>
      <c r="L1857" s="386"/>
      <c r="M1857" s="386"/>
      <c r="N1857" s="393" t="str">
        <f>SMK</f>
        <v>WITNESS:  S. M. KATKO</v>
      </c>
    </row>
    <row r="1858" spans="1:14" x14ac:dyDescent="0.2">
      <c r="A1858" s="390"/>
      <c r="B1858" s="391"/>
      <c r="C1858" s="391"/>
      <c r="D1858" s="391"/>
      <c r="E1858" s="391"/>
      <c r="F1858" s="391"/>
      <c r="G1858" s="391"/>
      <c r="H1858" s="391"/>
      <c r="I1858" s="392"/>
      <c r="J1858" s="393"/>
      <c r="L1858" s="386"/>
      <c r="M1858" s="386"/>
    </row>
    <row r="1859" spans="1:14" x14ac:dyDescent="0.2">
      <c r="A1859" s="390"/>
      <c r="B1859" s="391"/>
      <c r="C1859" s="391"/>
      <c r="D1859" s="2075" t="s">
        <v>1088</v>
      </c>
      <c r="E1859" s="2075"/>
      <c r="F1859" s="2075"/>
      <c r="G1859" s="2075"/>
      <c r="H1859" s="391"/>
      <c r="I1859" s="2076" t="s">
        <v>1093</v>
      </c>
      <c r="J1859" s="2077"/>
      <c r="K1859" s="2077"/>
      <c r="L1859" s="2077"/>
      <c r="M1859" s="2077"/>
      <c r="N1859" s="2077"/>
    </row>
    <row r="1860" spans="1:14" x14ac:dyDescent="0.2">
      <c r="A1860" s="394"/>
      <c r="B1860" s="391"/>
      <c r="C1860" s="391"/>
      <c r="D1860" s="396" t="s">
        <v>1084</v>
      </c>
      <c r="E1860" s="391"/>
      <c r="F1860" s="391"/>
      <c r="G1860" s="395"/>
      <c r="H1860" s="395"/>
      <c r="I1860" s="397" t="s">
        <v>1089</v>
      </c>
      <c r="J1860" s="396"/>
      <c r="M1860" s="386"/>
    </row>
    <row r="1861" spans="1:14" x14ac:dyDescent="0.2">
      <c r="A1861" s="383"/>
      <c r="D1861" s="397" t="s">
        <v>865</v>
      </c>
      <c r="G1861" s="397" t="s">
        <v>867</v>
      </c>
      <c r="H1861" s="398"/>
      <c r="I1861" s="397" t="s">
        <v>865</v>
      </c>
      <c r="J1861" s="397" t="s">
        <v>956</v>
      </c>
      <c r="M1861" s="386"/>
      <c r="N1861" s="397" t="s">
        <v>867</v>
      </c>
    </row>
    <row r="1862" spans="1:14" x14ac:dyDescent="0.2">
      <c r="A1862" s="397" t="s">
        <v>1080</v>
      </c>
      <c r="B1862" s="397" t="s">
        <v>1082</v>
      </c>
      <c r="D1862" s="397" t="s">
        <v>867</v>
      </c>
      <c r="G1862" s="399" t="s">
        <v>1087</v>
      </c>
      <c r="H1862" s="398"/>
      <c r="I1862" s="399" t="s">
        <v>867</v>
      </c>
      <c r="J1862" s="397" t="s">
        <v>1090</v>
      </c>
      <c r="K1862" s="397" t="s">
        <v>956</v>
      </c>
      <c r="M1862" s="399" t="s">
        <v>1092</v>
      </c>
      <c r="N1862" s="399" t="s">
        <v>1087</v>
      </c>
    </row>
    <row r="1863" spans="1:14" x14ac:dyDescent="0.2">
      <c r="A1863" s="400" t="s">
        <v>1081</v>
      </c>
      <c r="B1863" s="400" t="s">
        <v>1081</v>
      </c>
      <c r="C1863" s="401" t="s">
        <v>1083</v>
      </c>
      <c r="D1863" s="409" t="str">
        <f>"07/31/2017"</f>
        <v>07/31/2017</v>
      </c>
      <c r="E1863" s="400" t="s">
        <v>1085</v>
      </c>
      <c r="F1863" s="400" t="s">
        <v>1086</v>
      </c>
      <c r="G1863" s="409" t="str">
        <f>"08/31/2017"</f>
        <v>08/31/2017</v>
      </c>
      <c r="H1863" s="398"/>
      <c r="I1863" s="404" t="str">
        <f>D1863</f>
        <v>07/31/2017</v>
      </c>
      <c r="J1863" s="400" t="s">
        <v>1091</v>
      </c>
      <c r="K1863" s="402" t="s">
        <v>1090</v>
      </c>
      <c r="L1863" s="402" t="s">
        <v>1086</v>
      </c>
      <c r="M1863" s="402" t="s">
        <v>955</v>
      </c>
      <c r="N1863" s="404" t="str">
        <f>G1863</f>
        <v>08/31/2017</v>
      </c>
    </row>
    <row r="1864" spans="1:14" x14ac:dyDescent="0.2">
      <c r="A1864" s="406"/>
      <c r="B1864" s="406"/>
      <c r="C1864" s="406"/>
      <c r="D1864" s="406" t="str">
        <f>"(1)"</f>
        <v>(1)</v>
      </c>
      <c r="E1864" s="406" t="str">
        <f>"(2)"</f>
        <v>(2)</v>
      </c>
      <c r="F1864" s="406" t="str">
        <f>"(3)"</f>
        <v>(3)</v>
      </c>
      <c r="G1864" s="406" t="str">
        <f>"(4)=(1+2+3)"</f>
        <v>(4)=(1+2+3)</v>
      </c>
      <c r="H1864" s="406"/>
      <c r="I1864" s="406" t="str">
        <f>"(5)"</f>
        <v>(5)</v>
      </c>
      <c r="J1864" s="406" t="str">
        <f>"(6)"</f>
        <v>(6)</v>
      </c>
      <c r="K1864" s="406" t="str">
        <f>"(7)=((1+4)/2*6/12))"</f>
        <v>(7)=((1+4)/2*6/12))</v>
      </c>
      <c r="L1864" s="406" t="str">
        <f>"(8)"</f>
        <v>(8)</v>
      </c>
      <c r="M1864" s="406" t="str">
        <f>"(9)"</f>
        <v>(9)</v>
      </c>
      <c r="N1864" s="406" t="str">
        <f>"(10)=(5+7-8+9)"</f>
        <v>(10)=(5+7-8+9)</v>
      </c>
    </row>
    <row r="1865" spans="1:14" x14ac:dyDescent="0.2">
      <c r="D1865" s="410" t="s">
        <v>639</v>
      </c>
      <c r="E1865" s="410" t="s">
        <v>639</v>
      </c>
      <c r="F1865" s="410" t="s">
        <v>639</v>
      </c>
      <c r="G1865" s="410" t="s">
        <v>639</v>
      </c>
      <c r="H1865" s="410"/>
      <c r="I1865" s="410" t="s">
        <v>639</v>
      </c>
      <c r="J1865" s="410" t="s">
        <v>639</v>
      </c>
      <c r="K1865" s="410" t="s">
        <v>639</v>
      </c>
      <c r="L1865" s="410" t="s">
        <v>639</v>
      </c>
      <c r="M1865" s="410" t="s">
        <v>639</v>
      </c>
      <c r="N1865" s="410" t="s">
        <v>639</v>
      </c>
    </row>
    <row r="1866" spans="1:14" x14ac:dyDescent="0.2">
      <c r="A1866" s="410">
        <v>1</v>
      </c>
      <c r="B1866" s="411" t="s">
        <v>1025</v>
      </c>
      <c r="C1866" s="412"/>
      <c r="M1866" s="386"/>
    </row>
    <row r="1867" spans="1:14" x14ac:dyDescent="0.2">
      <c r="A1867" s="410">
        <f>A1866+1</f>
        <v>2</v>
      </c>
      <c r="C1867" s="411" t="s">
        <v>697</v>
      </c>
      <c r="M1867" s="386"/>
    </row>
    <row r="1868" spans="1:14" x14ac:dyDescent="0.2">
      <c r="A1868" s="410">
        <f t="shared" ref="A1868:A1873" si="577">A1867+1</f>
        <v>3</v>
      </c>
      <c r="B1868" s="413">
        <v>301</v>
      </c>
      <c r="C1868" s="414" t="s">
        <v>1026</v>
      </c>
      <c r="D1868" s="415">
        <f>G1762</f>
        <v>521.20000000000005</v>
      </c>
      <c r="E1868" s="417">
        <v>0</v>
      </c>
      <c r="F1868" s="417">
        <v>0</v>
      </c>
      <c r="G1868" s="415">
        <f>SUM(D1868:F1868)</f>
        <v>521.20000000000005</v>
      </c>
      <c r="H1868" s="418"/>
      <c r="I1868" s="415">
        <f>N1762</f>
        <v>0</v>
      </c>
      <c r="J1868" s="419" t="s">
        <v>1094</v>
      </c>
      <c r="K1868" s="417">
        <v>0</v>
      </c>
      <c r="L1868" s="418">
        <f>-F1868</f>
        <v>0</v>
      </c>
      <c r="M1868" s="417">
        <v>0</v>
      </c>
      <c r="N1868" s="408">
        <f>I1868+K1868-L1868+M1868</f>
        <v>0</v>
      </c>
    </row>
    <row r="1869" spans="1:14" x14ac:dyDescent="0.2">
      <c r="A1869" s="410">
        <f t="shared" si="577"/>
        <v>4</v>
      </c>
      <c r="B1869" s="413">
        <v>303</v>
      </c>
      <c r="C1869" s="414" t="s">
        <v>1027</v>
      </c>
      <c r="D1869" s="415">
        <f>G1763</f>
        <v>74347.509999999995</v>
      </c>
      <c r="E1869" s="417">
        <v>0</v>
      </c>
      <c r="F1869" s="417">
        <v>0</v>
      </c>
      <c r="G1869" s="415">
        <f>SUM(D1869:F1869)</f>
        <v>74347.509999999995</v>
      </c>
      <c r="H1869" s="418"/>
      <c r="I1869" s="415">
        <f>N1763</f>
        <v>49310.269999999946</v>
      </c>
      <c r="J1869" s="419" t="s">
        <v>1094</v>
      </c>
      <c r="K1869" s="415">
        <f>'Intangible Amort.'!N$110</f>
        <v>206.52</v>
      </c>
      <c r="L1869" s="418">
        <f>-F1869</f>
        <v>0</v>
      </c>
      <c r="M1869" s="417">
        <v>0</v>
      </c>
      <c r="N1869" s="408">
        <f>I1869+K1869-L1869+M1869</f>
        <v>49516.789999999943</v>
      </c>
    </row>
    <row r="1870" spans="1:14" x14ac:dyDescent="0.2">
      <c r="A1870" s="410">
        <f t="shared" si="577"/>
        <v>5</v>
      </c>
      <c r="B1870" s="413">
        <v>303.10000000000002</v>
      </c>
      <c r="C1870" s="414" t="s">
        <v>1028</v>
      </c>
      <c r="D1870" s="415">
        <f>G1764</f>
        <v>0</v>
      </c>
      <c r="E1870" s="417">
        <v>0</v>
      </c>
      <c r="F1870" s="417">
        <v>0</v>
      </c>
      <c r="G1870" s="415">
        <f>SUM(D1870:F1870)</f>
        <v>0</v>
      </c>
      <c r="H1870" s="418"/>
      <c r="I1870" s="415">
        <f>N1764</f>
        <v>0</v>
      </c>
      <c r="J1870" s="419" t="s">
        <v>1094</v>
      </c>
      <c r="K1870" s="417">
        <v>0</v>
      </c>
      <c r="L1870" s="418">
        <f>-F1870</f>
        <v>0</v>
      </c>
      <c r="M1870" s="417">
        <v>0</v>
      </c>
      <c r="N1870" s="408">
        <f>I1870+K1870-L1870+M1870</f>
        <v>0</v>
      </c>
    </row>
    <row r="1871" spans="1:14" x14ac:dyDescent="0.2">
      <c r="A1871" s="410">
        <f t="shared" si="577"/>
        <v>6</v>
      </c>
      <c r="B1871" s="413">
        <v>303.2</v>
      </c>
      <c r="C1871" s="414" t="s">
        <v>1029</v>
      </c>
      <c r="D1871" s="415">
        <f>G1765</f>
        <v>0</v>
      </c>
      <c r="E1871" s="417">
        <v>0</v>
      </c>
      <c r="F1871" s="417">
        <v>0</v>
      </c>
      <c r="G1871" s="415">
        <f>SUM(D1871:F1871)</f>
        <v>0</v>
      </c>
      <c r="H1871" s="418"/>
      <c r="I1871" s="415">
        <f>N1765</f>
        <v>0</v>
      </c>
      <c r="J1871" s="419" t="s">
        <v>1094</v>
      </c>
      <c r="K1871" s="417">
        <v>0</v>
      </c>
      <c r="L1871" s="418">
        <f>-F1871</f>
        <v>0</v>
      </c>
      <c r="M1871" s="417">
        <v>0</v>
      </c>
      <c r="N1871" s="408">
        <f>I1871+K1871-L1871+M1871</f>
        <v>0</v>
      </c>
    </row>
    <row r="1872" spans="1:14" x14ac:dyDescent="0.2">
      <c r="A1872" s="410">
        <f t="shared" si="577"/>
        <v>7</v>
      </c>
      <c r="B1872" s="413">
        <v>303.3</v>
      </c>
      <c r="C1872" s="414" t="s">
        <v>1030</v>
      </c>
      <c r="D1872" s="421">
        <f>G1766</f>
        <v>9670586</v>
      </c>
      <c r="E1872" s="422">
        <v>0</v>
      </c>
      <c r="F1872" s="422">
        <v>0</v>
      </c>
      <c r="G1872" s="421">
        <f>SUM(D1872:F1872)</f>
        <v>9670586</v>
      </c>
      <c r="H1872" s="418"/>
      <c r="I1872" s="421">
        <f>N1766</f>
        <v>3503293.7752325181</v>
      </c>
      <c r="J1872" s="419" t="s">
        <v>1094</v>
      </c>
      <c r="K1872" s="421">
        <f>'Intangible Amort.'!N$188</f>
        <v>127911.62224617059</v>
      </c>
      <c r="L1872" s="421">
        <f>-F1872</f>
        <v>0</v>
      </c>
      <c r="M1872" s="422">
        <v>0</v>
      </c>
      <c r="N1872" s="423">
        <f>I1872+K1872-L1872+M1872</f>
        <v>3631205.3974786885</v>
      </c>
    </row>
    <row r="1873" spans="1:14" x14ac:dyDescent="0.2">
      <c r="A1873" s="410">
        <f t="shared" si="577"/>
        <v>8</v>
      </c>
      <c r="B1873" s="413"/>
      <c r="C1873" s="414" t="s">
        <v>1031</v>
      </c>
      <c r="D1873" s="418">
        <f>SUM(D1868:D1872)</f>
        <v>9745454.7100000009</v>
      </c>
      <c r="E1873" s="418">
        <f>SUM(E1868:E1872)</f>
        <v>0</v>
      </c>
      <c r="F1873" s="418">
        <f>SUM(F1868:F1872)</f>
        <v>0</v>
      </c>
      <c r="G1873" s="418">
        <f>SUM(G1868:G1872)</f>
        <v>9745454.7100000009</v>
      </c>
      <c r="H1873" s="418"/>
      <c r="I1873" s="418">
        <f>SUM(I1868:I1872)</f>
        <v>3552604.0452325181</v>
      </c>
      <c r="J1873" s="424"/>
      <c r="K1873" s="418">
        <f>SUM(K1868:K1872)</f>
        <v>128118.1422461706</v>
      </c>
      <c r="L1873" s="418">
        <f>SUM(L1868:L1872)</f>
        <v>0</v>
      </c>
      <c r="M1873" s="418">
        <f>SUM(M1868:M1872)</f>
        <v>0</v>
      </c>
      <c r="N1873" s="418">
        <f>SUM(N1868:N1872)</f>
        <v>3680722.1874786885</v>
      </c>
    </row>
    <row r="1874" spans="1:14" x14ac:dyDescent="0.2">
      <c r="B1874" s="425"/>
      <c r="D1874" s="418"/>
      <c r="E1874" s="418"/>
      <c r="F1874" s="418"/>
      <c r="G1874" s="418"/>
      <c r="H1874" s="418"/>
      <c r="I1874" s="418"/>
      <c r="J1874" s="424"/>
      <c r="K1874" s="418"/>
      <c r="L1874" s="418"/>
      <c r="M1874" s="418"/>
    </row>
    <row r="1875" spans="1:14" x14ac:dyDescent="0.2">
      <c r="A1875" s="410">
        <f>A1873+1</f>
        <v>9</v>
      </c>
      <c r="B1875" s="425"/>
      <c r="C1875" s="411" t="s">
        <v>704</v>
      </c>
      <c r="D1875" s="418"/>
      <c r="E1875" s="418"/>
      <c r="F1875" s="418"/>
      <c r="G1875" s="418"/>
      <c r="H1875" s="418"/>
      <c r="I1875" s="418"/>
      <c r="J1875" s="424"/>
      <c r="K1875" s="418"/>
      <c r="L1875" s="418"/>
      <c r="M1875" s="418"/>
    </row>
    <row r="1876" spans="1:14" x14ac:dyDescent="0.2">
      <c r="A1876" s="410">
        <f>A1875+1</f>
        <v>10</v>
      </c>
      <c r="B1876" s="426">
        <v>304.10000000000002</v>
      </c>
      <c r="C1876" s="427" t="s">
        <v>1032</v>
      </c>
      <c r="D1876" s="421">
        <f>G1770</f>
        <v>0</v>
      </c>
      <c r="E1876" s="430">
        <v>0</v>
      </c>
      <c r="F1876" s="430">
        <v>0</v>
      </c>
      <c r="G1876" s="421">
        <f>SUM(D1876:F1876)</f>
        <v>0</v>
      </c>
      <c r="H1876" s="418"/>
      <c r="I1876" s="421">
        <f>N1770</f>
        <v>0</v>
      </c>
      <c r="J1876" s="429" t="s">
        <v>1102</v>
      </c>
      <c r="K1876" s="430">
        <v>0</v>
      </c>
      <c r="L1876" s="421">
        <f>-F1876</f>
        <v>0</v>
      </c>
      <c r="M1876" s="422">
        <v>0</v>
      </c>
      <c r="N1876" s="423">
        <f>I1876+K1876-L1876+M1876</f>
        <v>0</v>
      </c>
    </row>
    <row r="1877" spans="1:14" x14ac:dyDescent="0.2">
      <c r="A1877" s="410">
        <f>A1876+1</f>
        <v>11</v>
      </c>
      <c r="B1877" s="426"/>
      <c r="C1877" s="431" t="s">
        <v>1079</v>
      </c>
      <c r="D1877" s="418">
        <f>D1876</f>
        <v>0</v>
      </c>
      <c r="E1877" s="418">
        <f>E1876</f>
        <v>0</v>
      </c>
      <c r="F1877" s="418">
        <f>F1876</f>
        <v>0</v>
      </c>
      <c r="G1877" s="418">
        <f>G1876</f>
        <v>0</v>
      </c>
      <c r="H1877" s="418"/>
      <c r="I1877" s="418">
        <f>I1876</f>
        <v>0</v>
      </c>
      <c r="J1877" s="432"/>
      <c r="K1877" s="418">
        <f>SUM(K1876)</f>
        <v>0</v>
      </c>
      <c r="L1877" s="418">
        <f>SUM(L1876)</f>
        <v>0</v>
      </c>
      <c r="M1877" s="418">
        <f>M1876</f>
        <v>0</v>
      </c>
      <c r="N1877" s="418">
        <f>N1876</f>
        <v>0</v>
      </c>
    </row>
    <row r="1878" spans="1:14" x14ac:dyDescent="0.2">
      <c r="B1878" s="425"/>
      <c r="D1878" s="418"/>
      <c r="E1878" s="418"/>
      <c r="F1878" s="418"/>
      <c r="G1878" s="418"/>
      <c r="H1878" s="418"/>
      <c r="I1878" s="418"/>
      <c r="J1878" s="432"/>
      <c r="K1878" s="418"/>
      <c r="L1878" s="418"/>
      <c r="M1878" s="418"/>
    </row>
    <row r="1879" spans="1:14" x14ac:dyDescent="0.2">
      <c r="A1879" s="410">
        <f>A1877+1</f>
        <v>12</v>
      </c>
      <c r="B1879" s="425"/>
      <c r="C1879" s="411" t="s">
        <v>707</v>
      </c>
      <c r="D1879" s="418"/>
      <c r="E1879" s="418"/>
      <c r="F1879" s="418"/>
      <c r="G1879" s="418"/>
      <c r="H1879" s="418"/>
      <c r="I1879" s="418"/>
      <c r="J1879" s="432"/>
      <c r="K1879" s="418"/>
      <c r="L1879" s="418"/>
      <c r="M1879" s="418"/>
    </row>
    <row r="1880" spans="1:14" x14ac:dyDescent="0.2">
      <c r="A1880" s="410">
        <f>A1879+1</f>
        <v>13</v>
      </c>
      <c r="B1880" s="413">
        <v>374.1</v>
      </c>
      <c r="C1880" s="414" t="s">
        <v>1035</v>
      </c>
      <c r="D1880" s="415">
        <f t="shared" ref="D1880:D1890" si="578">G1774</f>
        <v>206</v>
      </c>
      <c r="E1880" s="417">
        <v>0</v>
      </c>
      <c r="F1880" s="417">
        <v>0</v>
      </c>
      <c r="G1880" s="415">
        <f>SUM(D1880:F1880)</f>
        <v>206</v>
      </c>
      <c r="H1880" s="418"/>
      <c r="I1880" s="415">
        <f t="shared" ref="I1880:I1890" si="579">N1774</f>
        <v>0</v>
      </c>
      <c r="J1880" s="429" t="s">
        <v>1102</v>
      </c>
      <c r="K1880" s="417">
        <v>0</v>
      </c>
      <c r="L1880" s="418">
        <f t="shared" ref="L1880:L1890" si="580">-F1880</f>
        <v>0</v>
      </c>
      <c r="M1880" s="417">
        <v>0</v>
      </c>
      <c r="N1880" s="408">
        <f t="shared" ref="N1880:N1890" si="581">I1880+K1880-L1880+M1880</f>
        <v>0</v>
      </c>
    </row>
    <row r="1881" spans="1:14" x14ac:dyDescent="0.2">
      <c r="A1881" s="410">
        <f t="shared" ref="A1881:A1901" si="582">A1880+1</f>
        <v>14</v>
      </c>
      <c r="B1881" s="413">
        <v>374.2</v>
      </c>
      <c r="C1881" s="414" t="s">
        <v>1036</v>
      </c>
      <c r="D1881" s="415">
        <f t="shared" si="578"/>
        <v>877756.18</v>
      </c>
      <c r="E1881" s="417">
        <v>0</v>
      </c>
      <c r="F1881" s="417">
        <v>0</v>
      </c>
      <c r="G1881" s="415">
        <f t="shared" ref="G1881:G1890" si="583">SUM(D1881:F1881)</f>
        <v>877756.18</v>
      </c>
      <c r="H1881" s="418"/>
      <c r="I1881" s="415">
        <f t="shared" si="579"/>
        <v>-523.13</v>
      </c>
      <c r="J1881" s="429" t="s">
        <v>1102</v>
      </c>
      <c r="K1881" s="417">
        <v>0</v>
      </c>
      <c r="L1881" s="418">
        <f t="shared" si="580"/>
        <v>0</v>
      </c>
      <c r="M1881" s="417">
        <v>0</v>
      </c>
      <c r="N1881" s="408">
        <f t="shared" si="581"/>
        <v>-523.13</v>
      </c>
    </row>
    <row r="1882" spans="1:14" x14ac:dyDescent="0.2">
      <c r="A1882" s="410">
        <f t="shared" si="582"/>
        <v>15</v>
      </c>
      <c r="B1882" s="413">
        <v>374.4</v>
      </c>
      <c r="C1882" s="414" t="s">
        <v>1037</v>
      </c>
      <c r="D1882" s="415">
        <f t="shared" si="578"/>
        <v>661305.66</v>
      </c>
      <c r="E1882" s="417">
        <v>0</v>
      </c>
      <c r="F1882" s="417">
        <v>0</v>
      </c>
      <c r="G1882" s="415">
        <f t="shared" si="583"/>
        <v>661305.66</v>
      </c>
      <c r="H1882" s="418"/>
      <c r="I1882" s="415">
        <f t="shared" si="579"/>
        <v>185596.36</v>
      </c>
      <c r="J1882" s="442">
        <f t="shared" ref="J1882:J1888" si="584">J1776</f>
        <v>1.7399999999999999E-2</v>
      </c>
      <c r="K1882" s="418">
        <f>ROUND((G1882+D1882)/2*J1882/12,0)</f>
        <v>959</v>
      </c>
      <c r="L1882" s="418">
        <f t="shared" si="580"/>
        <v>0</v>
      </c>
      <c r="M1882" s="417">
        <v>0</v>
      </c>
      <c r="N1882" s="408">
        <f t="shared" si="581"/>
        <v>186555.36</v>
      </c>
    </row>
    <row r="1883" spans="1:14" x14ac:dyDescent="0.2">
      <c r="A1883" s="410">
        <f t="shared" si="582"/>
        <v>16</v>
      </c>
      <c r="B1883" s="413">
        <v>374.5</v>
      </c>
      <c r="C1883" s="414" t="s">
        <v>1038</v>
      </c>
      <c r="D1883" s="415">
        <f t="shared" si="578"/>
        <v>2731072.55</v>
      </c>
      <c r="E1883" s="417">
        <v>4200</v>
      </c>
      <c r="F1883" s="417">
        <v>-500</v>
      </c>
      <c r="G1883" s="415">
        <f t="shared" si="583"/>
        <v>2734772.55</v>
      </c>
      <c r="H1883" s="418"/>
      <c r="I1883" s="415">
        <f t="shared" si="579"/>
        <v>945465.23</v>
      </c>
      <c r="J1883" s="442">
        <f t="shared" si="584"/>
        <v>1.29E-2</v>
      </c>
      <c r="K1883" s="418">
        <f t="shared" ref="K1883:K1888" si="585">ROUND((G1883+D1883)/2*J1883/12,0)</f>
        <v>2938</v>
      </c>
      <c r="L1883" s="418">
        <f t="shared" si="580"/>
        <v>500</v>
      </c>
      <c r="M1883" s="417">
        <v>0</v>
      </c>
      <c r="N1883" s="408">
        <f t="shared" si="581"/>
        <v>947903.23</v>
      </c>
    </row>
    <row r="1884" spans="1:14" x14ac:dyDescent="0.2">
      <c r="A1884" s="410">
        <f t="shared" si="582"/>
        <v>17</v>
      </c>
      <c r="B1884" s="413">
        <v>375.2</v>
      </c>
      <c r="C1884" s="414" t="s">
        <v>1039</v>
      </c>
      <c r="D1884" s="415">
        <f t="shared" si="578"/>
        <v>2124.98</v>
      </c>
      <c r="E1884" s="417">
        <v>0</v>
      </c>
      <c r="F1884" s="417">
        <v>0</v>
      </c>
      <c r="G1884" s="415">
        <f t="shared" si="583"/>
        <v>2124.98</v>
      </c>
      <c r="H1884" s="418"/>
      <c r="I1884" s="415">
        <f t="shared" si="579"/>
        <v>2069.3199999999997</v>
      </c>
      <c r="J1884" s="442">
        <f t="shared" si="584"/>
        <v>3.1800000000000002E-2</v>
      </c>
      <c r="K1884" s="418">
        <f t="shared" si="585"/>
        <v>6</v>
      </c>
      <c r="L1884" s="418">
        <f t="shared" si="580"/>
        <v>0</v>
      </c>
      <c r="M1884" s="417">
        <v>0</v>
      </c>
      <c r="N1884" s="408">
        <f t="shared" si="581"/>
        <v>2075.3199999999997</v>
      </c>
    </row>
    <row r="1885" spans="1:14" x14ac:dyDescent="0.2">
      <c r="A1885" s="410">
        <f t="shared" si="582"/>
        <v>18</v>
      </c>
      <c r="B1885" s="413">
        <v>375.3</v>
      </c>
      <c r="C1885" s="414" t="s">
        <v>1040</v>
      </c>
      <c r="D1885" s="415">
        <f t="shared" si="578"/>
        <v>0</v>
      </c>
      <c r="E1885" s="417">
        <v>0</v>
      </c>
      <c r="F1885" s="417">
        <v>0</v>
      </c>
      <c r="G1885" s="415">
        <f t="shared" si="583"/>
        <v>0</v>
      </c>
      <c r="H1885" s="418"/>
      <c r="I1885" s="415">
        <f t="shared" si="579"/>
        <v>-77.66</v>
      </c>
      <c r="J1885" s="442">
        <f t="shared" si="584"/>
        <v>3.1800000000000002E-2</v>
      </c>
      <c r="K1885" s="418">
        <f t="shared" si="585"/>
        <v>0</v>
      </c>
      <c r="L1885" s="418">
        <f t="shared" si="580"/>
        <v>0</v>
      </c>
      <c r="M1885" s="417">
        <v>0</v>
      </c>
      <c r="N1885" s="408">
        <f t="shared" si="581"/>
        <v>-77.66</v>
      </c>
    </row>
    <row r="1886" spans="1:14" x14ac:dyDescent="0.2">
      <c r="A1886" s="410">
        <f t="shared" si="582"/>
        <v>19</v>
      </c>
      <c r="B1886" s="413">
        <v>375.4</v>
      </c>
      <c r="C1886" s="414" t="s">
        <v>1041</v>
      </c>
      <c r="D1886" s="415">
        <f t="shared" si="578"/>
        <v>2209130.02</v>
      </c>
      <c r="E1886" s="417">
        <v>36500</v>
      </c>
      <c r="F1886" s="417">
        <v>-4400</v>
      </c>
      <c r="G1886" s="415">
        <f t="shared" si="583"/>
        <v>2241230.02</v>
      </c>
      <c r="H1886" s="418"/>
      <c r="I1886" s="415">
        <f t="shared" si="579"/>
        <v>507314.37</v>
      </c>
      <c r="J1886" s="442">
        <f t="shared" si="584"/>
        <v>3.1800000000000002E-2</v>
      </c>
      <c r="K1886" s="418">
        <f t="shared" si="585"/>
        <v>5897</v>
      </c>
      <c r="L1886" s="418">
        <f t="shared" si="580"/>
        <v>4400</v>
      </c>
      <c r="M1886" s="417">
        <v>-400</v>
      </c>
      <c r="N1886" s="408">
        <f t="shared" si="581"/>
        <v>508411.37</v>
      </c>
    </row>
    <row r="1887" spans="1:14" x14ac:dyDescent="0.2">
      <c r="A1887" s="410">
        <f t="shared" si="582"/>
        <v>20</v>
      </c>
      <c r="B1887" s="413">
        <v>375.6</v>
      </c>
      <c r="C1887" s="414" t="s">
        <v>1042</v>
      </c>
      <c r="D1887" s="415">
        <f t="shared" si="578"/>
        <v>0</v>
      </c>
      <c r="E1887" s="417">
        <v>0</v>
      </c>
      <c r="F1887" s="417">
        <v>0</v>
      </c>
      <c r="G1887" s="415">
        <f t="shared" si="583"/>
        <v>0</v>
      </c>
      <c r="H1887" s="418"/>
      <c r="I1887" s="415">
        <f t="shared" si="579"/>
        <v>0.02</v>
      </c>
      <c r="J1887" s="442">
        <f t="shared" si="584"/>
        <v>3.1800000000000002E-2</v>
      </c>
      <c r="K1887" s="418">
        <f t="shared" si="585"/>
        <v>0</v>
      </c>
      <c r="L1887" s="418">
        <f t="shared" si="580"/>
        <v>0</v>
      </c>
      <c r="M1887" s="417">
        <v>0</v>
      </c>
      <c r="N1887" s="408">
        <f t="shared" si="581"/>
        <v>0.02</v>
      </c>
    </row>
    <row r="1888" spans="1:14" x14ac:dyDescent="0.2">
      <c r="A1888" s="410">
        <f t="shared" si="582"/>
        <v>21</v>
      </c>
      <c r="B1888" s="413">
        <v>375.7</v>
      </c>
      <c r="C1888" s="414" t="s">
        <v>1043</v>
      </c>
      <c r="D1888" s="415">
        <f t="shared" si="578"/>
        <v>8553050.2100000009</v>
      </c>
      <c r="E1888" s="417">
        <v>48300</v>
      </c>
      <c r="F1888" s="417">
        <v>-5800</v>
      </c>
      <c r="G1888" s="415">
        <f t="shared" si="583"/>
        <v>8595550.2100000009</v>
      </c>
      <c r="H1888" s="418"/>
      <c r="I1888" s="415">
        <f t="shared" si="579"/>
        <v>3380022.06</v>
      </c>
      <c r="J1888" s="442">
        <f t="shared" si="584"/>
        <v>2.1299999999999999E-2</v>
      </c>
      <c r="K1888" s="418">
        <f t="shared" si="585"/>
        <v>15219</v>
      </c>
      <c r="L1888" s="418">
        <f t="shared" si="580"/>
        <v>5800</v>
      </c>
      <c r="M1888" s="417">
        <v>0</v>
      </c>
      <c r="N1888" s="408">
        <f t="shared" si="581"/>
        <v>3389441.06</v>
      </c>
    </row>
    <row r="1889" spans="1:14" x14ac:dyDescent="0.2">
      <c r="A1889" s="410">
        <f t="shared" si="582"/>
        <v>22</v>
      </c>
      <c r="B1889" s="413">
        <v>375.71</v>
      </c>
      <c r="C1889" s="414" t="s">
        <v>1044</v>
      </c>
      <c r="D1889" s="415">
        <f t="shared" si="578"/>
        <v>259808.94</v>
      </c>
      <c r="E1889" s="417">
        <v>0</v>
      </c>
      <c r="F1889" s="417">
        <v>0</v>
      </c>
      <c r="G1889" s="415">
        <f t="shared" si="583"/>
        <v>259808.94</v>
      </c>
      <c r="H1889" s="418"/>
      <c r="I1889" s="415">
        <f t="shared" si="579"/>
        <v>201973.90105263179</v>
      </c>
      <c r="J1889" s="419" t="s">
        <v>1094</v>
      </c>
      <c r="K1889" s="417">
        <f>104653.88/38</f>
        <v>2754.0494736842106</v>
      </c>
      <c r="L1889" s="418">
        <f t="shared" si="580"/>
        <v>0</v>
      </c>
      <c r="M1889" s="417">
        <v>0</v>
      </c>
      <c r="N1889" s="408">
        <f t="shared" si="581"/>
        <v>204727.95052631601</v>
      </c>
    </row>
    <row r="1890" spans="1:14" x14ac:dyDescent="0.2">
      <c r="A1890" s="410">
        <f t="shared" si="582"/>
        <v>23</v>
      </c>
      <c r="B1890" s="413">
        <v>375.8</v>
      </c>
      <c r="C1890" s="414" t="s">
        <v>1045</v>
      </c>
      <c r="D1890" s="415">
        <f t="shared" si="578"/>
        <v>0</v>
      </c>
      <c r="E1890" s="417">
        <v>0</v>
      </c>
      <c r="F1890" s="417">
        <v>0</v>
      </c>
      <c r="G1890" s="415">
        <f t="shared" si="583"/>
        <v>0</v>
      </c>
      <c r="H1890" s="418"/>
      <c r="I1890" s="415">
        <f t="shared" si="579"/>
        <v>0</v>
      </c>
      <c r="J1890" s="442">
        <f>J1784</f>
        <v>0</v>
      </c>
      <c r="K1890" s="417">
        <v>0</v>
      </c>
      <c r="L1890" s="418">
        <f t="shared" si="580"/>
        <v>0</v>
      </c>
      <c r="M1890" s="417">
        <v>0</v>
      </c>
      <c r="N1890" s="408">
        <f t="shared" si="581"/>
        <v>0</v>
      </c>
    </row>
    <row r="1891" spans="1:14" x14ac:dyDescent="0.2">
      <c r="A1891" s="410">
        <f>A1890+1</f>
        <v>24</v>
      </c>
      <c r="B1891" s="413">
        <v>376</v>
      </c>
      <c r="C1891" s="438" t="s">
        <v>1096</v>
      </c>
      <c r="D1891" s="415"/>
      <c r="E1891" s="417"/>
      <c r="F1891" s="417"/>
      <c r="G1891" s="415"/>
      <c r="H1891" s="418"/>
      <c r="I1891" s="439"/>
      <c r="J1891" s="432"/>
      <c r="K1891" s="418"/>
      <c r="L1891" s="418"/>
      <c r="M1891" s="417"/>
    </row>
    <row r="1892" spans="1:14" x14ac:dyDescent="0.2">
      <c r="A1892" s="410"/>
      <c r="B1892" s="413"/>
      <c r="C1892" s="440" t="s">
        <v>1097</v>
      </c>
      <c r="D1892" s="415"/>
      <c r="E1892" s="417"/>
      <c r="F1892" s="417"/>
      <c r="G1892" s="415"/>
      <c r="H1892" s="418"/>
      <c r="I1892" s="415"/>
      <c r="J1892" s="442"/>
      <c r="K1892" s="418"/>
      <c r="L1892" s="418"/>
      <c r="M1892" s="417"/>
      <c r="N1892" s="408"/>
    </row>
    <row r="1893" spans="1:14" x14ac:dyDescent="0.2">
      <c r="A1893" s="410"/>
      <c r="B1893" s="413"/>
      <c r="C1893" s="440" t="s">
        <v>1098</v>
      </c>
      <c r="D1893" s="415"/>
      <c r="E1893" s="417"/>
      <c r="F1893" s="417"/>
      <c r="G1893" s="415"/>
      <c r="H1893" s="418"/>
      <c r="I1893" s="415"/>
      <c r="J1893" s="442"/>
      <c r="K1893" s="418"/>
      <c r="L1893" s="418"/>
      <c r="M1893" s="417"/>
      <c r="N1893" s="408"/>
    </row>
    <row r="1894" spans="1:14" x14ac:dyDescent="0.2">
      <c r="A1894" s="410"/>
      <c r="B1894" s="413"/>
      <c r="C1894" s="440" t="s">
        <v>1099</v>
      </c>
      <c r="D1894" s="415"/>
      <c r="E1894" s="417"/>
      <c r="F1894" s="417"/>
      <c r="G1894" s="415"/>
      <c r="H1894" s="418"/>
      <c r="I1894" s="415"/>
      <c r="J1894" s="442"/>
      <c r="K1894" s="418"/>
      <c r="L1894" s="418"/>
      <c r="M1894" s="417"/>
      <c r="N1894" s="408"/>
    </row>
    <row r="1895" spans="1:14" x14ac:dyDescent="0.2">
      <c r="A1895" s="410"/>
      <c r="B1895" s="413"/>
      <c r="C1895" s="440" t="s">
        <v>1100</v>
      </c>
      <c r="D1895" s="415"/>
      <c r="E1895" s="417"/>
      <c r="F1895" s="417"/>
      <c r="G1895" s="415"/>
      <c r="H1895" s="418"/>
      <c r="I1895" s="415"/>
      <c r="J1895" s="442"/>
      <c r="K1895" s="418"/>
      <c r="L1895" s="418"/>
      <c r="M1895" s="417"/>
      <c r="N1895" s="408"/>
    </row>
    <row r="1896" spans="1:14" x14ac:dyDescent="0.2">
      <c r="A1896" s="410"/>
      <c r="B1896" s="413"/>
      <c r="C1896" s="440" t="s">
        <v>1101</v>
      </c>
      <c r="D1896" s="415">
        <f t="shared" ref="D1896:D1901" si="586">G1790</f>
        <v>219871345.44</v>
      </c>
      <c r="E1896" s="417">
        <f>2416900+32320</f>
        <v>2449220</v>
      </c>
      <c r="F1896" s="417">
        <v>-293900</v>
      </c>
      <c r="G1896" s="415">
        <f t="shared" ref="G1896:G1901" si="587">SUM(D1896:F1896)</f>
        <v>222026665.44</v>
      </c>
      <c r="H1896" s="418"/>
      <c r="I1896" s="415">
        <f t="shared" ref="I1896:I1901" si="588">N1790</f>
        <v>59332492.609999999</v>
      </c>
      <c r="J1896" s="442">
        <f t="shared" ref="J1896:J1901" si="589">J1790</f>
        <v>2.3E-2</v>
      </c>
      <c r="K1896" s="418">
        <f t="shared" ref="K1896:K1901" si="590">ROUND((G1896+D1896)/2*J1896/12,0)</f>
        <v>423486</v>
      </c>
      <c r="L1896" s="418">
        <f t="shared" ref="L1896:L1901" si="591">-F1896</f>
        <v>293900</v>
      </c>
      <c r="M1896" s="417">
        <v>-44100</v>
      </c>
      <c r="N1896" s="408">
        <f t="shared" ref="N1896:N1901" si="592">I1896+K1896-L1896+M1896</f>
        <v>59417978.609999999</v>
      </c>
    </row>
    <row r="1897" spans="1:14" x14ac:dyDescent="0.2">
      <c r="A1897" s="410">
        <f>A1891+1</f>
        <v>25</v>
      </c>
      <c r="B1897" s="413">
        <v>378.1</v>
      </c>
      <c r="C1897" s="414" t="s">
        <v>1047</v>
      </c>
      <c r="D1897" s="415">
        <f t="shared" si="586"/>
        <v>518504.18</v>
      </c>
      <c r="E1897" s="417">
        <v>0</v>
      </c>
      <c r="F1897" s="417">
        <v>0</v>
      </c>
      <c r="G1897" s="415">
        <f t="shared" si="587"/>
        <v>518504.18</v>
      </c>
      <c r="H1897" s="418"/>
      <c r="I1897" s="415">
        <f t="shared" si="588"/>
        <v>373506.81</v>
      </c>
      <c r="J1897" s="442">
        <f t="shared" si="589"/>
        <v>3.32E-2</v>
      </c>
      <c r="K1897" s="418">
        <f t="shared" si="590"/>
        <v>1435</v>
      </c>
      <c r="L1897" s="418">
        <f t="shared" si="591"/>
        <v>0</v>
      </c>
      <c r="M1897" s="417">
        <v>0</v>
      </c>
      <c r="N1897" s="408">
        <f t="shared" si="592"/>
        <v>374941.81</v>
      </c>
    </row>
    <row r="1898" spans="1:14" x14ac:dyDescent="0.2">
      <c r="A1898" s="410">
        <f t="shared" si="582"/>
        <v>26</v>
      </c>
      <c r="B1898" s="413">
        <v>378.2</v>
      </c>
      <c r="C1898" s="414" t="s">
        <v>1048</v>
      </c>
      <c r="D1898" s="415">
        <f t="shared" si="586"/>
        <v>9924824</v>
      </c>
      <c r="E1898" s="417">
        <v>60400</v>
      </c>
      <c r="F1898" s="417">
        <v>-7200</v>
      </c>
      <c r="G1898" s="415">
        <f t="shared" si="587"/>
        <v>9978024</v>
      </c>
      <c r="H1898" s="418"/>
      <c r="I1898" s="415">
        <f t="shared" si="588"/>
        <v>3538799.91</v>
      </c>
      <c r="J1898" s="442">
        <f t="shared" si="589"/>
        <v>3.32E-2</v>
      </c>
      <c r="K1898" s="418">
        <f t="shared" si="590"/>
        <v>27532</v>
      </c>
      <c r="L1898" s="418">
        <f t="shared" si="591"/>
        <v>7200</v>
      </c>
      <c r="M1898" s="417">
        <v>-400</v>
      </c>
      <c r="N1898" s="408">
        <f t="shared" si="592"/>
        <v>3558731.91</v>
      </c>
    </row>
    <row r="1899" spans="1:14" x14ac:dyDescent="0.2">
      <c r="A1899" s="410">
        <f t="shared" si="582"/>
        <v>27</v>
      </c>
      <c r="B1899" s="413">
        <v>378.3</v>
      </c>
      <c r="C1899" s="414" t="s">
        <v>1049</v>
      </c>
      <c r="D1899" s="415">
        <f t="shared" si="586"/>
        <v>45443.08</v>
      </c>
      <c r="E1899" s="417">
        <v>0</v>
      </c>
      <c r="F1899" s="417">
        <v>0</v>
      </c>
      <c r="G1899" s="415">
        <f t="shared" si="587"/>
        <v>45443.08</v>
      </c>
      <c r="H1899" s="418"/>
      <c r="I1899" s="415">
        <f t="shared" si="588"/>
        <v>36760.04</v>
      </c>
      <c r="J1899" s="442">
        <f t="shared" si="589"/>
        <v>3.32E-2</v>
      </c>
      <c r="K1899" s="418">
        <f t="shared" si="590"/>
        <v>126</v>
      </c>
      <c r="L1899" s="418">
        <f t="shared" si="591"/>
        <v>0</v>
      </c>
      <c r="M1899" s="417">
        <v>0</v>
      </c>
      <c r="N1899" s="408">
        <f t="shared" si="592"/>
        <v>36886.04</v>
      </c>
    </row>
    <row r="1900" spans="1:14" x14ac:dyDescent="0.2">
      <c r="A1900" s="410">
        <f t="shared" si="582"/>
        <v>28</v>
      </c>
      <c r="B1900" s="413">
        <v>379.1</v>
      </c>
      <c r="C1900" s="414" t="s">
        <v>1050</v>
      </c>
      <c r="D1900" s="415">
        <f t="shared" si="586"/>
        <v>254900.59</v>
      </c>
      <c r="E1900" s="417">
        <v>0</v>
      </c>
      <c r="F1900" s="417">
        <v>0</v>
      </c>
      <c r="G1900" s="415">
        <f t="shared" si="587"/>
        <v>254900.59</v>
      </c>
      <c r="H1900" s="418"/>
      <c r="I1900" s="415">
        <f t="shared" si="588"/>
        <v>267730.57</v>
      </c>
      <c r="J1900" s="442">
        <f t="shared" si="589"/>
        <v>6.0000000000000001E-3</v>
      </c>
      <c r="K1900" s="417">
        <v>0</v>
      </c>
      <c r="L1900" s="418">
        <f t="shared" si="591"/>
        <v>0</v>
      </c>
      <c r="M1900" s="417">
        <v>0</v>
      </c>
      <c r="N1900" s="408">
        <f t="shared" si="592"/>
        <v>267730.57</v>
      </c>
    </row>
    <row r="1901" spans="1:14" x14ac:dyDescent="0.2">
      <c r="A1901" s="410">
        <f t="shared" si="582"/>
        <v>29</v>
      </c>
      <c r="B1901" s="413">
        <v>380</v>
      </c>
      <c r="C1901" s="414" t="s">
        <v>1051</v>
      </c>
      <c r="D1901" s="415">
        <f t="shared" si="586"/>
        <v>126902854.77</v>
      </c>
      <c r="E1901" s="417">
        <f>1439300+21546</f>
        <v>1460846</v>
      </c>
      <c r="F1901" s="417">
        <v>-175300</v>
      </c>
      <c r="G1901" s="415">
        <f t="shared" si="587"/>
        <v>128188400.77</v>
      </c>
      <c r="H1901" s="418"/>
      <c r="I1901" s="415">
        <f t="shared" si="588"/>
        <v>61709894.520000003</v>
      </c>
      <c r="J1901" s="442">
        <f t="shared" si="589"/>
        <v>5.0999999999999997E-2</v>
      </c>
      <c r="K1901" s="418">
        <f t="shared" si="590"/>
        <v>542069</v>
      </c>
      <c r="L1901" s="418">
        <f t="shared" si="591"/>
        <v>175300</v>
      </c>
      <c r="M1901" s="417">
        <v>-87700</v>
      </c>
      <c r="N1901" s="408">
        <f t="shared" si="592"/>
        <v>61988963.520000003</v>
      </c>
    </row>
    <row r="1902" spans="1:14" x14ac:dyDescent="0.2">
      <c r="A1902" s="410"/>
      <c r="B1902" s="444"/>
      <c r="C1902" s="414"/>
      <c r="D1902" s="439"/>
      <c r="E1902" s="418"/>
      <c r="F1902" s="418"/>
      <c r="G1902" s="439"/>
      <c r="H1902" s="418"/>
      <c r="I1902" s="418"/>
      <c r="J1902" s="418"/>
      <c r="K1902" s="418"/>
      <c r="L1902" s="418"/>
    </row>
    <row r="1903" spans="1:14" x14ac:dyDescent="0.2">
      <c r="A1903" s="2073" t="str">
        <f>co</f>
        <v>COLUMBIA GAS OF KENTUCKY, INC.</v>
      </c>
      <c r="B1903" s="2073"/>
      <c r="C1903" s="2073"/>
      <c r="D1903" s="2073"/>
      <c r="E1903" s="2073"/>
      <c r="F1903" s="2073"/>
      <c r="G1903" s="2073"/>
      <c r="H1903" s="2073"/>
      <c r="I1903" s="2073"/>
      <c r="J1903" s="2073"/>
      <c r="K1903" s="2073"/>
      <c r="L1903" s="2073"/>
      <c r="M1903" s="2073"/>
      <c r="N1903" s="2073"/>
    </row>
    <row r="1904" spans="1:14" x14ac:dyDescent="0.2">
      <c r="A1904" s="2073" t="str">
        <f>case</f>
        <v>CASE NO. 2016 - 00162</v>
      </c>
      <c r="B1904" s="2073"/>
      <c r="C1904" s="2073"/>
      <c r="D1904" s="2073"/>
      <c r="E1904" s="2073"/>
      <c r="F1904" s="2073"/>
      <c r="G1904" s="2073"/>
      <c r="H1904" s="2073"/>
      <c r="I1904" s="2073"/>
      <c r="J1904" s="2073"/>
      <c r="K1904" s="2073"/>
      <c r="L1904" s="2073"/>
      <c r="M1904" s="2073"/>
      <c r="N1904" s="2073"/>
    </row>
    <row r="1905" spans="1:14" x14ac:dyDescent="0.2">
      <c r="A1905" s="2074" t="s">
        <v>1106</v>
      </c>
      <c r="B1905" s="2073"/>
      <c r="C1905" s="2073"/>
      <c r="D1905" s="2073"/>
      <c r="E1905" s="2073"/>
      <c r="F1905" s="2073"/>
      <c r="G1905" s="2073"/>
      <c r="H1905" s="2073"/>
      <c r="I1905" s="2073"/>
      <c r="J1905" s="2073"/>
      <c r="K1905" s="2073"/>
      <c r="L1905" s="2073"/>
      <c r="M1905" s="2073"/>
      <c r="N1905" s="2073"/>
    </row>
    <row r="1906" spans="1:14" x14ac:dyDescent="0.2">
      <c r="A1906" s="2078" t="s">
        <v>2142</v>
      </c>
      <c r="B1906" s="2078"/>
      <c r="C1906" s="2078"/>
      <c r="D1906" s="2078"/>
      <c r="E1906" s="2078"/>
      <c r="F1906" s="2078"/>
      <c r="G1906" s="2078"/>
      <c r="H1906" s="2078"/>
      <c r="I1906" s="2078"/>
      <c r="J1906" s="2078"/>
      <c r="K1906" s="2078"/>
      <c r="L1906" s="2078"/>
      <c r="M1906" s="2078"/>
      <c r="N1906" s="2078"/>
    </row>
    <row r="1908" spans="1:14" x14ac:dyDescent="0.2">
      <c r="A1908" s="388" t="s">
        <v>976</v>
      </c>
      <c r="M1908" s="386"/>
      <c r="N1908" s="387" t="s">
        <v>763</v>
      </c>
    </row>
    <row r="1909" spans="1:14" x14ac:dyDescent="0.2">
      <c r="A1909" s="388" t="s">
        <v>977</v>
      </c>
      <c r="M1909" s="386"/>
      <c r="N1909" s="387" t="s">
        <v>999</v>
      </c>
    </row>
    <row r="1910" spans="1:14" x14ac:dyDescent="0.2">
      <c r="A1910" s="445" t="str">
        <f>A1857</f>
        <v>WORKPAPER REFERENCE NO(S).: WPB-2.3</v>
      </c>
      <c r="B1910" s="391"/>
      <c r="C1910" s="391"/>
      <c r="D1910" s="391"/>
      <c r="E1910" s="391"/>
      <c r="F1910" s="391"/>
      <c r="G1910" s="391"/>
      <c r="H1910" s="391"/>
      <c r="M1910" s="392"/>
      <c r="N1910" s="393" t="str">
        <f>SMK</f>
        <v>WITNESS:  S. M. KATKO</v>
      </c>
    </row>
    <row r="1911" spans="1:14" x14ac:dyDescent="0.2">
      <c r="A1911" s="390"/>
      <c r="B1911" s="391"/>
      <c r="C1911" s="391"/>
      <c r="D1911" s="391"/>
      <c r="E1911" s="391"/>
      <c r="F1911" s="391"/>
      <c r="G1911" s="391"/>
      <c r="H1911" s="391"/>
      <c r="I1911" s="392"/>
      <c r="J1911" s="393"/>
      <c r="L1911" s="386"/>
      <c r="M1911" s="386"/>
    </row>
    <row r="1912" spans="1:14" x14ac:dyDescent="0.2">
      <c r="A1912" s="390"/>
      <c r="B1912" s="391"/>
      <c r="C1912" s="391"/>
      <c r="D1912" s="2075" t="s">
        <v>1088</v>
      </c>
      <c r="E1912" s="2075"/>
      <c r="F1912" s="2075"/>
      <c r="G1912" s="2075"/>
      <c r="H1912" s="391"/>
      <c r="I1912" s="2076" t="s">
        <v>1093</v>
      </c>
      <c r="J1912" s="2077"/>
      <c r="K1912" s="2077"/>
      <c r="L1912" s="2077"/>
      <c r="M1912" s="2077"/>
      <c r="N1912" s="2077"/>
    </row>
    <row r="1913" spans="1:14" x14ac:dyDescent="0.2">
      <c r="A1913" s="394"/>
      <c r="B1913" s="391"/>
      <c r="C1913" s="391"/>
      <c r="D1913" s="396" t="s">
        <v>1084</v>
      </c>
      <c r="E1913" s="391"/>
      <c r="F1913" s="391"/>
      <c r="G1913" s="395"/>
      <c r="H1913" s="395"/>
      <c r="I1913" s="397" t="s">
        <v>1089</v>
      </c>
      <c r="J1913" s="396"/>
      <c r="M1913" s="386"/>
    </row>
    <row r="1914" spans="1:14" x14ac:dyDescent="0.2">
      <c r="A1914" s="383"/>
      <c r="D1914" s="397" t="s">
        <v>865</v>
      </c>
      <c r="G1914" s="397" t="s">
        <v>867</v>
      </c>
      <c r="H1914" s="398"/>
      <c r="I1914" s="397" t="s">
        <v>865</v>
      </c>
      <c r="J1914" s="397" t="s">
        <v>956</v>
      </c>
      <c r="M1914" s="386"/>
      <c r="N1914" s="397" t="s">
        <v>867</v>
      </c>
    </row>
    <row r="1915" spans="1:14" x14ac:dyDescent="0.2">
      <c r="A1915" s="397" t="s">
        <v>1080</v>
      </c>
      <c r="B1915" s="397" t="s">
        <v>1082</v>
      </c>
      <c r="D1915" s="397" t="s">
        <v>867</v>
      </c>
      <c r="G1915" s="399" t="s">
        <v>1087</v>
      </c>
      <c r="H1915" s="398"/>
      <c r="I1915" s="399" t="s">
        <v>867</v>
      </c>
      <c r="J1915" s="397" t="s">
        <v>1090</v>
      </c>
      <c r="K1915" s="397" t="s">
        <v>956</v>
      </c>
      <c r="M1915" s="399" t="s">
        <v>1092</v>
      </c>
      <c r="N1915" s="399" t="s">
        <v>1087</v>
      </c>
    </row>
    <row r="1916" spans="1:14" x14ac:dyDescent="0.2">
      <c r="A1916" s="400" t="s">
        <v>1081</v>
      </c>
      <c r="B1916" s="400" t="s">
        <v>1081</v>
      </c>
      <c r="C1916" s="401" t="s">
        <v>1083</v>
      </c>
      <c r="D1916" s="404" t="str">
        <f>D1863</f>
        <v>07/31/2017</v>
      </c>
      <c r="E1916" s="400" t="s">
        <v>1085</v>
      </c>
      <c r="F1916" s="400" t="s">
        <v>1086</v>
      </c>
      <c r="G1916" s="404" t="str">
        <f>G1863</f>
        <v>08/31/2017</v>
      </c>
      <c r="H1916" s="398"/>
      <c r="I1916" s="404" t="str">
        <f>D1916</f>
        <v>07/31/2017</v>
      </c>
      <c r="J1916" s="400" t="s">
        <v>1091</v>
      </c>
      <c r="K1916" s="402" t="s">
        <v>1090</v>
      </c>
      <c r="L1916" s="402" t="s">
        <v>1086</v>
      </c>
      <c r="M1916" s="402" t="s">
        <v>955</v>
      </c>
      <c r="N1916" s="404" t="str">
        <f>G1916</f>
        <v>08/31/2017</v>
      </c>
    </row>
    <row r="1917" spans="1:14" x14ac:dyDescent="0.2">
      <c r="A1917" s="406"/>
      <c r="B1917" s="406"/>
      <c r="C1917" s="406"/>
      <c r="D1917" s="406" t="str">
        <f>"(1)"</f>
        <v>(1)</v>
      </c>
      <c r="E1917" s="406" t="str">
        <f>"(2)"</f>
        <v>(2)</v>
      </c>
      <c r="F1917" s="406" t="str">
        <f>"(3)"</f>
        <v>(3)</v>
      </c>
      <c r="G1917" s="406" t="str">
        <f>"(4)=(1+2+3)"</f>
        <v>(4)=(1+2+3)</v>
      </c>
      <c r="H1917" s="406"/>
      <c r="I1917" s="406" t="str">
        <f>"(5)"</f>
        <v>(5)</v>
      </c>
      <c r="J1917" s="406" t="str">
        <f>"(6)"</f>
        <v>(6)</v>
      </c>
      <c r="K1917" s="406" t="str">
        <f>"(7)=((1+4)/2*6/12))"</f>
        <v>(7)=((1+4)/2*6/12))</v>
      </c>
      <c r="L1917" s="406" t="str">
        <f>"(8)"</f>
        <v>(8)</v>
      </c>
      <c r="M1917" s="406" t="str">
        <f>"(9)"</f>
        <v>(9)</v>
      </c>
      <c r="N1917" s="406" t="str">
        <f>"(10)=(5+7-8+9)"</f>
        <v>(10)=(5+7-8+9)</v>
      </c>
    </row>
    <row r="1918" spans="1:14" x14ac:dyDescent="0.2">
      <c r="D1918" s="410" t="s">
        <v>639</v>
      </c>
      <c r="E1918" s="410" t="s">
        <v>639</v>
      </c>
      <c r="F1918" s="410" t="s">
        <v>639</v>
      </c>
      <c r="G1918" s="410" t="s">
        <v>639</v>
      </c>
      <c r="H1918" s="410"/>
      <c r="I1918" s="410" t="s">
        <v>639</v>
      </c>
      <c r="J1918" s="410" t="s">
        <v>639</v>
      </c>
      <c r="K1918" s="410" t="s">
        <v>639</v>
      </c>
      <c r="L1918" s="410" t="s">
        <v>639</v>
      </c>
      <c r="M1918" s="410" t="s">
        <v>639</v>
      </c>
      <c r="N1918" s="410" t="s">
        <v>639</v>
      </c>
    </row>
    <row r="1919" spans="1:14" x14ac:dyDescent="0.2">
      <c r="C1919" s="411" t="s">
        <v>707</v>
      </c>
      <c r="D1919" s="410"/>
      <c r="E1919" s="410"/>
      <c r="F1919" s="410"/>
      <c r="G1919" s="410"/>
      <c r="J1919" s="410"/>
    </row>
    <row r="1920" spans="1:14" x14ac:dyDescent="0.2">
      <c r="A1920" s="405">
        <v>1</v>
      </c>
      <c r="B1920" s="446">
        <v>381</v>
      </c>
      <c r="C1920" s="414" t="s">
        <v>1052</v>
      </c>
      <c r="D1920" s="415">
        <f t="shared" ref="D1920:D1931" si="593">G1814</f>
        <v>13919708.550000001</v>
      </c>
      <c r="E1920" s="417">
        <v>88400</v>
      </c>
      <c r="F1920" s="417">
        <v>-10600</v>
      </c>
      <c r="G1920" s="415">
        <f>SUM(D1920:F1920)</f>
        <v>13997508.550000001</v>
      </c>
      <c r="H1920" s="418"/>
      <c r="I1920" s="415">
        <f t="shared" ref="I1920:I1931" si="594">N1814</f>
        <v>5168828.8899999997</v>
      </c>
      <c r="J1920" s="442">
        <f t="shared" ref="J1920:J1931" si="595">J1814</f>
        <v>3.3000000000000002E-2</v>
      </c>
      <c r="K1920" s="418">
        <f t="shared" ref="K1920:K1931" si="596">ROUND((G1920+D1920)/2*J1920/12,0)</f>
        <v>38386</v>
      </c>
      <c r="L1920" s="418">
        <f t="shared" ref="L1920:L1931" si="597">-F1920</f>
        <v>10600</v>
      </c>
      <c r="M1920" s="417">
        <v>0</v>
      </c>
      <c r="N1920" s="408">
        <f t="shared" ref="N1920:N1931" si="598">I1920+K1920-L1920+M1920</f>
        <v>5196614.8899999997</v>
      </c>
    </row>
    <row r="1921" spans="1:14" x14ac:dyDescent="0.2">
      <c r="A1921" s="405">
        <f>A1920+1</f>
        <v>2</v>
      </c>
      <c r="B1921" s="446">
        <v>381.1</v>
      </c>
      <c r="C1921" s="414" t="s">
        <v>1052</v>
      </c>
      <c r="D1921" s="415">
        <f t="shared" si="593"/>
        <v>8832112.0600000005</v>
      </c>
      <c r="E1921" s="417">
        <v>5300</v>
      </c>
      <c r="F1921" s="417">
        <v>-600</v>
      </c>
      <c r="G1921" s="415">
        <f>SUM(D1921:F1921)</f>
        <v>8836812.0600000005</v>
      </c>
      <c r="H1921" s="418"/>
      <c r="I1921" s="415">
        <f t="shared" si="594"/>
        <v>959459.5</v>
      </c>
      <c r="J1921" s="442">
        <f t="shared" si="595"/>
        <v>8.0600000000000005E-2</v>
      </c>
      <c r="K1921" s="418">
        <f t="shared" si="596"/>
        <v>59338</v>
      </c>
      <c r="L1921" s="418">
        <f t="shared" si="597"/>
        <v>600</v>
      </c>
      <c r="M1921" s="417">
        <v>0</v>
      </c>
      <c r="N1921" s="408">
        <f t="shared" si="598"/>
        <v>1018197.5</v>
      </c>
    </row>
    <row r="1922" spans="1:14" x14ac:dyDescent="0.2">
      <c r="A1922" s="405">
        <f t="shared" ref="A1922:A1932" si="599">A1921+1</f>
        <v>3</v>
      </c>
      <c r="B1922" s="446">
        <v>382</v>
      </c>
      <c r="C1922" s="414" t="s">
        <v>1053</v>
      </c>
      <c r="D1922" s="415">
        <f t="shared" si="593"/>
        <v>9452392.6500000004</v>
      </c>
      <c r="E1922" s="417">
        <v>44800</v>
      </c>
      <c r="F1922" s="417">
        <v>-5400</v>
      </c>
      <c r="G1922" s="415">
        <f t="shared" ref="G1922:G1927" si="600">SUM(D1922:F1922)</f>
        <v>9491792.6500000004</v>
      </c>
      <c r="H1922" s="418"/>
      <c r="I1922" s="415">
        <f t="shared" si="594"/>
        <v>4733762.3</v>
      </c>
      <c r="J1922" s="442">
        <f t="shared" si="595"/>
        <v>2.4400000000000002E-2</v>
      </c>
      <c r="K1922" s="418">
        <f t="shared" si="596"/>
        <v>19260</v>
      </c>
      <c r="L1922" s="418">
        <f t="shared" si="597"/>
        <v>5400</v>
      </c>
      <c r="M1922" s="417">
        <v>-300</v>
      </c>
      <c r="N1922" s="408">
        <f t="shared" si="598"/>
        <v>4747322.3</v>
      </c>
    </row>
    <row r="1923" spans="1:14" x14ac:dyDescent="0.2">
      <c r="A1923" s="405">
        <f t="shared" si="599"/>
        <v>4</v>
      </c>
      <c r="B1923" s="446">
        <v>383</v>
      </c>
      <c r="C1923" s="414" t="s">
        <v>1054</v>
      </c>
      <c r="D1923" s="415">
        <f t="shared" si="593"/>
        <v>5775320.7599999998</v>
      </c>
      <c r="E1923" s="417">
        <v>17300</v>
      </c>
      <c r="F1923" s="417">
        <v>-2100</v>
      </c>
      <c r="G1923" s="415">
        <f t="shared" si="600"/>
        <v>5790520.7599999998</v>
      </c>
      <c r="H1923" s="418"/>
      <c r="I1923" s="415">
        <f t="shared" si="594"/>
        <v>1580531.41</v>
      </c>
      <c r="J1923" s="442">
        <f t="shared" si="595"/>
        <v>2.7300000000000001E-2</v>
      </c>
      <c r="K1923" s="418">
        <f t="shared" si="596"/>
        <v>13156</v>
      </c>
      <c r="L1923" s="418">
        <f t="shared" si="597"/>
        <v>2100</v>
      </c>
      <c r="M1923" s="417">
        <v>-100</v>
      </c>
      <c r="N1923" s="408">
        <f t="shared" si="598"/>
        <v>1591487.41</v>
      </c>
    </row>
    <row r="1924" spans="1:14" x14ac:dyDescent="0.2">
      <c r="A1924" s="405">
        <f t="shared" si="599"/>
        <v>5</v>
      </c>
      <c r="B1924" s="446">
        <v>384</v>
      </c>
      <c r="C1924" s="414" t="s">
        <v>1055</v>
      </c>
      <c r="D1924" s="415">
        <f t="shared" si="593"/>
        <v>2257522</v>
      </c>
      <c r="E1924" s="417">
        <v>0</v>
      </c>
      <c r="F1924" s="417">
        <v>0</v>
      </c>
      <c r="G1924" s="415">
        <f t="shared" si="600"/>
        <v>2257522</v>
      </c>
      <c r="H1924" s="418"/>
      <c r="I1924" s="415">
        <f t="shared" si="594"/>
        <v>1782628.73</v>
      </c>
      <c r="J1924" s="442">
        <f t="shared" si="595"/>
        <v>1.01E-2</v>
      </c>
      <c r="K1924" s="418">
        <f t="shared" si="596"/>
        <v>1900</v>
      </c>
      <c r="L1924" s="418">
        <f t="shared" si="597"/>
        <v>0</v>
      </c>
      <c r="M1924" s="417">
        <v>0</v>
      </c>
      <c r="N1924" s="408">
        <f t="shared" si="598"/>
        <v>1784528.73</v>
      </c>
    </row>
    <row r="1925" spans="1:14" x14ac:dyDescent="0.2">
      <c r="A1925" s="405">
        <f t="shared" si="599"/>
        <v>6</v>
      </c>
      <c r="B1925" s="446">
        <v>385</v>
      </c>
      <c r="C1925" s="414" t="s">
        <v>1056</v>
      </c>
      <c r="D1925" s="415">
        <f t="shared" si="593"/>
        <v>3362883.36</v>
      </c>
      <c r="E1925" s="417">
        <v>36500</v>
      </c>
      <c r="F1925" s="417">
        <v>-4400</v>
      </c>
      <c r="G1925" s="415">
        <f t="shared" si="600"/>
        <v>3394983.36</v>
      </c>
      <c r="H1925" s="418"/>
      <c r="I1925" s="415">
        <f t="shared" si="594"/>
        <v>971918.55</v>
      </c>
      <c r="J1925" s="442">
        <f t="shared" si="595"/>
        <v>5.0799999999999998E-2</v>
      </c>
      <c r="K1925" s="418">
        <f t="shared" si="596"/>
        <v>14304</v>
      </c>
      <c r="L1925" s="418">
        <f t="shared" si="597"/>
        <v>4400</v>
      </c>
      <c r="M1925" s="417">
        <v>-200</v>
      </c>
      <c r="N1925" s="408">
        <f t="shared" si="598"/>
        <v>981622.55</v>
      </c>
    </row>
    <row r="1926" spans="1:14" x14ac:dyDescent="0.2">
      <c r="A1926" s="405">
        <f t="shared" si="599"/>
        <v>7</v>
      </c>
      <c r="B1926" s="446">
        <v>387.2</v>
      </c>
      <c r="C1926" s="414" t="s">
        <v>1057</v>
      </c>
      <c r="D1926" s="415">
        <f t="shared" si="593"/>
        <v>0</v>
      </c>
      <c r="E1926" s="417">
        <v>0</v>
      </c>
      <c r="F1926" s="417">
        <v>0</v>
      </c>
      <c r="G1926" s="415">
        <f t="shared" si="600"/>
        <v>0</v>
      </c>
      <c r="H1926" s="418"/>
      <c r="I1926" s="415">
        <f t="shared" si="594"/>
        <v>-59912.03</v>
      </c>
      <c r="J1926" s="442">
        <f t="shared" si="595"/>
        <v>0</v>
      </c>
      <c r="K1926" s="418">
        <f t="shared" si="596"/>
        <v>0</v>
      </c>
      <c r="L1926" s="418">
        <f t="shared" si="597"/>
        <v>0</v>
      </c>
      <c r="M1926" s="417">
        <v>0</v>
      </c>
      <c r="N1926" s="408">
        <f t="shared" si="598"/>
        <v>-59912.03</v>
      </c>
    </row>
    <row r="1927" spans="1:14" x14ac:dyDescent="0.2">
      <c r="A1927" s="405">
        <f t="shared" si="599"/>
        <v>8</v>
      </c>
      <c r="B1927" s="446">
        <v>387.41</v>
      </c>
      <c r="C1927" s="414" t="s">
        <v>1058</v>
      </c>
      <c r="D1927" s="415">
        <f t="shared" si="593"/>
        <v>735770.76</v>
      </c>
      <c r="E1927" s="417">
        <v>0</v>
      </c>
      <c r="F1927" s="417">
        <v>0</v>
      </c>
      <c r="G1927" s="415">
        <f t="shared" si="600"/>
        <v>735770.76</v>
      </c>
      <c r="H1927" s="418"/>
      <c r="I1927" s="415">
        <f t="shared" si="594"/>
        <v>402108.95</v>
      </c>
      <c r="J1927" s="442">
        <f t="shared" si="595"/>
        <v>3.7400000000000003E-2</v>
      </c>
      <c r="K1927" s="418">
        <f t="shared" si="596"/>
        <v>2293</v>
      </c>
      <c r="L1927" s="418">
        <f t="shared" si="597"/>
        <v>0</v>
      </c>
      <c r="M1927" s="417">
        <v>0</v>
      </c>
      <c r="N1927" s="408">
        <f t="shared" si="598"/>
        <v>404401.95</v>
      </c>
    </row>
    <row r="1928" spans="1:14" x14ac:dyDescent="0.2">
      <c r="A1928" s="405">
        <f t="shared" si="599"/>
        <v>9</v>
      </c>
      <c r="B1928" s="446">
        <v>387.42</v>
      </c>
      <c r="C1928" s="414" t="s">
        <v>1059</v>
      </c>
      <c r="D1928" s="415">
        <f t="shared" si="593"/>
        <v>795186.58</v>
      </c>
      <c r="E1928" s="417">
        <v>0</v>
      </c>
      <c r="F1928" s="417">
        <v>0</v>
      </c>
      <c r="G1928" s="415">
        <f>SUM(D1928:F1928)</f>
        <v>795186.58</v>
      </c>
      <c r="H1928" s="418"/>
      <c r="I1928" s="415">
        <f t="shared" si="594"/>
        <v>569891.94999999995</v>
      </c>
      <c r="J1928" s="442">
        <f t="shared" si="595"/>
        <v>3.7400000000000003E-2</v>
      </c>
      <c r="K1928" s="418">
        <f t="shared" si="596"/>
        <v>2478</v>
      </c>
      <c r="L1928" s="418">
        <f t="shared" si="597"/>
        <v>0</v>
      </c>
      <c r="M1928" s="417">
        <v>0</v>
      </c>
      <c r="N1928" s="408">
        <f t="shared" si="598"/>
        <v>572369.94999999995</v>
      </c>
    </row>
    <row r="1929" spans="1:14" x14ac:dyDescent="0.2">
      <c r="A1929" s="405">
        <f t="shared" si="599"/>
        <v>10</v>
      </c>
      <c r="B1929" s="446">
        <v>387.44</v>
      </c>
      <c r="C1929" s="414" t="s">
        <v>1060</v>
      </c>
      <c r="D1929" s="415">
        <f t="shared" si="593"/>
        <v>143283.93</v>
      </c>
      <c r="E1929" s="417">
        <v>0</v>
      </c>
      <c r="F1929" s="417">
        <v>0</v>
      </c>
      <c r="G1929" s="415">
        <f>SUM(D1929:F1929)</f>
        <v>143283.93</v>
      </c>
      <c r="H1929" s="418"/>
      <c r="I1929" s="415">
        <f t="shared" si="594"/>
        <v>50077.55</v>
      </c>
      <c r="J1929" s="442">
        <f t="shared" si="595"/>
        <v>3.7400000000000003E-2</v>
      </c>
      <c r="K1929" s="418">
        <f t="shared" si="596"/>
        <v>447</v>
      </c>
      <c r="L1929" s="418">
        <f t="shared" si="597"/>
        <v>0</v>
      </c>
      <c r="M1929" s="417">
        <v>0</v>
      </c>
      <c r="N1929" s="408">
        <f t="shared" si="598"/>
        <v>50524.55</v>
      </c>
    </row>
    <row r="1930" spans="1:14" x14ac:dyDescent="0.2">
      <c r="A1930" s="405">
        <f t="shared" si="599"/>
        <v>11</v>
      </c>
      <c r="B1930" s="446">
        <v>387.45</v>
      </c>
      <c r="C1930" s="414" t="s">
        <v>1061</v>
      </c>
      <c r="D1930" s="415">
        <f t="shared" si="593"/>
        <v>3747004.66</v>
      </c>
      <c r="E1930" s="417">
        <f>80800+80000</f>
        <v>160800</v>
      </c>
      <c r="F1930" s="417">
        <v>-19300</v>
      </c>
      <c r="G1930" s="415">
        <f>SUM(D1930:F1930)</f>
        <v>3888504.66</v>
      </c>
      <c r="H1930" s="418"/>
      <c r="I1930" s="415">
        <f t="shared" si="594"/>
        <v>541607.06000000006</v>
      </c>
      <c r="J1930" s="442">
        <f t="shared" si="595"/>
        <v>3.7400000000000003E-2</v>
      </c>
      <c r="K1930" s="418">
        <f t="shared" si="596"/>
        <v>11899</v>
      </c>
      <c r="L1930" s="418">
        <f t="shared" si="597"/>
        <v>19300</v>
      </c>
      <c r="M1930" s="417">
        <v>0</v>
      </c>
      <c r="N1930" s="408">
        <f t="shared" si="598"/>
        <v>534206.06000000006</v>
      </c>
    </row>
    <row r="1931" spans="1:14" x14ac:dyDescent="0.2">
      <c r="A1931" s="405">
        <f t="shared" si="599"/>
        <v>12</v>
      </c>
      <c r="B1931" s="446">
        <v>387.46</v>
      </c>
      <c r="C1931" s="414" t="s">
        <v>1062</v>
      </c>
      <c r="D1931" s="421">
        <f t="shared" si="593"/>
        <v>113644.47</v>
      </c>
      <c r="E1931" s="1662">
        <v>0</v>
      </c>
      <c r="F1931" s="1662">
        <v>0</v>
      </c>
      <c r="G1931" s="428">
        <f>SUM(D1931:F1931)</f>
        <v>113644.47</v>
      </c>
      <c r="H1931" s="447"/>
      <c r="I1931" s="421">
        <f t="shared" si="594"/>
        <v>114710.83</v>
      </c>
      <c r="J1931" s="442">
        <f t="shared" si="595"/>
        <v>3.7400000000000003E-2</v>
      </c>
      <c r="K1931" s="421">
        <f t="shared" si="596"/>
        <v>354</v>
      </c>
      <c r="L1931" s="421">
        <f t="shared" si="597"/>
        <v>0</v>
      </c>
      <c r="M1931" s="422">
        <v>0</v>
      </c>
      <c r="N1931" s="423">
        <f t="shared" si="598"/>
        <v>115064.83</v>
      </c>
    </row>
    <row r="1932" spans="1:14" x14ac:dyDescent="0.2">
      <c r="A1932" s="405">
        <f t="shared" si="599"/>
        <v>13</v>
      </c>
      <c r="B1932" s="448"/>
      <c r="C1932" s="386" t="s">
        <v>1063</v>
      </c>
      <c r="D1932" s="418">
        <f>SUM(D1920:D1931,D1880:D1901)</f>
        <v>421947156.37999994</v>
      </c>
      <c r="E1932" s="418">
        <f>SUM(E1920:E1931,E1880:E1901)</f>
        <v>4412566</v>
      </c>
      <c r="F1932" s="418">
        <f>SUM(F1920:F1931,F1880:F1901)</f>
        <v>-529500</v>
      </c>
      <c r="G1932" s="418">
        <f>SUM(G1920:G1931,G1880:G1901)</f>
        <v>425830222.37999994</v>
      </c>
      <c r="H1932" s="418"/>
      <c r="I1932" s="418">
        <f>SUM(I1920:I1931,I1880:I1901)</f>
        <v>147296638.62105262</v>
      </c>
      <c r="J1932" s="418"/>
      <c r="K1932" s="418">
        <f>SUM(K1920:K1931,K1880:K1901)</f>
        <v>1186236.0494736843</v>
      </c>
      <c r="L1932" s="418">
        <f>SUM(L1920:L1931,L1880:L1901)</f>
        <v>529500</v>
      </c>
      <c r="M1932" s="418">
        <f>SUM(M1920:M1931,M1880:M1901)</f>
        <v>-133200</v>
      </c>
      <c r="N1932" s="418">
        <f>SUM(N1920:N1931,N1880:N1901)</f>
        <v>147820174.67052633</v>
      </c>
    </row>
    <row r="1933" spans="1:14" x14ac:dyDescent="0.2">
      <c r="B1933" s="448"/>
      <c r="D1933" s="418"/>
      <c r="E1933" s="418"/>
      <c r="F1933" s="418"/>
      <c r="G1933" s="418"/>
      <c r="H1933" s="418"/>
      <c r="I1933" s="439"/>
      <c r="J1933" s="418"/>
      <c r="K1933" s="418"/>
      <c r="L1933" s="418"/>
      <c r="M1933" s="418"/>
    </row>
    <row r="1934" spans="1:14" x14ac:dyDescent="0.2">
      <c r="A1934" s="405">
        <f>A1932+1</f>
        <v>14</v>
      </c>
      <c r="B1934" s="448"/>
      <c r="C1934" s="411" t="s">
        <v>737</v>
      </c>
      <c r="D1934" s="418"/>
      <c r="E1934" s="418"/>
      <c r="F1934" s="418"/>
      <c r="G1934" s="418"/>
      <c r="H1934" s="418"/>
      <c r="I1934" s="439"/>
      <c r="J1934" s="418"/>
      <c r="K1934" s="418"/>
      <c r="L1934" s="418"/>
      <c r="M1934" s="418"/>
    </row>
    <row r="1935" spans="1:14" x14ac:dyDescent="0.2">
      <c r="A1935" s="410">
        <f>A1934+1</f>
        <v>15</v>
      </c>
      <c r="B1935" s="446">
        <v>391.1</v>
      </c>
      <c r="C1935" s="414" t="s">
        <v>1064</v>
      </c>
      <c r="D1935" s="415">
        <f t="shared" ref="D1935:D1948" si="601">G1829</f>
        <v>713480.71</v>
      </c>
      <c r="E1935" s="417">
        <v>0</v>
      </c>
      <c r="F1935" s="417">
        <v>0</v>
      </c>
      <c r="G1935" s="415">
        <f t="shared" ref="G1935:G1948" si="602">SUM(D1935:F1935)</f>
        <v>713480.71</v>
      </c>
      <c r="H1935" s="418"/>
      <c r="I1935" s="415">
        <f t="shared" ref="I1935:I1948" si="603">N1829</f>
        <v>-29765.22</v>
      </c>
      <c r="J1935" s="442">
        <f t="shared" ref="J1935:J1948" si="604">J1829</f>
        <v>0.05</v>
      </c>
      <c r="K1935" s="418">
        <f>ROUND((G1935+D1935)/2*J1935/12,0)</f>
        <v>2973</v>
      </c>
      <c r="L1935" s="418">
        <f t="shared" ref="L1935:L1948" si="605">-F1935</f>
        <v>0</v>
      </c>
      <c r="M1935" s="417">
        <v>0</v>
      </c>
      <c r="N1935" s="408">
        <f t="shared" ref="N1935:N1948" si="606">I1935+K1935-L1935+M1935</f>
        <v>-26792.22</v>
      </c>
    </row>
    <row r="1936" spans="1:14" x14ac:dyDescent="0.2">
      <c r="A1936" s="410">
        <f t="shared" ref="A1936:A1949" si="607">A1935+1</f>
        <v>16</v>
      </c>
      <c r="B1936" s="446">
        <v>391.11</v>
      </c>
      <c r="C1936" s="414" t="s">
        <v>1065</v>
      </c>
      <c r="D1936" s="415">
        <f t="shared" si="601"/>
        <v>18815.57</v>
      </c>
      <c r="E1936" s="417">
        <v>0</v>
      </c>
      <c r="F1936" s="417">
        <v>0</v>
      </c>
      <c r="G1936" s="415">
        <f t="shared" si="602"/>
        <v>18815.57</v>
      </c>
      <c r="H1936" s="418"/>
      <c r="I1936" s="415">
        <f t="shared" si="603"/>
        <v>-11249.77</v>
      </c>
      <c r="J1936" s="442">
        <f t="shared" si="604"/>
        <v>6.6699999999999995E-2</v>
      </c>
      <c r="K1936" s="418">
        <f>ROUND((G1936+D1936)/2*J1936/12,0)</f>
        <v>105</v>
      </c>
      <c r="L1936" s="418">
        <f t="shared" si="605"/>
        <v>0</v>
      </c>
      <c r="M1936" s="417">
        <v>0</v>
      </c>
      <c r="N1936" s="408">
        <f t="shared" si="606"/>
        <v>-11144.77</v>
      </c>
    </row>
    <row r="1937" spans="1:15" x14ac:dyDescent="0.2">
      <c r="A1937" s="410">
        <f t="shared" si="607"/>
        <v>17</v>
      </c>
      <c r="B1937" s="446">
        <v>391.12</v>
      </c>
      <c r="C1937" s="414" t="s">
        <v>1066</v>
      </c>
      <c r="D1937" s="415">
        <f t="shared" si="601"/>
        <v>1407883.4100000001</v>
      </c>
      <c r="E1937" s="417">
        <v>0</v>
      </c>
      <c r="F1937" s="417">
        <v>0</v>
      </c>
      <c r="G1937" s="415">
        <f t="shared" si="602"/>
        <v>1407883.4100000001</v>
      </c>
      <c r="H1937" s="418"/>
      <c r="I1937" s="415">
        <f t="shared" si="603"/>
        <v>745900.37</v>
      </c>
      <c r="J1937" s="442">
        <f t="shared" si="604"/>
        <v>0.2</v>
      </c>
      <c r="K1937" s="418">
        <f>ROUND((G1937+D1937)/2*J1937/12,0)</f>
        <v>23465</v>
      </c>
      <c r="L1937" s="418">
        <f t="shared" si="605"/>
        <v>0</v>
      </c>
      <c r="M1937" s="417">
        <v>0</v>
      </c>
      <c r="N1937" s="408">
        <f t="shared" si="606"/>
        <v>769365.37</v>
      </c>
    </row>
    <row r="1938" spans="1:15" x14ac:dyDescent="0.2">
      <c r="A1938" s="410">
        <f t="shared" si="607"/>
        <v>18</v>
      </c>
      <c r="B1938" s="446">
        <v>392.2</v>
      </c>
      <c r="C1938" s="414" t="s">
        <v>1067</v>
      </c>
      <c r="D1938" s="415">
        <f t="shared" si="601"/>
        <v>95778</v>
      </c>
      <c r="E1938" s="417">
        <v>0</v>
      </c>
      <c r="F1938" s="417">
        <v>0</v>
      </c>
      <c r="G1938" s="415">
        <f t="shared" si="602"/>
        <v>95778</v>
      </c>
      <c r="H1938" s="418"/>
      <c r="I1938" s="415">
        <f t="shared" si="603"/>
        <v>27765.05</v>
      </c>
      <c r="J1938" s="442">
        <f t="shared" si="604"/>
        <v>9.1499999999999998E-2</v>
      </c>
      <c r="K1938" s="418">
        <f>ROUND((G1938+D1938)/2*J1938/12,0)</f>
        <v>730</v>
      </c>
      <c r="L1938" s="418">
        <f t="shared" si="605"/>
        <v>0</v>
      </c>
      <c r="M1938" s="417">
        <v>0</v>
      </c>
      <c r="N1938" s="408">
        <f t="shared" si="606"/>
        <v>28495.05</v>
      </c>
    </row>
    <row r="1939" spans="1:15" x14ac:dyDescent="0.2">
      <c r="A1939" s="410">
        <f t="shared" si="607"/>
        <v>19</v>
      </c>
      <c r="B1939" s="446">
        <v>392.21</v>
      </c>
      <c r="C1939" s="414" t="s">
        <v>1068</v>
      </c>
      <c r="D1939" s="415">
        <f t="shared" si="601"/>
        <v>24462.2</v>
      </c>
      <c r="E1939" s="417">
        <v>0</v>
      </c>
      <c r="F1939" s="417">
        <v>0</v>
      </c>
      <c r="G1939" s="415">
        <f t="shared" si="602"/>
        <v>24462.2</v>
      </c>
      <c r="H1939" s="418"/>
      <c r="I1939" s="415">
        <f t="shared" si="603"/>
        <v>6496.4</v>
      </c>
      <c r="J1939" s="442">
        <f t="shared" si="604"/>
        <v>9.1499999999999998E-2</v>
      </c>
      <c r="K1939" s="418">
        <f>ROUND((G1939+D1939)/2*J1939/12,0)</f>
        <v>187</v>
      </c>
      <c r="L1939" s="418">
        <f t="shared" si="605"/>
        <v>0</v>
      </c>
      <c r="M1939" s="417">
        <v>0</v>
      </c>
      <c r="N1939" s="408">
        <f t="shared" si="606"/>
        <v>6683.4</v>
      </c>
    </row>
    <row r="1940" spans="1:15" x14ac:dyDescent="0.2">
      <c r="A1940" s="410">
        <f t="shared" si="607"/>
        <v>20</v>
      </c>
      <c r="B1940" s="446">
        <v>393</v>
      </c>
      <c r="C1940" s="414" t="s">
        <v>1069</v>
      </c>
      <c r="D1940" s="415">
        <f t="shared" si="601"/>
        <v>0</v>
      </c>
      <c r="E1940" s="417">
        <v>0</v>
      </c>
      <c r="F1940" s="417">
        <v>0</v>
      </c>
      <c r="G1940" s="415">
        <f t="shared" si="602"/>
        <v>0</v>
      </c>
      <c r="H1940" s="418"/>
      <c r="I1940" s="415">
        <f t="shared" si="603"/>
        <v>0</v>
      </c>
      <c r="J1940" s="442" t="str">
        <f t="shared" si="604"/>
        <v>Amort.</v>
      </c>
      <c r="K1940" s="417">
        <v>0</v>
      </c>
      <c r="L1940" s="418">
        <f t="shared" si="605"/>
        <v>0</v>
      </c>
      <c r="M1940" s="417">
        <v>0</v>
      </c>
      <c r="N1940" s="408">
        <f t="shared" si="606"/>
        <v>0</v>
      </c>
    </row>
    <row r="1941" spans="1:15" x14ac:dyDescent="0.2">
      <c r="A1941" s="410">
        <f t="shared" si="607"/>
        <v>21</v>
      </c>
      <c r="B1941" s="446">
        <v>394.1</v>
      </c>
      <c r="C1941" s="414" t="s">
        <v>1070</v>
      </c>
      <c r="D1941" s="415">
        <f t="shared" si="601"/>
        <v>24240.799999999999</v>
      </c>
      <c r="E1941" s="417">
        <v>0</v>
      </c>
      <c r="F1941" s="417">
        <v>0</v>
      </c>
      <c r="G1941" s="415">
        <f t="shared" si="602"/>
        <v>24240.799999999999</v>
      </c>
      <c r="H1941" s="418"/>
      <c r="I1941" s="415">
        <f t="shared" si="603"/>
        <v>15175.82</v>
      </c>
      <c r="J1941" s="442">
        <f t="shared" si="604"/>
        <v>0.04</v>
      </c>
      <c r="K1941" s="418">
        <f t="shared" ref="K1941:K1948" si="608">ROUND((G1941+D1941)/2*J1941/12,0)</f>
        <v>81</v>
      </c>
      <c r="L1941" s="418">
        <f t="shared" si="605"/>
        <v>0</v>
      </c>
      <c r="M1941" s="417">
        <v>0</v>
      </c>
      <c r="N1941" s="408">
        <f t="shared" si="606"/>
        <v>15256.82</v>
      </c>
    </row>
    <row r="1942" spans="1:15" x14ac:dyDescent="0.2">
      <c r="A1942" s="410">
        <f t="shared" si="607"/>
        <v>22</v>
      </c>
      <c r="B1942" s="446">
        <v>394.11</v>
      </c>
      <c r="C1942" s="414" t="s">
        <v>1071</v>
      </c>
      <c r="D1942" s="415">
        <f t="shared" si="601"/>
        <v>0</v>
      </c>
      <c r="E1942" s="417">
        <v>0</v>
      </c>
      <c r="F1942" s="417">
        <v>0</v>
      </c>
      <c r="G1942" s="415">
        <f t="shared" si="602"/>
        <v>0</v>
      </c>
      <c r="H1942" s="418"/>
      <c r="I1942" s="415">
        <f t="shared" si="603"/>
        <v>0</v>
      </c>
      <c r="J1942" s="442">
        <f t="shared" si="604"/>
        <v>0</v>
      </c>
      <c r="K1942" s="417">
        <v>0</v>
      </c>
      <c r="L1942" s="418">
        <f t="shared" si="605"/>
        <v>0</v>
      </c>
      <c r="M1942" s="417">
        <v>0</v>
      </c>
      <c r="N1942" s="408">
        <f t="shared" si="606"/>
        <v>0</v>
      </c>
    </row>
    <row r="1943" spans="1:15" x14ac:dyDescent="0.2">
      <c r="A1943" s="410">
        <f t="shared" si="607"/>
        <v>23</v>
      </c>
      <c r="B1943" s="446">
        <v>394.13</v>
      </c>
      <c r="C1943" s="438" t="s">
        <v>1072</v>
      </c>
      <c r="D1943" s="415">
        <f t="shared" si="601"/>
        <v>0</v>
      </c>
      <c r="E1943" s="417">
        <v>0</v>
      </c>
      <c r="F1943" s="417">
        <v>0</v>
      </c>
      <c r="G1943" s="415">
        <f t="shared" si="602"/>
        <v>0</v>
      </c>
      <c r="H1943" s="418"/>
      <c r="I1943" s="415">
        <f t="shared" si="603"/>
        <v>37937.360000000001</v>
      </c>
      <c r="J1943" s="442" t="str">
        <f t="shared" si="604"/>
        <v>Amort.</v>
      </c>
      <c r="K1943" s="417">
        <v>0</v>
      </c>
      <c r="L1943" s="418">
        <f t="shared" si="605"/>
        <v>0</v>
      </c>
      <c r="M1943" s="417">
        <v>0</v>
      </c>
      <c r="N1943" s="408">
        <f t="shared" si="606"/>
        <v>37937.360000000001</v>
      </c>
    </row>
    <row r="1944" spans="1:15" x14ac:dyDescent="0.2">
      <c r="A1944" s="410">
        <f t="shared" si="607"/>
        <v>24</v>
      </c>
      <c r="B1944" s="446">
        <v>394.2</v>
      </c>
      <c r="C1944" s="414" t="s">
        <v>1073</v>
      </c>
      <c r="D1944" s="415">
        <f t="shared" si="601"/>
        <v>0</v>
      </c>
      <c r="E1944" s="417">
        <v>0</v>
      </c>
      <c r="F1944" s="417">
        <v>0</v>
      </c>
      <c r="G1944" s="415">
        <f t="shared" si="602"/>
        <v>0</v>
      </c>
      <c r="H1944" s="418"/>
      <c r="I1944" s="415">
        <f t="shared" si="603"/>
        <v>185.21</v>
      </c>
      <c r="J1944" s="442">
        <f t="shared" si="604"/>
        <v>0.04</v>
      </c>
      <c r="K1944" s="418">
        <f t="shared" si="608"/>
        <v>0</v>
      </c>
      <c r="L1944" s="418">
        <f t="shared" si="605"/>
        <v>0</v>
      </c>
      <c r="M1944" s="417">
        <v>0</v>
      </c>
      <c r="N1944" s="408">
        <f t="shared" si="606"/>
        <v>185.21</v>
      </c>
    </row>
    <row r="1945" spans="1:15" x14ac:dyDescent="0.2">
      <c r="A1945" s="410">
        <f t="shared" si="607"/>
        <v>25</v>
      </c>
      <c r="B1945" s="446">
        <v>394.3</v>
      </c>
      <c r="C1945" s="414" t="s">
        <v>1074</v>
      </c>
      <c r="D1945" s="415">
        <f t="shared" si="601"/>
        <v>3166921.16</v>
      </c>
      <c r="E1945" s="417">
        <v>39800</v>
      </c>
      <c r="F1945" s="417">
        <v>-4800</v>
      </c>
      <c r="G1945" s="415">
        <f t="shared" si="602"/>
        <v>3201921.16</v>
      </c>
      <c r="H1945" s="418"/>
      <c r="I1945" s="415">
        <f t="shared" si="603"/>
        <v>1350211.15</v>
      </c>
      <c r="J1945" s="442">
        <f t="shared" si="604"/>
        <v>0.04</v>
      </c>
      <c r="K1945" s="418">
        <f t="shared" si="608"/>
        <v>10615</v>
      </c>
      <c r="L1945" s="418">
        <f t="shared" si="605"/>
        <v>4800</v>
      </c>
      <c r="M1945" s="417">
        <v>0</v>
      </c>
      <c r="N1945" s="408">
        <f t="shared" si="606"/>
        <v>1356026.15</v>
      </c>
    </row>
    <row r="1946" spans="1:15" x14ac:dyDescent="0.2">
      <c r="A1946" s="410">
        <f t="shared" si="607"/>
        <v>26</v>
      </c>
      <c r="B1946" s="446">
        <v>395</v>
      </c>
      <c r="C1946" s="414" t="s">
        <v>1075</v>
      </c>
      <c r="D1946" s="415">
        <f t="shared" si="601"/>
        <v>9257.77</v>
      </c>
      <c r="E1946" s="417">
        <v>0</v>
      </c>
      <c r="F1946" s="417">
        <v>0</v>
      </c>
      <c r="G1946" s="415">
        <f t="shared" si="602"/>
        <v>9257.77</v>
      </c>
      <c r="H1946" s="418"/>
      <c r="I1946" s="415">
        <f t="shared" si="603"/>
        <v>7802.59</v>
      </c>
      <c r="J1946" s="442">
        <f t="shared" si="604"/>
        <v>0.05</v>
      </c>
      <c r="K1946" s="418">
        <f t="shared" si="608"/>
        <v>39</v>
      </c>
      <c r="L1946" s="418">
        <f t="shared" si="605"/>
        <v>0</v>
      </c>
      <c r="M1946" s="417">
        <v>0</v>
      </c>
      <c r="N1946" s="408">
        <f t="shared" si="606"/>
        <v>7841.59</v>
      </c>
    </row>
    <row r="1947" spans="1:15" x14ac:dyDescent="0.2">
      <c r="A1947" s="410">
        <f t="shared" si="607"/>
        <v>27</v>
      </c>
      <c r="B1947" s="446">
        <v>396</v>
      </c>
      <c r="C1947" s="414" t="s">
        <v>1076</v>
      </c>
      <c r="D1947" s="415">
        <f t="shared" si="601"/>
        <v>253134.72</v>
      </c>
      <c r="E1947" s="417">
        <v>0</v>
      </c>
      <c r="F1947" s="417">
        <v>0</v>
      </c>
      <c r="G1947" s="415">
        <f t="shared" si="602"/>
        <v>253134.72</v>
      </c>
      <c r="H1947" s="418"/>
      <c r="I1947" s="415">
        <f t="shared" si="603"/>
        <v>203143.72</v>
      </c>
      <c r="J1947" s="442">
        <f t="shared" si="604"/>
        <v>2.5899999999999999E-2</v>
      </c>
      <c r="K1947" s="418">
        <f t="shared" si="608"/>
        <v>546</v>
      </c>
      <c r="L1947" s="418">
        <f t="shared" si="605"/>
        <v>0</v>
      </c>
      <c r="M1947" s="417">
        <v>0</v>
      </c>
      <c r="N1947" s="408">
        <f t="shared" si="606"/>
        <v>203689.72</v>
      </c>
    </row>
    <row r="1948" spans="1:15" x14ac:dyDescent="0.2">
      <c r="A1948" s="410">
        <f t="shared" si="607"/>
        <v>28</v>
      </c>
      <c r="B1948" s="446">
        <v>398</v>
      </c>
      <c r="C1948" s="414" t="s">
        <v>1077</v>
      </c>
      <c r="D1948" s="421">
        <f t="shared" si="601"/>
        <v>287161.94</v>
      </c>
      <c r="E1948" s="1662">
        <v>4600</v>
      </c>
      <c r="F1948" s="1662">
        <v>-600</v>
      </c>
      <c r="G1948" s="421">
        <f t="shared" si="602"/>
        <v>291161.94</v>
      </c>
      <c r="H1948" s="447"/>
      <c r="I1948" s="421">
        <f t="shared" si="603"/>
        <v>11117.59</v>
      </c>
      <c r="J1948" s="442">
        <f t="shared" si="604"/>
        <v>6.6699999999999995E-2</v>
      </c>
      <c r="K1948" s="421">
        <f t="shared" si="608"/>
        <v>1607</v>
      </c>
      <c r="L1948" s="421">
        <f t="shared" si="605"/>
        <v>600</v>
      </c>
      <c r="M1948" s="430">
        <v>0</v>
      </c>
      <c r="N1948" s="423">
        <f t="shared" si="606"/>
        <v>12124.59</v>
      </c>
    </row>
    <row r="1949" spans="1:15" x14ac:dyDescent="0.2">
      <c r="A1949" s="410">
        <f t="shared" si="607"/>
        <v>29</v>
      </c>
      <c r="C1949" s="386" t="s">
        <v>1078</v>
      </c>
      <c r="D1949" s="447">
        <f>SUM(D1935:D1948)</f>
        <v>6001136.2799999993</v>
      </c>
      <c r="E1949" s="447">
        <f>SUM(E1935:E1948)</f>
        <v>44400</v>
      </c>
      <c r="F1949" s="447">
        <f>SUM(F1935:F1948)</f>
        <v>-5400</v>
      </c>
      <c r="G1949" s="447">
        <f>SUM(G1935:G1948)</f>
        <v>6040136.2799999993</v>
      </c>
      <c r="H1949" s="447"/>
      <c r="I1949" s="447">
        <f>SUM(I1935:I1948)</f>
        <v>2364720.27</v>
      </c>
      <c r="J1949" s="424"/>
      <c r="K1949" s="447">
        <f>SUM(K1935:K1948)</f>
        <v>40348</v>
      </c>
      <c r="L1949" s="447">
        <f>SUM(L1935:L1948)</f>
        <v>5400</v>
      </c>
      <c r="M1949" s="447">
        <f>SUM(M1935:M1948)</f>
        <v>0</v>
      </c>
      <c r="N1949" s="447">
        <f>SUM(N1935:N1948)</f>
        <v>2399668.27</v>
      </c>
    </row>
    <row r="1950" spans="1:15" x14ac:dyDescent="0.2">
      <c r="D1950" s="418"/>
      <c r="E1950" s="418"/>
      <c r="F1950" s="418"/>
      <c r="G1950" s="418"/>
      <c r="H1950" s="418"/>
      <c r="I1950" s="418"/>
      <c r="J1950" s="432"/>
      <c r="K1950" s="418"/>
      <c r="L1950" s="418"/>
      <c r="M1950" s="418"/>
    </row>
    <row r="1951" spans="1:15" x14ac:dyDescent="0.2">
      <c r="A1951" s="405">
        <f>A1949+1</f>
        <v>30</v>
      </c>
      <c r="B1951" s="448"/>
      <c r="C1951" s="411" t="s">
        <v>2287</v>
      </c>
      <c r="D1951" s="418"/>
      <c r="E1951" s="418"/>
      <c r="F1951" s="418"/>
      <c r="G1951" s="418"/>
      <c r="H1951" s="418"/>
      <c r="I1951" s="439"/>
      <c r="J1951" s="418"/>
      <c r="K1951" s="418"/>
      <c r="L1951" s="418"/>
      <c r="M1951" s="418"/>
    </row>
    <row r="1952" spans="1:15" x14ac:dyDescent="0.2">
      <c r="A1952" s="1722">
        <f>A1951+1</f>
        <v>31</v>
      </c>
      <c r="B1952" s="446">
        <v>378.21</v>
      </c>
      <c r="C1952" s="1725" t="s">
        <v>2244</v>
      </c>
      <c r="D1952" s="415">
        <f>G1846</f>
        <v>-777092</v>
      </c>
      <c r="E1952" s="417">
        <v>0</v>
      </c>
      <c r="F1952" s="417">
        <v>0</v>
      </c>
      <c r="G1952" s="415">
        <f t="shared" ref="G1952" si="609">SUM(D1952:F1952)</f>
        <v>-777092</v>
      </c>
      <c r="H1952" s="418"/>
      <c r="I1952" s="415">
        <f>N1846</f>
        <v>-57505.113333333269</v>
      </c>
      <c r="J1952" s="419" t="s">
        <v>1094</v>
      </c>
      <c r="K1952" s="417">
        <v>-2158.5833333333321</v>
      </c>
      <c r="L1952" s="418">
        <f t="shared" ref="L1952" si="610">-F1952</f>
        <v>0</v>
      </c>
      <c r="M1952" s="417">
        <v>0</v>
      </c>
      <c r="N1952" s="408">
        <f t="shared" ref="N1952" si="611">I1952+K1952-L1952+M1952</f>
        <v>-59663.696666666598</v>
      </c>
      <c r="O1952" s="408"/>
    </row>
    <row r="1953" spans="1:15" x14ac:dyDescent="0.2">
      <c r="A1953" s="1722"/>
      <c r="B1953" s="446"/>
      <c r="C1953" s="438"/>
      <c r="D1953" s="415"/>
      <c r="E1953" s="417"/>
      <c r="F1953" s="417"/>
      <c r="G1953" s="415"/>
      <c r="H1953" s="418"/>
      <c r="I1953" s="419"/>
      <c r="J1953" s="419"/>
      <c r="K1953" s="417"/>
      <c r="L1953" s="418"/>
      <c r="M1953" s="417"/>
      <c r="N1953" s="408"/>
      <c r="O1953" s="408"/>
    </row>
    <row r="1954" spans="1:15" x14ac:dyDescent="0.2">
      <c r="A1954" s="410">
        <f>A1952+1</f>
        <v>32</v>
      </c>
      <c r="C1954" s="386" t="s">
        <v>774</v>
      </c>
      <c r="D1954" s="450">
        <f>D1949+D1932+D1877+D1873+D1952</f>
        <v>436916655.36999989</v>
      </c>
      <c r="E1954" s="450">
        <f>E1949+E1932+E1877+E1873+E1952</f>
        <v>4456966</v>
      </c>
      <c r="F1954" s="450">
        <f>F1949+F1932+F1877+F1873+F1952</f>
        <v>-534900</v>
      </c>
      <c r="G1954" s="450">
        <f>G1949+G1932+G1877+G1873+G1952</f>
        <v>440838721.36999989</v>
      </c>
      <c r="H1954" s="418"/>
      <c r="I1954" s="450">
        <f>I1949+I1932+I1877+I1873+I1952</f>
        <v>153156457.82295179</v>
      </c>
      <c r="J1954" s="451"/>
      <c r="K1954" s="450">
        <f>K1949+K1932+K1877+K1873+K1952</f>
        <v>1352543.6083865217</v>
      </c>
      <c r="L1954" s="450">
        <f>L1949+L1932+L1877+L1873+L1952</f>
        <v>534900</v>
      </c>
      <c r="M1954" s="450">
        <f>M1949+M1932+M1877+M1873+M1952</f>
        <v>-133200</v>
      </c>
      <c r="N1954" s="450">
        <f>N1949+N1932+N1877+N1873+N1952</f>
        <v>153840901.43133837</v>
      </c>
    </row>
    <row r="1956" spans="1:15" x14ac:dyDescent="0.2">
      <c r="A1956" s="2073" t="str">
        <f>co</f>
        <v>COLUMBIA GAS OF KENTUCKY, INC.</v>
      </c>
      <c r="B1956" s="2073"/>
      <c r="C1956" s="2073"/>
      <c r="D1956" s="2073"/>
      <c r="E1956" s="2073"/>
      <c r="F1956" s="2073"/>
      <c r="G1956" s="2073"/>
      <c r="H1956" s="2073"/>
      <c r="I1956" s="2073"/>
      <c r="J1956" s="2073"/>
      <c r="K1956" s="2073"/>
      <c r="L1956" s="2073"/>
      <c r="M1956" s="2073"/>
      <c r="N1956" s="2073"/>
    </row>
    <row r="1957" spans="1:15" x14ac:dyDescent="0.2">
      <c r="A1957" s="2073" t="str">
        <f>case</f>
        <v>CASE NO. 2016 - 00162</v>
      </c>
      <c r="B1957" s="2073"/>
      <c r="C1957" s="2073"/>
      <c r="D1957" s="2073"/>
      <c r="E1957" s="2073"/>
      <c r="F1957" s="2073"/>
      <c r="G1957" s="2073"/>
      <c r="H1957" s="2073"/>
      <c r="I1957" s="2073"/>
      <c r="J1957" s="2073"/>
      <c r="K1957" s="2073"/>
      <c r="L1957" s="2073"/>
      <c r="M1957" s="2073"/>
      <c r="N1957" s="2073"/>
    </row>
    <row r="1958" spans="1:15" x14ac:dyDescent="0.2">
      <c r="A1958" s="2074" t="s">
        <v>1106</v>
      </c>
      <c r="B1958" s="2073"/>
      <c r="C1958" s="2073"/>
      <c r="D1958" s="2073"/>
      <c r="E1958" s="2073"/>
      <c r="F1958" s="2073"/>
      <c r="G1958" s="2073"/>
      <c r="H1958" s="2073"/>
      <c r="I1958" s="2073"/>
      <c r="J1958" s="2073"/>
      <c r="K1958" s="2073"/>
      <c r="L1958" s="2073"/>
      <c r="M1958" s="2073"/>
      <c r="N1958" s="2073"/>
    </row>
    <row r="1959" spans="1:15" x14ac:dyDescent="0.2">
      <c r="A1959" s="2078" t="s">
        <v>2142</v>
      </c>
      <c r="B1959" s="2078"/>
      <c r="C1959" s="2078"/>
      <c r="D1959" s="2078"/>
      <c r="E1959" s="2078"/>
      <c r="F1959" s="2078"/>
      <c r="G1959" s="2078"/>
      <c r="H1959" s="2078"/>
      <c r="I1959" s="2078"/>
      <c r="J1959" s="2078"/>
      <c r="K1959" s="2078"/>
      <c r="L1959" s="2078"/>
      <c r="M1959" s="2078"/>
      <c r="N1959" s="2078"/>
    </row>
    <row r="1961" spans="1:15" x14ac:dyDescent="0.2">
      <c r="A1961" s="385" t="s">
        <v>1095</v>
      </c>
      <c r="I1961" s="386"/>
      <c r="N1961" s="387" t="s">
        <v>763</v>
      </c>
    </row>
    <row r="1962" spans="1:15" x14ac:dyDescent="0.2">
      <c r="A1962" s="388" t="s">
        <v>977</v>
      </c>
      <c r="I1962" s="386"/>
      <c r="N1962" s="387" t="s">
        <v>998</v>
      </c>
    </row>
    <row r="1963" spans="1:15" x14ac:dyDescent="0.2">
      <c r="A1963" s="390" t="s">
        <v>997</v>
      </c>
      <c r="B1963" s="391"/>
      <c r="C1963" s="391"/>
      <c r="D1963" s="391"/>
      <c r="E1963" s="391"/>
      <c r="F1963" s="391"/>
      <c r="G1963" s="391"/>
      <c r="H1963" s="391"/>
      <c r="I1963" s="392"/>
      <c r="L1963" s="386"/>
      <c r="M1963" s="386"/>
      <c r="N1963" s="393" t="str">
        <f>SMK</f>
        <v>WITNESS:  S. M. KATKO</v>
      </c>
    </row>
    <row r="1964" spans="1:15" x14ac:dyDescent="0.2">
      <c r="A1964" s="390"/>
      <c r="B1964" s="391"/>
      <c r="C1964" s="391"/>
      <c r="D1964" s="391"/>
      <c r="E1964" s="391"/>
      <c r="F1964" s="391"/>
      <c r="G1964" s="391"/>
      <c r="H1964" s="391"/>
      <c r="I1964" s="392"/>
      <c r="J1964" s="393"/>
      <c r="L1964" s="386"/>
      <c r="M1964" s="386"/>
    </row>
    <row r="1965" spans="1:15" x14ac:dyDescent="0.2">
      <c r="A1965" s="390"/>
      <c r="B1965" s="391"/>
      <c r="C1965" s="391"/>
      <c r="D1965" s="2075" t="s">
        <v>1088</v>
      </c>
      <c r="E1965" s="2075"/>
      <c r="F1965" s="2075"/>
      <c r="G1965" s="2075"/>
      <c r="H1965" s="391"/>
      <c r="I1965" s="2076" t="s">
        <v>1093</v>
      </c>
      <c r="J1965" s="2077"/>
      <c r="K1965" s="2077"/>
      <c r="L1965" s="2077"/>
      <c r="M1965" s="2077"/>
      <c r="N1965" s="2077"/>
    </row>
    <row r="1966" spans="1:15" x14ac:dyDescent="0.2">
      <c r="A1966" s="394"/>
      <c r="B1966" s="391"/>
      <c r="C1966" s="391"/>
      <c r="D1966" s="396" t="s">
        <v>1084</v>
      </c>
      <c r="E1966" s="391"/>
      <c r="F1966" s="391"/>
      <c r="G1966" s="395"/>
      <c r="H1966" s="395"/>
      <c r="I1966" s="397" t="s">
        <v>1089</v>
      </c>
      <c r="J1966" s="396"/>
      <c r="M1966" s="386"/>
    </row>
    <row r="1967" spans="1:15" x14ac:dyDescent="0.2">
      <c r="A1967" s="383"/>
      <c r="D1967" s="397" t="s">
        <v>865</v>
      </c>
      <c r="G1967" s="397" t="s">
        <v>867</v>
      </c>
      <c r="H1967" s="398"/>
      <c r="I1967" s="397" t="s">
        <v>865</v>
      </c>
      <c r="J1967" s="397" t="s">
        <v>956</v>
      </c>
      <c r="M1967" s="386"/>
      <c r="N1967" s="397" t="s">
        <v>867</v>
      </c>
    </row>
    <row r="1968" spans="1:15" x14ac:dyDescent="0.2">
      <c r="A1968" s="397" t="s">
        <v>1080</v>
      </c>
      <c r="B1968" s="397" t="s">
        <v>1082</v>
      </c>
      <c r="D1968" s="397" t="s">
        <v>867</v>
      </c>
      <c r="G1968" s="399" t="s">
        <v>1087</v>
      </c>
      <c r="H1968" s="398"/>
      <c r="I1968" s="399" t="s">
        <v>867</v>
      </c>
      <c r="J1968" s="397" t="s">
        <v>1090</v>
      </c>
      <c r="K1968" s="397" t="s">
        <v>956</v>
      </c>
      <c r="M1968" s="399" t="s">
        <v>1092</v>
      </c>
      <c r="N1968" s="399" t="s">
        <v>1087</v>
      </c>
    </row>
    <row r="1969" spans="1:14" x14ac:dyDescent="0.2">
      <c r="A1969" s="400" t="s">
        <v>1081</v>
      </c>
      <c r="B1969" s="400" t="s">
        <v>1081</v>
      </c>
      <c r="C1969" s="401" t="s">
        <v>1083</v>
      </c>
      <c r="D1969" s="409" t="str">
        <f>"08/31/2017"</f>
        <v>08/31/2017</v>
      </c>
      <c r="E1969" s="400" t="s">
        <v>1085</v>
      </c>
      <c r="F1969" s="400" t="s">
        <v>1086</v>
      </c>
      <c r="G1969" s="409" t="str">
        <f>"09/30/2017"</f>
        <v>09/30/2017</v>
      </c>
      <c r="H1969" s="398"/>
      <c r="I1969" s="404" t="str">
        <f>D1969</f>
        <v>08/31/2017</v>
      </c>
      <c r="J1969" s="400" t="s">
        <v>1091</v>
      </c>
      <c r="K1969" s="402" t="s">
        <v>1090</v>
      </c>
      <c r="L1969" s="402" t="s">
        <v>1086</v>
      </c>
      <c r="M1969" s="402" t="s">
        <v>955</v>
      </c>
      <c r="N1969" s="404" t="str">
        <f>G1969</f>
        <v>09/30/2017</v>
      </c>
    </row>
    <row r="1970" spans="1:14" x14ac:dyDescent="0.2">
      <c r="A1970" s="406"/>
      <c r="B1970" s="406"/>
      <c r="C1970" s="406"/>
      <c r="D1970" s="406" t="str">
        <f>"(1)"</f>
        <v>(1)</v>
      </c>
      <c r="E1970" s="406" t="str">
        <f>"(2)"</f>
        <v>(2)</v>
      </c>
      <c r="F1970" s="406" t="str">
        <f>"(3)"</f>
        <v>(3)</v>
      </c>
      <c r="G1970" s="406" t="str">
        <f>"(4)=(1+2+3)"</f>
        <v>(4)=(1+2+3)</v>
      </c>
      <c r="H1970" s="406"/>
      <c r="I1970" s="406" t="str">
        <f>"(5)"</f>
        <v>(5)</v>
      </c>
      <c r="J1970" s="406" t="str">
        <f>"(6)"</f>
        <v>(6)</v>
      </c>
      <c r="K1970" s="406" t="str">
        <f>"(7)=((1+4)/2*6/12))"</f>
        <v>(7)=((1+4)/2*6/12))</v>
      </c>
      <c r="L1970" s="406" t="str">
        <f>"(8)"</f>
        <v>(8)</v>
      </c>
      <c r="M1970" s="406" t="str">
        <f>"(9)"</f>
        <v>(9)</v>
      </c>
      <c r="N1970" s="406" t="str">
        <f>"(10)=(5+7-8+9)"</f>
        <v>(10)=(5+7-8+9)</v>
      </c>
    </row>
    <row r="1971" spans="1:14" x14ac:dyDescent="0.2">
      <c r="D1971" s="410" t="s">
        <v>639</v>
      </c>
      <c r="E1971" s="410" t="s">
        <v>639</v>
      </c>
      <c r="F1971" s="410" t="s">
        <v>639</v>
      </c>
      <c r="G1971" s="410" t="s">
        <v>639</v>
      </c>
      <c r="H1971" s="410"/>
      <c r="I1971" s="410" t="s">
        <v>639</v>
      </c>
      <c r="J1971" s="410" t="s">
        <v>639</v>
      </c>
      <c r="K1971" s="410" t="s">
        <v>639</v>
      </c>
      <c r="L1971" s="410" t="s">
        <v>639</v>
      </c>
      <c r="M1971" s="410" t="s">
        <v>639</v>
      </c>
      <c r="N1971" s="410" t="s">
        <v>639</v>
      </c>
    </row>
    <row r="1972" spans="1:14" x14ac:dyDescent="0.2">
      <c r="A1972" s="410">
        <v>1</v>
      </c>
      <c r="B1972" s="411" t="s">
        <v>1025</v>
      </c>
      <c r="C1972" s="412"/>
      <c r="M1972" s="386"/>
    </row>
    <row r="1973" spans="1:14" x14ac:dyDescent="0.2">
      <c r="A1973" s="410">
        <f>A1972+1</f>
        <v>2</v>
      </c>
      <c r="C1973" s="411" t="s">
        <v>697</v>
      </c>
      <c r="M1973" s="386"/>
    </row>
    <row r="1974" spans="1:14" x14ac:dyDescent="0.2">
      <c r="A1974" s="410">
        <f t="shared" ref="A1974:A1979" si="612">A1973+1</f>
        <v>3</v>
      </c>
      <c r="B1974" s="413">
        <v>301</v>
      </c>
      <c r="C1974" s="414" t="s">
        <v>1026</v>
      </c>
      <c r="D1974" s="415">
        <f>G1868</f>
        <v>521.20000000000005</v>
      </c>
      <c r="E1974" s="417">
        <v>0</v>
      </c>
      <c r="F1974" s="417">
        <v>0</v>
      </c>
      <c r="G1974" s="415">
        <f>SUM(D1974:F1974)</f>
        <v>521.20000000000005</v>
      </c>
      <c r="H1974" s="418"/>
      <c r="I1974" s="415">
        <f>N1868</f>
        <v>0</v>
      </c>
      <c r="J1974" s="419" t="s">
        <v>1094</v>
      </c>
      <c r="K1974" s="417">
        <v>0</v>
      </c>
      <c r="L1974" s="418">
        <f>-F1974</f>
        <v>0</v>
      </c>
      <c r="M1974" s="417">
        <v>0</v>
      </c>
      <c r="N1974" s="408">
        <f>I1974+K1974-L1974+M1974</f>
        <v>0</v>
      </c>
    </row>
    <row r="1975" spans="1:14" x14ac:dyDescent="0.2">
      <c r="A1975" s="410">
        <f t="shared" si="612"/>
        <v>4</v>
      </c>
      <c r="B1975" s="413">
        <v>303</v>
      </c>
      <c r="C1975" s="414" t="s">
        <v>1027</v>
      </c>
      <c r="D1975" s="415">
        <f>G1869</f>
        <v>74347.509999999995</v>
      </c>
      <c r="E1975" s="417">
        <v>0</v>
      </c>
      <c r="F1975" s="417">
        <v>0</v>
      </c>
      <c r="G1975" s="415">
        <f>SUM(D1975:F1975)</f>
        <v>74347.509999999995</v>
      </c>
      <c r="H1975" s="418"/>
      <c r="I1975" s="415">
        <f>N1869</f>
        <v>49516.789999999943</v>
      </c>
      <c r="J1975" s="419" t="s">
        <v>1094</v>
      </c>
      <c r="K1975" s="415">
        <f>'Intangible Amort.'!O$110</f>
        <v>206.52</v>
      </c>
      <c r="L1975" s="418">
        <f>-F1975</f>
        <v>0</v>
      </c>
      <c r="M1975" s="417">
        <v>0</v>
      </c>
      <c r="N1975" s="408">
        <f>I1975+K1975-L1975+M1975</f>
        <v>49723.309999999939</v>
      </c>
    </row>
    <row r="1976" spans="1:14" x14ac:dyDescent="0.2">
      <c r="A1976" s="410">
        <f t="shared" si="612"/>
        <v>5</v>
      </c>
      <c r="B1976" s="413">
        <v>303.10000000000002</v>
      </c>
      <c r="C1976" s="414" t="s">
        <v>1028</v>
      </c>
      <c r="D1976" s="415">
        <f>G1870</f>
        <v>0</v>
      </c>
      <c r="E1976" s="417">
        <v>0</v>
      </c>
      <c r="F1976" s="417">
        <v>0</v>
      </c>
      <c r="G1976" s="415">
        <f>SUM(D1976:F1976)</f>
        <v>0</v>
      </c>
      <c r="H1976" s="418"/>
      <c r="I1976" s="415">
        <f>N1870</f>
        <v>0</v>
      </c>
      <c r="J1976" s="419" t="s">
        <v>1094</v>
      </c>
      <c r="K1976" s="417">
        <v>0</v>
      </c>
      <c r="L1976" s="418">
        <f>-F1976</f>
        <v>0</v>
      </c>
      <c r="M1976" s="417">
        <v>0</v>
      </c>
      <c r="N1976" s="408">
        <f>I1976+K1976-L1976+M1976</f>
        <v>0</v>
      </c>
    </row>
    <row r="1977" spans="1:14" x14ac:dyDescent="0.2">
      <c r="A1977" s="410">
        <f t="shared" si="612"/>
        <v>6</v>
      </c>
      <c r="B1977" s="413">
        <v>303.2</v>
      </c>
      <c r="C1977" s="414" t="s">
        <v>1029</v>
      </c>
      <c r="D1977" s="415">
        <f>G1871</f>
        <v>0</v>
      </c>
      <c r="E1977" s="417">
        <v>0</v>
      </c>
      <c r="F1977" s="417">
        <v>0</v>
      </c>
      <c r="G1977" s="415">
        <f>SUM(D1977:F1977)</f>
        <v>0</v>
      </c>
      <c r="H1977" s="418"/>
      <c r="I1977" s="415">
        <f>N1871</f>
        <v>0</v>
      </c>
      <c r="J1977" s="419" t="s">
        <v>1094</v>
      </c>
      <c r="K1977" s="417">
        <v>0</v>
      </c>
      <c r="L1977" s="418">
        <f>-F1977</f>
        <v>0</v>
      </c>
      <c r="M1977" s="417">
        <v>0</v>
      </c>
      <c r="N1977" s="408">
        <f>I1977+K1977-L1977+M1977</f>
        <v>0</v>
      </c>
    </row>
    <row r="1978" spans="1:14" x14ac:dyDescent="0.2">
      <c r="A1978" s="410">
        <f t="shared" si="612"/>
        <v>7</v>
      </c>
      <c r="B1978" s="413">
        <v>303.3</v>
      </c>
      <c r="C1978" s="414" t="s">
        <v>1030</v>
      </c>
      <c r="D1978" s="421">
        <f>G1872</f>
        <v>9670586</v>
      </c>
      <c r="E1978" s="422">
        <v>0</v>
      </c>
      <c r="F1978" s="422">
        <v>0</v>
      </c>
      <c r="G1978" s="421">
        <f>SUM(D1978:F1978)</f>
        <v>9670586</v>
      </c>
      <c r="H1978" s="418"/>
      <c r="I1978" s="421">
        <f>N1872</f>
        <v>3631205.3974786885</v>
      </c>
      <c r="J1978" s="419" t="s">
        <v>1094</v>
      </c>
      <c r="K1978" s="421">
        <f>'Intangible Amort.'!O$188</f>
        <v>127878.599674742</v>
      </c>
      <c r="L1978" s="421">
        <f>-F1978</f>
        <v>0</v>
      </c>
      <c r="M1978" s="422">
        <v>0</v>
      </c>
      <c r="N1978" s="423">
        <f>I1978+K1978-L1978+M1978</f>
        <v>3759083.9971534307</v>
      </c>
    </row>
    <row r="1979" spans="1:14" x14ac:dyDescent="0.2">
      <c r="A1979" s="410">
        <f t="shared" si="612"/>
        <v>8</v>
      </c>
      <c r="B1979" s="413"/>
      <c r="C1979" s="414" t="s">
        <v>1031</v>
      </c>
      <c r="D1979" s="418">
        <f>SUM(D1974:D1978)</f>
        <v>9745454.7100000009</v>
      </c>
      <c r="E1979" s="418">
        <f>SUM(E1974:E1978)</f>
        <v>0</v>
      </c>
      <c r="F1979" s="418">
        <f>SUM(F1974:F1978)</f>
        <v>0</v>
      </c>
      <c r="G1979" s="418">
        <f>SUM(G1974:G1978)</f>
        <v>9745454.7100000009</v>
      </c>
      <c r="H1979" s="418"/>
      <c r="I1979" s="418">
        <f>SUM(I1974:I1978)</f>
        <v>3680722.1874786885</v>
      </c>
      <c r="J1979" s="424"/>
      <c r="K1979" s="418">
        <f>SUM(K1974:K1978)</f>
        <v>128085.119674742</v>
      </c>
      <c r="L1979" s="418">
        <f>SUM(L1974:L1978)</f>
        <v>0</v>
      </c>
      <c r="M1979" s="418">
        <f>SUM(M1974:M1978)</f>
        <v>0</v>
      </c>
      <c r="N1979" s="418">
        <f>SUM(N1974:N1978)</f>
        <v>3808807.3071534308</v>
      </c>
    </row>
    <row r="1980" spans="1:14" x14ac:dyDescent="0.2">
      <c r="B1980" s="425"/>
      <c r="D1980" s="418"/>
      <c r="E1980" s="418"/>
      <c r="F1980" s="418"/>
      <c r="G1980" s="418"/>
      <c r="H1980" s="418"/>
      <c r="I1980" s="418"/>
      <c r="J1980" s="424"/>
      <c r="K1980" s="418"/>
      <c r="L1980" s="418"/>
      <c r="M1980" s="418"/>
    </row>
    <row r="1981" spans="1:14" x14ac:dyDescent="0.2">
      <c r="A1981" s="410">
        <f>A1979+1</f>
        <v>9</v>
      </c>
      <c r="B1981" s="425"/>
      <c r="C1981" s="411" t="s">
        <v>704</v>
      </c>
      <c r="D1981" s="418"/>
      <c r="E1981" s="418"/>
      <c r="F1981" s="418"/>
      <c r="G1981" s="418"/>
      <c r="H1981" s="418"/>
      <c r="I1981" s="418"/>
      <c r="J1981" s="424"/>
      <c r="K1981" s="418"/>
      <c r="L1981" s="418"/>
      <c r="M1981" s="418"/>
    </row>
    <row r="1982" spans="1:14" x14ac:dyDescent="0.2">
      <c r="A1982" s="410">
        <f>A1981+1</f>
        <v>10</v>
      </c>
      <c r="B1982" s="426">
        <v>304.10000000000002</v>
      </c>
      <c r="C1982" s="427" t="s">
        <v>1032</v>
      </c>
      <c r="D1982" s="421">
        <f>G1876</f>
        <v>0</v>
      </c>
      <c r="E1982" s="430">
        <v>0</v>
      </c>
      <c r="F1982" s="430">
        <v>0</v>
      </c>
      <c r="G1982" s="421">
        <f>SUM(D1982:F1982)</f>
        <v>0</v>
      </c>
      <c r="H1982" s="418"/>
      <c r="I1982" s="421">
        <f>N1876</f>
        <v>0</v>
      </c>
      <c r="J1982" s="429" t="s">
        <v>1102</v>
      </c>
      <c r="K1982" s="430">
        <v>0</v>
      </c>
      <c r="L1982" s="421">
        <f>-F1982</f>
        <v>0</v>
      </c>
      <c r="M1982" s="422">
        <v>0</v>
      </c>
      <c r="N1982" s="423">
        <f>I1982+K1982-L1982+M1982</f>
        <v>0</v>
      </c>
    </row>
    <row r="1983" spans="1:14" x14ac:dyDescent="0.2">
      <c r="A1983" s="410">
        <f>A1982+1</f>
        <v>11</v>
      </c>
      <c r="B1983" s="426"/>
      <c r="C1983" s="431" t="s">
        <v>1079</v>
      </c>
      <c r="D1983" s="418">
        <f>D1982</f>
        <v>0</v>
      </c>
      <c r="E1983" s="418">
        <f>E1982</f>
        <v>0</v>
      </c>
      <c r="F1983" s="418">
        <f>F1982</f>
        <v>0</v>
      </c>
      <c r="G1983" s="418">
        <f>G1982</f>
        <v>0</v>
      </c>
      <c r="H1983" s="418"/>
      <c r="I1983" s="418">
        <f>I1982</f>
        <v>0</v>
      </c>
      <c r="J1983" s="432"/>
      <c r="K1983" s="418">
        <f>SUM(K1982)</f>
        <v>0</v>
      </c>
      <c r="L1983" s="418">
        <f>SUM(L1982)</f>
        <v>0</v>
      </c>
      <c r="M1983" s="418">
        <f>M1982</f>
        <v>0</v>
      </c>
      <c r="N1983" s="418">
        <f>N1982</f>
        <v>0</v>
      </c>
    </row>
    <row r="1984" spans="1:14" x14ac:dyDescent="0.2">
      <c r="B1984" s="425"/>
      <c r="D1984" s="418"/>
      <c r="E1984" s="418"/>
      <c r="F1984" s="418"/>
      <c r="G1984" s="418"/>
      <c r="H1984" s="418"/>
      <c r="I1984" s="418"/>
      <c r="J1984" s="432"/>
      <c r="K1984" s="418"/>
      <c r="L1984" s="418"/>
      <c r="M1984" s="418"/>
    </row>
    <row r="1985" spans="1:14" x14ac:dyDescent="0.2">
      <c r="A1985" s="410">
        <f>A1983+1</f>
        <v>12</v>
      </c>
      <c r="B1985" s="425"/>
      <c r="C1985" s="411" t="s">
        <v>707</v>
      </c>
      <c r="D1985" s="418"/>
      <c r="E1985" s="418"/>
      <c r="F1985" s="418"/>
      <c r="G1985" s="418"/>
      <c r="H1985" s="418"/>
      <c r="I1985" s="418"/>
      <c r="J1985" s="432"/>
      <c r="K1985" s="418"/>
      <c r="L1985" s="418"/>
      <c r="M1985" s="418"/>
    </row>
    <row r="1986" spans="1:14" x14ac:dyDescent="0.2">
      <c r="A1986" s="410">
        <f>A1985+1</f>
        <v>13</v>
      </c>
      <c r="B1986" s="413">
        <v>374.1</v>
      </c>
      <c r="C1986" s="414" t="s">
        <v>1035</v>
      </c>
      <c r="D1986" s="415">
        <f t="shared" ref="D1986:D1996" si="613">G1880</f>
        <v>206</v>
      </c>
      <c r="E1986" s="417">
        <v>0</v>
      </c>
      <c r="F1986" s="417">
        <v>0</v>
      </c>
      <c r="G1986" s="415">
        <f>SUM(D1986:F1986)</f>
        <v>206</v>
      </c>
      <c r="H1986" s="418"/>
      <c r="I1986" s="415">
        <f t="shared" ref="I1986:I1996" si="614">N1880</f>
        <v>0</v>
      </c>
      <c r="J1986" s="429" t="s">
        <v>1102</v>
      </c>
      <c r="K1986" s="417">
        <v>0</v>
      </c>
      <c r="L1986" s="418">
        <f t="shared" ref="L1986:L1996" si="615">-F1986</f>
        <v>0</v>
      </c>
      <c r="M1986" s="417">
        <v>0</v>
      </c>
      <c r="N1986" s="408">
        <f t="shared" ref="N1986:N1996" si="616">I1986+K1986-L1986+M1986</f>
        <v>0</v>
      </c>
    </row>
    <row r="1987" spans="1:14" x14ac:dyDescent="0.2">
      <c r="A1987" s="410">
        <f t="shared" ref="A1987:A2007" si="617">A1986+1</f>
        <v>14</v>
      </c>
      <c r="B1987" s="413">
        <v>374.2</v>
      </c>
      <c r="C1987" s="414" t="s">
        <v>1036</v>
      </c>
      <c r="D1987" s="415">
        <f t="shared" si="613"/>
        <v>877756.18</v>
      </c>
      <c r="E1987" s="417">
        <v>0</v>
      </c>
      <c r="F1987" s="417">
        <v>0</v>
      </c>
      <c r="G1987" s="415">
        <f t="shared" ref="G1987:G1996" si="618">SUM(D1987:F1987)</f>
        <v>877756.18</v>
      </c>
      <c r="H1987" s="418"/>
      <c r="I1987" s="415">
        <f t="shared" si="614"/>
        <v>-523.13</v>
      </c>
      <c r="J1987" s="429" t="s">
        <v>1102</v>
      </c>
      <c r="K1987" s="417">
        <v>0</v>
      </c>
      <c r="L1987" s="418">
        <f t="shared" si="615"/>
        <v>0</v>
      </c>
      <c r="M1987" s="417">
        <v>0</v>
      </c>
      <c r="N1987" s="408">
        <f t="shared" si="616"/>
        <v>-523.13</v>
      </c>
    </row>
    <row r="1988" spans="1:14" x14ac:dyDescent="0.2">
      <c r="A1988" s="410">
        <f t="shared" si="617"/>
        <v>15</v>
      </c>
      <c r="B1988" s="413">
        <v>374.4</v>
      </c>
      <c r="C1988" s="414" t="s">
        <v>1037</v>
      </c>
      <c r="D1988" s="415">
        <f t="shared" si="613"/>
        <v>661305.66</v>
      </c>
      <c r="E1988" s="417">
        <v>0</v>
      </c>
      <c r="F1988" s="417">
        <v>0</v>
      </c>
      <c r="G1988" s="415">
        <f t="shared" si="618"/>
        <v>661305.66</v>
      </c>
      <c r="H1988" s="418"/>
      <c r="I1988" s="415">
        <f t="shared" si="614"/>
        <v>186555.36</v>
      </c>
      <c r="J1988" s="442">
        <f t="shared" ref="J1988:J1994" si="619">J1882</f>
        <v>1.7399999999999999E-2</v>
      </c>
      <c r="K1988" s="418">
        <f>ROUND((G1988+D1988)/2*J1988/12,0)</f>
        <v>959</v>
      </c>
      <c r="L1988" s="418">
        <f t="shared" si="615"/>
        <v>0</v>
      </c>
      <c r="M1988" s="417">
        <v>0</v>
      </c>
      <c r="N1988" s="408">
        <f t="shared" si="616"/>
        <v>187514.36</v>
      </c>
    </row>
    <row r="1989" spans="1:14" x14ac:dyDescent="0.2">
      <c r="A1989" s="410">
        <f t="shared" si="617"/>
        <v>16</v>
      </c>
      <c r="B1989" s="413">
        <v>374.5</v>
      </c>
      <c r="C1989" s="414" t="s">
        <v>1038</v>
      </c>
      <c r="D1989" s="415">
        <f t="shared" si="613"/>
        <v>2734772.55</v>
      </c>
      <c r="E1989" s="417">
        <v>5500</v>
      </c>
      <c r="F1989" s="417">
        <v>-700</v>
      </c>
      <c r="G1989" s="415">
        <f t="shared" si="618"/>
        <v>2739572.55</v>
      </c>
      <c r="H1989" s="418"/>
      <c r="I1989" s="415">
        <f t="shared" si="614"/>
        <v>947903.23</v>
      </c>
      <c r="J1989" s="442">
        <f t="shared" si="619"/>
        <v>1.29E-2</v>
      </c>
      <c r="K1989" s="418">
        <f t="shared" ref="K1989:K1994" si="620">ROUND((G1989+D1989)/2*J1989/12,0)</f>
        <v>2942</v>
      </c>
      <c r="L1989" s="418">
        <f t="shared" si="615"/>
        <v>700</v>
      </c>
      <c r="M1989" s="417">
        <v>0</v>
      </c>
      <c r="N1989" s="408">
        <f t="shared" si="616"/>
        <v>950145.23</v>
      </c>
    </row>
    <row r="1990" spans="1:14" x14ac:dyDescent="0.2">
      <c r="A1990" s="410">
        <f t="shared" si="617"/>
        <v>17</v>
      </c>
      <c r="B1990" s="413">
        <v>375.2</v>
      </c>
      <c r="C1990" s="414" t="s">
        <v>1039</v>
      </c>
      <c r="D1990" s="415">
        <f t="shared" si="613"/>
        <v>2124.98</v>
      </c>
      <c r="E1990" s="417">
        <v>0</v>
      </c>
      <c r="F1990" s="417">
        <v>0</v>
      </c>
      <c r="G1990" s="415">
        <f t="shared" si="618"/>
        <v>2124.98</v>
      </c>
      <c r="H1990" s="418"/>
      <c r="I1990" s="415">
        <f t="shared" si="614"/>
        <v>2075.3199999999997</v>
      </c>
      <c r="J1990" s="442">
        <f t="shared" si="619"/>
        <v>3.1800000000000002E-2</v>
      </c>
      <c r="K1990" s="418">
        <f t="shared" si="620"/>
        <v>6</v>
      </c>
      <c r="L1990" s="418">
        <f t="shared" si="615"/>
        <v>0</v>
      </c>
      <c r="M1990" s="417">
        <v>0</v>
      </c>
      <c r="N1990" s="408">
        <f t="shared" si="616"/>
        <v>2081.3199999999997</v>
      </c>
    </row>
    <row r="1991" spans="1:14" x14ac:dyDescent="0.2">
      <c r="A1991" s="410">
        <f t="shared" si="617"/>
        <v>18</v>
      </c>
      <c r="B1991" s="413">
        <v>375.3</v>
      </c>
      <c r="C1991" s="414" t="s">
        <v>1040</v>
      </c>
      <c r="D1991" s="415">
        <f t="shared" si="613"/>
        <v>0</v>
      </c>
      <c r="E1991" s="417">
        <v>0</v>
      </c>
      <c r="F1991" s="417">
        <v>0</v>
      </c>
      <c r="G1991" s="415">
        <f t="shared" si="618"/>
        <v>0</v>
      </c>
      <c r="H1991" s="418"/>
      <c r="I1991" s="415">
        <f t="shared" si="614"/>
        <v>-77.66</v>
      </c>
      <c r="J1991" s="442">
        <f t="shared" si="619"/>
        <v>3.1800000000000002E-2</v>
      </c>
      <c r="K1991" s="418">
        <f t="shared" si="620"/>
        <v>0</v>
      </c>
      <c r="L1991" s="418">
        <f t="shared" si="615"/>
        <v>0</v>
      </c>
      <c r="M1991" s="417">
        <v>0</v>
      </c>
      <c r="N1991" s="408">
        <f t="shared" si="616"/>
        <v>-77.66</v>
      </c>
    </row>
    <row r="1992" spans="1:14" x14ac:dyDescent="0.2">
      <c r="A1992" s="410">
        <f t="shared" si="617"/>
        <v>19</v>
      </c>
      <c r="B1992" s="413">
        <v>375.4</v>
      </c>
      <c r="C1992" s="414" t="s">
        <v>1041</v>
      </c>
      <c r="D1992" s="415">
        <f t="shared" si="613"/>
        <v>2241230.02</v>
      </c>
      <c r="E1992" s="417">
        <v>38300</v>
      </c>
      <c r="F1992" s="417">
        <v>-4600</v>
      </c>
      <c r="G1992" s="415">
        <f t="shared" si="618"/>
        <v>2274930.02</v>
      </c>
      <c r="H1992" s="418"/>
      <c r="I1992" s="415">
        <f t="shared" si="614"/>
        <v>508411.37</v>
      </c>
      <c r="J1992" s="442">
        <f t="shared" si="619"/>
        <v>3.1800000000000002E-2</v>
      </c>
      <c r="K1992" s="418">
        <f t="shared" si="620"/>
        <v>5984</v>
      </c>
      <c r="L1992" s="418">
        <f t="shared" si="615"/>
        <v>4600</v>
      </c>
      <c r="M1992" s="417">
        <v>-500</v>
      </c>
      <c r="N1992" s="408">
        <f t="shared" si="616"/>
        <v>509295.37</v>
      </c>
    </row>
    <row r="1993" spans="1:14" x14ac:dyDescent="0.2">
      <c r="A1993" s="410">
        <f t="shared" si="617"/>
        <v>20</v>
      </c>
      <c r="B1993" s="413">
        <v>375.6</v>
      </c>
      <c r="C1993" s="414" t="s">
        <v>1042</v>
      </c>
      <c r="D1993" s="415">
        <f t="shared" si="613"/>
        <v>0</v>
      </c>
      <c r="E1993" s="417">
        <v>0</v>
      </c>
      <c r="F1993" s="417">
        <v>0</v>
      </c>
      <c r="G1993" s="415">
        <f t="shared" si="618"/>
        <v>0</v>
      </c>
      <c r="H1993" s="418"/>
      <c r="I1993" s="415">
        <f t="shared" si="614"/>
        <v>0.02</v>
      </c>
      <c r="J1993" s="442">
        <f t="shared" si="619"/>
        <v>3.1800000000000002E-2</v>
      </c>
      <c r="K1993" s="418">
        <f t="shared" si="620"/>
        <v>0</v>
      </c>
      <c r="L1993" s="418">
        <f t="shared" si="615"/>
        <v>0</v>
      </c>
      <c r="M1993" s="417">
        <v>0</v>
      </c>
      <c r="N1993" s="408">
        <f t="shared" si="616"/>
        <v>0.02</v>
      </c>
    </row>
    <row r="1994" spans="1:14" x14ac:dyDescent="0.2">
      <c r="A1994" s="410">
        <f t="shared" si="617"/>
        <v>21</v>
      </c>
      <c r="B1994" s="413">
        <v>375.7</v>
      </c>
      <c r="C1994" s="414" t="s">
        <v>1043</v>
      </c>
      <c r="D1994" s="415">
        <f t="shared" si="613"/>
        <v>8595550.2100000009</v>
      </c>
      <c r="E1994" s="417">
        <v>48300</v>
      </c>
      <c r="F1994" s="417">
        <v>-5800</v>
      </c>
      <c r="G1994" s="415">
        <f t="shared" si="618"/>
        <v>8638050.2100000009</v>
      </c>
      <c r="H1994" s="418"/>
      <c r="I1994" s="415">
        <f t="shared" si="614"/>
        <v>3389441.06</v>
      </c>
      <c r="J1994" s="442">
        <f t="shared" si="619"/>
        <v>2.1299999999999999E-2</v>
      </c>
      <c r="K1994" s="418">
        <f t="shared" si="620"/>
        <v>15295</v>
      </c>
      <c r="L1994" s="418">
        <f t="shared" si="615"/>
        <v>5800</v>
      </c>
      <c r="M1994" s="417">
        <v>0</v>
      </c>
      <c r="N1994" s="408">
        <f t="shared" si="616"/>
        <v>3398936.06</v>
      </c>
    </row>
    <row r="1995" spans="1:14" x14ac:dyDescent="0.2">
      <c r="A1995" s="410">
        <f t="shared" si="617"/>
        <v>22</v>
      </c>
      <c r="B1995" s="413">
        <v>375.71</v>
      </c>
      <c r="C1995" s="414" t="s">
        <v>1044</v>
      </c>
      <c r="D1995" s="415">
        <f t="shared" si="613"/>
        <v>259808.94</v>
      </c>
      <c r="E1995" s="417">
        <v>0</v>
      </c>
      <c r="F1995" s="417">
        <v>0</v>
      </c>
      <c r="G1995" s="415">
        <f t="shared" si="618"/>
        <v>259808.94</v>
      </c>
      <c r="H1995" s="418"/>
      <c r="I1995" s="415">
        <f t="shared" si="614"/>
        <v>204727.95052631601</v>
      </c>
      <c r="J1995" s="419" t="s">
        <v>1094</v>
      </c>
      <c r="K1995" s="417">
        <f>104653.88/38</f>
        <v>2754.0494736842106</v>
      </c>
      <c r="L1995" s="418">
        <f t="shared" si="615"/>
        <v>0</v>
      </c>
      <c r="M1995" s="417">
        <v>0</v>
      </c>
      <c r="N1995" s="408">
        <f t="shared" si="616"/>
        <v>207482.00000000023</v>
      </c>
    </row>
    <row r="1996" spans="1:14" x14ac:dyDescent="0.2">
      <c r="A1996" s="410">
        <f t="shared" si="617"/>
        <v>23</v>
      </c>
      <c r="B1996" s="413">
        <v>375.8</v>
      </c>
      <c r="C1996" s="414" t="s">
        <v>1045</v>
      </c>
      <c r="D1996" s="415">
        <f t="shared" si="613"/>
        <v>0</v>
      </c>
      <c r="E1996" s="417">
        <v>0</v>
      </c>
      <c r="F1996" s="417">
        <v>0</v>
      </c>
      <c r="G1996" s="415">
        <f t="shared" si="618"/>
        <v>0</v>
      </c>
      <c r="H1996" s="418"/>
      <c r="I1996" s="415">
        <f t="shared" si="614"/>
        <v>0</v>
      </c>
      <c r="J1996" s="442">
        <f>J1890</f>
        <v>0</v>
      </c>
      <c r="K1996" s="417">
        <v>0</v>
      </c>
      <c r="L1996" s="418">
        <f t="shared" si="615"/>
        <v>0</v>
      </c>
      <c r="M1996" s="417">
        <v>0</v>
      </c>
      <c r="N1996" s="408">
        <f t="shared" si="616"/>
        <v>0</v>
      </c>
    </row>
    <row r="1997" spans="1:14" x14ac:dyDescent="0.2">
      <c r="A1997" s="410">
        <f>A1996+1</f>
        <v>24</v>
      </c>
      <c r="B1997" s="413">
        <v>376</v>
      </c>
      <c r="C1997" s="438" t="s">
        <v>1096</v>
      </c>
      <c r="D1997" s="415"/>
      <c r="E1997" s="417"/>
      <c r="F1997" s="417"/>
      <c r="G1997" s="415"/>
      <c r="H1997" s="418"/>
      <c r="I1997" s="439"/>
      <c r="J1997" s="432"/>
      <c r="K1997" s="418"/>
      <c r="L1997" s="418"/>
      <c r="M1997" s="417"/>
    </row>
    <row r="1998" spans="1:14" x14ac:dyDescent="0.2">
      <c r="A1998" s="410"/>
      <c r="B1998" s="413"/>
      <c r="C1998" s="440" t="s">
        <v>1097</v>
      </c>
      <c r="D1998" s="415"/>
      <c r="E1998" s="417"/>
      <c r="F1998" s="417"/>
      <c r="G1998" s="415"/>
      <c r="H1998" s="418"/>
      <c r="I1998" s="415"/>
      <c r="J1998" s="442"/>
      <c r="K1998" s="418"/>
      <c r="L1998" s="418"/>
      <c r="M1998" s="417"/>
      <c r="N1998" s="408"/>
    </row>
    <row r="1999" spans="1:14" x14ac:dyDescent="0.2">
      <c r="A1999" s="410"/>
      <c r="B1999" s="413"/>
      <c r="C1999" s="440" t="s">
        <v>1098</v>
      </c>
      <c r="D1999" s="415"/>
      <c r="E1999" s="417"/>
      <c r="F1999" s="417"/>
      <c r="G1999" s="415"/>
      <c r="H1999" s="418"/>
      <c r="I1999" s="415"/>
      <c r="J1999" s="442"/>
      <c r="K1999" s="418"/>
      <c r="L1999" s="418"/>
      <c r="M1999" s="417"/>
      <c r="N1999" s="408"/>
    </row>
    <row r="2000" spans="1:14" x14ac:dyDescent="0.2">
      <c r="A2000" s="410"/>
      <c r="B2000" s="413"/>
      <c r="C2000" s="440" t="s">
        <v>1099</v>
      </c>
      <c r="D2000" s="415"/>
      <c r="E2000" s="417"/>
      <c r="F2000" s="417"/>
      <c r="G2000" s="415"/>
      <c r="H2000" s="418"/>
      <c r="I2000" s="415"/>
      <c r="J2000" s="442"/>
      <c r="K2000" s="418"/>
      <c r="L2000" s="418"/>
      <c r="M2000" s="417"/>
      <c r="N2000" s="408"/>
    </row>
    <row r="2001" spans="1:14" x14ac:dyDescent="0.2">
      <c r="A2001" s="410"/>
      <c r="B2001" s="413"/>
      <c r="C2001" s="440" t="s">
        <v>1100</v>
      </c>
      <c r="D2001" s="415"/>
      <c r="E2001" s="417"/>
      <c r="F2001" s="417"/>
      <c r="G2001" s="415"/>
      <c r="H2001" s="418"/>
      <c r="I2001" s="415"/>
      <c r="J2001" s="442"/>
      <c r="K2001" s="418"/>
      <c r="L2001" s="418"/>
      <c r="M2001" s="417"/>
      <c r="N2001" s="408"/>
    </row>
    <row r="2002" spans="1:14" x14ac:dyDescent="0.2">
      <c r="A2002" s="410"/>
      <c r="B2002" s="413"/>
      <c r="C2002" s="440" t="s">
        <v>1101</v>
      </c>
      <c r="D2002" s="415">
        <f t="shared" ref="D2002:D2007" si="621">G1896</f>
        <v>222026665.44</v>
      </c>
      <c r="E2002" s="417">
        <f>2021900+32320</f>
        <v>2054220</v>
      </c>
      <c r="F2002" s="417">
        <v>-246500</v>
      </c>
      <c r="G2002" s="415">
        <f t="shared" ref="G2002:G2007" si="622">SUM(D2002:F2002)</f>
        <v>223834385.44</v>
      </c>
      <c r="H2002" s="418"/>
      <c r="I2002" s="415">
        <f t="shared" ref="I2002:I2007" si="623">N1896</f>
        <v>59417978.609999999</v>
      </c>
      <c r="J2002" s="442">
        <f t="shared" ref="J2002:J2007" si="624">J1896</f>
        <v>2.3E-2</v>
      </c>
      <c r="K2002" s="418">
        <f t="shared" ref="K2002:K2007" si="625">ROUND((G2002+D2002)/2*J2002/12,0)</f>
        <v>427284</v>
      </c>
      <c r="L2002" s="418">
        <f t="shared" ref="L2002:L2007" si="626">-F2002</f>
        <v>246500</v>
      </c>
      <c r="M2002" s="417">
        <v>-37000</v>
      </c>
      <c r="N2002" s="408">
        <f t="shared" ref="N2002:N2007" si="627">I2002+K2002-L2002+M2002</f>
        <v>59561762.609999999</v>
      </c>
    </row>
    <row r="2003" spans="1:14" x14ac:dyDescent="0.2">
      <c r="A2003" s="410">
        <f>A1997+1</f>
        <v>25</v>
      </c>
      <c r="B2003" s="413">
        <v>378.1</v>
      </c>
      <c r="C2003" s="414" t="s">
        <v>1047</v>
      </c>
      <c r="D2003" s="415">
        <f t="shared" si="621"/>
        <v>518504.18</v>
      </c>
      <c r="E2003" s="417">
        <v>0</v>
      </c>
      <c r="F2003" s="417">
        <v>0</v>
      </c>
      <c r="G2003" s="415">
        <f t="shared" si="622"/>
        <v>518504.18</v>
      </c>
      <c r="H2003" s="418"/>
      <c r="I2003" s="415">
        <f t="shared" si="623"/>
        <v>374941.81</v>
      </c>
      <c r="J2003" s="442">
        <f t="shared" si="624"/>
        <v>3.32E-2</v>
      </c>
      <c r="K2003" s="418">
        <f t="shared" si="625"/>
        <v>1435</v>
      </c>
      <c r="L2003" s="418">
        <f t="shared" si="626"/>
        <v>0</v>
      </c>
      <c r="M2003" s="417">
        <v>0</v>
      </c>
      <c r="N2003" s="408">
        <f t="shared" si="627"/>
        <v>376376.81</v>
      </c>
    </row>
    <row r="2004" spans="1:14" x14ac:dyDescent="0.2">
      <c r="A2004" s="410">
        <f t="shared" si="617"/>
        <v>26</v>
      </c>
      <c r="B2004" s="413">
        <v>378.2</v>
      </c>
      <c r="C2004" s="414" t="s">
        <v>1048</v>
      </c>
      <c r="D2004" s="415">
        <f t="shared" si="621"/>
        <v>9978024</v>
      </c>
      <c r="E2004" s="417">
        <v>60300</v>
      </c>
      <c r="F2004" s="417">
        <v>-7200</v>
      </c>
      <c r="G2004" s="415">
        <f t="shared" si="622"/>
        <v>10031124</v>
      </c>
      <c r="H2004" s="418"/>
      <c r="I2004" s="415">
        <f t="shared" si="623"/>
        <v>3558731.91</v>
      </c>
      <c r="J2004" s="442">
        <f t="shared" si="624"/>
        <v>3.32E-2</v>
      </c>
      <c r="K2004" s="418">
        <f t="shared" si="625"/>
        <v>27679</v>
      </c>
      <c r="L2004" s="418">
        <f t="shared" si="626"/>
        <v>7200</v>
      </c>
      <c r="M2004" s="417">
        <v>-400</v>
      </c>
      <c r="N2004" s="408">
        <f t="shared" si="627"/>
        <v>3578810.91</v>
      </c>
    </row>
    <row r="2005" spans="1:14" x14ac:dyDescent="0.2">
      <c r="A2005" s="410">
        <f t="shared" si="617"/>
        <v>27</v>
      </c>
      <c r="B2005" s="413">
        <v>378.3</v>
      </c>
      <c r="C2005" s="414" t="s">
        <v>1049</v>
      </c>
      <c r="D2005" s="415">
        <f t="shared" si="621"/>
        <v>45443.08</v>
      </c>
      <c r="E2005" s="417">
        <v>0</v>
      </c>
      <c r="F2005" s="417">
        <v>0</v>
      </c>
      <c r="G2005" s="415">
        <f t="shared" si="622"/>
        <v>45443.08</v>
      </c>
      <c r="H2005" s="418"/>
      <c r="I2005" s="415">
        <f t="shared" si="623"/>
        <v>36886.04</v>
      </c>
      <c r="J2005" s="442">
        <f t="shared" si="624"/>
        <v>3.32E-2</v>
      </c>
      <c r="K2005" s="418">
        <f t="shared" si="625"/>
        <v>126</v>
      </c>
      <c r="L2005" s="418">
        <f t="shared" si="626"/>
        <v>0</v>
      </c>
      <c r="M2005" s="417">
        <v>0</v>
      </c>
      <c r="N2005" s="408">
        <f t="shared" si="627"/>
        <v>37012.04</v>
      </c>
    </row>
    <row r="2006" spans="1:14" x14ac:dyDescent="0.2">
      <c r="A2006" s="410">
        <f t="shared" si="617"/>
        <v>28</v>
      </c>
      <c r="B2006" s="413">
        <v>379.1</v>
      </c>
      <c r="C2006" s="414" t="s">
        <v>1050</v>
      </c>
      <c r="D2006" s="415">
        <f t="shared" si="621"/>
        <v>254900.59</v>
      </c>
      <c r="E2006" s="417">
        <v>0</v>
      </c>
      <c r="F2006" s="417">
        <v>0</v>
      </c>
      <c r="G2006" s="415">
        <f t="shared" si="622"/>
        <v>254900.59</v>
      </c>
      <c r="H2006" s="418"/>
      <c r="I2006" s="415">
        <f t="shared" si="623"/>
        <v>267730.57</v>
      </c>
      <c r="J2006" s="442">
        <f t="shared" si="624"/>
        <v>6.0000000000000001E-3</v>
      </c>
      <c r="K2006" s="417">
        <v>0</v>
      </c>
      <c r="L2006" s="418">
        <f t="shared" si="626"/>
        <v>0</v>
      </c>
      <c r="M2006" s="417">
        <v>0</v>
      </c>
      <c r="N2006" s="408">
        <f t="shared" si="627"/>
        <v>267730.57</v>
      </c>
    </row>
    <row r="2007" spans="1:14" x14ac:dyDescent="0.2">
      <c r="A2007" s="410">
        <f t="shared" si="617"/>
        <v>29</v>
      </c>
      <c r="B2007" s="413">
        <v>380</v>
      </c>
      <c r="C2007" s="414" t="s">
        <v>1051</v>
      </c>
      <c r="D2007" s="415">
        <f t="shared" si="621"/>
        <v>128188400.77</v>
      </c>
      <c r="E2007" s="417">
        <f>1462600+21546</f>
        <v>1484146</v>
      </c>
      <c r="F2007" s="417">
        <v>-178100</v>
      </c>
      <c r="G2007" s="415">
        <f t="shared" si="622"/>
        <v>129494446.77</v>
      </c>
      <c r="H2007" s="418"/>
      <c r="I2007" s="415">
        <f t="shared" si="623"/>
        <v>61988963.520000003</v>
      </c>
      <c r="J2007" s="442">
        <f t="shared" si="624"/>
        <v>5.0999999999999997E-2</v>
      </c>
      <c r="K2007" s="418">
        <f t="shared" si="625"/>
        <v>547576</v>
      </c>
      <c r="L2007" s="418">
        <f t="shared" si="626"/>
        <v>178100</v>
      </c>
      <c r="M2007" s="417">
        <v>-89000</v>
      </c>
      <c r="N2007" s="408">
        <f t="shared" si="627"/>
        <v>62269439.520000003</v>
      </c>
    </row>
    <row r="2008" spans="1:14" x14ac:dyDescent="0.2">
      <c r="A2008" s="410"/>
      <c r="B2008" s="444"/>
      <c r="C2008" s="414"/>
      <c r="D2008" s="439"/>
      <c r="E2008" s="418"/>
      <c r="F2008" s="418"/>
      <c r="G2008" s="439"/>
      <c r="H2008" s="418"/>
      <c r="I2008" s="418"/>
      <c r="J2008" s="418"/>
      <c r="K2008" s="418"/>
      <c r="L2008" s="418"/>
    </row>
    <row r="2009" spans="1:14" x14ac:dyDescent="0.2">
      <c r="A2009" s="2073" t="str">
        <f>co</f>
        <v>COLUMBIA GAS OF KENTUCKY, INC.</v>
      </c>
      <c r="B2009" s="2073"/>
      <c r="C2009" s="2073"/>
      <c r="D2009" s="2073"/>
      <c r="E2009" s="2073"/>
      <c r="F2009" s="2073"/>
      <c r="G2009" s="2073"/>
      <c r="H2009" s="2073"/>
      <c r="I2009" s="2073"/>
      <c r="J2009" s="2073"/>
      <c r="K2009" s="2073"/>
      <c r="L2009" s="2073"/>
      <c r="M2009" s="2073"/>
      <c r="N2009" s="2073"/>
    </row>
    <row r="2010" spans="1:14" x14ac:dyDescent="0.2">
      <c r="A2010" s="2073" t="str">
        <f>case</f>
        <v>CASE NO. 2016 - 00162</v>
      </c>
      <c r="B2010" s="2073"/>
      <c r="C2010" s="2073"/>
      <c r="D2010" s="2073"/>
      <c r="E2010" s="2073"/>
      <c r="F2010" s="2073"/>
      <c r="G2010" s="2073"/>
      <c r="H2010" s="2073"/>
      <c r="I2010" s="2073"/>
      <c r="J2010" s="2073"/>
      <c r="K2010" s="2073"/>
      <c r="L2010" s="2073"/>
      <c r="M2010" s="2073"/>
      <c r="N2010" s="2073"/>
    </row>
    <row r="2011" spans="1:14" x14ac:dyDescent="0.2">
      <c r="A2011" s="2074" t="s">
        <v>1106</v>
      </c>
      <c r="B2011" s="2073"/>
      <c r="C2011" s="2073"/>
      <c r="D2011" s="2073"/>
      <c r="E2011" s="2073"/>
      <c r="F2011" s="2073"/>
      <c r="G2011" s="2073"/>
      <c r="H2011" s="2073"/>
      <c r="I2011" s="2073"/>
      <c r="J2011" s="2073"/>
      <c r="K2011" s="2073"/>
      <c r="L2011" s="2073"/>
      <c r="M2011" s="2073"/>
      <c r="N2011" s="2073"/>
    </row>
    <row r="2012" spans="1:14" x14ac:dyDescent="0.2">
      <c r="A2012" s="2078" t="s">
        <v>2142</v>
      </c>
      <c r="B2012" s="2078"/>
      <c r="C2012" s="2078"/>
      <c r="D2012" s="2078"/>
      <c r="E2012" s="2078"/>
      <c r="F2012" s="2078"/>
      <c r="G2012" s="2078"/>
      <c r="H2012" s="2078"/>
      <c r="I2012" s="2078"/>
      <c r="J2012" s="2078"/>
      <c r="K2012" s="2078"/>
      <c r="L2012" s="2078"/>
      <c r="M2012" s="2078"/>
      <c r="N2012" s="2078"/>
    </row>
    <row r="2014" spans="1:14" x14ac:dyDescent="0.2">
      <c r="A2014" s="388" t="s">
        <v>976</v>
      </c>
      <c r="M2014" s="386"/>
      <c r="N2014" s="387" t="s">
        <v>763</v>
      </c>
    </row>
    <row r="2015" spans="1:14" x14ac:dyDescent="0.2">
      <c r="A2015" s="388" t="s">
        <v>977</v>
      </c>
      <c r="M2015" s="386"/>
      <c r="N2015" s="387" t="s">
        <v>999</v>
      </c>
    </row>
    <row r="2016" spans="1:14" x14ac:dyDescent="0.2">
      <c r="A2016" s="445" t="str">
        <f>A1963</f>
        <v>WORKPAPER REFERENCE NO(S).: WPB-2.3</v>
      </c>
      <c r="B2016" s="391"/>
      <c r="C2016" s="391"/>
      <c r="D2016" s="391"/>
      <c r="E2016" s="391"/>
      <c r="F2016" s="391"/>
      <c r="G2016" s="391"/>
      <c r="H2016" s="391"/>
      <c r="M2016" s="392"/>
      <c r="N2016" s="393" t="str">
        <f>SMK</f>
        <v>WITNESS:  S. M. KATKO</v>
      </c>
    </row>
    <row r="2017" spans="1:14" x14ac:dyDescent="0.2">
      <c r="A2017" s="390"/>
      <c r="B2017" s="391"/>
      <c r="C2017" s="391"/>
      <c r="D2017" s="391"/>
      <c r="E2017" s="391"/>
      <c r="F2017" s="391"/>
      <c r="G2017" s="391"/>
      <c r="H2017" s="391"/>
      <c r="I2017" s="392"/>
      <c r="J2017" s="393"/>
      <c r="L2017" s="386"/>
      <c r="M2017" s="386"/>
    </row>
    <row r="2018" spans="1:14" x14ac:dyDescent="0.2">
      <c r="A2018" s="390"/>
      <c r="B2018" s="391"/>
      <c r="C2018" s="391"/>
      <c r="D2018" s="2075" t="s">
        <v>1088</v>
      </c>
      <c r="E2018" s="2075"/>
      <c r="F2018" s="2075"/>
      <c r="G2018" s="2075"/>
      <c r="H2018" s="391"/>
      <c r="I2018" s="2076" t="s">
        <v>1093</v>
      </c>
      <c r="J2018" s="2077"/>
      <c r="K2018" s="2077"/>
      <c r="L2018" s="2077"/>
      <c r="M2018" s="2077"/>
      <c r="N2018" s="2077"/>
    </row>
    <row r="2019" spans="1:14" x14ac:dyDescent="0.2">
      <c r="A2019" s="394"/>
      <c r="B2019" s="391"/>
      <c r="C2019" s="391"/>
      <c r="D2019" s="396" t="s">
        <v>1084</v>
      </c>
      <c r="E2019" s="391"/>
      <c r="F2019" s="391"/>
      <c r="G2019" s="395"/>
      <c r="H2019" s="395"/>
      <c r="I2019" s="397" t="s">
        <v>1089</v>
      </c>
      <c r="J2019" s="396"/>
      <c r="M2019" s="386"/>
    </row>
    <row r="2020" spans="1:14" x14ac:dyDescent="0.2">
      <c r="A2020" s="383"/>
      <c r="D2020" s="397" t="s">
        <v>865</v>
      </c>
      <c r="G2020" s="397" t="s">
        <v>867</v>
      </c>
      <c r="H2020" s="398"/>
      <c r="I2020" s="397" t="s">
        <v>865</v>
      </c>
      <c r="J2020" s="397" t="s">
        <v>956</v>
      </c>
      <c r="M2020" s="386"/>
      <c r="N2020" s="397" t="s">
        <v>867</v>
      </c>
    </row>
    <row r="2021" spans="1:14" x14ac:dyDescent="0.2">
      <c r="A2021" s="397" t="s">
        <v>1080</v>
      </c>
      <c r="B2021" s="397" t="s">
        <v>1082</v>
      </c>
      <c r="D2021" s="397" t="s">
        <v>867</v>
      </c>
      <c r="G2021" s="399" t="s">
        <v>1087</v>
      </c>
      <c r="H2021" s="398"/>
      <c r="I2021" s="399" t="s">
        <v>867</v>
      </c>
      <c r="J2021" s="397" t="s">
        <v>1090</v>
      </c>
      <c r="K2021" s="397" t="s">
        <v>956</v>
      </c>
      <c r="M2021" s="399" t="s">
        <v>1092</v>
      </c>
      <c r="N2021" s="399" t="s">
        <v>1087</v>
      </c>
    </row>
    <row r="2022" spans="1:14" x14ac:dyDescent="0.2">
      <c r="A2022" s="400" t="s">
        <v>1081</v>
      </c>
      <c r="B2022" s="400" t="s">
        <v>1081</v>
      </c>
      <c r="C2022" s="401" t="s">
        <v>1083</v>
      </c>
      <c r="D2022" s="404" t="str">
        <f>D1969</f>
        <v>08/31/2017</v>
      </c>
      <c r="E2022" s="400" t="s">
        <v>1085</v>
      </c>
      <c r="F2022" s="400" t="s">
        <v>1086</v>
      </c>
      <c r="G2022" s="404" t="str">
        <f>G1969</f>
        <v>09/30/2017</v>
      </c>
      <c r="H2022" s="398"/>
      <c r="I2022" s="404" t="str">
        <f>D2022</f>
        <v>08/31/2017</v>
      </c>
      <c r="J2022" s="400" t="s">
        <v>1091</v>
      </c>
      <c r="K2022" s="402" t="s">
        <v>1090</v>
      </c>
      <c r="L2022" s="402" t="s">
        <v>1086</v>
      </c>
      <c r="M2022" s="402" t="s">
        <v>955</v>
      </c>
      <c r="N2022" s="404" t="str">
        <f>G2022</f>
        <v>09/30/2017</v>
      </c>
    </row>
    <row r="2023" spans="1:14" x14ac:dyDescent="0.2">
      <c r="A2023" s="406"/>
      <c r="B2023" s="406"/>
      <c r="C2023" s="406"/>
      <c r="D2023" s="406" t="str">
        <f>"(1)"</f>
        <v>(1)</v>
      </c>
      <c r="E2023" s="406" t="str">
        <f>"(2)"</f>
        <v>(2)</v>
      </c>
      <c r="F2023" s="406" t="str">
        <f>"(3)"</f>
        <v>(3)</v>
      </c>
      <c r="G2023" s="406" t="str">
        <f>"(4)=(1+2+3)"</f>
        <v>(4)=(1+2+3)</v>
      </c>
      <c r="H2023" s="406"/>
      <c r="I2023" s="406" t="str">
        <f>"(5)"</f>
        <v>(5)</v>
      </c>
      <c r="J2023" s="406" t="str">
        <f>"(6)"</f>
        <v>(6)</v>
      </c>
      <c r="K2023" s="406" t="str">
        <f>"(7)=((1+4)/2*6/12))"</f>
        <v>(7)=((1+4)/2*6/12))</v>
      </c>
      <c r="L2023" s="406" t="str">
        <f>"(8)"</f>
        <v>(8)</v>
      </c>
      <c r="M2023" s="406" t="str">
        <f>"(9)"</f>
        <v>(9)</v>
      </c>
      <c r="N2023" s="406" t="str">
        <f>"(10)=(5+7-8+9)"</f>
        <v>(10)=(5+7-8+9)</v>
      </c>
    </row>
    <row r="2024" spans="1:14" x14ac:dyDescent="0.2">
      <c r="D2024" s="410" t="s">
        <v>639</v>
      </c>
      <c r="E2024" s="410" t="s">
        <v>639</v>
      </c>
      <c r="F2024" s="410" t="s">
        <v>639</v>
      </c>
      <c r="G2024" s="410" t="s">
        <v>639</v>
      </c>
      <c r="H2024" s="410"/>
      <c r="I2024" s="410" t="s">
        <v>639</v>
      </c>
      <c r="J2024" s="410" t="s">
        <v>639</v>
      </c>
      <c r="K2024" s="410" t="s">
        <v>639</v>
      </c>
      <c r="L2024" s="410" t="s">
        <v>639</v>
      </c>
      <c r="M2024" s="410" t="s">
        <v>639</v>
      </c>
      <c r="N2024" s="410" t="s">
        <v>639</v>
      </c>
    </row>
    <row r="2025" spans="1:14" x14ac:dyDescent="0.2">
      <c r="C2025" s="411" t="s">
        <v>707</v>
      </c>
      <c r="D2025" s="410"/>
      <c r="E2025" s="410"/>
      <c r="F2025" s="410"/>
      <c r="G2025" s="410"/>
      <c r="J2025" s="410"/>
    </row>
    <row r="2026" spans="1:14" x14ac:dyDescent="0.2">
      <c r="A2026" s="405">
        <v>1</v>
      </c>
      <c r="B2026" s="446">
        <v>381</v>
      </c>
      <c r="C2026" s="414" t="s">
        <v>1052</v>
      </c>
      <c r="D2026" s="415">
        <f t="shared" ref="D2026:D2037" si="628">G1920</f>
        <v>13997508.550000001</v>
      </c>
      <c r="E2026" s="417">
        <v>87700</v>
      </c>
      <c r="F2026" s="417">
        <v>-10500</v>
      </c>
      <c r="G2026" s="415">
        <f>SUM(D2026:F2026)</f>
        <v>14074708.550000001</v>
      </c>
      <c r="H2026" s="418"/>
      <c r="I2026" s="415">
        <f t="shared" ref="I2026:I2037" si="629">N1920</f>
        <v>5196614.8899999997</v>
      </c>
      <c r="J2026" s="442">
        <f t="shared" ref="J2026:J2037" si="630">J1920</f>
        <v>3.3000000000000002E-2</v>
      </c>
      <c r="K2026" s="418">
        <f t="shared" ref="K2026:K2037" si="631">ROUND((G2026+D2026)/2*J2026/12,0)</f>
        <v>38599</v>
      </c>
      <c r="L2026" s="418">
        <f t="shared" ref="L2026:L2037" si="632">-F2026</f>
        <v>10500</v>
      </c>
      <c r="M2026" s="417">
        <v>0</v>
      </c>
      <c r="N2026" s="408">
        <f t="shared" ref="N2026:N2037" si="633">I2026+K2026-L2026+M2026</f>
        <v>5224713.8899999997</v>
      </c>
    </row>
    <row r="2027" spans="1:14" x14ac:dyDescent="0.2">
      <c r="A2027" s="405">
        <f>A2026+1</f>
        <v>2</v>
      </c>
      <c r="B2027" s="446">
        <v>381.1</v>
      </c>
      <c r="C2027" s="414" t="s">
        <v>1052</v>
      </c>
      <c r="D2027" s="415">
        <f t="shared" si="628"/>
        <v>8836812.0600000005</v>
      </c>
      <c r="E2027" s="417">
        <v>5300</v>
      </c>
      <c r="F2027" s="417">
        <v>-600</v>
      </c>
      <c r="G2027" s="415">
        <f>SUM(D2027:F2027)</f>
        <v>8841512.0600000005</v>
      </c>
      <c r="H2027" s="418"/>
      <c r="I2027" s="415">
        <f t="shared" si="629"/>
        <v>1018197.5</v>
      </c>
      <c r="J2027" s="442">
        <f t="shared" si="630"/>
        <v>8.0600000000000005E-2</v>
      </c>
      <c r="K2027" s="418">
        <f t="shared" si="631"/>
        <v>59370</v>
      </c>
      <c r="L2027" s="418">
        <f t="shared" si="632"/>
        <v>600</v>
      </c>
      <c r="M2027" s="417">
        <v>0</v>
      </c>
      <c r="N2027" s="408">
        <f t="shared" si="633"/>
        <v>1076967.5</v>
      </c>
    </row>
    <row r="2028" spans="1:14" x14ac:dyDescent="0.2">
      <c r="A2028" s="405">
        <f t="shared" ref="A2028:A2038" si="634">A2027+1</f>
        <v>3</v>
      </c>
      <c r="B2028" s="446">
        <v>382</v>
      </c>
      <c r="C2028" s="414" t="s">
        <v>1053</v>
      </c>
      <c r="D2028" s="415">
        <f t="shared" si="628"/>
        <v>9491792.6500000004</v>
      </c>
      <c r="E2028" s="417">
        <v>49100</v>
      </c>
      <c r="F2028" s="417">
        <v>-5900</v>
      </c>
      <c r="G2028" s="415">
        <f t="shared" ref="G2028:G2033" si="635">SUM(D2028:F2028)</f>
        <v>9534992.6500000004</v>
      </c>
      <c r="H2028" s="418"/>
      <c r="I2028" s="415">
        <f t="shared" si="629"/>
        <v>4747322.3</v>
      </c>
      <c r="J2028" s="442">
        <f t="shared" si="630"/>
        <v>2.4400000000000002E-2</v>
      </c>
      <c r="K2028" s="418">
        <f t="shared" si="631"/>
        <v>19344</v>
      </c>
      <c r="L2028" s="418">
        <f t="shared" si="632"/>
        <v>5900</v>
      </c>
      <c r="M2028" s="417">
        <v>-300</v>
      </c>
      <c r="N2028" s="408">
        <f t="shared" si="633"/>
        <v>4760466.3</v>
      </c>
    </row>
    <row r="2029" spans="1:14" x14ac:dyDescent="0.2">
      <c r="A2029" s="405">
        <f t="shared" si="634"/>
        <v>4</v>
      </c>
      <c r="B2029" s="446">
        <v>383</v>
      </c>
      <c r="C2029" s="414" t="s">
        <v>1054</v>
      </c>
      <c r="D2029" s="415">
        <f t="shared" si="628"/>
        <v>5790520.7599999998</v>
      </c>
      <c r="E2029" s="417">
        <v>22300</v>
      </c>
      <c r="F2029" s="417">
        <v>-2700</v>
      </c>
      <c r="G2029" s="415">
        <f t="shared" si="635"/>
        <v>5810120.7599999998</v>
      </c>
      <c r="H2029" s="418"/>
      <c r="I2029" s="415">
        <f t="shared" si="629"/>
        <v>1591487.41</v>
      </c>
      <c r="J2029" s="442">
        <f t="shared" si="630"/>
        <v>2.7300000000000001E-2</v>
      </c>
      <c r="K2029" s="418">
        <f t="shared" si="631"/>
        <v>13196</v>
      </c>
      <c r="L2029" s="418">
        <f t="shared" si="632"/>
        <v>2700</v>
      </c>
      <c r="M2029" s="417">
        <v>-100</v>
      </c>
      <c r="N2029" s="408">
        <f t="shared" si="633"/>
        <v>1601883.41</v>
      </c>
    </row>
    <row r="2030" spans="1:14" x14ac:dyDescent="0.2">
      <c r="A2030" s="405">
        <f t="shared" si="634"/>
        <v>5</v>
      </c>
      <c r="B2030" s="446">
        <v>384</v>
      </c>
      <c r="C2030" s="414" t="s">
        <v>1055</v>
      </c>
      <c r="D2030" s="415">
        <f t="shared" si="628"/>
        <v>2257522</v>
      </c>
      <c r="E2030" s="417">
        <v>0</v>
      </c>
      <c r="F2030" s="417">
        <v>0</v>
      </c>
      <c r="G2030" s="415">
        <f t="shared" si="635"/>
        <v>2257522</v>
      </c>
      <c r="H2030" s="418"/>
      <c r="I2030" s="415">
        <f t="shared" si="629"/>
        <v>1784528.73</v>
      </c>
      <c r="J2030" s="442">
        <f t="shared" si="630"/>
        <v>1.01E-2</v>
      </c>
      <c r="K2030" s="418">
        <f t="shared" si="631"/>
        <v>1900</v>
      </c>
      <c r="L2030" s="418">
        <f t="shared" si="632"/>
        <v>0</v>
      </c>
      <c r="M2030" s="417">
        <v>0</v>
      </c>
      <c r="N2030" s="408">
        <f t="shared" si="633"/>
        <v>1786428.73</v>
      </c>
    </row>
    <row r="2031" spans="1:14" x14ac:dyDescent="0.2">
      <c r="A2031" s="405">
        <f t="shared" si="634"/>
        <v>6</v>
      </c>
      <c r="B2031" s="446">
        <v>385</v>
      </c>
      <c r="C2031" s="414" t="s">
        <v>1056</v>
      </c>
      <c r="D2031" s="415">
        <f t="shared" si="628"/>
        <v>3394983.36</v>
      </c>
      <c r="E2031" s="417">
        <v>38300</v>
      </c>
      <c r="F2031" s="417">
        <v>-4600</v>
      </c>
      <c r="G2031" s="415">
        <f t="shared" si="635"/>
        <v>3428683.36</v>
      </c>
      <c r="H2031" s="418"/>
      <c r="I2031" s="415">
        <f t="shared" si="629"/>
        <v>981622.55</v>
      </c>
      <c r="J2031" s="442">
        <f t="shared" si="630"/>
        <v>5.0799999999999998E-2</v>
      </c>
      <c r="K2031" s="418">
        <f t="shared" si="631"/>
        <v>14443</v>
      </c>
      <c r="L2031" s="418">
        <f t="shared" si="632"/>
        <v>4600</v>
      </c>
      <c r="M2031" s="417">
        <v>-200</v>
      </c>
      <c r="N2031" s="408">
        <f t="shared" si="633"/>
        <v>991265.55</v>
      </c>
    </row>
    <row r="2032" spans="1:14" x14ac:dyDescent="0.2">
      <c r="A2032" s="405">
        <f t="shared" si="634"/>
        <v>7</v>
      </c>
      <c r="B2032" s="446">
        <v>387.2</v>
      </c>
      <c r="C2032" s="414" t="s">
        <v>1057</v>
      </c>
      <c r="D2032" s="415">
        <f t="shared" si="628"/>
        <v>0</v>
      </c>
      <c r="E2032" s="417">
        <v>0</v>
      </c>
      <c r="F2032" s="417">
        <v>0</v>
      </c>
      <c r="G2032" s="415">
        <f t="shared" si="635"/>
        <v>0</v>
      </c>
      <c r="H2032" s="418"/>
      <c r="I2032" s="415">
        <f t="shared" si="629"/>
        <v>-59912.03</v>
      </c>
      <c r="J2032" s="442">
        <f t="shared" si="630"/>
        <v>0</v>
      </c>
      <c r="K2032" s="418">
        <f t="shared" si="631"/>
        <v>0</v>
      </c>
      <c r="L2032" s="418">
        <f t="shared" si="632"/>
        <v>0</v>
      </c>
      <c r="M2032" s="417">
        <v>0</v>
      </c>
      <c r="N2032" s="408">
        <f t="shared" si="633"/>
        <v>-59912.03</v>
      </c>
    </row>
    <row r="2033" spans="1:14" x14ac:dyDescent="0.2">
      <c r="A2033" s="405">
        <f t="shared" si="634"/>
        <v>8</v>
      </c>
      <c r="B2033" s="446">
        <v>387.41</v>
      </c>
      <c r="C2033" s="414" t="s">
        <v>1058</v>
      </c>
      <c r="D2033" s="415">
        <f t="shared" si="628"/>
        <v>735770.76</v>
      </c>
      <c r="E2033" s="417">
        <v>0</v>
      </c>
      <c r="F2033" s="417">
        <v>0</v>
      </c>
      <c r="G2033" s="415">
        <f t="shared" si="635"/>
        <v>735770.76</v>
      </c>
      <c r="H2033" s="418"/>
      <c r="I2033" s="415">
        <f t="shared" si="629"/>
        <v>404401.95</v>
      </c>
      <c r="J2033" s="442">
        <f t="shared" si="630"/>
        <v>3.7400000000000003E-2</v>
      </c>
      <c r="K2033" s="418">
        <f t="shared" si="631"/>
        <v>2293</v>
      </c>
      <c r="L2033" s="418">
        <f t="shared" si="632"/>
        <v>0</v>
      </c>
      <c r="M2033" s="417">
        <v>0</v>
      </c>
      <c r="N2033" s="408">
        <f t="shared" si="633"/>
        <v>406694.95</v>
      </c>
    </row>
    <row r="2034" spans="1:14" x14ac:dyDescent="0.2">
      <c r="A2034" s="405">
        <f t="shared" si="634"/>
        <v>9</v>
      </c>
      <c r="B2034" s="446">
        <v>387.42</v>
      </c>
      <c r="C2034" s="414" t="s">
        <v>1059</v>
      </c>
      <c r="D2034" s="415">
        <f t="shared" si="628"/>
        <v>795186.58</v>
      </c>
      <c r="E2034" s="417">
        <v>0</v>
      </c>
      <c r="F2034" s="417">
        <v>0</v>
      </c>
      <c r="G2034" s="415">
        <f>SUM(D2034:F2034)</f>
        <v>795186.58</v>
      </c>
      <c r="H2034" s="418"/>
      <c r="I2034" s="415">
        <f t="shared" si="629"/>
        <v>572369.94999999995</v>
      </c>
      <c r="J2034" s="442">
        <f t="shared" si="630"/>
        <v>3.7400000000000003E-2</v>
      </c>
      <c r="K2034" s="418">
        <f t="shared" si="631"/>
        <v>2478</v>
      </c>
      <c r="L2034" s="418">
        <f t="shared" si="632"/>
        <v>0</v>
      </c>
      <c r="M2034" s="417">
        <v>0</v>
      </c>
      <c r="N2034" s="408">
        <f t="shared" si="633"/>
        <v>574847.94999999995</v>
      </c>
    </row>
    <row r="2035" spans="1:14" x14ac:dyDescent="0.2">
      <c r="A2035" s="405">
        <f t="shared" si="634"/>
        <v>10</v>
      </c>
      <c r="B2035" s="446">
        <v>387.44</v>
      </c>
      <c r="C2035" s="414" t="s">
        <v>1060</v>
      </c>
      <c r="D2035" s="415">
        <f t="shared" si="628"/>
        <v>143283.93</v>
      </c>
      <c r="E2035" s="417">
        <v>0</v>
      </c>
      <c r="F2035" s="417">
        <v>0</v>
      </c>
      <c r="G2035" s="415">
        <f>SUM(D2035:F2035)</f>
        <v>143283.93</v>
      </c>
      <c r="H2035" s="418"/>
      <c r="I2035" s="415">
        <f t="shared" si="629"/>
        <v>50524.55</v>
      </c>
      <c r="J2035" s="442">
        <f t="shared" si="630"/>
        <v>3.7400000000000003E-2</v>
      </c>
      <c r="K2035" s="418">
        <f t="shared" si="631"/>
        <v>447</v>
      </c>
      <c r="L2035" s="418">
        <f t="shared" si="632"/>
        <v>0</v>
      </c>
      <c r="M2035" s="417">
        <v>0</v>
      </c>
      <c r="N2035" s="408">
        <f t="shared" si="633"/>
        <v>50971.55</v>
      </c>
    </row>
    <row r="2036" spans="1:14" x14ac:dyDescent="0.2">
      <c r="A2036" s="405">
        <f t="shared" si="634"/>
        <v>11</v>
      </c>
      <c r="B2036" s="446">
        <v>387.45</v>
      </c>
      <c r="C2036" s="414" t="s">
        <v>1061</v>
      </c>
      <c r="D2036" s="415">
        <f t="shared" si="628"/>
        <v>3888504.66</v>
      </c>
      <c r="E2036" s="417">
        <f>119600+80000</f>
        <v>199600</v>
      </c>
      <c r="F2036" s="417">
        <v>-23900</v>
      </c>
      <c r="G2036" s="415">
        <f>SUM(D2036:F2036)</f>
        <v>4064204.66</v>
      </c>
      <c r="H2036" s="418"/>
      <c r="I2036" s="415">
        <f t="shared" si="629"/>
        <v>534206.06000000006</v>
      </c>
      <c r="J2036" s="442">
        <f t="shared" si="630"/>
        <v>3.7400000000000003E-2</v>
      </c>
      <c r="K2036" s="418">
        <f t="shared" si="631"/>
        <v>12393</v>
      </c>
      <c r="L2036" s="418">
        <f t="shared" si="632"/>
        <v>23900</v>
      </c>
      <c r="M2036" s="417">
        <v>0</v>
      </c>
      <c r="N2036" s="408">
        <f t="shared" si="633"/>
        <v>522699.06000000006</v>
      </c>
    </row>
    <row r="2037" spans="1:14" x14ac:dyDescent="0.2">
      <c r="A2037" s="405">
        <f t="shared" si="634"/>
        <v>12</v>
      </c>
      <c r="B2037" s="446">
        <v>387.46</v>
      </c>
      <c r="C2037" s="414" t="s">
        <v>1062</v>
      </c>
      <c r="D2037" s="421">
        <f t="shared" si="628"/>
        <v>113644.47</v>
      </c>
      <c r="E2037" s="1662">
        <v>0</v>
      </c>
      <c r="F2037" s="1662">
        <v>0</v>
      </c>
      <c r="G2037" s="428">
        <f>SUM(D2037:F2037)</f>
        <v>113644.47</v>
      </c>
      <c r="H2037" s="447"/>
      <c r="I2037" s="421">
        <f t="shared" si="629"/>
        <v>115064.83</v>
      </c>
      <c r="J2037" s="442">
        <f t="shared" si="630"/>
        <v>3.7400000000000003E-2</v>
      </c>
      <c r="K2037" s="421">
        <f t="shared" si="631"/>
        <v>354</v>
      </c>
      <c r="L2037" s="421">
        <f t="shared" si="632"/>
        <v>0</v>
      </c>
      <c r="M2037" s="422">
        <v>0</v>
      </c>
      <c r="N2037" s="423">
        <f t="shared" si="633"/>
        <v>115418.83</v>
      </c>
    </row>
    <row r="2038" spans="1:14" x14ac:dyDescent="0.2">
      <c r="A2038" s="405">
        <f t="shared" si="634"/>
        <v>13</v>
      </c>
      <c r="B2038" s="448"/>
      <c r="C2038" s="386" t="s">
        <v>1063</v>
      </c>
      <c r="D2038" s="418">
        <f>SUM(D2026:D2037,D1986:D2007)</f>
        <v>425830222.37999994</v>
      </c>
      <c r="E2038" s="418">
        <f>SUM(E2026:E2037,E1986:E2007)</f>
        <v>4093066</v>
      </c>
      <c r="F2038" s="418">
        <f>SUM(F2026:F2037,F1986:F2007)</f>
        <v>-491100</v>
      </c>
      <c r="G2038" s="418">
        <f>SUM(G2026:G2037,G1986:G2007)</f>
        <v>429432188.37999994</v>
      </c>
      <c r="H2038" s="418"/>
      <c r="I2038" s="418">
        <f>SUM(I2026:I2037,I1986:I2007)</f>
        <v>147820174.67052633</v>
      </c>
      <c r="J2038" s="418"/>
      <c r="K2038" s="418">
        <f>SUM(K2026:K2037,K1986:K2007)</f>
        <v>1196857.0494736843</v>
      </c>
      <c r="L2038" s="418">
        <f>SUM(L2026:L2037,L1986:L2007)</f>
        <v>491100</v>
      </c>
      <c r="M2038" s="418">
        <f>SUM(M2026:M2037,M1986:M2007)</f>
        <v>-127500</v>
      </c>
      <c r="N2038" s="418">
        <f>SUM(N2026:N2037,N1986:N2007)</f>
        <v>148398431.72</v>
      </c>
    </row>
    <row r="2039" spans="1:14" x14ac:dyDescent="0.2">
      <c r="B2039" s="448"/>
      <c r="D2039" s="418"/>
      <c r="E2039" s="418"/>
      <c r="F2039" s="418"/>
      <c r="G2039" s="418"/>
      <c r="H2039" s="418"/>
      <c r="I2039" s="439"/>
      <c r="J2039" s="418"/>
      <c r="K2039" s="418"/>
      <c r="L2039" s="418"/>
      <c r="M2039" s="418"/>
    </row>
    <row r="2040" spans="1:14" x14ac:dyDescent="0.2">
      <c r="A2040" s="405">
        <f>A2038+1</f>
        <v>14</v>
      </c>
      <c r="B2040" s="448"/>
      <c r="C2040" s="411" t="s">
        <v>737</v>
      </c>
      <c r="D2040" s="418"/>
      <c r="E2040" s="418"/>
      <c r="F2040" s="418"/>
      <c r="G2040" s="418"/>
      <c r="H2040" s="418"/>
      <c r="I2040" s="439"/>
      <c r="J2040" s="418"/>
      <c r="K2040" s="418"/>
      <c r="L2040" s="418"/>
      <c r="M2040" s="418"/>
    </row>
    <row r="2041" spans="1:14" x14ac:dyDescent="0.2">
      <c r="A2041" s="410">
        <f>A2040+1</f>
        <v>15</v>
      </c>
      <c r="B2041" s="446">
        <v>391.1</v>
      </c>
      <c r="C2041" s="414" t="s">
        <v>1064</v>
      </c>
      <c r="D2041" s="415">
        <f t="shared" ref="D2041:D2054" si="636">G1935</f>
        <v>713480.71</v>
      </c>
      <c r="E2041" s="417">
        <v>0</v>
      </c>
      <c r="F2041" s="417">
        <v>0</v>
      </c>
      <c r="G2041" s="415">
        <f t="shared" ref="G2041:G2054" si="637">SUM(D2041:F2041)</f>
        <v>713480.71</v>
      </c>
      <c r="H2041" s="418"/>
      <c r="I2041" s="415">
        <f t="shared" ref="I2041:I2054" si="638">N1935</f>
        <v>-26792.22</v>
      </c>
      <c r="J2041" s="442">
        <f t="shared" ref="J2041:J2054" si="639">J1935</f>
        <v>0.05</v>
      </c>
      <c r="K2041" s="418">
        <f>ROUND((G2041+D2041)/2*J2041/12,0)</f>
        <v>2973</v>
      </c>
      <c r="L2041" s="418">
        <f t="shared" ref="L2041:L2054" si="640">-F2041</f>
        <v>0</v>
      </c>
      <c r="M2041" s="417">
        <v>0</v>
      </c>
      <c r="N2041" s="408">
        <f t="shared" ref="N2041:N2054" si="641">I2041+K2041-L2041+M2041</f>
        <v>-23819.22</v>
      </c>
    </row>
    <row r="2042" spans="1:14" x14ac:dyDescent="0.2">
      <c r="A2042" s="410">
        <f t="shared" ref="A2042:A2055" si="642">A2041+1</f>
        <v>16</v>
      </c>
      <c r="B2042" s="446">
        <v>391.11</v>
      </c>
      <c r="C2042" s="414" t="s">
        <v>1065</v>
      </c>
      <c r="D2042" s="415">
        <f t="shared" si="636"/>
        <v>18815.57</v>
      </c>
      <c r="E2042" s="417">
        <v>0</v>
      </c>
      <c r="F2042" s="417">
        <v>0</v>
      </c>
      <c r="G2042" s="415">
        <f t="shared" si="637"/>
        <v>18815.57</v>
      </c>
      <c r="H2042" s="418"/>
      <c r="I2042" s="415">
        <f t="shared" si="638"/>
        <v>-11144.77</v>
      </c>
      <c r="J2042" s="442">
        <f t="shared" si="639"/>
        <v>6.6699999999999995E-2</v>
      </c>
      <c r="K2042" s="418">
        <f>ROUND((G2042+D2042)/2*J2042/12,0)</f>
        <v>105</v>
      </c>
      <c r="L2042" s="418">
        <f t="shared" si="640"/>
        <v>0</v>
      </c>
      <c r="M2042" s="417">
        <v>0</v>
      </c>
      <c r="N2042" s="408">
        <f t="shared" si="641"/>
        <v>-11039.77</v>
      </c>
    </row>
    <row r="2043" spans="1:14" x14ac:dyDescent="0.2">
      <c r="A2043" s="410">
        <f t="shared" si="642"/>
        <v>17</v>
      </c>
      <c r="B2043" s="446">
        <v>391.12</v>
      </c>
      <c r="C2043" s="414" t="s">
        <v>1066</v>
      </c>
      <c r="D2043" s="415">
        <f t="shared" si="636"/>
        <v>1407883.4100000001</v>
      </c>
      <c r="E2043" s="417">
        <v>0</v>
      </c>
      <c r="F2043" s="417">
        <v>0</v>
      </c>
      <c r="G2043" s="415">
        <f t="shared" si="637"/>
        <v>1407883.4100000001</v>
      </c>
      <c r="H2043" s="418"/>
      <c r="I2043" s="415">
        <f t="shared" si="638"/>
        <v>769365.37</v>
      </c>
      <c r="J2043" s="442">
        <f t="shared" si="639"/>
        <v>0.2</v>
      </c>
      <c r="K2043" s="418">
        <f>ROUND((G2043+D2043)/2*J2043/12,0)</f>
        <v>23465</v>
      </c>
      <c r="L2043" s="418">
        <f t="shared" si="640"/>
        <v>0</v>
      </c>
      <c r="M2043" s="417">
        <v>0</v>
      </c>
      <c r="N2043" s="408">
        <f t="shared" si="641"/>
        <v>792830.37</v>
      </c>
    </row>
    <row r="2044" spans="1:14" x14ac:dyDescent="0.2">
      <c r="A2044" s="410">
        <f t="shared" si="642"/>
        <v>18</v>
      </c>
      <c r="B2044" s="446">
        <v>392.2</v>
      </c>
      <c r="C2044" s="414" t="s">
        <v>1067</v>
      </c>
      <c r="D2044" s="415">
        <f t="shared" si="636"/>
        <v>95778</v>
      </c>
      <c r="E2044" s="417">
        <v>0</v>
      </c>
      <c r="F2044" s="417">
        <v>0</v>
      </c>
      <c r="G2044" s="415">
        <f t="shared" si="637"/>
        <v>95778</v>
      </c>
      <c r="H2044" s="418"/>
      <c r="I2044" s="415">
        <f t="shared" si="638"/>
        <v>28495.05</v>
      </c>
      <c r="J2044" s="442">
        <f t="shared" si="639"/>
        <v>9.1499999999999998E-2</v>
      </c>
      <c r="K2044" s="418">
        <f>ROUND((G2044+D2044)/2*J2044/12,0)</f>
        <v>730</v>
      </c>
      <c r="L2044" s="418">
        <f t="shared" si="640"/>
        <v>0</v>
      </c>
      <c r="M2044" s="417">
        <v>0</v>
      </c>
      <c r="N2044" s="408">
        <f t="shared" si="641"/>
        <v>29225.05</v>
      </c>
    </row>
    <row r="2045" spans="1:14" x14ac:dyDescent="0.2">
      <c r="A2045" s="410">
        <f t="shared" si="642"/>
        <v>19</v>
      </c>
      <c r="B2045" s="446">
        <v>392.21</v>
      </c>
      <c r="C2045" s="414" t="s">
        <v>1068</v>
      </c>
      <c r="D2045" s="415">
        <f t="shared" si="636"/>
        <v>24462.2</v>
      </c>
      <c r="E2045" s="417">
        <v>0</v>
      </c>
      <c r="F2045" s="417">
        <v>0</v>
      </c>
      <c r="G2045" s="415">
        <f t="shared" si="637"/>
        <v>24462.2</v>
      </c>
      <c r="H2045" s="418"/>
      <c r="I2045" s="415">
        <f t="shared" si="638"/>
        <v>6683.4</v>
      </c>
      <c r="J2045" s="442">
        <f t="shared" si="639"/>
        <v>9.1499999999999998E-2</v>
      </c>
      <c r="K2045" s="418">
        <f>ROUND((G2045+D2045)/2*J2045/12,0)</f>
        <v>187</v>
      </c>
      <c r="L2045" s="418">
        <f t="shared" si="640"/>
        <v>0</v>
      </c>
      <c r="M2045" s="417">
        <v>0</v>
      </c>
      <c r="N2045" s="408">
        <f t="shared" si="641"/>
        <v>6870.4</v>
      </c>
    </row>
    <row r="2046" spans="1:14" x14ac:dyDescent="0.2">
      <c r="A2046" s="410">
        <f t="shared" si="642"/>
        <v>20</v>
      </c>
      <c r="B2046" s="446">
        <v>393</v>
      </c>
      <c r="C2046" s="414" t="s">
        <v>1069</v>
      </c>
      <c r="D2046" s="415">
        <f t="shared" si="636"/>
        <v>0</v>
      </c>
      <c r="E2046" s="417">
        <v>0</v>
      </c>
      <c r="F2046" s="417">
        <v>0</v>
      </c>
      <c r="G2046" s="415">
        <f t="shared" si="637"/>
        <v>0</v>
      </c>
      <c r="H2046" s="418"/>
      <c r="I2046" s="415">
        <f t="shared" si="638"/>
        <v>0</v>
      </c>
      <c r="J2046" s="442" t="str">
        <f t="shared" si="639"/>
        <v>Amort.</v>
      </c>
      <c r="K2046" s="417">
        <v>0</v>
      </c>
      <c r="L2046" s="418">
        <f t="shared" si="640"/>
        <v>0</v>
      </c>
      <c r="M2046" s="417">
        <v>0</v>
      </c>
      <c r="N2046" s="408">
        <f t="shared" si="641"/>
        <v>0</v>
      </c>
    </row>
    <row r="2047" spans="1:14" x14ac:dyDescent="0.2">
      <c r="A2047" s="410">
        <f t="shared" si="642"/>
        <v>21</v>
      </c>
      <c r="B2047" s="446">
        <v>394.1</v>
      </c>
      <c r="C2047" s="414" t="s">
        <v>1070</v>
      </c>
      <c r="D2047" s="415">
        <f t="shared" si="636"/>
        <v>24240.799999999999</v>
      </c>
      <c r="E2047" s="417">
        <v>0</v>
      </c>
      <c r="F2047" s="417">
        <v>0</v>
      </c>
      <c r="G2047" s="415">
        <f t="shared" si="637"/>
        <v>24240.799999999999</v>
      </c>
      <c r="H2047" s="418"/>
      <c r="I2047" s="415">
        <f t="shared" si="638"/>
        <v>15256.82</v>
      </c>
      <c r="J2047" s="442">
        <f t="shared" si="639"/>
        <v>0.04</v>
      </c>
      <c r="K2047" s="418">
        <f t="shared" ref="K2047:K2054" si="643">ROUND((G2047+D2047)/2*J2047/12,0)</f>
        <v>81</v>
      </c>
      <c r="L2047" s="418">
        <f t="shared" si="640"/>
        <v>0</v>
      </c>
      <c r="M2047" s="417">
        <v>0</v>
      </c>
      <c r="N2047" s="408">
        <f t="shared" si="641"/>
        <v>15337.82</v>
      </c>
    </row>
    <row r="2048" spans="1:14" x14ac:dyDescent="0.2">
      <c r="A2048" s="410">
        <f t="shared" si="642"/>
        <v>22</v>
      </c>
      <c r="B2048" s="446">
        <v>394.11</v>
      </c>
      <c r="C2048" s="414" t="s">
        <v>1071</v>
      </c>
      <c r="D2048" s="415">
        <f t="shared" si="636"/>
        <v>0</v>
      </c>
      <c r="E2048" s="417">
        <v>0</v>
      </c>
      <c r="F2048" s="417">
        <v>0</v>
      </c>
      <c r="G2048" s="415">
        <f t="shared" si="637"/>
        <v>0</v>
      </c>
      <c r="H2048" s="418"/>
      <c r="I2048" s="415">
        <f t="shared" si="638"/>
        <v>0</v>
      </c>
      <c r="J2048" s="442">
        <f t="shared" si="639"/>
        <v>0</v>
      </c>
      <c r="K2048" s="417">
        <v>0</v>
      </c>
      <c r="L2048" s="418">
        <f t="shared" si="640"/>
        <v>0</v>
      </c>
      <c r="M2048" s="417">
        <v>0</v>
      </c>
      <c r="N2048" s="408">
        <f t="shared" si="641"/>
        <v>0</v>
      </c>
    </row>
    <row r="2049" spans="1:15" x14ac:dyDescent="0.2">
      <c r="A2049" s="410">
        <f t="shared" si="642"/>
        <v>23</v>
      </c>
      <c r="B2049" s="446">
        <v>394.13</v>
      </c>
      <c r="C2049" s="438" t="s">
        <v>1072</v>
      </c>
      <c r="D2049" s="415">
        <f t="shared" si="636"/>
        <v>0</v>
      </c>
      <c r="E2049" s="417">
        <v>0</v>
      </c>
      <c r="F2049" s="417">
        <v>0</v>
      </c>
      <c r="G2049" s="415">
        <f t="shared" si="637"/>
        <v>0</v>
      </c>
      <c r="H2049" s="418"/>
      <c r="I2049" s="415">
        <f t="shared" si="638"/>
        <v>37937.360000000001</v>
      </c>
      <c r="J2049" s="442" t="str">
        <f t="shared" si="639"/>
        <v>Amort.</v>
      </c>
      <c r="K2049" s="417">
        <v>0</v>
      </c>
      <c r="L2049" s="418">
        <f t="shared" si="640"/>
        <v>0</v>
      </c>
      <c r="M2049" s="417">
        <v>0</v>
      </c>
      <c r="N2049" s="408">
        <f t="shared" si="641"/>
        <v>37937.360000000001</v>
      </c>
    </row>
    <row r="2050" spans="1:15" x14ac:dyDescent="0.2">
      <c r="A2050" s="410">
        <f t="shared" si="642"/>
        <v>24</v>
      </c>
      <c r="B2050" s="446">
        <v>394.2</v>
      </c>
      <c r="C2050" s="414" t="s">
        <v>1073</v>
      </c>
      <c r="D2050" s="415">
        <f t="shared" si="636"/>
        <v>0</v>
      </c>
      <c r="E2050" s="417">
        <v>0</v>
      </c>
      <c r="F2050" s="417">
        <v>0</v>
      </c>
      <c r="G2050" s="415">
        <f t="shared" si="637"/>
        <v>0</v>
      </c>
      <c r="H2050" s="418"/>
      <c r="I2050" s="415">
        <f t="shared" si="638"/>
        <v>185.21</v>
      </c>
      <c r="J2050" s="442">
        <f t="shared" si="639"/>
        <v>0.04</v>
      </c>
      <c r="K2050" s="418">
        <f t="shared" si="643"/>
        <v>0</v>
      </c>
      <c r="L2050" s="418">
        <f t="shared" si="640"/>
        <v>0</v>
      </c>
      <c r="M2050" s="417">
        <v>0</v>
      </c>
      <c r="N2050" s="408">
        <f t="shared" si="641"/>
        <v>185.21</v>
      </c>
    </row>
    <row r="2051" spans="1:15" x14ac:dyDescent="0.2">
      <c r="A2051" s="410">
        <f t="shared" si="642"/>
        <v>25</v>
      </c>
      <c r="B2051" s="446">
        <v>394.3</v>
      </c>
      <c r="C2051" s="414" t="s">
        <v>1074</v>
      </c>
      <c r="D2051" s="415">
        <f t="shared" si="636"/>
        <v>3201921.16</v>
      </c>
      <c r="E2051" s="417">
        <v>58900</v>
      </c>
      <c r="F2051" s="417">
        <v>-7100</v>
      </c>
      <c r="G2051" s="415">
        <f t="shared" si="637"/>
        <v>3253721.16</v>
      </c>
      <c r="H2051" s="418"/>
      <c r="I2051" s="415">
        <f t="shared" si="638"/>
        <v>1356026.15</v>
      </c>
      <c r="J2051" s="442">
        <f t="shared" si="639"/>
        <v>0.04</v>
      </c>
      <c r="K2051" s="418">
        <f t="shared" si="643"/>
        <v>10759</v>
      </c>
      <c r="L2051" s="418">
        <f t="shared" si="640"/>
        <v>7100</v>
      </c>
      <c r="M2051" s="417">
        <v>0</v>
      </c>
      <c r="N2051" s="408">
        <f t="shared" si="641"/>
        <v>1359685.15</v>
      </c>
    </row>
    <row r="2052" spans="1:15" x14ac:dyDescent="0.2">
      <c r="A2052" s="410">
        <f t="shared" si="642"/>
        <v>26</v>
      </c>
      <c r="B2052" s="446">
        <v>395</v>
      </c>
      <c r="C2052" s="414" t="s">
        <v>1075</v>
      </c>
      <c r="D2052" s="415">
        <f t="shared" si="636"/>
        <v>9257.77</v>
      </c>
      <c r="E2052" s="417">
        <v>0</v>
      </c>
      <c r="F2052" s="417">
        <v>0</v>
      </c>
      <c r="G2052" s="415">
        <f t="shared" si="637"/>
        <v>9257.77</v>
      </c>
      <c r="H2052" s="418"/>
      <c r="I2052" s="415">
        <f t="shared" si="638"/>
        <v>7841.59</v>
      </c>
      <c r="J2052" s="442">
        <f t="shared" si="639"/>
        <v>0.05</v>
      </c>
      <c r="K2052" s="418">
        <f t="shared" si="643"/>
        <v>39</v>
      </c>
      <c r="L2052" s="418">
        <f t="shared" si="640"/>
        <v>0</v>
      </c>
      <c r="M2052" s="417">
        <v>0</v>
      </c>
      <c r="N2052" s="408">
        <f t="shared" si="641"/>
        <v>7880.59</v>
      </c>
    </row>
    <row r="2053" spans="1:15" x14ac:dyDescent="0.2">
      <c r="A2053" s="410">
        <f t="shared" si="642"/>
        <v>27</v>
      </c>
      <c r="B2053" s="446">
        <v>396</v>
      </c>
      <c r="C2053" s="414" t="s">
        <v>1076</v>
      </c>
      <c r="D2053" s="415">
        <f t="shared" si="636"/>
        <v>253134.72</v>
      </c>
      <c r="E2053" s="417">
        <v>0</v>
      </c>
      <c r="F2053" s="417">
        <v>0</v>
      </c>
      <c r="G2053" s="415">
        <f t="shared" si="637"/>
        <v>253134.72</v>
      </c>
      <c r="H2053" s="418"/>
      <c r="I2053" s="415">
        <f t="shared" si="638"/>
        <v>203689.72</v>
      </c>
      <c r="J2053" s="442">
        <f t="shared" si="639"/>
        <v>2.5899999999999999E-2</v>
      </c>
      <c r="K2053" s="418">
        <f t="shared" si="643"/>
        <v>546</v>
      </c>
      <c r="L2053" s="418">
        <f t="shared" si="640"/>
        <v>0</v>
      </c>
      <c r="M2053" s="417">
        <v>0</v>
      </c>
      <c r="N2053" s="408">
        <f t="shared" si="641"/>
        <v>204235.72</v>
      </c>
    </row>
    <row r="2054" spans="1:15" x14ac:dyDescent="0.2">
      <c r="A2054" s="410">
        <f t="shared" si="642"/>
        <v>28</v>
      </c>
      <c r="B2054" s="446">
        <v>398</v>
      </c>
      <c r="C2054" s="414" t="s">
        <v>1077</v>
      </c>
      <c r="D2054" s="421">
        <f t="shared" si="636"/>
        <v>291161.94</v>
      </c>
      <c r="E2054" s="1662">
        <v>4600</v>
      </c>
      <c r="F2054" s="1662">
        <v>-600</v>
      </c>
      <c r="G2054" s="421">
        <f t="shared" si="637"/>
        <v>295161.94</v>
      </c>
      <c r="H2054" s="447"/>
      <c r="I2054" s="421">
        <f t="shared" si="638"/>
        <v>12124.59</v>
      </c>
      <c r="J2054" s="442">
        <f t="shared" si="639"/>
        <v>6.6699999999999995E-2</v>
      </c>
      <c r="K2054" s="421">
        <f t="shared" si="643"/>
        <v>1629</v>
      </c>
      <c r="L2054" s="421">
        <f t="shared" si="640"/>
        <v>600</v>
      </c>
      <c r="M2054" s="430">
        <v>0</v>
      </c>
      <c r="N2054" s="423">
        <f t="shared" si="641"/>
        <v>13153.59</v>
      </c>
    </row>
    <row r="2055" spans="1:15" x14ac:dyDescent="0.2">
      <c r="A2055" s="410">
        <f t="shared" si="642"/>
        <v>29</v>
      </c>
      <c r="C2055" s="386" t="s">
        <v>1078</v>
      </c>
      <c r="D2055" s="447">
        <f>SUM(D2041:D2054)</f>
        <v>6040136.2799999993</v>
      </c>
      <c r="E2055" s="447">
        <f>SUM(E2041:E2054)</f>
        <v>63500</v>
      </c>
      <c r="F2055" s="447">
        <f>SUM(F2041:F2054)</f>
        <v>-7700</v>
      </c>
      <c r="G2055" s="447">
        <f>SUM(G2041:G2054)</f>
        <v>6095936.2799999993</v>
      </c>
      <c r="H2055" s="447"/>
      <c r="I2055" s="447">
        <f>SUM(I2041:I2054)</f>
        <v>2399668.27</v>
      </c>
      <c r="J2055" s="424"/>
      <c r="K2055" s="447">
        <f>SUM(K2041:K2054)</f>
        <v>40514</v>
      </c>
      <c r="L2055" s="447">
        <f>SUM(L2041:L2054)</f>
        <v>7700</v>
      </c>
      <c r="M2055" s="447">
        <f>SUM(M2041:M2054)</f>
        <v>0</v>
      </c>
      <c r="N2055" s="447">
        <f>SUM(N2041:N2054)</f>
        <v>2432482.27</v>
      </c>
    </row>
    <row r="2056" spans="1:15" x14ac:dyDescent="0.2">
      <c r="D2056" s="418"/>
      <c r="E2056" s="418"/>
      <c r="F2056" s="418"/>
      <c r="G2056" s="418"/>
      <c r="H2056" s="418"/>
      <c r="I2056" s="418"/>
      <c r="J2056" s="432"/>
      <c r="K2056" s="418"/>
      <c r="L2056" s="418"/>
      <c r="M2056" s="418"/>
    </row>
    <row r="2057" spans="1:15" x14ac:dyDescent="0.2">
      <c r="A2057" s="405">
        <f>A2055+1</f>
        <v>30</v>
      </c>
      <c r="B2057" s="448"/>
      <c r="C2057" s="411" t="s">
        <v>2287</v>
      </c>
      <c r="D2057" s="418"/>
      <c r="E2057" s="418"/>
      <c r="F2057" s="418"/>
      <c r="G2057" s="418"/>
      <c r="H2057" s="418"/>
      <c r="I2057" s="439"/>
      <c r="J2057" s="418"/>
      <c r="K2057" s="418"/>
      <c r="L2057" s="418"/>
      <c r="M2057" s="418"/>
    </row>
    <row r="2058" spans="1:15" x14ac:dyDescent="0.2">
      <c r="A2058" s="1722">
        <f>A2057+1</f>
        <v>31</v>
      </c>
      <c r="B2058" s="446">
        <v>378.21</v>
      </c>
      <c r="C2058" s="1725" t="s">
        <v>2244</v>
      </c>
      <c r="D2058" s="415">
        <f>G1952</f>
        <v>-777092</v>
      </c>
      <c r="E2058" s="417">
        <v>0</v>
      </c>
      <c r="F2058" s="417">
        <v>0</v>
      </c>
      <c r="G2058" s="415">
        <f t="shared" ref="G2058" si="644">SUM(D2058:F2058)</f>
        <v>-777092</v>
      </c>
      <c r="H2058" s="418"/>
      <c r="I2058" s="415">
        <f>N1952</f>
        <v>-59663.696666666598</v>
      </c>
      <c r="J2058" s="419" t="s">
        <v>1094</v>
      </c>
      <c r="K2058" s="417">
        <v>-2158.5833333333321</v>
      </c>
      <c r="L2058" s="418">
        <f t="shared" ref="L2058" si="645">-F2058</f>
        <v>0</v>
      </c>
      <c r="M2058" s="417">
        <v>0</v>
      </c>
      <c r="N2058" s="408">
        <f t="shared" ref="N2058" si="646">I2058+K2058-L2058+M2058</f>
        <v>-61822.279999999926</v>
      </c>
      <c r="O2058" s="408"/>
    </row>
    <row r="2059" spans="1:15" x14ac:dyDescent="0.2">
      <c r="A2059" s="1722"/>
      <c r="B2059" s="446"/>
      <c r="C2059" s="438"/>
      <c r="D2059" s="415"/>
      <c r="E2059" s="417"/>
      <c r="F2059" s="417"/>
      <c r="G2059" s="415"/>
      <c r="H2059" s="418"/>
      <c r="I2059" s="419"/>
      <c r="J2059" s="419"/>
      <c r="K2059" s="417"/>
      <c r="L2059" s="418"/>
      <c r="M2059" s="417"/>
      <c r="N2059" s="408"/>
      <c r="O2059" s="408"/>
    </row>
    <row r="2060" spans="1:15" x14ac:dyDescent="0.2">
      <c r="A2060" s="410">
        <f>A2058+1</f>
        <v>32</v>
      </c>
      <c r="C2060" s="386" t="s">
        <v>774</v>
      </c>
      <c r="D2060" s="450">
        <f>D2055+D2038+D1983+D1979+D2058</f>
        <v>440838721.36999989</v>
      </c>
      <c r="E2060" s="450">
        <f>E2055+E2038+E1983+E1979+E2058</f>
        <v>4156566</v>
      </c>
      <c r="F2060" s="450">
        <f>F2055+F2038+F1983+F1979+F2058</f>
        <v>-498800</v>
      </c>
      <c r="G2060" s="450">
        <f>G2055+G2038+G1983+G1979+G2058</f>
        <v>444496487.36999989</v>
      </c>
      <c r="H2060" s="418"/>
      <c r="I2060" s="450">
        <f>I2055+I2038+I1983+I1979+I2058</f>
        <v>153840901.43133837</v>
      </c>
      <c r="J2060" s="451"/>
      <c r="K2060" s="450">
        <f>K2055+K2038+K1983+K1979+K2058</f>
        <v>1363297.585815093</v>
      </c>
      <c r="L2060" s="450">
        <f>L2055+L2038+L1983+L1979+L2058</f>
        <v>498800</v>
      </c>
      <c r="M2060" s="450">
        <f>M2055+M2038+M1983+M1979+M2058</f>
        <v>-127500</v>
      </c>
      <c r="N2060" s="450">
        <f>N2055+N2038+N1983+N1979+N2058</f>
        <v>154577899.01715344</v>
      </c>
    </row>
    <row r="2062" spans="1:15" x14ac:dyDescent="0.2">
      <c r="A2062" s="2073" t="str">
        <f>co</f>
        <v>COLUMBIA GAS OF KENTUCKY, INC.</v>
      </c>
      <c r="B2062" s="2073"/>
      <c r="C2062" s="2073"/>
      <c r="D2062" s="2073"/>
      <c r="E2062" s="2073"/>
      <c r="F2062" s="2073"/>
      <c r="G2062" s="2073"/>
      <c r="H2062" s="2073"/>
      <c r="I2062" s="2073"/>
      <c r="J2062" s="2073"/>
      <c r="K2062" s="2073"/>
      <c r="L2062" s="2073"/>
      <c r="M2062" s="2073"/>
      <c r="N2062" s="2073"/>
    </row>
    <row r="2063" spans="1:15" x14ac:dyDescent="0.2">
      <c r="A2063" s="2073" t="str">
        <f>case</f>
        <v>CASE NO. 2016 - 00162</v>
      </c>
      <c r="B2063" s="2073"/>
      <c r="C2063" s="2073"/>
      <c r="D2063" s="2073"/>
      <c r="E2063" s="2073"/>
      <c r="F2063" s="2073"/>
      <c r="G2063" s="2073"/>
      <c r="H2063" s="2073"/>
      <c r="I2063" s="2073"/>
      <c r="J2063" s="2073"/>
      <c r="K2063" s="2073"/>
      <c r="L2063" s="2073"/>
      <c r="M2063" s="2073"/>
      <c r="N2063" s="2073"/>
    </row>
    <row r="2064" spans="1:15" x14ac:dyDescent="0.2">
      <c r="A2064" s="2074" t="s">
        <v>1106</v>
      </c>
      <c r="B2064" s="2073"/>
      <c r="C2064" s="2073"/>
      <c r="D2064" s="2073"/>
      <c r="E2064" s="2073"/>
      <c r="F2064" s="2073"/>
      <c r="G2064" s="2073"/>
      <c r="H2064" s="2073"/>
      <c r="I2064" s="2073"/>
      <c r="J2064" s="2073"/>
      <c r="K2064" s="2073"/>
      <c r="L2064" s="2073"/>
      <c r="M2064" s="2073"/>
      <c r="N2064" s="2073"/>
    </row>
    <row r="2065" spans="1:14" x14ac:dyDescent="0.2">
      <c r="A2065" s="2078" t="s">
        <v>2142</v>
      </c>
      <c r="B2065" s="2078"/>
      <c r="C2065" s="2078"/>
      <c r="D2065" s="2078"/>
      <c r="E2065" s="2078"/>
      <c r="F2065" s="2078"/>
      <c r="G2065" s="2078"/>
      <c r="H2065" s="2078"/>
      <c r="I2065" s="2078"/>
      <c r="J2065" s="2078"/>
      <c r="K2065" s="2078"/>
      <c r="L2065" s="2078"/>
      <c r="M2065" s="2078"/>
      <c r="N2065" s="2078"/>
    </row>
    <row r="2067" spans="1:14" x14ac:dyDescent="0.2">
      <c r="A2067" s="385" t="s">
        <v>1095</v>
      </c>
      <c r="I2067" s="386"/>
      <c r="N2067" s="387" t="s">
        <v>763</v>
      </c>
    </row>
    <row r="2068" spans="1:14" x14ac:dyDescent="0.2">
      <c r="A2068" s="388" t="s">
        <v>977</v>
      </c>
      <c r="I2068" s="386"/>
      <c r="N2068" s="387" t="s">
        <v>998</v>
      </c>
    </row>
    <row r="2069" spans="1:14" x14ac:dyDescent="0.2">
      <c r="A2069" s="390" t="s">
        <v>997</v>
      </c>
      <c r="B2069" s="391"/>
      <c r="C2069" s="391"/>
      <c r="D2069" s="391"/>
      <c r="E2069" s="391"/>
      <c r="F2069" s="391"/>
      <c r="G2069" s="391"/>
      <c r="H2069" s="391"/>
      <c r="I2069" s="392"/>
      <c r="L2069" s="386"/>
      <c r="M2069" s="386"/>
      <c r="N2069" s="393" t="str">
        <f>SMK</f>
        <v>WITNESS:  S. M. KATKO</v>
      </c>
    </row>
    <row r="2070" spans="1:14" x14ac:dyDescent="0.2">
      <c r="A2070" s="390"/>
      <c r="B2070" s="391"/>
      <c r="C2070" s="391"/>
      <c r="D2070" s="391"/>
      <c r="E2070" s="391"/>
      <c r="F2070" s="391"/>
      <c r="G2070" s="391"/>
      <c r="H2070" s="391"/>
      <c r="I2070" s="392"/>
      <c r="J2070" s="393"/>
      <c r="L2070" s="386"/>
      <c r="M2070" s="386"/>
    </row>
    <row r="2071" spans="1:14" x14ac:dyDescent="0.2">
      <c r="A2071" s="390"/>
      <c r="B2071" s="391"/>
      <c r="C2071" s="391"/>
      <c r="D2071" s="2075" t="s">
        <v>1088</v>
      </c>
      <c r="E2071" s="2075"/>
      <c r="F2071" s="2075"/>
      <c r="G2071" s="2075"/>
      <c r="H2071" s="391"/>
      <c r="I2071" s="2076" t="s">
        <v>1093</v>
      </c>
      <c r="J2071" s="2077"/>
      <c r="K2071" s="2077"/>
      <c r="L2071" s="2077"/>
      <c r="M2071" s="2077"/>
      <c r="N2071" s="2077"/>
    </row>
    <row r="2072" spans="1:14" x14ac:dyDescent="0.2">
      <c r="A2072" s="394"/>
      <c r="B2072" s="391"/>
      <c r="C2072" s="391"/>
      <c r="D2072" s="396" t="s">
        <v>1084</v>
      </c>
      <c r="E2072" s="391"/>
      <c r="F2072" s="391"/>
      <c r="G2072" s="395"/>
      <c r="H2072" s="395"/>
      <c r="I2072" s="397" t="s">
        <v>1089</v>
      </c>
      <c r="J2072" s="396"/>
      <c r="M2072" s="386"/>
    </row>
    <row r="2073" spans="1:14" x14ac:dyDescent="0.2">
      <c r="A2073" s="383"/>
      <c r="D2073" s="397" t="s">
        <v>865</v>
      </c>
      <c r="G2073" s="397" t="s">
        <v>867</v>
      </c>
      <c r="H2073" s="398"/>
      <c r="I2073" s="397" t="s">
        <v>865</v>
      </c>
      <c r="J2073" s="397" t="s">
        <v>956</v>
      </c>
      <c r="M2073" s="386"/>
      <c r="N2073" s="397" t="s">
        <v>867</v>
      </c>
    </row>
    <row r="2074" spans="1:14" x14ac:dyDescent="0.2">
      <c r="A2074" s="397" t="s">
        <v>1080</v>
      </c>
      <c r="B2074" s="397" t="s">
        <v>1082</v>
      </c>
      <c r="D2074" s="397" t="s">
        <v>867</v>
      </c>
      <c r="G2074" s="399" t="s">
        <v>1087</v>
      </c>
      <c r="H2074" s="398"/>
      <c r="I2074" s="399" t="s">
        <v>867</v>
      </c>
      <c r="J2074" s="397" t="s">
        <v>1090</v>
      </c>
      <c r="K2074" s="397" t="s">
        <v>956</v>
      </c>
      <c r="M2074" s="399" t="s">
        <v>1092</v>
      </c>
      <c r="N2074" s="399" t="s">
        <v>1087</v>
      </c>
    </row>
    <row r="2075" spans="1:14" x14ac:dyDescent="0.2">
      <c r="A2075" s="400" t="s">
        <v>1081</v>
      </c>
      <c r="B2075" s="400" t="s">
        <v>1081</v>
      </c>
      <c r="C2075" s="401" t="s">
        <v>1083</v>
      </c>
      <c r="D2075" s="409" t="str">
        <f>"09/30/2017"</f>
        <v>09/30/2017</v>
      </c>
      <c r="E2075" s="400" t="s">
        <v>1085</v>
      </c>
      <c r="F2075" s="400" t="s">
        <v>1086</v>
      </c>
      <c r="G2075" s="409" t="str">
        <f>"10/31/2017"</f>
        <v>10/31/2017</v>
      </c>
      <c r="H2075" s="398"/>
      <c r="I2075" s="404" t="str">
        <f>D2075</f>
        <v>09/30/2017</v>
      </c>
      <c r="J2075" s="400" t="s">
        <v>1091</v>
      </c>
      <c r="K2075" s="402" t="s">
        <v>1090</v>
      </c>
      <c r="L2075" s="402" t="s">
        <v>1086</v>
      </c>
      <c r="M2075" s="402" t="s">
        <v>955</v>
      </c>
      <c r="N2075" s="404" t="str">
        <f>G2075</f>
        <v>10/31/2017</v>
      </c>
    </row>
    <row r="2076" spans="1:14" x14ac:dyDescent="0.2">
      <c r="A2076" s="406"/>
      <c r="B2076" s="406"/>
      <c r="C2076" s="406"/>
      <c r="D2076" s="406" t="str">
        <f>"(1)"</f>
        <v>(1)</v>
      </c>
      <c r="E2076" s="406" t="str">
        <f>"(2)"</f>
        <v>(2)</v>
      </c>
      <c r="F2076" s="406" t="str">
        <f>"(3)"</f>
        <v>(3)</v>
      </c>
      <c r="G2076" s="406" t="str">
        <f>"(4)=(1+2+3)"</f>
        <v>(4)=(1+2+3)</v>
      </c>
      <c r="H2076" s="406"/>
      <c r="I2076" s="406" t="str">
        <f>"(5)"</f>
        <v>(5)</v>
      </c>
      <c r="J2076" s="406" t="str">
        <f>"(6)"</f>
        <v>(6)</v>
      </c>
      <c r="K2076" s="406" t="str">
        <f>"(7)=((1+4)/2*6/12))"</f>
        <v>(7)=((1+4)/2*6/12))</v>
      </c>
      <c r="L2076" s="406" t="str">
        <f>"(8)"</f>
        <v>(8)</v>
      </c>
      <c r="M2076" s="406" t="str">
        <f>"(9)"</f>
        <v>(9)</v>
      </c>
      <c r="N2076" s="406" t="str">
        <f>"(10)=(5+7-8+9)"</f>
        <v>(10)=(5+7-8+9)</v>
      </c>
    </row>
    <row r="2077" spans="1:14" x14ac:dyDescent="0.2">
      <c r="D2077" s="410" t="s">
        <v>639</v>
      </c>
      <c r="E2077" s="410" t="s">
        <v>639</v>
      </c>
      <c r="F2077" s="410" t="s">
        <v>639</v>
      </c>
      <c r="G2077" s="410" t="s">
        <v>639</v>
      </c>
      <c r="H2077" s="410"/>
      <c r="I2077" s="410" t="s">
        <v>639</v>
      </c>
      <c r="J2077" s="410" t="s">
        <v>639</v>
      </c>
      <c r="K2077" s="410" t="s">
        <v>639</v>
      </c>
      <c r="L2077" s="410" t="s">
        <v>639</v>
      </c>
      <c r="M2077" s="410" t="s">
        <v>639</v>
      </c>
      <c r="N2077" s="410" t="s">
        <v>639</v>
      </c>
    </row>
    <row r="2078" spans="1:14" x14ac:dyDescent="0.2">
      <c r="A2078" s="410">
        <v>1</v>
      </c>
      <c r="B2078" s="411" t="s">
        <v>1025</v>
      </c>
      <c r="C2078" s="412"/>
      <c r="M2078" s="386"/>
    </row>
    <row r="2079" spans="1:14" x14ac:dyDescent="0.2">
      <c r="A2079" s="410">
        <f>A2078+1</f>
        <v>2</v>
      </c>
      <c r="C2079" s="411" t="s">
        <v>697</v>
      </c>
      <c r="M2079" s="386"/>
    </row>
    <row r="2080" spans="1:14" x14ac:dyDescent="0.2">
      <c r="A2080" s="410">
        <f t="shared" ref="A2080:A2085" si="647">A2079+1</f>
        <v>3</v>
      </c>
      <c r="B2080" s="413">
        <v>301</v>
      </c>
      <c r="C2080" s="414" t="s">
        <v>1026</v>
      </c>
      <c r="D2080" s="415">
        <f>G1974</f>
        <v>521.20000000000005</v>
      </c>
      <c r="E2080" s="417">
        <v>0</v>
      </c>
      <c r="F2080" s="417">
        <v>0</v>
      </c>
      <c r="G2080" s="415">
        <f>SUM(D2080:F2080)</f>
        <v>521.20000000000005</v>
      </c>
      <c r="H2080" s="418"/>
      <c r="I2080" s="415">
        <f>N1974</f>
        <v>0</v>
      </c>
      <c r="J2080" s="419" t="s">
        <v>1094</v>
      </c>
      <c r="K2080" s="417">
        <v>0</v>
      </c>
      <c r="L2080" s="418">
        <f>-F2080</f>
        <v>0</v>
      </c>
      <c r="M2080" s="417">
        <v>0</v>
      </c>
      <c r="N2080" s="408">
        <f>I2080+K2080-L2080+M2080</f>
        <v>0</v>
      </c>
    </row>
    <row r="2081" spans="1:14" x14ac:dyDescent="0.2">
      <c r="A2081" s="410">
        <f t="shared" si="647"/>
        <v>4</v>
      </c>
      <c r="B2081" s="413">
        <v>303</v>
      </c>
      <c r="C2081" s="414" t="s">
        <v>1027</v>
      </c>
      <c r="D2081" s="415">
        <f>G1975</f>
        <v>74347.509999999995</v>
      </c>
      <c r="E2081" s="417">
        <v>0</v>
      </c>
      <c r="F2081" s="417">
        <v>0</v>
      </c>
      <c r="G2081" s="415">
        <f>SUM(D2081:F2081)</f>
        <v>74347.509999999995</v>
      </c>
      <c r="H2081" s="418"/>
      <c r="I2081" s="415">
        <f>N1975</f>
        <v>49723.309999999939</v>
      </c>
      <c r="J2081" s="419" t="s">
        <v>1094</v>
      </c>
      <c r="K2081" s="415">
        <f>'Intangible Amort.'!P$110</f>
        <v>206.52</v>
      </c>
      <c r="L2081" s="418">
        <f>-F2081</f>
        <v>0</v>
      </c>
      <c r="M2081" s="417">
        <v>0</v>
      </c>
      <c r="N2081" s="408">
        <f>I2081+K2081-L2081+M2081</f>
        <v>49929.829999999936</v>
      </c>
    </row>
    <row r="2082" spans="1:14" x14ac:dyDescent="0.2">
      <c r="A2082" s="410">
        <f t="shared" si="647"/>
        <v>5</v>
      </c>
      <c r="B2082" s="413">
        <v>303.10000000000002</v>
      </c>
      <c r="C2082" s="414" t="s">
        <v>1028</v>
      </c>
      <c r="D2082" s="415">
        <f>G1976</f>
        <v>0</v>
      </c>
      <c r="E2082" s="417">
        <v>0</v>
      </c>
      <c r="F2082" s="417">
        <v>0</v>
      </c>
      <c r="G2082" s="415">
        <f>SUM(D2082:F2082)</f>
        <v>0</v>
      </c>
      <c r="H2082" s="418"/>
      <c r="I2082" s="415">
        <f>N1976</f>
        <v>0</v>
      </c>
      <c r="J2082" s="419" t="s">
        <v>1094</v>
      </c>
      <c r="K2082" s="417">
        <v>0</v>
      </c>
      <c r="L2082" s="418">
        <f>-F2082</f>
        <v>0</v>
      </c>
      <c r="M2082" s="417">
        <v>0</v>
      </c>
      <c r="N2082" s="408">
        <f>I2082+K2082-L2082+M2082</f>
        <v>0</v>
      </c>
    </row>
    <row r="2083" spans="1:14" x14ac:dyDescent="0.2">
      <c r="A2083" s="410">
        <f t="shared" si="647"/>
        <v>6</v>
      </c>
      <c r="B2083" s="413">
        <v>303.2</v>
      </c>
      <c r="C2083" s="414" t="s">
        <v>1029</v>
      </c>
      <c r="D2083" s="415">
        <f>G1977</f>
        <v>0</v>
      </c>
      <c r="E2083" s="417">
        <v>0</v>
      </c>
      <c r="F2083" s="417">
        <v>0</v>
      </c>
      <c r="G2083" s="415">
        <f>SUM(D2083:F2083)</f>
        <v>0</v>
      </c>
      <c r="H2083" s="418"/>
      <c r="I2083" s="415">
        <f>N1977</f>
        <v>0</v>
      </c>
      <c r="J2083" s="419" t="s">
        <v>1094</v>
      </c>
      <c r="K2083" s="417">
        <v>0</v>
      </c>
      <c r="L2083" s="418">
        <f>-F2083</f>
        <v>0</v>
      </c>
      <c r="M2083" s="417">
        <v>0</v>
      </c>
      <c r="N2083" s="408">
        <f>I2083+K2083-L2083+M2083</f>
        <v>0</v>
      </c>
    </row>
    <row r="2084" spans="1:14" x14ac:dyDescent="0.2">
      <c r="A2084" s="410">
        <f t="shared" si="647"/>
        <v>7</v>
      </c>
      <c r="B2084" s="413">
        <v>303.3</v>
      </c>
      <c r="C2084" s="414" t="s">
        <v>1030</v>
      </c>
      <c r="D2084" s="421">
        <f>G1978</f>
        <v>9670586</v>
      </c>
      <c r="E2084" s="422">
        <v>0</v>
      </c>
      <c r="F2084" s="422">
        <v>0</v>
      </c>
      <c r="G2084" s="421">
        <f>SUM(D2084:F2084)</f>
        <v>9670586</v>
      </c>
      <c r="H2084" s="418"/>
      <c r="I2084" s="421">
        <f>N1978</f>
        <v>3759083.9971534307</v>
      </c>
      <c r="J2084" s="419" t="s">
        <v>1094</v>
      </c>
      <c r="K2084" s="421">
        <f>'Intangible Amort.'!P$188</f>
        <v>127412.66762345996</v>
      </c>
      <c r="L2084" s="421">
        <f>-F2084</f>
        <v>0</v>
      </c>
      <c r="M2084" s="422">
        <v>0</v>
      </c>
      <c r="N2084" s="423">
        <f>I2084+K2084-L2084+M2084</f>
        <v>3886496.6647768905</v>
      </c>
    </row>
    <row r="2085" spans="1:14" x14ac:dyDescent="0.2">
      <c r="A2085" s="410">
        <f t="shared" si="647"/>
        <v>8</v>
      </c>
      <c r="B2085" s="413"/>
      <c r="C2085" s="414" t="s">
        <v>1031</v>
      </c>
      <c r="D2085" s="418">
        <f>SUM(D2080:D2084)</f>
        <v>9745454.7100000009</v>
      </c>
      <c r="E2085" s="418">
        <f>SUM(E2080:E2084)</f>
        <v>0</v>
      </c>
      <c r="F2085" s="418">
        <f>SUM(F2080:F2084)</f>
        <v>0</v>
      </c>
      <c r="G2085" s="418">
        <f>SUM(G2080:G2084)</f>
        <v>9745454.7100000009</v>
      </c>
      <c r="H2085" s="418"/>
      <c r="I2085" s="418">
        <f>SUM(I2080:I2084)</f>
        <v>3808807.3071534308</v>
      </c>
      <c r="J2085" s="424"/>
      <c r="K2085" s="418">
        <f>SUM(K2080:K2084)</f>
        <v>127619.18762345996</v>
      </c>
      <c r="L2085" s="418">
        <f>SUM(L2080:L2084)</f>
        <v>0</v>
      </c>
      <c r="M2085" s="418">
        <f>SUM(M2080:M2084)</f>
        <v>0</v>
      </c>
      <c r="N2085" s="418">
        <f>SUM(N2080:N2084)</f>
        <v>3936426.4947768906</v>
      </c>
    </row>
    <row r="2086" spans="1:14" x14ac:dyDescent="0.2">
      <c r="B2086" s="425"/>
      <c r="D2086" s="418"/>
      <c r="E2086" s="418"/>
      <c r="F2086" s="418"/>
      <c r="G2086" s="418"/>
      <c r="H2086" s="418"/>
      <c r="I2086" s="418"/>
      <c r="J2086" s="424"/>
      <c r="K2086" s="418"/>
      <c r="L2086" s="418"/>
      <c r="M2086" s="418"/>
    </row>
    <row r="2087" spans="1:14" x14ac:dyDescent="0.2">
      <c r="A2087" s="410">
        <f>A2085+1</f>
        <v>9</v>
      </c>
      <c r="B2087" s="425"/>
      <c r="C2087" s="411" t="s">
        <v>704</v>
      </c>
      <c r="D2087" s="418"/>
      <c r="E2087" s="418"/>
      <c r="F2087" s="418"/>
      <c r="G2087" s="418"/>
      <c r="H2087" s="418"/>
      <c r="I2087" s="418"/>
      <c r="J2087" s="424"/>
      <c r="K2087" s="418"/>
      <c r="L2087" s="418"/>
      <c r="M2087" s="418"/>
    </row>
    <row r="2088" spans="1:14" x14ac:dyDescent="0.2">
      <c r="A2088" s="410">
        <f>A2087+1</f>
        <v>10</v>
      </c>
      <c r="B2088" s="426">
        <v>304.10000000000002</v>
      </c>
      <c r="C2088" s="427" t="s">
        <v>1032</v>
      </c>
      <c r="D2088" s="421">
        <f>G1982</f>
        <v>0</v>
      </c>
      <c r="E2088" s="430">
        <v>0</v>
      </c>
      <c r="F2088" s="430">
        <v>0</v>
      </c>
      <c r="G2088" s="421">
        <f>SUM(D2088:F2088)</f>
        <v>0</v>
      </c>
      <c r="H2088" s="418"/>
      <c r="I2088" s="421">
        <f>N1982</f>
        <v>0</v>
      </c>
      <c r="J2088" s="429" t="s">
        <v>1102</v>
      </c>
      <c r="K2088" s="430">
        <v>0</v>
      </c>
      <c r="L2088" s="421">
        <f>-F2088</f>
        <v>0</v>
      </c>
      <c r="M2088" s="422">
        <v>0</v>
      </c>
      <c r="N2088" s="423">
        <f>I2088+K2088-L2088+M2088</f>
        <v>0</v>
      </c>
    </row>
    <row r="2089" spans="1:14" x14ac:dyDescent="0.2">
      <c r="A2089" s="410">
        <f>A2088+1</f>
        <v>11</v>
      </c>
      <c r="B2089" s="426"/>
      <c r="C2089" s="431" t="s">
        <v>1079</v>
      </c>
      <c r="D2089" s="418">
        <f>D2088</f>
        <v>0</v>
      </c>
      <c r="E2089" s="418">
        <f>E2088</f>
        <v>0</v>
      </c>
      <c r="F2089" s="418">
        <f>F2088</f>
        <v>0</v>
      </c>
      <c r="G2089" s="418">
        <f>G2088</f>
        <v>0</v>
      </c>
      <c r="H2089" s="418"/>
      <c r="I2089" s="418">
        <f>I2088</f>
        <v>0</v>
      </c>
      <c r="J2089" s="432"/>
      <c r="K2089" s="418">
        <f>SUM(K2088)</f>
        <v>0</v>
      </c>
      <c r="L2089" s="418">
        <f>SUM(L2088)</f>
        <v>0</v>
      </c>
      <c r="M2089" s="418">
        <f>M2088</f>
        <v>0</v>
      </c>
      <c r="N2089" s="418">
        <f>N2088</f>
        <v>0</v>
      </c>
    </row>
    <row r="2090" spans="1:14" x14ac:dyDescent="0.2">
      <c r="B2090" s="425"/>
      <c r="D2090" s="418"/>
      <c r="E2090" s="418"/>
      <c r="F2090" s="418"/>
      <c r="G2090" s="418"/>
      <c r="H2090" s="418"/>
      <c r="I2090" s="418"/>
      <c r="J2090" s="432"/>
      <c r="K2090" s="418"/>
      <c r="L2090" s="418"/>
      <c r="M2090" s="418"/>
    </row>
    <row r="2091" spans="1:14" x14ac:dyDescent="0.2">
      <c r="A2091" s="410">
        <f>A2089+1</f>
        <v>12</v>
      </c>
      <c r="B2091" s="425"/>
      <c r="C2091" s="411" t="s">
        <v>707</v>
      </c>
      <c r="D2091" s="418"/>
      <c r="E2091" s="418"/>
      <c r="F2091" s="418"/>
      <c r="G2091" s="418"/>
      <c r="H2091" s="418"/>
      <c r="I2091" s="418"/>
      <c r="J2091" s="432"/>
      <c r="K2091" s="418"/>
      <c r="L2091" s="418"/>
      <c r="M2091" s="418"/>
    </row>
    <row r="2092" spans="1:14" x14ac:dyDescent="0.2">
      <c r="A2092" s="410">
        <f>A2091+1</f>
        <v>13</v>
      </c>
      <c r="B2092" s="413">
        <v>374.1</v>
      </c>
      <c r="C2092" s="414" t="s">
        <v>1035</v>
      </c>
      <c r="D2092" s="415">
        <f t="shared" ref="D2092:D2102" si="648">G1986</f>
        <v>206</v>
      </c>
      <c r="E2092" s="417">
        <v>0</v>
      </c>
      <c r="F2092" s="417">
        <v>0</v>
      </c>
      <c r="G2092" s="415">
        <f>SUM(D2092:F2092)</f>
        <v>206</v>
      </c>
      <c r="H2092" s="418"/>
      <c r="I2092" s="415">
        <f t="shared" ref="I2092:I2102" si="649">N1986</f>
        <v>0</v>
      </c>
      <c r="J2092" s="429" t="s">
        <v>1102</v>
      </c>
      <c r="K2092" s="417">
        <v>0</v>
      </c>
      <c r="L2092" s="418">
        <f t="shared" ref="L2092:L2102" si="650">-F2092</f>
        <v>0</v>
      </c>
      <c r="M2092" s="417">
        <v>0</v>
      </c>
      <c r="N2092" s="408">
        <f t="shared" ref="N2092:N2102" si="651">I2092+K2092-L2092+M2092</f>
        <v>0</v>
      </c>
    </row>
    <row r="2093" spans="1:14" x14ac:dyDescent="0.2">
      <c r="A2093" s="410">
        <f t="shared" ref="A2093:A2113" si="652">A2092+1</f>
        <v>14</v>
      </c>
      <c r="B2093" s="413">
        <v>374.2</v>
      </c>
      <c r="C2093" s="414" t="s">
        <v>1036</v>
      </c>
      <c r="D2093" s="415">
        <f t="shared" si="648"/>
        <v>877756.18</v>
      </c>
      <c r="E2093" s="417">
        <v>0</v>
      </c>
      <c r="F2093" s="417">
        <v>0</v>
      </c>
      <c r="G2093" s="415">
        <f t="shared" ref="G2093:G2102" si="653">SUM(D2093:F2093)</f>
        <v>877756.18</v>
      </c>
      <c r="H2093" s="418"/>
      <c r="I2093" s="415">
        <f t="shared" si="649"/>
        <v>-523.13</v>
      </c>
      <c r="J2093" s="429" t="s">
        <v>1102</v>
      </c>
      <c r="K2093" s="417">
        <v>0</v>
      </c>
      <c r="L2093" s="418">
        <f t="shared" si="650"/>
        <v>0</v>
      </c>
      <c r="M2093" s="417">
        <v>0</v>
      </c>
      <c r="N2093" s="408">
        <f t="shared" si="651"/>
        <v>-523.13</v>
      </c>
    </row>
    <row r="2094" spans="1:14" x14ac:dyDescent="0.2">
      <c r="A2094" s="410">
        <f t="shared" si="652"/>
        <v>15</v>
      </c>
      <c r="B2094" s="413">
        <v>374.4</v>
      </c>
      <c r="C2094" s="414" t="s">
        <v>1037</v>
      </c>
      <c r="D2094" s="415">
        <f t="shared" si="648"/>
        <v>661305.66</v>
      </c>
      <c r="E2094" s="417">
        <v>0</v>
      </c>
      <c r="F2094" s="417">
        <v>0</v>
      </c>
      <c r="G2094" s="415">
        <f t="shared" si="653"/>
        <v>661305.66</v>
      </c>
      <c r="H2094" s="418"/>
      <c r="I2094" s="415">
        <f t="shared" si="649"/>
        <v>187514.36</v>
      </c>
      <c r="J2094" s="442">
        <f t="shared" ref="J2094:J2100" si="654">J1988</f>
        <v>1.7399999999999999E-2</v>
      </c>
      <c r="K2094" s="418">
        <f>ROUND((G2094+D2094)/2*J2094/12,0)</f>
        <v>959</v>
      </c>
      <c r="L2094" s="418">
        <f t="shared" si="650"/>
        <v>0</v>
      </c>
      <c r="M2094" s="417">
        <v>0</v>
      </c>
      <c r="N2094" s="408">
        <f t="shared" si="651"/>
        <v>188473.36</v>
      </c>
    </row>
    <row r="2095" spans="1:14" x14ac:dyDescent="0.2">
      <c r="A2095" s="410">
        <f t="shared" si="652"/>
        <v>16</v>
      </c>
      <c r="B2095" s="413">
        <v>374.5</v>
      </c>
      <c r="C2095" s="414" t="s">
        <v>1038</v>
      </c>
      <c r="D2095" s="415">
        <f t="shared" si="648"/>
        <v>2739572.55</v>
      </c>
      <c r="E2095" s="417">
        <v>5500</v>
      </c>
      <c r="F2095" s="417">
        <v>-700</v>
      </c>
      <c r="G2095" s="415">
        <f t="shared" si="653"/>
        <v>2744372.55</v>
      </c>
      <c r="H2095" s="418"/>
      <c r="I2095" s="415">
        <f t="shared" si="649"/>
        <v>950145.23</v>
      </c>
      <c r="J2095" s="442">
        <f t="shared" si="654"/>
        <v>1.29E-2</v>
      </c>
      <c r="K2095" s="418">
        <f t="shared" ref="K2095:K2100" si="655">ROUND((G2095+D2095)/2*J2095/12,0)</f>
        <v>2948</v>
      </c>
      <c r="L2095" s="418">
        <f t="shared" si="650"/>
        <v>700</v>
      </c>
      <c r="M2095" s="417">
        <v>0</v>
      </c>
      <c r="N2095" s="408">
        <f t="shared" si="651"/>
        <v>952393.23</v>
      </c>
    </row>
    <row r="2096" spans="1:14" x14ac:dyDescent="0.2">
      <c r="A2096" s="410">
        <f t="shared" si="652"/>
        <v>17</v>
      </c>
      <c r="B2096" s="413">
        <v>375.2</v>
      </c>
      <c r="C2096" s="414" t="s">
        <v>1039</v>
      </c>
      <c r="D2096" s="415">
        <f t="shared" si="648"/>
        <v>2124.98</v>
      </c>
      <c r="E2096" s="417">
        <v>0</v>
      </c>
      <c r="F2096" s="417">
        <v>0</v>
      </c>
      <c r="G2096" s="415">
        <f t="shared" si="653"/>
        <v>2124.98</v>
      </c>
      <c r="H2096" s="418"/>
      <c r="I2096" s="415">
        <f t="shared" si="649"/>
        <v>2081.3199999999997</v>
      </c>
      <c r="J2096" s="442">
        <f t="shared" si="654"/>
        <v>3.1800000000000002E-2</v>
      </c>
      <c r="K2096" s="418">
        <f t="shared" si="655"/>
        <v>6</v>
      </c>
      <c r="L2096" s="418">
        <f t="shared" si="650"/>
        <v>0</v>
      </c>
      <c r="M2096" s="417">
        <v>0</v>
      </c>
      <c r="N2096" s="408">
        <f t="shared" si="651"/>
        <v>2087.3199999999997</v>
      </c>
    </row>
    <row r="2097" spans="1:14" x14ac:dyDescent="0.2">
      <c r="A2097" s="410">
        <f t="shared" si="652"/>
        <v>18</v>
      </c>
      <c r="B2097" s="413">
        <v>375.3</v>
      </c>
      <c r="C2097" s="414" t="s">
        <v>1040</v>
      </c>
      <c r="D2097" s="415">
        <f t="shared" si="648"/>
        <v>0</v>
      </c>
      <c r="E2097" s="417">
        <v>0</v>
      </c>
      <c r="F2097" s="417">
        <v>0</v>
      </c>
      <c r="G2097" s="415">
        <f t="shared" si="653"/>
        <v>0</v>
      </c>
      <c r="H2097" s="418"/>
      <c r="I2097" s="415">
        <f t="shared" si="649"/>
        <v>-77.66</v>
      </c>
      <c r="J2097" s="442">
        <f t="shared" si="654"/>
        <v>3.1800000000000002E-2</v>
      </c>
      <c r="K2097" s="418">
        <f t="shared" si="655"/>
        <v>0</v>
      </c>
      <c r="L2097" s="418">
        <f t="shared" si="650"/>
        <v>0</v>
      </c>
      <c r="M2097" s="417">
        <v>0</v>
      </c>
      <c r="N2097" s="408">
        <f t="shared" si="651"/>
        <v>-77.66</v>
      </c>
    </row>
    <row r="2098" spans="1:14" x14ac:dyDescent="0.2">
      <c r="A2098" s="410">
        <f t="shared" si="652"/>
        <v>19</v>
      </c>
      <c r="B2098" s="413">
        <v>375.4</v>
      </c>
      <c r="C2098" s="414" t="s">
        <v>1041</v>
      </c>
      <c r="D2098" s="415">
        <f t="shared" si="648"/>
        <v>2274930.02</v>
      </c>
      <c r="E2098" s="417">
        <v>38900</v>
      </c>
      <c r="F2098" s="417">
        <v>-4700</v>
      </c>
      <c r="G2098" s="415">
        <f t="shared" si="653"/>
        <v>2309130.02</v>
      </c>
      <c r="H2098" s="418"/>
      <c r="I2098" s="415">
        <f t="shared" si="649"/>
        <v>509295.37</v>
      </c>
      <c r="J2098" s="442">
        <f t="shared" si="654"/>
        <v>3.1800000000000002E-2</v>
      </c>
      <c r="K2098" s="418">
        <f t="shared" si="655"/>
        <v>6074</v>
      </c>
      <c r="L2098" s="418">
        <f t="shared" si="650"/>
        <v>4700</v>
      </c>
      <c r="M2098" s="417">
        <v>-500</v>
      </c>
      <c r="N2098" s="408">
        <f t="shared" si="651"/>
        <v>510169.37</v>
      </c>
    </row>
    <row r="2099" spans="1:14" x14ac:dyDescent="0.2">
      <c r="A2099" s="410">
        <f t="shared" si="652"/>
        <v>20</v>
      </c>
      <c r="B2099" s="413">
        <v>375.6</v>
      </c>
      <c r="C2099" s="414" t="s">
        <v>1042</v>
      </c>
      <c r="D2099" s="415">
        <f t="shared" si="648"/>
        <v>0</v>
      </c>
      <c r="E2099" s="417">
        <v>0</v>
      </c>
      <c r="F2099" s="417">
        <v>0</v>
      </c>
      <c r="G2099" s="415">
        <f t="shared" si="653"/>
        <v>0</v>
      </c>
      <c r="H2099" s="418"/>
      <c r="I2099" s="415">
        <f t="shared" si="649"/>
        <v>0.02</v>
      </c>
      <c r="J2099" s="442">
        <f t="shared" si="654"/>
        <v>3.1800000000000002E-2</v>
      </c>
      <c r="K2099" s="418">
        <f t="shared" si="655"/>
        <v>0</v>
      </c>
      <c r="L2099" s="418">
        <f t="shared" si="650"/>
        <v>0</v>
      </c>
      <c r="M2099" s="417">
        <v>0</v>
      </c>
      <c r="N2099" s="408">
        <f t="shared" si="651"/>
        <v>0.02</v>
      </c>
    </row>
    <row r="2100" spans="1:14" x14ac:dyDescent="0.2">
      <c r="A2100" s="410">
        <f t="shared" si="652"/>
        <v>21</v>
      </c>
      <c r="B2100" s="413">
        <v>375.7</v>
      </c>
      <c r="C2100" s="414" t="s">
        <v>1043</v>
      </c>
      <c r="D2100" s="415">
        <f t="shared" si="648"/>
        <v>8638050.2100000009</v>
      </c>
      <c r="E2100" s="417">
        <v>48300</v>
      </c>
      <c r="F2100" s="417">
        <v>-5800</v>
      </c>
      <c r="G2100" s="415">
        <f t="shared" si="653"/>
        <v>8680550.2100000009</v>
      </c>
      <c r="H2100" s="418"/>
      <c r="I2100" s="415">
        <f t="shared" si="649"/>
        <v>3398936.06</v>
      </c>
      <c r="J2100" s="442">
        <f t="shared" si="654"/>
        <v>2.1299999999999999E-2</v>
      </c>
      <c r="K2100" s="418">
        <f t="shared" si="655"/>
        <v>15370</v>
      </c>
      <c r="L2100" s="418">
        <f t="shared" si="650"/>
        <v>5800</v>
      </c>
      <c r="M2100" s="417">
        <v>0</v>
      </c>
      <c r="N2100" s="408">
        <f t="shared" si="651"/>
        <v>3408506.06</v>
      </c>
    </row>
    <row r="2101" spans="1:14" x14ac:dyDescent="0.2">
      <c r="A2101" s="410">
        <f t="shared" si="652"/>
        <v>22</v>
      </c>
      <c r="B2101" s="413">
        <v>375.71</v>
      </c>
      <c r="C2101" s="414" t="s">
        <v>1044</v>
      </c>
      <c r="D2101" s="415">
        <f t="shared" si="648"/>
        <v>259808.94</v>
      </c>
      <c r="E2101" s="417">
        <v>0</v>
      </c>
      <c r="F2101" s="417">
        <v>0</v>
      </c>
      <c r="G2101" s="415">
        <f t="shared" si="653"/>
        <v>259808.94</v>
      </c>
      <c r="H2101" s="418"/>
      <c r="I2101" s="415">
        <f t="shared" si="649"/>
        <v>207482.00000000023</v>
      </c>
      <c r="J2101" s="419" t="s">
        <v>1094</v>
      </c>
      <c r="K2101" s="417">
        <f>104653.88/38</f>
        <v>2754.0494736842106</v>
      </c>
      <c r="L2101" s="418">
        <f t="shared" si="650"/>
        <v>0</v>
      </c>
      <c r="M2101" s="417">
        <v>0</v>
      </c>
      <c r="N2101" s="408">
        <f t="shared" si="651"/>
        <v>210236.04947368446</v>
      </c>
    </row>
    <row r="2102" spans="1:14" x14ac:dyDescent="0.2">
      <c r="A2102" s="410">
        <f t="shared" si="652"/>
        <v>23</v>
      </c>
      <c r="B2102" s="413">
        <v>375.8</v>
      </c>
      <c r="C2102" s="414" t="s">
        <v>1045</v>
      </c>
      <c r="D2102" s="415">
        <f t="shared" si="648"/>
        <v>0</v>
      </c>
      <c r="E2102" s="417">
        <v>0</v>
      </c>
      <c r="F2102" s="417">
        <v>0</v>
      </c>
      <c r="G2102" s="415">
        <f t="shared" si="653"/>
        <v>0</v>
      </c>
      <c r="H2102" s="418"/>
      <c r="I2102" s="415">
        <f t="shared" si="649"/>
        <v>0</v>
      </c>
      <c r="J2102" s="442">
        <f>J1996</f>
        <v>0</v>
      </c>
      <c r="K2102" s="417">
        <v>0</v>
      </c>
      <c r="L2102" s="418">
        <f t="shared" si="650"/>
        <v>0</v>
      </c>
      <c r="M2102" s="417">
        <v>0</v>
      </c>
      <c r="N2102" s="408">
        <f t="shared" si="651"/>
        <v>0</v>
      </c>
    </row>
    <row r="2103" spans="1:14" x14ac:dyDescent="0.2">
      <c r="A2103" s="410">
        <f>A2102+1</f>
        <v>24</v>
      </c>
      <c r="B2103" s="413">
        <v>376</v>
      </c>
      <c r="C2103" s="438" t="s">
        <v>1096</v>
      </c>
      <c r="D2103" s="415"/>
      <c r="E2103" s="417"/>
      <c r="F2103" s="417"/>
      <c r="G2103" s="415"/>
      <c r="H2103" s="418"/>
      <c r="I2103" s="439"/>
      <c r="J2103" s="432"/>
      <c r="K2103" s="418"/>
      <c r="L2103" s="418"/>
      <c r="M2103" s="417"/>
    </row>
    <row r="2104" spans="1:14" x14ac:dyDescent="0.2">
      <c r="A2104" s="410"/>
      <c r="B2104" s="413"/>
      <c r="C2104" s="440" t="s">
        <v>1097</v>
      </c>
      <c r="D2104" s="415"/>
      <c r="E2104" s="417"/>
      <c r="F2104" s="417"/>
      <c r="G2104" s="415"/>
      <c r="H2104" s="418"/>
      <c r="I2104" s="415"/>
      <c r="J2104" s="442"/>
      <c r="K2104" s="418"/>
      <c r="L2104" s="418"/>
      <c r="M2104" s="417"/>
      <c r="N2104" s="408"/>
    </row>
    <row r="2105" spans="1:14" x14ac:dyDescent="0.2">
      <c r="A2105" s="410"/>
      <c r="B2105" s="413"/>
      <c r="C2105" s="440" t="s">
        <v>1098</v>
      </c>
      <c r="D2105" s="415"/>
      <c r="E2105" s="417"/>
      <c r="F2105" s="417"/>
      <c r="G2105" s="415"/>
      <c r="H2105" s="418"/>
      <c r="I2105" s="415"/>
      <c r="J2105" s="442"/>
      <c r="K2105" s="418"/>
      <c r="L2105" s="418"/>
      <c r="M2105" s="417"/>
      <c r="N2105" s="408"/>
    </row>
    <row r="2106" spans="1:14" x14ac:dyDescent="0.2">
      <c r="A2106" s="410"/>
      <c r="B2106" s="413"/>
      <c r="C2106" s="440" t="s">
        <v>1099</v>
      </c>
      <c r="D2106" s="415"/>
      <c r="E2106" s="417"/>
      <c r="F2106" s="417"/>
      <c r="G2106" s="415"/>
      <c r="H2106" s="418"/>
      <c r="I2106" s="415"/>
      <c r="J2106" s="442"/>
      <c r="K2106" s="418"/>
      <c r="L2106" s="418"/>
      <c r="M2106" s="417"/>
      <c r="N2106" s="408"/>
    </row>
    <row r="2107" spans="1:14" x14ac:dyDescent="0.2">
      <c r="A2107" s="410"/>
      <c r="B2107" s="413"/>
      <c r="C2107" s="440" t="s">
        <v>1100</v>
      </c>
      <c r="D2107" s="415"/>
      <c r="E2107" s="417"/>
      <c r="F2107" s="417"/>
      <c r="G2107" s="415"/>
      <c r="H2107" s="418"/>
      <c r="I2107" s="415"/>
      <c r="J2107" s="442"/>
      <c r="K2107" s="418"/>
      <c r="L2107" s="418"/>
      <c r="M2107" s="417"/>
      <c r="N2107" s="408"/>
    </row>
    <row r="2108" spans="1:14" x14ac:dyDescent="0.2">
      <c r="A2108" s="410"/>
      <c r="B2108" s="413"/>
      <c r="C2108" s="440" t="s">
        <v>1101</v>
      </c>
      <c r="D2108" s="415">
        <f t="shared" ref="D2108:D2113" si="656">G2002</f>
        <v>223834385.44</v>
      </c>
      <c r="E2108" s="417">
        <f>2137900+32320</f>
        <v>2170220</v>
      </c>
      <c r="F2108" s="417">
        <v>-260400</v>
      </c>
      <c r="G2108" s="415">
        <f t="shared" ref="G2108:G2113" si="657">SUM(D2108:F2108)</f>
        <v>225744205.44</v>
      </c>
      <c r="H2108" s="418"/>
      <c r="I2108" s="415">
        <f t="shared" ref="I2108:I2113" si="658">N2002</f>
        <v>59561762.609999999</v>
      </c>
      <c r="J2108" s="442">
        <f t="shared" ref="J2108:J2113" si="659">J2002</f>
        <v>2.3E-2</v>
      </c>
      <c r="K2108" s="418">
        <f t="shared" ref="K2108:K2113" si="660">ROUND((G2108+D2108)/2*J2108/12,0)</f>
        <v>430846</v>
      </c>
      <c r="L2108" s="418">
        <f t="shared" ref="L2108:L2113" si="661">-F2108</f>
        <v>260400</v>
      </c>
      <c r="M2108" s="417">
        <v>-39100</v>
      </c>
      <c r="N2108" s="408">
        <f t="shared" ref="N2108:N2113" si="662">I2108+K2108-L2108+M2108</f>
        <v>59693108.609999999</v>
      </c>
    </row>
    <row r="2109" spans="1:14" x14ac:dyDescent="0.2">
      <c r="A2109" s="410">
        <f>A2103+1</f>
        <v>25</v>
      </c>
      <c r="B2109" s="413">
        <v>378.1</v>
      </c>
      <c r="C2109" s="414" t="s">
        <v>1047</v>
      </c>
      <c r="D2109" s="415">
        <f t="shared" si="656"/>
        <v>518504.18</v>
      </c>
      <c r="E2109" s="417">
        <v>0</v>
      </c>
      <c r="F2109" s="417">
        <v>0</v>
      </c>
      <c r="G2109" s="415">
        <f t="shared" si="657"/>
        <v>518504.18</v>
      </c>
      <c r="H2109" s="418"/>
      <c r="I2109" s="415">
        <f t="shared" si="658"/>
        <v>376376.81</v>
      </c>
      <c r="J2109" s="442">
        <f t="shared" si="659"/>
        <v>3.32E-2</v>
      </c>
      <c r="K2109" s="418">
        <f t="shared" si="660"/>
        <v>1435</v>
      </c>
      <c r="L2109" s="418">
        <f t="shared" si="661"/>
        <v>0</v>
      </c>
      <c r="M2109" s="417">
        <v>0</v>
      </c>
      <c r="N2109" s="408">
        <f t="shared" si="662"/>
        <v>377811.81</v>
      </c>
    </row>
    <row r="2110" spans="1:14" x14ac:dyDescent="0.2">
      <c r="A2110" s="410">
        <f t="shared" si="652"/>
        <v>26</v>
      </c>
      <c r="B2110" s="413">
        <v>378.2</v>
      </c>
      <c r="C2110" s="414" t="s">
        <v>1048</v>
      </c>
      <c r="D2110" s="415">
        <f t="shared" si="656"/>
        <v>10031124</v>
      </c>
      <c r="E2110" s="417">
        <v>61600</v>
      </c>
      <c r="F2110" s="417">
        <v>-7400</v>
      </c>
      <c r="G2110" s="415">
        <f t="shared" si="657"/>
        <v>10085324</v>
      </c>
      <c r="H2110" s="418"/>
      <c r="I2110" s="415">
        <f t="shared" si="658"/>
        <v>3578810.91</v>
      </c>
      <c r="J2110" s="442">
        <f t="shared" si="659"/>
        <v>3.32E-2</v>
      </c>
      <c r="K2110" s="418">
        <f t="shared" si="660"/>
        <v>27828</v>
      </c>
      <c r="L2110" s="418">
        <f t="shared" si="661"/>
        <v>7400</v>
      </c>
      <c r="M2110" s="417">
        <v>-400</v>
      </c>
      <c r="N2110" s="408">
        <f t="shared" si="662"/>
        <v>3598838.91</v>
      </c>
    </row>
    <row r="2111" spans="1:14" x14ac:dyDescent="0.2">
      <c r="A2111" s="410">
        <f t="shared" si="652"/>
        <v>27</v>
      </c>
      <c r="B2111" s="413">
        <v>378.3</v>
      </c>
      <c r="C2111" s="414" t="s">
        <v>1049</v>
      </c>
      <c r="D2111" s="415">
        <f t="shared" si="656"/>
        <v>45443.08</v>
      </c>
      <c r="E2111" s="417">
        <v>0</v>
      </c>
      <c r="F2111" s="417">
        <v>0</v>
      </c>
      <c r="G2111" s="415">
        <f t="shared" si="657"/>
        <v>45443.08</v>
      </c>
      <c r="H2111" s="418"/>
      <c r="I2111" s="415">
        <f t="shared" si="658"/>
        <v>37012.04</v>
      </c>
      <c r="J2111" s="442">
        <f t="shared" si="659"/>
        <v>3.32E-2</v>
      </c>
      <c r="K2111" s="418">
        <f t="shared" si="660"/>
        <v>126</v>
      </c>
      <c r="L2111" s="418">
        <f t="shared" si="661"/>
        <v>0</v>
      </c>
      <c r="M2111" s="417">
        <v>0</v>
      </c>
      <c r="N2111" s="408">
        <f t="shared" si="662"/>
        <v>37138.04</v>
      </c>
    </row>
    <row r="2112" spans="1:14" x14ac:dyDescent="0.2">
      <c r="A2112" s="410">
        <f t="shared" si="652"/>
        <v>28</v>
      </c>
      <c r="B2112" s="413">
        <v>379.1</v>
      </c>
      <c r="C2112" s="414" t="s">
        <v>1050</v>
      </c>
      <c r="D2112" s="415">
        <f t="shared" si="656"/>
        <v>254900.59</v>
      </c>
      <c r="E2112" s="417">
        <v>0</v>
      </c>
      <c r="F2112" s="417">
        <v>0</v>
      </c>
      <c r="G2112" s="415">
        <f t="shared" si="657"/>
        <v>254900.59</v>
      </c>
      <c r="H2112" s="418"/>
      <c r="I2112" s="415">
        <f t="shared" si="658"/>
        <v>267730.57</v>
      </c>
      <c r="J2112" s="442">
        <f t="shared" si="659"/>
        <v>6.0000000000000001E-3</v>
      </c>
      <c r="K2112" s="417">
        <v>0</v>
      </c>
      <c r="L2112" s="418">
        <f t="shared" si="661"/>
        <v>0</v>
      </c>
      <c r="M2112" s="417">
        <v>0</v>
      </c>
      <c r="N2112" s="408">
        <f t="shared" si="662"/>
        <v>267730.57</v>
      </c>
    </row>
    <row r="2113" spans="1:14" x14ac:dyDescent="0.2">
      <c r="A2113" s="410">
        <f t="shared" si="652"/>
        <v>29</v>
      </c>
      <c r="B2113" s="413">
        <v>380</v>
      </c>
      <c r="C2113" s="414" t="s">
        <v>1051</v>
      </c>
      <c r="D2113" s="415">
        <f t="shared" si="656"/>
        <v>129494446.77</v>
      </c>
      <c r="E2113" s="417">
        <f>1490900+21546</f>
        <v>1512446</v>
      </c>
      <c r="F2113" s="417">
        <v>-181500</v>
      </c>
      <c r="G2113" s="415">
        <f t="shared" si="657"/>
        <v>130825392.77</v>
      </c>
      <c r="H2113" s="418"/>
      <c r="I2113" s="415">
        <f t="shared" si="658"/>
        <v>62269439.520000003</v>
      </c>
      <c r="J2113" s="442">
        <f t="shared" si="659"/>
        <v>5.0999999999999997E-2</v>
      </c>
      <c r="K2113" s="418">
        <f t="shared" si="660"/>
        <v>553180</v>
      </c>
      <c r="L2113" s="418">
        <f t="shared" si="661"/>
        <v>181500</v>
      </c>
      <c r="M2113" s="417">
        <v>-90700</v>
      </c>
      <c r="N2113" s="408">
        <f t="shared" si="662"/>
        <v>62550419.520000003</v>
      </c>
    </row>
    <row r="2114" spans="1:14" x14ac:dyDescent="0.2">
      <c r="A2114" s="410"/>
      <c r="B2114" s="444"/>
      <c r="C2114" s="414"/>
      <c r="D2114" s="439"/>
      <c r="E2114" s="418"/>
      <c r="F2114" s="418"/>
      <c r="G2114" s="439"/>
      <c r="H2114" s="418"/>
      <c r="I2114" s="418"/>
      <c r="J2114" s="418"/>
      <c r="K2114" s="418"/>
      <c r="L2114" s="418"/>
    </row>
    <row r="2115" spans="1:14" x14ac:dyDescent="0.2">
      <c r="A2115" s="2073" t="str">
        <f>co</f>
        <v>COLUMBIA GAS OF KENTUCKY, INC.</v>
      </c>
      <c r="B2115" s="2073"/>
      <c r="C2115" s="2073"/>
      <c r="D2115" s="2073"/>
      <c r="E2115" s="2073"/>
      <c r="F2115" s="2073"/>
      <c r="G2115" s="2073"/>
      <c r="H2115" s="2073"/>
      <c r="I2115" s="2073"/>
      <c r="J2115" s="2073"/>
      <c r="K2115" s="2073"/>
      <c r="L2115" s="2073"/>
      <c r="M2115" s="2073"/>
      <c r="N2115" s="2073"/>
    </row>
    <row r="2116" spans="1:14" x14ac:dyDescent="0.2">
      <c r="A2116" s="2073" t="str">
        <f>case</f>
        <v>CASE NO. 2016 - 00162</v>
      </c>
      <c r="B2116" s="2073"/>
      <c r="C2116" s="2073"/>
      <c r="D2116" s="2073"/>
      <c r="E2116" s="2073"/>
      <c r="F2116" s="2073"/>
      <c r="G2116" s="2073"/>
      <c r="H2116" s="2073"/>
      <c r="I2116" s="2073"/>
      <c r="J2116" s="2073"/>
      <c r="K2116" s="2073"/>
      <c r="L2116" s="2073"/>
      <c r="M2116" s="2073"/>
      <c r="N2116" s="2073"/>
    </row>
    <row r="2117" spans="1:14" x14ac:dyDescent="0.2">
      <c r="A2117" s="2074" t="s">
        <v>1106</v>
      </c>
      <c r="B2117" s="2073"/>
      <c r="C2117" s="2073"/>
      <c r="D2117" s="2073"/>
      <c r="E2117" s="2073"/>
      <c r="F2117" s="2073"/>
      <c r="G2117" s="2073"/>
      <c r="H2117" s="2073"/>
      <c r="I2117" s="2073"/>
      <c r="J2117" s="2073"/>
      <c r="K2117" s="2073"/>
      <c r="L2117" s="2073"/>
      <c r="M2117" s="2073"/>
      <c r="N2117" s="2073"/>
    </row>
    <row r="2118" spans="1:14" x14ac:dyDescent="0.2">
      <c r="A2118" s="2078" t="s">
        <v>2142</v>
      </c>
      <c r="B2118" s="2078"/>
      <c r="C2118" s="2078"/>
      <c r="D2118" s="2078"/>
      <c r="E2118" s="2078"/>
      <c r="F2118" s="2078"/>
      <c r="G2118" s="2078"/>
      <c r="H2118" s="2078"/>
      <c r="I2118" s="2078"/>
      <c r="J2118" s="2078"/>
      <c r="K2118" s="2078"/>
      <c r="L2118" s="2078"/>
      <c r="M2118" s="2078"/>
      <c r="N2118" s="2078"/>
    </row>
    <row r="2120" spans="1:14" x14ac:dyDescent="0.2">
      <c r="A2120" s="388" t="s">
        <v>976</v>
      </c>
      <c r="M2120" s="386"/>
      <c r="N2120" s="387" t="s">
        <v>763</v>
      </c>
    </row>
    <row r="2121" spans="1:14" x14ac:dyDescent="0.2">
      <c r="A2121" s="388" t="s">
        <v>977</v>
      </c>
      <c r="M2121" s="386"/>
      <c r="N2121" s="387" t="s">
        <v>999</v>
      </c>
    </row>
    <row r="2122" spans="1:14" x14ac:dyDescent="0.2">
      <c r="A2122" s="445" t="str">
        <f>A2069</f>
        <v>WORKPAPER REFERENCE NO(S).: WPB-2.3</v>
      </c>
      <c r="B2122" s="391"/>
      <c r="C2122" s="391"/>
      <c r="D2122" s="391"/>
      <c r="E2122" s="391"/>
      <c r="F2122" s="391"/>
      <c r="G2122" s="391"/>
      <c r="H2122" s="391"/>
      <c r="M2122" s="392"/>
      <c r="N2122" s="393" t="str">
        <f>SMK</f>
        <v>WITNESS:  S. M. KATKO</v>
      </c>
    </row>
    <row r="2123" spans="1:14" x14ac:dyDescent="0.2">
      <c r="A2123" s="390"/>
      <c r="B2123" s="391"/>
      <c r="C2123" s="391"/>
      <c r="D2123" s="391"/>
      <c r="E2123" s="391"/>
      <c r="F2123" s="391"/>
      <c r="G2123" s="391"/>
      <c r="H2123" s="391"/>
      <c r="I2123" s="392"/>
      <c r="J2123" s="393"/>
      <c r="L2123" s="386"/>
      <c r="M2123" s="386"/>
    </row>
    <row r="2124" spans="1:14" x14ac:dyDescent="0.2">
      <c r="A2124" s="390"/>
      <c r="B2124" s="391"/>
      <c r="C2124" s="391"/>
      <c r="D2124" s="2075" t="s">
        <v>1088</v>
      </c>
      <c r="E2124" s="2075"/>
      <c r="F2124" s="2075"/>
      <c r="G2124" s="2075"/>
      <c r="H2124" s="391"/>
      <c r="I2124" s="2076" t="s">
        <v>1093</v>
      </c>
      <c r="J2124" s="2077"/>
      <c r="K2124" s="2077"/>
      <c r="L2124" s="2077"/>
      <c r="M2124" s="2077"/>
      <c r="N2124" s="2077"/>
    </row>
    <row r="2125" spans="1:14" x14ac:dyDescent="0.2">
      <c r="A2125" s="394"/>
      <c r="B2125" s="391"/>
      <c r="C2125" s="391"/>
      <c r="D2125" s="396" t="s">
        <v>1084</v>
      </c>
      <c r="E2125" s="391"/>
      <c r="F2125" s="391"/>
      <c r="G2125" s="395"/>
      <c r="H2125" s="395"/>
      <c r="I2125" s="397" t="s">
        <v>1089</v>
      </c>
      <c r="J2125" s="396"/>
      <c r="M2125" s="386"/>
    </row>
    <row r="2126" spans="1:14" x14ac:dyDescent="0.2">
      <c r="A2126" s="383"/>
      <c r="D2126" s="397" t="s">
        <v>865</v>
      </c>
      <c r="G2126" s="397" t="s">
        <v>867</v>
      </c>
      <c r="H2126" s="398"/>
      <c r="I2126" s="397" t="s">
        <v>865</v>
      </c>
      <c r="J2126" s="397" t="s">
        <v>956</v>
      </c>
      <c r="M2126" s="386"/>
      <c r="N2126" s="397" t="s">
        <v>867</v>
      </c>
    </row>
    <row r="2127" spans="1:14" x14ac:dyDescent="0.2">
      <c r="A2127" s="397" t="s">
        <v>1080</v>
      </c>
      <c r="B2127" s="397" t="s">
        <v>1082</v>
      </c>
      <c r="D2127" s="397" t="s">
        <v>867</v>
      </c>
      <c r="G2127" s="399" t="s">
        <v>1087</v>
      </c>
      <c r="H2127" s="398"/>
      <c r="I2127" s="399" t="s">
        <v>867</v>
      </c>
      <c r="J2127" s="397" t="s">
        <v>1090</v>
      </c>
      <c r="K2127" s="397" t="s">
        <v>956</v>
      </c>
      <c r="M2127" s="399" t="s">
        <v>1092</v>
      </c>
      <c r="N2127" s="399" t="s">
        <v>1087</v>
      </c>
    </row>
    <row r="2128" spans="1:14" x14ac:dyDescent="0.2">
      <c r="A2128" s="400" t="s">
        <v>1081</v>
      </c>
      <c r="B2128" s="400" t="s">
        <v>1081</v>
      </c>
      <c r="C2128" s="401" t="s">
        <v>1083</v>
      </c>
      <c r="D2128" s="404" t="str">
        <f>D2075</f>
        <v>09/30/2017</v>
      </c>
      <c r="E2128" s="400" t="s">
        <v>1085</v>
      </c>
      <c r="F2128" s="400" t="s">
        <v>1086</v>
      </c>
      <c r="G2128" s="404" t="str">
        <f>G2075</f>
        <v>10/31/2017</v>
      </c>
      <c r="H2128" s="398"/>
      <c r="I2128" s="404" t="str">
        <f>D2128</f>
        <v>09/30/2017</v>
      </c>
      <c r="J2128" s="400" t="s">
        <v>1091</v>
      </c>
      <c r="K2128" s="402" t="s">
        <v>1090</v>
      </c>
      <c r="L2128" s="402" t="s">
        <v>1086</v>
      </c>
      <c r="M2128" s="402" t="s">
        <v>955</v>
      </c>
      <c r="N2128" s="404" t="str">
        <f>G2128</f>
        <v>10/31/2017</v>
      </c>
    </row>
    <row r="2129" spans="1:14" x14ac:dyDescent="0.2">
      <c r="A2129" s="406"/>
      <c r="B2129" s="406"/>
      <c r="C2129" s="406"/>
      <c r="D2129" s="406" t="str">
        <f>"(1)"</f>
        <v>(1)</v>
      </c>
      <c r="E2129" s="406" t="str">
        <f>"(2)"</f>
        <v>(2)</v>
      </c>
      <c r="F2129" s="406" t="str">
        <f>"(3)"</f>
        <v>(3)</v>
      </c>
      <c r="G2129" s="406" t="str">
        <f>"(4)=(1+2+3)"</f>
        <v>(4)=(1+2+3)</v>
      </c>
      <c r="H2129" s="406"/>
      <c r="I2129" s="406" t="str">
        <f>"(5)"</f>
        <v>(5)</v>
      </c>
      <c r="J2129" s="406" t="str">
        <f>"(6)"</f>
        <v>(6)</v>
      </c>
      <c r="K2129" s="406" t="str">
        <f>"(7)=((1+4)/2*6/12))"</f>
        <v>(7)=((1+4)/2*6/12))</v>
      </c>
      <c r="L2129" s="406" t="str">
        <f>"(8)"</f>
        <v>(8)</v>
      </c>
      <c r="M2129" s="406" t="str">
        <f>"(9)"</f>
        <v>(9)</v>
      </c>
      <c r="N2129" s="406" t="str">
        <f>"(10)=(5+7-8+9)"</f>
        <v>(10)=(5+7-8+9)</v>
      </c>
    </row>
    <row r="2130" spans="1:14" x14ac:dyDescent="0.2">
      <c r="D2130" s="410" t="s">
        <v>639</v>
      </c>
      <c r="E2130" s="410" t="s">
        <v>639</v>
      </c>
      <c r="F2130" s="410" t="s">
        <v>639</v>
      </c>
      <c r="G2130" s="410" t="s">
        <v>639</v>
      </c>
      <c r="H2130" s="410"/>
      <c r="I2130" s="410" t="s">
        <v>639</v>
      </c>
      <c r="J2130" s="410" t="s">
        <v>639</v>
      </c>
      <c r="K2130" s="410" t="s">
        <v>639</v>
      </c>
      <c r="L2130" s="410" t="s">
        <v>639</v>
      </c>
      <c r="M2130" s="410" t="s">
        <v>639</v>
      </c>
      <c r="N2130" s="410" t="s">
        <v>639</v>
      </c>
    </row>
    <row r="2131" spans="1:14" x14ac:dyDescent="0.2">
      <c r="C2131" s="411" t="s">
        <v>707</v>
      </c>
      <c r="D2131" s="410"/>
      <c r="E2131" s="410"/>
      <c r="F2131" s="410"/>
      <c r="G2131" s="410"/>
      <c r="J2131" s="410"/>
    </row>
    <row r="2132" spans="1:14" x14ac:dyDescent="0.2">
      <c r="A2132" s="405">
        <v>1</v>
      </c>
      <c r="B2132" s="446">
        <v>381</v>
      </c>
      <c r="C2132" s="414" t="s">
        <v>1052</v>
      </c>
      <c r="D2132" s="415">
        <f t="shared" ref="D2132:D2143" si="663">G2026</f>
        <v>14074708.550000001</v>
      </c>
      <c r="E2132" s="417">
        <v>89600</v>
      </c>
      <c r="F2132" s="417">
        <v>-10800</v>
      </c>
      <c r="G2132" s="415">
        <f>SUM(D2132:F2132)</f>
        <v>14153508.550000001</v>
      </c>
      <c r="H2132" s="418"/>
      <c r="I2132" s="415">
        <f t="shared" ref="I2132:I2143" si="664">N2026</f>
        <v>5224713.8899999997</v>
      </c>
      <c r="J2132" s="442">
        <f t="shared" ref="J2132:J2143" si="665">J2026</f>
        <v>3.3000000000000002E-2</v>
      </c>
      <c r="K2132" s="418">
        <f t="shared" ref="K2132:K2143" si="666">ROUND((G2132+D2132)/2*J2132/12,0)</f>
        <v>38814</v>
      </c>
      <c r="L2132" s="418">
        <f t="shared" ref="L2132:L2143" si="667">-F2132</f>
        <v>10800</v>
      </c>
      <c r="M2132" s="417">
        <v>0</v>
      </c>
      <c r="N2132" s="408">
        <f t="shared" ref="N2132:N2143" si="668">I2132+K2132-L2132+M2132</f>
        <v>5252727.8899999997</v>
      </c>
    </row>
    <row r="2133" spans="1:14" x14ac:dyDescent="0.2">
      <c r="A2133" s="405">
        <f>A2132+1</f>
        <v>2</v>
      </c>
      <c r="B2133" s="446">
        <v>381.1</v>
      </c>
      <c r="C2133" s="414" t="s">
        <v>1052</v>
      </c>
      <c r="D2133" s="415">
        <f t="shared" si="663"/>
        <v>8841512.0600000005</v>
      </c>
      <c r="E2133" s="417">
        <v>5300</v>
      </c>
      <c r="F2133" s="417">
        <v>-600</v>
      </c>
      <c r="G2133" s="415">
        <f>SUM(D2133:F2133)</f>
        <v>8846212.0600000005</v>
      </c>
      <c r="H2133" s="418"/>
      <c r="I2133" s="415">
        <f t="shared" si="664"/>
        <v>1076967.5</v>
      </c>
      <c r="J2133" s="442">
        <f t="shared" si="665"/>
        <v>8.0600000000000005E-2</v>
      </c>
      <c r="K2133" s="418">
        <f t="shared" si="666"/>
        <v>59401</v>
      </c>
      <c r="L2133" s="418">
        <f t="shared" si="667"/>
        <v>600</v>
      </c>
      <c r="M2133" s="417">
        <v>0</v>
      </c>
      <c r="N2133" s="408">
        <f t="shared" si="668"/>
        <v>1135768.5</v>
      </c>
    </row>
    <row r="2134" spans="1:14" x14ac:dyDescent="0.2">
      <c r="A2134" s="405">
        <f t="shared" ref="A2134:A2144" si="669">A2133+1</f>
        <v>3</v>
      </c>
      <c r="B2134" s="446">
        <v>382</v>
      </c>
      <c r="C2134" s="414" t="s">
        <v>1053</v>
      </c>
      <c r="D2134" s="415">
        <f t="shared" si="663"/>
        <v>9534992.6500000004</v>
      </c>
      <c r="E2134" s="417">
        <v>49600</v>
      </c>
      <c r="F2134" s="417">
        <v>-6000</v>
      </c>
      <c r="G2134" s="415">
        <f t="shared" ref="G2134:G2139" si="670">SUM(D2134:F2134)</f>
        <v>9578592.6500000004</v>
      </c>
      <c r="H2134" s="418"/>
      <c r="I2134" s="415">
        <f t="shared" si="664"/>
        <v>4760466.3</v>
      </c>
      <c r="J2134" s="442">
        <f t="shared" si="665"/>
        <v>2.4400000000000002E-2</v>
      </c>
      <c r="K2134" s="418">
        <f t="shared" si="666"/>
        <v>19432</v>
      </c>
      <c r="L2134" s="418">
        <f t="shared" si="667"/>
        <v>6000</v>
      </c>
      <c r="M2134" s="417">
        <v>-300</v>
      </c>
      <c r="N2134" s="408">
        <f t="shared" si="668"/>
        <v>4773598.3</v>
      </c>
    </row>
    <row r="2135" spans="1:14" x14ac:dyDescent="0.2">
      <c r="A2135" s="405">
        <f t="shared" si="669"/>
        <v>4</v>
      </c>
      <c r="B2135" s="446">
        <v>383</v>
      </c>
      <c r="C2135" s="414" t="s">
        <v>1054</v>
      </c>
      <c r="D2135" s="415">
        <f t="shared" si="663"/>
        <v>5810120.7599999998</v>
      </c>
      <c r="E2135" s="417">
        <v>22100</v>
      </c>
      <c r="F2135" s="417">
        <v>-2700</v>
      </c>
      <c r="G2135" s="415">
        <f t="shared" si="670"/>
        <v>5829520.7599999998</v>
      </c>
      <c r="H2135" s="418"/>
      <c r="I2135" s="415">
        <f t="shared" si="664"/>
        <v>1601883.41</v>
      </c>
      <c r="J2135" s="442">
        <f t="shared" si="665"/>
        <v>2.7300000000000001E-2</v>
      </c>
      <c r="K2135" s="418">
        <f t="shared" si="666"/>
        <v>13240</v>
      </c>
      <c r="L2135" s="418">
        <f t="shared" si="667"/>
        <v>2700</v>
      </c>
      <c r="M2135" s="417">
        <v>-100</v>
      </c>
      <c r="N2135" s="408">
        <f t="shared" si="668"/>
        <v>1612323.41</v>
      </c>
    </row>
    <row r="2136" spans="1:14" x14ac:dyDescent="0.2">
      <c r="A2136" s="405">
        <f t="shared" si="669"/>
        <v>5</v>
      </c>
      <c r="B2136" s="446">
        <v>384</v>
      </c>
      <c r="C2136" s="414" t="s">
        <v>1055</v>
      </c>
      <c r="D2136" s="415">
        <f t="shared" si="663"/>
        <v>2257522</v>
      </c>
      <c r="E2136" s="417">
        <v>0</v>
      </c>
      <c r="F2136" s="417">
        <v>0</v>
      </c>
      <c r="G2136" s="415">
        <f t="shared" si="670"/>
        <v>2257522</v>
      </c>
      <c r="H2136" s="418"/>
      <c r="I2136" s="415">
        <f t="shared" si="664"/>
        <v>1786428.73</v>
      </c>
      <c r="J2136" s="442">
        <f t="shared" si="665"/>
        <v>1.01E-2</v>
      </c>
      <c r="K2136" s="418">
        <f t="shared" si="666"/>
        <v>1900</v>
      </c>
      <c r="L2136" s="418">
        <f t="shared" si="667"/>
        <v>0</v>
      </c>
      <c r="M2136" s="417">
        <v>0</v>
      </c>
      <c r="N2136" s="408">
        <f t="shared" si="668"/>
        <v>1788328.73</v>
      </c>
    </row>
    <row r="2137" spans="1:14" x14ac:dyDescent="0.2">
      <c r="A2137" s="405">
        <f t="shared" si="669"/>
        <v>6</v>
      </c>
      <c r="B2137" s="446">
        <v>385</v>
      </c>
      <c r="C2137" s="414" t="s">
        <v>1056</v>
      </c>
      <c r="D2137" s="415">
        <f t="shared" si="663"/>
        <v>3428683.36</v>
      </c>
      <c r="E2137" s="417">
        <v>38900</v>
      </c>
      <c r="F2137" s="417">
        <v>-4700</v>
      </c>
      <c r="G2137" s="415">
        <f t="shared" si="670"/>
        <v>3462883.36</v>
      </c>
      <c r="H2137" s="418"/>
      <c r="I2137" s="415">
        <f t="shared" si="664"/>
        <v>991265.55</v>
      </c>
      <c r="J2137" s="442">
        <f t="shared" si="665"/>
        <v>5.0799999999999998E-2</v>
      </c>
      <c r="K2137" s="418">
        <f t="shared" si="666"/>
        <v>14587</v>
      </c>
      <c r="L2137" s="418">
        <f t="shared" si="667"/>
        <v>4700</v>
      </c>
      <c r="M2137" s="417">
        <v>-200</v>
      </c>
      <c r="N2137" s="408">
        <f t="shared" si="668"/>
        <v>1000952.55</v>
      </c>
    </row>
    <row r="2138" spans="1:14" x14ac:dyDescent="0.2">
      <c r="A2138" s="405">
        <f t="shared" si="669"/>
        <v>7</v>
      </c>
      <c r="B2138" s="446">
        <v>387.2</v>
      </c>
      <c r="C2138" s="414" t="s">
        <v>1057</v>
      </c>
      <c r="D2138" s="415">
        <f t="shared" si="663"/>
        <v>0</v>
      </c>
      <c r="E2138" s="417">
        <v>0</v>
      </c>
      <c r="F2138" s="417">
        <v>0</v>
      </c>
      <c r="G2138" s="415">
        <f t="shared" si="670"/>
        <v>0</v>
      </c>
      <c r="H2138" s="418"/>
      <c r="I2138" s="415">
        <f t="shared" si="664"/>
        <v>-59912.03</v>
      </c>
      <c r="J2138" s="442">
        <f t="shared" si="665"/>
        <v>0</v>
      </c>
      <c r="K2138" s="418">
        <f t="shared" si="666"/>
        <v>0</v>
      </c>
      <c r="L2138" s="418">
        <f t="shared" si="667"/>
        <v>0</v>
      </c>
      <c r="M2138" s="417">
        <v>0</v>
      </c>
      <c r="N2138" s="408">
        <f t="shared" si="668"/>
        <v>-59912.03</v>
      </c>
    </row>
    <row r="2139" spans="1:14" x14ac:dyDescent="0.2">
      <c r="A2139" s="405">
        <f t="shared" si="669"/>
        <v>8</v>
      </c>
      <c r="B2139" s="446">
        <v>387.41</v>
      </c>
      <c r="C2139" s="414" t="s">
        <v>1058</v>
      </c>
      <c r="D2139" s="415">
        <f t="shared" si="663"/>
        <v>735770.76</v>
      </c>
      <c r="E2139" s="417">
        <v>0</v>
      </c>
      <c r="F2139" s="417">
        <v>0</v>
      </c>
      <c r="G2139" s="415">
        <f t="shared" si="670"/>
        <v>735770.76</v>
      </c>
      <c r="H2139" s="418"/>
      <c r="I2139" s="415">
        <f t="shared" si="664"/>
        <v>406694.95</v>
      </c>
      <c r="J2139" s="442">
        <f t="shared" si="665"/>
        <v>3.7400000000000003E-2</v>
      </c>
      <c r="K2139" s="418">
        <f t="shared" si="666"/>
        <v>2293</v>
      </c>
      <c r="L2139" s="418">
        <f t="shared" si="667"/>
        <v>0</v>
      </c>
      <c r="M2139" s="417">
        <v>0</v>
      </c>
      <c r="N2139" s="408">
        <f t="shared" si="668"/>
        <v>408987.95</v>
      </c>
    </row>
    <row r="2140" spans="1:14" x14ac:dyDescent="0.2">
      <c r="A2140" s="405">
        <f t="shared" si="669"/>
        <v>9</v>
      </c>
      <c r="B2140" s="446">
        <v>387.42</v>
      </c>
      <c r="C2140" s="414" t="s">
        <v>1059</v>
      </c>
      <c r="D2140" s="415">
        <f t="shared" si="663"/>
        <v>795186.58</v>
      </c>
      <c r="E2140" s="417">
        <v>0</v>
      </c>
      <c r="F2140" s="417">
        <v>0</v>
      </c>
      <c r="G2140" s="415">
        <f>SUM(D2140:F2140)</f>
        <v>795186.58</v>
      </c>
      <c r="H2140" s="418"/>
      <c r="I2140" s="415">
        <f t="shared" si="664"/>
        <v>574847.94999999995</v>
      </c>
      <c r="J2140" s="442">
        <f t="shared" si="665"/>
        <v>3.7400000000000003E-2</v>
      </c>
      <c r="K2140" s="418">
        <f t="shared" si="666"/>
        <v>2478</v>
      </c>
      <c r="L2140" s="418">
        <f t="shared" si="667"/>
        <v>0</v>
      </c>
      <c r="M2140" s="417">
        <v>0</v>
      </c>
      <c r="N2140" s="408">
        <f t="shared" si="668"/>
        <v>577325.94999999995</v>
      </c>
    </row>
    <row r="2141" spans="1:14" x14ac:dyDescent="0.2">
      <c r="A2141" s="405">
        <f t="shared" si="669"/>
        <v>10</v>
      </c>
      <c r="B2141" s="446">
        <v>387.44</v>
      </c>
      <c r="C2141" s="414" t="s">
        <v>1060</v>
      </c>
      <c r="D2141" s="415">
        <f t="shared" si="663"/>
        <v>143283.93</v>
      </c>
      <c r="E2141" s="417">
        <v>0</v>
      </c>
      <c r="F2141" s="417">
        <v>0</v>
      </c>
      <c r="G2141" s="415">
        <f>SUM(D2141:F2141)</f>
        <v>143283.93</v>
      </c>
      <c r="H2141" s="418"/>
      <c r="I2141" s="415">
        <f t="shared" si="664"/>
        <v>50971.55</v>
      </c>
      <c r="J2141" s="442">
        <f t="shared" si="665"/>
        <v>3.7400000000000003E-2</v>
      </c>
      <c r="K2141" s="418">
        <f t="shared" si="666"/>
        <v>447</v>
      </c>
      <c r="L2141" s="418">
        <f t="shared" si="667"/>
        <v>0</v>
      </c>
      <c r="M2141" s="417">
        <v>0</v>
      </c>
      <c r="N2141" s="408">
        <f t="shared" si="668"/>
        <v>51418.55</v>
      </c>
    </row>
    <row r="2142" spans="1:14" x14ac:dyDescent="0.2">
      <c r="A2142" s="405">
        <f t="shared" si="669"/>
        <v>11</v>
      </c>
      <c r="B2142" s="446">
        <v>387.45</v>
      </c>
      <c r="C2142" s="414" t="s">
        <v>1061</v>
      </c>
      <c r="D2142" s="415">
        <f t="shared" si="663"/>
        <v>4064204.66</v>
      </c>
      <c r="E2142" s="417">
        <f>80800+80000</f>
        <v>160800</v>
      </c>
      <c r="F2142" s="417">
        <v>-19300</v>
      </c>
      <c r="G2142" s="415">
        <f>SUM(D2142:F2142)</f>
        <v>4205704.66</v>
      </c>
      <c r="H2142" s="418"/>
      <c r="I2142" s="415">
        <f t="shared" si="664"/>
        <v>522699.06000000006</v>
      </c>
      <c r="J2142" s="442">
        <f t="shared" si="665"/>
        <v>3.7400000000000003E-2</v>
      </c>
      <c r="K2142" s="418">
        <f t="shared" si="666"/>
        <v>12887</v>
      </c>
      <c r="L2142" s="418">
        <f t="shared" si="667"/>
        <v>19300</v>
      </c>
      <c r="M2142" s="417">
        <v>0</v>
      </c>
      <c r="N2142" s="408">
        <f t="shared" si="668"/>
        <v>516286.06000000006</v>
      </c>
    </row>
    <row r="2143" spans="1:14" x14ac:dyDescent="0.2">
      <c r="A2143" s="405">
        <f t="shared" si="669"/>
        <v>12</v>
      </c>
      <c r="B2143" s="446">
        <v>387.46</v>
      </c>
      <c r="C2143" s="414" t="s">
        <v>1062</v>
      </c>
      <c r="D2143" s="421">
        <f t="shared" si="663"/>
        <v>113644.47</v>
      </c>
      <c r="E2143" s="1662">
        <v>0</v>
      </c>
      <c r="F2143" s="1662">
        <v>0</v>
      </c>
      <c r="G2143" s="428">
        <f>SUM(D2143:F2143)</f>
        <v>113644.47</v>
      </c>
      <c r="H2143" s="447"/>
      <c r="I2143" s="421">
        <f t="shared" si="664"/>
        <v>115418.83</v>
      </c>
      <c r="J2143" s="442">
        <f t="shared" si="665"/>
        <v>3.7400000000000003E-2</v>
      </c>
      <c r="K2143" s="421">
        <f t="shared" si="666"/>
        <v>354</v>
      </c>
      <c r="L2143" s="421">
        <f t="shared" si="667"/>
        <v>0</v>
      </c>
      <c r="M2143" s="422">
        <v>0</v>
      </c>
      <c r="N2143" s="423">
        <f t="shared" si="668"/>
        <v>115772.83</v>
      </c>
    </row>
    <row r="2144" spans="1:14" x14ac:dyDescent="0.2">
      <c r="A2144" s="405">
        <f t="shared" si="669"/>
        <v>13</v>
      </c>
      <c r="B2144" s="448"/>
      <c r="C2144" s="386" t="s">
        <v>1063</v>
      </c>
      <c r="D2144" s="418">
        <f>SUM(D2132:D2143,D2092:D2113)</f>
        <v>429432188.37999994</v>
      </c>
      <c r="E2144" s="418">
        <f>SUM(E2132:E2143,E2092:E2113)</f>
        <v>4203266</v>
      </c>
      <c r="F2144" s="418">
        <f>SUM(F2132:F2143,F2092:F2113)</f>
        <v>-504600</v>
      </c>
      <c r="G2144" s="418">
        <f>SUM(G2132:G2143,G2092:G2113)</f>
        <v>433130854.37999994</v>
      </c>
      <c r="H2144" s="418"/>
      <c r="I2144" s="418">
        <f>SUM(I2132:I2143,I2092:I2113)</f>
        <v>148398431.72</v>
      </c>
      <c r="J2144" s="418"/>
      <c r="K2144" s="418">
        <f>SUM(K2132:K2143,K2092:K2113)</f>
        <v>1207359.0494736843</v>
      </c>
      <c r="L2144" s="418">
        <f>SUM(L2132:L2143,L2092:L2113)</f>
        <v>504600</v>
      </c>
      <c r="M2144" s="418">
        <f>SUM(M2132:M2143,M2092:M2113)</f>
        <v>-131300</v>
      </c>
      <c r="N2144" s="418">
        <f>SUM(N2132:N2143,N2092:N2113)</f>
        <v>148969890.76947367</v>
      </c>
    </row>
    <row r="2145" spans="1:14" x14ac:dyDescent="0.2">
      <c r="B2145" s="448"/>
      <c r="D2145" s="418"/>
      <c r="E2145" s="418"/>
      <c r="F2145" s="418"/>
      <c r="G2145" s="418"/>
      <c r="H2145" s="418"/>
      <c r="I2145" s="439"/>
      <c r="J2145" s="418"/>
      <c r="K2145" s="418"/>
      <c r="L2145" s="418"/>
      <c r="M2145" s="418"/>
    </row>
    <row r="2146" spans="1:14" x14ac:dyDescent="0.2">
      <c r="A2146" s="405">
        <f>A2144+1</f>
        <v>14</v>
      </c>
      <c r="B2146" s="448"/>
      <c r="C2146" s="411" t="s">
        <v>737</v>
      </c>
      <c r="D2146" s="418"/>
      <c r="E2146" s="418"/>
      <c r="F2146" s="418"/>
      <c r="G2146" s="418"/>
      <c r="H2146" s="418"/>
      <c r="I2146" s="439"/>
      <c r="J2146" s="418"/>
      <c r="K2146" s="418"/>
      <c r="L2146" s="418"/>
      <c r="M2146" s="418"/>
    </row>
    <row r="2147" spans="1:14" x14ac:dyDescent="0.2">
      <c r="A2147" s="410">
        <f>A2146+1</f>
        <v>15</v>
      </c>
      <c r="B2147" s="446">
        <v>391.1</v>
      </c>
      <c r="C2147" s="414" t="s">
        <v>1064</v>
      </c>
      <c r="D2147" s="415">
        <f t="shared" ref="D2147:D2160" si="671">G2041</f>
        <v>713480.71</v>
      </c>
      <c r="E2147" s="417">
        <v>0</v>
      </c>
      <c r="F2147" s="417">
        <v>0</v>
      </c>
      <c r="G2147" s="415">
        <f t="shared" ref="G2147:G2160" si="672">SUM(D2147:F2147)</f>
        <v>713480.71</v>
      </c>
      <c r="H2147" s="418"/>
      <c r="I2147" s="415">
        <f t="shared" ref="I2147:I2160" si="673">N2041</f>
        <v>-23819.22</v>
      </c>
      <c r="J2147" s="442">
        <f t="shared" ref="J2147:J2160" si="674">J2041</f>
        <v>0.05</v>
      </c>
      <c r="K2147" s="418">
        <f>ROUND((G2147+D2147)/2*J2147/12,0)</f>
        <v>2973</v>
      </c>
      <c r="L2147" s="418">
        <f t="shared" ref="L2147:L2160" si="675">-F2147</f>
        <v>0</v>
      </c>
      <c r="M2147" s="417">
        <v>0</v>
      </c>
      <c r="N2147" s="408">
        <f t="shared" ref="N2147:N2160" si="676">I2147+K2147-L2147+M2147</f>
        <v>-20846.22</v>
      </c>
    </row>
    <row r="2148" spans="1:14" x14ac:dyDescent="0.2">
      <c r="A2148" s="410">
        <f t="shared" ref="A2148:A2161" si="677">A2147+1</f>
        <v>16</v>
      </c>
      <c r="B2148" s="446">
        <v>391.11</v>
      </c>
      <c r="C2148" s="414" t="s">
        <v>1065</v>
      </c>
      <c r="D2148" s="415">
        <f t="shared" si="671"/>
        <v>18815.57</v>
      </c>
      <c r="E2148" s="417">
        <v>0</v>
      </c>
      <c r="F2148" s="417">
        <v>0</v>
      </c>
      <c r="G2148" s="415">
        <f t="shared" si="672"/>
        <v>18815.57</v>
      </c>
      <c r="H2148" s="418"/>
      <c r="I2148" s="415">
        <f t="shared" si="673"/>
        <v>-11039.77</v>
      </c>
      <c r="J2148" s="442">
        <f t="shared" si="674"/>
        <v>6.6699999999999995E-2</v>
      </c>
      <c r="K2148" s="418">
        <f>ROUND((G2148+D2148)/2*J2148/12,0)</f>
        <v>105</v>
      </c>
      <c r="L2148" s="418">
        <f t="shared" si="675"/>
        <v>0</v>
      </c>
      <c r="M2148" s="417">
        <v>0</v>
      </c>
      <c r="N2148" s="408">
        <f t="shared" si="676"/>
        <v>-10934.77</v>
      </c>
    </row>
    <row r="2149" spans="1:14" x14ac:dyDescent="0.2">
      <c r="A2149" s="410">
        <f t="shared" si="677"/>
        <v>17</v>
      </c>
      <c r="B2149" s="446">
        <v>391.12</v>
      </c>
      <c r="C2149" s="414" t="s">
        <v>1066</v>
      </c>
      <c r="D2149" s="415">
        <f t="shared" si="671"/>
        <v>1407883.4100000001</v>
      </c>
      <c r="E2149" s="417">
        <v>0</v>
      </c>
      <c r="F2149" s="417">
        <v>0</v>
      </c>
      <c r="G2149" s="415">
        <f t="shared" si="672"/>
        <v>1407883.4100000001</v>
      </c>
      <c r="H2149" s="418"/>
      <c r="I2149" s="415">
        <f t="shared" si="673"/>
        <v>792830.37</v>
      </c>
      <c r="J2149" s="442">
        <f t="shared" si="674"/>
        <v>0.2</v>
      </c>
      <c r="K2149" s="418">
        <f>ROUND((G2149+D2149)/2*J2149/12,0)</f>
        <v>23465</v>
      </c>
      <c r="L2149" s="418">
        <f t="shared" si="675"/>
        <v>0</v>
      </c>
      <c r="M2149" s="417">
        <v>0</v>
      </c>
      <c r="N2149" s="408">
        <f t="shared" si="676"/>
        <v>816295.37</v>
      </c>
    </row>
    <row r="2150" spans="1:14" x14ac:dyDescent="0.2">
      <c r="A2150" s="410">
        <f t="shared" si="677"/>
        <v>18</v>
      </c>
      <c r="B2150" s="446">
        <v>392.2</v>
      </c>
      <c r="C2150" s="414" t="s">
        <v>1067</v>
      </c>
      <c r="D2150" s="415">
        <f t="shared" si="671"/>
        <v>95778</v>
      </c>
      <c r="E2150" s="417">
        <v>0</v>
      </c>
      <c r="F2150" s="417">
        <v>0</v>
      </c>
      <c r="G2150" s="415">
        <f t="shared" si="672"/>
        <v>95778</v>
      </c>
      <c r="H2150" s="418"/>
      <c r="I2150" s="415">
        <f t="shared" si="673"/>
        <v>29225.05</v>
      </c>
      <c r="J2150" s="442">
        <f t="shared" si="674"/>
        <v>9.1499999999999998E-2</v>
      </c>
      <c r="K2150" s="418">
        <f>ROUND((G2150+D2150)/2*J2150/12,0)</f>
        <v>730</v>
      </c>
      <c r="L2150" s="418">
        <f t="shared" si="675"/>
        <v>0</v>
      </c>
      <c r="M2150" s="417">
        <v>0</v>
      </c>
      <c r="N2150" s="408">
        <f t="shared" si="676"/>
        <v>29955.05</v>
      </c>
    </row>
    <row r="2151" spans="1:14" x14ac:dyDescent="0.2">
      <c r="A2151" s="410">
        <f t="shared" si="677"/>
        <v>19</v>
      </c>
      <c r="B2151" s="446">
        <v>392.21</v>
      </c>
      <c r="C2151" s="414" t="s">
        <v>1068</v>
      </c>
      <c r="D2151" s="415">
        <f t="shared" si="671"/>
        <v>24462.2</v>
      </c>
      <c r="E2151" s="417">
        <v>0</v>
      </c>
      <c r="F2151" s="417">
        <v>0</v>
      </c>
      <c r="G2151" s="415">
        <f t="shared" si="672"/>
        <v>24462.2</v>
      </c>
      <c r="H2151" s="418"/>
      <c r="I2151" s="415">
        <f t="shared" si="673"/>
        <v>6870.4</v>
      </c>
      <c r="J2151" s="442">
        <f t="shared" si="674"/>
        <v>9.1499999999999998E-2</v>
      </c>
      <c r="K2151" s="418">
        <f>ROUND((G2151+D2151)/2*J2151/12,0)</f>
        <v>187</v>
      </c>
      <c r="L2151" s="418">
        <f t="shared" si="675"/>
        <v>0</v>
      </c>
      <c r="M2151" s="417">
        <v>0</v>
      </c>
      <c r="N2151" s="408">
        <f t="shared" si="676"/>
        <v>7057.4</v>
      </c>
    </row>
    <row r="2152" spans="1:14" x14ac:dyDescent="0.2">
      <c r="A2152" s="410">
        <f t="shared" si="677"/>
        <v>20</v>
      </c>
      <c r="B2152" s="446">
        <v>393</v>
      </c>
      <c r="C2152" s="414" t="s">
        <v>1069</v>
      </c>
      <c r="D2152" s="415">
        <f t="shared" si="671"/>
        <v>0</v>
      </c>
      <c r="E2152" s="417">
        <v>0</v>
      </c>
      <c r="F2152" s="417">
        <v>0</v>
      </c>
      <c r="G2152" s="415">
        <f t="shared" si="672"/>
        <v>0</v>
      </c>
      <c r="H2152" s="418"/>
      <c r="I2152" s="415">
        <f t="shared" si="673"/>
        <v>0</v>
      </c>
      <c r="J2152" s="442" t="str">
        <f t="shared" si="674"/>
        <v>Amort.</v>
      </c>
      <c r="K2152" s="417">
        <v>0</v>
      </c>
      <c r="L2152" s="418">
        <f t="shared" si="675"/>
        <v>0</v>
      </c>
      <c r="M2152" s="417">
        <v>0</v>
      </c>
      <c r="N2152" s="408">
        <f t="shared" si="676"/>
        <v>0</v>
      </c>
    </row>
    <row r="2153" spans="1:14" x14ac:dyDescent="0.2">
      <c r="A2153" s="410">
        <f t="shared" si="677"/>
        <v>21</v>
      </c>
      <c r="B2153" s="446">
        <v>394.1</v>
      </c>
      <c r="C2153" s="414" t="s">
        <v>1070</v>
      </c>
      <c r="D2153" s="415">
        <f t="shared" si="671"/>
        <v>24240.799999999999</v>
      </c>
      <c r="E2153" s="417">
        <v>0</v>
      </c>
      <c r="F2153" s="417">
        <v>0</v>
      </c>
      <c r="G2153" s="415">
        <f t="shared" si="672"/>
        <v>24240.799999999999</v>
      </c>
      <c r="H2153" s="418"/>
      <c r="I2153" s="415">
        <f t="shared" si="673"/>
        <v>15337.82</v>
      </c>
      <c r="J2153" s="442">
        <f t="shared" si="674"/>
        <v>0.04</v>
      </c>
      <c r="K2153" s="418">
        <f t="shared" ref="K2153:K2160" si="678">ROUND((G2153+D2153)/2*J2153/12,0)</f>
        <v>81</v>
      </c>
      <c r="L2153" s="418">
        <f t="shared" si="675"/>
        <v>0</v>
      </c>
      <c r="M2153" s="417">
        <v>0</v>
      </c>
      <c r="N2153" s="408">
        <f t="shared" si="676"/>
        <v>15418.82</v>
      </c>
    </row>
    <row r="2154" spans="1:14" x14ac:dyDescent="0.2">
      <c r="A2154" s="410">
        <f t="shared" si="677"/>
        <v>22</v>
      </c>
      <c r="B2154" s="446">
        <v>394.11</v>
      </c>
      <c r="C2154" s="414" t="s">
        <v>1071</v>
      </c>
      <c r="D2154" s="415">
        <f t="shared" si="671"/>
        <v>0</v>
      </c>
      <c r="E2154" s="417">
        <v>0</v>
      </c>
      <c r="F2154" s="417">
        <v>0</v>
      </c>
      <c r="G2154" s="415">
        <f t="shared" si="672"/>
        <v>0</v>
      </c>
      <c r="H2154" s="418"/>
      <c r="I2154" s="415">
        <f t="shared" si="673"/>
        <v>0</v>
      </c>
      <c r="J2154" s="442">
        <f t="shared" si="674"/>
        <v>0</v>
      </c>
      <c r="K2154" s="417">
        <v>0</v>
      </c>
      <c r="L2154" s="418">
        <f t="shared" si="675"/>
        <v>0</v>
      </c>
      <c r="M2154" s="417">
        <v>0</v>
      </c>
      <c r="N2154" s="408">
        <f t="shared" si="676"/>
        <v>0</v>
      </c>
    </row>
    <row r="2155" spans="1:14" x14ac:dyDescent="0.2">
      <c r="A2155" s="410">
        <f t="shared" si="677"/>
        <v>23</v>
      </c>
      <c r="B2155" s="446">
        <v>394.13</v>
      </c>
      <c r="C2155" s="438" t="s">
        <v>1072</v>
      </c>
      <c r="D2155" s="415">
        <f t="shared" si="671"/>
        <v>0</v>
      </c>
      <c r="E2155" s="417">
        <v>0</v>
      </c>
      <c r="F2155" s="417">
        <v>0</v>
      </c>
      <c r="G2155" s="415">
        <f t="shared" si="672"/>
        <v>0</v>
      </c>
      <c r="H2155" s="418"/>
      <c r="I2155" s="415">
        <f t="shared" si="673"/>
        <v>37937.360000000001</v>
      </c>
      <c r="J2155" s="442" t="str">
        <f t="shared" si="674"/>
        <v>Amort.</v>
      </c>
      <c r="K2155" s="417">
        <v>0</v>
      </c>
      <c r="L2155" s="418">
        <f t="shared" si="675"/>
        <v>0</v>
      </c>
      <c r="M2155" s="417">
        <v>0</v>
      </c>
      <c r="N2155" s="408">
        <f t="shared" si="676"/>
        <v>37937.360000000001</v>
      </c>
    </row>
    <row r="2156" spans="1:14" x14ac:dyDescent="0.2">
      <c r="A2156" s="410">
        <f t="shared" si="677"/>
        <v>24</v>
      </c>
      <c r="B2156" s="446">
        <v>394.2</v>
      </c>
      <c r="C2156" s="414" t="s">
        <v>1073</v>
      </c>
      <c r="D2156" s="415">
        <f t="shared" si="671"/>
        <v>0</v>
      </c>
      <c r="E2156" s="417">
        <v>0</v>
      </c>
      <c r="F2156" s="417">
        <v>0</v>
      </c>
      <c r="G2156" s="415">
        <f t="shared" si="672"/>
        <v>0</v>
      </c>
      <c r="H2156" s="418"/>
      <c r="I2156" s="415">
        <f t="shared" si="673"/>
        <v>185.21</v>
      </c>
      <c r="J2156" s="442">
        <f t="shared" si="674"/>
        <v>0.04</v>
      </c>
      <c r="K2156" s="418">
        <f t="shared" si="678"/>
        <v>0</v>
      </c>
      <c r="L2156" s="418">
        <f t="shared" si="675"/>
        <v>0</v>
      </c>
      <c r="M2156" s="417">
        <v>0</v>
      </c>
      <c r="N2156" s="408">
        <f t="shared" si="676"/>
        <v>185.21</v>
      </c>
    </row>
    <row r="2157" spans="1:14" x14ac:dyDescent="0.2">
      <c r="A2157" s="410">
        <f t="shared" si="677"/>
        <v>25</v>
      </c>
      <c r="B2157" s="446">
        <v>394.3</v>
      </c>
      <c r="C2157" s="414" t="s">
        <v>1074</v>
      </c>
      <c r="D2157" s="415">
        <f t="shared" si="671"/>
        <v>3253721.16</v>
      </c>
      <c r="E2157" s="417">
        <v>39800</v>
      </c>
      <c r="F2157" s="417">
        <v>-4800</v>
      </c>
      <c r="G2157" s="415">
        <f t="shared" si="672"/>
        <v>3288721.16</v>
      </c>
      <c r="H2157" s="418"/>
      <c r="I2157" s="415">
        <f t="shared" si="673"/>
        <v>1359685.15</v>
      </c>
      <c r="J2157" s="442">
        <f t="shared" si="674"/>
        <v>0.04</v>
      </c>
      <c r="K2157" s="418">
        <f t="shared" si="678"/>
        <v>10904</v>
      </c>
      <c r="L2157" s="418">
        <f t="shared" si="675"/>
        <v>4800</v>
      </c>
      <c r="M2157" s="417">
        <v>0</v>
      </c>
      <c r="N2157" s="408">
        <f t="shared" si="676"/>
        <v>1365789.15</v>
      </c>
    </row>
    <row r="2158" spans="1:14" x14ac:dyDescent="0.2">
      <c r="A2158" s="410">
        <f t="shared" si="677"/>
        <v>26</v>
      </c>
      <c r="B2158" s="446">
        <v>395</v>
      </c>
      <c r="C2158" s="414" t="s">
        <v>1075</v>
      </c>
      <c r="D2158" s="415">
        <f t="shared" si="671"/>
        <v>9257.77</v>
      </c>
      <c r="E2158" s="417">
        <v>0</v>
      </c>
      <c r="F2158" s="417">
        <v>0</v>
      </c>
      <c r="G2158" s="415">
        <f t="shared" si="672"/>
        <v>9257.77</v>
      </c>
      <c r="H2158" s="418"/>
      <c r="I2158" s="415">
        <f t="shared" si="673"/>
        <v>7880.59</v>
      </c>
      <c r="J2158" s="442">
        <f t="shared" si="674"/>
        <v>0.05</v>
      </c>
      <c r="K2158" s="418">
        <f t="shared" si="678"/>
        <v>39</v>
      </c>
      <c r="L2158" s="418">
        <f t="shared" si="675"/>
        <v>0</v>
      </c>
      <c r="M2158" s="417">
        <v>0</v>
      </c>
      <c r="N2158" s="408">
        <f t="shared" si="676"/>
        <v>7919.59</v>
      </c>
    </row>
    <row r="2159" spans="1:14" x14ac:dyDescent="0.2">
      <c r="A2159" s="410">
        <f t="shared" si="677"/>
        <v>27</v>
      </c>
      <c r="B2159" s="446">
        <v>396</v>
      </c>
      <c r="C2159" s="414" t="s">
        <v>1076</v>
      </c>
      <c r="D2159" s="415">
        <f t="shared" si="671"/>
        <v>253134.72</v>
      </c>
      <c r="E2159" s="417">
        <v>0</v>
      </c>
      <c r="F2159" s="417">
        <v>0</v>
      </c>
      <c r="G2159" s="415">
        <f t="shared" si="672"/>
        <v>253134.72</v>
      </c>
      <c r="H2159" s="418"/>
      <c r="I2159" s="415">
        <f t="shared" si="673"/>
        <v>204235.72</v>
      </c>
      <c r="J2159" s="442">
        <f t="shared" si="674"/>
        <v>2.5899999999999999E-2</v>
      </c>
      <c r="K2159" s="418">
        <f t="shared" si="678"/>
        <v>546</v>
      </c>
      <c r="L2159" s="418">
        <f t="shared" si="675"/>
        <v>0</v>
      </c>
      <c r="M2159" s="417">
        <v>0</v>
      </c>
      <c r="N2159" s="408">
        <f t="shared" si="676"/>
        <v>204781.72</v>
      </c>
    </row>
    <row r="2160" spans="1:14" x14ac:dyDescent="0.2">
      <c r="A2160" s="410">
        <f t="shared" si="677"/>
        <v>28</v>
      </c>
      <c r="B2160" s="446">
        <v>398</v>
      </c>
      <c r="C2160" s="414" t="s">
        <v>1077</v>
      </c>
      <c r="D2160" s="421">
        <f t="shared" si="671"/>
        <v>295161.94</v>
      </c>
      <c r="E2160" s="1662">
        <v>4600</v>
      </c>
      <c r="F2160" s="1662">
        <v>-600</v>
      </c>
      <c r="G2160" s="421">
        <f t="shared" si="672"/>
        <v>299161.94</v>
      </c>
      <c r="H2160" s="447"/>
      <c r="I2160" s="421">
        <f t="shared" si="673"/>
        <v>13153.59</v>
      </c>
      <c r="J2160" s="442">
        <f t="shared" si="674"/>
        <v>6.6699999999999995E-2</v>
      </c>
      <c r="K2160" s="421">
        <f t="shared" si="678"/>
        <v>1652</v>
      </c>
      <c r="L2160" s="421">
        <f t="shared" si="675"/>
        <v>600</v>
      </c>
      <c r="M2160" s="430">
        <v>0</v>
      </c>
      <c r="N2160" s="423">
        <f t="shared" si="676"/>
        <v>14205.59</v>
      </c>
    </row>
    <row r="2161" spans="1:15" x14ac:dyDescent="0.2">
      <c r="A2161" s="410">
        <f t="shared" si="677"/>
        <v>29</v>
      </c>
      <c r="C2161" s="386" t="s">
        <v>1078</v>
      </c>
      <c r="D2161" s="447">
        <f>SUM(D2147:D2160)</f>
        <v>6095936.2799999993</v>
      </c>
      <c r="E2161" s="447">
        <f>SUM(E2147:E2160)</f>
        <v>44400</v>
      </c>
      <c r="F2161" s="447">
        <f>SUM(F2147:F2160)</f>
        <v>-5400</v>
      </c>
      <c r="G2161" s="447">
        <f>SUM(G2147:G2160)</f>
        <v>6134936.2799999993</v>
      </c>
      <c r="H2161" s="447"/>
      <c r="I2161" s="447">
        <f>SUM(I2147:I2160)</f>
        <v>2432482.27</v>
      </c>
      <c r="J2161" s="424"/>
      <c r="K2161" s="447">
        <f>SUM(K2147:K2160)</f>
        <v>40682</v>
      </c>
      <c r="L2161" s="447">
        <f>SUM(L2147:L2160)</f>
        <v>5400</v>
      </c>
      <c r="M2161" s="447">
        <f>SUM(M2147:M2160)</f>
        <v>0</v>
      </c>
      <c r="N2161" s="447">
        <f>SUM(N2147:N2160)</f>
        <v>2467764.27</v>
      </c>
    </row>
    <row r="2162" spans="1:15" x14ac:dyDescent="0.2">
      <c r="D2162" s="418"/>
      <c r="E2162" s="418"/>
      <c r="F2162" s="418"/>
      <c r="G2162" s="418"/>
      <c r="H2162" s="418"/>
      <c r="I2162" s="418"/>
      <c r="J2162" s="432"/>
      <c r="K2162" s="418"/>
      <c r="L2162" s="418"/>
      <c r="M2162" s="418"/>
    </row>
    <row r="2163" spans="1:15" x14ac:dyDescent="0.2">
      <c r="A2163" s="405">
        <f>A2161+1</f>
        <v>30</v>
      </c>
      <c r="B2163" s="448"/>
      <c r="C2163" s="411" t="s">
        <v>2287</v>
      </c>
      <c r="D2163" s="418"/>
      <c r="E2163" s="418"/>
      <c r="F2163" s="418"/>
      <c r="G2163" s="418"/>
      <c r="H2163" s="418"/>
      <c r="I2163" s="439"/>
      <c r="J2163" s="418"/>
      <c r="K2163" s="418"/>
      <c r="L2163" s="418"/>
      <c r="M2163" s="418"/>
    </row>
    <row r="2164" spans="1:15" x14ac:dyDescent="0.2">
      <c r="A2164" s="1722">
        <f>A2163+1</f>
        <v>31</v>
      </c>
      <c r="B2164" s="446">
        <v>378.21</v>
      </c>
      <c r="C2164" s="1725" t="s">
        <v>2244</v>
      </c>
      <c r="D2164" s="415">
        <f>G2058</f>
        <v>-777092</v>
      </c>
      <c r="E2164" s="417">
        <v>0</v>
      </c>
      <c r="F2164" s="417">
        <v>0</v>
      </c>
      <c r="G2164" s="415">
        <f t="shared" ref="G2164" si="679">SUM(D2164:F2164)</f>
        <v>-777092</v>
      </c>
      <c r="H2164" s="418"/>
      <c r="I2164" s="415">
        <f>N2058</f>
        <v>-61822.279999999926</v>
      </c>
      <c r="J2164" s="419" t="s">
        <v>1094</v>
      </c>
      <c r="K2164" s="417">
        <v>-2158.5833333333321</v>
      </c>
      <c r="L2164" s="418">
        <f t="shared" ref="L2164" si="680">-F2164</f>
        <v>0</v>
      </c>
      <c r="M2164" s="417">
        <v>0</v>
      </c>
      <c r="N2164" s="408">
        <f t="shared" ref="N2164" si="681">I2164+K2164-L2164+M2164</f>
        <v>-63980.863333333255</v>
      </c>
      <c r="O2164" s="408"/>
    </row>
    <row r="2165" spans="1:15" x14ac:dyDescent="0.2">
      <c r="A2165" s="1722"/>
      <c r="B2165" s="446"/>
      <c r="C2165" s="438"/>
      <c r="D2165" s="415"/>
      <c r="E2165" s="417"/>
      <c r="F2165" s="417"/>
      <c r="G2165" s="415"/>
      <c r="H2165" s="418"/>
      <c r="I2165" s="419"/>
      <c r="J2165" s="419"/>
      <c r="K2165" s="417"/>
      <c r="L2165" s="418"/>
      <c r="M2165" s="417"/>
      <c r="N2165" s="408"/>
      <c r="O2165" s="408"/>
    </row>
    <row r="2166" spans="1:15" x14ac:dyDescent="0.2">
      <c r="A2166" s="410">
        <f>A2164+1</f>
        <v>32</v>
      </c>
      <c r="C2166" s="386" t="s">
        <v>774</v>
      </c>
      <c r="D2166" s="450">
        <f>D2161+D2144+D2089+D2085+D2164</f>
        <v>444496487.36999989</v>
      </c>
      <c r="E2166" s="450">
        <f>E2161+E2144+E2089+E2085+E2164</f>
        <v>4247666</v>
      </c>
      <c r="F2166" s="450">
        <f>F2161+F2144+F2089+F2085+F2164</f>
        <v>-510000</v>
      </c>
      <c r="G2166" s="450">
        <f>G2161+G2144+G2089+G2085+G2164</f>
        <v>448234153.36999989</v>
      </c>
      <c r="H2166" s="418"/>
      <c r="I2166" s="450">
        <f>I2161+I2144+I2089+I2085+I2164</f>
        <v>154577899.01715344</v>
      </c>
      <c r="J2166" s="451"/>
      <c r="K2166" s="450">
        <f>K2161+K2144+K2089+K2085+K2164</f>
        <v>1373501.6537638109</v>
      </c>
      <c r="L2166" s="450">
        <f>L2161+L2144+L2089+L2085+L2164</f>
        <v>510000</v>
      </c>
      <c r="M2166" s="450">
        <f>M2161+M2144+M2089+M2085+M2164</f>
        <v>-131300</v>
      </c>
      <c r="N2166" s="450">
        <f>N2161+N2144+N2089+N2085+N2164</f>
        <v>155310100.67091724</v>
      </c>
    </row>
    <row r="2168" spans="1:15" x14ac:dyDescent="0.2">
      <c r="A2168" s="2073" t="str">
        <f>co</f>
        <v>COLUMBIA GAS OF KENTUCKY, INC.</v>
      </c>
      <c r="B2168" s="2073"/>
      <c r="C2168" s="2073"/>
      <c r="D2168" s="2073"/>
      <c r="E2168" s="2073"/>
      <c r="F2168" s="2073"/>
      <c r="G2168" s="2073"/>
      <c r="H2168" s="2073"/>
      <c r="I2168" s="2073"/>
      <c r="J2168" s="2073"/>
      <c r="K2168" s="2073"/>
      <c r="L2168" s="2073"/>
      <c r="M2168" s="2073"/>
      <c r="N2168" s="2073"/>
    </row>
    <row r="2169" spans="1:15" x14ac:dyDescent="0.2">
      <c r="A2169" s="2073" t="str">
        <f>case</f>
        <v>CASE NO. 2016 - 00162</v>
      </c>
      <c r="B2169" s="2073"/>
      <c r="C2169" s="2073"/>
      <c r="D2169" s="2073"/>
      <c r="E2169" s="2073"/>
      <c r="F2169" s="2073"/>
      <c r="G2169" s="2073"/>
      <c r="H2169" s="2073"/>
      <c r="I2169" s="2073"/>
      <c r="J2169" s="2073"/>
      <c r="K2169" s="2073"/>
      <c r="L2169" s="2073"/>
      <c r="M2169" s="2073"/>
      <c r="N2169" s="2073"/>
    </row>
    <row r="2170" spans="1:15" x14ac:dyDescent="0.2">
      <c r="A2170" s="2074" t="s">
        <v>1106</v>
      </c>
      <c r="B2170" s="2073"/>
      <c r="C2170" s="2073"/>
      <c r="D2170" s="2073"/>
      <c r="E2170" s="2073"/>
      <c r="F2170" s="2073"/>
      <c r="G2170" s="2073"/>
      <c r="H2170" s="2073"/>
      <c r="I2170" s="2073"/>
      <c r="J2170" s="2073"/>
      <c r="K2170" s="2073"/>
      <c r="L2170" s="2073"/>
      <c r="M2170" s="2073"/>
      <c r="N2170" s="2073"/>
    </row>
    <row r="2171" spans="1:15" x14ac:dyDescent="0.2">
      <c r="A2171" s="2078" t="s">
        <v>2142</v>
      </c>
      <c r="B2171" s="2078"/>
      <c r="C2171" s="2078"/>
      <c r="D2171" s="2078"/>
      <c r="E2171" s="2078"/>
      <c r="F2171" s="2078"/>
      <c r="G2171" s="2078"/>
      <c r="H2171" s="2078"/>
      <c r="I2171" s="2078"/>
      <c r="J2171" s="2078"/>
      <c r="K2171" s="2078"/>
      <c r="L2171" s="2078"/>
      <c r="M2171" s="2078"/>
      <c r="N2171" s="2078"/>
    </row>
    <row r="2173" spans="1:15" x14ac:dyDescent="0.2">
      <c r="A2173" s="385" t="s">
        <v>1095</v>
      </c>
      <c r="I2173" s="386"/>
      <c r="N2173" s="387" t="s">
        <v>763</v>
      </c>
    </row>
    <row r="2174" spans="1:15" x14ac:dyDescent="0.2">
      <c r="A2174" s="388" t="s">
        <v>977</v>
      </c>
      <c r="I2174" s="386"/>
      <c r="N2174" s="387" t="s">
        <v>998</v>
      </c>
    </row>
    <row r="2175" spans="1:15" x14ac:dyDescent="0.2">
      <c r="A2175" s="390" t="s">
        <v>997</v>
      </c>
      <c r="B2175" s="391"/>
      <c r="C2175" s="391"/>
      <c r="D2175" s="391"/>
      <c r="E2175" s="391"/>
      <c r="F2175" s="391"/>
      <c r="G2175" s="391"/>
      <c r="H2175" s="391"/>
      <c r="I2175" s="392"/>
      <c r="L2175" s="386"/>
      <c r="M2175" s="386"/>
      <c r="N2175" s="393" t="str">
        <f>SMK</f>
        <v>WITNESS:  S. M. KATKO</v>
      </c>
    </row>
    <row r="2176" spans="1:15" x14ac:dyDescent="0.2">
      <c r="A2176" s="390"/>
      <c r="B2176" s="391"/>
      <c r="C2176" s="391"/>
      <c r="D2176" s="391"/>
      <c r="E2176" s="391"/>
      <c r="F2176" s="391"/>
      <c r="G2176" s="391"/>
      <c r="H2176" s="391"/>
      <c r="I2176" s="392"/>
      <c r="J2176" s="393"/>
      <c r="L2176" s="386"/>
      <c r="M2176" s="386"/>
    </row>
    <row r="2177" spans="1:14" x14ac:dyDescent="0.2">
      <c r="A2177" s="390"/>
      <c r="B2177" s="391"/>
      <c r="C2177" s="391"/>
      <c r="D2177" s="2075" t="s">
        <v>1088</v>
      </c>
      <c r="E2177" s="2075"/>
      <c r="F2177" s="2075"/>
      <c r="G2177" s="2075"/>
      <c r="H2177" s="391"/>
      <c r="I2177" s="2076" t="s">
        <v>1093</v>
      </c>
      <c r="J2177" s="2077"/>
      <c r="K2177" s="2077"/>
      <c r="L2177" s="2077"/>
      <c r="M2177" s="2077"/>
      <c r="N2177" s="2077"/>
    </row>
    <row r="2178" spans="1:14" x14ac:dyDescent="0.2">
      <c r="A2178" s="394"/>
      <c r="B2178" s="391"/>
      <c r="C2178" s="391"/>
      <c r="D2178" s="396" t="s">
        <v>1084</v>
      </c>
      <c r="E2178" s="391"/>
      <c r="F2178" s="391"/>
      <c r="G2178" s="395"/>
      <c r="H2178" s="395"/>
      <c r="I2178" s="397" t="s">
        <v>1089</v>
      </c>
      <c r="J2178" s="396"/>
      <c r="M2178" s="386"/>
    </row>
    <row r="2179" spans="1:14" x14ac:dyDescent="0.2">
      <c r="A2179" s="383"/>
      <c r="D2179" s="397" t="s">
        <v>865</v>
      </c>
      <c r="G2179" s="397" t="s">
        <v>867</v>
      </c>
      <c r="H2179" s="398"/>
      <c r="I2179" s="397" t="s">
        <v>865</v>
      </c>
      <c r="J2179" s="397" t="s">
        <v>956</v>
      </c>
      <c r="M2179" s="386"/>
      <c r="N2179" s="397" t="s">
        <v>867</v>
      </c>
    </row>
    <row r="2180" spans="1:14" x14ac:dyDescent="0.2">
      <c r="A2180" s="397" t="s">
        <v>1080</v>
      </c>
      <c r="B2180" s="397" t="s">
        <v>1082</v>
      </c>
      <c r="D2180" s="397" t="s">
        <v>867</v>
      </c>
      <c r="G2180" s="399" t="s">
        <v>1087</v>
      </c>
      <c r="H2180" s="398"/>
      <c r="I2180" s="399" t="s">
        <v>867</v>
      </c>
      <c r="J2180" s="397" t="s">
        <v>1090</v>
      </c>
      <c r="K2180" s="397" t="s">
        <v>956</v>
      </c>
      <c r="M2180" s="399" t="s">
        <v>1092</v>
      </c>
      <c r="N2180" s="399" t="s">
        <v>1087</v>
      </c>
    </row>
    <row r="2181" spans="1:14" x14ac:dyDescent="0.2">
      <c r="A2181" s="400" t="s">
        <v>1081</v>
      </c>
      <c r="B2181" s="400" t="s">
        <v>1081</v>
      </c>
      <c r="C2181" s="401" t="s">
        <v>1083</v>
      </c>
      <c r="D2181" s="409" t="str">
        <f>"10/31/2017"</f>
        <v>10/31/2017</v>
      </c>
      <c r="E2181" s="400" t="s">
        <v>1085</v>
      </c>
      <c r="F2181" s="400" t="s">
        <v>1086</v>
      </c>
      <c r="G2181" s="409" t="str">
        <f>"11/30/2017"</f>
        <v>11/30/2017</v>
      </c>
      <c r="H2181" s="398"/>
      <c r="I2181" s="404" t="str">
        <f>D2181</f>
        <v>10/31/2017</v>
      </c>
      <c r="J2181" s="400" t="s">
        <v>1091</v>
      </c>
      <c r="K2181" s="402" t="s">
        <v>1090</v>
      </c>
      <c r="L2181" s="402" t="s">
        <v>1086</v>
      </c>
      <c r="M2181" s="402" t="s">
        <v>955</v>
      </c>
      <c r="N2181" s="404" t="str">
        <f>G2181</f>
        <v>11/30/2017</v>
      </c>
    </row>
    <row r="2182" spans="1:14" x14ac:dyDescent="0.2">
      <c r="A2182" s="406"/>
      <c r="B2182" s="406"/>
      <c r="C2182" s="406"/>
      <c r="D2182" s="406" t="str">
        <f>"(1)"</f>
        <v>(1)</v>
      </c>
      <c r="E2182" s="406" t="str">
        <f>"(2)"</f>
        <v>(2)</v>
      </c>
      <c r="F2182" s="406" t="str">
        <f>"(3)"</f>
        <v>(3)</v>
      </c>
      <c r="G2182" s="406" t="str">
        <f>"(4)=(1+2+3)"</f>
        <v>(4)=(1+2+3)</v>
      </c>
      <c r="H2182" s="406"/>
      <c r="I2182" s="406" t="str">
        <f>"(5)"</f>
        <v>(5)</v>
      </c>
      <c r="J2182" s="406" t="str">
        <f>"(6)"</f>
        <v>(6)</v>
      </c>
      <c r="K2182" s="406" t="str">
        <f>"(7)=((1+4)/2*6/12))"</f>
        <v>(7)=((1+4)/2*6/12))</v>
      </c>
      <c r="L2182" s="406" t="str">
        <f>"(8)"</f>
        <v>(8)</v>
      </c>
      <c r="M2182" s="406" t="str">
        <f>"(9)"</f>
        <v>(9)</v>
      </c>
      <c r="N2182" s="406" t="str">
        <f>"(10)=(5+7-8+9)"</f>
        <v>(10)=(5+7-8+9)</v>
      </c>
    </row>
    <row r="2183" spans="1:14" x14ac:dyDescent="0.2">
      <c r="D2183" s="410" t="s">
        <v>639</v>
      </c>
      <c r="E2183" s="410" t="s">
        <v>639</v>
      </c>
      <c r="F2183" s="410" t="s">
        <v>639</v>
      </c>
      <c r="G2183" s="410" t="s">
        <v>639</v>
      </c>
      <c r="H2183" s="410"/>
      <c r="I2183" s="410" t="s">
        <v>639</v>
      </c>
      <c r="J2183" s="410" t="s">
        <v>639</v>
      </c>
      <c r="K2183" s="410" t="s">
        <v>639</v>
      </c>
      <c r="L2183" s="410" t="s">
        <v>639</v>
      </c>
      <c r="M2183" s="410" t="s">
        <v>639</v>
      </c>
      <c r="N2183" s="410" t="s">
        <v>639</v>
      </c>
    </row>
    <row r="2184" spans="1:14" x14ac:dyDescent="0.2">
      <c r="A2184" s="410">
        <v>1</v>
      </c>
      <c r="B2184" s="411" t="s">
        <v>1025</v>
      </c>
      <c r="C2184" s="412"/>
      <c r="M2184" s="386"/>
    </row>
    <row r="2185" spans="1:14" x14ac:dyDescent="0.2">
      <c r="A2185" s="410">
        <f>A2184+1</f>
        <v>2</v>
      </c>
      <c r="C2185" s="411" t="s">
        <v>697</v>
      </c>
      <c r="M2185" s="386"/>
    </row>
    <row r="2186" spans="1:14" x14ac:dyDescent="0.2">
      <c r="A2186" s="410">
        <f t="shared" ref="A2186:A2191" si="682">A2185+1</f>
        <v>3</v>
      </c>
      <c r="B2186" s="413">
        <v>301</v>
      </c>
      <c r="C2186" s="414" t="s">
        <v>1026</v>
      </c>
      <c r="D2186" s="415">
        <f>G2080</f>
        <v>521.20000000000005</v>
      </c>
      <c r="E2186" s="417">
        <v>0</v>
      </c>
      <c r="F2186" s="417">
        <v>0</v>
      </c>
      <c r="G2186" s="415">
        <f>SUM(D2186:F2186)</f>
        <v>521.20000000000005</v>
      </c>
      <c r="H2186" s="418"/>
      <c r="I2186" s="415">
        <f>N2080</f>
        <v>0</v>
      </c>
      <c r="J2186" s="419" t="s">
        <v>1094</v>
      </c>
      <c r="K2186" s="417">
        <v>0</v>
      </c>
      <c r="L2186" s="418">
        <f>-F2186</f>
        <v>0</v>
      </c>
      <c r="M2186" s="417">
        <v>0</v>
      </c>
      <c r="N2186" s="408">
        <f>I2186+K2186-L2186+M2186</f>
        <v>0</v>
      </c>
    </row>
    <row r="2187" spans="1:14" x14ac:dyDescent="0.2">
      <c r="A2187" s="410">
        <f t="shared" si="682"/>
        <v>4</v>
      </c>
      <c r="B2187" s="413">
        <v>303</v>
      </c>
      <c r="C2187" s="414" t="s">
        <v>1027</v>
      </c>
      <c r="D2187" s="415">
        <f>G2081</f>
        <v>74347.509999999995</v>
      </c>
      <c r="E2187" s="417">
        <v>0</v>
      </c>
      <c r="F2187" s="417">
        <v>0</v>
      </c>
      <c r="G2187" s="415">
        <f>SUM(D2187:F2187)</f>
        <v>74347.509999999995</v>
      </c>
      <c r="H2187" s="418"/>
      <c r="I2187" s="415">
        <f>N2081</f>
        <v>49929.829999999936</v>
      </c>
      <c r="J2187" s="419" t="s">
        <v>1094</v>
      </c>
      <c r="K2187" s="415">
        <f>'Intangible Amort.'!Q$110</f>
        <v>206.52</v>
      </c>
      <c r="L2187" s="418">
        <f>-F2187</f>
        <v>0</v>
      </c>
      <c r="M2187" s="417">
        <v>0</v>
      </c>
      <c r="N2187" s="408">
        <f>I2187+K2187-L2187+M2187</f>
        <v>50136.349999999933</v>
      </c>
    </row>
    <row r="2188" spans="1:14" x14ac:dyDescent="0.2">
      <c r="A2188" s="410">
        <f t="shared" si="682"/>
        <v>5</v>
      </c>
      <c r="B2188" s="413">
        <v>303.10000000000002</v>
      </c>
      <c r="C2188" s="414" t="s">
        <v>1028</v>
      </c>
      <c r="D2188" s="415">
        <f>G2082</f>
        <v>0</v>
      </c>
      <c r="E2188" s="417">
        <v>0</v>
      </c>
      <c r="F2188" s="417">
        <v>0</v>
      </c>
      <c r="G2188" s="415">
        <f>SUM(D2188:F2188)</f>
        <v>0</v>
      </c>
      <c r="H2188" s="418"/>
      <c r="I2188" s="415">
        <f>N2082</f>
        <v>0</v>
      </c>
      <c r="J2188" s="419" t="s">
        <v>1094</v>
      </c>
      <c r="K2188" s="417">
        <v>0</v>
      </c>
      <c r="L2188" s="418">
        <f>-F2188</f>
        <v>0</v>
      </c>
      <c r="M2188" s="417">
        <v>0</v>
      </c>
      <c r="N2188" s="408">
        <f>I2188+K2188-L2188+M2188</f>
        <v>0</v>
      </c>
    </row>
    <row r="2189" spans="1:14" x14ac:dyDescent="0.2">
      <c r="A2189" s="410">
        <f t="shared" si="682"/>
        <v>6</v>
      </c>
      <c r="B2189" s="413">
        <v>303.2</v>
      </c>
      <c r="C2189" s="414" t="s">
        <v>1029</v>
      </c>
      <c r="D2189" s="415">
        <f>G2083</f>
        <v>0</v>
      </c>
      <c r="E2189" s="417">
        <v>0</v>
      </c>
      <c r="F2189" s="417">
        <v>0</v>
      </c>
      <c r="G2189" s="415">
        <f>SUM(D2189:F2189)</f>
        <v>0</v>
      </c>
      <c r="H2189" s="418"/>
      <c r="I2189" s="415">
        <f>N2083</f>
        <v>0</v>
      </c>
      <c r="J2189" s="419" t="s">
        <v>1094</v>
      </c>
      <c r="K2189" s="417">
        <v>0</v>
      </c>
      <c r="L2189" s="418">
        <f>-F2189</f>
        <v>0</v>
      </c>
      <c r="M2189" s="417">
        <v>0</v>
      </c>
      <c r="N2189" s="408">
        <f>I2189+K2189-L2189+M2189</f>
        <v>0</v>
      </c>
    </row>
    <row r="2190" spans="1:14" x14ac:dyDescent="0.2">
      <c r="A2190" s="410">
        <f t="shared" si="682"/>
        <v>7</v>
      </c>
      <c r="B2190" s="413">
        <v>303.3</v>
      </c>
      <c r="C2190" s="414" t="s">
        <v>1030</v>
      </c>
      <c r="D2190" s="421">
        <f>G2084</f>
        <v>9670586</v>
      </c>
      <c r="E2190" s="422">
        <v>0</v>
      </c>
      <c r="F2190" s="422">
        <v>0</v>
      </c>
      <c r="G2190" s="421">
        <f>SUM(D2190:F2190)</f>
        <v>9670586</v>
      </c>
      <c r="H2190" s="418"/>
      <c r="I2190" s="421">
        <f>N2084</f>
        <v>3886496.6647768905</v>
      </c>
      <c r="J2190" s="419" t="s">
        <v>1094</v>
      </c>
      <c r="K2190" s="421">
        <f>'Intangible Amort.'!Q$188</f>
        <v>125786.85410876328</v>
      </c>
      <c r="L2190" s="421">
        <f>-F2190</f>
        <v>0</v>
      </c>
      <c r="M2190" s="422">
        <v>0</v>
      </c>
      <c r="N2190" s="423">
        <f>I2190+K2190-L2190+M2190</f>
        <v>4012283.5188856539</v>
      </c>
    </row>
    <row r="2191" spans="1:14" x14ac:dyDescent="0.2">
      <c r="A2191" s="410">
        <f t="shared" si="682"/>
        <v>8</v>
      </c>
      <c r="B2191" s="413"/>
      <c r="C2191" s="414" t="s">
        <v>1031</v>
      </c>
      <c r="D2191" s="418">
        <f>SUM(D2186:D2190)</f>
        <v>9745454.7100000009</v>
      </c>
      <c r="E2191" s="418">
        <f>SUM(E2186:E2190)</f>
        <v>0</v>
      </c>
      <c r="F2191" s="418">
        <f>SUM(F2186:F2190)</f>
        <v>0</v>
      </c>
      <c r="G2191" s="418">
        <f>SUM(G2186:G2190)</f>
        <v>9745454.7100000009</v>
      </c>
      <c r="H2191" s="418"/>
      <c r="I2191" s="418">
        <f>SUM(I2186:I2190)</f>
        <v>3936426.4947768906</v>
      </c>
      <c r="J2191" s="424"/>
      <c r="K2191" s="418">
        <f>SUM(K2186:K2190)</f>
        <v>125993.37410876328</v>
      </c>
      <c r="L2191" s="418">
        <f>SUM(L2186:L2190)</f>
        <v>0</v>
      </c>
      <c r="M2191" s="418">
        <f>SUM(M2186:M2190)</f>
        <v>0</v>
      </c>
      <c r="N2191" s="418">
        <f>SUM(N2186:N2190)</f>
        <v>4062419.868885654</v>
      </c>
    </row>
    <row r="2192" spans="1:14" x14ac:dyDescent="0.2">
      <c r="B2192" s="425"/>
      <c r="D2192" s="418"/>
      <c r="E2192" s="418"/>
      <c r="F2192" s="418"/>
      <c r="G2192" s="418"/>
      <c r="H2192" s="418"/>
      <c r="I2192" s="418"/>
      <c r="J2192" s="424"/>
      <c r="K2192" s="418"/>
      <c r="L2192" s="418"/>
      <c r="M2192" s="418"/>
    </row>
    <row r="2193" spans="1:14" x14ac:dyDescent="0.2">
      <c r="A2193" s="410">
        <f>A2191+1</f>
        <v>9</v>
      </c>
      <c r="B2193" s="425"/>
      <c r="C2193" s="411" t="s">
        <v>704</v>
      </c>
      <c r="D2193" s="418"/>
      <c r="E2193" s="418"/>
      <c r="F2193" s="418"/>
      <c r="G2193" s="418"/>
      <c r="H2193" s="418"/>
      <c r="I2193" s="418"/>
      <c r="J2193" s="424"/>
      <c r="K2193" s="418"/>
      <c r="L2193" s="418"/>
      <c r="M2193" s="418"/>
    </row>
    <row r="2194" spans="1:14" x14ac:dyDescent="0.2">
      <c r="A2194" s="410">
        <f>A2193+1</f>
        <v>10</v>
      </c>
      <c r="B2194" s="426">
        <v>304.10000000000002</v>
      </c>
      <c r="C2194" s="427" t="s">
        <v>1032</v>
      </c>
      <c r="D2194" s="421">
        <f>G2088</f>
        <v>0</v>
      </c>
      <c r="E2194" s="430">
        <v>0</v>
      </c>
      <c r="F2194" s="430">
        <v>0</v>
      </c>
      <c r="G2194" s="421">
        <f>SUM(D2194:F2194)</f>
        <v>0</v>
      </c>
      <c r="H2194" s="418"/>
      <c r="I2194" s="421">
        <f>N2088</f>
        <v>0</v>
      </c>
      <c r="J2194" s="429" t="s">
        <v>1102</v>
      </c>
      <c r="K2194" s="430">
        <v>0</v>
      </c>
      <c r="L2194" s="421">
        <f>-F2194</f>
        <v>0</v>
      </c>
      <c r="M2194" s="422">
        <v>0</v>
      </c>
      <c r="N2194" s="423">
        <f>I2194+K2194-L2194+M2194</f>
        <v>0</v>
      </c>
    </row>
    <row r="2195" spans="1:14" x14ac:dyDescent="0.2">
      <c r="A2195" s="410">
        <f>A2194+1</f>
        <v>11</v>
      </c>
      <c r="B2195" s="426"/>
      <c r="C2195" s="431" t="s">
        <v>1079</v>
      </c>
      <c r="D2195" s="418">
        <f>D2194</f>
        <v>0</v>
      </c>
      <c r="E2195" s="418">
        <f>E2194</f>
        <v>0</v>
      </c>
      <c r="F2195" s="418">
        <f>F2194</f>
        <v>0</v>
      </c>
      <c r="G2195" s="418">
        <f>G2194</f>
        <v>0</v>
      </c>
      <c r="H2195" s="418"/>
      <c r="I2195" s="418">
        <f>I2194</f>
        <v>0</v>
      </c>
      <c r="J2195" s="432"/>
      <c r="K2195" s="418">
        <f>SUM(K2194)</f>
        <v>0</v>
      </c>
      <c r="L2195" s="418">
        <f>SUM(L2194)</f>
        <v>0</v>
      </c>
      <c r="M2195" s="418">
        <f>M2194</f>
        <v>0</v>
      </c>
      <c r="N2195" s="418">
        <f>N2194</f>
        <v>0</v>
      </c>
    </row>
    <row r="2196" spans="1:14" x14ac:dyDescent="0.2">
      <c r="B2196" s="425"/>
      <c r="D2196" s="418"/>
      <c r="E2196" s="418"/>
      <c r="F2196" s="418"/>
      <c r="G2196" s="418"/>
      <c r="H2196" s="418"/>
      <c r="I2196" s="418"/>
      <c r="J2196" s="432"/>
      <c r="K2196" s="418"/>
      <c r="L2196" s="418"/>
      <c r="M2196" s="418"/>
    </row>
    <row r="2197" spans="1:14" x14ac:dyDescent="0.2">
      <c r="A2197" s="410">
        <f>A2195+1</f>
        <v>12</v>
      </c>
      <c r="B2197" s="425"/>
      <c r="C2197" s="411" t="s">
        <v>707</v>
      </c>
      <c r="D2197" s="418"/>
      <c r="E2197" s="418"/>
      <c r="F2197" s="418"/>
      <c r="G2197" s="418"/>
      <c r="H2197" s="418"/>
      <c r="I2197" s="418"/>
      <c r="J2197" s="432"/>
      <c r="K2197" s="418"/>
      <c r="L2197" s="418"/>
      <c r="M2197" s="418"/>
    </row>
    <row r="2198" spans="1:14" x14ac:dyDescent="0.2">
      <c r="A2198" s="410">
        <f>A2197+1</f>
        <v>13</v>
      </c>
      <c r="B2198" s="413">
        <v>374.1</v>
      </c>
      <c r="C2198" s="414" t="s">
        <v>1035</v>
      </c>
      <c r="D2198" s="415">
        <f t="shared" ref="D2198:D2208" si="683">G2092</f>
        <v>206</v>
      </c>
      <c r="E2198" s="417">
        <v>0</v>
      </c>
      <c r="F2198" s="417">
        <v>0</v>
      </c>
      <c r="G2198" s="415">
        <f>SUM(D2198:F2198)</f>
        <v>206</v>
      </c>
      <c r="H2198" s="418"/>
      <c r="I2198" s="415">
        <f t="shared" ref="I2198:I2208" si="684">N2092</f>
        <v>0</v>
      </c>
      <c r="J2198" s="429" t="s">
        <v>1102</v>
      </c>
      <c r="K2198" s="417">
        <v>0</v>
      </c>
      <c r="L2198" s="418">
        <f t="shared" ref="L2198:L2208" si="685">-F2198</f>
        <v>0</v>
      </c>
      <c r="M2198" s="417">
        <v>0</v>
      </c>
      <c r="N2198" s="408">
        <f t="shared" ref="N2198:N2208" si="686">I2198+K2198-L2198+M2198</f>
        <v>0</v>
      </c>
    </row>
    <row r="2199" spans="1:14" x14ac:dyDescent="0.2">
      <c r="A2199" s="410">
        <f t="shared" ref="A2199:A2219" si="687">A2198+1</f>
        <v>14</v>
      </c>
      <c r="B2199" s="413">
        <v>374.2</v>
      </c>
      <c r="C2199" s="414" t="s">
        <v>1036</v>
      </c>
      <c r="D2199" s="415">
        <f t="shared" si="683"/>
        <v>877756.18</v>
      </c>
      <c r="E2199" s="417">
        <v>0</v>
      </c>
      <c r="F2199" s="417">
        <v>0</v>
      </c>
      <c r="G2199" s="415">
        <f t="shared" ref="G2199:G2208" si="688">SUM(D2199:F2199)</f>
        <v>877756.18</v>
      </c>
      <c r="H2199" s="418"/>
      <c r="I2199" s="415">
        <f t="shared" si="684"/>
        <v>-523.13</v>
      </c>
      <c r="J2199" s="429" t="s">
        <v>1102</v>
      </c>
      <c r="K2199" s="417">
        <v>0</v>
      </c>
      <c r="L2199" s="418">
        <f t="shared" si="685"/>
        <v>0</v>
      </c>
      <c r="M2199" s="417">
        <v>0</v>
      </c>
      <c r="N2199" s="408">
        <f t="shared" si="686"/>
        <v>-523.13</v>
      </c>
    </row>
    <row r="2200" spans="1:14" x14ac:dyDescent="0.2">
      <c r="A2200" s="410">
        <f t="shared" si="687"/>
        <v>15</v>
      </c>
      <c r="B2200" s="413">
        <v>374.4</v>
      </c>
      <c r="C2200" s="414" t="s">
        <v>1037</v>
      </c>
      <c r="D2200" s="415">
        <f t="shared" si="683"/>
        <v>661305.66</v>
      </c>
      <c r="E2200" s="417">
        <v>0</v>
      </c>
      <c r="F2200" s="417">
        <v>0</v>
      </c>
      <c r="G2200" s="415">
        <f t="shared" si="688"/>
        <v>661305.66</v>
      </c>
      <c r="H2200" s="418"/>
      <c r="I2200" s="415">
        <f t="shared" si="684"/>
        <v>188473.36</v>
      </c>
      <c r="J2200" s="442">
        <f t="shared" ref="J2200:J2206" si="689">J2094</f>
        <v>1.7399999999999999E-2</v>
      </c>
      <c r="K2200" s="418">
        <f>ROUND((G2200+D2200)/2*J2200/12,0)</f>
        <v>959</v>
      </c>
      <c r="L2200" s="418">
        <f t="shared" si="685"/>
        <v>0</v>
      </c>
      <c r="M2200" s="417">
        <v>0</v>
      </c>
      <c r="N2200" s="408">
        <f t="shared" si="686"/>
        <v>189432.36</v>
      </c>
    </row>
    <row r="2201" spans="1:14" x14ac:dyDescent="0.2">
      <c r="A2201" s="410">
        <f t="shared" si="687"/>
        <v>16</v>
      </c>
      <c r="B2201" s="413">
        <v>374.5</v>
      </c>
      <c r="C2201" s="414" t="s">
        <v>1038</v>
      </c>
      <c r="D2201" s="415">
        <f t="shared" si="683"/>
        <v>2744372.55</v>
      </c>
      <c r="E2201" s="417">
        <v>3900</v>
      </c>
      <c r="F2201" s="417">
        <v>-500</v>
      </c>
      <c r="G2201" s="415">
        <f t="shared" si="688"/>
        <v>2747772.55</v>
      </c>
      <c r="H2201" s="418"/>
      <c r="I2201" s="415">
        <f t="shared" si="684"/>
        <v>952393.23</v>
      </c>
      <c r="J2201" s="442">
        <f t="shared" si="689"/>
        <v>1.29E-2</v>
      </c>
      <c r="K2201" s="418">
        <f t="shared" ref="K2201:K2206" si="690">ROUND((G2201+D2201)/2*J2201/12,0)</f>
        <v>2952</v>
      </c>
      <c r="L2201" s="418">
        <f t="shared" si="685"/>
        <v>500</v>
      </c>
      <c r="M2201" s="417">
        <v>0</v>
      </c>
      <c r="N2201" s="408">
        <f t="shared" si="686"/>
        <v>954845.23</v>
      </c>
    </row>
    <row r="2202" spans="1:14" x14ac:dyDescent="0.2">
      <c r="A2202" s="410">
        <f t="shared" si="687"/>
        <v>17</v>
      </c>
      <c r="B2202" s="413">
        <v>375.2</v>
      </c>
      <c r="C2202" s="414" t="s">
        <v>1039</v>
      </c>
      <c r="D2202" s="415">
        <f t="shared" si="683"/>
        <v>2124.98</v>
      </c>
      <c r="E2202" s="417">
        <v>0</v>
      </c>
      <c r="F2202" s="417">
        <v>0</v>
      </c>
      <c r="G2202" s="415">
        <f t="shared" si="688"/>
        <v>2124.98</v>
      </c>
      <c r="H2202" s="418"/>
      <c r="I2202" s="415">
        <f t="shared" si="684"/>
        <v>2087.3199999999997</v>
      </c>
      <c r="J2202" s="442">
        <f t="shared" si="689"/>
        <v>3.1800000000000002E-2</v>
      </c>
      <c r="K2202" s="418">
        <f t="shared" si="690"/>
        <v>6</v>
      </c>
      <c r="L2202" s="418">
        <f t="shared" si="685"/>
        <v>0</v>
      </c>
      <c r="M2202" s="417">
        <v>0</v>
      </c>
      <c r="N2202" s="408">
        <f t="shared" si="686"/>
        <v>2093.3199999999997</v>
      </c>
    </row>
    <row r="2203" spans="1:14" x14ac:dyDescent="0.2">
      <c r="A2203" s="410">
        <f t="shared" si="687"/>
        <v>18</v>
      </c>
      <c r="B2203" s="413">
        <v>375.3</v>
      </c>
      <c r="C2203" s="414" t="s">
        <v>1040</v>
      </c>
      <c r="D2203" s="415">
        <f t="shared" si="683"/>
        <v>0</v>
      </c>
      <c r="E2203" s="417">
        <v>0</v>
      </c>
      <c r="F2203" s="417">
        <v>0</v>
      </c>
      <c r="G2203" s="415">
        <f t="shared" si="688"/>
        <v>0</v>
      </c>
      <c r="H2203" s="418"/>
      <c r="I2203" s="415">
        <f t="shared" si="684"/>
        <v>-77.66</v>
      </c>
      <c r="J2203" s="442">
        <f t="shared" si="689"/>
        <v>3.1800000000000002E-2</v>
      </c>
      <c r="K2203" s="418">
        <f t="shared" si="690"/>
        <v>0</v>
      </c>
      <c r="L2203" s="418">
        <f t="shared" si="685"/>
        <v>0</v>
      </c>
      <c r="M2203" s="417">
        <v>0</v>
      </c>
      <c r="N2203" s="408">
        <f t="shared" si="686"/>
        <v>-77.66</v>
      </c>
    </row>
    <row r="2204" spans="1:14" x14ac:dyDescent="0.2">
      <c r="A2204" s="410">
        <f t="shared" si="687"/>
        <v>19</v>
      </c>
      <c r="B2204" s="413">
        <v>375.4</v>
      </c>
      <c r="C2204" s="414" t="s">
        <v>1041</v>
      </c>
      <c r="D2204" s="415">
        <f t="shared" si="683"/>
        <v>2309130.02</v>
      </c>
      <c r="E2204" s="417">
        <v>24600</v>
      </c>
      <c r="F2204" s="417">
        <v>-2900</v>
      </c>
      <c r="G2204" s="415">
        <f t="shared" si="688"/>
        <v>2330830.02</v>
      </c>
      <c r="H2204" s="418"/>
      <c r="I2204" s="415">
        <f t="shared" si="684"/>
        <v>510169.37</v>
      </c>
      <c r="J2204" s="442">
        <f t="shared" si="689"/>
        <v>3.1800000000000002E-2</v>
      </c>
      <c r="K2204" s="418">
        <f t="shared" si="690"/>
        <v>6148</v>
      </c>
      <c r="L2204" s="418">
        <f t="shared" si="685"/>
        <v>2900</v>
      </c>
      <c r="M2204" s="417">
        <v>-300</v>
      </c>
      <c r="N2204" s="408">
        <f t="shared" si="686"/>
        <v>513117.37</v>
      </c>
    </row>
    <row r="2205" spans="1:14" x14ac:dyDescent="0.2">
      <c r="A2205" s="410">
        <f t="shared" si="687"/>
        <v>20</v>
      </c>
      <c r="B2205" s="413">
        <v>375.6</v>
      </c>
      <c r="C2205" s="414" t="s">
        <v>1042</v>
      </c>
      <c r="D2205" s="415">
        <f t="shared" si="683"/>
        <v>0</v>
      </c>
      <c r="E2205" s="417">
        <v>0</v>
      </c>
      <c r="F2205" s="417">
        <v>0</v>
      </c>
      <c r="G2205" s="415">
        <f t="shared" si="688"/>
        <v>0</v>
      </c>
      <c r="H2205" s="418"/>
      <c r="I2205" s="415">
        <f t="shared" si="684"/>
        <v>0.02</v>
      </c>
      <c r="J2205" s="442">
        <f t="shared" si="689"/>
        <v>3.1800000000000002E-2</v>
      </c>
      <c r="K2205" s="418">
        <f t="shared" si="690"/>
        <v>0</v>
      </c>
      <c r="L2205" s="418">
        <f t="shared" si="685"/>
        <v>0</v>
      </c>
      <c r="M2205" s="417">
        <v>0</v>
      </c>
      <c r="N2205" s="408">
        <f t="shared" si="686"/>
        <v>0.02</v>
      </c>
    </row>
    <row r="2206" spans="1:14" x14ac:dyDescent="0.2">
      <c r="A2206" s="410">
        <f t="shared" si="687"/>
        <v>21</v>
      </c>
      <c r="B2206" s="413">
        <v>375.7</v>
      </c>
      <c r="C2206" s="414" t="s">
        <v>1043</v>
      </c>
      <c r="D2206" s="415">
        <f t="shared" si="683"/>
        <v>8680550.2100000009</v>
      </c>
      <c r="E2206" s="417">
        <f>48300+1372400</f>
        <v>1420700</v>
      </c>
      <c r="F2206" s="417">
        <v>-5800</v>
      </c>
      <c r="G2206" s="415">
        <f t="shared" si="688"/>
        <v>10095450.210000001</v>
      </c>
      <c r="H2206" s="418"/>
      <c r="I2206" s="415">
        <f t="shared" si="684"/>
        <v>3408506.06</v>
      </c>
      <c r="J2206" s="442">
        <f t="shared" si="689"/>
        <v>2.1299999999999999E-2</v>
      </c>
      <c r="K2206" s="418">
        <f t="shared" si="690"/>
        <v>16664</v>
      </c>
      <c r="L2206" s="418">
        <f t="shared" si="685"/>
        <v>5800</v>
      </c>
      <c r="M2206" s="417">
        <v>0</v>
      </c>
      <c r="N2206" s="408">
        <f t="shared" si="686"/>
        <v>3419370.06</v>
      </c>
    </row>
    <row r="2207" spans="1:14" x14ac:dyDescent="0.2">
      <c r="A2207" s="410">
        <f t="shared" si="687"/>
        <v>22</v>
      </c>
      <c r="B2207" s="413">
        <v>375.71</v>
      </c>
      <c r="C2207" s="414" t="s">
        <v>1044</v>
      </c>
      <c r="D2207" s="415">
        <f t="shared" si="683"/>
        <v>259808.94</v>
      </c>
      <c r="E2207" s="417">
        <v>0</v>
      </c>
      <c r="F2207" s="417">
        <v>0</v>
      </c>
      <c r="G2207" s="415">
        <f t="shared" si="688"/>
        <v>259808.94</v>
      </c>
      <c r="H2207" s="418"/>
      <c r="I2207" s="415">
        <f t="shared" si="684"/>
        <v>210236.04947368446</v>
      </c>
      <c r="J2207" s="419" t="s">
        <v>1094</v>
      </c>
      <c r="K2207" s="417">
        <f>104653.88/38</f>
        <v>2754.0494736842106</v>
      </c>
      <c r="L2207" s="418">
        <f t="shared" si="685"/>
        <v>0</v>
      </c>
      <c r="M2207" s="417">
        <v>0</v>
      </c>
      <c r="N2207" s="408">
        <f t="shared" si="686"/>
        <v>212990.09894736868</v>
      </c>
    </row>
    <row r="2208" spans="1:14" x14ac:dyDescent="0.2">
      <c r="A2208" s="410">
        <f t="shared" si="687"/>
        <v>23</v>
      </c>
      <c r="B2208" s="413">
        <v>375.8</v>
      </c>
      <c r="C2208" s="414" t="s">
        <v>1045</v>
      </c>
      <c r="D2208" s="415">
        <f t="shared" si="683"/>
        <v>0</v>
      </c>
      <c r="E2208" s="417">
        <v>0</v>
      </c>
      <c r="F2208" s="417">
        <v>0</v>
      </c>
      <c r="G2208" s="415">
        <f t="shared" si="688"/>
        <v>0</v>
      </c>
      <c r="H2208" s="418"/>
      <c r="I2208" s="415">
        <f t="shared" si="684"/>
        <v>0</v>
      </c>
      <c r="J2208" s="442">
        <f>J2102</f>
        <v>0</v>
      </c>
      <c r="K2208" s="417">
        <v>0</v>
      </c>
      <c r="L2208" s="418">
        <f t="shared" si="685"/>
        <v>0</v>
      </c>
      <c r="M2208" s="417">
        <v>0</v>
      </c>
      <c r="N2208" s="408">
        <f t="shared" si="686"/>
        <v>0</v>
      </c>
    </row>
    <row r="2209" spans="1:14" x14ac:dyDescent="0.2">
      <c r="A2209" s="410">
        <f>A2208+1</f>
        <v>24</v>
      </c>
      <c r="B2209" s="413">
        <v>376</v>
      </c>
      <c r="C2209" s="438" t="s">
        <v>1096</v>
      </c>
      <c r="D2209" s="415"/>
      <c r="E2209" s="417"/>
      <c r="F2209" s="417"/>
      <c r="G2209" s="415"/>
      <c r="H2209" s="418"/>
      <c r="I2209" s="439"/>
      <c r="J2209" s="432"/>
      <c r="K2209" s="418"/>
      <c r="L2209" s="418"/>
      <c r="M2209" s="417"/>
    </row>
    <row r="2210" spans="1:14" x14ac:dyDescent="0.2">
      <c r="A2210" s="410"/>
      <c r="B2210" s="413"/>
      <c r="C2210" s="440" t="s">
        <v>1097</v>
      </c>
      <c r="D2210" s="415"/>
      <c r="E2210" s="417"/>
      <c r="F2210" s="417"/>
      <c r="G2210" s="415"/>
      <c r="H2210" s="418"/>
      <c r="I2210" s="415"/>
      <c r="J2210" s="442"/>
      <c r="K2210" s="418"/>
      <c r="L2210" s="418"/>
      <c r="M2210" s="417"/>
      <c r="N2210" s="408"/>
    </row>
    <row r="2211" spans="1:14" x14ac:dyDescent="0.2">
      <c r="A2211" s="410"/>
      <c r="B2211" s="413"/>
      <c r="C2211" s="440" t="s">
        <v>1098</v>
      </c>
      <c r="D2211" s="415"/>
      <c r="E2211" s="417"/>
      <c r="F2211" s="417"/>
      <c r="G2211" s="415"/>
      <c r="H2211" s="418"/>
      <c r="I2211" s="415"/>
      <c r="J2211" s="442"/>
      <c r="K2211" s="418"/>
      <c r="L2211" s="418"/>
      <c r="M2211" s="417"/>
      <c r="N2211" s="408"/>
    </row>
    <row r="2212" spans="1:14" x14ac:dyDescent="0.2">
      <c r="A2212" s="410"/>
      <c r="B2212" s="413"/>
      <c r="C2212" s="440" t="s">
        <v>1099</v>
      </c>
      <c r="D2212" s="415"/>
      <c r="E2212" s="417"/>
      <c r="F2212" s="417"/>
      <c r="G2212" s="415"/>
      <c r="H2212" s="418"/>
      <c r="I2212" s="415"/>
      <c r="J2212" s="442"/>
      <c r="K2212" s="418"/>
      <c r="L2212" s="418"/>
      <c r="M2212" s="417"/>
      <c r="N2212" s="408"/>
    </row>
    <row r="2213" spans="1:14" x14ac:dyDescent="0.2">
      <c r="A2213" s="410"/>
      <c r="B2213" s="413"/>
      <c r="C2213" s="440" t="s">
        <v>1100</v>
      </c>
      <c r="D2213" s="415"/>
      <c r="E2213" s="417"/>
      <c r="F2213" s="417"/>
      <c r="G2213" s="415"/>
      <c r="H2213" s="418"/>
      <c r="I2213" s="415"/>
      <c r="J2213" s="442"/>
      <c r="K2213" s="418"/>
      <c r="L2213" s="418"/>
      <c r="M2213" s="417"/>
      <c r="N2213" s="408"/>
    </row>
    <row r="2214" spans="1:14" x14ac:dyDescent="0.2">
      <c r="A2214" s="410"/>
      <c r="B2214" s="413"/>
      <c r="C2214" s="440" t="s">
        <v>1101</v>
      </c>
      <c r="D2214" s="415">
        <f t="shared" ref="D2214:D2219" si="691">G2108</f>
        <v>225744205.44</v>
      </c>
      <c r="E2214" s="417">
        <f>1469000+32320</f>
        <v>1501320</v>
      </c>
      <c r="F2214" s="417">
        <v>-180200</v>
      </c>
      <c r="G2214" s="415">
        <f t="shared" ref="G2214:G2219" si="692">SUM(D2214:F2214)</f>
        <v>227065325.44</v>
      </c>
      <c r="H2214" s="418"/>
      <c r="I2214" s="415">
        <f t="shared" ref="I2214:I2219" si="693">N2108</f>
        <v>59693108.609999999</v>
      </c>
      <c r="J2214" s="442">
        <f t="shared" ref="J2214:J2219" si="694">J2108</f>
        <v>2.3E-2</v>
      </c>
      <c r="K2214" s="418">
        <f t="shared" ref="K2214:K2219" si="695">ROUND((G2214+D2214)/2*J2214/12,0)</f>
        <v>433942</v>
      </c>
      <c r="L2214" s="418">
        <f t="shared" ref="L2214:L2219" si="696">-F2214</f>
        <v>180200</v>
      </c>
      <c r="M2214" s="417">
        <v>-27000</v>
      </c>
      <c r="N2214" s="408">
        <f t="shared" ref="N2214:N2219" si="697">I2214+K2214-L2214+M2214</f>
        <v>59919850.609999999</v>
      </c>
    </row>
    <row r="2215" spans="1:14" x14ac:dyDescent="0.2">
      <c r="A2215" s="410">
        <f>A2209+1</f>
        <v>25</v>
      </c>
      <c r="B2215" s="413">
        <v>378.1</v>
      </c>
      <c r="C2215" s="414" t="s">
        <v>1047</v>
      </c>
      <c r="D2215" s="415">
        <f t="shared" si="691"/>
        <v>518504.18</v>
      </c>
      <c r="E2215" s="417">
        <v>0</v>
      </c>
      <c r="F2215" s="417">
        <v>0</v>
      </c>
      <c r="G2215" s="415">
        <f t="shared" si="692"/>
        <v>518504.18</v>
      </c>
      <c r="H2215" s="418"/>
      <c r="I2215" s="415">
        <f t="shared" si="693"/>
        <v>377811.81</v>
      </c>
      <c r="J2215" s="442">
        <f t="shared" si="694"/>
        <v>3.32E-2</v>
      </c>
      <c r="K2215" s="418">
        <f t="shared" si="695"/>
        <v>1435</v>
      </c>
      <c r="L2215" s="418">
        <f t="shared" si="696"/>
        <v>0</v>
      </c>
      <c r="M2215" s="417">
        <v>0</v>
      </c>
      <c r="N2215" s="408">
        <f t="shared" si="697"/>
        <v>379246.81</v>
      </c>
    </row>
    <row r="2216" spans="1:14" x14ac:dyDescent="0.2">
      <c r="A2216" s="410">
        <f t="shared" si="687"/>
        <v>26</v>
      </c>
      <c r="B2216" s="413">
        <v>378.2</v>
      </c>
      <c r="C2216" s="414" t="s">
        <v>1048</v>
      </c>
      <c r="D2216" s="415">
        <f t="shared" si="691"/>
        <v>10085324</v>
      </c>
      <c r="E2216" s="417">
        <v>37600</v>
      </c>
      <c r="F2216" s="417">
        <v>-4500</v>
      </c>
      <c r="G2216" s="415">
        <f t="shared" si="692"/>
        <v>10118424</v>
      </c>
      <c r="H2216" s="418"/>
      <c r="I2216" s="415">
        <f t="shared" si="693"/>
        <v>3598838.91</v>
      </c>
      <c r="J2216" s="442">
        <f t="shared" si="694"/>
        <v>3.32E-2</v>
      </c>
      <c r="K2216" s="418">
        <f t="shared" si="695"/>
        <v>27949</v>
      </c>
      <c r="L2216" s="418">
        <f t="shared" si="696"/>
        <v>4500</v>
      </c>
      <c r="M2216" s="417">
        <v>-200</v>
      </c>
      <c r="N2216" s="408">
        <f t="shared" si="697"/>
        <v>3622087.91</v>
      </c>
    </row>
    <row r="2217" spans="1:14" x14ac:dyDescent="0.2">
      <c r="A2217" s="410">
        <f t="shared" si="687"/>
        <v>27</v>
      </c>
      <c r="B2217" s="413">
        <v>378.3</v>
      </c>
      <c r="C2217" s="414" t="s">
        <v>1049</v>
      </c>
      <c r="D2217" s="415">
        <f t="shared" si="691"/>
        <v>45443.08</v>
      </c>
      <c r="E2217" s="417">
        <v>0</v>
      </c>
      <c r="F2217" s="417">
        <v>0</v>
      </c>
      <c r="G2217" s="415">
        <f t="shared" si="692"/>
        <v>45443.08</v>
      </c>
      <c r="H2217" s="418"/>
      <c r="I2217" s="415">
        <f t="shared" si="693"/>
        <v>37138.04</v>
      </c>
      <c r="J2217" s="442">
        <f t="shared" si="694"/>
        <v>3.32E-2</v>
      </c>
      <c r="K2217" s="418">
        <f t="shared" si="695"/>
        <v>126</v>
      </c>
      <c r="L2217" s="418">
        <f t="shared" si="696"/>
        <v>0</v>
      </c>
      <c r="M2217" s="417">
        <v>0</v>
      </c>
      <c r="N2217" s="408">
        <f t="shared" si="697"/>
        <v>37264.04</v>
      </c>
    </row>
    <row r="2218" spans="1:14" x14ac:dyDescent="0.2">
      <c r="A2218" s="410">
        <f t="shared" si="687"/>
        <v>28</v>
      </c>
      <c r="B2218" s="413">
        <v>379.1</v>
      </c>
      <c r="C2218" s="414" t="s">
        <v>1050</v>
      </c>
      <c r="D2218" s="415">
        <f t="shared" si="691"/>
        <v>254900.59</v>
      </c>
      <c r="E2218" s="417">
        <v>0</v>
      </c>
      <c r="F2218" s="417">
        <v>0</v>
      </c>
      <c r="G2218" s="415">
        <f t="shared" si="692"/>
        <v>254900.59</v>
      </c>
      <c r="H2218" s="418"/>
      <c r="I2218" s="415">
        <f t="shared" si="693"/>
        <v>267730.57</v>
      </c>
      <c r="J2218" s="442">
        <f t="shared" si="694"/>
        <v>6.0000000000000001E-3</v>
      </c>
      <c r="K2218" s="417">
        <v>0</v>
      </c>
      <c r="L2218" s="418">
        <f t="shared" si="696"/>
        <v>0</v>
      </c>
      <c r="M2218" s="417">
        <v>0</v>
      </c>
      <c r="N2218" s="408">
        <f t="shared" si="697"/>
        <v>267730.57</v>
      </c>
    </row>
    <row r="2219" spans="1:14" x14ac:dyDescent="0.2">
      <c r="A2219" s="410">
        <f t="shared" si="687"/>
        <v>29</v>
      </c>
      <c r="B2219" s="413">
        <v>380</v>
      </c>
      <c r="C2219" s="414" t="s">
        <v>1051</v>
      </c>
      <c r="D2219" s="415">
        <f t="shared" si="691"/>
        <v>130825392.77</v>
      </c>
      <c r="E2219" s="417">
        <f>921400+21546</f>
        <v>942946</v>
      </c>
      <c r="F2219" s="417">
        <v>-113200</v>
      </c>
      <c r="G2219" s="415">
        <f t="shared" si="692"/>
        <v>131655138.77</v>
      </c>
      <c r="H2219" s="418"/>
      <c r="I2219" s="415">
        <f t="shared" si="693"/>
        <v>62550419.520000003</v>
      </c>
      <c r="J2219" s="442">
        <f t="shared" si="694"/>
        <v>5.0999999999999997E-2</v>
      </c>
      <c r="K2219" s="418">
        <f t="shared" si="695"/>
        <v>557771</v>
      </c>
      <c r="L2219" s="418">
        <f t="shared" si="696"/>
        <v>113200</v>
      </c>
      <c r="M2219" s="417">
        <v>-56600</v>
      </c>
      <c r="N2219" s="408">
        <f t="shared" si="697"/>
        <v>62938390.520000003</v>
      </c>
    </row>
    <row r="2220" spans="1:14" x14ac:dyDescent="0.2">
      <c r="A2220" s="410"/>
      <c r="B2220" s="444"/>
      <c r="C2220" s="414"/>
      <c r="D2220" s="439"/>
      <c r="E2220" s="418"/>
      <c r="F2220" s="418"/>
      <c r="G2220" s="439"/>
      <c r="H2220" s="418"/>
      <c r="I2220" s="418"/>
      <c r="J2220" s="418"/>
      <c r="K2220" s="418"/>
      <c r="L2220" s="418"/>
    </row>
    <row r="2221" spans="1:14" x14ac:dyDescent="0.2">
      <c r="A2221" s="2073" t="str">
        <f>co</f>
        <v>COLUMBIA GAS OF KENTUCKY, INC.</v>
      </c>
      <c r="B2221" s="2073"/>
      <c r="C2221" s="2073"/>
      <c r="D2221" s="2073"/>
      <c r="E2221" s="2073"/>
      <c r="F2221" s="2073"/>
      <c r="G2221" s="2073"/>
      <c r="H2221" s="2073"/>
      <c r="I2221" s="2073"/>
      <c r="J2221" s="2073"/>
      <c r="K2221" s="2073"/>
      <c r="L2221" s="2073"/>
      <c r="M2221" s="2073"/>
      <c r="N2221" s="2073"/>
    </row>
    <row r="2222" spans="1:14" x14ac:dyDescent="0.2">
      <c r="A2222" s="2073" t="str">
        <f>case</f>
        <v>CASE NO. 2016 - 00162</v>
      </c>
      <c r="B2222" s="2073"/>
      <c r="C2222" s="2073"/>
      <c r="D2222" s="2073"/>
      <c r="E2222" s="2073"/>
      <c r="F2222" s="2073"/>
      <c r="G2222" s="2073"/>
      <c r="H2222" s="2073"/>
      <c r="I2222" s="2073"/>
      <c r="J2222" s="2073"/>
      <c r="K2222" s="2073"/>
      <c r="L2222" s="2073"/>
      <c r="M2222" s="2073"/>
      <c r="N2222" s="2073"/>
    </row>
    <row r="2223" spans="1:14" x14ac:dyDescent="0.2">
      <c r="A2223" s="2074" t="s">
        <v>1106</v>
      </c>
      <c r="B2223" s="2073"/>
      <c r="C2223" s="2073"/>
      <c r="D2223" s="2073"/>
      <c r="E2223" s="2073"/>
      <c r="F2223" s="2073"/>
      <c r="G2223" s="2073"/>
      <c r="H2223" s="2073"/>
      <c r="I2223" s="2073"/>
      <c r="J2223" s="2073"/>
      <c r="K2223" s="2073"/>
      <c r="L2223" s="2073"/>
      <c r="M2223" s="2073"/>
      <c r="N2223" s="2073"/>
    </row>
    <row r="2224" spans="1:14" x14ac:dyDescent="0.2">
      <c r="A2224" s="2078" t="s">
        <v>2142</v>
      </c>
      <c r="B2224" s="2078"/>
      <c r="C2224" s="2078"/>
      <c r="D2224" s="2078"/>
      <c r="E2224" s="2078"/>
      <c r="F2224" s="2078"/>
      <c r="G2224" s="2078"/>
      <c r="H2224" s="2078"/>
      <c r="I2224" s="2078"/>
      <c r="J2224" s="2078"/>
      <c r="K2224" s="2078"/>
      <c r="L2224" s="2078"/>
      <c r="M2224" s="2078"/>
      <c r="N2224" s="2078"/>
    </row>
    <row r="2226" spans="1:14" x14ac:dyDescent="0.2">
      <c r="A2226" s="388" t="s">
        <v>976</v>
      </c>
      <c r="M2226" s="386"/>
      <c r="N2226" s="387" t="s">
        <v>763</v>
      </c>
    </row>
    <row r="2227" spans="1:14" x14ac:dyDescent="0.2">
      <c r="A2227" s="388" t="s">
        <v>977</v>
      </c>
      <c r="M2227" s="386"/>
      <c r="N2227" s="387" t="s">
        <v>999</v>
      </c>
    </row>
    <row r="2228" spans="1:14" x14ac:dyDescent="0.2">
      <c r="A2228" s="445" t="str">
        <f>A2175</f>
        <v>WORKPAPER REFERENCE NO(S).: WPB-2.3</v>
      </c>
      <c r="B2228" s="391"/>
      <c r="C2228" s="391"/>
      <c r="D2228" s="391"/>
      <c r="E2228" s="391"/>
      <c r="F2228" s="391"/>
      <c r="G2228" s="391"/>
      <c r="H2228" s="391"/>
      <c r="M2228" s="392"/>
      <c r="N2228" s="393" t="str">
        <f>SMK</f>
        <v>WITNESS:  S. M. KATKO</v>
      </c>
    </row>
    <row r="2229" spans="1:14" x14ac:dyDescent="0.2">
      <c r="A2229" s="390"/>
      <c r="B2229" s="391"/>
      <c r="C2229" s="391"/>
      <c r="D2229" s="391"/>
      <c r="E2229" s="391"/>
      <c r="F2229" s="391"/>
      <c r="G2229" s="391"/>
      <c r="H2229" s="391"/>
      <c r="I2229" s="392"/>
      <c r="J2229" s="393"/>
      <c r="L2229" s="386"/>
      <c r="M2229" s="386"/>
    </row>
    <row r="2230" spans="1:14" x14ac:dyDescent="0.2">
      <c r="A2230" s="390"/>
      <c r="B2230" s="391"/>
      <c r="C2230" s="391"/>
      <c r="D2230" s="2075" t="s">
        <v>1088</v>
      </c>
      <c r="E2230" s="2075"/>
      <c r="F2230" s="2075"/>
      <c r="G2230" s="2075"/>
      <c r="H2230" s="391"/>
      <c r="I2230" s="2076" t="s">
        <v>1093</v>
      </c>
      <c r="J2230" s="2077"/>
      <c r="K2230" s="2077"/>
      <c r="L2230" s="2077"/>
      <c r="M2230" s="2077"/>
      <c r="N2230" s="2077"/>
    </row>
    <row r="2231" spans="1:14" x14ac:dyDescent="0.2">
      <c r="A2231" s="394"/>
      <c r="B2231" s="391"/>
      <c r="C2231" s="391"/>
      <c r="D2231" s="396" t="s">
        <v>1084</v>
      </c>
      <c r="E2231" s="391"/>
      <c r="F2231" s="391"/>
      <c r="G2231" s="395"/>
      <c r="H2231" s="395"/>
      <c r="I2231" s="397" t="s">
        <v>1089</v>
      </c>
      <c r="J2231" s="396"/>
      <c r="M2231" s="386"/>
    </row>
    <row r="2232" spans="1:14" x14ac:dyDescent="0.2">
      <c r="A2232" s="383"/>
      <c r="D2232" s="397" t="s">
        <v>865</v>
      </c>
      <c r="G2232" s="397" t="s">
        <v>867</v>
      </c>
      <c r="H2232" s="398"/>
      <c r="I2232" s="397" t="s">
        <v>865</v>
      </c>
      <c r="J2232" s="397" t="s">
        <v>956</v>
      </c>
      <c r="M2232" s="386"/>
      <c r="N2232" s="397" t="s">
        <v>867</v>
      </c>
    </row>
    <row r="2233" spans="1:14" x14ac:dyDescent="0.2">
      <c r="A2233" s="397" t="s">
        <v>1080</v>
      </c>
      <c r="B2233" s="397" t="s">
        <v>1082</v>
      </c>
      <c r="D2233" s="397" t="s">
        <v>867</v>
      </c>
      <c r="G2233" s="399" t="s">
        <v>1087</v>
      </c>
      <c r="H2233" s="398"/>
      <c r="I2233" s="399" t="s">
        <v>867</v>
      </c>
      <c r="J2233" s="397" t="s">
        <v>1090</v>
      </c>
      <c r="K2233" s="397" t="s">
        <v>956</v>
      </c>
      <c r="M2233" s="399" t="s">
        <v>1092</v>
      </c>
      <c r="N2233" s="399" t="s">
        <v>1087</v>
      </c>
    </row>
    <row r="2234" spans="1:14" x14ac:dyDescent="0.2">
      <c r="A2234" s="400" t="s">
        <v>1081</v>
      </c>
      <c r="B2234" s="400" t="s">
        <v>1081</v>
      </c>
      <c r="C2234" s="401" t="s">
        <v>1083</v>
      </c>
      <c r="D2234" s="404" t="str">
        <f>D2181</f>
        <v>10/31/2017</v>
      </c>
      <c r="E2234" s="400" t="s">
        <v>1085</v>
      </c>
      <c r="F2234" s="400" t="s">
        <v>1086</v>
      </c>
      <c r="G2234" s="404" t="str">
        <f>G2181</f>
        <v>11/30/2017</v>
      </c>
      <c r="H2234" s="398"/>
      <c r="I2234" s="404" t="str">
        <f>D2234</f>
        <v>10/31/2017</v>
      </c>
      <c r="J2234" s="400" t="s">
        <v>1091</v>
      </c>
      <c r="K2234" s="402" t="s">
        <v>1090</v>
      </c>
      <c r="L2234" s="402" t="s">
        <v>1086</v>
      </c>
      <c r="M2234" s="402" t="s">
        <v>955</v>
      </c>
      <c r="N2234" s="404" t="str">
        <f>G2234</f>
        <v>11/30/2017</v>
      </c>
    </row>
    <row r="2235" spans="1:14" x14ac:dyDescent="0.2">
      <c r="A2235" s="406"/>
      <c r="B2235" s="406"/>
      <c r="C2235" s="406"/>
      <c r="D2235" s="406" t="str">
        <f>"(1)"</f>
        <v>(1)</v>
      </c>
      <c r="E2235" s="406" t="str">
        <f>"(2)"</f>
        <v>(2)</v>
      </c>
      <c r="F2235" s="406" t="str">
        <f>"(3)"</f>
        <v>(3)</v>
      </c>
      <c r="G2235" s="406" t="str">
        <f>"(4)=(1+2+3)"</f>
        <v>(4)=(1+2+3)</v>
      </c>
      <c r="H2235" s="406"/>
      <c r="I2235" s="406" t="str">
        <f>"(5)"</f>
        <v>(5)</v>
      </c>
      <c r="J2235" s="406" t="str">
        <f>"(6)"</f>
        <v>(6)</v>
      </c>
      <c r="K2235" s="406" t="str">
        <f>"(7)=((1+4)/2*6/12))"</f>
        <v>(7)=((1+4)/2*6/12))</v>
      </c>
      <c r="L2235" s="406" t="str">
        <f>"(8)"</f>
        <v>(8)</v>
      </c>
      <c r="M2235" s="406" t="str">
        <f>"(9)"</f>
        <v>(9)</v>
      </c>
      <c r="N2235" s="406" t="str">
        <f>"(10)=(5+7-8+9)"</f>
        <v>(10)=(5+7-8+9)</v>
      </c>
    </row>
    <row r="2236" spans="1:14" x14ac:dyDescent="0.2">
      <c r="D2236" s="410" t="s">
        <v>639</v>
      </c>
      <c r="E2236" s="410" t="s">
        <v>639</v>
      </c>
      <c r="F2236" s="410" t="s">
        <v>639</v>
      </c>
      <c r="G2236" s="410" t="s">
        <v>639</v>
      </c>
      <c r="H2236" s="410"/>
      <c r="I2236" s="410" t="s">
        <v>639</v>
      </c>
      <c r="J2236" s="410" t="s">
        <v>639</v>
      </c>
      <c r="K2236" s="410" t="s">
        <v>639</v>
      </c>
      <c r="L2236" s="410" t="s">
        <v>639</v>
      </c>
      <c r="M2236" s="410" t="s">
        <v>639</v>
      </c>
      <c r="N2236" s="410" t="s">
        <v>639</v>
      </c>
    </row>
    <row r="2237" spans="1:14" x14ac:dyDescent="0.2">
      <c r="C2237" s="411" t="s">
        <v>707</v>
      </c>
      <c r="D2237" s="410"/>
      <c r="E2237" s="410"/>
      <c r="F2237" s="410"/>
      <c r="G2237" s="410"/>
      <c r="J2237" s="410"/>
    </row>
    <row r="2238" spans="1:14" x14ac:dyDescent="0.2">
      <c r="A2238" s="405">
        <v>1</v>
      </c>
      <c r="B2238" s="446">
        <v>381</v>
      </c>
      <c r="C2238" s="414" t="s">
        <v>1052</v>
      </c>
      <c r="D2238" s="415">
        <f t="shared" ref="D2238:D2249" si="698">G2132</f>
        <v>14153508.550000001</v>
      </c>
      <c r="E2238" s="417">
        <v>54400</v>
      </c>
      <c r="F2238" s="417">
        <v>-6500</v>
      </c>
      <c r="G2238" s="415">
        <f>SUM(D2238:F2238)</f>
        <v>14201408.550000001</v>
      </c>
      <c r="H2238" s="418"/>
      <c r="I2238" s="415">
        <f t="shared" ref="I2238:I2249" si="699">N2132</f>
        <v>5252727.8899999997</v>
      </c>
      <c r="J2238" s="442">
        <f t="shared" ref="J2238:J2249" si="700">J2132</f>
        <v>3.3000000000000002E-2</v>
      </c>
      <c r="K2238" s="418">
        <f t="shared" ref="K2238:K2249" si="701">ROUND((G2238+D2238)/2*J2238/12,0)</f>
        <v>38988</v>
      </c>
      <c r="L2238" s="418">
        <f t="shared" ref="L2238:L2249" si="702">-F2238</f>
        <v>6500</v>
      </c>
      <c r="M2238" s="417">
        <v>0</v>
      </c>
      <c r="N2238" s="408">
        <f t="shared" ref="N2238:N2249" si="703">I2238+K2238-L2238+M2238</f>
        <v>5285215.8899999997</v>
      </c>
    </row>
    <row r="2239" spans="1:14" x14ac:dyDescent="0.2">
      <c r="A2239" s="405">
        <f>A2238+1</f>
        <v>2</v>
      </c>
      <c r="B2239" s="446">
        <v>381.1</v>
      </c>
      <c r="C2239" s="414" t="s">
        <v>1052</v>
      </c>
      <c r="D2239" s="415">
        <f t="shared" si="698"/>
        <v>8846212.0600000005</v>
      </c>
      <c r="E2239" s="417">
        <v>5300</v>
      </c>
      <c r="F2239" s="417">
        <v>-600</v>
      </c>
      <c r="G2239" s="415">
        <f>SUM(D2239:F2239)</f>
        <v>8850912.0600000005</v>
      </c>
      <c r="H2239" s="418"/>
      <c r="I2239" s="415">
        <f t="shared" si="699"/>
        <v>1135768.5</v>
      </c>
      <c r="J2239" s="442">
        <f t="shared" si="700"/>
        <v>8.0600000000000005E-2</v>
      </c>
      <c r="K2239" s="418">
        <f t="shared" si="701"/>
        <v>59433</v>
      </c>
      <c r="L2239" s="418">
        <f t="shared" si="702"/>
        <v>600</v>
      </c>
      <c r="M2239" s="417">
        <v>0</v>
      </c>
      <c r="N2239" s="408">
        <f t="shared" si="703"/>
        <v>1194601.5</v>
      </c>
    </row>
    <row r="2240" spans="1:14" x14ac:dyDescent="0.2">
      <c r="A2240" s="405">
        <f t="shared" ref="A2240:A2250" si="704">A2239+1</f>
        <v>3</v>
      </c>
      <c r="B2240" s="446">
        <v>382</v>
      </c>
      <c r="C2240" s="414" t="s">
        <v>1053</v>
      </c>
      <c r="D2240" s="415">
        <f t="shared" si="698"/>
        <v>9578592.6500000004</v>
      </c>
      <c r="E2240" s="417">
        <v>32300</v>
      </c>
      <c r="F2240" s="417">
        <v>-3900</v>
      </c>
      <c r="G2240" s="415">
        <f t="shared" ref="G2240:G2245" si="705">SUM(D2240:F2240)</f>
        <v>9606992.6500000004</v>
      </c>
      <c r="H2240" s="418"/>
      <c r="I2240" s="415">
        <f t="shared" si="699"/>
        <v>4773598.3</v>
      </c>
      <c r="J2240" s="442">
        <f t="shared" si="700"/>
        <v>2.4400000000000002E-2</v>
      </c>
      <c r="K2240" s="418">
        <f t="shared" si="701"/>
        <v>19505</v>
      </c>
      <c r="L2240" s="418">
        <f t="shared" si="702"/>
        <v>3900</v>
      </c>
      <c r="M2240" s="417">
        <v>-200</v>
      </c>
      <c r="N2240" s="408">
        <f t="shared" si="703"/>
        <v>4789003.3</v>
      </c>
    </row>
    <row r="2241" spans="1:14" x14ac:dyDescent="0.2">
      <c r="A2241" s="405">
        <f t="shared" si="704"/>
        <v>4</v>
      </c>
      <c r="B2241" s="446">
        <v>383</v>
      </c>
      <c r="C2241" s="414" t="s">
        <v>1054</v>
      </c>
      <c r="D2241" s="415">
        <f t="shared" si="698"/>
        <v>5829520.7599999998</v>
      </c>
      <c r="E2241" s="417">
        <v>15800</v>
      </c>
      <c r="F2241" s="417">
        <v>-1900</v>
      </c>
      <c r="G2241" s="415">
        <f t="shared" si="705"/>
        <v>5843420.7599999998</v>
      </c>
      <c r="H2241" s="418"/>
      <c r="I2241" s="415">
        <f t="shared" si="699"/>
        <v>1612323.41</v>
      </c>
      <c r="J2241" s="442">
        <f t="shared" si="700"/>
        <v>2.7300000000000001E-2</v>
      </c>
      <c r="K2241" s="418">
        <f t="shared" si="701"/>
        <v>13278</v>
      </c>
      <c r="L2241" s="418">
        <f t="shared" si="702"/>
        <v>1900</v>
      </c>
      <c r="M2241" s="417">
        <v>-100</v>
      </c>
      <c r="N2241" s="408">
        <f t="shared" si="703"/>
        <v>1623601.41</v>
      </c>
    </row>
    <row r="2242" spans="1:14" x14ac:dyDescent="0.2">
      <c r="A2242" s="405">
        <f t="shared" si="704"/>
        <v>5</v>
      </c>
      <c r="B2242" s="446">
        <v>384</v>
      </c>
      <c r="C2242" s="414" t="s">
        <v>1055</v>
      </c>
      <c r="D2242" s="415">
        <f t="shared" si="698"/>
        <v>2257522</v>
      </c>
      <c r="E2242" s="417">
        <v>0</v>
      </c>
      <c r="F2242" s="417">
        <v>0</v>
      </c>
      <c r="G2242" s="415">
        <f t="shared" si="705"/>
        <v>2257522</v>
      </c>
      <c r="H2242" s="418"/>
      <c r="I2242" s="415">
        <f t="shared" si="699"/>
        <v>1788328.73</v>
      </c>
      <c r="J2242" s="442">
        <f t="shared" si="700"/>
        <v>1.01E-2</v>
      </c>
      <c r="K2242" s="418">
        <f t="shared" si="701"/>
        <v>1900</v>
      </c>
      <c r="L2242" s="418">
        <f t="shared" si="702"/>
        <v>0</v>
      </c>
      <c r="M2242" s="417">
        <v>0</v>
      </c>
      <c r="N2242" s="408">
        <f t="shared" si="703"/>
        <v>1790228.73</v>
      </c>
    </row>
    <row r="2243" spans="1:14" x14ac:dyDescent="0.2">
      <c r="A2243" s="405">
        <f t="shared" si="704"/>
        <v>6</v>
      </c>
      <c r="B2243" s="446">
        <v>385</v>
      </c>
      <c r="C2243" s="414" t="s">
        <v>1056</v>
      </c>
      <c r="D2243" s="415">
        <f t="shared" si="698"/>
        <v>3462883.36</v>
      </c>
      <c r="E2243" s="417">
        <v>24600</v>
      </c>
      <c r="F2243" s="417">
        <v>-2900</v>
      </c>
      <c r="G2243" s="415">
        <f t="shared" si="705"/>
        <v>3484583.36</v>
      </c>
      <c r="H2243" s="418"/>
      <c r="I2243" s="415">
        <f t="shared" si="699"/>
        <v>1000952.55</v>
      </c>
      <c r="J2243" s="442">
        <f t="shared" si="700"/>
        <v>5.0799999999999998E-2</v>
      </c>
      <c r="K2243" s="418">
        <f t="shared" si="701"/>
        <v>14705</v>
      </c>
      <c r="L2243" s="418">
        <f t="shared" si="702"/>
        <v>2900</v>
      </c>
      <c r="M2243" s="417">
        <v>-100</v>
      </c>
      <c r="N2243" s="408">
        <f t="shared" si="703"/>
        <v>1012657.55</v>
      </c>
    </row>
    <row r="2244" spans="1:14" x14ac:dyDescent="0.2">
      <c r="A2244" s="405">
        <f t="shared" si="704"/>
        <v>7</v>
      </c>
      <c r="B2244" s="446">
        <v>387.2</v>
      </c>
      <c r="C2244" s="414" t="s">
        <v>1057</v>
      </c>
      <c r="D2244" s="415">
        <f t="shared" si="698"/>
        <v>0</v>
      </c>
      <c r="E2244" s="417">
        <v>0</v>
      </c>
      <c r="F2244" s="417">
        <v>0</v>
      </c>
      <c r="G2244" s="415">
        <f t="shared" si="705"/>
        <v>0</v>
      </c>
      <c r="H2244" s="418"/>
      <c r="I2244" s="415">
        <f t="shared" si="699"/>
        <v>-59912.03</v>
      </c>
      <c r="J2244" s="442">
        <f t="shared" si="700"/>
        <v>0</v>
      </c>
      <c r="K2244" s="418">
        <f t="shared" si="701"/>
        <v>0</v>
      </c>
      <c r="L2244" s="418">
        <f t="shared" si="702"/>
        <v>0</v>
      </c>
      <c r="M2244" s="417">
        <v>0</v>
      </c>
      <c r="N2244" s="408">
        <f t="shared" si="703"/>
        <v>-59912.03</v>
      </c>
    </row>
    <row r="2245" spans="1:14" x14ac:dyDescent="0.2">
      <c r="A2245" s="405">
        <f t="shared" si="704"/>
        <v>8</v>
      </c>
      <c r="B2245" s="446">
        <v>387.41</v>
      </c>
      <c r="C2245" s="414" t="s">
        <v>1058</v>
      </c>
      <c r="D2245" s="415">
        <f t="shared" si="698"/>
        <v>735770.76</v>
      </c>
      <c r="E2245" s="417">
        <v>0</v>
      </c>
      <c r="F2245" s="417">
        <v>0</v>
      </c>
      <c r="G2245" s="415">
        <f t="shared" si="705"/>
        <v>735770.76</v>
      </c>
      <c r="H2245" s="418"/>
      <c r="I2245" s="415">
        <f t="shared" si="699"/>
        <v>408987.95</v>
      </c>
      <c r="J2245" s="442">
        <f t="shared" si="700"/>
        <v>3.7400000000000003E-2</v>
      </c>
      <c r="K2245" s="418">
        <f t="shared" si="701"/>
        <v>2293</v>
      </c>
      <c r="L2245" s="418">
        <f t="shared" si="702"/>
        <v>0</v>
      </c>
      <c r="M2245" s="417">
        <v>0</v>
      </c>
      <c r="N2245" s="408">
        <f t="shared" si="703"/>
        <v>411280.95</v>
      </c>
    </row>
    <row r="2246" spans="1:14" x14ac:dyDescent="0.2">
      <c r="A2246" s="405">
        <f t="shared" si="704"/>
        <v>9</v>
      </c>
      <c r="B2246" s="446">
        <v>387.42</v>
      </c>
      <c r="C2246" s="414" t="s">
        <v>1059</v>
      </c>
      <c r="D2246" s="415">
        <f t="shared" si="698"/>
        <v>795186.58</v>
      </c>
      <c r="E2246" s="417">
        <v>0</v>
      </c>
      <c r="F2246" s="417">
        <v>0</v>
      </c>
      <c r="G2246" s="415">
        <f>SUM(D2246:F2246)</f>
        <v>795186.58</v>
      </c>
      <c r="H2246" s="418"/>
      <c r="I2246" s="415">
        <f t="shared" si="699"/>
        <v>577325.94999999995</v>
      </c>
      <c r="J2246" s="442">
        <f t="shared" si="700"/>
        <v>3.7400000000000003E-2</v>
      </c>
      <c r="K2246" s="418">
        <f t="shared" si="701"/>
        <v>2478</v>
      </c>
      <c r="L2246" s="418">
        <f t="shared" si="702"/>
        <v>0</v>
      </c>
      <c r="M2246" s="417">
        <v>0</v>
      </c>
      <c r="N2246" s="408">
        <f t="shared" si="703"/>
        <v>579803.94999999995</v>
      </c>
    </row>
    <row r="2247" spans="1:14" x14ac:dyDescent="0.2">
      <c r="A2247" s="405">
        <f t="shared" si="704"/>
        <v>10</v>
      </c>
      <c r="B2247" s="446">
        <v>387.44</v>
      </c>
      <c r="C2247" s="414" t="s">
        <v>1060</v>
      </c>
      <c r="D2247" s="415">
        <f t="shared" si="698"/>
        <v>143283.93</v>
      </c>
      <c r="E2247" s="417">
        <v>0</v>
      </c>
      <c r="F2247" s="417">
        <v>0</v>
      </c>
      <c r="G2247" s="415">
        <f>SUM(D2247:F2247)</f>
        <v>143283.93</v>
      </c>
      <c r="H2247" s="418"/>
      <c r="I2247" s="415">
        <f t="shared" si="699"/>
        <v>51418.55</v>
      </c>
      <c r="J2247" s="442">
        <f t="shared" si="700"/>
        <v>3.7400000000000003E-2</v>
      </c>
      <c r="K2247" s="418">
        <f t="shared" si="701"/>
        <v>447</v>
      </c>
      <c r="L2247" s="418">
        <f t="shared" si="702"/>
        <v>0</v>
      </c>
      <c r="M2247" s="417">
        <v>0</v>
      </c>
      <c r="N2247" s="408">
        <f t="shared" si="703"/>
        <v>51865.55</v>
      </c>
    </row>
    <row r="2248" spans="1:14" x14ac:dyDescent="0.2">
      <c r="A2248" s="405">
        <f t="shared" si="704"/>
        <v>11</v>
      </c>
      <c r="B2248" s="446">
        <v>387.45</v>
      </c>
      <c r="C2248" s="414" t="s">
        <v>1061</v>
      </c>
      <c r="D2248" s="415">
        <f t="shared" si="698"/>
        <v>4205704.66</v>
      </c>
      <c r="E2248" s="417">
        <f>142800+40000</f>
        <v>182800</v>
      </c>
      <c r="F2248" s="417">
        <v>-21900</v>
      </c>
      <c r="G2248" s="415">
        <f>SUM(D2248:F2248)</f>
        <v>4366604.66</v>
      </c>
      <c r="H2248" s="418"/>
      <c r="I2248" s="415">
        <f t="shared" si="699"/>
        <v>516286.06000000006</v>
      </c>
      <c r="J2248" s="442">
        <f t="shared" si="700"/>
        <v>3.7400000000000003E-2</v>
      </c>
      <c r="K2248" s="418">
        <f t="shared" si="701"/>
        <v>13359</v>
      </c>
      <c r="L2248" s="418">
        <f t="shared" si="702"/>
        <v>21900</v>
      </c>
      <c r="M2248" s="417">
        <v>0</v>
      </c>
      <c r="N2248" s="408">
        <f t="shared" si="703"/>
        <v>507745.06000000006</v>
      </c>
    </row>
    <row r="2249" spans="1:14" x14ac:dyDescent="0.2">
      <c r="A2249" s="405">
        <f t="shared" si="704"/>
        <v>12</v>
      </c>
      <c r="B2249" s="446">
        <v>387.46</v>
      </c>
      <c r="C2249" s="414" t="s">
        <v>1062</v>
      </c>
      <c r="D2249" s="421">
        <f t="shared" si="698"/>
        <v>113644.47</v>
      </c>
      <c r="E2249" s="1662">
        <v>0</v>
      </c>
      <c r="F2249" s="1662">
        <v>0</v>
      </c>
      <c r="G2249" s="428">
        <f>SUM(D2249:F2249)</f>
        <v>113644.47</v>
      </c>
      <c r="H2249" s="447"/>
      <c r="I2249" s="421">
        <f t="shared" si="699"/>
        <v>115772.83</v>
      </c>
      <c r="J2249" s="442">
        <f t="shared" si="700"/>
        <v>3.7400000000000003E-2</v>
      </c>
      <c r="K2249" s="421">
        <f t="shared" si="701"/>
        <v>354</v>
      </c>
      <c r="L2249" s="421">
        <f t="shared" si="702"/>
        <v>0</v>
      </c>
      <c r="M2249" s="422">
        <v>0</v>
      </c>
      <c r="N2249" s="423">
        <f t="shared" si="703"/>
        <v>116126.83</v>
      </c>
    </row>
    <row r="2250" spans="1:14" x14ac:dyDescent="0.2">
      <c r="A2250" s="405">
        <f t="shared" si="704"/>
        <v>13</v>
      </c>
      <c r="B2250" s="448"/>
      <c r="C2250" s="386" t="s">
        <v>1063</v>
      </c>
      <c r="D2250" s="418">
        <f>SUM(D2238:D2249,D2198:D2219)</f>
        <v>433130854.37999994</v>
      </c>
      <c r="E2250" s="418">
        <f>SUM(E2238:E2249,E2198:E2219)</f>
        <v>4246266</v>
      </c>
      <c r="F2250" s="418">
        <f>SUM(F2238:F2249,F2198:F2219)</f>
        <v>-344800</v>
      </c>
      <c r="G2250" s="418">
        <f>SUM(G2238:G2249,G2198:G2219)</f>
        <v>437032320.37999994</v>
      </c>
      <c r="H2250" s="418"/>
      <c r="I2250" s="418">
        <f>SUM(I2238:I2249,I2198:I2219)</f>
        <v>148969890.76947367</v>
      </c>
      <c r="J2250" s="418"/>
      <c r="K2250" s="418">
        <f>SUM(K2238:K2249,K2198:K2219)</f>
        <v>1217446.0494736843</v>
      </c>
      <c r="L2250" s="418">
        <f>SUM(L2238:L2249,L2198:L2219)</f>
        <v>344800</v>
      </c>
      <c r="M2250" s="418">
        <f>SUM(M2238:M2249,M2198:M2219)</f>
        <v>-84500</v>
      </c>
      <c r="N2250" s="418">
        <f>SUM(N2238:N2249,N2198:N2219)</f>
        <v>149758036.81894737</v>
      </c>
    </row>
    <row r="2251" spans="1:14" x14ac:dyDescent="0.2">
      <c r="B2251" s="448"/>
      <c r="D2251" s="418"/>
      <c r="E2251" s="418"/>
      <c r="F2251" s="418"/>
      <c r="G2251" s="418"/>
      <c r="H2251" s="418"/>
      <c r="I2251" s="439"/>
      <c r="J2251" s="418"/>
      <c r="K2251" s="418"/>
      <c r="L2251" s="418"/>
      <c r="M2251" s="418"/>
    </row>
    <row r="2252" spans="1:14" x14ac:dyDescent="0.2">
      <c r="A2252" s="405">
        <f>A2250+1</f>
        <v>14</v>
      </c>
      <c r="B2252" s="448"/>
      <c r="C2252" s="411" t="s">
        <v>737</v>
      </c>
      <c r="D2252" s="418"/>
      <c r="E2252" s="418"/>
      <c r="F2252" s="418"/>
      <c r="G2252" s="418"/>
      <c r="H2252" s="418"/>
      <c r="I2252" s="439"/>
      <c r="J2252" s="418"/>
      <c r="K2252" s="418"/>
      <c r="L2252" s="418"/>
      <c r="M2252" s="418"/>
    </row>
    <row r="2253" spans="1:14" x14ac:dyDescent="0.2">
      <c r="A2253" s="410">
        <f>A2252+1</f>
        <v>15</v>
      </c>
      <c r="B2253" s="446">
        <v>391.1</v>
      </c>
      <c r="C2253" s="414" t="s">
        <v>1064</v>
      </c>
      <c r="D2253" s="415">
        <f t="shared" ref="D2253:D2266" si="706">G2147</f>
        <v>713480.71</v>
      </c>
      <c r="E2253" s="417">
        <v>134550</v>
      </c>
      <c r="F2253" s="417">
        <v>0</v>
      </c>
      <c r="G2253" s="415">
        <f t="shared" ref="G2253:G2266" si="707">SUM(D2253:F2253)</f>
        <v>848030.71</v>
      </c>
      <c r="H2253" s="418"/>
      <c r="I2253" s="415">
        <f t="shared" ref="I2253:I2266" si="708">N2147</f>
        <v>-20846.22</v>
      </c>
      <c r="J2253" s="442">
        <f t="shared" ref="J2253:J2266" si="709">J2147</f>
        <v>0.05</v>
      </c>
      <c r="K2253" s="418">
        <f>ROUND((G2253+D2253)/2*J2253/12,0)</f>
        <v>3253</v>
      </c>
      <c r="L2253" s="418">
        <f t="shared" ref="L2253:L2266" si="710">-F2253</f>
        <v>0</v>
      </c>
      <c r="M2253" s="417">
        <v>0</v>
      </c>
      <c r="N2253" s="408">
        <f t="shared" ref="N2253:N2266" si="711">I2253+K2253-L2253+M2253</f>
        <v>-17593.22</v>
      </c>
    </row>
    <row r="2254" spans="1:14" x14ac:dyDescent="0.2">
      <c r="A2254" s="410">
        <f t="shared" ref="A2254:A2267" si="712">A2253+1</f>
        <v>16</v>
      </c>
      <c r="B2254" s="446">
        <v>391.11</v>
      </c>
      <c r="C2254" s="414" t="s">
        <v>1065</v>
      </c>
      <c r="D2254" s="415">
        <f t="shared" si="706"/>
        <v>18815.57</v>
      </c>
      <c r="E2254" s="417">
        <v>0</v>
      </c>
      <c r="F2254" s="417">
        <v>0</v>
      </c>
      <c r="G2254" s="415">
        <f t="shared" si="707"/>
        <v>18815.57</v>
      </c>
      <c r="H2254" s="418"/>
      <c r="I2254" s="415">
        <f t="shared" si="708"/>
        <v>-10934.77</v>
      </c>
      <c r="J2254" s="442">
        <f t="shared" si="709"/>
        <v>6.6699999999999995E-2</v>
      </c>
      <c r="K2254" s="418">
        <f>ROUND((G2254+D2254)/2*J2254/12,0)</f>
        <v>105</v>
      </c>
      <c r="L2254" s="418">
        <f t="shared" si="710"/>
        <v>0</v>
      </c>
      <c r="M2254" s="417">
        <v>0</v>
      </c>
      <c r="N2254" s="408">
        <f t="shared" si="711"/>
        <v>-10829.77</v>
      </c>
    </row>
    <row r="2255" spans="1:14" x14ac:dyDescent="0.2">
      <c r="A2255" s="410">
        <f t="shared" si="712"/>
        <v>17</v>
      </c>
      <c r="B2255" s="446">
        <v>391.12</v>
      </c>
      <c r="C2255" s="414" t="s">
        <v>1066</v>
      </c>
      <c r="D2255" s="415">
        <f t="shared" si="706"/>
        <v>1407883.4100000001</v>
      </c>
      <c r="E2255" s="417">
        <v>0</v>
      </c>
      <c r="F2255" s="417">
        <v>0</v>
      </c>
      <c r="G2255" s="415">
        <f t="shared" si="707"/>
        <v>1407883.4100000001</v>
      </c>
      <c r="H2255" s="418"/>
      <c r="I2255" s="415">
        <f t="shared" si="708"/>
        <v>816295.37</v>
      </c>
      <c r="J2255" s="442">
        <f t="shared" si="709"/>
        <v>0.2</v>
      </c>
      <c r="K2255" s="418">
        <f>ROUND((G2255+D2255)/2*J2255/12,0)</f>
        <v>23465</v>
      </c>
      <c r="L2255" s="418">
        <f t="shared" si="710"/>
        <v>0</v>
      </c>
      <c r="M2255" s="417">
        <v>0</v>
      </c>
      <c r="N2255" s="408">
        <f t="shared" si="711"/>
        <v>839760.37</v>
      </c>
    </row>
    <row r="2256" spans="1:14" x14ac:dyDescent="0.2">
      <c r="A2256" s="410">
        <f t="shared" si="712"/>
        <v>18</v>
      </c>
      <c r="B2256" s="446">
        <v>392.2</v>
      </c>
      <c r="C2256" s="414" t="s">
        <v>1067</v>
      </c>
      <c r="D2256" s="415">
        <f t="shared" si="706"/>
        <v>95778</v>
      </c>
      <c r="E2256" s="417">
        <v>0</v>
      </c>
      <c r="F2256" s="417">
        <v>0</v>
      </c>
      <c r="G2256" s="415">
        <f t="shared" si="707"/>
        <v>95778</v>
      </c>
      <c r="H2256" s="418"/>
      <c r="I2256" s="415">
        <f t="shared" si="708"/>
        <v>29955.05</v>
      </c>
      <c r="J2256" s="442">
        <f t="shared" si="709"/>
        <v>9.1499999999999998E-2</v>
      </c>
      <c r="K2256" s="418">
        <f>ROUND((G2256+D2256)/2*J2256/12,0)</f>
        <v>730</v>
      </c>
      <c r="L2256" s="418">
        <f t="shared" si="710"/>
        <v>0</v>
      </c>
      <c r="M2256" s="417">
        <v>0</v>
      </c>
      <c r="N2256" s="408">
        <f t="shared" si="711"/>
        <v>30685.05</v>
      </c>
    </row>
    <row r="2257" spans="1:15" x14ac:dyDescent="0.2">
      <c r="A2257" s="410">
        <f t="shared" si="712"/>
        <v>19</v>
      </c>
      <c r="B2257" s="446">
        <v>392.21</v>
      </c>
      <c r="C2257" s="414" t="s">
        <v>1068</v>
      </c>
      <c r="D2257" s="415">
        <f t="shared" si="706"/>
        <v>24462.2</v>
      </c>
      <c r="E2257" s="417">
        <v>0</v>
      </c>
      <c r="F2257" s="417">
        <v>0</v>
      </c>
      <c r="G2257" s="415">
        <f t="shared" si="707"/>
        <v>24462.2</v>
      </c>
      <c r="H2257" s="418"/>
      <c r="I2257" s="415">
        <f t="shared" si="708"/>
        <v>7057.4</v>
      </c>
      <c r="J2257" s="442">
        <f t="shared" si="709"/>
        <v>9.1499999999999998E-2</v>
      </c>
      <c r="K2257" s="418">
        <f>ROUND((G2257+D2257)/2*J2257/12,0)</f>
        <v>187</v>
      </c>
      <c r="L2257" s="418">
        <f t="shared" si="710"/>
        <v>0</v>
      </c>
      <c r="M2257" s="417">
        <v>0</v>
      </c>
      <c r="N2257" s="408">
        <f t="shared" si="711"/>
        <v>7244.4</v>
      </c>
    </row>
    <row r="2258" spans="1:15" x14ac:dyDescent="0.2">
      <c r="A2258" s="410">
        <f t="shared" si="712"/>
        <v>20</v>
      </c>
      <c r="B2258" s="446">
        <v>393</v>
      </c>
      <c r="C2258" s="414" t="s">
        <v>1069</v>
      </c>
      <c r="D2258" s="415">
        <f t="shared" si="706"/>
        <v>0</v>
      </c>
      <c r="E2258" s="417">
        <v>0</v>
      </c>
      <c r="F2258" s="417">
        <v>0</v>
      </c>
      <c r="G2258" s="415">
        <f t="shared" si="707"/>
        <v>0</v>
      </c>
      <c r="H2258" s="418"/>
      <c r="I2258" s="415">
        <f t="shared" si="708"/>
        <v>0</v>
      </c>
      <c r="J2258" s="442" t="str">
        <f t="shared" si="709"/>
        <v>Amort.</v>
      </c>
      <c r="K2258" s="417">
        <v>0</v>
      </c>
      <c r="L2258" s="418">
        <f t="shared" si="710"/>
        <v>0</v>
      </c>
      <c r="M2258" s="417">
        <v>0</v>
      </c>
      <c r="N2258" s="408">
        <f t="shared" si="711"/>
        <v>0</v>
      </c>
    </row>
    <row r="2259" spans="1:15" x14ac:dyDescent="0.2">
      <c r="A2259" s="410">
        <f t="shared" si="712"/>
        <v>21</v>
      </c>
      <c r="B2259" s="446">
        <v>394.1</v>
      </c>
      <c r="C2259" s="414" t="s">
        <v>1070</v>
      </c>
      <c r="D2259" s="415">
        <f t="shared" si="706"/>
        <v>24240.799999999999</v>
      </c>
      <c r="E2259" s="417">
        <v>0</v>
      </c>
      <c r="F2259" s="417">
        <v>0</v>
      </c>
      <c r="G2259" s="415">
        <f t="shared" si="707"/>
        <v>24240.799999999999</v>
      </c>
      <c r="H2259" s="418"/>
      <c r="I2259" s="415">
        <f t="shared" si="708"/>
        <v>15418.82</v>
      </c>
      <c r="J2259" s="442">
        <f t="shared" si="709"/>
        <v>0.04</v>
      </c>
      <c r="K2259" s="418">
        <f t="shared" ref="K2259:K2266" si="713">ROUND((G2259+D2259)/2*J2259/12,0)</f>
        <v>81</v>
      </c>
      <c r="L2259" s="418">
        <f t="shared" si="710"/>
        <v>0</v>
      </c>
      <c r="M2259" s="417">
        <v>0</v>
      </c>
      <c r="N2259" s="408">
        <f t="shared" si="711"/>
        <v>15499.82</v>
      </c>
    </row>
    <row r="2260" spans="1:15" x14ac:dyDescent="0.2">
      <c r="A2260" s="410">
        <f t="shared" si="712"/>
        <v>22</v>
      </c>
      <c r="B2260" s="446">
        <v>394.11</v>
      </c>
      <c r="C2260" s="414" t="s">
        <v>1071</v>
      </c>
      <c r="D2260" s="415">
        <f t="shared" si="706"/>
        <v>0</v>
      </c>
      <c r="E2260" s="417">
        <v>0</v>
      </c>
      <c r="F2260" s="417">
        <v>0</v>
      </c>
      <c r="G2260" s="415">
        <f t="shared" si="707"/>
        <v>0</v>
      </c>
      <c r="H2260" s="418"/>
      <c r="I2260" s="415">
        <f t="shared" si="708"/>
        <v>0</v>
      </c>
      <c r="J2260" s="442">
        <f t="shared" si="709"/>
        <v>0</v>
      </c>
      <c r="K2260" s="417">
        <v>0</v>
      </c>
      <c r="L2260" s="418">
        <f t="shared" si="710"/>
        <v>0</v>
      </c>
      <c r="M2260" s="417">
        <v>0</v>
      </c>
      <c r="N2260" s="408">
        <f t="shared" si="711"/>
        <v>0</v>
      </c>
    </row>
    <row r="2261" spans="1:15" x14ac:dyDescent="0.2">
      <c r="A2261" s="410">
        <f t="shared" si="712"/>
        <v>23</v>
      </c>
      <c r="B2261" s="446">
        <v>394.13</v>
      </c>
      <c r="C2261" s="438" t="s">
        <v>1072</v>
      </c>
      <c r="D2261" s="415">
        <f t="shared" si="706"/>
        <v>0</v>
      </c>
      <c r="E2261" s="417">
        <v>0</v>
      </c>
      <c r="F2261" s="417">
        <v>0</v>
      </c>
      <c r="G2261" s="415">
        <f t="shared" si="707"/>
        <v>0</v>
      </c>
      <c r="H2261" s="418"/>
      <c r="I2261" s="415">
        <f t="shared" si="708"/>
        <v>37937.360000000001</v>
      </c>
      <c r="J2261" s="442" t="str">
        <f t="shared" si="709"/>
        <v>Amort.</v>
      </c>
      <c r="K2261" s="417">
        <v>0</v>
      </c>
      <c r="L2261" s="418">
        <f t="shared" si="710"/>
        <v>0</v>
      </c>
      <c r="M2261" s="417">
        <v>0</v>
      </c>
      <c r="N2261" s="408">
        <f t="shared" si="711"/>
        <v>37937.360000000001</v>
      </c>
    </row>
    <row r="2262" spans="1:15" x14ac:dyDescent="0.2">
      <c r="A2262" s="410">
        <f t="shared" si="712"/>
        <v>24</v>
      </c>
      <c r="B2262" s="446">
        <v>394.2</v>
      </c>
      <c r="C2262" s="414" t="s">
        <v>1073</v>
      </c>
      <c r="D2262" s="415">
        <f t="shared" si="706"/>
        <v>0</v>
      </c>
      <c r="E2262" s="417">
        <v>0</v>
      </c>
      <c r="F2262" s="417">
        <v>0</v>
      </c>
      <c r="G2262" s="415">
        <f t="shared" si="707"/>
        <v>0</v>
      </c>
      <c r="H2262" s="418"/>
      <c r="I2262" s="415">
        <f t="shared" si="708"/>
        <v>185.21</v>
      </c>
      <c r="J2262" s="442">
        <f t="shared" si="709"/>
        <v>0.04</v>
      </c>
      <c r="K2262" s="418">
        <f t="shared" si="713"/>
        <v>0</v>
      </c>
      <c r="L2262" s="418">
        <f t="shared" si="710"/>
        <v>0</v>
      </c>
      <c r="M2262" s="417">
        <v>0</v>
      </c>
      <c r="N2262" s="408">
        <f t="shared" si="711"/>
        <v>185.21</v>
      </c>
    </row>
    <row r="2263" spans="1:15" x14ac:dyDescent="0.2">
      <c r="A2263" s="410">
        <f t="shared" si="712"/>
        <v>25</v>
      </c>
      <c r="B2263" s="446">
        <v>394.3</v>
      </c>
      <c r="C2263" s="414" t="s">
        <v>1074</v>
      </c>
      <c r="D2263" s="415">
        <f t="shared" si="706"/>
        <v>3288721.16</v>
      </c>
      <c r="E2263" s="417">
        <f>70400+370000</f>
        <v>440400</v>
      </c>
      <c r="F2263" s="417">
        <v>-8400</v>
      </c>
      <c r="G2263" s="415">
        <f t="shared" si="707"/>
        <v>3720721.16</v>
      </c>
      <c r="H2263" s="418"/>
      <c r="I2263" s="415">
        <f t="shared" si="708"/>
        <v>1365789.15</v>
      </c>
      <c r="J2263" s="442">
        <f t="shared" si="709"/>
        <v>0.04</v>
      </c>
      <c r="K2263" s="418">
        <f t="shared" si="713"/>
        <v>11682</v>
      </c>
      <c r="L2263" s="418">
        <f t="shared" si="710"/>
        <v>8400</v>
      </c>
      <c r="M2263" s="417">
        <v>0</v>
      </c>
      <c r="N2263" s="408">
        <f t="shared" si="711"/>
        <v>1369071.15</v>
      </c>
    </row>
    <row r="2264" spans="1:15" x14ac:dyDescent="0.2">
      <c r="A2264" s="410">
        <f t="shared" si="712"/>
        <v>26</v>
      </c>
      <c r="B2264" s="446">
        <v>395</v>
      </c>
      <c r="C2264" s="414" t="s">
        <v>1075</v>
      </c>
      <c r="D2264" s="415">
        <f t="shared" si="706"/>
        <v>9257.77</v>
      </c>
      <c r="E2264" s="417">
        <v>0</v>
      </c>
      <c r="F2264" s="417">
        <v>0</v>
      </c>
      <c r="G2264" s="415">
        <f t="shared" si="707"/>
        <v>9257.77</v>
      </c>
      <c r="H2264" s="418"/>
      <c r="I2264" s="415">
        <f t="shared" si="708"/>
        <v>7919.59</v>
      </c>
      <c r="J2264" s="442">
        <f t="shared" si="709"/>
        <v>0.05</v>
      </c>
      <c r="K2264" s="418">
        <f t="shared" si="713"/>
        <v>39</v>
      </c>
      <c r="L2264" s="418">
        <f t="shared" si="710"/>
        <v>0</v>
      </c>
      <c r="M2264" s="417">
        <v>0</v>
      </c>
      <c r="N2264" s="408">
        <f t="shared" si="711"/>
        <v>7958.59</v>
      </c>
    </row>
    <row r="2265" spans="1:15" x14ac:dyDescent="0.2">
      <c r="A2265" s="410">
        <f t="shared" si="712"/>
        <v>27</v>
      </c>
      <c r="B2265" s="446">
        <v>396</v>
      </c>
      <c r="C2265" s="414" t="s">
        <v>1076</v>
      </c>
      <c r="D2265" s="415">
        <f t="shared" si="706"/>
        <v>253134.72</v>
      </c>
      <c r="E2265" s="417">
        <v>0</v>
      </c>
      <c r="F2265" s="417">
        <v>0</v>
      </c>
      <c r="G2265" s="415">
        <f t="shared" si="707"/>
        <v>253134.72</v>
      </c>
      <c r="H2265" s="418"/>
      <c r="I2265" s="415">
        <f t="shared" si="708"/>
        <v>204781.72</v>
      </c>
      <c r="J2265" s="442">
        <f t="shared" si="709"/>
        <v>2.5899999999999999E-2</v>
      </c>
      <c r="K2265" s="418">
        <f t="shared" si="713"/>
        <v>546</v>
      </c>
      <c r="L2265" s="418">
        <f t="shared" si="710"/>
        <v>0</v>
      </c>
      <c r="M2265" s="417">
        <v>0</v>
      </c>
      <c r="N2265" s="408">
        <f t="shared" si="711"/>
        <v>205327.72</v>
      </c>
    </row>
    <row r="2266" spans="1:15" x14ac:dyDescent="0.2">
      <c r="A2266" s="410">
        <f t="shared" si="712"/>
        <v>28</v>
      </c>
      <c r="B2266" s="446">
        <v>398</v>
      </c>
      <c r="C2266" s="414" t="s">
        <v>1077</v>
      </c>
      <c r="D2266" s="421">
        <f t="shared" si="706"/>
        <v>299161.94</v>
      </c>
      <c r="E2266" s="1662">
        <f>4600+5000</f>
        <v>9600</v>
      </c>
      <c r="F2266" s="1662">
        <v>-600</v>
      </c>
      <c r="G2266" s="421">
        <f t="shared" si="707"/>
        <v>308161.94</v>
      </c>
      <c r="H2266" s="447"/>
      <c r="I2266" s="421">
        <f t="shared" si="708"/>
        <v>14205.59</v>
      </c>
      <c r="J2266" s="442">
        <f t="shared" si="709"/>
        <v>6.6699999999999995E-2</v>
      </c>
      <c r="K2266" s="421">
        <f t="shared" si="713"/>
        <v>1688</v>
      </c>
      <c r="L2266" s="421">
        <f t="shared" si="710"/>
        <v>600</v>
      </c>
      <c r="M2266" s="430">
        <v>0</v>
      </c>
      <c r="N2266" s="423">
        <f t="shared" si="711"/>
        <v>15293.59</v>
      </c>
    </row>
    <row r="2267" spans="1:15" x14ac:dyDescent="0.2">
      <c r="A2267" s="410">
        <f t="shared" si="712"/>
        <v>29</v>
      </c>
      <c r="C2267" s="386" t="s">
        <v>1078</v>
      </c>
      <c r="D2267" s="447">
        <f>SUM(D2253:D2266)</f>
        <v>6134936.2799999993</v>
      </c>
      <c r="E2267" s="447">
        <f>SUM(E2253:E2266)</f>
        <v>584550</v>
      </c>
      <c r="F2267" s="447">
        <f>SUM(F2253:F2266)</f>
        <v>-9000</v>
      </c>
      <c r="G2267" s="447">
        <f>SUM(G2253:G2266)</f>
        <v>6710486.2799999993</v>
      </c>
      <c r="H2267" s="447"/>
      <c r="I2267" s="447">
        <f>SUM(I2253:I2266)</f>
        <v>2467764.27</v>
      </c>
      <c r="J2267" s="424"/>
      <c r="K2267" s="447">
        <f>SUM(K2253:K2266)</f>
        <v>41776</v>
      </c>
      <c r="L2267" s="447">
        <f>SUM(L2253:L2266)</f>
        <v>9000</v>
      </c>
      <c r="M2267" s="447">
        <f>SUM(M2253:M2266)</f>
        <v>0</v>
      </c>
      <c r="N2267" s="447">
        <f>SUM(N2253:N2266)</f>
        <v>2500540.27</v>
      </c>
    </row>
    <row r="2268" spans="1:15" x14ac:dyDescent="0.2">
      <c r="D2268" s="418"/>
      <c r="E2268" s="418"/>
      <c r="F2268" s="418"/>
      <c r="G2268" s="418"/>
      <c r="H2268" s="418"/>
      <c r="I2268" s="418"/>
      <c r="J2268" s="432"/>
      <c r="K2268" s="418"/>
      <c r="L2268" s="418"/>
      <c r="M2268" s="418"/>
    </row>
    <row r="2269" spans="1:15" x14ac:dyDescent="0.2">
      <c r="A2269" s="405">
        <f>A2267+1</f>
        <v>30</v>
      </c>
      <c r="B2269" s="448"/>
      <c r="C2269" s="411" t="s">
        <v>2287</v>
      </c>
      <c r="D2269" s="418"/>
      <c r="E2269" s="418"/>
      <c r="F2269" s="418"/>
      <c r="G2269" s="418"/>
      <c r="H2269" s="418"/>
      <c r="I2269" s="439"/>
      <c r="J2269" s="418"/>
      <c r="K2269" s="418"/>
      <c r="L2269" s="418"/>
      <c r="M2269" s="418"/>
    </row>
    <row r="2270" spans="1:15" x14ac:dyDescent="0.2">
      <c r="A2270" s="1722">
        <f>A2269+1</f>
        <v>31</v>
      </c>
      <c r="B2270" s="446">
        <v>378.21</v>
      </c>
      <c r="C2270" s="1725" t="s">
        <v>2244</v>
      </c>
      <c r="D2270" s="415">
        <f>G2164</f>
        <v>-777092</v>
      </c>
      <c r="E2270" s="417">
        <v>0</v>
      </c>
      <c r="F2270" s="417">
        <v>0</v>
      </c>
      <c r="G2270" s="415">
        <f t="shared" ref="G2270" si="714">SUM(D2270:F2270)</f>
        <v>-777092</v>
      </c>
      <c r="H2270" s="418"/>
      <c r="I2270" s="415">
        <f>N2164</f>
        <v>-63980.863333333255</v>
      </c>
      <c r="J2270" s="419" t="s">
        <v>1094</v>
      </c>
      <c r="K2270" s="417">
        <v>-2158.5833333333321</v>
      </c>
      <c r="L2270" s="418">
        <f t="shared" ref="L2270" si="715">-F2270</f>
        <v>0</v>
      </c>
      <c r="M2270" s="417">
        <v>0</v>
      </c>
      <c r="N2270" s="408">
        <f t="shared" ref="N2270" si="716">I2270+K2270-L2270+M2270</f>
        <v>-66139.446666666583</v>
      </c>
      <c r="O2270" s="408"/>
    </row>
    <row r="2271" spans="1:15" x14ac:dyDescent="0.2">
      <c r="A2271" s="1722"/>
      <c r="B2271" s="446"/>
      <c r="C2271" s="438"/>
      <c r="D2271" s="415"/>
      <c r="E2271" s="417"/>
      <c r="F2271" s="417"/>
      <c r="G2271" s="415"/>
      <c r="H2271" s="418"/>
      <c r="I2271" s="419"/>
      <c r="J2271" s="419"/>
      <c r="K2271" s="417"/>
      <c r="L2271" s="418"/>
      <c r="M2271" s="417"/>
      <c r="N2271" s="408"/>
      <c r="O2271" s="408"/>
    </row>
    <row r="2272" spans="1:15" x14ac:dyDescent="0.2">
      <c r="A2272" s="410">
        <f>A2270+1</f>
        <v>32</v>
      </c>
      <c r="C2272" s="386" t="s">
        <v>774</v>
      </c>
      <c r="D2272" s="450">
        <f>D2267+D2250+D2195+D2191+D2270</f>
        <v>448234153.36999989</v>
      </c>
      <c r="E2272" s="450">
        <f>E2267+E2250+E2195+E2191+E2270</f>
        <v>4830816</v>
      </c>
      <c r="F2272" s="450">
        <f>F2267+F2250+F2195+F2191+F2270</f>
        <v>-353800</v>
      </c>
      <c r="G2272" s="450">
        <f>G2267+G2250+G2195+G2191+G2270</f>
        <v>452711169.36999989</v>
      </c>
      <c r="H2272" s="418"/>
      <c r="I2272" s="450">
        <f>I2267+I2250+I2195+I2191+I2270</f>
        <v>155310100.67091724</v>
      </c>
      <c r="J2272" s="451"/>
      <c r="K2272" s="450">
        <f>K2267+K2250+K2195+K2191+K2270</f>
        <v>1383056.8402491142</v>
      </c>
      <c r="L2272" s="450">
        <f>L2267+L2250+L2195+L2191+L2270</f>
        <v>353800</v>
      </c>
      <c r="M2272" s="450">
        <f>M2267+M2250+M2195+M2191+M2270</f>
        <v>-84500</v>
      </c>
      <c r="N2272" s="450">
        <f>N2267+N2250+N2195+N2191+N2270</f>
        <v>156254857.51116639</v>
      </c>
    </row>
    <row r="2274" spans="1:14" x14ac:dyDescent="0.2">
      <c r="A2274" s="2073" t="str">
        <f>co</f>
        <v>COLUMBIA GAS OF KENTUCKY, INC.</v>
      </c>
      <c r="B2274" s="2073"/>
      <c r="C2274" s="2073"/>
      <c r="D2274" s="2073"/>
      <c r="E2274" s="2073"/>
      <c r="F2274" s="2073"/>
      <c r="G2274" s="2073"/>
      <c r="H2274" s="2073"/>
      <c r="I2274" s="2073"/>
      <c r="J2274" s="2073"/>
      <c r="K2274" s="2073"/>
      <c r="L2274" s="2073"/>
      <c r="M2274" s="2073"/>
      <c r="N2274" s="2073"/>
    </row>
    <row r="2275" spans="1:14" x14ac:dyDescent="0.2">
      <c r="A2275" s="2073" t="str">
        <f>case</f>
        <v>CASE NO. 2016 - 00162</v>
      </c>
      <c r="B2275" s="2073"/>
      <c r="C2275" s="2073"/>
      <c r="D2275" s="2073"/>
      <c r="E2275" s="2073"/>
      <c r="F2275" s="2073"/>
      <c r="G2275" s="2073"/>
      <c r="H2275" s="2073"/>
      <c r="I2275" s="2073"/>
      <c r="J2275" s="2073"/>
      <c r="K2275" s="2073"/>
      <c r="L2275" s="2073"/>
      <c r="M2275" s="2073"/>
      <c r="N2275" s="2073"/>
    </row>
    <row r="2276" spans="1:14" x14ac:dyDescent="0.2">
      <c r="A2276" s="2074" t="s">
        <v>1106</v>
      </c>
      <c r="B2276" s="2073"/>
      <c r="C2276" s="2073"/>
      <c r="D2276" s="2073"/>
      <c r="E2276" s="2073"/>
      <c r="F2276" s="2073"/>
      <c r="G2276" s="2073"/>
      <c r="H2276" s="2073"/>
      <c r="I2276" s="2073"/>
      <c r="J2276" s="2073"/>
      <c r="K2276" s="2073"/>
      <c r="L2276" s="2073"/>
      <c r="M2276" s="2073"/>
      <c r="N2276" s="2073"/>
    </row>
    <row r="2277" spans="1:14" x14ac:dyDescent="0.2">
      <c r="A2277" s="2078" t="s">
        <v>2142</v>
      </c>
      <c r="B2277" s="2078"/>
      <c r="C2277" s="2078"/>
      <c r="D2277" s="2078"/>
      <c r="E2277" s="2078"/>
      <c r="F2277" s="2078"/>
      <c r="G2277" s="2078"/>
      <c r="H2277" s="2078"/>
      <c r="I2277" s="2078"/>
      <c r="J2277" s="2078"/>
      <c r="K2277" s="2078"/>
      <c r="L2277" s="2078"/>
      <c r="M2277" s="2078"/>
      <c r="N2277" s="2078"/>
    </row>
    <row r="2279" spans="1:14" x14ac:dyDescent="0.2">
      <c r="A2279" s="385" t="s">
        <v>1095</v>
      </c>
      <c r="I2279" s="386"/>
      <c r="N2279" s="387" t="s">
        <v>763</v>
      </c>
    </row>
    <row r="2280" spans="1:14" x14ac:dyDescent="0.2">
      <c r="A2280" s="388" t="s">
        <v>977</v>
      </c>
      <c r="I2280" s="386"/>
      <c r="N2280" s="387" t="s">
        <v>998</v>
      </c>
    </row>
    <row r="2281" spans="1:14" x14ac:dyDescent="0.2">
      <c r="A2281" s="390" t="s">
        <v>997</v>
      </c>
      <c r="B2281" s="391"/>
      <c r="C2281" s="391"/>
      <c r="D2281" s="391"/>
      <c r="E2281" s="391"/>
      <c r="F2281" s="391"/>
      <c r="G2281" s="391"/>
      <c r="H2281" s="391"/>
      <c r="I2281" s="392"/>
      <c r="L2281" s="386"/>
      <c r="M2281" s="386"/>
      <c r="N2281" s="393" t="str">
        <f>SMK</f>
        <v>WITNESS:  S. M. KATKO</v>
      </c>
    </row>
    <row r="2282" spans="1:14" x14ac:dyDescent="0.2">
      <c r="A2282" s="390"/>
      <c r="B2282" s="391"/>
      <c r="C2282" s="391"/>
      <c r="D2282" s="391"/>
      <c r="E2282" s="391"/>
      <c r="F2282" s="391"/>
      <c r="G2282" s="391"/>
      <c r="H2282" s="391"/>
      <c r="I2282" s="392"/>
      <c r="J2282" s="393"/>
      <c r="L2282" s="386"/>
      <c r="M2282" s="386"/>
    </row>
    <row r="2283" spans="1:14" x14ac:dyDescent="0.2">
      <c r="A2283" s="390"/>
      <c r="B2283" s="391"/>
      <c r="C2283" s="391"/>
      <c r="D2283" s="2075" t="s">
        <v>1088</v>
      </c>
      <c r="E2283" s="2075"/>
      <c r="F2283" s="2075"/>
      <c r="G2283" s="2075"/>
      <c r="H2283" s="391"/>
      <c r="I2283" s="2076" t="s">
        <v>1093</v>
      </c>
      <c r="J2283" s="2077"/>
      <c r="K2283" s="2077"/>
      <c r="L2283" s="2077"/>
      <c r="M2283" s="2077"/>
      <c r="N2283" s="2077"/>
    </row>
    <row r="2284" spans="1:14" x14ac:dyDescent="0.2">
      <c r="A2284" s="394"/>
      <c r="B2284" s="391"/>
      <c r="C2284" s="391"/>
      <c r="D2284" s="396" t="s">
        <v>1084</v>
      </c>
      <c r="E2284" s="391"/>
      <c r="F2284" s="391"/>
      <c r="G2284" s="395"/>
      <c r="H2284" s="395"/>
      <c r="I2284" s="397" t="s">
        <v>1089</v>
      </c>
      <c r="J2284" s="396"/>
      <c r="M2284" s="386"/>
    </row>
    <row r="2285" spans="1:14" x14ac:dyDescent="0.2">
      <c r="A2285" s="383"/>
      <c r="D2285" s="397" t="s">
        <v>865</v>
      </c>
      <c r="G2285" s="397" t="s">
        <v>867</v>
      </c>
      <c r="H2285" s="398"/>
      <c r="I2285" s="397" t="s">
        <v>865</v>
      </c>
      <c r="J2285" s="397" t="s">
        <v>956</v>
      </c>
      <c r="M2285" s="386"/>
      <c r="N2285" s="397" t="s">
        <v>867</v>
      </c>
    </row>
    <row r="2286" spans="1:14" x14ac:dyDescent="0.2">
      <c r="A2286" s="397" t="s">
        <v>1080</v>
      </c>
      <c r="B2286" s="397" t="s">
        <v>1082</v>
      </c>
      <c r="D2286" s="397" t="s">
        <v>867</v>
      </c>
      <c r="G2286" s="399" t="s">
        <v>1087</v>
      </c>
      <c r="H2286" s="398"/>
      <c r="I2286" s="399" t="s">
        <v>867</v>
      </c>
      <c r="J2286" s="397" t="s">
        <v>1090</v>
      </c>
      <c r="K2286" s="397" t="s">
        <v>956</v>
      </c>
      <c r="M2286" s="399" t="s">
        <v>1092</v>
      </c>
      <c r="N2286" s="399" t="s">
        <v>1087</v>
      </c>
    </row>
    <row r="2287" spans="1:14" x14ac:dyDescent="0.2">
      <c r="A2287" s="400" t="s">
        <v>1081</v>
      </c>
      <c r="B2287" s="400" t="s">
        <v>1081</v>
      </c>
      <c r="C2287" s="401" t="s">
        <v>1083</v>
      </c>
      <c r="D2287" s="409" t="str">
        <f>"11/30/2017"</f>
        <v>11/30/2017</v>
      </c>
      <c r="E2287" s="400" t="s">
        <v>1085</v>
      </c>
      <c r="F2287" s="400" t="s">
        <v>1086</v>
      </c>
      <c r="G2287" s="409" t="str">
        <f>"12/31/2017"</f>
        <v>12/31/2017</v>
      </c>
      <c r="H2287" s="398"/>
      <c r="I2287" s="404" t="str">
        <f>D2287</f>
        <v>11/30/2017</v>
      </c>
      <c r="J2287" s="400" t="s">
        <v>1091</v>
      </c>
      <c r="K2287" s="402" t="s">
        <v>1090</v>
      </c>
      <c r="L2287" s="402" t="s">
        <v>1086</v>
      </c>
      <c r="M2287" s="402" t="s">
        <v>955</v>
      </c>
      <c r="N2287" s="404" t="str">
        <f>G2287</f>
        <v>12/31/2017</v>
      </c>
    </row>
    <row r="2288" spans="1:14" x14ac:dyDescent="0.2">
      <c r="A2288" s="406"/>
      <c r="B2288" s="406"/>
      <c r="C2288" s="406"/>
      <c r="D2288" s="406" t="str">
        <f>"(1)"</f>
        <v>(1)</v>
      </c>
      <c r="E2288" s="406" t="str">
        <f>"(2)"</f>
        <v>(2)</v>
      </c>
      <c r="F2288" s="406" t="str">
        <f>"(3)"</f>
        <v>(3)</v>
      </c>
      <c r="G2288" s="406" t="str">
        <f>"(4)=(1+2+3)"</f>
        <v>(4)=(1+2+3)</v>
      </c>
      <c r="H2288" s="406"/>
      <c r="I2288" s="406" t="str">
        <f>"(5)"</f>
        <v>(5)</v>
      </c>
      <c r="J2288" s="406" t="str">
        <f>"(6)"</f>
        <v>(6)</v>
      </c>
      <c r="K2288" s="406" t="str">
        <f>"(7)=((1+4)/2*6/12))"</f>
        <v>(7)=((1+4)/2*6/12))</v>
      </c>
      <c r="L2288" s="406" t="str">
        <f>"(8)"</f>
        <v>(8)</v>
      </c>
      <c r="M2288" s="406" t="str">
        <f>"(9)"</f>
        <v>(9)</v>
      </c>
      <c r="N2288" s="406" t="str">
        <f>"(10)=(5+7-8+9)"</f>
        <v>(10)=(5+7-8+9)</v>
      </c>
    </row>
    <row r="2289" spans="1:14" x14ac:dyDescent="0.2">
      <c r="D2289" s="410" t="s">
        <v>639</v>
      </c>
      <c r="E2289" s="410" t="s">
        <v>639</v>
      </c>
      <c r="F2289" s="410" t="s">
        <v>639</v>
      </c>
      <c r="G2289" s="410" t="s">
        <v>639</v>
      </c>
      <c r="H2289" s="410"/>
      <c r="I2289" s="410" t="s">
        <v>639</v>
      </c>
      <c r="J2289" s="410" t="s">
        <v>639</v>
      </c>
      <c r="K2289" s="410" t="s">
        <v>639</v>
      </c>
      <c r="L2289" s="410" t="s">
        <v>639</v>
      </c>
      <c r="M2289" s="410" t="s">
        <v>639</v>
      </c>
      <c r="N2289" s="410" t="s">
        <v>639</v>
      </c>
    </row>
    <row r="2290" spans="1:14" x14ac:dyDescent="0.2">
      <c r="A2290" s="410">
        <v>1</v>
      </c>
      <c r="B2290" s="411" t="s">
        <v>1025</v>
      </c>
      <c r="C2290" s="412"/>
      <c r="M2290" s="386"/>
    </row>
    <row r="2291" spans="1:14" x14ac:dyDescent="0.2">
      <c r="A2291" s="410">
        <f>A2290+1</f>
        <v>2</v>
      </c>
      <c r="C2291" s="411" t="s">
        <v>697</v>
      </c>
      <c r="M2291" s="386"/>
    </row>
    <row r="2292" spans="1:14" x14ac:dyDescent="0.2">
      <c r="A2292" s="410">
        <f t="shared" ref="A2292:A2297" si="717">A2291+1</f>
        <v>3</v>
      </c>
      <c r="B2292" s="413">
        <v>301</v>
      </c>
      <c r="C2292" s="414" t="s">
        <v>1026</v>
      </c>
      <c r="D2292" s="415">
        <f>G2186</f>
        <v>521.20000000000005</v>
      </c>
      <c r="E2292" s="417">
        <v>0</v>
      </c>
      <c r="F2292" s="417">
        <v>0</v>
      </c>
      <c r="G2292" s="415">
        <f>SUM(D2292:F2292)</f>
        <v>521.20000000000005</v>
      </c>
      <c r="H2292" s="418"/>
      <c r="I2292" s="415">
        <f>N2186</f>
        <v>0</v>
      </c>
      <c r="J2292" s="419" t="s">
        <v>1094</v>
      </c>
      <c r="K2292" s="417">
        <v>0</v>
      </c>
      <c r="L2292" s="418">
        <f>-F2292</f>
        <v>0</v>
      </c>
      <c r="M2292" s="417">
        <v>0</v>
      </c>
      <c r="N2292" s="408">
        <f>I2292+K2292-L2292+M2292</f>
        <v>0</v>
      </c>
    </row>
    <row r="2293" spans="1:14" x14ac:dyDescent="0.2">
      <c r="A2293" s="410">
        <f t="shared" si="717"/>
        <v>4</v>
      </c>
      <c r="B2293" s="413">
        <v>303</v>
      </c>
      <c r="C2293" s="414" t="s">
        <v>1027</v>
      </c>
      <c r="D2293" s="415">
        <f>G2187</f>
        <v>74347.509999999995</v>
      </c>
      <c r="E2293" s="417">
        <v>0</v>
      </c>
      <c r="F2293" s="417">
        <v>0</v>
      </c>
      <c r="G2293" s="415">
        <f>SUM(D2293:F2293)</f>
        <v>74347.509999999995</v>
      </c>
      <c r="H2293" s="418"/>
      <c r="I2293" s="415">
        <f>N2187</f>
        <v>50136.349999999933</v>
      </c>
      <c r="J2293" s="419" t="s">
        <v>1094</v>
      </c>
      <c r="K2293" s="415">
        <f>'Intangible Amort.'!R$110</f>
        <v>206.52</v>
      </c>
      <c r="L2293" s="418">
        <f>-F2293</f>
        <v>0</v>
      </c>
      <c r="M2293" s="417">
        <v>0</v>
      </c>
      <c r="N2293" s="408">
        <f>I2293+K2293-L2293+M2293</f>
        <v>50342.86999999993</v>
      </c>
    </row>
    <row r="2294" spans="1:14" x14ac:dyDescent="0.2">
      <c r="A2294" s="410">
        <f t="shared" si="717"/>
        <v>5</v>
      </c>
      <c r="B2294" s="413">
        <v>303.10000000000002</v>
      </c>
      <c r="C2294" s="414" t="s">
        <v>1028</v>
      </c>
      <c r="D2294" s="415">
        <f>G2188</f>
        <v>0</v>
      </c>
      <c r="E2294" s="417">
        <v>0</v>
      </c>
      <c r="F2294" s="417">
        <v>0</v>
      </c>
      <c r="G2294" s="415">
        <f>SUM(D2294:F2294)</f>
        <v>0</v>
      </c>
      <c r="H2294" s="418"/>
      <c r="I2294" s="415">
        <f>N2188</f>
        <v>0</v>
      </c>
      <c r="J2294" s="419" t="s">
        <v>1094</v>
      </c>
      <c r="K2294" s="417">
        <v>0</v>
      </c>
      <c r="L2294" s="418">
        <f>-F2294</f>
        <v>0</v>
      </c>
      <c r="M2294" s="417">
        <v>0</v>
      </c>
      <c r="N2294" s="408">
        <f>I2294+K2294-L2294+M2294</f>
        <v>0</v>
      </c>
    </row>
    <row r="2295" spans="1:14" x14ac:dyDescent="0.2">
      <c r="A2295" s="410">
        <f t="shared" si="717"/>
        <v>6</v>
      </c>
      <c r="B2295" s="413">
        <v>303.2</v>
      </c>
      <c r="C2295" s="414" t="s">
        <v>1029</v>
      </c>
      <c r="D2295" s="415">
        <f>G2189</f>
        <v>0</v>
      </c>
      <c r="E2295" s="417">
        <v>0</v>
      </c>
      <c r="F2295" s="417">
        <v>0</v>
      </c>
      <c r="G2295" s="415">
        <f>SUM(D2295:F2295)</f>
        <v>0</v>
      </c>
      <c r="H2295" s="418"/>
      <c r="I2295" s="415">
        <f>N2189</f>
        <v>0</v>
      </c>
      <c r="J2295" s="419" t="s">
        <v>1094</v>
      </c>
      <c r="K2295" s="417">
        <v>0</v>
      </c>
      <c r="L2295" s="418">
        <f>-F2295</f>
        <v>0</v>
      </c>
      <c r="M2295" s="417">
        <v>0</v>
      </c>
      <c r="N2295" s="408">
        <f>I2295+K2295-L2295+M2295</f>
        <v>0</v>
      </c>
    </row>
    <row r="2296" spans="1:14" x14ac:dyDescent="0.2">
      <c r="A2296" s="410">
        <f t="shared" si="717"/>
        <v>7</v>
      </c>
      <c r="B2296" s="413">
        <v>303.3</v>
      </c>
      <c r="C2296" s="414" t="s">
        <v>1030</v>
      </c>
      <c r="D2296" s="421">
        <f>G2190</f>
        <v>9670586</v>
      </c>
      <c r="E2296" s="422">
        <v>46600</v>
      </c>
      <c r="F2296" s="422">
        <v>0</v>
      </c>
      <c r="G2296" s="421">
        <f>SUM(D2296:F2296)</f>
        <v>9717186</v>
      </c>
      <c r="H2296" s="418"/>
      <c r="I2296" s="421">
        <f>N2190</f>
        <v>4012283.5188856539</v>
      </c>
      <c r="J2296" s="419" t="s">
        <v>1094</v>
      </c>
      <c r="K2296" s="421">
        <f>'Intangible Amort.'!R$188</f>
        <v>125014.97264534864</v>
      </c>
      <c r="L2296" s="421">
        <f>-F2296</f>
        <v>0</v>
      </c>
      <c r="M2296" s="422">
        <v>0</v>
      </c>
      <c r="N2296" s="423">
        <f>I2296+K2296-L2296+M2296</f>
        <v>4137298.4915310023</v>
      </c>
    </row>
    <row r="2297" spans="1:14" x14ac:dyDescent="0.2">
      <c r="A2297" s="410">
        <f t="shared" si="717"/>
        <v>8</v>
      </c>
      <c r="B2297" s="413"/>
      <c r="C2297" s="414" t="s">
        <v>1031</v>
      </c>
      <c r="D2297" s="418">
        <f>SUM(D2292:D2296)</f>
        <v>9745454.7100000009</v>
      </c>
      <c r="E2297" s="418">
        <f>SUM(E2292:E2296)</f>
        <v>46600</v>
      </c>
      <c r="F2297" s="418">
        <f>SUM(F2292:F2296)</f>
        <v>0</v>
      </c>
      <c r="G2297" s="418">
        <f>SUM(G2292:G2296)</f>
        <v>9792054.7100000009</v>
      </c>
      <c r="H2297" s="418"/>
      <c r="I2297" s="418">
        <f>SUM(I2292:I2296)</f>
        <v>4062419.868885654</v>
      </c>
      <c r="J2297" s="424"/>
      <c r="K2297" s="418">
        <f>SUM(K2292:K2296)</f>
        <v>125221.49264534864</v>
      </c>
      <c r="L2297" s="418">
        <f>SUM(L2292:L2296)</f>
        <v>0</v>
      </c>
      <c r="M2297" s="418">
        <f>SUM(M2292:M2296)</f>
        <v>0</v>
      </c>
      <c r="N2297" s="418">
        <f>SUM(N2292:N2296)</f>
        <v>4187641.3615310024</v>
      </c>
    </row>
    <row r="2298" spans="1:14" x14ac:dyDescent="0.2">
      <c r="B2298" s="425"/>
      <c r="D2298" s="418"/>
      <c r="E2298" s="418"/>
      <c r="F2298" s="418"/>
      <c r="G2298" s="418"/>
      <c r="H2298" s="418"/>
      <c r="I2298" s="418"/>
      <c r="J2298" s="424"/>
      <c r="K2298" s="418"/>
      <c r="L2298" s="418"/>
      <c r="M2298" s="418"/>
    </row>
    <row r="2299" spans="1:14" x14ac:dyDescent="0.2">
      <c r="A2299" s="410">
        <f>A2297+1</f>
        <v>9</v>
      </c>
      <c r="B2299" s="425"/>
      <c r="C2299" s="411" t="s">
        <v>704</v>
      </c>
      <c r="D2299" s="418"/>
      <c r="E2299" s="418"/>
      <c r="F2299" s="418"/>
      <c r="G2299" s="418"/>
      <c r="H2299" s="418"/>
      <c r="I2299" s="418"/>
      <c r="J2299" s="424"/>
      <c r="K2299" s="418"/>
      <c r="L2299" s="418"/>
      <c r="M2299" s="418"/>
    </row>
    <row r="2300" spans="1:14" x14ac:dyDescent="0.2">
      <c r="A2300" s="410">
        <f>A2299+1</f>
        <v>10</v>
      </c>
      <c r="B2300" s="426">
        <v>304.10000000000002</v>
      </c>
      <c r="C2300" s="427" t="s">
        <v>1032</v>
      </c>
      <c r="D2300" s="421">
        <f>G2194</f>
        <v>0</v>
      </c>
      <c r="E2300" s="422">
        <v>0</v>
      </c>
      <c r="F2300" s="422">
        <v>0</v>
      </c>
      <c r="G2300" s="421">
        <f>SUM(D2300:F2300)</f>
        <v>0</v>
      </c>
      <c r="H2300" s="418"/>
      <c r="I2300" s="421">
        <f>N2194</f>
        <v>0</v>
      </c>
      <c r="J2300" s="429" t="s">
        <v>1102</v>
      </c>
      <c r="K2300" s="430">
        <v>0</v>
      </c>
      <c r="L2300" s="421">
        <f>-F2300</f>
        <v>0</v>
      </c>
      <c r="M2300" s="422">
        <v>0</v>
      </c>
      <c r="N2300" s="423">
        <f>I2300+K2300-L2300+M2300</f>
        <v>0</v>
      </c>
    </row>
    <row r="2301" spans="1:14" x14ac:dyDescent="0.2">
      <c r="A2301" s="410">
        <f>A2300+1</f>
        <v>11</v>
      </c>
      <c r="B2301" s="426"/>
      <c r="C2301" s="431" t="s">
        <v>1079</v>
      </c>
      <c r="D2301" s="418">
        <f>D2300</f>
        <v>0</v>
      </c>
      <c r="E2301" s="418">
        <f>E2300</f>
        <v>0</v>
      </c>
      <c r="F2301" s="418">
        <f>F2300</f>
        <v>0</v>
      </c>
      <c r="G2301" s="418">
        <f>G2300</f>
        <v>0</v>
      </c>
      <c r="H2301" s="418"/>
      <c r="I2301" s="418">
        <f>I2300</f>
        <v>0</v>
      </c>
      <c r="J2301" s="432"/>
      <c r="K2301" s="418">
        <f>SUM(K2300)</f>
        <v>0</v>
      </c>
      <c r="L2301" s="418">
        <f>SUM(L2300)</f>
        <v>0</v>
      </c>
      <c r="M2301" s="418">
        <f>M2300</f>
        <v>0</v>
      </c>
      <c r="N2301" s="418">
        <f>N2300</f>
        <v>0</v>
      </c>
    </row>
    <row r="2302" spans="1:14" x14ac:dyDescent="0.2">
      <c r="B2302" s="425"/>
      <c r="D2302" s="418"/>
      <c r="E2302" s="418"/>
      <c r="F2302" s="418"/>
      <c r="G2302" s="418"/>
      <c r="H2302" s="418"/>
      <c r="I2302" s="418"/>
      <c r="J2302" s="432"/>
      <c r="K2302" s="418"/>
      <c r="L2302" s="418"/>
      <c r="M2302" s="418"/>
    </row>
    <row r="2303" spans="1:14" x14ac:dyDescent="0.2">
      <c r="A2303" s="410">
        <f>A2301+1</f>
        <v>12</v>
      </c>
      <c r="B2303" s="425"/>
      <c r="C2303" s="411" t="s">
        <v>707</v>
      </c>
      <c r="D2303" s="418"/>
      <c r="E2303" s="418"/>
      <c r="F2303" s="418"/>
      <c r="G2303" s="418"/>
      <c r="H2303" s="418"/>
      <c r="I2303" s="418"/>
      <c r="J2303" s="432"/>
      <c r="K2303" s="418"/>
      <c r="L2303" s="418"/>
      <c r="M2303" s="418"/>
    </row>
    <row r="2304" spans="1:14" x14ac:dyDescent="0.2">
      <c r="A2304" s="410">
        <f>A2303+1</f>
        <v>13</v>
      </c>
      <c r="B2304" s="413">
        <v>374.1</v>
      </c>
      <c r="C2304" s="414" t="s">
        <v>1035</v>
      </c>
      <c r="D2304" s="415">
        <f t="shared" ref="D2304:D2314" si="718">G2198</f>
        <v>206</v>
      </c>
      <c r="E2304" s="417">
        <v>0</v>
      </c>
      <c r="F2304" s="417">
        <v>0</v>
      </c>
      <c r="G2304" s="415">
        <f>SUM(D2304:F2304)</f>
        <v>206</v>
      </c>
      <c r="H2304" s="418"/>
      <c r="I2304" s="415">
        <f t="shared" ref="I2304:I2314" si="719">N2198</f>
        <v>0</v>
      </c>
      <c r="J2304" s="429" t="s">
        <v>1102</v>
      </c>
      <c r="K2304" s="417">
        <v>0</v>
      </c>
      <c r="L2304" s="418">
        <f t="shared" ref="L2304:L2314" si="720">-F2304</f>
        <v>0</v>
      </c>
      <c r="M2304" s="417">
        <v>0</v>
      </c>
      <c r="N2304" s="408">
        <f t="shared" ref="N2304:N2314" si="721">I2304+K2304-L2304+M2304</f>
        <v>0</v>
      </c>
    </row>
    <row r="2305" spans="1:14" x14ac:dyDescent="0.2">
      <c r="A2305" s="410">
        <f t="shared" ref="A2305:A2325" si="722">A2304+1</f>
        <v>14</v>
      </c>
      <c r="B2305" s="413">
        <v>374.2</v>
      </c>
      <c r="C2305" s="414" t="s">
        <v>1036</v>
      </c>
      <c r="D2305" s="415">
        <f t="shared" si="718"/>
        <v>877756.18</v>
      </c>
      <c r="E2305" s="417">
        <v>0</v>
      </c>
      <c r="F2305" s="417">
        <v>0</v>
      </c>
      <c r="G2305" s="415">
        <f t="shared" ref="G2305:G2314" si="723">SUM(D2305:F2305)</f>
        <v>877756.18</v>
      </c>
      <c r="H2305" s="418"/>
      <c r="I2305" s="415">
        <f t="shared" si="719"/>
        <v>-523.13</v>
      </c>
      <c r="J2305" s="429" t="s">
        <v>1102</v>
      </c>
      <c r="K2305" s="417">
        <v>0</v>
      </c>
      <c r="L2305" s="418">
        <f t="shared" si="720"/>
        <v>0</v>
      </c>
      <c r="M2305" s="417">
        <v>0</v>
      </c>
      <c r="N2305" s="408">
        <f t="shared" si="721"/>
        <v>-523.13</v>
      </c>
    </row>
    <row r="2306" spans="1:14" x14ac:dyDescent="0.2">
      <c r="A2306" s="410">
        <f t="shared" si="722"/>
        <v>15</v>
      </c>
      <c r="B2306" s="413">
        <v>374.4</v>
      </c>
      <c r="C2306" s="414" t="s">
        <v>1037</v>
      </c>
      <c r="D2306" s="415">
        <f t="shared" si="718"/>
        <v>661305.66</v>
      </c>
      <c r="E2306" s="417">
        <v>0</v>
      </c>
      <c r="F2306" s="417">
        <v>0</v>
      </c>
      <c r="G2306" s="415">
        <f t="shared" si="723"/>
        <v>661305.66</v>
      </c>
      <c r="H2306" s="418"/>
      <c r="I2306" s="415">
        <f t="shared" si="719"/>
        <v>189432.36</v>
      </c>
      <c r="J2306" s="442">
        <f t="shared" ref="J2306:J2312" si="724">J2200</f>
        <v>1.7399999999999999E-2</v>
      </c>
      <c r="K2306" s="418">
        <f>ROUND((G2306+D2306)/2*J2306/12,0)</f>
        <v>959</v>
      </c>
      <c r="L2306" s="418">
        <f t="shared" si="720"/>
        <v>0</v>
      </c>
      <c r="M2306" s="417">
        <v>0</v>
      </c>
      <c r="N2306" s="408">
        <f t="shared" si="721"/>
        <v>190391.36</v>
      </c>
    </row>
    <row r="2307" spans="1:14" x14ac:dyDescent="0.2">
      <c r="A2307" s="410">
        <f t="shared" si="722"/>
        <v>16</v>
      </c>
      <c r="B2307" s="413">
        <v>374.5</v>
      </c>
      <c r="C2307" s="414" t="s">
        <v>1038</v>
      </c>
      <c r="D2307" s="415">
        <f t="shared" si="718"/>
        <v>2747772.55</v>
      </c>
      <c r="E2307" s="417">
        <v>3600</v>
      </c>
      <c r="F2307" s="417">
        <v>-400</v>
      </c>
      <c r="G2307" s="415">
        <f t="shared" si="723"/>
        <v>2750972.55</v>
      </c>
      <c r="H2307" s="418"/>
      <c r="I2307" s="415">
        <f t="shared" si="719"/>
        <v>954845.23</v>
      </c>
      <c r="J2307" s="442">
        <f t="shared" si="724"/>
        <v>1.29E-2</v>
      </c>
      <c r="K2307" s="418">
        <f t="shared" ref="K2307:K2312" si="725">ROUND((G2307+D2307)/2*J2307/12,0)</f>
        <v>2956</v>
      </c>
      <c r="L2307" s="418">
        <f t="shared" si="720"/>
        <v>400</v>
      </c>
      <c r="M2307" s="417">
        <v>0</v>
      </c>
      <c r="N2307" s="408">
        <f t="shared" si="721"/>
        <v>957401.23</v>
      </c>
    </row>
    <row r="2308" spans="1:14" x14ac:dyDescent="0.2">
      <c r="A2308" s="410">
        <f t="shared" si="722"/>
        <v>17</v>
      </c>
      <c r="B2308" s="413">
        <v>375.2</v>
      </c>
      <c r="C2308" s="414" t="s">
        <v>1039</v>
      </c>
      <c r="D2308" s="415">
        <f t="shared" si="718"/>
        <v>2124.98</v>
      </c>
      <c r="E2308" s="417">
        <v>0</v>
      </c>
      <c r="F2308" s="417">
        <v>0</v>
      </c>
      <c r="G2308" s="415">
        <f t="shared" si="723"/>
        <v>2124.98</v>
      </c>
      <c r="H2308" s="418"/>
      <c r="I2308" s="415">
        <f t="shared" si="719"/>
        <v>2093.3199999999997</v>
      </c>
      <c r="J2308" s="442">
        <f t="shared" si="724"/>
        <v>3.1800000000000002E-2</v>
      </c>
      <c r="K2308" s="418">
        <f t="shared" si="725"/>
        <v>6</v>
      </c>
      <c r="L2308" s="418">
        <f t="shared" si="720"/>
        <v>0</v>
      </c>
      <c r="M2308" s="417">
        <v>0</v>
      </c>
      <c r="N2308" s="408">
        <f t="shared" si="721"/>
        <v>2099.3199999999997</v>
      </c>
    </row>
    <row r="2309" spans="1:14" x14ac:dyDescent="0.2">
      <c r="A2309" s="410">
        <f t="shared" si="722"/>
        <v>18</v>
      </c>
      <c r="B2309" s="413">
        <v>375.3</v>
      </c>
      <c r="C2309" s="414" t="s">
        <v>1040</v>
      </c>
      <c r="D2309" s="415">
        <f t="shared" si="718"/>
        <v>0</v>
      </c>
      <c r="E2309" s="417">
        <v>0</v>
      </c>
      <c r="F2309" s="417">
        <v>0</v>
      </c>
      <c r="G2309" s="415">
        <f t="shared" si="723"/>
        <v>0</v>
      </c>
      <c r="H2309" s="418"/>
      <c r="I2309" s="415">
        <f t="shared" si="719"/>
        <v>-77.66</v>
      </c>
      <c r="J2309" s="442">
        <f t="shared" si="724"/>
        <v>3.1800000000000002E-2</v>
      </c>
      <c r="K2309" s="418">
        <f t="shared" si="725"/>
        <v>0</v>
      </c>
      <c r="L2309" s="418">
        <f t="shared" si="720"/>
        <v>0</v>
      </c>
      <c r="M2309" s="417">
        <v>0</v>
      </c>
      <c r="N2309" s="408">
        <f t="shared" si="721"/>
        <v>-77.66</v>
      </c>
    </row>
    <row r="2310" spans="1:14" x14ac:dyDescent="0.2">
      <c r="A2310" s="410">
        <f t="shared" si="722"/>
        <v>19</v>
      </c>
      <c r="B2310" s="413">
        <v>375.4</v>
      </c>
      <c r="C2310" s="414" t="s">
        <v>1041</v>
      </c>
      <c r="D2310" s="415">
        <f t="shared" si="718"/>
        <v>2330830.02</v>
      </c>
      <c r="E2310" s="417">
        <v>23900</v>
      </c>
      <c r="F2310" s="417">
        <v>-2900</v>
      </c>
      <c r="G2310" s="415">
        <f t="shared" si="723"/>
        <v>2351830.02</v>
      </c>
      <c r="H2310" s="418"/>
      <c r="I2310" s="415">
        <f t="shared" si="719"/>
        <v>513117.37</v>
      </c>
      <c r="J2310" s="442">
        <f t="shared" si="724"/>
        <v>3.1800000000000002E-2</v>
      </c>
      <c r="K2310" s="418">
        <f t="shared" si="725"/>
        <v>6205</v>
      </c>
      <c r="L2310" s="418">
        <f t="shared" si="720"/>
        <v>2900</v>
      </c>
      <c r="M2310" s="417">
        <v>-300</v>
      </c>
      <c r="N2310" s="408">
        <f t="shared" si="721"/>
        <v>516122.37</v>
      </c>
    </row>
    <row r="2311" spans="1:14" x14ac:dyDescent="0.2">
      <c r="A2311" s="410">
        <f t="shared" si="722"/>
        <v>20</v>
      </c>
      <c r="B2311" s="413">
        <v>375.6</v>
      </c>
      <c r="C2311" s="414" t="s">
        <v>1042</v>
      </c>
      <c r="D2311" s="415">
        <f t="shared" si="718"/>
        <v>0</v>
      </c>
      <c r="E2311" s="417">
        <v>0</v>
      </c>
      <c r="F2311" s="417">
        <v>0</v>
      </c>
      <c r="G2311" s="415">
        <f t="shared" si="723"/>
        <v>0</v>
      </c>
      <c r="H2311" s="418"/>
      <c r="I2311" s="415">
        <f t="shared" si="719"/>
        <v>0.02</v>
      </c>
      <c r="J2311" s="442">
        <f t="shared" si="724"/>
        <v>3.1800000000000002E-2</v>
      </c>
      <c r="K2311" s="418">
        <f t="shared" si="725"/>
        <v>0</v>
      </c>
      <c r="L2311" s="418">
        <f t="shared" si="720"/>
        <v>0</v>
      </c>
      <c r="M2311" s="417">
        <v>0</v>
      </c>
      <c r="N2311" s="408">
        <f t="shared" si="721"/>
        <v>0.02</v>
      </c>
    </row>
    <row r="2312" spans="1:14" x14ac:dyDescent="0.2">
      <c r="A2312" s="410">
        <f t="shared" si="722"/>
        <v>21</v>
      </c>
      <c r="B2312" s="413">
        <v>375.7</v>
      </c>
      <c r="C2312" s="414" t="s">
        <v>1043</v>
      </c>
      <c r="D2312" s="415">
        <f t="shared" si="718"/>
        <v>10095450.210000001</v>
      </c>
      <c r="E2312" s="417">
        <v>48300</v>
      </c>
      <c r="F2312" s="417">
        <v>-5800</v>
      </c>
      <c r="G2312" s="415">
        <f t="shared" si="723"/>
        <v>10137950.210000001</v>
      </c>
      <c r="H2312" s="418"/>
      <c r="I2312" s="415">
        <f t="shared" si="719"/>
        <v>3419370.06</v>
      </c>
      <c r="J2312" s="442">
        <f t="shared" si="724"/>
        <v>2.1299999999999999E-2</v>
      </c>
      <c r="K2312" s="418">
        <f t="shared" si="725"/>
        <v>17957</v>
      </c>
      <c r="L2312" s="418">
        <f t="shared" si="720"/>
        <v>5800</v>
      </c>
      <c r="M2312" s="417">
        <v>0</v>
      </c>
      <c r="N2312" s="408">
        <f t="shared" si="721"/>
        <v>3431527.06</v>
      </c>
    </row>
    <row r="2313" spans="1:14" x14ac:dyDescent="0.2">
      <c r="A2313" s="410">
        <f t="shared" si="722"/>
        <v>22</v>
      </c>
      <c r="B2313" s="413">
        <v>375.71</v>
      </c>
      <c r="C2313" s="414" t="s">
        <v>1044</v>
      </c>
      <c r="D2313" s="415">
        <f t="shared" si="718"/>
        <v>259808.94</v>
      </c>
      <c r="E2313" s="417">
        <v>0</v>
      </c>
      <c r="F2313" s="417">
        <v>0</v>
      </c>
      <c r="G2313" s="415">
        <f t="shared" si="723"/>
        <v>259808.94</v>
      </c>
      <c r="H2313" s="418"/>
      <c r="I2313" s="415">
        <f t="shared" si="719"/>
        <v>212990.09894736868</v>
      </c>
      <c r="J2313" s="419" t="s">
        <v>1094</v>
      </c>
      <c r="K2313" s="417">
        <f>104653.88/38</f>
        <v>2754.0494736842106</v>
      </c>
      <c r="L2313" s="418">
        <f t="shared" si="720"/>
        <v>0</v>
      </c>
      <c r="M2313" s="417">
        <v>0</v>
      </c>
      <c r="N2313" s="408">
        <f t="shared" si="721"/>
        <v>215744.1484210529</v>
      </c>
    </row>
    <row r="2314" spans="1:14" x14ac:dyDescent="0.2">
      <c r="A2314" s="410">
        <f t="shared" si="722"/>
        <v>23</v>
      </c>
      <c r="B2314" s="413">
        <v>375.8</v>
      </c>
      <c r="C2314" s="414" t="s">
        <v>1045</v>
      </c>
      <c r="D2314" s="415">
        <f t="shared" si="718"/>
        <v>0</v>
      </c>
      <c r="E2314" s="417">
        <v>0</v>
      </c>
      <c r="F2314" s="417">
        <v>0</v>
      </c>
      <c r="G2314" s="415">
        <f t="shared" si="723"/>
        <v>0</v>
      </c>
      <c r="H2314" s="418"/>
      <c r="I2314" s="415">
        <f t="shared" si="719"/>
        <v>0</v>
      </c>
      <c r="J2314" s="442">
        <f>J2208</f>
        <v>0</v>
      </c>
      <c r="K2314" s="417">
        <v>0</v>
      </c>
      <c r="L2314" s="418">
        <f t="shared" si="720"/>
        <v>0</v>
      </c>
      <c r="M2314" s="417">
        <v>0</v>
      </c>
      <c r="N2314" s="408">
        <f t="shared" si="721"/>
        <v>0</v>
      </c>
    </row>
    <row r="2315" spans="1:14" x14ac:dyDescent="0.2">
      <c r="A2315" s="410">
        <f>A2314+1</f>
        <v>24</v>
      </c>
      <c r="B2315" s="413">
        <v>376</v>
      </c>
      <c r="C2315" s="438" t="s">
        <v>1096</v>
      </c>
      <c r="D2315" s="415"/>
      <c r="E2315" s="417"/>
      <c r="F2315" s="417"/>
      <c r="G2315" s="415"/>
      <c r="H2315" s="418"/>
      <c r="I2315" s="439"/>
      <c r="J2315" s="432"/>
      <c r="K2315" s="418"/>
      <c r="L2315" s="418"/>
      <c r="M2315" s="417"/>
    </row>
    <row r="2316" spans="1:14" x14ac:dyDescent="0.2">
      <c r="A2316" s="410"/>
      <c r="B2316" s="413"/>
      <c r="C2316" s="440" t="s">
        <v>1097</v>
      </c>
      <c r="D2316" s="415"/>
      <c r="E2316" s="417"/>
      <c r="F2316" s="417"/>
      <c r="G2316" s="415"/>
      <c r="H2316" s="418"/>
      <c r="I2316" s="415"/>
      <c r="J2316" s="442"/>
      <c r="K2316" s="418"/>
      <c r="L2316" s="418"/>
      <c r="M2316" s="417"/>
      <c r="N2316" s="408"/>
    </row>
    <row r="2317" spans="1:14" x14ac:dyDescent="0.2">
      <c r="A2317" s="410"/>
      <c r="B2317" s="413"/>
      <c r="C2317" s="440" t="s">
        <v>1098</v>
      </c>
      <c r="D2317" s="415"/>
      <c r="E2317" s="417"/>
      <c r="F2317" s="417"/>
      <c r="G2317" s="415"/>
      <c r="H2317" s="418"/>
      <c r="I2317" s="415"/>
      <c r="J2317" s="442"/>
      <c r="K2317" s="418"/>
      <c r="L2317" s="418"/>
      <c r="M2317" s="417"/>
      <c r="N2317" s="408"/>
    </row>
    <row r="2318" spans="1:14" x14ac:dyDescent="0.2">
      <c r="A2318" s="410"/>
      <c r="B2318" s="413"/>
      <c r="C2318" s="440" t="s">
        <v>1099</v>
      </c>
      <c r="D2318" s="415"/>
      <c r="E2318" s="417"/>
      <c r="F2318" s="417"/>
      <c r="G2318" s="415"/>
      <c r="H2318" s="418"/>
      <c r="I2318" s="415"/>
      <c r="J2318" s="442"/>
      <c r="K2318" s="418"/>
      <c r="L2318" s="418"/>
      <c r="M2318" s="417"/>
      <c r="N2318" s="408"/>
    </row>
    <row r="2319" spans="1:14" x14ac:dyDescent="0.2">
      <c r="A2319" s="410"/>
      <c r="B2319" s="413"/>
      <c r="C2319" s="440" t="s">
        <v>1100</v>
      </c>
      <c r="D2319" s="415"/>
      <c r="E2319" s="417"/>
      <c r="F2319" s="417"/>
      <c r="G2319" s="415"/>
      <c r="H2319" s="418"/>
      <c r="I2319" s="415"/>
      <c r="J2319" s="442"/>
      <c r="K2319" s="418"/>
      <c r="L2319" s="418"/>
      <c r="M2319" s="417"/>
      <c r="N2319" s="408"/>
    </row>
    <row r="2320" spans="1:14" x14ac:dyDescent="0.2">
      <c r="A2320" s="410"/>
      <c r="B2320" s="413"/>
      <c r="C2320" s="440" t="s">
        <v>1101</v>
      </c>
      <c r="D2320" s="415">
        <f t="shared" ref="D2320:D2325" si="726">G2214</f>
        <v>227065325.44</v>
      </c>
      <c r="E2320" s="417">
        <f>1209400+32320</f>
        <v>1241720</v>
      </c>
      <c r="F2320" s="417">
        <v>-149000</v>
      </c>
      <c r="G2320" s="415">
        <f t="shared" ref="G2320:G2325" si="727">SUM(D2320:F2320)</f>
        <v>228158045.44</v>
      </c>
      <c r="H2320" s="418"/>
      <c r="I2320" s="415">
        <f t="shared" ref="I2320:I2325" si="728">N2214</f>
        <v>59919850.609999999</v>
      </c>
      <c r="J2320" s="442">
        <f t="shared" ref="J2320:J2325" si="729">J2214</f>
        <v>2.3E-2</v>
      </c>
      <c r="K2320" s="418">
        <f t="shared" ref="K2320:K2325" si="730">ROUND((G2320+D2320)/2*J2320/12,0)</f>
        <v>436256</v>
      </c>
      <c r="L2320" s="418">
        <f t="shared" ref="L2320:L2325" si="731">-F2320</f>
        <v>149000</v>
      </c>
      <c r="M2320" s="417">
        <v>-22400</v>
      </c>
      <c r="N2320" s="408">
        <f t="shared" ref="N2320:N2325" si="732">I2320+K2320-L2320+M2320</f>
        <v>60184706.609999999</v>
      </c>
    </row>
    <row r="2321" spans="1:14" x14ac:dyDescent="0.2">
      <c r="A2321" s="410">
        <f>A2315+1</f>
        <v>25</v>
      </c>
      <c r="B2321" s="413">
        <v>378.1</v>
      </c>
      <c r="C2321" s="414" t="s">
        <v>1047</v>
      </c>
      <c r="D2321" s="415">
        <f t="shared" si="726"/>
        <v>518504.18</v>
      </c>
      <c r="E2321" s="417">
        <v>0</v>
      </c>
      <c r="F2321" s="417">
        <v>0</v>
      </c>
      <c r="G2321" s="415">
        <f t="shared" si="727"/>
        <v>518504.18</v>
      </c>
      <c r="H2321" s="418"/>
      <c r="I2321" s="415">
        <f t="shared" si="728"/>
        <v>379246.81</v>
      </c>
      <c r="J2321" s="442">
        <f t="shared" si="729"/>
        <v>3.32E-2</v>
      </c>
      <c r="K2321" s="418">
        <f t="shared" si="730"/>
        <v>1435</v>
      </c>
      <c r="L2321" s="418">
        <f t="shared" si="731"/>
        <v>0</v>
      </c>
      <c r="M2321" s="417">
        <v>0</v>
      </c>
      <c r="N2321" s="408">
        <f t="shared" si="732"/>
        <v>380681.81</v>
      </c>
    </row>
    <row r="2322" spans="1:14" x14ac:dyDescent="0.2">
      <c r="A2322" s="410">
        <f t="shared" si="722"/>
        <v>26</v>
      </c>
      <c r="B2322" s="413">
        <v>378.2</v>
      </c>
      <c r="C2322" s="414" t="s">
        <v>1048</v>
      </c>
      <c r="D2322" s="415">
        <f t="shared" si="726"/>
        <v>10118424</v>
      </c>
      <c r="E2322" s="417">
        <v>37200</v>
      </c>
      <c r="F2322" s="417">
        <v>-4500</v>
      </c>
      <c r="G2322" s="415">
        <f t="shared" si="727"/>
        <v>10151124</v>
      </c>
      <c r="H2322" s="418"/>
      <c r="I2322" s="415">
        <f t="shared" si="728"/>
        <v>3622087.91</v>
      </c>
      <c r="J2322" s="442">
        <f t="shared" si="729"/>
        <v>3.32E-2</v>
      </c>
      <c r="K2322" s="418">
        <f t="shared" si="730"/>
        <v>28040</v>
      </c>
      <c r="L2322" s="418">
        <f t="shared" si="731"/>
        <v>4500</v>
      </c>
      <c r="M2322" s="417">
        <v>-200</v>
      </c>
      <c r="N2322" s="408">
        <f t="shared" si="732"/>
        <v>3645427.91</v>
      </c>
    </row>
    <row r="2323" spans="1:14" x14ac:dyDescent="0.2">
      <c r="A2323" s="410">
        <f t="shared" si="722"/>
        <v>27</v>
      </c>
      <c r="B2323" s="413">
        <v>378.3</v>
      </c>
      <c r="C2323" s="414" t="s">
        <v>1049</v>
      </c>
      <c r="D2323" s="415">
        <f t="shared" si="726"/>
        <v>45443.08</v>
      </c>
      <c r="E2323" s="417">
        <v>0</v>
      </c>
      <c r="F2323" s="417">
        <v>0</v>
      </c>
      <c r="G2323" s="415">
        <f t="shared" si="727"/>
        <v>45443.08</v>
      </c>
      <c r="H2323" s="418"/>
      <c r="I2323" s="415">
        <f t="shared" si="728"/>
        <v>37264.04</v>
      </c>
      <c r="J2323" s="442">
        <f t="shared" si="729"/>
        <v>3.32E-2</v>
      </c>
      <c r="K2323" s="418">
        <f t="shared" si="730"/>
        <v>126</v>
      </c>
      <c r="L2323" s="418">
        <f t="shared" si="731"/>
        <v>0</v>
      </c>
      <c r="M2323" s="417">
        <v>0</v>
      </c>
      <c r="N2323" s="408">
        <f t="shared" si="732"/>
        <v>37390.04</v>
      </c>
    </row>
    <row r="2324" spans="1:14" x14ac:dyDescent="0.2">
      <c r="A2324" s="410">
        <f t="shared" si="722"/>
        <v>28</v>
      </c>
      <c r="B2324" s="413">
        <v>379.1</v>
      </c>
      <c r="C2324" s="414" t="s">
        <v>1050</v>
      </c>
      <c r="D2324" s="415">
        <f t="shared" si="726"/>
        <v>254900.59</v>
      </c>
      <c r="E2324" s="417">
        <v>0</v>
      </c>
      <c r="F2324" s="417">
        <v>0</v>
      </c>
      <c r="G2324" s="415">
        <f t="shared" si="727"/>
        <v>254900.59</v>
      </c>
      <c r="H2324" s="418"/>
      <c r="I2324" s="415">
        <f t="shared" si="728"/>
        <v>267730.57</v>
      </c>
      <c r="J2324" s="442">
        <f t="shared" si="729"/>
        <v>6.0000000000000001E-3</v>
      </c>
      <c r="K2324" s="417">
        <v>0</v>
      </c>
      <c r="L2324" s="418">
        <f t="shared" si="731"/>
        <v>0</v>
      </c>
      <c r="M2324" s="417">
        <v>0</v>
      </c>
      <c r="N2324" s="408">
        <f t="shared" si="732"/>
        <v>267730.57</v>
      </c>
    </row>
    <row r="2325" spans="1:14" x14ac:dyDescent="0.2">
      <c r="A2325" s="410">
        <f t="shared" si="722"/>
        <v>29</v>
      </c>
      <c r="B2325" s="413">
        <v>380</v>
      </c>
      <c r="C2325" s="414" t="s">
        <v>1051</v>
      </c>
      <c r="D2325" s="415">
        <f t="shared" si="726"/>
        <v>131655138.77</v>
      </c>
      <c r="E2325" s="417">
        <f>906900+21546</f>
        <v>928446</v>
      </c>
      <c r="F2325" s="417">
        <v>-111400</v>
      </c>
      <c r="G2325" s="415">
        <f t="shared" si="727"/>
        <v>132472184.77</v>
      </c>
      <c r="H2325" s="418"/>
      <c r="I2325" s="415">
        <f t="shared" si="728"/>
        <v>62938390.520000003</v>
      </c>
      <c r="J2325" s="442">
        <f t="shared" si="729"/>
        <v>5.0999999999999997E-2</v>
      </c>
      <c r="K2325" s="418">
        <f t="shared" si="730"/>
        <v>561271</v>
      </c>
      <c r="L2325" s="418">
        <f t="shared" si="731"/>
        <v>111400</v>
      </c>
      <c r="M2325" s="417">
        <v>-55700</v>
      </c>
      <c r="N2325" s="408">
        <f t="shared" si="732"/>
        <v>63332561.520000003</v>
      </c>
    </row>
    <row r="2326" spans="1:14" x14ac:dyDescent="0.2">
      <c r="A2326" s="410"/>
      <c r="B2326" s="444"/>
      <c r="C2326" s="414"/>
      <c r="D2326" s="439"/>
      <c r="E2326" s="418"/>
      <c r="F2326" s="418"/>
      <c r="G2326" s="439"/>
      <c r="H2326" s="418"/>
      <c r="I2326" s="418"/>
      <c r="J2326" s="418"/>
      <c r="K2326" s="418"/>
      <c r="L2326" s="418"/>
    </row>
    <row r="2327" spans="1:14" x14ac:dyDescent="0.2">
      <c r="A2327" s="2073" t="str">
        <f>co</f>
        <v>COLUMBIA GAS OF KENTUCKY, INC.</v>
      </c>
      <c r="B2327" s="2073"/>
      <c r="C2327" s="2073"/>
      <c r="D2327" s="2073"/>
      <c r="E2327" s="2073"/>
      <c r="F2327" s="2073"/>
      <c r="G2327" s="2073"/>
      <c r="H2327" s="2073"/>
      <c r="I2327" s="2073"/>
      <c r="J2327" s="2073"/>
      <c r="K2327" s="2073"/>
      <c r="L2327" s="2073"/>
      <c r="M2327" s="2073"/>
      <c r="N2327" s="2073"/>
    </row>
    <row r="2328" spans="1:14" x14ac:dyDescent="0.2">
      <c r="A2328" s="2073" t="str">
        <f>case</f>
        <v>CASE NO. 2016 - 00162</v>
      </c>
      <c r="B2328" s="2073"/>
      <c r="C2328" s="2073"/>
      <c r="D2328" s="2073"/>
      <c r="E2328" s="2073"/>
      <c r="F2328" s="2073"/>
      <c r="G2328" s="2073"/>
      <c r="H2328" s="2073"/>
      <c r="I2328" s="2073"/>
      <c r="J2328" s="2073"/>
      <c r="K2328" s="2073"/>
      <c r="L2328" s="2073"/>
      <c r="M2328" s="2073"/>
      <c r="N2328" s="2073"/>
    </row>
    <row r="2329" spans="1:14" x14ac:dyDescent="0.2">
      <c r="A2329" s="2074" t="s">
        <v>1106</v>
      </c>
      <c r="B2329" s="2073"/>
      <c r="C2329" s="2073"/>
      <c r="D2329" s="2073"/>
      <c r="E2329" s="2073"/>
      <c r="F2329" s="2073"/>
      <c r="G2329" s="2073"/>
      <c r="H2329" s="2073"/>
      <c r="I2329" s="2073"/>
      <c r="J2329" s="2073"/>
      <c r="K2329" s="2073"/>
      <c r="L2329" s="2073"/>
      <c r="M2329" s="2073"/>
      <c r="N2329" s="2073"/>
    </row>
    <row r="2330" spans="1:14" x14ac:dyDescent="0.2">
      <c r="A2330" s="2078" t="s">
        <v>2142</v>
      </c>
      <c r="B2330" s="2078"/>
      <c r="C2330" s="2078"/>
      <c r="D2330" s="2078"/>
      <c r="E2330" s="2078"/>
      <c r="F2330" s="2078"/>
      <c r="G2330" s="2078"/>
      <c r="H2330" s="2078"/>
      <c r="I2330" s="2078"/>
      <c r="J2330" s="2078"/>
      <c r="K2330" s="2078"/>
      <c r="L2330" s="2078"/>
      <c r="M2330" s="2078"/>
      <c r="N2330" s="2078"/>
    </row>
    <row r="2332" spans="1:14" x14ac:dyDescent="0.2">
      <c r="A2332" s="388" t="s">
        <v>976</v>
      </c>
      <c r="M2332" s="386"/>
      <c r="N2332" s="387" t="s">
        <v>763</v>
      </c>
    </row>
    <row r="2333" spans="1:14" x14ac:dyDescent="0.2">
      <c r="A2333" s="388" t="s">
        <v>977</v>
      </c>
      <c r="M2333" s="386"/>
      <c r="N2333" s="387" t="s">
        <v>999</v>
      </c>
    </row>
    <row r="2334" spans="1:14" x14ac:dyDescent="0.2">
      <c r="A2334" s="445" t="str">
        <f>A2281</f>
        <v>WORKPAPER REFERENCE NO(S).: WPB-2.3</v>
      </c>
      <c r="B2334" s="391"/>
      <c r="C2334" s="391"/>
      <c r="D2334" s="391"/>
      <c r="E2334" s="391"/>
      <c r="F2334" s="391"/>
      <c r="G2334" s="391"/>
      <c r="H2334" s="391"/>
      <c r="M2334" s="392"/>
      <c r="N2334" s="393" t="str">
        <f>SMK</f>
        <v>WITNESS:  S. M. KATKO</v>
      </c>
    </row>
    <row r="2335" spans="1:14" x14ac:dyDescent="0.2">
      <c r="A2335" s="390"/>
      <c r="B2335" s="391"/>
      <c r="C2335" s="391"/>
      <c r="D2335" s="391"/>
      <c r="E2335" s="391"/>
      <c r="F2335" s="391"/>
      <c r="G2335" s="391"/>
      <c r="H2335" s="391"/>
      <c r="I2335" s="392"/>
      <c r="J2335" s="393"/>
      <c r="L2335" s="386"/>
      <c r="M2335" s="386"/>
    </row>
    <row r="2336" spans="1:14" x14ac:dyDescent="0.2">
      <c r="A2336" s="390"/>
      <c r="B2336" s="391"/>
      <c r="C2336" s="391"/>
      <c r="D2336" s="2075" t="s">
        <v>1088</v>
      </c>
      <c r="E2336" s="2075"/>
      <c r="F2336" s="2075"/>
      <c r="G2336" s="2075"/>
      <c r="H2336" s="391"/>
      <c r="I2336" s="2076" t="s">
        <v>1093</v>
      </c>
      <c r="J2336" s="2077"/>
      <c r="K2336" s="2077"/>
      <c r="L2336" s="2077"/>
      <c r="M2336" s="2077"/>
      <c r="N2336" s="2077"/>
    </row>
    <row r="2337" spans="1:14" x14ac:dyDescent="0.2">
      <c r="A2337" s="394"/>
      <c r="B2337" s="391"/>
      <c r="C2337" s="391"/>
      <c r="D2337" s="396" t="s">
        <v>1084</v>
      </c>
      <c r="E2337" s="391"/>
      <c r="F2337" s="391"/>
      <c r="G2337" s="395"/>
      <c r="H2337" s="395"/>
      <c r="I2337" s="397" t="s">
        <v>1089</v>
      </c>
      <c r="J2337" s="396"/>
      <c r="M2337" s="386"/>
    </row>
    <row r="2338" spans="1:14" x14ac:dyDescent="0.2">
      <c r="A2338" s="383"/>
      <c r="D2338" s="397" t="s">
        <v>865</v>
      </c>
      <c r="G2338" s="397" t="s">
        <v>867</v>
      </c>
      <c r="H2338" s="398"/>
      <c r="I2338" s="397" t="s">
        <v>865</v>
      </c>
      <c r="J2338" s="397" t="s">
        <v>956</v>
      </c>
      <c r="M2338" s="386"/>
      <c r="N2338" s="397" t="s">
        <v>867</v>
      </c>
    </row>
    <row r="2339" spans="1:14" x14ac:dyDescent="0.2">
      <c r="A2339" s="397" t="s">
        <v>1080</v>
      </c>
      <c r="B2339" s="397" t="s">
        <v>1082</v>
      </c>
      <c r="D2339" s="397" t="s">
        <v>867</v>
      </c>
      <c r="G2339" s="399" t="s">
        <v>1087</v>
      </c>
      <c r="H2339" s="398"/>
      <c r="I2339" s="399" t="s">
        <v>867</v>
      </c>
      <c r="J2339" s="397" t="s">
        <v>1090</v>
      </c>
      <c r="K2339" s="397" t="s">
        <v>956</v>
      </c>
      <c r="M2339" s="399" t="s">
        <v>1092</v>
      </c>
      <c r="N2339" s="399" t="s">
        <v>1087</v>
      </c>
    </row>
    <row r="2340" spans="1:14" x14ac:dyDescent="0.2">
      <c r="A2340" s="400" t="s">
        <v>1081</v>
      </c>
      <c r="B2340" s="400" t="s">
        <v>1081</v>
      </c>
      <c r="C2340" s="401" t="s">
        <v>1083</v>
      </c>
      <c r="D2340" s="404" t="str">
        <f>D2287</f>
        <v>11/30/2017</v>
      </c>
      <c r="E2340" s="400" t="s">
        <v>1085</v>
      </c>
      <c r="F2340" s="400" t="s">
        <v>1086</v>
      </c>
      <c r="G2340" s="404" t="str">
        <f>G2287</f>
        <v>12/31/2017</v>
      </c>
      <c r="H2340" s="398"/>
      <c r="I2340" s="404" t="str">
        <f>D2340</f>
        <v>11/30/2017</v>
      </c>
      <c r="J2340" s="400" t="s">
        <v>1091</v>
      </c>
      <c r="K2340" s="402" t="s">
        <v>1090</v>
      </c>
      <c r="L2340" s="402" t="s">
        <v>1086</v>
      </c>
      <c r="M2340" s="402" t="s">
        <v>955</v>
      </c>
      <c r="N2340" s="404" t="str">
        <f>G2340</f>
        <v>12/31/2017</v>
      </c>
    </row>
    <row r="2341" spans="1:14" x14ac:dyDescent="0.2">
      <c r="A2341" s="406"/>
      <c r="B2341" s="406"/>
      <c r="C2341" s="406"/>
      <c r="D2341" s="406" t="str">
        <f>"(1)"</f>
        <v>(1)</v>
      </c>
      <c r="E2341" s="406" t="str">
        <f>"(2)"</f>
        <v>(2)</v>
      </c>
      <c r="F2341" s="406" t="str">
        <f>"(3)"</f>
        <v>(3)</v>
      </c>
      <c r="G2341" s="406" t="str">
        <f>"(4)=(1+2+3)"</f>
        <v>(4)=(1+2+3)</v>
      </c>
      <c r="H2341" s="406"/>
      <c r="I2341" s="406" t="str">
        <f>"(5)"</f>
        <v>(5)</v>
      </c>
      <c r="J2341" s="406" t="str">
        <f>"(6)"</f>
        <v>(6)</v>
      </c>
      <c r="K2341" s="406" t="str">
        <f>"(7)=((1+4)/2*6/12))"</f>
        <v>(7)=((1+4)/2*6/12))</v>
      </c>
      <c r="L2341" s="406" t="str">
        <f>"(8)"</f>
        <v>(8)</v>
      </c>
      <c r="M2341" s="406" t="str">
        <f>"(9)"</f>
        <v>(9)</v>
      </c>
      <c r="N2341" s="406" t="str">
        <f>"(10)=(5+7-8+9)"</f>
        <v>(10)=(5+7-8+9)</v>
      </c>
    </row>
    <row r="2342" spans="1:14" x14ac:dyDescent="0.2">
      <c r="D2342" s="410" t="s">
        <v>639</v>
      </c>
      <c r="E2342" s="410" t="s">
        <v>639</v>
      </c>
      <c r="F2342" s="410" t="s">
        <v>639</v>
      </c>
      <c r="G2342" s="410" t="s">
        <v>639</v>
      </c>
      <c r="H2342" s="410"/>
      <c r="I2342" s="410" t="s">
        <v>639</v>
      </c>
      <c r="J2342" s="410" t="s">
        <v>639</v>
      </c>
      <c r="K2342" s="410" t="s">
        <v>639</v>
      </c>
      <c r="L2342" s="410" t="s">
        <v>639</v>
      </c>
      <c r="M2342" s="410" t="s">
        <v>639</v>
      </c>
      <c r="N2342" s="410" t="s">
        <v>639</v>
      </c>
    </row>
    <row r="2343" spans="1:14" x14ac:dyDescent="0.2">
      <c r="C2343" s="411" t="s">
        <v>707</v>
      </c>
      <c r="D2343" s="410"/>
      <c r="E2343" s="410"/>
      <c r="F2343" s="410"/>
      <c r="G2343" s="410"/>
      <c r="J2343" s="410"/>
    </row>
    <row r="2344" spans="1:14" x14ac:dyDescent="0.2">
      <c r="A2344" s="405">
        <v>1</v>
      </c>
      <c r="B2344" s="446">
        <v>381</v>
      </c>
      <c r="C2344" s="414" t="s">
        <v>1052</v>
      </c>
      <c r="D2344" s="415">
        <f t="shared" ref="D2344:D2355" si="733">G2238</f>
        <v>14201408.550000001</v>
      </c>
      <c r="E2344" s="417">
        <v>54100</v>
      </c>
      <c r="F2344" s="417">
        <v>-6500</v>
      </c>
      <c r="G2344" s="415">
        <f>SUM(D2344:F2344)</f>
        <v>14249008.550000001</v>
      </c>
      <c r="H2344" s="418"/>
      <c r="I2344" s="415">
        <f t="shared" ref="I2344:I2355" si="734">N2238</f>
        <v>5285215.8899999997</v>
      </c>
      <c r="J2344" s="442">
        <f t="shared" ref="J2344:J2355" si="735">J2238</f>
        <v>3.3000000000000002E-2</v>
      </c>
      <c r="K2344" s="418">
        <f t="shared" ref="K2344:K2355" si="736">ROUND((G2344+D2344)/2*J2344/12,0)</f>
        <v>39119</v>
      </c>
      <c r="L2344" s="418">
        <f t="shared" ref="L2344:L2355" si="737">-F2344</f>
        <v>6500</v>
      </c>
      <c r="M2344" s="417">
        <v>0</v>
      </c>
      <c r="N2344" s="408">
        <f t="shared" ref="N2344:N2355" si="738">I2344+K2344-L2344+M2344</f>
        <v>5317834.8899999997</v>
      </c>
    </row>
    <row r="2345" spans="1:14" x14ac:dyDescent="0.2">
      <c r="A2345" s="405">
        <f>A2344+1</f>
        <v>2</v>
      </c>
      <c r="B2345" s="446">
        <v>381.1</v>
      </c>
      <c r="C2345" s="438" t="s">
        <v>1115</v>
      </c>
      <c r="D2345" s="415">
        <f t="shared" si="733"/>
        <v>8850912.0600000005</v>
      </c>
      <c r="E2345" s="417">
        <v>5300</v>
      </c>
      <c r="F2345" s="417">
        <v>-600</v>
      </c>
      <c r="G2345" s="415">
        <f>SUM(D2345:F2345)</f>
        <v>8855612.0600000005</v>
      </c>
      <c r="H2345" s="418"/>
      <c r="I2345" s="415">
        <f t="shared" si="734"/>
        <v>1194601.5</v>
      </c>
      <c r="J2345" s="442">
        <f t="shared" si="735"/>
        <v>8.0600000000000005E-2</v>
      </c>
      <c r="K2345" s="418">
        <f t="shared" si="736"/>
        <v>59464</v>
      </c>
      <c r="L2345" s="418">
        <f t="shared" si="737"/>
        <v>600</v>
      </c>
      <c r="M2345" s="417">
        <v>0</v>
      </c>
      <c r="N2345" s="408">
        <f t="shared" si="738"/>
        <v>1253465.5</v>
      </c>
    </row>
    <row r="2346" spans="1:14" x14ac:dyDescent="0.2">
      <c r="A2346" s="405">
        <f t="shared" ref="A2346:A2356" si="739">A2345+1</f>
        <v>3</v>
      </c>
      <c r="B2346" s="446">
        <v>382</v>
      </c>
      <c r="C2346" s="414" t="s">
        <v>1053</v>
      </c>
      <c r="D2346" s="415">
        <f t="shared" si="733"/>
        <v>9606992.6500000004</v>
      </c>
      <c r="E2346" s="417">
        <v>30900</v>
      </c>
      <c r="F2346" s="417">
        <v>-3700</v>
      </c>
      <c r="G2346" s="415">
        <f t="shared" ref="G2346:G2351" si="740">SUM(D2346:F2346)</f>
        <v>9634192.6500000004</v>
      </c>
      <c r="H2346" s="418"/>
      <c r="I2346" s="415">
        <f t="shared" si="734"/>
        <v>4789003.3</v>
      </c>
      <c r="J2346" s="442">
        <f t="shared" si="735"/>
        <v>2.4400000000000002E-2</v>
      </c>
      <c r="K2346" s="418">
        <f t="shared" si="736"/>
        <v>19562</v>
      </c>
      <c r="L2346" s="418">
        <f t="shared" si="737"/>
        <v>3700</v>
      </c>
      <c r="M2346" s="417">
        <v>-200</v>
      </c>
      <c r="N2346" s="408">
        <f t="shared" si="738"/>
        <v>4804665.3</v>
      </c>
    </row>
    <row r="2347" spans="1:14" x14ac:dyDescent="0.2">
      <c r="A2347" s="405">
        <f t="shared" si="739"/>
        <v>4</v>
      </c>
      <c r="B2347" s="446">
        <v>383</v>
      </c>
      <c r="C2347" s="414" t="s">
        <v>1054</v>
      </c>
      <c r="D2347" s="415">
        <f t="shared" si="733"/>
        <v>5843420.7599999998</v>
      </c>
      <c r="E2347" s="417">
        <v>14400</v>
      </c>
      <c r="F2347" s="417">
        <v>-1700</v>
      </c>
      <c r="G2347" s="415">
        <f t="shared" si="740"/>
        <v>5856120.7599999998</v>
      </c>
      <c r="H2347" s="418"/>
      <c r="I2347" s="415">
        <f t="shared" si="734"/>
        <v>1623601.41</v>
      </c>
      <c r="J2347" s="442">
        <f t="shared" si="735"/>
        <v>2.7300000000000001E-2</v>
      </c>
      <c r="K2347" s="418">
        <f t="shared" si="736"/>
        <v>13308</v>
      </c>
      <c r="L2347" s="418">
        <f t="shared" si="737"/>
        <v>1700</v>
      </c>
      <c r="M2347" s="417">
        <v>-100</v>
      </c>
      <c r="N2347" s="408">
        <f t="shared" si="738"/>
        <v>1635109.41</v>
      </c>
    </row>
    <row r="2348" spans="1:14" x14ac:dyDescent="0.2">
      <c r="A2348" s="405">
        <f t="shared" si="739"/>
        <v>5</v>
      </c>
      <c r="B2348" s="446">
        <v>384</v>
      </c>
      <c r="C2348" s="414" t="s">
        <v>1055</v>
      </c>
      <c r="D2348" s="415">
        <f t="shared" si="733"/>
        <v>2257522</v>
      </c>
      <c r="E2348" s="417">
        <v>0</v>
      </c>
      <c r="F2348" s="417">
        <v>0</v>
      </c>
      <c r="G2348" s="415">
        <f t="shared" si="740"/>
        <v>2257522</v>
      </c>
      <c r="H2348" s="418"/>
      <c r="I2348" s="415">
        <f t="shared" si="734"/>
        <v>1790228.73</v>
      </c>
      <c r="J2348" s="442">
        <f t="shared" si="735"/>
        <v>1.01E-2</v>
      </c>
      <c r="K2348" s="418">
        <f t="shared" si="736"/>
        <v>1900</v>
      </c>
      <c r="L2348" s="418">
        <f t="shared" si="737"/>
        <v>0</v>
      </c>
      <c r="M2348" s="417">
        <v>0</v>
      </c>
      <c r="N2348" s="408">
        <f t="shared" si="738"/>
        <v>1792128.73</v>
      </c>
    </row>
    <row r="2349" spans="1:14" x14ac:dyDescent="0.2">
      <c r="A2349" s="405">
        <f t="shared" si="739"/>
        <v>6</v>
      </c>
      <c r="B2349" s="446">
        <v>385</v>
      </c>
      <c r="C2349" s="414" t="s">
        <v>1056</v>
      </c>
      <c r="D2349" s="415">
        <f t="shared" si="733"/>
        <v>3484583.36</v>
      </c>
      <c r="E2349" s="417">
        <v>23900</v>
      </c>
      <c r="F2349" s="417">
        <v>-2900</v>
      </c>
      <c r="G2349" s="415">
        <f t="shared" si="740"/>
        <v>3505583.36</v>
      </c>
      <c r="H2349" s="418"/>
      <c r="I2349" s="415">
        <f t="shared" si="734"/>
        <v>1012657.55</v>
      </c>
      <c r="J2349" s="442">
        <f t="shared" si="735"/>
        <v>5.0799999999999998E-2</v>
      </c>
      <c r="K2349" s="418">
        <f t="shared" si="736"/>
        <v>14796</v>
      </c>
      <c r="L2349" s="418">
        <f t="shared" si="737"/>
        <v>2900</v>
      </c>
      <c r="M2349" s="417">
        <v>-100</v>
      </c>
      <c r="N2349" s="408">
        <f t="shared" si="738"/>
        <v>1024453.55</v>
      </c>
    </row>
    <row r="2350" spans="1:14" x14ac:dyDescent="0.2">
      <c r="A2350" s="405">
        <f t="shared" si="739"/>
        <v>7</v>
      </c>
      <c r="B2350" s="446">
        <v>387.2</v>
      </c>
      <c r="C2350" s="414" t="s">
        <v>1057</v>
      </c>
      <c r="D2350" s="415">
        <f t="shared" si="733"/>
        <v>0</v>
      </c>
      <c r="E2350" s="417">
        <v>0</v>
      </c>
      <c r="F2350" s="417">
        <v>0</v>
      </c>
      <c r="G2350" s="415">
        <f t="shared" si="740"/>
        <v>0</v>
      </c>
      <c r="H2350" s="418"/>
      <c r="I2350" s="415">
        <f t="shared" si="734"/>
        <v>-59912.03</v>
      </c>
      <c r="J2350" s="442">
        <f t="shared" si="735"/>
        <v>0</v>
      </c>
      <c r="K2350" s="418">
        <f t="shared" si="736"/>
        <v>0</v>
      </c>
      <c r="L2350" s="418">
        <f t="shared" si="737"/>
        <v>0</v>
      </c>
      <c r="M2350" s="417">
        <v>0</v>
      </c>
      <c r="N2350" s="408">
        <f t="shared" si="738"/>
        <v>-59912.03</v>
      </c>
    </row>
    <row r="2351" spans="1:14" x14ac:dyDescent="0.2">
      <c r="A2351" s="405">
        <f t="shared" si="739"/>
        <v>8</v>
      </c>
      <c r="B2351" s="446">
        <v>387.41</v>
      </c>
      <c r="C2351" s="414" t="s">
        <v>1058</v>
      </c>
      <c r="D2351" s="415">
        <f t="shared" si="733"/>
        <v>735770.76</v>
      </c>
      <c r="E2351" s="417">
        <v>0</v>
      </c>
      <c r="F2351" s="417">
        <v>0</v>
      </c>
      <c r="G2351" s="415">
        <f t="shared" si="740"/>
        <v>735770.76</v>
      </c>
      <c r="H2351" s="418"/>
      <c r="I2351" s="415">
        <f t="shared" si="734"/>
        <v>411280.95</v>
      </c>
      <c r="J2351" s="442">
        <f t="shared" si="735"/>
        <v>3.7400000000000003E-2</v>
      </c>
      <c r="K2351" s="418">
        <f t="shared" si="736"/>
        <v>2293</v>
      </c>
      <c r="L2351" s="418">
        <f t="shared" si="737"/>
        <v>0</v>
      </c>
      <c r="M2351" s="417">
        <v>0</v>
      </c>
      <c r="N2351" s="408">
        <f t="shared" si="738"/>
        <v>413573.95</v>
      </c>
    </row>
    <row r="2352" spans="1:14" x14ac:dyDescent="0.2">
      <c r="A2352" s="405">
        <f t="shared" si="739"/>
        <v>9</v>
      </c>
      <c r="B2352" s="446">
        <v>387.42</v>
      </c>
      <c r="C2352" s="414" t="s">
        <v>1059</v>
      </c>
      <c r="D2352" s="415">
        <f t="shared" si="733"/>
        <v>795186.58</v>
      </c>
      <c r="E2352" s="417">
        <v>0</v>
      </c>
      <c r="F2352" s="417">
        <v>0</v>
      </c>
      <c r="G2352" s="415">
        <f>SUM(D2352:F2352)</f>
        <v>795186.58</v>
      </c>
      <c r="H2352" s="418"/>
      <c r="I2352" s="415">
        <f t="shared" si="734"/>
        <v>579803.94999999995</v>
      </c>
      <c r="J2352" s="442">
        <f t="shared" si="735"/>
        <v>3.7400000000000003E-2</v>
      </c>
      <c r="K2352" s="418">
        <f t="shared" si="736"/>
        <v>2478</v>
      </c>
      <c r="L2352" s="418">
        <f t="shared" si="737"/>
        <v>0</v>
      </c>
      <c r="M2352" s="417">
        <v>0</v>
      </c>
      <c r="N2352" s="408">
        <f t="shared" si="738"/>
        <v>582281.94999999995</v>
      </c>
    </row>
    <row r="2353" spans="1:14" x14ac:dyDescent="0.2">
      <c r="A2353" s="405">
        <f t="shared" si="739"/>
        <v>10</v>
      </c>
      <c r="B2353" s="446">
        <v>387.44</v>
      </c>
      <c r="C2353" s="414" t="s">
        <v>1060</v>
      </c>
      <c r="D2353" s="415">
        <f t="shared" si="733"/>
        <v>143283.93</v>
      </c>
      <c r="E2353" s="417">
        <v>0</v>
      </c>
      <c r="F2353" s="417">
        <v>0</v>
      </c>
      <c r="G2353" s="415">
        <f>SUM(D2353:F2353)</f>
        <v>143283.93</v>
      </c>
      <c r="H2353" s="418"/>
      <c r="I2353" s="415">
        <f t="shared" si="734"/>
        <v>51865.55</v>
      </c>
      <c r="J2353" s="442">
        <f t="shared" si="735"/>
        <v>3.7400000000000003E-2</v>
      </c>
      <c r="K2353" s="418">
        <f t="shared" si="736"/>
        <v>447</v>
      </c>
      <c r="L2353" s="418">
        <f t="shared" si="737"/>
        <v>0</v>
      </c>
      <c r="M2353" s="417">
        <v>0</v>
      </c>
      <c r="N2353" s="408">
        <f t="shared" si="738"/>
        <v>52312.55</v>
      </c>
    </row>
    <row r="2354" spans="1:14" x14ac:dyDescent="0.2">
      <c r="A2354" s="405">
        <f t="shared" si="739"/>
        <v>11</v>
      </c>
      <c r="B2354" s="446">
        <v>387.45</v>
      </c>
      <c r="C2354" s="414" t="s">
        <v>1061</v>
      </c>
      <c r="D2354" s="415">
        <f t="shared" si="733"/>
        <v>4366604.66</v>
      </c>
      <c r="E2354" s="417">
        <v>139000</v>
      </c>
      <c r="F2354" s="417">
        <v>-16700</v>
      </c>
      <c r="G2354" s="415">
        <f>SUM(D2354:F2354)</f>
        <v>4488904.66</v>
      </c>
      <c r="H2354" s="418"/>
      <c r="I2354" s="415">
        <f t="shared" si="734"/>
        <v>507745.06000000006</v>
      </c>
      <c r="J2354" s="442">
        <f t="shared" si="735"/>
        <v>3.7400000000000003E-2</v>
      </c>
      <c r="K2354" s="418">
        <f t="shared" si="736"/>
        <v>13800</v>
      </c>
      <c r="L2354" s="418">
        <f t="shared" si="737"/>
        <v>16700</v>
      </c>
      <c r="M2354" s="417">
        <v>0</v>
      </c>
      <c r="N2354" s="408">
        <f t="shared" si="738"/>
        <v>504845.06000000006</v>
      </c>
    </row>
    <row r="2355" spans="1:14" x14ac:dyDescent="0.2">
      <c r="A2355" s="405">
        <f t="shared" si="739"/>
        <v>12</v>
      </c>
      <c r="B2355" s="446">
        <v>387.46</v>
      </c>
      <c r="C2355" s="414" t="s">
        <v>1062</v>
      </c>
      <c r="D2355" s="421">
        <f t="shared" si="733"/>
        <v>113644.47</v>
      </c>
      <c r="E2355" s="1662">
        <v>0</v>
      </c>
      <c r="F2355" s="1662">
        <v>0</v>
      </c>
      <c r="G2355" s="428">
        <f>SUM(D2355:F2355)</f>
        <v>113644.47</v>
      </c>
      <c r="H2355" s="447"/>
      <c r="I2355" s="421">
        <f t="shared" si="734"/>
        <v>116126.83</v>
      </c>
      <c r="J2355" s="442">
        <f t="shared" si="735"/>
        <v>3.7400000000000003E-2</v>
      </c>
      <c r="K2355" s="421">
        <f t="shared" si="736"/>
        <v>354</v>
      </c>
      <c r="L2355" s="421">
        <f t="shared" si="737"/>
        <v>0</v>
      </c>
      <c r="M2355" s="422">
        <v>0</v>
      </c>
      <c r="N2355" s="423">
        <f t="shared" si="738"/>
        <v>116480.83</v>
      </c>
    </row>
    <row r="2356" spans="1:14" x14ac:dyDescent="0.2">
      <c r="A2356" s="405">
        <f t="shared" si="739"/>
        <v>13</v>
      </c>
      <c r="B2356" s="448"/>
      <c r="C2356" s="386" t="s">
        <v>1063</v>
      </c>
      <c r="D2356" s="418">
        <f>SUM(D2344:D2355,D2304:D2325)</f>
        <v>437032320.37999994</v>
      </c>
      <c r="E2356" s="418">
        <f>SUM(E2344:E2355,E2304:E2325)</f>
        <v>2550766</v>
      </c>
      <c r="F2356" s="418">
        <f>SUM(F2344:F2355,F2304:F2325)</f>
        <v>-306100</v>
      </c>
      <c r="G2356" s="418">
        <f>SUM(G2344:G2355,G2304:G2325)</f>
        <v>439276986.37999994</v>
      </c>
      <c r="H2356" s="418"/>
      <c r="I2356" s="418">
        <f>SUM(I2344:I2355,I2304:I2325)</f>
        <v>149758036.81894737</v>
      </c>
      <c r="J2356" s="418"/>
      <c r="K2356" s="418">
        <f>SUM(K2344:K2355,K2304:K2325)</f>
        <v>1225486.0494736843</v>
      </c>
      <c r="L2356" s="418">
        <f>SUM(L2344:L2355,L2304:L2325)</f>
        <v>306100</v>
      </c>
      <c r="M2356" s="418">
        <f>SUM(M2344:M2355,M2304:M2325)</f>
        <v>-79000</v>
      </c>
      <c r="N2356" s="418">
        <f>SUM(N2344:N2355,N2304:N2325)</f>
        <v>150598422.86842105</v>
      </c>
    </row>
    <row r="2357" spans="1:14" x14ac:dyDescent="0.2">
      <c r="B2357" s="448"/>
      <c r="D2357" s="418"/>
      <c r="E2357" s="418"/>
      <c r="F2357" s="418"/>
      <c r="G2357" s="418"/>
      <c r="H2357" s="418"/>
      <c r="I2357" s="439"/>
      <c r="J2357" s="418"/>
      <c r="K2357" s="418"/>
      <c r="L2357" s="418"/>
      <c r="M2357" s="418"/>
    </row>
    <row r="2358" spans="1:14" x14ac:dyDescent="0.2">
      <c r="A2358" s="405">
        <f>A2356+1</f>
        <v>14</v>
      </c>
      <c r="B2358" s="448"/>
      <c r="C2358" s="411" t="s">
        <v>737</v>
      </c>
      <c r="D2358" s="418"/>
      <c r="E2358" s="418"/>
      <c r="F2358" s="418"/>
      <c r="G2358" s="418"/>
      <c r="H2358" s="418"/>
      <c r="I2358" s="439"/>
      <c r="J2358" s="418"/>
      <c r="K2358" s="418"/>
      <c r="L2358" s="418"/>
      <c r="M2358" s="418"/>
    </row>
    <row r="2359" spans="1:14" x14ac:dyDescent="0.2">
      <c r="A2359" s="410">
        <f>A2358+1</f>
        <v>15</v>
      </c>
      <c r="B2359" s="446">
        <v>391.1</v>
      </c>
      <c r="C2359" s="414" t="s">
        <v>1064</v>
      </c>
      <c r="D2359" s="415">
        <f t="shared" ref="D2359:D2372" si="741">G2253</f>
        <v>848030.71</v>
      </c>
      <c r="E2359" s="417">
        <v>0</v>
      </c>
      <c r="F2359" s="417">
        <v>0</v>
      </c>
      <c r="G2359" s="415">
        <f t="shared" ref="G2359:G2372" si="742">SUM(D2359:F2359)</f>
        <v>848030.71</v>
      </c>
      <c r="H2359" s="418"/>
      <c r="I2359" s="415">
        <f t="shared" ref="I2359:I2372" si="743">N2253</f>
        <v>-17593.22</v>
      </c>
      <c r="J2359" s="442">
        <f t="shared" ref="J2359:J2372" si="744">J2253</f>
        <v>0.05</v>
      </c>
      <c r="K2359" s="418">
        <f>ROUND((G2359+D2359)/2*J2359/12,0)</f>
        <v>3533</v>
      </c>
      <c r="L2359" s="418">
        <f t="shared" ref="L2359:L2372" si="745">-F2359</f>
        <v>0</v>
      </c>
      <c r="M2359" s="417">
        <v>0</v>
      </c>
      <c r="N2359" s="408">
        <f t="shared" ref="N2359:N2372" si="746">I2359+K2359-L2359+M2359</f>
        <v>-14060.220000000001</v>
      </c>
    </row>
    <row r="2360" spans="1:14" x14ac:dyDescent="0.2">
      <c r="A2360" s="410">
        <f t="shared" ref="A2360:A2373" si="747">A2359+1</f>
        <v>16</v>
      </c>
      <c r="B2360" s="446">
        <v>391.11</v>
      </c>
      <c r="C2360" s="414" t="s">
        <v>1065</v>
      </c>
      <c r="D2360" s="415">
        <f t="shared" si="741"/>
        <v>18815.57</v>
      </c>
      <c r="E2360" s="417">
        <v>0</v>
      </c>
      <c r="F2360" s="417">
        <v>0</v>
      </c>
      <c r="G2360" s="415">
        <f t="shared" si="742"/>
        <v>18815.57</v>
      </c>
      <c r="H2360" s="418"/>
      <c r="I2360" s="415">
        <f t="shared" si="743"/>
        <v>-10829.77</v>
      </c>
      <c r="J2360" s="442">
        <f t="shared" si="744"/>
        <v>6.6699999999999995E-2</v>
      </c>
      <c r="K2360" s="418">
        <f>ROUND((G2360+D2360)/2*J2360/12,0)</f>
        <v>105</v>
      </c>
      <c r="L2360" s="418">
        <f t="shared" si="745"/>
        <v>0</v>
      </c>
      <c r="M2360" s="417">
        <v>0</v>
      </c>
      <c r="N2360" s="408">
        <f t="shared" si="746"/>
        <v>-10724.77</v>
      </c>
    </row>
    <row r="2361" spans="1:14" x14ac:dyDescent="0.2">
      <c r="A2361" s="410">
        <f t="shared" si="747"/>
        <v>17</v>
      </c>
      <c r="B2361" s="446">
        <v>391.12</v>
      </c>
      <c r="C2361" s="414" t="s">
        <v>1066</v>
      </c>
      <c r="D2361" s="415">
        <f t="shared" si="741"/>
        <v>1407883.4100000001</v>
      </c>
      <c r="E2361" s="417">
        <v>0</v>
      </c>
      <c r="F2361" s="417">
        <v>0</v>
      </c>
      <c r="G2361" s="415">
        <f t="shared" si="742"/>
        <v>1407883.4100000001</v>
      </c>
      <c r="H2361" s="418"/>
      <c r="I2361" s="415">
        <f t="shared" si="743"/>
        <v>839760.37</v>
      </c>
      <c r="J2361" s="442">
        <f t="shared" si="744"/>
        <v>0.2</v>
      </c>
      <c r="K2361" s="418">
        <f>ROUND((G2361+D2361)/2*J2361/12,0)</f>
        <v>23465</v>
      </c>
      <c r="L2361" s="418">
        <f t="shared" si="745"/>
        <v>0</v>
      </c>
      <c r="M2361" s="417">
        <v>0</v>
      </c>
      <c r="N2361" s="408">
        <f t="shared" si="746"/>
        <v>863225.37</v>
      </c>
    </row>
    <row r="2362" spans="1:14" x14ac:dyDescent="0.2">
      <c r="A2362" s="410">
        <f t="shared" si="747"/>
        <v>18</v>
      </c>
      <c r="B2362" s="446">
        <v>392.2</v>
      </c>
      <c r="C2362" s="414" t="s">
        <v>1067</v>
      </c>
      <c r="D2362" s="415">
        <f t="shared" si="741"/>
        <v>95778</v>
      </c>
      <c r="E2362" s="417">
        <v>0</v>
      </c>
      <c r="F2362" s="417">
        <v>0</v>
      </c>
      <c r="G2362" s="415">
        <f t="shared" si="742"/>
        <v>95778</v>
      </c>
      <c r="H2362" s="418"/>
      <c r="I2362" s="415">
        <f t="shared" si="743"/>
        <v>30685.05</v>
      </c>
      <c r="J2362" s="442">
        <f t="shared" si="744"/>
        <v>9.1499999999999998E-2</v>
      </c>
      <c r="K2362" s="418">
        <f>ROUND((G2362+D2362)/2*J2362/12,0)</f>
        <v>730</v>
      </c>
      <c r="L2362" s="418">
        <f t="shared" si="745"/>
        <v>0</v>
      </c>
      <c r="M2362" s="417">
        <v>0</v>
      </c>
      <c r="N2362" s="408">
        <f t="shared" si="746"/>
        <v>31415.05</v>
      </c>
    </row>
    <row r="2363" spans="1:14" x14ac:dyDescent="0.2">
      <c r="A2363" s="410">
        <f t="shared" si="747"/>
        <v>19</v>
      </c>
      <c r="B2363" s="446">
        <v>392.21</v>
      </c>
      <c r="C2363" s="414" t="s">
        <v>1068</v>
      </c>
      <c r="D2363" s="415">
        <f t="shared" si="741"/>
        <v>24462.2</v>
      </c>
      <c r="E2363" s="417">
        <v>0</v>
      </c>
      <c r="F2363" s="417">
        <v>0</v>
      </c>
      <c r="G2363" s="415">
        <f t="shared" si="742"/>
        <v>24462.2</v>
      </c>
      <c r="H2363" s="418"/>
      <c r="I2363" s="415">
        <f t="shared" si="743"/>
        <v>7244.4</v>
      </c>
      <c r="J2363" s="442">
        <f t="shared" si="744"/>
        <v>9.1499999999999998E-2</v>
      </c>
      <c r="K2363" s="418">
        <f>ROUND((G2363+D2363)/2*J2363/12,0)</f>
        <v>187</v>
      </c>
      <c r="L2363" s="418">
        <f t="shared" si="745"/>
        <v>0</v>
      </c>
      <c r="M2363" s="417">
        <v>0</v>
      </c>
      <c r="N2363" s="408">
        <f t="shared" si="746"/>
        <v>7431.4</v>
      </c>
    </row>
    <row r="2364" spans="1:14" x14ac:dyDescent="0.2">
      <c r="A2364" s="410">
        <f t="shared" si="747"/>
        <v>20</v>
      </c>
      <c r="B2364" s="446">
        <v>393</v>
      </c>
      <c r="C2364" s="414" t="s">
        <v>1069</v>
      </c>
      <c r="D2364" s="415">
        <f t="shared" si="741"/>
        <v>0</v>
      </c>
      <c r="E2364" s="417">
        <v>0</v>
      </c>
      <c r="F2364" s="417">
        <v>0</v>
      </c>
      <c r="G2364" s="415">
        <f t="shared" si="742"/>
        <v>0</v>
      </c>
      <c r="H2364" s="418"/>
      <c r="I2364" s="415">
        <f t="shared" si="743"/>
        <v>0</v>
      </c>
      <c r="J2364" s="442" t="str">
        <f t="shared" si="744"/>
        <v>Amort.</v>
      </c>
      <c r="K2364" s="417">
        <v>0</v>
      </c>
      <c r="L2364" s="418">
        <f t="shared" si="745"/>
        <v>0</v>
      </c>
      <c r="M2364" s="417">
        <v>0</v>
      </c>
      <c r="N2364" s="408">
        <f t="shared" si="746"/>
        <v>0</v>
      </c>
    </row>
    <row r="2365" spans="1:14" x14ac:dyDescent="0.2">
      <c r="A2365" s="410">
        <f t="shared" si="747"/>
        <v>21</v>
      </c>
      <c r="B2365" s="446">
        <v>394.1</v>
      </c>
      <c r="C2365" s="414" t="s">
        <v>1070</v>
      </c>
      <c r="D2365" s="415">
        <f t="shared" si="741"/>
        <v>24240.799999999999</v>
      </c>
      <c r="E2365" s="417">
        <v>0</v>
      </c>
      <c r="F2365" s="417">
        <v>0</v>
      </c>
      <c r="G2365" s="415">
        <f t="shared" si="742"/>
        <v>24240.799999999999</v>
      </c>
      <c r="H2365" s="418"/>
      <c r="I2365" s="415">
        <f t="shared" si="743"/>
        <v>15499.82</v>
      </c>
      <c r="J2365" s="442">
        <f t="shared" si="744"/>
        <v>0.04</v>
      </c>
      <c r="K2365" s="418">
        <f t="shared" ref="K2365:K2372" si="748">ROUND((G2365+D2365)/2*J2365/12,0)</f>
        <v>81</v>
      </c>
      <c r="L2365" s="418">
        <f t="shared" si="745"/>
        <v>0</v>
      </c>
      <c r="M2365" s="417">
        <v>0</v>
      </c>
      <c r="N2365" s="408">
        <f t="shared" si="746"/>
        <v>15580.82</v>
      </c>
    </row>
    <row r="2366" spans="1:14" x14ac:dyDescent="0.2">
      <c r="A2366" s="410">
        <f t="shared" si="747"/>
        <v>22</v>
      </c>
      <c r="B2366" s="446">
        <v>394.11</v>
      </c>
      <c r="C2366" s="414" t="s">
        <v>1071</v>
      </c>
      <c r="D2366" s="415">
        <f t="shared" si="741"/>
        <v>0</v>
      </c>
      <c r="E2366" s="417">
        <v>0</v>
      </c>
      <c r="F2366" s="417">
        <v>0</v>
      </c>
      <c r="G2366" s="415">
        <f t="shared" si="742"/>
        <v>0</v>
      </c>
      <c r="H2366" s="418"/>
      <c r="I2366" s="415">
        <f t="shared" si="743"/>
        <v>0</v>
      </c>
      <c r="J2366" s="442">
        <f t="shared" si="744"/>
        <v>0</v>
      </c>
      <c r="K2366" s="417">
        <v>0</v>
      </c>
      <c r="L2366" s="418">
        <f t="shared" si="745"/>
        <v>0</v>
      </c>
      <c r="M2366" s="417">
        <v>0</v>
      </c>
      <c r="N2366" s="408">
        <f t="shared" si="746"/>
        <v>0</v>
      </c>
    </row>
    <row r="2367" spans="1:14" x14ac:dyDescent="0.2">
      <c r="A2367" s="410">
        <f t="shared" si="747"/>
        <v>23</v>
      </c>
      <c r="B2367" s="446">
        <v>394.13</v>
      </c>
      <c r="C2367" s="438" t="s">
        <v>1072</v>
      </c>
      <c r="D2367" s="415">
        <f t="shared" si="741"/>
        <v>0</v>
      </c>
      <c r="E2367" s="417">
        <v>0</v>
      </c>
      <c r="F2367" s="417">
        <v>0</v>
      </c>
      <c r="G2367" s="415">
        <f t="shared" si="742"/>
        <v>0</v>
      </c>
      <c r="H2367" s="418"/>
      <c r="I2367" s="415">
        <f t="shared" si="743"/>
        <v>37937.360000000001</v>
      </c>
      <c r="J2367" s="442" t="str">
        <f t="shared" si="744"/>
        <v>Amort.</v>
      </c>
      <c r="K2367" s="417">
        <v>0</v>
      </c>
      <c r="L2367" s="418">
        <f t="shared" si="745"/>
        <v>0</v>
      </c>
      <c r="M2367" s="417">
        <v>0</v>
      </c>
      <c r="N2367" s="408">
        <f t="shared" si="746"/>
        <v>37937.360000000001</v>
      </c>
    </row>
    <row r="2368" spans="1:14" x14ac:dyDescent="0.2">
      <c r="A2368" s="410">
        <f t="shared" si="747"/>
        <v>24</v>
      </c>
      <c r="B2368" s="446">
        <v>394.2</v>
      </c>
      <c r="C2368" s="414" t="s">
        <v>1073</v>
      </c>
      <c r="D2368" s="415">
        <f t="shared" si="741"/>
        <v>0</v>
      </c>
      <c r="E2368" s="417">
        <v>0</v>
      </c>
      <c r="F2368" s="417">
        <v>0</v>
      </c>
      <c r="G2368" s="415">
        <f t="shared" si="742"/>
        <v>0</v>
      </c>
      <c r="H2368" s="418"/>
      <c r="I2368" s="415">
        <f t="shared" si="743"/>
        <v>185.21</v>
      </c>
      <c r="J2368" s="442">
        <f t="shared" si="744"/>
        <v>0.04</v>
      </c>
      <c r="K2368" s="418">
        <f t="shared" si="748"/>
        <v>0</v>
      </c>
      <c r="L2368" s="418">
        <f t="shared" si="745"/>
        <v>0</v>
      </c>
      <c r="M2368" s="417">
        <v>0</v>
      </c>
      <c r="N2368" s="408">
        <f t="shared" si="746"/>
        <v>185.21</v>
      </c>
    </row>
    <row r="2369" spans="1:15" x14ac:dyDescent="0.2">
      <c r="A2369" s="410">
        <f t="shared" si="747"/>
        <v>25</v>
      </c>
      <c r="B2369" s="446">
        <v>394.3</v>
      </c>
      <c r="C2369" s="414" t="s">
        <v>1074</v>
      </c>
      <c r="D2369" s="415">
        <f t="shared" si="741"/>
        <v>3720721.16</v>
      </c>
      <c r="E2369" s="417">
        <v>68400</v>
      </c>
      <c r="F2369" s="417">
        <v>-8200</v>
      </c>
      <c r="G2369" s="415">
        <f t="shared" si="742"/>
        <v>3780921.16</v>
      </c>
      <c r="H2369" s="418"/>
      <c r="I2369" s="415">
        <f t="shared" si="743"/>
        <v>1369071.15</v>
      </c>
      <c r="J2369" s="442">
        <f t="shared" si="744"/>
        <v>0.04</v>
      </c>
      <c r="K2369" s="418">
        <f t="shared" si="748"/>
        <v>12503</v>
      </c>
      <c r="L2369" s="418">
        <f t="shared" si="745"/>
        <v>8200</v>
      </c>
      <c r="M2369" s="417">
        <v>0</v>
      </c>
      <c r="N2369" s="408">
        <f t="shared" si="746"/>
        <v>1373374.15</v>
      </c>
    </row>
    <row r="2370" spans="1:15" x14ac:dyDescent="0.2">
      <c r="A2370" s="410">
        <f t="shared" si="747"/>
        <v>26</v>
      </c>
      <c r="B2370" s="446">
        <v>395</v>
      </c>
      <c r="C2370" s="414" t="s">
        <v>1075</v>
      </c>
      <c r="D2370" s="415">
        <f t="shared" si="741"/>
        <v>9257.77</v>
      </c>
      <c r="E2370" s="417">
        <v>0</v>
      </c>
      <c r="F2370" s="417">
        <v>0</v>
      </c>
      <c r="G2370" s="415">
        <f t="shared" si="742"/>
        <v>9257.77</v>
      </c>
      <c r="H2370" s="418"/>
      <c r="I2370" s="415">
        <f t="shared" si="743"/>
        <v>7958.59</v>
      </c>
      <c r="J2370" s="442">
        <f t="shared" si="744"/>
        <v>0.05</v>
      </c>
      <c r="K2370" s="418">
        <f t="shared" si="748"/>
        <v>39</v>
      </c>
      <c r="L2370" s="418">
        <f t="shared" si="745"/>
        <v>0</v>
      </c>
      <c r="M2370" s="417">
        <v>0</v>
      </c>
      <c r="N2370" s="408">
        <f t="shared" si="746"/>
        <v>7997.59</v>
      </c>
    </row>
    <row r="2371" spans="1:15" x14ac:dyDescent="0.2">
      <c r="A2371" s="410">
        <f t="shared" si="747"/>
        <v>27</v>
      </c>
      <c r="B2371" s="446">
        <v>396</v>
      </c>
      <c r="C2371" s="414" t="s">
        <v>1076</v>
      </c>
      <c r="D2371" s="415">
        <f t="shared" si="741"/>
        <v>253134.72</v>
      </c>
      <c r="E2371" s="417">
        <v>0</v>
      </c>
      <c r="F2371" s="417">
        <v>0</v>
      </c>
      <c r="G2371" s="415">
        <f t="shared" si="742"/>
        <v>253134.72</v>
      </c>
      <c r="H2371" s="418"/>
      <c r="I2371" s="415">
        <f t="shared" si="743"/>
        <v>205327.72</v>
      </c>
      <c r="J2371" s="442">
        <f t="shared" si="744"/>
        <v>2.5899999999999999E-2</v>
      </c>
      <c r="K2371" s="418">
        <f t="shared" si="748"/>
        <v>546</v>
      </c>
      <c r="L2371" s="418">
        <f t="shared" si="745"/>
        <v>0</v>
      </c>
      <c r="M2371" s="417">
        <v>0</v>
      </c>
      <c r="N2371" s="408">
        <f t="shared" si="746"/>
        <v>205873.72</v>
      </c>
    </row>
    <row r="2372" spans="1:15" x14ac:dyDescent="0.2">
      <c r="A2372" s="410">
        <f t="shared" si="747"/>
        <v>28</v>
      </c>
      <c r="B2372" s="446">
        <v>398</v>
      </c>
      <c r="C2372" s="414" t="s">
        <v>1077</v>
      </c>
      <c r="D2372" s="421">
        <f t="shared" si="741"/>
        <v>308161.94</v>
      </c>
      <c r="E2372" s="1662">
        <v>4600</v>
      </c>
      <c r="F2372" s="1662">
        <v>-600</v>
      </c>
      <c r="G2372" s="421">
        <f t="shared" si="742"/>
        <v>312161.94</v>
      </c>
      <c r="H2372" s="447"/>
      <c r="I2372" s="421">
        <f t="shared" si="743"/>
        <v>15293.59</v>
      </c>
      <c r="J2372" s="442">
        <f t="shared" si="744"/>
        <v>6.6699999999999995E-2</v>
      </c>
      <c r="K2372" s="421">
        <f t="shared" si="748"/>
        <v>1724</v>
      </c>
      <c r="L2372" s="421">
        <f t="shared" si="745"/>
        <v>600</v>
      </c>
      <c r="M2372" s="430">
        <v>0</v>
      </c>
      <c r="N2372" s="423">
        <f t="shared" si="746"/>
        <v>16417.59</v>
      </c>
    </row>
    <row r="2373" spans="1:15" x14ac:dyDescent="0.2">
      <c r="A2373" s="410">
        <f t="shared" si="747"/>
        <v>29</v>
      </c>
      <c r="C2373" s="386" t="s">
        <v>1078</v>
      </c>
      <c r="D2373" s="447">
        <f>SUM(D2359:D2372)</f>
        <v>6710486.2799999993</v>
      </c>
      <c r="E2373" s="447">
        <f>SUM(E2359:E2372)</f>
        <v>73000</v>
      </c>
      <c r="F2373" s="447">
        <f>SUM(F2359:F2372)</f>
        <v>-8800</v>
      </c>
      <c r="G2373" s="447">
        <f>SUM(G2359:G2372)</f>
        <v>6774686.2799999993</v>
      </c>
      <c r="H2373" s="447"/>
      <c r="I2373" s="447">
        <f>SUM(I2359:I2372)</f>
        <v>2500540.27</v>
      </c>
      <c r="J2373" s="424"/>
      <c r="K2373" s="447">
        <f>SUM(K2359:K2372)</f>
        <v>42913</v>
      </c>
      <c r="L2373" s="447">
        <f>SUM(L2359:L2372)</f>
        <v>8800</v>
      </c>
      <c r="M2373" s="447">
        <f>SUM(M2359:M2372)</f>
        <v>0</v>
      </c>
      <c r="N2373" s="447">
        <f>SUM(N2359:N2372)</f>
        <v>2534653.27</v>
      </c>
    </row>
    <row r="2374" spans="1:15" x14ac:dyDescent="0.2">
      <c r="D2374" s="418"/>
      <c r="E2374" s="418"/>
      <c r="F2374" s="418"/>
      <c r="G2374" s="418"/>
      <c r="H2374" s="418"/>
      <c r="I2374" s="418"/>
      <c r="J2374" s="432"/>
      <c r="K2374" s="418"/>
      <c r="L2374" s="418"/>
      <c r="M2374" s="418"/>
    </row>
    <row r="2375" spans="1:15" x14ac:dyDescent="0.2">
      <c r="A2375" s="405">
        <f>A2373+1</f>
        <v>30</v>
      </c>
      <c r="B2375" s="448"/>
      <c r="C2375" s="411" t="s">
        <v>2287</v>
      </c>
      <c r="D2375" s="418"/>
      <c r="E2375" s="418"/>
      <c r="F2375" s="418"/>
      <c r="G2375" s="418"/>
      <c r="H2375" s="418"/>
      <c r="I2375" s="439"/>
      <c r="J2375" s="418"/>
      <c r="K2375" s="418"/>
      <c r="L2375" s="418"/>
      <c r="M2375" s="418"/>
    </row>
    <row r="2376" spans="1:15" x14ac:dyDescent="0.2">
      <c r="A2376" s="1722">
        <f>A2375+1</f>
        <v>31</v>
      </c>
      <c r="B2376" s="446">
        <v>378.21</v>
      </c>
      <c r="C2376" s="1725" t="s">
        <v>2244</v>
      </c>
      <c r="D2376" s="415">
        <f>G2270</f>
        <v>-777092</v>
      </c>
      <c r="E2376" s="417">
        <v>0</v>
      </c>
      <c r="F2376" s="417">
        <v>0</v>
      </c>
      <c r="G2376" s="415">
        <f t="shared" ref="G2376" si="749">SUM(D2376:F2376)</f>
        <v>-777092</v>
      </c>
      <c r="H2376" s="418"/>
      <c r="I2376" s="415">
        <f>N2270</f>
        <v>-66139.446666666583</v>
      </c>
      <c r="J2376" s="419" t="s">
        <v>1094</v>
      </c>
      <c r="K2376" s="417">
        <v>-2158.5833333333321</v>
      </c>
      <c r="L2376" s="418">
        <f t="shared" ref="L2376" si="750">-F2376</f>
        <v>0</v>
      </c>
      <c r="M2376" s="417">
        <v>0</v>
      </c>
      <c r="N2376" s="408">
        <f t="shared" ref="N2376" si="751">I2376+K2376-L2376+M2376</f>
        <v>-68298.029999999912</v>
      </c>
      <c r="O2376" s="408"/>
    </row>
    <row r="2377" spans="1:15" x14ac:dyDescent="0.2">
      <c r="A2377" s="1722"/>
      <c r="B2377" s="446"/>
      <c r="C2377" s="438"/>
      <c r="D2377" s="415"/>
      <c r="E2377" s="417"/>
      <c r="F2377" s="417"/>
      <c r="G2377" s="415"/>
      <c r="H2377" s="418"/>
      <c r="I2377" s="419"/>
      <c r="J2377" s="419"/>
      <c r="K2377" s="417"/>
      <c r="L2377" s="418"/>
      <c r="M2377" s="417"/>
      <c r="N2377" s="408"/>
      <c r="O2377" s="408"/>
    </row>
    <row r="2378" spans="1:15" x14ac:dyDescent="0.2">
      <c r="A2378" s="410">
        <f>A2376+1</f>
        <v>32</v>
      </c>
      <c r="C2378" s="386" t="s">
        <v>774</v>
      </c>
      <c r="D2378" s="450">
        <f>D2373+D2356+D2301+D2297+D2376</f>
        <v>452711169.36999989</v>
      </c>
      <c r="E2378" s="450">
        <f>E2373+E2356+E2301+E2297+E2376</f>
        <v>2670366</v>
      </c>
      <c r="F2378" s="450">
        <f>F2373+F2356+F2301+F2297+F2376</f>
        <v>-314900</v>
      </c>
      <c r="G2378" s="450">
        <f>G2373+G2356+G2301+G2297+G2376</f>
        <v>455066635.36999989</v>
      </c>
      <c r="H2378" s="418"/>
      <c r="I2378" s="450">
        <f>I2373+I2356+I2301+I2297+I2376</f>
        <v>156254857.51116639</v>
      </c>
      <c r="J2378" s="451"/>
      <c r="K2378" s="450">
        <f>K2373+K2356+K2301+K2297+K2376</f>
        <v>1391461.9587856997</v>
      </c>
      <c r="L2378" s="450">
        <f>L2373+L2356+L2301+L2297+L2376</f>
        <v>314900</v>
      </c>
      <c r="M2378" s="450">
        <f>M2373+M2356+M2301+M2297+M2376</f>
        <v>-79000</v>
      </c>
      <c r="N2378" s="450">
        <f>N2373+N2356+N2301+N2297+N2376</f>
        <v>157252419.46995205</v>
      </c>
    </row>
  </sheetData>
  <mergeCells count="270">
    <mergeCell ref="A2276:N2276"/>
    <mergeCell ref="A2277:N2277"/>
    <mergeCell ref="D2336:G2336"/>
    <mergeCell ref="I2336:N2336"/>
    <mergeCell ref="D2283:G2283"/>
    <mergeCell ref="I2283:N2283"/>
    <mergeCell ref="A2327:N2327"/>
    <mergeCell ref="A2328:N2328"/>
    <mergeCell ref="A2329:N2329"/>
    <mergeCell ref="A2330:N2330"/>
    <mergeCell ref="A2274:N2274"/>
    <mergeCell ref="A2275:N2275"/>
    <mergeCell ref="A2170:N2170"/>
    <mergeCell ref="A2171:N2171"/>
    <mergeCell ref="D2177:G2177"/>
    <mergeCell ref="I2177:N2177"/>
    <mergeCell ref="A2221:N2221"/>
    <mergeCell ref="A2222:N2222"/>
    <mergeCell ref="A2223:N2223"/>
    <mergeCell ref="A2224:N2224"/>
    <mergeCell ref="D2230:G2230"/>
    <mergeCell ref="I2230:N2230"/>
    <mergeCell ref="A2168:N2168"/>
    <mergeCell ref="A2169:N2169"/>
    <mergeCell ref="A2064:N2064"/>
    <mergeCell ref="A2065:N2065"/>
    <mergeCell ref="D2071:G2071"/>
    <mergeCell ref="I2071:N2071"/>
    <mergeCell ref="A2115:N2115"/>
    <mergeCell ref="A2116:N2116"/>
    <mergeCell ref="A2117:N2117"/>
    <mergeCell ref="A2118:N2118"/>
    <mergeCell ref="D2124:G2124"/>
    <mergeCell ref="I2124:N2124"/>
    <mergeCell ref="A2062:N2062"/>
    <mergeCell ref="A2063:N2063"/>
    <mergeCell ref="A1958:N1958"/>
    <mergeCell ref="A1959:N1959"/>
    <mergeCell ref="D1965:G1965"/>
    <mergeCell ref="I1965:N1965"/>
    <mergeCell ref="A2009:N2009"/>
    <mergeCell ref="A2010:N2010"/>
    <mergeCell ref="A2011:N2011"/>
    <mergeCell ref="A2012:N2012"/>
    <mergeCell ref="D2018:G2018"/>
    <mergeCell ref="I2018:N2018"/>
    <mergeCell ref="A1956:N1956"/>
    <mergeCell ref="A1957:N1957"/>
    <mergeCell ref="A1852:N1852"/>
    <mergeCell ref="A1853:N1853"/>
    <mergeCell ref="D1859:G1859"/>
    <mergeCell ref="I1859:N1859"/>
    <mergeCell ref="A1903:N1903"/>
    <mergeCell ref="A1904:N1904"/>
    <mergeCell ref="A1905:N1905"/>
    <mergeCell ref="A1906:N1906"/>
    <mergeCell ref="D1912:G1912"/>
    <mergeCell ref="I1912:N1912"/>
    <mergeCell ref="A1850:N1850"/>
    <mergeCell ref="A1851:N1851"/>
    <mergeCell ref="A1746:N1746"/>
    <mergeCell ref="A1747:N1747"/>
    <mergeCell ref="D1753:G1753"/>
    <mergeCell ref="I1753:N1753"/>
    <mergeCell ref="A1797:N1797"/>
    <mergeCell ref="A1798:N1798"/>
    <mergeCell ref="A1799:N1799"/>
    <mergeCell ref="A1800:N1800"/>
    <mergeCell ref="D1806:G1806"/>
    <mergeCell ref="I1806:N1806"/>
    <mergeCell ref="A1744:N1744"/>
    <mergeCell ref="A1745:N1745"/>
    <mergeCell ref="A1640:N1640"/>
    <mergeCell ref="A1641:N1641"/>
    <mergeCell ref="D1647:G1647"/>
    <mergeCell ref="I1647:N1647"/>
    <mergeCell ref="A1691:N1691"/>
    <mergeCell ref="A1692:N1692"/>
    <mergeCell ref="A1693:N1693"/>
    <mergeCell ref="A1694:N1694"/>
    <mergeCell ref="D1700:G1700"/>
    <mergeCell ref="I1700:N1700"/>
    <mergeCell ref="A1638:N1638"/>
    <mergeCell ref="A1639:N1639"/>
    <mergeCell ref="A1534:N1534"/>
    <mergeCell ref="A1535:N1535"/>
    <mergeCell ref="D1541:G1541"/>
    <mergeCell ref="I1541:N1541"/>
    <mergeCell ref="A1585:N1585"/>
    <mergeCell ref="A1586:N1586"/>
    <mergeCell ref="A1587:N1587"/>
    <mergeCell ref="A1588:N1588"/>
    <mergeCell ref="D1594:G1594"/>
    <mergeCell ref="I1594:N1594"/>
    <mergeCell ref="A1532:N1532"/>
    <mergeCell ref="A1533:N1533"/>
    <mergeCell ref="A1428:N1428"/>
    <mergeCell ref="A1429:N1429"/>
    <mergeCell ref="D1435:G1435"/>
    <mergeCell ref="I1435:N1435"/>
    <mergeCell ref="A1479:N1479"/>
    <mergeCell ref="A1480:N1480"/>
    <mergeCell ref="A1481:N1481"/>
    <mergeCell ref="A1482:N1482"/>
    <mergeCell ref="D1488:G1488"/>
    <mergeCell ref="I1488:N1488"/>
    <mergeCell ref="A1426:N1426"/>
    <mergeCell ref="A1427:N1427"/>
    <mergeCell ref="A1322:N1322"/>
    <mergeCell ref="A1323:N1323"/>
    <mergeCell ref="D1329:G1329"/>
    <mergeCell ref="I1329:N1329"/>
    <mergeCell ref="A1373:N1373"/>
    <mergeCell ref="A1374:N1374"/>
    <mergeCell ref="A1375:N1375"/>
    <mergeCell ref="A1376:N1376"/>
    <mergeCell ref="D1382:G1382"/>
    <mergeCell ref="I1382:N1382"/>
    <mergeCell ref="A1320:N1320"/>
    <mergeCell ref="A1321:N1321"/>
    <mergeCell ref="A1216:N1216"/>
    <mergeCell ref="A1217:N1217"/>
    <mergeCell ref="D1223:G1223"/>
    <mergeCell ref="I1223:N1223"/>
    <mergeCell ref="A1267:N1267"/>
    <mergeCell ref="A1268:N1268"/>
    <mergeCell ref="A1269:N1269"/>
    <mergeCell ref="A1270:N1270"/>
    <mergeCell ref="D1276:G1276"/>
    <mergeCell ref="I1276:N1276"/>
    <mergeCell ref="A1214:N1214"/>
    <mergeCell ref="A1215:N1215"/>
    <mergeCell ref="A1110:N1110"/>
    <mergeCell ref="A1111:N1111"/>
    <mergeCell ref="D1117:G1117"/>
    <mergeCell ref="I1117:N1117"/>
    <mergeCell ref="A1161:N1161"/>
    <mergeCell ref="A1162:N1162"/>
    <mergeCell ref="A1163:N1163"/>
    <mergeCell ref="A1164:N1164"/>
    <mergeCell ref="D1170:G1170"/>
    <mergeCell ref="I1170:N1170"/>
    <mergeCell ref="A1108:N1108"/>
    <mergeCell ref="A1109:N1109"/>
    <mergeCell ref="A1004:N1004"/>
    <mergeCell ref="A1005:N1005"/>
    <mergeCell ref="D1011:G1011"/>
    <mergeCell ref="I1011:N1011"/>
    <mergeCell ref="A1055:N1055"/>
    <mergeCell ref="A1056:N1056"/>
    <mergeCell ref="A1057:N1057"/>
    <mergeCell ref="A1058:N1058"/>
    <mergeCell ref="D1064:G1064"/>
    <mergeCell ref="I1064:N1064"/>
    <mergeCell ref="A1002:N1002"/>
    <mergeCell ref="A1003:N1003"/>
    <mergeCell ref="A898:N898"/>
    <mergeCell ref="A899:N899"/>
    <mergeCell ref="D905:G905"/>
    <mergeCell ref="I905:N905"/>
    <mergeCell ref="A949:N949"/>
    <mergeCell ref="A950:N950"/>
    <mergeCell ref="A951:N951"/>
    <mergeCell ref="A952:N952"/>
    <mergeCell ref="D958:G958"/>
    <mergeCell ref="I958:N958"/>
    <mergeCell ref="A896:N896"/>
    <mergeCell ref="A897:N897"/>
    <mergeCell ref="A792:N792"/>
    <mergeCell ref="A793:N793"/>
    <mergeCell ref="D799:G799"/>
    <mergeCell ref="I799:N799"/>
    <mergeCell ref="A843:N843"/>
    <mergeCell ref="A844:N844"/>
    <mergeCell ref="A845:N845"/>
    <mergeCell ref="A846:N846"/>
    <mergeCell ref="D852:G852"/>
    <mergeCell ref="I852:N852"/>
    <mergeCell ref="A790:N790"/>
    <mergeCell ref="A791:N791"/>
    <mergeCell ref="A686:N686"/>
    <mergeCell ref="A687:N687"/>
    <mergeCell ref="D693:G693"/>
    <mergeCell ref="I693:N693"/>
    <mergeCell ref="A737:N737"/>
    <mergeCell ref="A738:N738"/>
    <mergeCell ref="A739:N739"/>
    <mergeCell ref="A740:N740"/>
    <mergeCell ref="D746:G746"/>
    <mergeCell ref="I746:N746"/>
    <mergeCell ref="A684:N684"/>
    <mergeCell ref="A685:N685"/>
    <mergeCell ref="A580:N580"/>
    <mergeCell ref="A581:N581"/>
    <mergeCell ref="D587:G587"/>
    <mergeCell ref="I587:N587"/>
    <mergeCell ref="A631:N631"/>
    <mergeCell ref="A632:N632"/>
    <mergeCell ref="A633:N633"/>
    <mergeCell ref="A634:N634"/>
    <mergeCell ref="D640:G640"/>
    <mergeCell ref="I640:N640"/>
    <mergeCell ref="A579:N579"/>
    <mergeCell ref="D428:G428"/>
    <mergeCell ref="I428:N428"/>
    <mergeCell ref="D481:G481"/>
    <mergeCell ref="I481:N481"/>
    <mergeCell ref="A525:N525"/>
    <mergeCell ref="A526:N526"/>
    <mergeCell ref="A472:N472"/>
    <mergeCell ref="A473:N473"/>
    <mergeCell ref="A527:N527"/>
    <mergeCell ref="A528:N528"/>
    <mergeCell ref="D534:G534"/>
    <mergeCell ref="I534:N534"/>
    <mergeCell ref="A474:N474"/>
    <mergeCell ref="A475:N475"/>
    <mergeCell ref="D375:G375"/>
    <mergeCell ref="I375:N375"/>
    <mergeCell ref="A419:N419"/>
    <mergeCell ref="A420:N420"/>
    <mergeCell ref="A421:N421"/>
    <mergeCell ref="A422:N422"/>
    <mergeCell ref="A578:N578"/>
    <mergeCell ref="A262:N262"/>
    <mergeCell ref="A263:N263"/>
    <mergeCell ref="A207:N207"/>
    <mergeCell ref="A208:N208"/>
    <mergeCell ref="A209:N209"/>
    <mergeCell ref="A210:N210"/>
    <mergeCell ref="A368:N368"/>
    <mergeCell ref="A369:N369"/>
    <mergeCell ref="D269:G269"/>
    <mergeCell ref="I269:N269"/>
    <mergeCell ref="A313:N313"/>
    <mergeCell ref="A314:N314"/>
    <mergeCell ref="A315:N315"/>
    <mergeCell ref="A316:N316"/>
    <mergeCell ref="D322:G322"/>
    <mergeCell ref="I322:N322"/>
    <mergeCell ref="A366:N366"/>
    <mergeCell ref="A367:N367"/>
    <mergeCell ref="A260:N260"/>
    <mergeCell ref="A261:N261"/>
    <mergeCell ref="D216:G216"/>
    <mergeCell ref="I216:N216"/>
    <mergeCell ref="A156:N156"/>
    <mergeCell ref="A157:N157"/>
    <mergeCell ref="A154:N154"/>
    <mergeCell ref="A155:N155"/>
    <mergeCell ref="A103:N103"/>
    <mergeCell ref="A104:N104"/>
    <mergeCell ref="D163:G163"/>
    <mergeCell ref="I163:N163"/>
    <mergeCell ref="D110:G110"/>
    <mergeCell ref="I110:N110"/>
    <mergeCell ref="A101:N101"/>
    <mergeCell ref="A102:N102"/>
    <mergeCell ref="A1:N1"/>
    <mergeCell ref="A2:N2"/>
    <mergeCell ref="A3:N3"/>
    <mergeCell ref="A4:N4"/>
    <mergeCell ref="D10:G10"/>
    <mergeCell ref="I10:N10"/>
    <mergeCell ref="A48:N48"/>
    <mergeCell ref="A49:N49"/>
    <mergeCell ref="A50:N50"/>
    <mergeCell ref="A51:N51"/>
    <mergeCell ref="D57:G57"/>
    <mergeCell ref="I57:N57"/>
  </mergeCells>
  <phoneticPr fontId="0" type="noConversion"/>
  <printOptions horizontalCentered="1"/>
  <pageMargins left="0.25" right="0" top="0.5" bottom="0.5" header="0.5" footer="0.5"/>
  <pageSetup scale="77" orientation="landscape" r:id="rId1"/>
  <headerFooter alignWithMargins="0"/>
  <rowBreaks count="44" manualBreakCount="44">
    <brk id="47" max="13" man="1"/>
    <brk id="100" max="16383" man="1"/>
    <brk id="153" max="13" man="1"/>
    <brk id="206" max="13" man="1"/>
    <brk id="259" max="13" man="1"/>
    <brk id="312" max="13" man="1"/>
    <brk id="365" max="13" man="1"/>
    <brk id="418" max="13" man="1"/>
    <brk id="471" max="13" man="1"/>
    <brk id="524" max="13" man="1"/>
    <brk id="577" max="13" man="1"/>
    <brk id="630" max="13" man="1"/>
    <brk id="683" max="13" man="1"/>
    <brk id="736" max="13" man="1"/>
    <brk id="789" max="13" man="1"/>
    <brk id="842" max="13" man="1"/>
    <brk id="895" max="13" man="1"/>
    <brk id="948" max="13" man="1"/>
    <brk id="1001" max="13" man="1"/>
    <brk id="1054" max="13" man="1"/>
    <brk id="1107" max="13" man="1"/>
    <brk id="1160" max="13" man="1"/>
    <brk id="1213" max="13" man="1"/>
    <brk id="1266" max="13" man="1"/>
    <brk id="1319" max="13" man="1"/>
    <brk id="1372" max="13" man="1"/>
    <brk id="1425" max="13" man="1"/>
    <brk id="1478" max="13" man="1"/>
    <brk id="1531" max="13" man="1"/>
    <brk id="1584" max="13" man="1"/>
    <brk id="1637" max="13" man="1"/>
    <brk id="1690" max="13" man="1"/>
    <brk id="1743" max="13" man="1"/>
    <brk id="1796" max="13" man="1"/>
    <brk id="1849" max="13" man="1"/>
    <brk id="1902" max="13" man="1"/>
    <brk id="1955" max="13" man="1"/>
    <brk id="2008" max="13" man="1"/>
    <brk id="2061" max="13" man="1"/>
    <brk id="2114" max="13" man="1"/>
    <brk id="2167" max="13" man="1"/>
    <brk id="2220" max="13" man="1"/>
    <brk id="2273" max="13" man="1"/>
    <brk id="2326" max="13" man="1"/>
  </rowBreaks>
  <ignoredErrors>
    <ignoredError sqref="K87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FF0000"/>
  </sheetPr>
  <dimension ref="A1:U190"/>
  <sheetViews>
    <sheetView topLeftCell="A156" zoomScale="80" zoomScaleNormal="80" workbookViewId="0">
      <selection activeCell="D172" sqref="D172:D181"/>
    </sheetView>
  </sheetViews>
  <sheetFormatPr defaultRowHeight="10.5" x14ac:dyDescent="0.15"/>
  <cols>
    <col min="1" max="1" width="4.6640625" customWidth="1"/>
    <col min="2" max="2" width="87.6640625" bestFit="1" customWidth="1"/>
    <col min="3" max="3" width="14.33203125" customWidth="1"/>
    <col min="4" max="4" width="13.5" bestFit="1" customWidth="1"/>
    <col min="5" max="5" width="7.83203125" customWidth="1"/>
    <col min="6" max="6" width="15.1640625" bestFit="1" customWidth="1"/>
    <col min="7" max="14" width="13.5" bestFit="1" customWidth="1"/>
    <col min="15" max="15" width="12.83203125" customWidth="1"/>
    <col min="16" max="16" width="16.1640625" customWidth="1"/>
    <col min="17" max="17" width="13.83203125" customWidth="1"/>
    <col min="18" max="18" width="13.5" bestFit="1" customWidth="1"/>
    <col min="19" max="20" width="11.83203125" bestFit="1" customWidth="1"/>
  </cols>
  <sheetData>
    <row r="1" spans="1:17" ht="12.75" x14ac:dyDescent="0.2">
      <c r="A1" s="2079" t="str">
        <f>co</f>
        <v>COLUMBIA GAS OF KENTUCKY, INC.</v>
      </c>
      <c r="B1" s="2079"/>
      <c r="C1" s="2079"/>
      <c r="D1" s="2079"/>
      <c r="E1" s="2079"/>
      <c r="F1" s="2079"/>
      <c r="G1" s="2079"/>
      <c r="H1" s="2079"/>
      <c r="I1" s="2079"/>
      <c r="J1" s="2079"/>
      <c r="K1" s="2079"/>
      <c r="L1" s="2079"/>
      <c r="M1" s="2079"/>
      <c r="N1" s="2079"/>
      <c r="O1" s="2079"/>
    </row>
    <row r="2" spans="1:17" ht="12.75" x14ac:dyDescent="0.2">
      <c r="A2" s="2079" t="str">
        <f>case</f>
        <v>CASE NO. 2016 - 00162</v>
      </c>
      <c r="B2" s="2079"/>
      <c r="C2" s="2079"/>
      <c r="D2" s="2079"/>
      <c r="E2" s="2079"/>
      <c r="F2" s="2079"/>
      <c r="G2" s="2079"/>
      <c r="H2" s="2079"/>
      <c r="I2" s="2079"/>
      <c r="J2" s="2079"/>
      <c r="K2" s="2079"/>
      <c r="L2" s="2079"/>
      <c r="M2" s="2079"/>
      <c r="N2" s="2079"/>
      <c r="O2" s="2079"/>
    </row>
    <row r="3" spans="1:17" ht="12.75" x14ac:dyDescent="0.2">
      <c r="A3" s="2080" t="s">
        <v>1167</v>
      </c>
      <c r="B3" s="2079"/>
      <c r="C3" s="2079"/>
      <c r="D3" s="2079"/>
      <c r="E3" s="2079"/>
      <c r="F3" s="2079"/>
      <c r="G3" s="2079"/>
      <c r="H3" s="2079"/>
      <c r="I3" s="2079"/>
      <c r="J3" s="2079"/>
      <c r="K3" s="2079"/>
      <c r="L3" s="2079"/>
      <c r="M3" s="2079"/>
      <c r="N3" s="2079"/>
      <c r="O3" s="2079"/>
    </row>
    <row r="4" spans="1:17" ht="12.75" x14ac:dyDescent="0.2">
      <c r="A4" s="2081" t="s">
        <v>2142</v>
      </c>
      <c r="B4" s="2081"/>
      <c r="C4" s="2081"/>
      <c r="D4" s="2081"/>
      <c r="E4" s="2081"/>
      <c r="F4" s="2081"/>
      <c r="G4" s="2081"/>
      <c r="H4" s="2081"/>
      <c r="I4" s="2081"/>
      <c r="J4" s="2081"/>
      <c r="K4" s="2081"/>
      <c r="L4" s="2081"/>
      <c r="M4" s="2081"/>
      <c r="N4" s="2081"/>
      <c r="O4" s="2081"/>
    </row>
    <row r="5" spans="1:17" ht="12.75" x14ac:dyDescent="0.2">
      <c r="A5" s="127"/>
      <c r="B5" s="30"/>
      <c r="C5" s="30"/>
      <c r="D5" s="30"/>
      <c r="E5" s="30"/>
      <c r="F5" s="30"/>
      <c r="G5" s="171"/>
      <c r="H5" s="171"/>
      <c r="I5" s="30"/>
      <c r="J5" s="30"/>
      <c r="K5" s="30"/>
      <c r="L5" s="30"/>
      <c r="M5" s="30"/>
      <c r="N5" s="30"/>
      <c r="O5" s="30"/>
    </row>
    <row r="6" spans="1:17" ht="12.75" x14ac:dyDescent="0.2">
      <c r="A6" s="285" t="s">
        <v>1095</v>
      </c>
      <c r="B6" s="30"/>
      <c r="C6" s="171"/>
      <c r="D6" s="30"/>
      <c r="E6" s="30"/>
      <c r="F6" s="30"/>
      <c r="G6" s="171"/>
      <c r="H6" s="171"/>
      <c r="I6" s="30"/>
      <c r="J6" s="30"/>
      <c r="K6" s="32"/>
      <c r="L6" s="30"/>
      <c r="M6" s="30"/>
      <c r="N6" s="30"/>
      <c r="Q6" s="1256" t="s">
        <v>1761</v>
      </c>
    </row>
    <row r="7" spans="1:17" ht="12.75" x14ac:dyDescent="0.2">
      <c r="A7" s="4" t="s">
        <v>977</v>
      </c>
      <c r="B7" s="30"/>
      <c r="C7" s="30"/>
      <c r="D7" s="30"/>
      <c r="E7" s="30"/>
      <c r="F7" s="30"/>
      <c r="G7" s="171"/>
      <c r="J7" s="30"/>
      <c r="K7" s="32"/>
      <c r="L7" s="30"/>
      <c r="M7" s="30"/>
      <c r="N7" s="30"/>
      <c r="Q7" s="299" t="s">
        <v>1107</v>
      </c>
    </row>
    <row r="8" spans="1:17" ht="12.75" x14ac:dyDescent="0.2">
      <c r="A8" s="200" t="s">
        <v>1712</v>
      </c>
      <c r="B8" s="202"/>
      <c r="C8" s="202"/>
      <c r="D8" s="201"/>
      <c r="E8" s="201"/>
      <c r="F8" s="201"/>
      <c r="G8" s="202"/>
      <c r="I8" s="201"/>
      <c r="J8" s="201"/>
      <c r="K8" s="203"/>
      <c r="L8" s="30"/>
      <c r="M8" s="30"/>
      <c r="N8" s="32"/>
      <c r="Q8" s="204" t="str">
        <f>SMK</f>
        <v>WITNESS:  S. M. KATKO</v>
      </c>
    </row>
    <row r="10" spans="1:17" x14ac:dyDescent="0.15">
      <c r="A10" s="343"/>
      <c r="B10" s="343"/>
      <c r="C10" s="343"/>
      <c r="D10" s="343"/>
      <c r="E10" s="343"/>
      <c r="F10" s="343"/>
      <c r="G10" s="343"/>
      <c r="H10" s="343"/>
      <c r="I10" s="343"/>
      <c r="J10" s="343"/>
      <c r="K10" s="343"/>
      <c r="L10" s="343"/>
      <c r="M10" s="343"/>
      <c r="N10" s="343"/>
    </row>
    <row r="11" spans="1:17" ht="12.75" x14ac:dyDescent="0.2">
      <c r="A11" s="332"/>
      <c r="B11" s="333"/>
      <c r="C11" s="333"/>
      <c r="E11" s="334"/>
      <c r="F11" s="341" t="s">
        <v>1137</v>
      </c>
      <c r="G11" s="340" t="s">
        <v>1089</v>
      </c>
      <c r="H11" s="558">
        <v>42460</v>
      </c>
      <c r="I11" s="558">
        <v>42490</v>
      </c>
      <c r="J11" s="558">
        <v>42521</v>
      </c>
      <c r="K11" s="558">
        <v>42551</v>
      </c>
      <c r="L11" s="558">
        <v>42582</v>
      </c>
      <c r="M11" s="558">
        <v>42613</v>
      </c>
      <c r="N11" s="558">
        <v>42643</v>
      </c>
      <c r="O11" s="558">
        <v>42674</v>
      </c>
      <c r="P11" s="559">
        <v>42704</v>
      </c>
      <c r="Q11" s="559">
        <v>42735</v>
      </c>
    </row>
    <row r="12" spans="1:17" ht="12.75" x14ac:dyDescent="0.2">
      <c r="A12" s="332" t="s">
        <v>1080</v>
      </c>
      <c r="B12" s="333"/>
      <c r="C12" s="332" t="s">
        <v>1138</v>
      </c>
      <c r="D12" s="340" t="s">
        <v>1139</v>
      </c>
      <c r="E12" s="340" t="s">
        <v>1140</v>
      </c>
      <c r="F12" s="341" t="s">
        <v>1141</v>
      </c>
      <c r="G12" s="332" t="s">
        <v>867</v>
      </c>
      <c r="H12" s="332" t="s">
        <v>1142</v>
      </c>
      <c r="I12" s="332" t="s">
        <v>1142</v>
      </c>
      <c r="J12" s="332" t="s">
        <v>1142</v>
      </c>
      <c r="K12" s="332" t="s">
        <v>1142</v>
      </c>
      <c r="L12" s="332" t="s">
        <v>1142</v>
      </c>
      <c r="M12" s="332" t="s">
        <v>1142</v>
      </c>
      <c r="N12" s="332" t="s">
        <v>1142</v>
      </c>
      <c r="O12" s="332" t="s">
        <v>1142</v>
      </c>
      <c r="P12" s="332" t="s">
        <v>1142</v>
      </c>
      <c r="Q12" s="332" t="s">
        <v>1142</v>
      </c>
    </row>
    <row r="13" spans="1:17" ht="12.75" x14ac:dyDescent="0.2">
      <c r="A13" s="344" t="s">
        <v>1081</v>
      </c>
      <c r="B13" s="336" t="s">
        <v>1083</v>
      </c>
      <c r="C13" s="345" t="s">
        <v>1124</v>
      </c>
      <c r="D13" s="346" t="s">
        <v>867</v>
      </c>
      <c r="E13" s="346" t="s">
        <v>1143</v>
      </c>
      <c r="F13" s="557">
        <v>42429</v>
      </c>
      <c r="G13" s="557">
        <v>42429</v>
      </c>
      <c r="H13" s="344" t="s">
        <v>1144</v>
      </c>
      <c r="I13" s="344" t="s">
        <v>1144</v>
      </c>
      <c r="J13" s="344" t="s">
        <v>1144</v>
      </c>
      <c r="K13" s="344" t="s">
        <v>1144</v>
      </c>
      <c r="L13" s="344" t="s">
        <v>1144</v>
      </c>
      <c r="M13" s="344" t="s">
        <v>1144</v>
      </c>
      <c r="N13" s="344" t="s">
        <v>1144</v>
      </c>
      <c r="O13" s="344" t="s">
        <v>1144</v>
      </c>
      <c r="P13" s="344" t="s">
        <v>1144</v>
      </c>
      <c r="Q13" s="344" t="s">
        <v>1144</v>
      </c>
    </row>
    <row r="14" spans="1:17" ht="12.75" x14ac:dyDescent="0.2">
      <c r="A14" s="332"/>
      <c r="B14" s="333"/>
      <c r="C14" s="347" t="s">
        <v>860</v>
      </c>
      <c r="D14" s="347" t="s">
        <v>877</v>
      </c>
      <c r="E14" s="347" t="s">
        <v>878</v>
      </c>
      <c r="F14" s="347" t="s">
        <v>1145</v>
      </c>
      <c r="G14" s="347" t="s">
        <v>1146</v>
      </c>
      <c r="H14" s="347" t="s">
        <v>1147</v>
      </c>
      <c r="M14" s="343"/>
      <c r="N14" s="343"/>
    </row>
    <row r="15" spans="1:17" ht="12.75" x14ac:dyDescent="0.2">
      <c r="A15" s="333"/>
      <c r="B15" s="333"/>
      <c r="C15" s="333"/>
      <c r="D15" s="333"/>
      <c r="E15" s="333"/>
      <c r="F15" s="334"/>
      <c r="G15" s="334"/>
      <c r="H15" s="335"/>
      <c r="K15" s="334"/>
      <c r="L15" s="333"/>
      <c r="M15" s="343"/>
      <c r="N15" s="343"/>
    </row>
    <row r="16" spans="1:17" ht="12.75" x14ac:dyDescent="0.2">
      <c r="A16" s="1682">
        <v>1</v>
      </c>
      <c r="B16" s="336" t="s">
        <v>1164</v>
      </c>
      <c r="C16" s="1683"/>
      <c r="D16" s="1684"/>
      <c r="E16" s="1684"/>
      <c r="F16" s="1685"/>
      <c r="G16" s="1684"/>
      <c r="H16" s="1686"/>
      <c r="I16" s="1687"/>
      <c r="J16" s="1687"/>
      <c r="K16" s="1688"/>
      <c r="L16" s="1689"/>
      <c r="M16" s="1687"/>
      <c r="N16" s="1687"/>
      <c r="O16" s="1687"/>
      <c r="P16" s="1687"/>
      <c r="Q16" s="1687"/>
    </row>
    <row r="17" spans="1:21" ht="12.75" x14ac:dyDescent="0.2">
      <c r="A17" s="1682">
        <f>A16+1</f>
        <v>2</v>
      </c>
      <c r="B17" s="1690" t="s">
        <v>1148</v>
      </c>
      <c r="C17" s="1691">
        <v>303</v>
      </c>
      <c r="D17" s="1551">
        <v>13384.27</v>
      </c>
      <c r="E17" s="1692">
        <v>360</v>
      </c>
      <c r="F17" s="1693">
        <v>118.5</v>
      </c>
      <c r="G17" s="1551">
        <v>9016.01</v>
      </c>
      <c r="H17" s="1551">
        <v>37.18</v>
      </c>
      <c r="I17" s="1551">
        <f>H17</f>
        <v>37.18</v>
      </c>
      <c r="J17" s="1551">
        <f t="shared" ref="J17:Q19" si="0">I17</f>
        <v>37.18</v>
      </c>
      <c r="K17" s="1551">
        <f t="shared" si="0"/>
        <v>37.18</v>
      </c>
      <c r="L17" s="1551">
        <f t="shared" si="0"/>
        <v>37.18</v>
      </c>
      <c r="M17" s="1551">
        <f t="shared" si="0"/>
        <v>37.18</v>
      </c>
      <c r="N17" s="1551">
        <f t="shared" si="0"/>
        <v>37.18</v>
      </c>
      <c r="O17" s="1551">
        <f t="shared" si="0"/>
        <v>37.18</v>
      </c>
      <c r="P17" s="1551">
        <f t="shared" si="0"/>
        <v>37.18</v>
      </c>
      <c r="Q17" s="1551">
        <f t="shared" si="0"/>
        <v>37.18</v>
      </c>
      <c r="R17" s="360"/>
    </row>
    <row r="18" spans="1:21" ht="12.75" x14ac:dyDescent="0.2">
      <c r="A18" s="1682">
        <f>A17+1</f>
        <v>3</v>
      </c>
      <c r="B18" s="1690" t="s">
        <v>1149</v>
      </c>
      <c r="C18" s="1691">
        <v>303</v>
      </c>
      <c r="D18" s="1551">
        <v>45775.63</v>
      </c>
      <c r="E18" s="1692">
        <v>360</v>
      </c>
      <c r="F18" s="1693">
        <v>154.5</v>
      </c>
      <c r="G18" s="1551">
        <v>26257.34</v>
      </c>
      <c r="H18" s="1551">
        <v>127.15</v>
      </c>
      <c r="I18" s="1551">
        <f>H18</f>
        <v>127.15</v>
      </c>
      <c r="J18" s="1551">
        <f t="shared" si="0"/>
        <v>127.15</v>
      </c>
      <c r="K18" s="1551">
        <f t="shared" si="0"/>
        <v>127.15</v>
      </c>
      <c r="L18" s="1551">
        <f t="shared" si="0"/>
        <v>127.15</v>
      </c>
      <c r="M18" s="1551">
        <f t="shared" si="0"/>
        <v>127.15</v>
      </c>
      <c r="N18" s="1551">
        <f t="shared" si="0"/>
        <v>127.15</v>
      </c>
      <c r="O18" s="1551">
        <f t="shared" si="0"/>
        <v>127.15</v>
      </c>
      <c r="P18" s="1551">
        <f t="shared" si="0"/>
        <v>127.15</v>
      </c>
      <c r="Q18" s="1551">
        <f t="shared" si="0"/>
        <v>127.15</v>
      </c>
      <c r="R18" s="360"/>
    </row>
    <row r="19" spans="1:21" ht="12.75" x14ac:dyDescent="0.2">
      <c r="A19" s="1682">
        <f>A18+1</f>
        <v>4</v>
      </c>
      <c r="B19" s="1690" t="s">
        <v>1150</v>
      </c>
      <c r="C19" s="1691">
        <v>303</v>
      </c>
      <c r="D19" s="1694">
        <v>15187.61</v>
      </c>
      <c r="E19" s="1692">
        <v>360</v>
      </c>
      <c r="F19" s="1693">
        <v>111.5</v>
      </c>
      <c r="G19" s="1694">
        <v>10526.08</v>
      </c>
      <c r="H19" s="1694">
        <v>42.19</v>
      </c>
      <c r="I19" s="1694">
        <f>H19</f>
        <v>42.19</v>
      </c>
      <c r="J19" s="1694">
        <f t="shared" si="0"/>
        <v>42.19</v>
      </c>
      <c r="K19" s="1694">
        <f t="shared" si="0"/>
        <v>42.19</v>
      </c>
      <c r="L19" s="1694">
        <f t="shared" si="0"/>
        <v>42.19</v>
      </c>
      <c r="M19" s="1694">
        <f t="shared" si="0"/>
        <v>42.19</v>
      </c>
      <c r="N19" s="1694">
        <f t="shared" si="0"/>
        <v>42.19</v>
      </c>
      <c r="O19" s="1694">
        <f t="shared" si="0"/>
        <v>42.19</v>
      </c>
      <c r="P19" s="1694">
        <f t="shared" si="0"/>
        <v>42.19</v>
      </c>
      <c r="Q19" s="1694">
        <f t="shared" si="0"/>
        <v>42.19</v>
      </c>
      <c r="R19" s="360"/>
    </row>
    <row r="20" spans="1:21" ht="12.75" x14ac:dyDescent="0.2">
      <c r="A20" s="1682">
        <f>A19+1</f>
        <v>5</v>
      </c>
      <c r="B20" s="1695" t="s">
        <v>1166</v>
      </c>
      <c r="C20" s="1691">
        <v>303</v>
      </c>
      <c r="D20" s="1696">
        <f>SUM(D17:D19)</f>
        <v>74347.509999999995</v>
      </c>
      <c r="E20" s="1697"/>
      <c r="F20" s="1698"/>
      <c r="G20" s="1696">
        <f>SUM(G17:G19)</f>
        <v>45799.43</v>
      </c>
      <c r="H20" s="1696">
        <f>SUM(H17:H19)</f>
        <v>206.52</v>
      </c>
      <c r="I20" s="1696">
        <f t="shared" ref="I20:O20" si="1">SUM(I17:I19)</f>
        <v>206.52</v>
      </c>
      <c r="J20" s="1696">
        <f t="shared" si="1"/>
        <v>206.52</v>
      </c>
      <c r="K20" s="1696">
        <f t="shared" si="1"/>
        <v>206.52</v>
      </c>
      <c r="L20" s="1696">
        <f t="shared" si="1"/>
        <v>206.52</v>
      </c>
      <c r="M20" s="1696">
        <f t="shared" si="1"/>
        <v>206.52</v>
      </c>
      <c r="N20" s="1696">
        <f t="shared" si="1"/>
        <v>206.52</v>
      </c>
      <c r="O20" s="1696">
        <f t="shared" si="1"/>
        <v>206.52</v>
      </c>
      <c r="P20" s="1696">
        <f>SUM(P17:P19)</f>
        <v>206.52</v>
      </c>
      <c r="Q20" s="1696">
        <f>SUM(Q17:Q19)</f>
        <v>206.52</v>
      </c>
    </row>
    <row r="21" spans="1:21" ht="12.75" x14ac:dyDescent="0.2">
      <c r="A21" s="332"/>
      <c r="B21" s="333"/>
      <c r="C21" s="333"/>
      <c r="D21" s="333"/>
      <c r="E21" s="350"/>
      <c r="F21" s="351"/>
      <c r="G21" s="335"/>
      <c r="H21" s="333"/>
      <c r="I21" s="333"/>
      <c r="J21" s="333"/>
    </row>
    <row r="22" spans="1:21" ht="12.75" x14ac:dyDescent="0.2">
      <c r="A22" s="332"/>
      <c r="B22" s="905" t="s">
        <v>1165</v>
      </c>
      <c r="C22" s="1699"/>
      <c r="D22" s="1696"/>
      <c r="E22" s="1697"/>
      <c r="F22" s="1698"/>
      <c r="G22" s="1688"/>
      <c r="H22" s="1700"/>
      <c r="I22" s="1688"/>
      <c r="J22" s="1699"/>
      <c r="K22" s="1687"/>
      <c r="L22" s="1687"/>
      <c r="M22" s="1687"/>
      <c r="N22" s="1687"/>
      <c r="O22" s="1687"/>
      <c r="P22" s="1687"/>
      <c r="Q22" s="1687"/>
    </row>
    <row r="23" spans="1:21" ht="12.75" x14ac:dyDescent="0.2">
      <c r="A23" s="332"/>
      <c r="B23" s="1695" t="s">
        <v>2159</v>
      </c>
      <c r="C23" s="1691">
        <v>303.3</v>
      </c>
      <c r="D23" s="1551">
        <v>33686.44</v>
      </c>
      <c r="E23" s="1692">
        <v>60</v>
      </c>
      <c r="F23" s="1701">
        <v>45.5</v>
      </c>
      <c r="G23" s="1551">
        <v>8702.77</v>
      </c>
      <c r="H23" s="1551">
        <v>549.09164835164836</v>
      </c>
      <c r="I23" s="1551">
        <f t="shared" ref="I23:Q38" si="2">H23</f>
        <v>549.09164835164836</v>
      </c>
      <c r="J23" s="1551">
        <f t="shared" si="2"/>
        <v>549.09164835164836</v>
      </c>
      <c r="K23" s="1551">
        <f t="shared" si="2"/>
        <v>549.09164835164836</v>
      </c>
      <c r="L23" s="1551">
        <f t="shared" si="2"/>
        <v>549.09164835164836</v>
      </c>
      <c r="M23" s="1551">
        <f t="shared" si="2"/>
        <v>549.09164835164836</v>
      </c>
      <c r="N23" s="1551">
        <f t="shared" si="2"/>
        <v>549.09164835164836</v>
      </c>
      <c r="O23" s="1551">
        <f t="shared" si="2"/>
        <v>549.09164835164836</v>
      </c>
      <c r="P23" s="1551">
        <f t="shared" si="2"/>
        <v>549.09164835164836</v>
      </c>
      <c r="Q23" s="1551">
        <f t="shared" si="2"/>
        <v>549.09164835164836</v>
      </c>
      <c r="R23" s="360"/>
    </row>
    <row r="24" spans="1:21" ht="12.75" x14ac:dyDescent="0.2">
      <c r="B24" s="1695" t="s">
        <v>2160</v>
      </c>
      <c r="C24" s="1691">
        <v>303.3</v>
      </c>
      <c r="D24" s="1551">
        <v>21052.62</v>
      </c>
      <c r="E24" s="1692">
        <v>60</v>
      </c>
      <c r="F24" s="1701">
        <v>28.5</v>
      </c>
      <c r="G24" s="1551">
        <v>11403.56</v>
      </c>
      <c r="H24" s="1551">
        <v>338.56350877192983</v>
      </c>
      <c r="I24" s="1551">
        <f t="shared" si="2"/>
        <v>338.56350877192983</v>
      </c>
      <c r="J24" s="1551">
        <f t="shared" si="2"/>
        <v>338.56350877192983</v>
      </c>
      <c r="K24" s="1551">
        <f t="shared" si="2"/>
        <v>338.56350877192983</v>
      </c>
      <c r="L24" s="1551">
        <f t="shared" si="2"/>
        <v>338.56350877192983</v>
      </c>
      <c r="M24" s="1551">
        <f t="shared" si="2"/>
        <v>338.56350877192983</v>
      </c>
      <c r="N24" s="1551">
        <f t="shared" si="2"/>
        <v>338.56350877192983</v>
      </c>
      <c r="O24" s="1551">
        <f t="shared" si="2"/>
        <v>338.56350877192983</v>
      </c>
      <c r="P24" s="1551">
        <f t="shared" si="2"/>
        <v>338.56350877192983</v>
      </c>
      <c r="Q24" s="1551">
        <f t="shared" si="2"/>
        <v>338.56350877192983</v>
      </c>
      <c r="T24" s="360"/>
      <c r="U24" s="1658"/>
    </row>
    <row r="25" spans="1:21" ht="12.75" x14ac:dyDescent="0.2">
      <c r="B25" s="1695" t="s">
        <v>2161</v>
      </c>
      <c r="C25" s="1691">
        <v>303.3</v>
      </c>
      <c r="D25" s="1551">
        <v>26251.919999999998</v>
      </c>
      <c r="E25" s="1692">
        <v>60</v>
      </c>
      <c r="F25" s="1701">
        <v>35.5</v>
      </c>
      <c r="G25" s="1551">
        <v>11054.48</v>
      </c>
      <c r="H25" s="1551">
        <v>428.09690140845066</v>
      </c>
      <c r="I25" s="1551">
        <f t="shared" si="2"/>
        <v>428.09690140845066</v>
      </c>
      <c r="J25" s="1551">
        <f t="shared" si="2"/>
        <v>428.09690140845066</v>
      </c>
      <c r="K25" s="1551">
        <f t="shared" si="2"/>
        <v>428.09690140845066</v>
      </c>
      <c r="L25" s="1551">
        <f t="shared" si="2"/>
        <v>428.09690140845066</v>
      </c>
      <c r="M25" s="1551">
        <f t="shared" si="2"/>
        <v>428.09690140845066</v>
      </c>
      <c r="N25" s="1551">
        <f t="shared" si="2"/>
        <v>428.09690140845066</v>
      </c>
      <c r="O25" s="1551">
        <f t="shared" si="2"/>
        <v>428.09690140845066</v>
      </c>
      <c r="P25" s="1551">
        <f t="shared" si="2"/>
        <v>428.09690140845066</v>
      </c>
      <c r="Q25" s="1551">
        <f t="shared" si="2"/>
        <v>428.09690140845066</v>
      </c>
      <c r="T25" s="360"/>
    </row>
    <row r="26" spans="1:21" ht="12.75" x14ac:dyDescent="0.2">
      <c r="B26" s="1695" t="s">
        <v>1159</v>
      </c>
      <c r="C26" s="1691">
        <v>303.3</v>
      </c>
      <c r="D26" s="1551">
        <v>172144.07</v>
      </c>
      <c r="E26" s="1692">
        <v>60</v>
      </c>
      <c r="F26" s="1701">
        <v>10.5</v>
      </c>
      <c r="G26" s="1551">
        <v>145040.81</v>
      </c>
      <c r="H26" s="1551">
        <v>2581.2628571428581</v>
      </c>
      <c r="I26" s="1551">
        <f t="shared" si="2"/>
        <v>2581.2628571428581</v>
      </c>
      <c r="J26" s="1551">
        <f t="shared" si="2"/>
        <v>2581.2628571428581</v>
      </c>
      <c r="K26" s="1551">
        <f t="shared" si="2"/>
        <v>2581.2628571428581</v>
      </c>
      <c r="L26" s="1551">
        <f t="shared" si="2"/>
        <v>2581.2628571428581</v>
      </c>
      <c r="M26" s="1551">
        <f t="shared" si="2"/>
        <v>2581.2628571428581</v>
      </c>
      <c r="N26" s="1551">
        <f t="shared" si="2"/>
        <v>2581.2628571428581</v>
      </c>
      <c r="O26" s="1551">
        <f t="shared" si="2"/>
        <v>2581.2628571428581</v>
      </c>
      <c r="P26" s="1551">
        <f t="shared" si="2"/>
        <v>2581.2628571428581</v>
      </c>
      <c r="Q26" s="1551">
        <f t="shared" si="2"/>
        <v>2581.2628571428581</v>
      </c>
      <c r="S26" s="1140"/>
      <c r="T26" s="360"/>
      <c r="U26" s="1658"/>
    </row>
    <row r="27" spans="1:21" ht="12.75" x14ac:dyDescent="0.2">
      <c r="B27" s="1695" t="s">
        <v>2162</v>
      </c>
      <c r="C27" s="1691">
        <v>303.3</v>
      </c>
      <c r="D27" s="1551">
        <v>54664.73</v>
      </c>
      <c r="E27" s="1692">
        <v>60</v>
      </c>
      <c r="F27" s="1701">
        <v>6.5</v>
      </c>
      <c r="G27" s="1551">
        <v>49633.23</v>
      </c>
      <c r="H27" s="1551">
        <v>774.07692307692309</v>
      </c>
      <c r="I27" s="1551">
        <f t="shared" si="2"/>
        <v>774.07692307692309</v>
      </c>
      <c r="J27" s="1551">
        <f t="shared" si="2"/>
        <v>774.07692307692309</v>
      </c>
      <c r="K27" s="1551">
        <f t="shared" si="2"/>
        <v>774.07692307692309</v>
      </c>
      <c r="L27" s="1551">
        <f t="shared" si="2"/>
        <v>774.07692307692309</v>
      </c>
      <c r="M27" s="1551">
        <f t="shared" si="2"/>
        <v>774.07692307692309</v>
      </c>
      <c r="N27" s="1551">
        <f>M27/2</f>
        <v>387.03846153846155</v>
      </c>
      <c r="O27" s="1551">
        <v>0</v>
      </c>
      <c r="P27" s="1551">
        <v>0</v>
      </c>
      <c r="Q27" s="1551">
        <v>0</v>
      </c>
      <c r="T27" s="360"/>
    </row>
    <row r="28" spans="1:21" ht="12.75" x14ac:dyDescent="0.2">
      <c r="B28" s="1695" t="s">
        <v>2163</v>
      </c>
      <c r="C28" s="1691">
        <v>303.3</v>
      </c>
      <c r="D28" s="1551">
        <v>124184.16</v>
      </c>
      <c r="E28" s="1692">
        <v>60</v>
      </c>
      <c r="F28" s="1701">
        <v>22.5</v>
      </c>
      <c r="G28" s="1551">
        <v>77818.59</v>
      </c>
      <c r="H28" s="1551">
        <v>2060.6920000000005</v>
      </c>
      <c r="I28" s="1551">
        <f t="shared" si="2"/>
        <v>2060.6920000000005</v>
      </c>
      <c r="J28" s="1551">
        <f t="shared" si="2"/>
        <v>2060.6920000000005</v>
      </c>
      <c r="K28" s="1551">
        <f t="shared" si="2"/>
        <v>2060.6920000000005</v>
      </c>
      <c r="L28" s="1551">
        <f t="shared" si="2"/>
        <v>2060.6920000000005</v>
      </c>
      <c r="M28" s="1551">
        <f t="shared" si="2"/>
        <v>2060.6920000000005</v>
      </c>
      <c r="N28" s="1551">
        <f t="shared" si="2"/>
        <v>2060.6920000000005</v>
      </c>
      <c r="O28" s="1551">
        <f t="shared" si="2"/>
        <v>2060.6920000000005</v>
      </c>
      <c r="P28" s="1551">
        <f t="shared" si="2"/>
        <v>2060.6920000000005</v>
      </c>
      <c r="Q28" s="1551">
        <f t="shared" si="2"/>
        <v>2060.6920000000005</v>
      </c>
      <c r="T28" s="360"/>
    </row>
    <row r="29" spans="1:21" ht="12.75" x14ac:dyDescent="0.2">
      <c r="B29" s="1695" t="s">
        <v>2164</v>
      </c>
      <c r="C29" s="1691">
        <v>303.3</v>
      </c>
      <c r="D29" s="1551">
        <v>11675.47</v>
      </c>
      <c r="E29" s="1692">
        <v>60</v>
      </c>
      <c r="F29" s="1701">
        <v>46.5</v>
      </c>
      <c r="G29" s="1551">
        <v>2813.31</v>
      </c>
      <c r="H29" s="1551">
        <v>190.58408602150539</v>
      </c>
      <c r="I29" s="1551">
        <f t="shared" si="2"/>
        <v>190.58408602150539</v>
      </c>
      <c r="J29" s="1551">
        <f t="shared" si="2"/>
        <v>190.58408602150539</v>
      </c>
      <c r="K29" s="1551">
        <f t="shared" si="2"/>
        <v>190.58408602150539</v>
      </c>
      <c r="L29" s="1551">
        <f t="shared" si="2"/>
        <v>190.58408602150539</v>
      </c>
      <c r="M29" s="1551">
        <f t="shared" si="2"/>
        <v>190.58408602150539</v>
      </c>
      <c r="N29" s="1551">
        <f t="shared" si="2"/>
        <v>190.58408602150539</v>
      </c>
      <c r="O29" s="1551">
        <f t="shared" si="2"/>
        <v>190.58408602150539</v>
      </c>
      <c r="P29" s="1551">
        <f t="shared" si="2"/>
        <v>190.58408602150539</v>
      </c>
      <c r="Q29" s="1551">
        <f t="shared" si="2"/>
        <v>190.58408602150539</v>
      </c>
      <c r="T29" s="360"/>
    </row>
    <row r="30" spans="1:21" ht="12.75" x14ac:dyDescent="0.2">
      <c r="B30" s="1695" t="s">
        <v>2165</v>
      </c>
      <c r="C30" s="1691">
        <v>303.3</v>
      </c>
      <c r="D30" s="1551">
        <v>60215.95</v>
      </c>
      <c r="E30" s="1692">
        <v>60</v>
      </c>
      <c r="F30" s="1701">
        <v>57.5</v>
      </c>
      <c r="G30" s="1551">
        <v>3507.06</v>
      </c>
      <c r="H30" s="1551">
        <v>986.24156521739133</v>
      </c>
      <c r="I30" s="1551">
        <f t="shared" si="2"/>
        <v>986.24156521739133</v>
      </c>
      <c r="J30" s="1551">
        <f t="shared" si="2"/>
        <v>986.24156521739133</v>
      </c>
      <c r="K30" s="1551">
        <f t="shared" si="2"/>
        <v>986.24156521739133</v>
      </c>
      <c r="L30" s="1551">
        <f t="shared" si="2"/>
        <v>986.24156521739133</v>
      </c>
      <c r="M30" s="1551">
        <f t="shared" si="2"/>
        <v>986.24156521739133</v>
      </c>
      <c r="N30" s="1551">
        <f t="shared" si="2"/>
        <v>986.24156521739133</v>
      </c>
      <c r="O30" s="1551">
        <f t="shared" si="2"/>
        <v>986.24156521739133</v>
      </c>
      <c r="P30" s="1551">
        <f t="shared" si="2"/>
        <v>986.24156521739133</v>
      </c>
      <c r="Q30" s="1551">
        <f t="shared" si="2"/>
        <v>986.24156521739133</v>
      </c>
      <c r="T30" s="360"/>
    </row>
    <row r="31" spans="1:21" ht="12.75" x14ac:dyDescent="0.2">
      <c r="B31" s="1695" t="s">
        <v>2166</v>
      </c>
      <c r="C31" s="1691">
        <v>303.3</v>
      </c>
      <c r="D31" s="1551">
        <v>19521.439999999999</v>
      </c>
      <c r="E31" s="1692">
        <v>60</v>
      </c>
      <c r="F31" s="1701">
        <v>34.5</v>
      </c>
      <c r="G31" s="1551">
        <v>8622.0400000000009</v>
      </c>
      <c r="H31" s="1551">
        <v>315.92463768115937</v>
      </c>
      <c r="I31" s="1551">
        <f t="shared" si="2"/>
        <v>315.92463768115937</v>
      </c>
      <c r="J31" s="1551">
        <f t="shared" si="2"/>
        <v>315.92463768115937</v>
      </c>
      <c r="K31" s="1551">
        <f t="shared" si="2"/>
        <v>315.92463768115937</v>
      </c>
      <c r="L31" s="1551">
        <f t="shared" si="2"/>
        <v>315.92463768115937</v>
      </c>
      <c r="M31" s="1551">
        <f t="shared" si="2"/>
        <v>315.92463768115937</v>
      </c>
      <c r="N31" s="1551">
        <f t="shared" si="2"/>
        <v>315.92463768115937</v>
      </c>
      <c r="O31" s="1551">
        <f t="shared" si="2"/>
        <v>315.92463768115937</v>
      </c>
      <c r="P31" s="1551">
        <f t="shared" si="2"/>
        <v>315.92463768115937</v>
      </c>
      <c r="Q31" s="1551">
        <f t="shared" si="2"/>
        <v>315.92463768115937</v>
      </c>
      <c r="T31" s="1658"/>
      <c r="U31" s="1661"/>
    </row>
    <row r="32" spans="1:21" ht="12.75" x14ac:dyDescent="0.2">
      <c r="B32" s="1695" t="s">
        <v>1155</v>
      </c>
      <c r="C32" s="1691">
        <v>303.3</v>
      </c>
      <c r="D32" s="1551">
        <v>60312.77</v>
      </c>
      <c r="E32" s="1692">
        <v>60</v>
      </c>
      <c r="F32" s="1701">
        <v>10.5</v>
      </c>
      <c r="G32" s="1551">
        <v>50649.57</v>
      </c>
      <c r="H32" s="1551">
        <v>920.30476190476168</v>
      </c>
      <c r="I32" s="1551">
        <f t="shared" si="2"/>
        <v>920.30476190476168</v>
      </c>
      <c r="J32" s="1551">
        <f t="shared" si="2"/>
        <v>920.30476190476168</v>
      </c>
      <c r="K32" s="1551">
        <f t="shared" si="2"/>
        <v>920.30476190476168</v>
      </c>
      <c r="L32" s="1551">
        <f t="shared" si="2"/>
        <v>920.30476190476168</v>
      </c>
      <c r="M32" s="1551">
        <f t="shared" si="2"/>
        <v>920.30476190476168</v>
      </c>
      <c r="N32" s="1551">
        <f t="shared" si="2"/>
        <v>920.30476190476168</v>
      </c>
      <c r="O32" s="1551">
        <f t="shared" si="2"/>
        <v>920.30476190476168</v>
      </c>
      <c r="P32" s="1551">
        <f t="shared" si="2"/>
        <v>920.30476190476168</v>
      </c>
      <c r="Q32" s="1551">
        <f t="shared" si="2"/>
        <v>920.30476190476168</v>
      </c>
      <c r="T32" s="360"/>
    </row>
    <row r="33" spans="2:21" ht="12.75" x14ac:dyDescent="0.2">
      <c r="B33" s="1695" t="s">
        <v>2167</v>
      </c>
      <c r="C33" s="1691">
        <v>303.3</v>
      </c>
      <c r="D33" s="1551">
        <v>58959.88</v>
      </c>
      <c r="E33" s="1692">
        <v>60</v>
      </c>
      <c r="F33" s="1701">
        <v>19.5</v>
      </c>
      <c r="G33" s="1551">
        <v>40788.53</v>
      </c>
      <c r="H33" s="1551">
        <v>931.8641025641025</v>
      </c>
      <c r="I33" s="1551">
        <f t="shared" si="2"/>
        <v>931.8641025641025</v>
      </c>
      <c r="J33" s="1551">
        <f t="shared" si="2"/>
        <v>931.8641025641025</v>
      </c>
      <c r="K33" s="1551">
        <f t="shared" si="2"/>
        <v>931.8641025641025</v>
      </c>
      <c r="L33" s="1551">
        <f t="shared" si="2"/>
        <v>931.8641025641025</v>
      </c>
      <c r="M33" s="1551">
        <f t="shared" si="2"/>
        <v>931.8641025641025</v>
      </c>
      <c r="N33" s="1551">
        <f t="shared" si="2"/>
        <v>931.8641025641025</v>
      </c>
      <c r="O33" s="1551">
        <f t="shared" si="2"/>
        <v>931.8641025641025</v>
      </c>
      <c r="P33" s="1551">
        <f t="shared" si="2"/>
        <v>931.8641025641025</v>
      </c>
      <c r="Q33" s="1551">
        <f t="shared" si="2"/>
        <v>931.8641025641025</v>
      </c>
      <c r="T33" s="360"/>
    </row>
    <row r="34" spans="2:21" ht="12.75" x14ac:dyDescent="0.2">
      <c r="B34" s="1695" t="s">
        <v>2168</v>
      </c>
      <c r="C34" s="1691">
        <v>303.3</v>
      </c>
      <c r="D34" s="1551">
        <v>4425.5200000000004</v>
      </c>
      <c r="E34" s="1692">
        <v>60</v>
      </c>
      <c r="F34" s="1701">
        <v>60</v>
      </c>
      <c r="G34" s="1551">
        <v>36.880000000000003</v>
      </c>
      <c r="H34" s="1551">
        <v>73.144000000000005</v>
      </c>
      <c r="I34" s="1551">
        <f t="shared" si="2"/>
        <v>73.144000000000005</v>
      </c>
      <c r="J34" s="1551">
        <f t="shared" si="2"/>
        <v>73.144000000000005</v>
      </c>
      <c r="K34" s="1551">
        <f t="shared" si="2"/>
        <v>73.144000000000005</v>
      </c>
      <c r="L34" s="1551">
        <f t="shared" si="2"/>
        <v>73.144000000000005</v>
      </c>
      <c r="M34" s="1551">
        <f t="shared" si="2"/>
        <v>73.144000000000005</v>
      </c>
      <c r="N34" s="1551">
        <f t="shared" si="2"/>
        <v>73.144000000000005</v>
      </c>
      <c r="O34" s="1551">
        <f t="shared" si="2"/>
        <v>73.144000000000005</v>
      </c>
      <c r="P34" s="1551">
        <f t="shared" si="2"/>
        <v>73.144000000000005</v>
      </c>
      <c r="Q34" s="1551">
        <f t="shared" si="2"/>
        <v>73.144000000000005</v>
      </c>
      <c r="T34" s="360"/>
    </row>
    <row r="35" spans="2:21" ht="12.75" x14ac:dyDescent="0.2">
      <c r="B35" s="1695" t="s">
        <v>2169</v>
      </c>
      <c r="C35" s="1691">
        <v>303.3</v>
      </c>
      <c r="D35" s="1551">
        <v>5588.83</v>
      </c>
      <c r="E35" s="1692">
        <v>60</v>
      </c>
      <c r="F35" s="1701">
        <v>51.5</v>
      </c>
      <c r="G35" s="1551">
        <v>842.11</v>
      </c>
      <c r="H35" s="1551">
        <v>92.169320388349519</v>
      </c>
      <c r="I35" s="1551">
        <f t="shared" si="2"/>
        <v>92.169320388349519</v>
      </c>
      <c r="J35" s="1551">
        <f t="shared" si="2"/>
        <v>92.169320388349519</v>
      </c>
      <c r="K35" s="1551">
        <f t="shared" si="2"/>
        <v>92.169320388349519</v>
      </c>
      <c r="L35" s="1551">
        <f t="shared" si="2"/>
        <v>92.169320388349519</v>
      </c>
      <c r="M35" s="1551">
        <f t="shared" si="2"/>
        <v>92.169320388349519</v>
      </c>
      <c r="N35" s="1551">
        <f t="shared" si="2"/>
        <v>92.169320388349519</v>
      </c>
      <c r="O35" s="1551">
        <f t="shared" si="2"/>
        <v>92.169320388349519</v>
      </c>
      <c r="P35" s="1551">
        <f t="shared" si="2"/>
        <v>92.169320388349519</v>
      </c>
      <c r="Q35" s="1551">
        <f t="shared" si="2"/>
        <v>92.169320388349519</v>
      </c>
      <c r="T35" s="360"/>
    </row>
    <row r="36" spans="2:21" ht="12.75" x14ac:dyDescent="0.2">
      <c r="B36" s="1695" t="s">
        <v>1162</v>
      </c>
      <c r="C36" s="1691">
        <v>303.3</v>
      </c>
      <c r="D36" s="1551">
        <v>10899.97</v>
      </c>
      <c r="E36" s="1692">
        <v>60</v>
      </c>
      <c r="F36" s="1701">
        <v>16.5</v>
      </c>
      <c r="G36" s="1551">
        <v>7980.62</v>
      </c>
      <c r="H36" s="1551">
        <v>176.93030303030301</v>
      </c>
      <c r="I36" s="1551">
        <f t="shared" si="2"/>
        <v>176.93030303030301</v>
      </c>
      <c r="J36" s="1551">
        <f t="shared" si="2"/>
        <v>176.93030303030301</v>
      </c>
      <c r="K36" s="1551">
        <f t="shared" si="2"/>
        <v>176.93030303030301</v>
      </c>
      <c r="L36" s="1551">
        <f t="shared" si="2"/>
        <v>176.93030303030301</v>
      </c>
      <c r="M36" s="1551">
        <f t="shared" si="2"/>
        <v>176.93030303030301</v>
      </c>
      <c r="N36" s="1551">
        <f t="shared" si="2"/>
        <v>176.93030303030301</v>
      </c>
      <c r="O36" s="1551">
        <f t="shared" si="2"/>
        <v>176.93030303030301</v>
      </c>
      <c r="P36" s="1551">
        <f t="shared" si="2"/>
        <v>176.93030303030301</v>
      </c>
      <c r="Q36" s="1551">
        <f t="shared" si="2"/>
        <v>176.93030303030301</v>
      </c>
      <c r="T36" s="360"/>
    </row>
    <row r="37" spans="2:21" ht="12.75" x14ac:dyDescent="0.2">
      <c r="B37" s="1695" t="s">
        <v>2170</v>
      </c>
      <c r="C37" s="1691">
        <v>303.3</v>
      </c>
      <c r="D37" s="1551">
        <v>19885.14</v>
      </c>
      <c r="E37" s="1692">
        <v>60</v>
      </c>
      <c r="F37" s="1701">
        <v>49.5</v>
      </c>
      <c r="G37" s="1551">
        <v>3811.33</v>
      </c>
      <c r="H37" s="1551">
        <v>324.72343434343435</v>
      </c>
      <c r="I37" s="1551">
        <f t="shared" si="2"/>
        <v>324.72343434343435</v>
      </c>
      <c r="J37" s="1551">
        <f t="shared" si="2"/>
        <v>324.72343434343435</v>
      </c>
      <c r="K37" s="1551">
        <f t="shared" si="2"/>
        <v>324.72343434343435</v>
      </c>
      <c r="L37" s="1551">
        <f t="shared" si="2"/>
        <v>324.72343434343435</v>
      </c>
      <c r="M37" s="1551">
        <f t="shared" si="2"/>
        <v>324.72343434343435</v>
      </c>
      <c r="N37" s="1551">
        <f t="shared" si="2"/>
        <v>324.72343434343435</v>
      </c>
      <c r="O37" s="1551">
        <f t="shared" si="2"/>
        <v>324.72343434343435</v>
      </c>
      <c r="P37" s="1551">
        <f t="shared" si="2"/>
        <v>324.72343434343435</v>
      </c>
      <c r="Q37" s="1551">
        <f t="shared" si="2"/>
        <v>324.72343434343435</v>
      </c>
      <c r="T37" s="360"/>
    </row>
    <row r="38" spans="2:21" ht="12.75" x14ac:dyDescent="0.2">
      <c r="B38" s="1695" t="s">
        <v>2171</v>
      </c>
      <c r="C38" s="1691">
        <v>303.3</v>
      </c>
      <c r="D38" s="1551">
        <v>8698.25</v>
      </c>
      <c r="E38" s="1692">
        <v>60</v>
      </c>
      <c r="F38" s="1701">
        <v>38.5</v>
      </c>
      <c r="G38" s="1551">
        <v>3244.9</v>
      </c>
      <c r="H38" s="1551">
        <v>141.64545454545456</v>
      </c>
      <c r="I38" s="1551">
        <f t="shared" si="2"/>
        <v>141.64545454545456</v>
      </c>
      <c r="J38" s="1551">
        <f t="shared" si="2"/>
        <v>141.64545454545456</v>
      </c>
      <c r="K38" s="1551">
        <f t="shared" si="2"/>
        <v>141.64545454545456</v>
      </c>
      <c r="L38" s="1551">
        <f t="shared" si="2"/>
        <v>141.64545454545456</v>
      </c>
      <c r="M38" s="1551">
        <f t="shared" si="2"/>
        <v>141.64545454545456</v>
      </c>
      <c r="N38" s="1551">
        <f t="shared" si="2"/>
        <v>141.64545454545456</v>
      </c>
      <c r="O38" s="1551">
        <f t="shared" si="2"/>
        <v>141.64545454545456</v>
      </c>
      <c r="P38" s="1551">
        <f t="shared" si="2"/>
        <v>141.64545454545456</v>
      </c>
      <c r="Q38" s="1551">
        <f t="shared" si="2"/>
        <v>141.64545454545456</v>
      </c>
      <c r="T38" s="360"/>
    </row>
    <row r="39" spans="2:21" ht="12.75" x14ac:dyDescent="0.2">
      <c r="B39" s="1695" t="s">
        <v>1152</v>
      </c>
      <c r="C39" s="1691">
        <v>303.3</v>
      </c>
      <c r="D39" s="1551">
        <v>194017.09999999998</v>
      </c>
      <c r="E39" s="1692">
        <v>60</v>
      </c>
      <c r="F39" s="1701">
        <v>6.5</v>
      </c>
      <c r="G39" s="1551">
        <v>175901.50000000003</v>
      </c>
      <c r="H39" s="1551">
        <v>2787.0153846153767</v>
      </c>
      <c r="I39" s="1551">
        <f t="shared" ref="I39:Q54" si="3">H39</f>
        <v>2787.0153846153767</v>
      </c>
      <c r="J39" s="1551">
        <f t="shared" si="3"/>
        <v>2787.0153846153767</v>
      </c>
      <c r="K39" s="1551">
        <f t="shared" si="3"/>
        <v>2787.0153846153767</v>
      </c>
      <c r="L39" s="1551">
        <f t="shared" si="3"/>
        <v>2787.0153846153767</v>
      </c>
      <c r="M39" s="1551">
        <f t="shared" si="3"/>
        <v>2787.0153846153767</v>
      </c>
      <c r="N39" s="1551">
        <f>M39/2</f>
        <v>1393.5076923076883</v>
      </c>
      <c r="O39" s="1551">
        <v>0</v>
      </c>
      <c r="P39" s="1551">
        <f t="shared" ref="P39:Q39" si="4">O39</f>
        <v>0</v>
      </c>
      <c r="Q39" s="1551">
        <f t="shared" si="4"/>
        <v>0</v>
      </c>
      <c r="T39" s="360"/>
    </row>
    <row r="40" spans="2:21" ht="12.75" x14ac:dyDescent="0.2">
      <c r="B40" s="1695" t="s">
        <v>2172</v>
      </c>
      <c r="C40" s="1691">
        <v>303.3</v>
      </c>
      <c r="D40" s="1551">
        <v>4386.42</v>
      </c>
      <c r="E40" s="1692">
        <v>60</v>
      </c>
      <c r="F40" s="1701">
        <v>51.5</v>
      </c>
      <c r="G40" s="1551">
        <v>694.54</v>
      </c>
      <c r="H40" s="1551">
        <v>71.686990291262134</v>
      </c>
      <c r="I40" s="1551">
        <f t="shared" si="3"/>
        <v>71.686990291262134</v>
      </c>
      <c r="J40" s="1551">
        <f t="shared" si="3"/>
        <v>71.686990291262134</v>
      </c>
      <c r="K40" s="1551">
        <f t="shared" si="3"/>
        <v>71.686990291262134</v>
      </c>
      <c r="L40" s="1551">
        <f t="shared" si="3"/>
        <v>71.686990291262134</v>
      </c>
      <c r="M40" s="1551">
        <f t="shared" si="3"/>
        <v>71.686990291262134</v>
      </c>
      <c r="N40" s="1551">
        <f t="shared" si="3"/>
        <v>71.686990291262134</v>
      </c>
      <c r="O40" s="1551">
        <f t="shared" si="3"/>
        <v>71.686990291262134</v>
      </c>
      <c r="P40" s="1551">
        <f t="shared" si="3"/>
        <v>71.686990291262134</v>
      </c>
      <c r="Q40" s="1551">
        <f t="shared" si="3"/>
        <v>71.686990291262134</v>
      </c>
      <c r="T40" s="360"/>
    </row>
    <row r="41" spans="2:21" ht="12.75" x14ac:dyDescent="0.2">
      <c r="B41" s="1695" t="s">
        <v>2173</v>
      </c>
      <c r="C41" s="1691">
        <v>303.3</v>
      </c>
      <c r="D41" s="1551">
        <v>5530.12</v>
      </c>
      <c r="E41" s="1692">
        <v>60</v>
      </c>
      <c r="F41" s="1701">
        <v>56.5</v>
      </c>
      <c r="G41" s="1551">
        <v>414.76</v>
      </c>
      <c r="H41" s="1551">
        <v>90.537345132743354</v>
      </c>
      <c r="I41" s="1551">
        <f t="shared" si="3"/>
        <v>90.537345132743354</v>
      </c>
      <c r="J41" s="1551">
        <f t="shared" si="3"/>
        <v>90.537345132743354</v>
      </c>
      <c r="K41" s="1551">
        <f t="shared" si="3"/>
        <v>90.537345132743354</v>
      </c>
      <c r="L41" s="1551">
        <f t="shared" si="3"/>
        <v>90.537345132743354</v>
      </c>
      <c r="M41" s="1551">
        <f t="shared" si="3"/>
        <v>90.537345132743354</v>
      </c>
      <c r="N41" s="1551">
        <f t="shared" si="3"/>
        <v>90.537345132743354</v>
      </c>
      <c r="O41" s="1551">
        <f t="shared" si="3"/>
        <v>90.537345132743354</v>
      </c>
      <c r="P41" s="1551">
        <f t="shared" si="3"/>
        <v>90.537345132743354</v>
      </c>
      <c r="Q41" s="1551">
        <f t="shared" si="3"/>
        <v>90.537345132743354</v>
      </c>
      <c r="T41" s="360"/>
    </row>
    <row r="42" spans="2:21" ht="12.75" x14ac:dyDescent="0.2">
      <c r="B42" s="1695" t="s">
        <v>1151</v>
      </c>
      <c r="C42" s="1691">
        <v>303.3</v>
      </c>
      <c r="D42" s="1551">
        <v>720309.13</v>
      </c>
      <c r="E42" s="1692">
        <v>120</v>
      </c>
      <c r="F42" s="1701">
        <v>58.5</v>
      </c>
      <c r="G42" s="1551">
        <v>346348.97</v>
      </c>
      <c r="H42" s="1551">
        <v>6392.4813675213682</v>
      </c>
      <c r="I42" s="1551">
        <f t="shared" si="3"/>
        <v>6392.4813675213682</v>
      </c>
      <c r="J42" s="1551">
        <f t="shared" si="3"/>
        <v>6392.4813675213682</v>
      </c>
      <c r="K42" s="1551">
        <f t="shared" si="3"/>
        <v>6392.4813675213682</v>
      </c>
      <c r="L42" s="1551">
        <f t="shared" si="3"/>
        <v>6392.4813675213682</v>
      </c>
      <c r="M42" s="1551">
        <f t="shared" si="3"/>
        <v>6392.4813675213682</v>
      </c>
      <c r="N42" s="1551">
        <f t="shared" si="3"/>
        <v>6392.4813675213682</v>
      </c>
      <c r="O42" s="1551">
        <f t="shared" si="3"/>
        <v>6392.4813675213682</v>
      </c>
      <c r="P42" s="1551">
        <f t="shared" si="3"/>
        <v>6392.4813675213682</v>
      </c>
      <c r="Q42" s="1551">
        <f t="shared" si="3"/>
        <v>6392.4813675213682</v>
      </c>
      <c r="T42" s="360"/>
    </row>
    <row r="43" spans="2:21" ht="12.75" x14ac:dyDescent="0.2">
      <c r="B43" s="1695" t="s">
        <v>2174</v>
      </c>
      <c r="C43" s="1691">
        <v>303.3</v>
      </c>
      <c r="D43" s="1551">
        <v>26993.55</v>
      </c>
      <c r="E43" s="1692">
        <v>60</v>
      </c>
      <c r="F43" s="1701">
        <v>32.5</v>
      </c>
      <c r="G43" s="1551">
        <v>12801.95</v>
      </c>
      <c r="H43" s="1551">
        <v>436.66461538461533</v>
      </c>
      <c r="I43" s="1551">
        <f t="shared" si="3"/>
        <v>436.66461538461533</v>
      </c>
      <c r="J43" s="1551">
        <f t="shared" si="3"/>
        <v>436.66461538461533</v>
      </c>
      <c r="K43" s="1551">
        <f t="shared" si="3"/>
        <v>436.66461538461533</v>
      </c>
      <c r="L43" s="1551">
        <f t="shared" si="3"/>
        <v>436.66461538461533</v>
      </c>
      <c r="M43" s="1551">
        <f t="shared" si="3"/>
        <v>436.66461538461533</v>
      </c>
      <c r="N43" s="1551">
        <f t="shared" si="3"/>
        <v>436.66461538461533</v>
      </c>
      <c r="O43" s="1551">
        <f t="shared" si="3"/>
        <v>436.66461538461533</v>
      </c>
      <c r="P43" s="1551">
        <f t="shared" si="3"/>
        <v>436.66461538461533</v>
      </c>
      <c r="Q43" s="1551">
        <f t="shared" si="3"/>
        <v>436.66461538461533</v>
      </c>
      <c r="T43" s="1658"/>
      <c r="U43" s="1658"/>
    </row>
    <row r="44" spans="2:21" ht="12.75" x14ac:dyDescent="0.2">
      <c r="B44" s="1695" t="s">
        <v>1161</v>
      </c>
      <c r="C44" s="1691">
        <v>303.3</v>
      </c>
      <c r="D44" s="1551">
        <v>4202.96</v>
      </c>
      <c r="E44" s="1692">
        <v>60</v>
      </c>
      <c r="F44" s="1701">
        <v>17.5</v>
      </c>
      <c r="G44" s="1551">
        <v>3047.17</v>
      </c>
      <c r="H44" s="1551">
        <v>66.045142857142849</v>
      </c>
      <c r="I44" s="1551">
        <f t="shared" si="3"/>
        <v>66.045142857142849</v>
      </c>
      <c r="J44" s="1551">
        <f t="shared" si="3"/>
        <v>66.045142857142849</v>
      </c>
      <c r="K44" s="1551">
        <f t="shared" si="3"/>
        <v>66.045142857142849</v>
      </c>
      <c r="L44" s="1551">
        <f t="shared" si="3"/>
        <v>66.045142857142849</v>
      </c>
      <c r="M44" s="1551">
        <f t="shared" si="3"/>
        <v>66.045142857142849</v>
      </c>
      <c r="N44" s="1551">
        <f t="shared" si="3"/>
        <v>66.045142857142849</v>
      </c>
      <c r="O44" s="1551">
        <f t="shared" si="3"/>
        <v>66.045142857142849</v>
      </c>
      <c r="P44" s="1551">
        <f t="shared" si="3"/>
        <v>66.045142857142849</v>
      </c>
      <c r="Q44" s="1551">
        <f t="shared" si="3"/>
        <v>66.045142857142849</v>
      </c>
      <c r="T44" s="1658"/>
      <c r="U44" s="1658"/>
    </row>
    <row r="45" spans="2:21" ht="12.75" x14ac:dyDescent="0.2">
      <c r="B45" s="1695" t="s">
        <v>1153</v>
      </c>
      <c r="C45" s="1691">
        <v>303.3</v>
      </c>
      <c r="D45" s="1551">
        <v>8748</v>
      </c>
      <c r="E45" s="1692">
        <v>60</v>
      </c>
      <c r="F45" s="1701">
        <v>9.5</v>
      </c>
      <c r="G45" s="1551">
        <v>7508.7</v>
      </c>
      <c r="H45" s="1551">
        <v>130.45263157894738</v>
      </c>
      <c r="I45" s="1551">
        <f t="shared" si="3"/>
        <v>130.45263157894738</v>
      </c>
      <c r="J45" s="1551">
        <f t="shared" si="3"/>
        <v>130.45263157894738</v>
      </c>
      <c r="K45" s="1551">
        <f t="shared" si="3"/>
        <v>130.45263157894738</v>
      </c>
      <c r="L45" s="1551">
        <f t="shared" si="3"/>
        <v>130.45263157894738</v>
      </c>
      <c r="M45" s="1551">
        <f t="shared" si="3"/>
        <v>130.45263157894738</v>
      </c>
      <c r="N45" s="1551">
        <f t="shared" si="3"/>
        <v>130.45263157894738</v>
      </c>
      <c r="O45" s="1551">
        <f t="shared" si="3"/>
        <v>130.45263157894738</v>
      </c>
      <c r="P45" s="1551">
        <f t="shared" si="3"/>
        <v>130.45263157894738</v>
      </c>
      <c r="Q45" s="1551">
        <f>P45*0.5</f>
        <v>65.226315789473688</v>
      </c>
      <c r="T45" s="1658"/>
      <c r="U45" s="1658"/>
    </row>
    <row r="46" spans="2:21" ht="12.75" x14ac:dyDescent="0.2">
      <c r="B46" s="1695" t="s">
        <v>2175</v>
      </c>
      <c r="C46" s="1691">
        <v>303.3</v>
      </c>
      <c r="D46" s="1551">
        <v>10982.039999999999</v>
      </c>
      <c r="E46" s="1692">
        <v>120</v>
      </c>
      <c r="F46" s="1701">
        <v>28.5</v>
      </c>
      <c r="G46" s="1551">
        <v>5912.7999999999993</v>
      </c>
      <c r="H46" s="1551">
        <v>177.86807017543859</v>
      </c>
      <c r="I46" s="1551">
        <f t="shared" si="3"/>
        <v>177.86807017543859</v>
      </c>
      <c r="J46" s="1551">
        <f t="shared" si="3"/>
        <v>177.86807017543859</v>
      </c>
      <c r="K46" s="1551">
        <f t="shared" si="3"/>
        <v>177.86807017543859</v>
      </c>
      <c r="L46" s="1551">
        <f t="shared" si="3"/>
        <v>177.86807017543859</v>
      </c>
      <c r="M46" s="1551">
        <f t="shared" si="3"/>
        <v>177.86807017543859</v>
      </c>
      <c r="N46" s="1551">
        <f t="shared" si="3"/>
        <v>177.86807017543859</v>
      </c>
      <c r="O46" s="1551">
        <f t="shared" si="3"/>
        <v>177.86807017543859</v>
      </c>
      <c r="P46" s="1551">
        <f t="shared" si="3"/>
        <v>177.86807017543859</v>
      </c>
      <c r="Q46" s="1551">
        <f t="shared" si="3"/>
        <v>177.86807017543859</v>
      </c>
      <c r="T46" s="1658"/>
      <c r="U46" s="1658"/>
    </row>
    <row r="47" spans="2:21" ht="12.75" x14ac:dyDescent="0.2">
      <c r="B47" s="1695" t="s">
        <v>2176</v>
      </c>
      <c r="C47" s="1691">
        <v>303.3</v>
      </c>
      <c r="D47" s="1551">
        <v>31298.02</v>
      </c>
      <c r="E47" s="1692">
        <v>60</v>
      </c>
      <c r="F47" s="1701">
        <v>55.5</v>
      </c>
      <c r="G47" s="1551">
        <v>2698.38</v>
      </c>
      <c r="H47" s="1551">
        <v>515.30882882882884</v>
      </c>
      <c r="I47" s="1551">
        <f t="shared" si="3"/>
        <v>515.30882882882884</v>
      </c>
      <c r="J47" s="1551">
        <f t="shared" si="3"/>
        <v>515.30882882882884</v>
      </c>
      <c r="K47" s="1551">
        <f t="shared" si="3"/>
        <v>515.30882882882884</v>
      </c>
      <c r="L47" s="1551">
        <f t="shared" si="3"/>
        <v>515.30882882882884</v>
      </c>
      <c r="M47" s="1551">
        <f t="shared" si="3"/>
        <v>515.30882882882884</v>
      </c>
      <c r="N47" s="1551">
        <f t="shared" si="3"/>
        <v>515.30882882882884</v>
      </c>
      <c r="O47" s="1551">
        <f t="shared" si="3"/>
        <v>515.30882882882884</v>
      </c>
      <c r="P47" s="1551">
        <f t="shared" si="3"/>
        <v>515.30882882882884</v>
      </c>
      <c r="Q47" s="1551">
        <f t="shared" si="3"/>
        <v>515.30882882882884</v>
      </c>
      <c r="R47" s="360"/>
    </row>
    <row r="48" spans="2:21" ht="12.75" x14ac:dyDescent="0.2">
      <c r="B48" s="1695" t="s">
        <v>2177</v>
      </c>
      <c r="C48" s="1691">
        <v>303.3</v>
      </c>
      <c r="D48" s="1551">
        <v>25314.240000000002</v>
      </c>
      <c r="E48" s="1692">
        <v>60</v>
      </c>
      <c r="F48" s="1701">
        <v>28.5</v>
      </c>
      <c r="G48" s="1551">
        <v>13711.85</v>
      </c>
      <c r="H48" s="1551">
        <v>407.10140350877197</v>
      </c>
      <c r="I48" s="1551">
        <f t="shared" si="3"/>
        <v>407.10140350877197</v>
      </c>
      <c r="J48" s="1551">
        <f t="shared" si="3"/>
        <v>407.10140350877197</v>
      </c>
      <c r="K48" s="1551">
        <f t="shared" si="3"/>
        <v>407.10140350877197</v>
      </c>
      <c r="L48" s="1551">
        <f t="shared" si="3"/>
        <v>407.10140350877197</v>
      </c>
      <c r="M48" s="1551">
        <f t="shared" si="3"/>
        <v>407.10140350877197</v>
      </c>
      <c r="N48" s="1551">
        <f t="shared" si="3"/>
        <v>407.10140350877197</v>
      </c>
      <c r="O48" s="1551">
        <f t="shared" si="3"/>
        <v>407.10140350877197</v>
      </c>
      <c r="P48" s="1551">
        <f t="shared" si="3"/>
        <v>407.10140350877197</v>
      </c>
      <c r="Q48" s="1551">
        <f t="shared" si="3"/>
        <v>407.10140350877197</v>
      </c>
      <c r="R48" s="360"/>
    </row>
    <row r="49" spans="2:18" ht="12.75" x14ac:dyDescent="0.2">
      <c r="B49" s="1695" t="s">
        <v>2178</v>
      </c>
      <c r="C49" s="1691">
        <v>303.3</v>
      </c>
      <c r="D49" s="1551">
        <v>366402.08</v>
      </c>
      <c r="E49" s="1692">
        <v>84</v>
      </c>
      <c r="F49" s="1701">
        <v>22.5</v>
      </c>
      <c r="G49" s="1551">
        <v>272279.55</v>
      </c>
      <c r="H49" s="1551">
        <v>4183.2235555555571</v>
      </c>
      <c r="I49" s="1551">
        <f t="shared" si="3"/>
        <v>4183.2235555555571</v>
      </c>
      <c r="J49" s="1551">
        <f t="shared" si="3"/>
        <v>4183.2235555555571</v>
      </c>
      <c r="K49" s="1551">
        <f t="shared" si="3"/>
        <v>4183.2235555555571</v>
      </c>
      <c r="L49" s="1551">
        <f t="shared" si="3"/>
        <v>4183.2235555555571</v>
      </c>
      <c r="M49" s="1551">
        <f t="shared" si="3"/>
        <v>4183.2235555555571</v>
      </c>
      <c r="N49" s="1551">
        <f t="shared" si="3"/>
        <v>4183.2235555555571</v>
      </c>
      <c r="O49" s="1551">
        <f t="shared" si="3"/>
        <v>4183.2235555555571</v>
      </c>
      <c r="P49" s="1551">
        <f t="shared" si="3"/>
        <v>4183.2235555555571</v>
      </c>
      <c r="Q49" s="1551">
        <f t="shared" si="3"/>
        <v>4183.2235555555571</v>
      </c>
      <c r="R49" s="360"/>
    </row>
    <row r="50" spans="2:18" ht="12.75" x14ac:dyDescent="0.2">
      <c r="B50" s="1695" t="s">
        <v>2179</v>
      </c>
      <c r="C50" s="1691">
        <v>303.3</v>
      </c>
      <c r="D50" s="1551">
        <v>16263.67</v>
      </c>
      <c r="E50" s="1692">
        <v>60</v>
      </c>
      <c r="F50" s="1701">
        <v>54.5</v>
      </c>
      <c r="G50" s="1551">
        <v>1754.31</v>
      </c>
      <c r="H50" s="1551">
        <v>266.2267889908257</v>
      </c>
      <c r="I50" s="1551">
        <f t="shared" si="3"/>
        <v>266.2267889908257</v>
      </c>
      <c r="J50" s="1551">
        <f t="shared" si="3"/>
        <v>266.2267889908257</v>
      </c>
      <c r="K50" s="1551">
        <f t="shared" si="3"/>
        <v>266.2267889908257</v>
      </c>
      <c r="L50" s="1551">
        <f t="shared" si="3"/>
        <v>266.2267889908257</v>
      </c>
      <c r="M50" s="1551">
        <f t="shared" si="3"/>
        <v>266.2267889908257</v>
      </c>
      <c r="N50" s="1551">
        <f t="shared" si="3"/>
        <v>266.2267889908257</v>
      </c>
      <c r="O50" s="1551">
        <f t="shared" si="3"/>
        <v>266.2267889908257</v>
      </c>
      <c r="P50" s="1551">
        <f t="shared" si="3"/>
        <v>266.2267889908257</v>
      </c>
      <c r="Q50" s="1551">
        <f t="shared" si="3"/>
        <v>266.2267889908257</v>
      </c>
      <c r="R50" s="360"/>
    </row>
    <row r="51" spans="2:18" ht="12.75" x14ac:dyDescent="0.2">
      <c r="B51" s="1695" t="s">
        <v>1158</v>
      </c>
      <c r="C51" s="1691">
        <v>303.3</v>
      </c>
      <c r="D51" s="1551">
        <v>3070.27</v>
      </c>
      <c r="E51" s="1692">
        <v>84</v>
      </c>
      <c r="F51" s="1701">
        <v>34.5</v>
      </c>
      <c r="G51" s="1551">
        <v>1845.78</v>
      </c>
      <c r="H51" s="1551">
        <v>35.49246376811594</v>
      </c>
      <c r="I51" s="1551">
        <f t="shared" si="3"/>
        <v>35.49246376811594</v>
      </c>
      <c r="J51" s="1551">
        <f t="shared" si="3"/>
        <v>35.49246376811594</v>
      </c>
      <c r="K51" s="1551">
        <f t="shared" si="3"/>
        <v>35.49246376811594</v>
      </c>
      <c r="L51" s="1551">
        <f t="shared" si="3"/>
        <v>35.49246376811594</v>
      </c>
      <c r="M51" s="1551">
        <f t="shared" si="3"/>
        <v>35.49246376811594</v>
      </c>
      <c r="N51" s="1551">
        <f t="shared" si="3"/>
        <v>35.49246376811594</v>
      </c>
      <c r="O51" s="1551">
        <f t="shared" si="3"/>
        <v>35.49246376811594</v>
      </c>
      <c r="P51" s="1551">
        <f t="shared" si="3"/>
        <v>35.49246376811594</v>
      </c>
      <c r="Q51" s="1551">
        <f t="shared" si="3"/>
        <v>35.49246376811594</v>
      </c>
      <c r="R51" s="360"/>
    </row>
    <row r="52" spans="2:18" ht="12.75" x14ac:dyDescent="0.2">
      <c r="B52" s="1695" t="s">
        <v>1163</v>
      </c>
      <c r="C52" s="1691">
        <v>303.3</v>
      </c>
      <c r="D52" s="1551">
        <v>137759.26999999999</v>
      </c>
      <c r="E52" s="1692">
        <v>60</v>
      </c>
      <c r="F52" s="1701">
        <v>20.5</v>
      </c>
      <c r="G52" s="1551">
        <v>90204.13</v>
      </c>
      <c r="H52" s="1551">
        <v>2319.7629268292676</v>
      </c>
      <c r="I52" s="1551">
        <f t="shared" si="3"/>
        <v>2319.7629268292676</v>
      </c>
      <c r="J52" s="1551">
        <f t="shared" si="3"/>
        <v>2319.7629268292676</v>
      </c>
      <c r="K52" s="1551">
        <f t="shared" si="3"/>
        <v>2319.7629268292676</v>
      </c>
      <c r="L52" s="1551">
        <f t="shared" si="3"/>
        <v>2319.7629268292676</v>
      </c>
      <c r="M52" s="1551">
        <f t="shared" si="3"/>
        <v>2319.7629268292676</v>
      </c>
      <c r="N52" s="1551">
        <f t="shared" si="3"/>
        <v>2319.7629268292676</v>
      </c>
      <c r="O52" s="1551">
        <f t="shared" si="3"/>
        <v>2319.7629268292676</v>
      </c>
      <c r="P52" s="1551">
        <f t="shared" si="3"/>
        <v>2319.7629268292676</v>
      </c>
      <c r="Q52" s="1551">
        <f t="shared" si="3"/>
        <v>2319.7629268292676</v>
      </c>
      <c r="R52" s="360"/>
    </row>
    <row r="53" spans="2:18" ht="12.75" x14ac:dyDescent="0.2">
      <c r="B53" s="1695" t="s">
        <v>2180</v>
      </c>
      <c r="C53" s="1691">
        <v>303.3</v>
      </c>
      <c r="D53" s="1551">
        <v>5569.39</v>
      </c>
      <c r="E53" s="1692">
        <v>60</v>
      </c>
      <c r="F53" s="1701">
        <v>54.5</v>
      </c>
      <c r="G53" s="1551">
        <v>570.70000000000005</v>
      </c>
      <c r="H53" s="1551">
        <v>91.719082568807352</v>
      </c>
      <c r="I53" s="1551">
        <f t="shared" si="3"/>
        <v>91.719082568807352</v>
      </c>
      <c r="J53" s="1551">
        <f t="shared" si="3"/>
        <v>91.719082568807352</v>
      </c>
      <c r="K53" s="1551">
        <f t="shared" si="3"/>
        <v>91.719082568807352</v>
      </c>
      <c r="L53" s="1551">
        <f t="shared" si="3"/>
        <v>91.719082568807352</v>
      </c>
      <c r="M53" s="1551">
        <f t="shared" si="3"/>
        <v>91.719082568807352</v>
      </c>
      <c r="N53" s="1551">
        <f t="shared" si="3"/>
        <v>91.719082568807352</v>
      </c>
      <c r="O53" s="1551">
        <f t="shared" si="3"/>
        <v>91.719082568807352</v>
      </c>
      <c r="P53" s="1551">
        <f t="shared" si="3"/>
        <v>91.719082568807352</v>
      </c>
      <c r="Q53" s="1551">
        <f t="shared" si="3"/>
        <v>91.719082568807352</v>
      </c>
      <c r="R53" s="360"/>
    </row>
    <row r="54" spans="2:18" ht="12.75" x14ac:dyDescent="0.2">
      <c r="B54" s="1695" t="s">
        <v>2181</v>
      </c>
      <c r="C54" s="1691">
        <v>303.3</v>
      </c>
      <c r="D54" s="1551">
        <v>565661.80000000005</v>
      </c>
      <c r="E54" s="1692">
        <v>60</v>
      </c>
      <c r="F54" s="1701">
        <v>46.5</v>
      </c>
      <c r="G54" s="1551">
        <v>130734.88</v>
      </c>
      <c r="H54" s="1551">
        <v>9353.2670967741942</v>
      </c>
      <c r="I54" s="1551">
        <f t="shared" si="3"/>
        <v>9353.2670967741942</v>
      </c>
      <c r="J54" s="1551">
        <f t="shared" si="3"/>
        <v>9353.2670967741942</v>
      </c>
      <c r="K54" s="1551">
        <f t="shared" si="3"/>
        <v>9353.2670967741942</v>
      </c>
      <c r="L54" s="1551">
        <f t="shared" si="3"/>
        <v>9353.2670967741942</v>
      </c>
      <c r="M54" s="1551">
        <f t="shared" si="3"/>
        <v>9353.2670967741942</v>
      </c>
      <c r="N54" s="1551">
        <f t="shared" si="3"/>
        <v>9353.2670967741942</v>
      </c>
      <c r="O54" s="1551">
        <f t="shared" si="3"/>
        <v>9353.2670967741942</v>
      </c>
      <c r="P54" s="1551">
        <f t="shared" si="3"/>
        <v>9353.2670967741942</v>
      </c>
      <c r="Q54" s="1551">
        <f t="shared" si="3"/>
        <v>9353.2670967741942</v>
      </c>
      <c r="R54" s="360"/>
    </row>
    <row r="55" spans="2:18" ht="12.75" x14ac:dyDescent="0.2">
      <c r="B55" s="1695" t="s">
        <v>2182</v>
      </c>
      <c r="C55" s="1691">
        <v>303.3</v>
      </c>
      <c r="D55" s="1551">
        <v>182.95</v>
      </c>
      <c r="E55" s="1692">
        <v>60</v>
      </c>
      <c r="F55" s="1701">
        <v>34.5</v>
      </c>
      <c r="G55" s="1551">
        <v>80.819999999999993</v>
      </c>
      <c r="H55" s="1551">
        <v>2.9602898550724634</v>
      </c>
      <c r="I55" s="1551">
        <f t="shared" ref="I55:Q70" si="5">H55</f>
        <v>2.9602898550724634</v>
      </c>
      <c r="J55" s="1551">
        <f t="shared" si="5"/>
        <v>2.9602898550724634</v>
      </c>
      <c r="K55" s="1551">
        <f t="shared" si="5"/>
        <v>2.9602898550724634</v>
      </c>
      <c r="L55" s="1551">
        <f t="shared" si="5"/>
        <v>2.9602898550724634</v>
      </c>
      <c r="M55" s="1551">
        <f t="shared" si="5"/>
        <v>2.9602898550724634</v>
      </c>
      <c r="N55" s="1551">
        <f t="shared" si="5"/>
        <v>2.9602898550724634</v>
      </c>
      <c r="O55" s="1551">
        <f t="shared" si="5"/>
        <v>2.9602898550724634</v>
      </c>
      <c r="P55" s="1551">
        <f t="shared" si="5"/>
        <v>2.9602898550724634</v>
      </c>
      <c r="Q55" s="1551">
        <f t="shared" si="5"/>
        <v>2.9602898550724634</v>
      </c>
      <c r="R55" s="360"/>
    </row>
    <row r="56" spans="2:18" ht="12.75" x14ac:dyDescent="0.2">
      <c r="B56" s="1695" t="s">
        <v>2183</v>
      </c>
      <c r="C56" s="1691">
        <v>303.3</v>
      </c>
      <c r="D56" s="1551">
        <v>1540.84</v>
      </c>
      <c r="E56" s="1692">
        <v>60</v>
      </c>
      <c r="F56" s="1701">
        <v>46.5</v>
      </c>
      <c r="G56" s="1551">
        <v>372.37</v>
      </c>
      <c r="H56" s="1551">
        <v>25.12838709677419</v>
      </c>
      <c r="I56" s="1551">
        <f t="shared" si="5"/>
        <v>25.12838709677419</v>
      </c>
      <c r="J56" s="1551">
        <f t="shared" si="5"/>
        <v>25.12838709677419</v>
      </c>
      <c r="K56" s="1551">
        <f t="shared" si="5"/>
        <v>25.12838709677419</v>
      </c>
      <c r="L56" s="1551">
        <f t="shared" si="5"/>
        <v>25.12838709677419</v>
      </c>
      <c r="M56" s="1551">
        <f t="shared" si="5"/>
        <v>25.12838709677419</v>
      </c>
      <c r="N56" s="1551">
        <f t="shared" si="5"/>
        <v>25.12838709677419</v>
      </c>
      <c r="O56" s="1551">
        <f t="shared" si="5"/>
        <v>25.12838709677419</v>
      </c>
      <c r="P56" s="1551">
        <f t="shared" si="5"/>
        <v>25.12838709677419</v>
      </c>
      <c r="Q56" s="1551">
        <f t="shared" si="5"/>
        <v>25.12838709677419</v>
      </c>
      <c r="R56" s="360"/>
    </row>
    <row r="57" spans="2:18" ht="12.75" x14ac:dyDescent="0.2">
      <c r="B57" s="1695" t="s">
        <v>2184</v>
      </c>
      <c r="C57" s="1691">
        <v>303.3</v>
      </c>
      <c r="D57" s="1551">
        <v>29224.48</v>
      </c>
      <c r="E57" s="1692">
        <v>60</v>
      </c>
      <c r="F57" s="1701">
        <v>43.5</v>
      </c>
      <c r="G57" s="1551">
        <v>8284.52</v>
      </c>
      <c r="H57" s="1551">
        <v>481.3783908045977</v>
      </c>
      <c r="I57" s="1551">
        <f t="shared" si="5"/>
        <v>481.3783908045977</v>
      </c>
      <c r="J57" s="1551">
        <f t="shared" si="5"/>
        <v>481.3783908045977</v>
      </c>
      <c r="K57" s="1551">
        <f t="shared" si="5"/>
        <v>481.3783908045977</v>
      </c>
      <c r="L57" s="1551">
        <f t="shared" si="5"/>
        <v>481.3783908045977</v>
      </c>
      <c r="M57" s="1551">
        <f t="shared" si="5"/>
        <v>481.3783908045977</v>
      </c>
      <c r="N57" s="1551">
        <f t="shared" si="5"/>
        <v>481.3783908045977</v>
      </c>
      <c r="O57" s="1551">
        <f t="shared" si="5"/>
        <v>481.3783908045977</v>
      </c>
      <c r="P57" s="1551">
        <f t="shared" si="5"/>
        <v>481.3783908045977</v>
      </c>
      <c r="Q57" s="1551">
        <f t="shared" si="5"/>
        <v>481.3783908045977</v>
      </c>
      <c r="R57" s="360"/>
    </row>
    <row r="58" spans="2:18" ht="12.75" x14ac:dyDescent="0.2">
      <c r="B58" s="1695" t="s">
        <v>2185</v>
      </c>
      <c r="C58" s="1691">
        <v>303.3</v>
      </c>
      <c r="D58" s="1551">
        <v>63317.91</v>
      </c>
      <c r="E58" s="1692">
        <v>60</v>
      </c>
      <c r="F58" s="1701">
        <v>40.5</v>
      </c>
      <c r="G58" s="1551">
        <v>21152.15</v>
      </c>
      <c r="H58" s="1551">
        <v>1041.12987654321</v>
      </c>
      <c r="I58" s="1551">
        <f t="shared" si="5"/>
        <v>1041.12987654321</v>
      </c>
      <c r="J58" s="1551">
        <f t="shared" si="5"/>
        <v>1041.12987654321</v>
      </c>
      <c r="K58" s="1551">
        <f t="shared" si="5"/>
        <v>1041.12987654321</v>
      </c>
      <c r="L58" s="1551">
        <f t="shared" si="5"/>
        <v>1041.12987654321</v>
      </c>
      <c r="M58" s="1551">
        <f t="shared" si="5"/>
        <v>1041.12987654321</v>
      </c>
      <c r="N58" s="1551">
        <f t="shared" si="5"/>
        <v>1041.12987654321</v>
      </c>
      <c r="O58" s="1551">
        <f t="shared" si="5"/>
        <v>1041.12987654321</v>
      </c>
      <c r="P58" s="1551">
        <f t="shared" si="5"/>
        <v>1041.12987654321</v>
      </c>
      <c r="Q58" s="1551">
        <f t="shared" si="5"/>
        <v>1041.12987654321</v>
      </c>
      <c r="R58" s="360"/>
    </row>
    <row r="59" spans="2:18" ht="12.75" x14ac:dyDescent="0.2">
      <c r="B59" s="1695" t="s">
        <v>2186</v>
      </c>
      <c r="C59" s="1691">
        <v>303.3</v>
      </c>
      <c r="D59" s="1551">
        <v>71586.31</v>
      </c>
      <c r="E59" s="1692">
        <v>60</v>
      </c>
      <c r="F59" s="1701">
        <v>52.5</v>
      </c>
      <c r="G59" s="1551">
        <v>9855.94</v>
      </c>
      <c r="H59" s="1551">
        <v>1175.8165714285713</v>
      </c>
      <c r="I59" s="1551">
        <f t="shared" si="5"/>
        <v>1175.8165714285713</v>
      </c>
      <c r="J59" s="1551">
        <f t="shared" si="5"/>
        <v>1175.8165714285713</v>
      </c>
      <c r="K59" s="1551">
        <f t="shared" si="5"/>
        <v>1175.8165714285713</v>
      </c>
      <c r="L59" s="1551">
        <f t="shared" si="5"/>
        <v>1175.8165714285713</v>
      </c>
      <c r="M59" s="1551">
        <f t="shared" si="5"/>
        <v>1175.8165714285713</v>
      </c>
      <c r="N59" s="1551">
        <f t="shared" si="5"/>
        <v>1175.8165714285713</v>
      </c>
      <c r="O59" s="1551">
        <f t="shared" si="5"/>
        <v>1175.8165714285713</v>
      </c>
      <c r="P59" s="1551">
        <f t="shared" si="5"/>
        <v>1175.8165714285713</v>
      </c>
      <c r="Q59" s="1551">
        <f t="shared" si="5"/>
        <v>1175.8165714285713</v>
      </c>
      <c r="R59" s="360"/>
    </row>
    <row r="60" spans="2:18" ht="12.75" x14ac:dyDescent="0.2">
      <c r="B60" s="1695" t="s">
        <v>2187</v>
      </c>
      <c r="C60" s="1691">
        <v>303.3</v>
      </c>
      <c r="D60" s="1551">
        <v>29708.19</v>
      </c>
      <c r="E60" s="1692">
        <v>60</v>
      </c>
      <c r="F60" s="1701">
        <v>59.5</v>
      </c>
      <c r="G60" s="1551">
        <v>742.71</v>
      </c>
      <c r="H60" s="1551">
        <v>486.8147899159664</v>
      </c>
      <c r="I60" s="1551">
        <f t="shared" si="5"/>
        <v>486.8147899159664</v>
      </c>
      <c r="J60" s="1551">
        <f t="shared" si="5"/>
        <v>486.8147899159664</v>
      </c>
      <c r="K60" s="1551">
        <f t="shared" si="5"/>
        <v>486.8147899159664</v>
      </c>
      <c r="L60" s="1551">
        <f t="shared" si="5"/>
        <v>486.8147899159664</v>
      </c>
      <c r="M60" s="1551">
        <f t="shared" si="5"/>
        <v>486.8147899159664</v>
      </c>
      <c r="N60" s="1551">
        <f t="shared" si="5"/>
        <v>486.8147899159664</v>
      </c>
      <c r="O60" s="1551">
        <f t="shared" si="5"/>
        <v>486.8147899159664</v>
      </c>
      <c r="P60" s="1551">
        <f t="shared" si="5"/>
        <v>486.8147899159664</v>
      </c>
      <c r="Q60" s="1551">
        <f t="shared" si="5"/>
        <v>486.8147899159664</v>
      </c>
      <c r="R60" s="360"/>
    </row>
    <row r="61" spans="2:18" ht="12.75" x14ac:dyDescent="0.2">
      <c r="B61" s="1695" t="s">
        <v>1156</v>
      </c>
      <c r="C61" s="1691">
        <v>303.3</v>
      </c>
      <c r="D61" s="1551">
        <v>5033.0600000000004</v>
      </c>
      <c r="E61" s="1692">
        <v>60</v>
      </c>
      <c r="F61" s="1701">
        <v>10.5</v>
      </c>
      <c r="G61" s="1551">
        <v>4236.1499999999996</v>
      </c>
      <c r="H61" s="1551">
        <v>75.896190476190554</v>
      </c>
      <c r="I61" s="1551">
        <f t="shared" si="5"/>
        <v>75.896190476190554</v>
      </c>
      <c r="J61" s="1551">
        <f t="shared" si="5"/>
        <v>75.896190476190554</v>
      </c>
      <c r="K61" s="1551">
        <f t="shared" si="5"/>
        <v>75.896190476190554</v>
      </c>
      <c r="L61" s="1551">
        <f t="shared" si="5"/>
        <v>75.896190476190554</v>
      </c>
      <c r="M61" s="1551">
        <f t="shared" si="5"/>
        <v>75.896190476190554</v>
      </c>
      <c r="N61" s="1551">
        <f t="shared" si="5"/>
        <v>75.896190476190554</v>
      </c>
      <c r="O61" s="1551">
        <f t="shared" si="5"/>
        <v>75.896190476190554</v>
      </c>
      <c r="P61" s="1551">
        <f t="shared" si="5"/>
        <v>75.896190476190554</v>
      </c>
      <c r="Q61" s="1551">
        <f t="shared" si="5"/>
        <v>75.896190476190554</v>
      </c>
      <c r="R61" s="360"/>
    </row>
    <row r="62" spans="2:18" ht="12.75" x14ac:dyDescent="0.2">
      <c r="B62" s="1695" t="s">
        <v>2188</v>
      </c>
      <c r="C62" s="1691">
        <v>303.3</v>
      </c>
      <c r="D62" s="1551">
        <v>60748.75</v>
      </c>
      <c r="E62" s="1692">
        <v>60</v>
      </c>
      <c r="F62" s="1701">
        <v>38.5</v>
      </c>
      <c r="G62" s="1551">
        <v>21269.3</v>
      </c>
      <c r="H62" s="1551">
        <v>1025.4402597402598</v>
      </c>
      <c r="I62" s="1551">
        <f t="shared" si="5"/>
        <v>1025.4402597402598</v>
      </c>
      <c r="J62" s="1551">
        <f t="shared" si="5"/>
        <v>1025.4402597402598</v>
      </c>
      <c r="K62" s="1551">
        <f t="shared" si="5"/>
        <v>1025.4402597402598</v>
      </c>
      <c r="L62" s="1551">
        <f t="shared" si="5"/>
        <v>1025.4402597402598</v>
      </c>
      <c r="M62" s="1551">
        <f t="shared" si="5"/>
        <v>1025.4402597402598</v>
      </c>
      <c r="N62" s="1551">
        <f t="shared" si="5"/>
        <v>1025.4402597402598</v>
      </c>
      <c r="O62" s="1551">
        <f t="shared" si="5"/>
        <v>1025.4402597402598</v>
      </c>
      <c r="P62" s="1551">
        <f t="shared" si="5"/>
        <v>1025.4402597402598</v>
      </c>
      <c r="Q62" s="1551">
        <f t="shared" si="5"/>
        <v>1025.4402597402598</v>
      </c>
      <c r="R62" s="360"/>
    </row>
    <row r="63" spans="2:18" ht="12.75" x14ac:dyDescent="0.2">
      <c r="B63" s="1695" t="s">
        <v>2189</v>
      </c>
      <c r="C63" s="1691">
        <v>303.3</v>
      </c>
      <c r="D63" s="1551">
        <v>31262.27</v>
      </c>
      <c r="E63" s="1692">
        <v>60</v>
      </c>
      <c r="F63" s="1701">
        <v>41.5</v>
      </c>
      <c r="G63" s="1551">
        <v>9512.06</v>
      </c>
      <c r="H63" s="1551">
        <v>524.10144578313248</v>
      </c>
      <c r="I63" s="1551">
        <f t="shared" si="5"/>
        <v>524.10144578313248</v>
      </c>
      <c r="J63" s="1551">
        <f t="shared" si="5"/>
        <v>524.10144578313248</v>
      </c>
      <c r="K63" s="1551">
        <f t="shared" si="5"/>
        <v>524.10144578313248</v>
      </c>
      <c r="L63" s="1551">
        <f t="shared" si="5"/>
        <v>524.10144578313248</v>
      </c>
      <c r="M63" s="1551">
        <f t="shared" si="5"/>
        <v>524.10144578313248</v>
      </c>
      <c r="N63" s="1551">
        <f t="shared" si="5"/>
        <v>524.10144578313248</v>
      </c>
      <c r="O63" s="1551">
        <f t="shared" si="5"/>
        <v>524.10144578313248</v>
      </c>
      <c r="P63" s="1551">
        <f t="shared" si="5"/>
        <v>524.10144578313248</v>
      </c>
      <c r="Q63" s="1551">
        <f t="shared" si="5"/>
        <v>524.10144578313248</v>
      </c>
      <c r="R63" s="360"/>
    </row>
    <row r="64" spans="2:18" ht="12.75" x14ac:dyDescent="0.2">
      <c r="B64" s="1695" t="s">
        <v>2190</v>
      </c>
      <c r="C64" s="1691">
        <v>303.3</v>
      </c>
      <c r="D64" s="1551">
        <v>1683018.79</v>
      </c>
      <c r="E64" s="1692">
        <v>120</v>
      </c>
      <c r="F64" s="1701">
        <v>97.5</v>
      </c>
      <c r="G64" s="1551">
        <v>329902</v>
      </c>
      <c r="H64" s="1551">
        <v>13878.120923076924</v>
      </c>
      <c r="I64" s="1551">
        <f t="shared" si="5"/>
        <v>13878.120923076924</v>
      </c>
      <c r="J64" s="1551">
        <f t="shared" si="5"/>
        <v>13878.120923076924</v>
      </c>
      <c r="K64" s="1551">
        <f t="shared" si="5"/>
        <v>13878.120923076924</v>
      </c>
      <c r="L64" s="1551">
        <f t="shared" si="5"/>
        <v>13878.120923076924</v>
      </c>
      <c r="M64" s="1551">
        <f t="shared" si="5"/>
        <v>13878.120923076924</v>
      </c>
      <c r="N64" s="1551">
        <f t="shared" si="5"/>
        <v>13878.120923076924</v>
      </c>
      <c r="O64" s="1551">
        <f t="shared" si="5"/>
        <v>13878.120923076924</v>
      </c>
      <c r="P64" s="1551">
        <f t="shared" si="5"/>
        <v>13878.120923076924</v>
      </c>
      <c r="Q64" s="1551">
        <f t="shared" si="5"/>
        <v>13878.120923076924</v>
      </c>
      <c r="R64" s="360"/>
    </row>
    <row r="65" spans="2:18" ht="12.75" x14ac:dyDescent="0.2">
      <c r="B65" s="1695" t="s">
        <v>2191</v>
      </c>
      <c r="C65" s="1691">
        <v>303.3</v>
      </c>
      <c r="D65" s="1551">
        <v>2590.56</v>
      </c>
      <c r="E65" s="1692">
        <v>60</v>
      </c>
      <c r="F65" s="1701">
        <v>45.5</v>
      </c>
      <c r="G65" s="1551">
        <v>669.27</v>
      </c>
      <c r="H65" s="1551">
        <v>42.226153846153842</v>
      </c>
      <c r="I65" s="1551">
        <f t="shared" si="5"/>
        <v>42.226153846153842</v>
      </c>
      <c r="J65" s="1551">
        <f t="shared" si="5"/>
        <v>42.226153846153842</v>
      </c>
      <c r="K65" s="1551">
        <f t="shared" si="5"/>
        <v>42.226153846153842</v>
      </c>
      <c r="L65" s="1551">
        <f t="shared" si="5"/>
        <v>42.226153846153842</v>
      </c>
      <c r="M65" s="1551">
        <f t="shared" si="5"/>
        <v>42.226153846153842</v>
      </c>
      <c r="N65" s="1551">
        <f t="shared" si="5"/>
        <v>42.226153846153842</v>
      </c>
      <c r="O65" s="1551">
        <f t="shared" si="5"/>
        <v>42.226153846153842</v>
      </c>
      <c r="P65" s="1551">
        <f t="shared" si="5"/>
        <v>42.226153846153842</v>
      </c>
      <c r="Q65" s="1551">
        <f t="shared" si="5"/>
        <v>42.226153846153842</v>
      </c>
      <c r="R65" s="360"/>
    </row>
    <row r="66" spans="2:18" ht="12.75" x14ac:dyDescent="0.2">
      <c r="B66" s="1695" t="s">
        <v>2192</v>
      </c>
      <c r="C66" s="1691">
        <v>303.3</v>
      </c>
      <c r="D66" s="1551">
        <v>4841.08</v>
      </c>
      <c r="E66" s="1692">
        <v>60</v>
      </c>
      <c r="F66" s="1701">
        <v>51.5</v>
      </c>
      <c r="G66" s="1551">
        <v>766.51</v>
      </c>
      <c r="H66" s="1551">
        <v>79.117864077669893</v>
      </c>
      <c r="I66" s="1551">
        <f t="shared" si="5"/>
        <v>79.117864077669893</v>
      </c>
      <c r="J66" s="1551">
        <f t="shared" si="5"/>
        <v>79.117864077669893</v>
      </c>
      <c r="K66" s="1551">
        <f t="shared" si="5"/>
        <v>79.117864077669893</v>
      </c>
      <c r="L66" s="1551">
        <f t="shared" si="5"/>
        <v>79.117864077669893</v>
      </c>
      <c r="M66" s="1551">
        <f t="shared" si="5"/>
        <v>79.117864077669893</v>
      </c>
      <c r="N66" s="1551">
        <f t="shared" si="5"/>
        <v>79.117864077669893</v>
      </c>
      <c r="O66" s="1551">
        <f t="shared" si="5"/>
        <v>79.117864077669893</v>
      </c>
      <c r="P66" s="1551">
        <f t="shared" si="5"/>
        <v>79.117864077669893</v>
      </c>
      <c r="Q66" s="1551">
        <f t="shared" si="5"/>
        <v>79.117864077669893</v>
      </c>
      <c r="R66" s="360"/>
    </row>
    <row r="67" spans="2:18" ht="12.75" x14ac:dyDescent="0.2">
      <c r="B67" s="1695" t="s">
        <v>2193</v>
      </c>
      <c r="C67" s="1691">
        <v>303.3</v>
      </c>
      <c r="D67" s="1551">
        <v>34012.699999999997</v>
      </c>
      <c r="E67" s="1692">
        <v>120</v>
      </c>
      <c r="F67" s="1701">
        <v>37.5</v>
      </c>
      <c r="G67" s="1551">
        <v>13321.68</v>
      </c>
      <c r="H67" s="1551">
        <v>551.76053333333323</v>
      </c>
      <c r="I67" s="1551">
        <f t="shared" si="5"/>
        <v>551.76053333333323</v>
      </c>
      <c r="J67" s="1551">
        <f t="shared" si="5"/>
        <v>551.76053333333323</v>
      </c>
      <c r="K67" s="1551">
        <f t="shared" si="5"/>
        <v>551.76053333333323</v>
      </c>
      <c r="L67" s="1551">
        <f t="shared" si="5"/>
        <v>551.76053333333323</v>
      </c>
      <c r="M67" s="1551">
        <f t="shared" si="5"/>
        <v>551.76053333333323</v>
      </c>
      <c r="N67" s="1551">
        <f t="shared" si="5"/>
        <v>551.76053333333323</v>
      </c>
      <c r="O67" s="1551">
        <f t="shared" si="5"/>
        <v>551.76053333333323</v>
      </c>
      <c r="P67" s="1551">
        <f t="shared" si="5"/>
        <v>551.76053333333323</v>
      </c>
      <c r="Q67" s="1551">
        <f t="shared" si="5"/>
        <v>551.76053333333323</v>
      </c>
      <c r="R67" s="360"/>
    </row>
    <row r="68" spans="2:18" ht="12.75" x14ac:dyDescent="0.2">
      <c r="B68" s="1695" t="s">
        <v>2194</v>
      </c>
      <c r="C68" s="1691">
        <v>303.3</v>
      </c>
      <c r="D68" s="1551">
        <v>42700.58</v>
      </c>
      <c r="E68" s="1692">
        <v>120</v>
      </c>
      <c r="F68" s="1701">
        <v>37.5</v>
      </c>
      <c r="G68" s="1551">
        <v>16724.45</v>
      </c>
      <c r="H68" s="1551">
        <v>692.69680000000005</v>
      </c>
      <c r="I68" s="1551">
        <f t="shared" si="5"/>
        <v>692.69680000000005</v>
      </c>
      <c r="J68" s="1551">
        <f t="shared" si="5"/>
        <v>692.69680000000005</v>
      </c>
      <c r="K68" s="1551">
        <f t="shared" si="5"/>
        <v>692.69680000000005</v>
      </c>
      <c r="L68" s="1551">
        <f t="shared" si="5"/>
        <v>692.69680000000005</v>
      </c>
      <c r="M68" s="1551">
        <f t="shared" si="5"/>
        <v>692.69680000000005</v>
      </c>
      <c r="N68" s="1551">
        <f t="shared" si="5"/>
        <v>692.69680000000005</v>
      </c>
      <c r="O68" s="1551">
        <f t="shared" si="5"/>
        <v>692.69680000000005</v>
      </c>
      <c r="P68" s="1551">
        <f t="shared" si="5"/>
        <v>692.69680000000005</v>
      </c>
      <c r="Q68" s="1551">
        <f t="shared" si="5"/>
        <v>692.69680000000005</v>
      </c>
      <c r="R68" s="360"/>
    </row>
    <row r="69" spans="2:18" ht="12.75" x14ac:dyDescent="0.2">
      <c r="B69" s="1695" t="s">
        <v>1160</v>
      </c>
      <c r="C69" s="1691">
        <v>303.3</v>
      </c>
      <c r="D69" s="1551">
        <v>68192.58</v>
      </c>
      <c r="E69" s="1692">
        <v>120</v>
      </c>
      <c r="F69" s="1701">
        <v>15.5</v>
      </c>
      <c r="G69" s="1551">
        <v>51382.8</v>
      </c>
      <c r="H69" s="1551">
        <v>1084.501935483871</v>
      </c>
      <c r="I69" s="1551">
        <f t="shared" si="5"/>
        <v>1084.501935483871</v>
      </c>
      <c r="J69" s="1551">
        <f t="shared" si="5"/>
        <v>1084.501935483871</v>
      </c>
      <c r="K69" s="1551">
        <f t="shared" si="5"/>
        <v>1084.501935483871</v>
      </c>
      <c r="L69" s="1551">
        <f t="shared" si="5"/>
        <v>1084.501935483871</v>
      </c>
      <c r="M69" s="1551">
        <f t="shared" si="5"/>
        <v>1084.501935483871</v>
      </c>
      <c r="N69" s="1551">
        <f t="shared" si="5"/>
        <v>1084.501935483871</v>
      </c>
      <c r="O69" s="1551">
        <f t="shared" si="5"/>
        <v>1084.501935483871</v>
      </c>
      <c r="P69" s="1551">
        <f t="shared" si="5"/>
        <v>1084.501935483871</v>
      </c>
      <c r="Q69" s="1551">
        <f t="shared" si="5"/>
        <v>1084.501935483871</v>
      </c>
      <c r="R69" s="360"/>
    </row>
    <row r="70" spans="2:18" ht="12.75" x14ac:dyDescent="0.2">
      <c r="B70" s="1695" t="s">
        <v>2195</v>
      </c>
      <c r="C70" s="1691">
        <v>303.3</v>
      </c>
      <c r="D70" s="1551">
        <v>15020.8</v>
      </c>
      <c r="E70" s="1692">
        <v>60</v>
      </c>
      <c r="F70" s="1701">
        <v>28.5</v>
      </c>
      <c r="G70" s="1551">
        <v>8136.31</v>
      </c>
      <c r="H70" s="1551">
        <v>241.56105263157892</v>
      </c>
      <c r="I70" s="1551">
        <f t="shared" si="5"/>
        <v>241.56105263157892</v>
      </c>
      <c r="J70" s="1551">
        <f t="shared" si="5"/>
        <v>241.56105263157892</v>
      </c>
      <c r="K70" s="1551">
        <f t="shared" si="5"/>
        <v>241.56105263157892</v>
      </c>
      <c r="L70" s="1551">
        <f t="shared" si="5"/>
        <v>241.56105263157892</v>
      </c>
      <c r="M70" s="1551">
        <f t="shared" si="5"/>
        <v>241.56105263157892</v>
      </c>
      <c r="N70" s="1551">
        <f t="shared" si="5"/>
        <v>241.56105263157892</v>
      </c>
      <c r="O70" s="1551">
        <f t="shared" si="5"/>
        <v>241.56105263157892</v>
      </c>
      <c r="P70" s="1551">
        <f t="shared" si="5"/>
        <v>241.56105263157892</v>
      </c>
      <c r="Q70" s="1551">
        <f t="shared" si="5"/>
        <v>241.56105263157892</v>
      </c>
      <c r="R70" s="360"/>
    </row>
    <row r="71" spans="2:18" ht="12.75" x14ac:dyDescent="0.2">
      <c r="B71" s="1695" t="s">
        <v>1157</v>
      </c>
      <c r="C71" s="1691">
        <v>303.3</v>
      </c>
      <c r="D71" s="1551">
        <v>5570.38</v>
      </c>
      <c r="E71" s="1692">
        <v>60</v>
      </c>
      <c r="F71" s="1701">
        <v>10.5</v>
      </c>
      <c r="G71" s="1551">
        <v>4679.04</v>
      </c>
      <c r="H71" s="1551">
        <v>84.889523809523823</v>
      </c>
      <c r="I71" s="1551">
        <f t="shared" ref="I71:Q79" si="6">H71</f>
        <v>84.889523809523823</v>
      </c>
      <c r="J71" s="1551">
        <f t="shared" si="6"/>
        <v>84.889523809523823</v>
      </c>
      <c r="K71" s="1551">
        <f t="shared" si="6"/>
        <v>84.889523809523823</v>
      </c>
      <c r="L71" s="1551">
        <f t="shared" si="6"/>
        <v>84.889523809523823</v>
      </c>
      <c r="M71" s="1551">
        <f t="shared" si="6"/>
        <v>84.889523809523823</v>
      </c>
      <c r="N71" s="1551">
        <f t="shared" si="6"/>
        <v>84.889523809523823</v>
      </c>
      <c r="O71" s="1551">
        <f t="shared" si="6"/>
        <v>84.889523809523823</v>
      </c>
      <c r="P71" s="1551">
        <f t="shared" si="6"/>
        <v>84.889523809523823</v>
      </c>
      <c r="Q71" s="1551">
        <f t="shared" si="6"/>
        <v>84.889523809523823</v>
      </c>
      <c r="R71" s="360"/>
    </row>
    <row r="72" spans="2:18" ht="12.75" x14ac:dyDescent="0.2">
      <c r="B72" s="1695" t="s">
        <v>1154</v>
      </c>
      <c r="C72" s="1691">
        <v>303.3</v>
      </c>
      <c r="D72" s="1551">
        <v>105456.53</v>
      </c>
      <c r="E72" s="1692">
        <v>60</v>
      </c>
      <c r="F72" s="1701">
        <v>10.5</v>
      </c>
      <c r="G72" s="1551">
        <v>88759.239999999991</v>
      </c>
      <c r="H72" s="1551">
        <v>1590.2180952380961</v>
      </c>
      <c r="I72" s="1551">
        <f t="shared" si="6"/>
        <v>1590.2180952380961</v>
      </c>
      <c r="J72" s="1551">
        <f t="shared" si="6"/>
        <v>1590.2180952380961</v>
      </c>
      <c r="K72" s="1551">
        <f t="shared" si="6"/>
        <v>1590.2180952380961</v>
      </c>
      <c r="L72" s="1551">
        <f t="shared" si="6"/>
        <v>1590.2180952380961</v>
      </c>
      <c r="M72" s="1551">
        <f t="shared" si="6"/>
        <v>1590.2180952380961</v>
      </c>
      <c r="N72" s="1551">
        <f t="shared" si="6"/>
        <v>1590.2180952380961</v>
      </c>
      <c r="O72" s="1551">
        <f t="shared" si="6"/>
        <v>1590.2180952380961</v>
      </c>
      <c r="P72" s="1551">
        <f t="shared" si="6"/>
        <v>1590.2180952380961</v>
      </c>
      <c r="Q72" s="1551">
        <f t="shared" si="6"/>
        <v>1590.2180952380961</v>
      </c>
      <c r="R72" s="360"/>
    </row>
    <row r="73" spans="2:18" ht="12.75" x14ac:dyDescent="0.2">
      <c r="B73" s="1695" t="s">
        <v>2196</v>
      </c>
      <c r="C73" s="1691">
        <v>303.3</v>
      </c>
      <c r="D73" s="1551">
        <v>17363.849999999999</v>
      </c>
      <c r="E73" s="1692">
        <v>60</v>
      </c>
      <c r="F73" s="1701">
        <v>58.5</v>
      </c>
      <c r="G73" s="1551">
        <v>714.94</v>
      </c>
      <c r="H73" s="1551">
        <v>284.59675213675212</v>
      </c>
      <c r="I73" s="1551">
        <f t="shared" si="6"/>
        <v>284.59675213675212</v>
      </c>
      <c r="J73" s="1551">
        <f t="shared" si="6"/>
        <v>284.59675213675212</v>
      </c>
      <c r="K73" s="1551">
        <f t="shared" si="6"/>
        <v>284.59675213675212</v>
      </c>
      <c r="L73" s="1551">
        <f t="shared" si="6"/>
        <v>284.59675213675212</v>
      </c>
      <c r="M73" s="1551">
        <f t="shared" si="6"/>
        <v>284.59675213675212</v>
      </c>
      <c r="N73" s="1551">
        <f t="shared" si="6"/>
        <v>284.59675213675212</v>
      </c>
      <c r="O73" s="1551">
        <f t="shared" si="6"/>
        <v>284.59675213675212</v>
      </c>
      <c r="P73" s="1551">
        <f t="shared" si="6"/>
        <v>284.59675213675212</v>
      </c>
      <c r="Q73" s="1551">
        <f t="shared" si="6"/>
        <v>284.59675213675212</v>
      </c>
      <c r="R73" s="360"/>
    </row>
    <row r="74" spans="2:18" ht="12.75" x14ac:dyDescent="0.2">
      <c r="B74" s="1695" t="s">
        <v>2197</v>
      </c>
      <c r="C74" s="1691">
        <v>303.3</v>
      </c>
      <c r="D74" s="1551">
        <v>30379.37</v>
      </c>
      <c r="E74" s="1692">
        <v>60</v>
      </c>
      <c r="F74" s="1701">
        <v>40.5</v>
      </c>
      <c r="G74" s="1551">
        <v>7885.09</v>
      </c>
      <c r="H74" s="1551">
        <v>555.41432098765426</v>
      </c>
      <c r="I74" s="1551">
        <f t="shared" si="6"/>
        <v>555.41432098765426</v>
      </c>
      <c r="J74" s="1551">
        <f t="shared" si="6"/>
        <v>555.41432098765426</v>
      </c>
      <c r="K74" s="1551">
        <f t="shared" si="6"/>
        <v>555.41432098765426</v>
      </c>
      <c r="L74" s="1551">
        <f t="shared" si="6"/>
        <v>555.41432098765426</v>
      </c>
      <c r="M74" s="1551">
        <f t="shared" si="6"/>
        <v>555.41432098765426</v>
      </c>
      <c r="N74" s="1551">
        <f t="shared" si="6"/>
        <v>555.41432098765426</v>
      </c>
      <c r="O74" s="1551">
        <f t="shared" si="6"/>
        <v>555.41432098765426</v>
      </c>
      <c r="P74" s="1551">
        <f t="shared" si="6"/>
        <v>555.41432098765426</v>
      </c>
      <c r="Q74" s="1551">
        <f t="shared" si="6"/>
        <v>555.41432098765426</v>
      </c>
      <c r="R74" s="360"/>
    </row>
    <row r="75" spans="2:18" ht="12.75" x14ac:dyDescent="0.2">
      <c r="B75" s="1695" t="s">
        <v>2198</v>
      </c>
      <c r="C75" s="1691">
        <v>303.3</v>
      </c>
      <c r="D75" s="1551">
        <v>41940.620000000003</v>
      </c>
      <c r="E75" s="1692">
        <v>60</v>
      </c>
      <c r="F75" s="1701">
        <v>33.5</v>
      </c>
      <c r="G75" s="1551">
        <v>18900.07</v>
      </c>
      <c r="H75" s="1551">
        <v>687.77761194029858</v>
      </c>
      <c r="I75" s="1551">
        <f t="shared" si="6"/>
        <v>687.77761194029858</v>
      </c>
      <c r="J75" s="1551">
        <f t="shared" si="6"/>
        <v>687.77761194029858</v>
      </c>
      <c r="K75" s="1551">
        <f t="shared" si="6"/>
        <v>687.77761194029858</v>
      </c>
      <c r="L75" s="1551">
        <f t="shared" si="6"/>
        <v>687.77761194029858</v>
      </c>
      <c r="M75" s="1551">
        <f t="shared" si="6"/>
        <v>687.77761194029858</v>
      </c>
      <c r="N75" s="1551">
        <f t="shared" si="6"/>
        <v>687.77761194029858</v>
      </c>
      <c r="O75" s="1551">
        <f t="shared" si="6"/>
        <v>687.77761194029858</v>
      </c>
      <c r="P75" s="1551">
        <f t="shared" si="6"/>
        <v>687.77761194029858</v>
      </c>
      <c r="Q75" s="1551">
        <f t="shared" si="6"/>
        <v>687.77761194029858</v>
      </c>
      <c r="R75" s="360"/>
    </row>
    <row r="76" spans="2:18" ht="12.75" x14ac:dyDescent="0.2">
      <c r="B76" s="1695" t="s">
        <v>2199</v>
      </c>
      <c r="C76" s="1691">
        <v>303.3</v>
      </c>
      <c r="D76" s="1551">
        <v>7414.54</v>
      </c>
      <c r="E76" s="1692">
        <v>60</v>
      </c>
      <c r="F76" s="1701">
        <v>35.5</v>
      </c>
      <c r="G76" s="1551">
        <v>3151.2</v>
      </c>
      <c r="H76" s="1551">
        <v>120.09408450704225</v>
      </c>
      <c r="I76" s="1551">
        <f t="shared" si="6"/>
        <v>120.09408450704225</v>
      </c>
      <c r="J76" s="1551">
        <f t="shared" si="6"/>
        <v>120.09408450704225</v>
      </c>
      <c r="K76" s="1551">
        <f t="shared" si="6"/>
        <v>120.09408450704225</v>
      </c>
      <c r="L76" s="1551">
        <f t="shared" si="6"/>
        <v>120.09408450704225</v>
      </c>
      <c r="M76" s="1551">
        <f t="shared" si="6"/>
        <v>120.09408450704225</v>
      </c>
      <c r="N76" s="1551">
        <f t="shared" si="6"/>
        <v>120.09408450704225</v>
      </c>
      <c r="O76" s="1551">
        <f t="shared" si="6"/>
        <v>120.09408450704225</v>
      </c>
      <c r="P76" s="1551">
        <f t="shared" si="6"/>
        <v>120.09408450704225</v>
      </c>
      <c r="Q76" s="1551">
        <f t="shared" si="6"/>
        <v>120.09408450704225</v>
      </c>
      <c r="R76" s="360"/>
    </row>
    <row r="77" spans="2:18" ht="12.75" x14ac:dyDescent="0.2">
      <c r="B77" s="1695" t="s">
        <v>2200</v>
      </c>
      <c r="C77" s="1691">
        <v>303.3</v>
      </c>
      <c r="D77" s="1551">
        <v>3270.66</v>
      </c>
      <c r="E77" s="1692">
        <v>60</v>
      </c>
      <c r="F77" s="1701">
        <v>43.5</v>
      </c>
      <c r="G77" s="1551">
        <v>953.77</v>
      </c>
      <c r="H77" s="1551">
        <v>53.261839080459765</v>
      </c>
      <c r="I77" s="1551">
        <f t="shared" si="6"/>
        <v>53.261839080459765</v>
      </c>
      <c r="J77" s="1551">
        <f t="shared" si="6"/>
        <v>53.261839080459765</v>
      </c>
      <c r="K77" s="1551">
        <f t="shared" si="6"/>
        <v>53.261839080459765</v>
      </c>
      <c r="L77" s="1551">
        <f t="shared" si="6"/>
        <v>53.261839080459765</v>
      </c>
      <c r="M77" s="1551">
        <f t="shared" si="6"/>
        <v>53.261839080459765</v>
      </c>
      <c r="N77" s="1551">
        <f t="shared" si="6"/>
        <v>53.261839080459765</v>
      </c>
      <c r="O77" s="1551">
        <f t="shared" si="6"/>
        <v>53.261839080459765</v>
      </c>
      <c r="P77" s="1551">
        <f t="shared" si="6"/>
        <v>53.261839080459765</v>
      </c>
      <c r="Q77" s="1551">
        <f t="shared" si="6"/>
        <v>53.261839080459765</v>
      </c>
      <c r="R77" s="360"/>
    </row>
    <row r="78" spans="2:18" ht="12.75" x14ac:dyDescent="0.2">
      <c r="B78" s="1695" t="s">
        <v>2201</v>
      </c>
      <c r="C78" s="1691">
        <v>303.3</v>
      </c>
      <c r="D78" s="1551">
        <v>12084.06</v>
      </c>
      <c r="E78" s="1692">
        <v>60</v>
      </c>
      <c r="F78" s="1701">
        <v>60</v>
      </c>
      <c r="G78" s="1551">
        <v>100.7</v>
      </c>
      <c r="H78" s="1551">
        <v>199.72266666666664</v>
      </c>
      <c r="I78" s="1551">
        <f t="shared" si="6"/>
        <v>199.72266666666664</v>
      </c>
      <c r="J78" s="1551">
        <f t="shared" si="6"/>
        <v>199.72266666666664</v>
      </c>
      <c r="K78" s="1551">
        <f t="shared" si="6"/>
        <v>199.72266666666664</v>
      </c>
      <c r="L78" s="1551">
        <f t="shared" si="6"/>
        <v>199.72266666666664</v>
      </c>
      <c r="M78" s="1551">
        <f t="shared" si="6"/>
        <v>199.72266666666664</v>
      </c>
      <c r="N78" s="1551">
        <f t="shared" si="6"/>
        <v>199.72266666666664</v>
      </c>
      <c r="O78" s="1551">
        <f t="shared" si="6"/>
        <v>199.72266666666664</v>
      </c>
      <c r="P78" s="1551">
        <f t="shared" si="6"/>
        <v>199.72266666666664</v>
      </c>
      <c r="Q78" s="1551">
        <f t="shared" si="6"/>
        <v>199.72266666666664</v>
      </c>
      <c r="R78" s="360"/>
    </row>
    <row r="79" spans="2:18" ht="12.75" x14ac:dyDescent="0.2">
      <c r="B79" s="1695" t="s">
        <v>2202</v>
      </c>
      <c r="C79" s="1691">
        <v>303.3</v>
      </c>
      <c r="D79" s="1551">
        <v>116623.47</v>
      </c>
      <c r="E79" s="1692">
        <v>60</v>
      </c>
      <c r="F79" s="1701">
        <v>37.5</v>
      </c>
      <c r="G79" s="1551">
        <v>36358.550000000003</v>
      </c>
      <c r="H79" s="1551">
        <v>2140.3978666666667</v>
      </c>
      <c r="I79" s="1551">
        <f t="shared" si="6"/>
        <v>2140.3978666666667</v>
      </c>
      <c r="J79" s="1551">
        <f t="shared" si="6"/>
        <v>2140.3978666666667</v>
      </c>
      <c r="K79" s="1551">
        <f t="shared" si="6"/>
        <v>2140.3978666666667</v>
      </c>
      <c r="L79" s="1551">
        <f t="shared" si="6"/>
        <v>2140.3978666666667</v>
      </c>
      <c r="M79" s="1551">
        <f t="shared" si="6"/>
        <v>2140.3978666666667</v>
      </c>
      <c r="N79" s="1551">
        <f t="shared" si="6"/>
        <v>2140.3978666666667</v>
      </c>
      <c r="O79" s="1551">
        <f t="shared" si="6"/>
        <v>2140.3978666666667</v>
      </c>
      <c r="P79" s="1551">
        <f t="shared" si="6"/>
        <v>2140.3978666666667</v>
      </c>
      <c r="Q79" s="1551">
        <f t="shared" si="6"/>
        <v>2140.3978666666667</v>
      </c>
      <c r="R79" s="360"/>
    </row>
    <row r="80" spans="2:18" ht="12.75" x14ac:dyDescent="0.2">
      <c r="B80" s="349"/>
      <c r="C80" s="339"/>
      <c r="D80" s="356"/>
      <c r="E80" s="352"/>
      <c r="F80" s="353"/>
      <c r="G80" s="356"/>
      <c r="H80" s="356"/>
      <c r="I80" s="356"/>
      <c r="J80" s="356"/>
      <c r="K80" s="356"/>
      <c r="L80" s="356"/>
      <c r="M80" s="356"/>
      <c r="N80" s="356"/>
      <c r="O80" s="356"/>
      <c r="P80" s="356"/>
      <c r="Q80" s="356"/>
      <c r="R80" s="360"/>
    </row>
    <row r="81" spans="2:18" ht="12.75" x14ac:dyDescent="0.2">
      <c r="B81" s="1695" t="s">
        <v>2415</v>
      </c>
      <c r="C81" s="1691">
        <v>303.3</v>
      </c>
      <c r="D81" s="1551">
        <v>52132</v>
      </c>
      <c r="E81" s="1692">
        <v>60</v>
      </c>
      <c r="F81" s="1698"/>
      <c r="G81" s="1551"/>
      <c r="H81" s="1551">
        <f>ROUND((D81/E81)*0.5,0)</f>
        <v>434</v>
      </c>
      <c r="I81" s="1551">
        <f>ROUND((D81/E81),0)</f>
        <v>869</v>
      </c>
      <c r="J81" s="1551">
        <f>I81</f>
        <v>869</v>
      </c>
      <c r="K81" s="1551">
        <f t="shared" ref="K81:Q81" si="7">J81</f>
        <v>869</v>
      </c>
      <c r="L81" s="1551">
        <f t="shared" si="7"/>
        <v>869</v>
      </c>
      <c r="M81" s="1551">
        <f t="shared" si="7"/>
        <v>869</v>
      </c>
      <c r="N81" s="1551">
        <f t="shared" si="7"/>
        <v>869</v>
      </c>
      <c r="O81" s="1551">
        <f t="shared" si="7"/>
        <v>869</v>
      </c>
      <c r="P81" s="1551">
        <f t="shared" si="7"/>
        <v>869</v>
      </c>
      <c r="Q81" s="1551">
        <f t="shared" si="7"/>
        <v>869</v>
      </c>
      <c r="R81" s="360"/>
    </row>
    <row r="82" spans="2:18" ht="12.75" x14ac:dyDescent="0.2">
      <c r="B82" s="1702" t="s">
        <v>2416</v>
      </c>
      <c r="C82" s="1691">
        <v>303.3</v>
      </c>
      <c r="D82" s="1551">
        <v>94979</v>
      </c>
      <c r="E82" s="1692">
        <v>60</v>
      </c>
      <c r="F82" s="1698"/>
      <c r="G82" s="1551"/>
      <c r="H82" s="1551"/>
      <c r="I82" s="1551">
        <f>ROUND((D82/E82)*0.5,0)</f>
        <v>791</v>
      </c>
      <c r="J82" s="1551">
        <f>ROUND((D82/E82),0)</f>
        <v>1583</v>
      </c>
      <c r="K82" s="1551">
        <f>D82/E82</f>
        <v>1582.9833333333333</v>
      </c>
      <c r="L82" s="1551">
        <f t="shared" ref="L82:Q84" si="8">K82</f>
        <v>1582.9833333333333</v>
      </c>
      <c r="M82" s="1551">
        <f t="shared" si="8"/>
        <v>1582.9833333333333</v>
      </c>
      <c r="N82" s="1551">
        <f t="shared" si="8"/>
        <v>1582.9833333333333</v>
      </c>
      <c r="O82" s="1551">
        <f t="shared" si="8"/>
        <v>1582.9833333333333</v>
      </c>
      <c r="P82" s="1551">
        <f t="shared" si="8"/>
        <v>1582.9833333333333</v>
      </c>
      <c r="Q82" s="1551">
        <f t="shared" si="8"/>
        <v>1582.9833333333333</v>
      </c>
      <c r="R82" s="360"/>
    </row>
    <row r="83" spans="2:18" ht="12.75" x14ac:dyDescent="0.2">
      <c r="B83" s="1702" t="s">
        <v>2417</v>
      </c>
      <c r="C83" s="1691">
        <v>303.3</v>
      </c>
      <c r="D83" s="1551">
        <v>162266</v>
      </c>
      <c r="E83" s="1692">
        <v>60</v>
      </c>
      <c r="F83" s="1698"/>
      <c r="G83" s="1551"/>
      <c r="H83" s="1551"/>
      <c r="I83" s="1551"/>
      <c r="J83" s="1551">
        <f>ROUND((D83/E83)*0.5,0)</f>
        <v>1352</v>
      </c>
      <c r="K83" s="1551">
        <f>ROUND((D83/E83),0)</f>
        <v>2704</v>
      </c>
      <c r="L83" s="1551">
        <f>K83</f>
        <v>2704</v>
      </c>
      <c r="M83" s="1551">
        <f t="shared" si="8"/>
        <v>2704</v>
      </c>
      <c r="N83" s="1551">
        <f t="shared" si="8"/>
        <v>2704</v>
      </c>
      <c r="O83" s="1551">
        <f t="shared" si="8"/>
        <v>2704</v>
      </c>
      <c r="P83" s="1551">
        <f t="shared" si="8"/>
        <v>2704</v>
      </c>
      <c r="Q83" s="1551">
        <f t="shared" si="8"/>
        <v>2704</v>
      </c>
      <c r="R83" s="360"/>
    </row>
    <row r="84" spans="2:18" ht="12.75" x14ac:dyDescent="0.2">
      <c r="B84" s="1702" t="s">
        <v>2418</v>
      </c>
      <c r="C84" s="1691">
        <v>303.3</v>
      </c>
      <c r="D84" s="1551">
        <v>109735</v>
      </c>
      <c r="E84" s="1692">
        <v>60</v>
      </c>
      <c r="F84" s="1698"/>
      <c r="G84" s="1551"/>
      <c r="H84" s="1551"/>
      <c r="I84" s="1551"/>
      <c r="J84" s="1551"/>
      <c r="K84" s="1551">
        <f>ROUND((D84/E84)*0.5,0)</f>
        <v>914</v>
      </c>
      <c r="L84" s="1551">
        <f>ROUND((D84/E84),0)</f>
        <v>1829</v>
      </c>
      <c r="M84" s="1551">
        <f t="shared" si="8"/>
        <v>1829</v>
      </c>
      <c r="N84" s="1551">
        <f t="shared" si="8"/>
        <v>1829</v>
      </c>
      <c r="O84" s="1551">
        <f t="shared" si="8"/>
        <v>1829</v>
      </c>
      <c r="P84" s="1551">
        <f t="shared" si="8"/>
        <v>1829</v>
      </c>
      <c r="Q84" s="1551">
        <f t="shared" si="8"/>
        <v>1829</v>
      </c>
      <c r="R84" s="360"/>
    </row>
    <row r="85" spans="2:18" ht="12.75" x14ac:dyDescent="0.2">
      <c r="B85" s="1702" t="s">
        <v>2419</v>
      </c>
      <c r="C85" s="1691">
        <v>303.3</v>
      </c>
      <c r="D85" s="1551">
        <v>99219</v>
      </c>
      <c r="E85" s="1692">
        <v>60</v>
      </c>
      <c r="F85" s="1703"/>
      <c r="G85" s="1696"/>
      <c r="H85" s="1696"/>
      <c r="I85" s="1696"/>
      <c r="J85" s="1696"/>
      <c r="K85" s="1551"/>
      <c r="L85" s="1551">
        <f>ROUND((D85/E85)*0.5,0)</f>
        <v>827</v>
      </c>
      <c r="M85" s="1551">
        <f>ROUND((D85/E85),0)</f>
        <v>1654</v>
      </c>
      <c r="N85" s="1551">
        <f t="shared" ref="N85:Q88" si="9">M85</f>
        <v>1654</v>
      </c>
      <c r="O85" s="1551">
        <f t="shared" si="9"/>
        <v>1654</v>
      </c>
      <c r="P85" s="1551">
        <f t="shared" si="9"/>
        <v>1654</v>
      </c>
      <c r="Q85" s="1551">
        <f t="shared" si="9"/>
        <v>1654</v>
      </c>
      <c r="R85" s="342"/>
    </row>
    <row r="86" spans="2:18" ht="12.75" x14ac:dyDescent="0.2">
      <c r="B86" s="1702" t="s">
        <v>2420</v>
      </c>
      <c r="C86" s="1691">
        <v>303.3</v>
      </c>
      <c r="D86" s="1551">
        <v>202119</v>
      </c>
      <c r="E86" s="1692">
        <v>60</v>
      </c>
      <c r="F86" s="1703"/>
      <c r="G86" s="1696"/>
      <c r="H86" s="1696"/>
      <c r="I86" s="1696"/>
      <c r="J86" s="1696"/>
      <c r="K86" s="1551"/>
      <c r="L86" s="1551"/>
      <c r="M86" s="1551">
        <f>ROUND((D86/E86)*0.5,0)</f>
        <v>1684</v>
      </c>
      <c r="N86" s="1551">
        <f>ROUND((D86/E86),0)</f>
        <v>3369</v>
      </c>
      <c r="O86" s="1551">
        <f t="shared" si="9"/>
        <v>3369</v>
      </c>
      <c r="P86" s="1551">
        <f t="shared" si="9"/>
        <v>3369</v>
      </c>
      <c r="Q86" s="1551">
        <f t="shared" si="9"/>
        <v>3369</v>
      </c>
      <c r="R86" s="342"/>
    </row>
    <row r="87" spans="2:18" ht="12.75" x14ac:dyDescent="0.2">
      <c r="B87" s="1702" t="s">
        <v>2421</v>
      </c>
      <c r="C87" s="1691">
        <v>303.3</v>
      </c>
      <c r="D87" s="1551">
        <v>202119</v>
      </c>
      <c r="E87" s="1692">
        <v>60</v>
      </c>
      <c r="F87" s="1703"/>
      <c r="G87" s="1696"/>
      <c r="H87" s="1696"/>
      <c r="I87" s="1696"/>
      <c r="J87" s="1696"/>
      <c r="K87" s="1551"/>
      <c r="L87" s="1551"/>
      <c r="M87" s="1551"/>
      <c r="N87" s="1551">
        <f>ROUND((D87/E87)*0.5,0)</f>
        <v>1684</v>
      </c>
      <c r="O87" s="1551">
        <f>ROUND((D87/E87),0)</f>
        <v>3369</v>
      </c>
      <c r="P87" s="1551">
        <f t="shared" si="9"/>
        <v>3369</v>
      </c>
      <c r="Q87" s="1551">
        <f t="shared" si="9"/>
        <v>3369</v>
      </c>
      <c r="R87" s="342"/>
    </row>
    <row r="88" spans="2:18" ht="12.75" x14ac:dyDescent="0.2">
      <c r="B88" s="1702" t="s">
        <v>2422</v>
      </c>
      <c r="C88" s="1691">
        <v>303.3</v>
      </c>
      <c r="D88" s="1551">
        <v>202119</v>
      </c>
      <c r="E88" s="1692">
        <v>60</v>
      </c>
      <c r="F88" s="1698"/>
      <c r="G88" s="1551"/>
      <c r="H88" s="1551"/>
      <c r="I88" s="1551"/>
      <c r="J88" s="1551"/>
      <c r="K88" s="1551"/>
      <c r="L88" s="1551"/>
      <c r="M88" s="1696"/>
      <c r="N88" s="1696"/>
      <c r="O88" s="1551">
        <f>ROUND((D88/E88)*0.5,0)</f>
        <v>1684</v>
      </c>
      <c r="P88" s="1551">
        <f>ROUND((D88/E88),0)</f>
        <v>3369</v>
      </c>
      <c r="Q88" s="1551">
        <f t="shared" si="9"/>
        <v>3369</v>
      </c>
      <c r="R88" s="342"/>
    </row>
    <row r="89" spans="2:18" ht="12.75" x14ac:dyDescent="0.2">
      <c r="B89" s="1702" t="s">
        <v>2423</v>
      </c>
      <c r="C89" s="1691">
        <v>303.3</v>
      </c>
      <c r="D89" s="1551">
        <v>202119</v>
      </c>
      <c r="E89" s="1692">
        <v>60</v>
      </c>
      <c r="F89" s="1698"/>
      <c r="G89" s="1551"/>
      <c r="H89" s="1551"/>
      <c r="I89" s="1551"/>
      <c r="J89" s="1551"/>
      <c r="K89" s="1551"/>
      <c r="L89" s="1551"/>
      <c r="M89" s="1696"/>
      <c r="N89" s="1696"/>
      <c r="O89" s="1551"/>
      <c r="P89" s="1551">
        <f>ROUND((D89/E89)*0.5,0)</f>
        <v>1684</v>
      </c>
      <c r="Q89" s="1551">
        <f>ROUND((D89/E89),0)</f>
        <v>3369</v>
      </c>
      <c r="R89" s="342"/>
    </row>
    <row r="90" spans="2:18" ht="12.75" x14ac:dyDescent="0.2">
      <c r="B90" s="1702" t="s">
        <v>2424</v>
      </c>
      <c r="C90" s="1691">
        <v>303.3</v>
      </c>
      <c r="D90" s="1551">
        <v>202118</v>
      </c>
      <c r="E90" s="1692">
        <v>60</v>
      </c>
      <c r="F90" s="1698"/>
      <c r="G90" s="1551"/>
      <c r="H90" s="1551"/>
      <c r="I90" s="1551"/>
      <c r="J90" s="1551"/>
      <c r="K90" s="1551"/>
      <c r="L90" s="1551"/>
      <c r="M90" s="1696"/>
      <c r="N90" s="1696"/>
      <c r="O90" s="1551"/>
      <c r="P90" s="1551"/>
      <c r="Q90" s="1551">
        <f>ROUND((D90/E90)*0.5,0)</f>
        <v>1684</v>
      </c>
      <c r="R90" s="342"/>
    </row>
    <row r="91" spans="2:18" ht="12.75" x14ac:dyDescent="0.2">
      <c r="B91" s="349"/>
      <c r="C91" s="339"/>
      <c r="D91" s="356"/>
      <c r="E91" s="371"/>
      <c r="F91" s="353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60"/>
    </row>
    <row r="92" spans="2:18" ht="12.75" x14ac:dyDescent="0.2">
      <c r="B92" s="349"/>
      <c r="C92" s="339"/>
      <c r="D92" s="356"/>
      <c r="E92" s="371"/>
      <c r="F92" s="353"/>
      <c r="G92" s="356"/>
      <c r="H92" s="356"/>
      <c r="I92" s="356"/>
      <c r="J92" s="356"/>
      <c r="K92" s="356"/>
      <c r="L92" s="356"/>
      <c r="M92" s="356"/>
      <c r="N92" s="356"/>
      <c r="O92" s="356"/>
      <c r="P92" s="356"/>
      <c r="Q92" s="356"/>
      <c r="R92" s="360"/>
    </row>
    <row r="93" spans="2:18" ht="12.75" x14ac:dyDescent="0.2">
      <c r="B93" s="349" t="s">
        <v>1166</v>
      </c>
      <c r="C93" s="339">
        <v>303.3</v>
      </c>
      <c r="D93" s="342"/>
      <c r="E93" s="352"/>
      <c r="F93" s="353"/>
      <c r="G93" s="342">
        <f t="shared" ref="G93:Q93" si="10">SUM(G23:G92)</f>
        <v>2150291.4000000004</v>
      </c>
      <c r="H93" s="342">
        <f t="shared" si="10"/>
        <v>65769.193423955992</v>
      </c>
      <c r="I93" s="342">
        <f t="shared" si="10"/>
        <v>66995.193423955992</v>
      </c>
      <c r="J93" s="342">
        <f t="shared" si="10"/>
        <v>69139.193423955992</v>
      </c>
      <c r="K93" s="342">
        <f t="shared" si="10"/>
        <v>71405.17675728933</v>
      </c>
      <c r="L93" s="342">
        <f t="shared" si="10"/>
        <v>73147.17675728933</v>
      </c>
      <c r="M93" s="342">
        <f t="shared" si="10"/>
        <v>75658.17675728933</v>
      </c>
      <c r="N93" s="342">
        <f t="shared" si="10"/>
        <v>77246.630603443176</v>
      </c>
      <c r="O93" s="342">
        <f t="shared" si="10"/>
        <v>78835.084449597023</v>
      </c>
      <c r="P93" s="342">
        <f t="shared" si="10"/>
        <v>82204.084449597023</v>
      </c>
      <c r="Q93" s="342">
        <f t="shared" si="10"/>
        <v>85507.858133807546</v>
      </c>
    </row>
    <row r="94" spans="2:18" ht="12.75" x14ac:dyDescent="0.2">
      <c r="B94" s="349"/>
      <c r="D94" s="342"/>
      <c r="E94" s="352"/>
      <c r="F94" s="353"/>
    </row>
    <row r="95" spans="2:18" ht="12.75" x14ac:dyDescent="0.2">
      <c r="B95" s="358" t="s">
        <v>1031</v>
      </c>
      <c r="D95" s="342"/>
      <c r="G95" s="342">
        <f t="shared" ref="G95:Q95" si="11">G93+G20</f>
        <v>2196090.8300000005</v>
      </c>
      <c r="H95" s="342">
        <f t="shared" si="11"/>
        <v>65975.713423955996</v>
      </c>
      <c r="I95" s="342">
        <f t="shared" si="11"/>
        <v>67201.713423955996</v>
      </c>
      <c r="J95" s="342">
        <f t="shared" si="11"/>
        <v>69345.713423955996</v>
      </c>
      <c r="K95" s="342">
        <f t="shared" si="11"/>
        <v>71611.696757289334</v>
      </c>
      <c r="L95" s="342">
        <f t="shared" si="11"/>
        <v>73353.696757289334</v>
      </c>
      <c r="M95" s="342">
        <f t="shared" si="11"/>
        <v>75864.696757289334</v>
      </c>
      <c r="N95" s="342">
        <f t="shared" si="11"/>
        <v>77453.15060344318</v>
      </c>
      <c r="O95" s="342">
        <f t="shared" si="11"/>
        <v>79041.604449597027</v>
      </c>
      <c r="P95" s="342">
        <f t="shared" si="11"/>
        <v>82410.604449597027</v>
      </c>
      <c r="Q95" s="342">
        <f t="shared" si="11"/>
        <v>85714.37813380755</v>
      </c>
    </row>
    <row r="101" spans="1:20" s="1683" customFormat="1" ht="12.75" x14ac:dyDescent="0.2">
      <c r="A101" s="1682"/>
      <c r="B101" s="1684"/>
      <c r="C101" s="1684"/>
      <c r="D101" s="1687"/>
      <c r="E101" s="1696"/>
      <c r="F101" s="1700" t="s">
        <v>1137</v>
      </c>
      <c r="G101" s="1704">
        <v>42766</v>
      </c>
      <c r="H101" s="1704">
        <v>42794</v>
      </c>
      <c r="I101" s="1704">
        <v>42825</v>
      </c>
      <c r="J101" s="1704">
        <v>42855</v>
      </c>
      <c r="K101" s="1704">
        <v>42886</v>
      </c>
      <c r="L101" s="1704">
        <v>42916</v>
      </c>
      <c r="M101" s="1704">
        <v>42947</v>
      </c>
      <c r="N101" s="1704">
        <v>42978</v>
      </c>
      <c r="O101" s="1704">
        <v>43008</v>
      </c>
      <c r="P101" s="1704">
        <v>43039</v>
      </c>
      <c r="Q101" s="1704">
        <v>43069</v>
      </c>
      <c r="R101" s="1704">
        <v>43100</v>
      </c>
      <c r="S101" s="1687"/>
    </row>
    <row r="102" spans="1:20" s="1683" customFormat="1" ht="12.75" x14ac:dyDescent="0.2">
      <c r="A102" s="1682" t="s">
        <v>1080</v>
      </c>
      <c r="B102" s="1684"/>
      <c r="C102" s="1682" t="s">
        <v>1138</v>
      </c>
      <c r="D102" s="1705" t="s">
        <v>1139</v>
      </c>
      <c r="E102" s="1705" t="s">
        <v>1140</v>
      </c>
      <c r="F102" s="1700" t="s">
        <v>1141</v>
      </c>
      <c r="G102" s="1706" t="s">
        <v>1142</v>
      </c>
      <c r="H102" s="1706" t="s">
        <v>1142</v>
      </c>
      <c r="I102" s="1706" t="s">
        <v>1142</v>
      </c>
      <c r="J102" s="1706" t="s">
        <v>1142</v>
      </c>
      <c r="K102" s="1706" t="s">
        <v>1142</v>
      </c>
      <c r="L102" s="1706" t="s">
        <v>1142</v>
      </c>
      <c r="M102" s="1706" t="s">
        <v>1142</v>
      </c>
      <c r="N102" s="1706" t="s">
        <v>1142</v>
      </c>
      <c r="O102" s="1706" t="s">
        <v>1142</v>
      </c>
      <c r="P102" s="1706" t="s">
        <v>1142</v>
      </c>
      <c r="Q102" s="1706" t="s">
        <v>1142</v>
      </c>
      <c r="R102" s="1706" t="s">
        <v>1142</v>
      </c>
      <c r="S102" s="1687"/>
    </row>
    <row r="103" spans="1:20" s="1683" customFormat="1" ht="12.75" x14ac:dyDescent="0.2">
      <c r="A103" s="344" t="s">
        <v>1081</v>
      </c>
      <c r="B103" s="336" t="s">
        <v>1083</v>
      </c>
      <c r="C103" s="345" t="s">
        <v>1124</v>
      </c>
      <c r="D103" s="1707" t="s">
        <v>867</v>
      </c>
      <c r="E103" s="1707" t="s">
        <v>1143</v>
      </c>
      <c r="F103" s="557">
        <v>42429</v>
      </c>
      <c r="G103" s="345" t="s">
        <v>1144</v>
      </c>
      <c r="H103" s="345" t="s">
        <v>1144</v>
      </c>
      <c r="I103" s="345" t="s">
        <v>1144</v>
      </c>
      <c r="J103" s="345" t="s">
        <v>1144</v>
      </c>
      <c r="K103" s="345" t="s">
        <v>1144</v>
      </c>
      <c r="L103" s="345" t="s">
        <v>1144</v>
      </c>
      <c r="M103" s="345" t="s">
        <v>1144</v>
      </c>
      <c r="N103" s="345" t="s">
        <v>1144</v>
      </c>
      <c r="O103" s="345" t="s">
        <v>1144</v>
      </c>
      <c r="P103" s="345" t="s">
        <v>1144</v>
      </c>
      <c r="Q103" s="345" t="s">
        <v>1144</v>
      </c>
      <c r="R103" s="345" t="s">
        <v>1144</v>
      </c>
      <c r="S103" s="1687"/>
    </row>
    <row r="104" spans="1:20" s="1683" customFormat="1" ht="12.75" x14ac:dyDescent="0.2">
      <c r="A104" s="1682"/>
      <c r="B104" s="1684"/>
      <c r="C104" s="1708" t="s">
        <v>860</v>
      </c>
      <c r="D104" s="1709" t="s">
        <v>877</v>
      </c>
      <c r="E104" s="1709" t="s">
        <v>878</v>
      </c>
      <c r="F104" s="1709" t="s">
        <v>1145</v>
      </c>
      <c r="G104" s="1687"/>
      <c r="H104" s="1687"/>
      <c r="I104" s="1687"/>
      <c r="J104" s="1687"/>
      <c r="K104" s="1687"/>
      <c r="L104" s="1687"/>
      <c r="M104" s="1687"/>
      <c r="N104" s="1687"/>
      <c r="O104" s="1687"/>
      <c r="P104" s="1687"/>
      <c r="Q104" s="1687"/>
      <c r="R104" s="1687"/>
      <c r="S104" s="1687"/>
    </row>
    <row r="105" spans="1:20" ht="12.75" x14ac:dyDescent="0.2">
      <c r="A105" s="333"/>
      <c r="B105" s="333"/>
      <c r="C105" s="333"/>
      <c r="D105" s="333"/>
      <c r="E105" s="333"/>
      <c r="F105" s="334"/>
    </row>
    <row r="106" spans="1:20" s="1683" customFormat="1" ht="12.75" x14ac:dyDescent="0.2">
      <c r="A106" s="1682">
        <v>1</v>
      </c>
      <c r="B106" s="336" t="s">
        <v>1164</v>
      </c>
      <c r="D106" s="1699"/>
      <c r="E106" s="1699"/>
      <c r="F106" s="1696"/>
      <c r="G106" s="1687"/>
      <c r="H106" s="1687"/>
      <c r="I106" s="1687"/>
      <c r="J106" s="1687"/>
      <c r="K106" s="1687"/>
      <c r="L106" s="1687"/>
      <c r="M106" s="1687"/>
      <c r="N106" s="1687"/>
      <c r="O106" s="1687"/>
      <c r="P106" s="1687"/>
      <c r="Q106" s="1687"/>
      <c r="R106" s="1687"/>
      <c r="S106" s="1687"/>
    </row>
    <row r="107" spans="1:20" s="1683" customFormat="1" ht="15.75" x14ac:dyDescent="0.25">
      <c r="A107" s="1682">
        <f>A106+1</f>
        <v>2</v>
      </c>
      <c r="B107" s="1690" t="s">
        <v>1148</v>
      </c>
      <c r="C107" s="1691">
        <v>303</v>
      </c>
      <c r="D107" s="1551">
        <v>13384.27</v>
      </c>
      <c r="E107" s="1692">
        <v>360</v>
      </c>
      <c r="F107" s="1693">
        <v>118.5</v>
      </c>
      <c r="G107" s="1551">
        <v>37.18</v>
      </c>
      <c r="H107" s="1551">
        <v>37.18</v>
      </c>
      <c r="I107" s="1551">
        <v>37.18</v>
      </c>
      <c r="J107" s="1551">
        <v>37.18</v>
      </c>
      <c r="K107" s="1551">
        <v>37.18</v>
      </c>
      <c r="L107" s="1551">
        <v>37.18</v>
      </c>
      <c r="M107" s="1551">
        <v>37.18</v>
      </c>
      <c r="N107" s="1551">
        <v>37.18</v>
      </c>
      <c r="O107" s="1551">
        <v>37.18</v>
      </c>
      <c r="P107" s="1551">
        <v>37.18</v>
      </c>
      <c r="Q107" s="1551">
        <v>37.18</v>
      </c>
      <c r="R107" s="1551">
        <v>37.18</v>
      </c>
      <c r="S107" s="1710"/>
      <c r="T107" s="1711"/>
    </row>
    <row r="108" spans="1:20" s="1683" customFormat="1" ht="15.75" x14ac:dyDescent="0.25">
      <c r="A108" s="1682">
        <f>A107+1</f>
        <v>3</v>
      </c>
      <c r="B108" s="1690" t="s">
        <v>1149</v>
      </c>
      <c r="C108" s="1691">
        <v>303</v>
      </c>
      <c r="D108" s="1551">
        <v>45775.63</v>
      </c>
      <c r="E108" s="1692">
        <v>360</v>
      </c>
      <c r="F108" s="1693">
        <v>154.5</v>
      </c>
      <c r="G108" s="1551">
        <v>127.15</v>
      </c>
      <c r="H108" s="1551">
        <v>127.15</v>
      </c>
      <c r="I108" s="1551">
        <v>127.15</v>
      </c>
      <c r="J108" s="1551">
        <v>127.15</v>
      </c>
      <c r="K108" s="1551">
        <v>127.15</v>
      </c>
      <c r="L108" s="1551">
        <v>127.15</v>
      </c>
      <c r="M108" s="1551">
        <v>127.15</v>
      </c>
      <c r="N108" s="1551">
        <v>127.15</v>
      </c>
      <c r="O108" s="1551">
        <v>127.15</v>
      </c>
      <c r="P108" s="1551">
        <v>127.15</v>
      </c>
      <c r="Q108" s="1551">
        <v>127.15</v>
      </c>
      <c r="R108" s="1551">
        <v>127.15</v>
      </c>
      <c r="S108" s="1710"/>
    </row>
    <row r="109" spans="1:20" s="1683" customFormat="1" ht="15.75" x14ac:dyDescent="0.25">
      <c r="A109" s="1682">
        <f>A108+1</f>
        <v>4</v>
      </c>
      <c r="B109" s="1690" t="s">
        <v>1150</v>
      </c>
      <c r="C109" s="1691">
        <v>303</v>
      </c>
      <c r="D109" s="1694">
        <v>15187.61</v>
      </c>
      <c r="E109" s="1692">
        <v>360</v>
      </c>
      <c r="F109" s="1693">
        <v>111.5</v>
      </c>
      <c r="G109" s="1694">
        <v>42.19</v>
      </c>
      <c r="H109" s="1694">
        <v>42.19</v>
      </c>
      <c r="I109" s="1694">
        <v>42.19</v>
      </c>
      <c r="J109" s="1694">
        <v>42.19</v>
      </c>
      <c r="K109" s="1694">
        <v>42.19</v>
      </c>
      <c r="L109" s="1694">
        <v>42.19</v>
      </c>
      <c r="M109" s="1694">
        <v>42.19</v>
      </c>
      <c r="N109" s="1694">
        <v>42.19</v>
      </c>
      <c r="O109" s="1694">
        <v>42.19</v>
      </c>
      <c r="P109" s="1694">
        <v>42.19</v>
      </c>
      <c r="Q109" s="1694">
        <v>42.19</v>
      </c>
      <c r="R109" s="1694">
        <v>42.19</v>
      </c>
      <c r="S109" s="1710"/>
    </row>
    <row r="110" spans="1:20" s="1683" customFormat="1" ht="12.75" x14ac:dyDescent="0.2">
      <c r="A110" s="1682">
        <f>A109+1</f>
        <v>5</v>
      </c>
      <c r="B110" s="1712" t="s">
        <v>1166</v>
      </c>
      <c r="C110" s="1691">
        <v>303</v>
      </c>
      <c r="D110" s="1696">
        <f>SUM(D107:D109)</f>
        <v>74347.509999999995</v>
      </c>
      <c r="E110" s="1697"/>
      <c r="F110" s="1698"/>
      <c r="G110" s="1696">
        <f t="shared" ref="G110:R110" si="12">SUM(G107:G109)</f>
        <v>206.52</v>
      </c>
      <c r="H110" s="1696">
        <f t="shared" si="12"/>
        <v>206.52</v>
      </c>
      <c r="I110" s="1696">
        <f t="shared" si="12"/>
        <v>206.52</v>
      </c>
      <c r="J110" s="1696">
        <f t="shared" si="12"/>
        <v>206.52</v>
      </c>
      <c r="K110" s="1696">
        <f t="shared" si="12"/>
        <v>206.52</v>
      </c>
      <c r="L110" s="1696">
        <f t="shared" si="12"/>
        <v>206.52</v>
      </c>
      <c r="M110" s="1696">
        <f t="shared" si="12"/>
        <v>206.52</v>
      </c>
      <c r="N110" s="1696">
        <f t="shared" si="12"/>
        <v>206.52</v>
      </c>
      <c r="O110" s="1696">
        <f t="shared" si="12"/>
        <v>206.52</v>
      </c>
      <c r="P110" s="1696">
        <f t="shared" si="12"/>
        <v>206.52</v>
      </c>
      <c r="Q110" s="1696">
        <f t="shared" si="12"/>
        <v>206.52</v>
      </c>
      <c r="R110" s="1696">
        <f t="shared" si="12"/>
        <v>206.52</v>
      </c>
      <c r="S110" s="1687"/>
    </row>
    <row r="111" spans="1:20" ht="12.75" x14ac:dyDescent="0.2">
      <c r="A111" s="332"/>
      <c r="B111" s="333"/>
      <c r="C111" s="333"/>
      <c r="D111" s="333"/>
      <c r="E111" s="371"/>
      <c r="F111" s="372"/>
    </row>
    <row r="112" spans="1:20" ht="15.75" x14ac:dyDescent="0.25">
      <c r="A112" s="1682"/>
      <c r="B112" s="336" t="s">
        <v>1165</v>
      </c>
      <c r="C112" s="1684"/>
      <c r="D112" s="1696"/>
      <c r="E112" s="1697"/>
      <c r="F112" s="1698"/>
      <c r="G112" s="1687"/>
      <c r="H112" s="1687"/>
      <c r="I112" s="1687"/>
      <c r="J112" s="1687"/>
      <c r="K112" s="1687"/>
      <c r="L112" s="1687"/>
      <c r="M112" s="1687"/>
      <c r="N112" s="1687"/>
      <c r="O112" s="1687"/>
      <c r="P112" s="1687"/>
      <c r="Q112" s="1687"/>
      <c r="R112" s="1710"/>
    </row>
    <row r="113" spans="1:19" ht="12.75" x14ac:dyDescent="0.2">
      <c r="A113" s="1682"/>
      <c r="B113" s="1695" t="s">
        <v>2159</v>
      </c>
      <c r="C113" s="1691">
        <v>303.3</v>
      </c>
      <c r="D113" s="1551">
        <v>33686.44</v>
      </c>
      <c r="E113" s="1692">
        <v>60</v>
      </c>
      <c r="F113" s="1701">
        <v>45.5</v>
      </c>
      <c r="G113" s="1551">
        <f>Q23</f>
        <v>549.09164835164836</v>
      </c>
      <c r="H113" s="1551">
        <f>G113</f>
        <v>549.09164835164836</v>
      </c>
      <c r="I113" s="1551">
        <f t="shared" ref="I113:R128" si="13">H113</f>
        <v>549.09164835164836</v>
      </c>
      <c r="J113" s="1551">
        <f t="shared" si="13"/>
        <v>549.09164835164836</v>
      </c>
      <c r="K113" s="1551">
        <f t="shared" si="13"/>
        <v>549.09164835164836</v>
      </c>
      <c r="L113" s="1551">
        <f t="shared" si="13"/>
        <v>549.09164835164836</v>
      </c>
      <c r="M113" s="1551">
        <f t="shared" si="13"/>
        <v>549.09164835164836</v>
      </c>
      <c r="N113" s="1551">
        <f t="shared" si="13"/>
        <v>549.09164835164836</v>
      </c>
      <c r="O113" s="1551">
        <f t="shared" si="13"/>
        <v>549.09164835164836</v>
      </c>
      <c r="P113" s="1551">
        <f t="shared" si="13"/>
        <v>549.09164835164836</v>
      </c>
      <c r="Q113" s="1551">
        <f t="shared" si="13"/>
        <v>549.09164835164836</v>
      </c>
      <c r="R113" s="1551">
        <f t="shared" si="13"/>
        <v>549.09164835164836</v>
      </c>
      <c r="S113" s="360"/>
    </row>
    <row r="114" spans="1:19" ht="12.75" x14ac:dyDescent="0.2">
      <c r="A114" s="1683"/>
      <c r="B114" s="1695" t="s">
        <v>2160</v>
      </c>
      <c r="C114" s="1691">
        <v>303.3</v>
      </c>
      <c r="D114" s="1551">
        <v>21052.62</v>
      </c>
      <c r="E114" s="1692">
        <v>60</v>
      </c>
      <c r="F114" s="1701">
        <v>28.5</v>
      </c>
      <c r="G114" s="1551">
        <f>Q24</f>
        <v>338.56350877192983</v>
      </c>
      <c r="H114" s="1551">
        <f t="shared" ref="H114:Q116" si="14">G114</f>
        <v>338.56350877192983</v>
      </c>
      <c r="I114" s="1551">
        <f t="shared" si="14"/>
        <v>338.56350877192983</v>
      </c>
      <c r="J114" s="1551">
        <f t="shared" si="14"/>
        <v>338.56350877192983</v>
      </c>
      <c r="K114" s="1551">
        <f t="shared" si="14"/>
        <v>338.56350877192983</v>
      </c>
      <c r="L114" s="1551">
        <f t="shared" si="14"/>
        <v>338.56350877192983</v>
      </c>
      <c r="M114" s="1551">
        <f t="shared" si="14"/>
        <v>338.56350877192983</v>
      </c>
      <c r="N114" s="1551">
        <f t="shared" si="14"/>
        <v>338.56350877192983</v>
      </c>
      <c r="O114" s="1551">
        <f t="shared" si="14"/>
        <v>338.56350877192983</v>
      </c>
      <c r="P114" s="1551">
        <f t="shared" si="14"/>
        <v>338.56350877192983</v>
      </c>
      <c r="Q114" s="1551">
        <f t="shared" si="14"/>
        <v>338.56350877192983</v>
      </c>
      <c r="R114" s="1551">
        <f t="shared" si="13"/>
        <v>338.56350877192983</v>
      </c>
      <c r="S114" s="360"/>
    </row>
    <row r="115" spans="1:19" ht="12.75" x14ac:dyDescent="0.2">
      <c r="A115" s="1683"/>
      <c r="B115" s="1695" t="s">
        <v>2161</v>
      </c>
      <c r="C115" s="1691">
        <v>303.3</v>
      </c>
      <c r="D115" s="1551">
        <v>26251.919999999998</v>
      </c>
      <c r="E115" s="1692">
        <v>60</v>
      </c>
      <c r="F115" s="1701">
        <v>35.5</v>
      </c>
      <c r="G115" s="1551">
        <f>Q25</f>
        <v>428.09690140845066</v>
      </c>
      <c r="H115" s="1551">
        <f t="shared" si="14"/>
        <v>428.09690140845066</v>
      </c>
      <c r="I115" s="1551">
        <f t="shared" si="14"/>
        <v>428.09690140845066</v>
      </c>
      <c r="J115" s="1551">
        <f t="shared" si="14"/>
        <v>428.09690140845066</v>
      </c>
      <c r="K115" s="1551">
        <f t="shared" si="14"/>
        <v>428.09690140845066</v>
      </c>
      <c r="L115" s="1551">
        <f t="shared" si="14"/>
        <v>428.09690140845066</v>
      </c>
      <c r="M115" s="1551">
        <f t="shared" si="14"/>
        <v>428.09690140845066</v>
      </c>
      <c r="N115" s="1551">
        <f t="shared" si="14"/>
        <v>428.09690140845066</v>
      </c>
      <c r="O115" s="1551">
        <f t="shared" si="14"/>
        <v>428.09690140845066</v>
      </c>
      <c r="P115" s="1551">
        <f t="shared" si="14"/>
        <v>428.09690140845066</v>
      </c>
      <c r="Q115" s="1551">
        <f t="shared" si="14"/>
        <v>428.09690140845066</v>
      </c>
      <c r="R115" s="1551">
        <f t="shared" si="13"/>
        <v>428.09690140845066</v>
      </c>
      <c r="S115" s="360"/>
    </row>
    <row r="116" spans="1:19" ht="12.75" x14ac:dyDescent="0.2">
      <c r="A116" s="1683"/>
      <c r="B116" s="1695" t="s">
        <v>1159</v>
      </c>
      <c r="C116" s="1691">
        <v>303.3</v>
      </c>
      <c r="D116" s="1551">
        <v>172144.07</v>
      </c>
      <c r="E116" s="1692">
        <v>60</v>
      </c>
      <c r="F116" s="1701">
        <v>10.5</v>
      </c>
      <c r="G116" s="1551">
        <f>Q26/2</f>
        <v>1290.6314285714291</v>
      </c>
      <c r="H116" s="1551">
        <v>0</v>
      </c>
      <c r="I116" s="1551">
        <f t="shared" si="14"/>
        <v>0</v>
      </c>
      <c r="J116" s="1551">
        <f t="shared" si="14"/>
        <v>0</v>
      </c>
      <c r="K116" s="1551">
        <f t="shared" si="14"/>
        <v>0</v>
      </c>
      <c r="L116" s="1551">
        <f t="shared" si="14"/>
        <v>0</v>
      </c>
      <c r="M116" s="1551">
        <f t="shared" si="14"/>
        <v>0</v>
      </c>
      <c r="N116" s="1551">
        <f t="shared" si="14"/>
        <v>0</v>
      </c>
      <c r="O116" s="1551">
        <f t="shared" si="14"/>
        <v>0</v>
      </c>
      <c r="P116" s="1551">
        <f t="shared" si="14"/>
        <v>0</v>
      </c>
      <c r="Q116" s="1551">
        <f t="shared" si="14"/>
        <v>0</v>
      </c>
      <c r="R116" s="1551">
        <f t="shared" si="13"/>
        <v>0</v>
      </c>
      <c r="S116" s="360"/>
    </row>
    <row r="117" spans="1:19" ht="12.75" x14ac:dyDescent="0.2">
      <c r="A117" s="1683"/>
      <c r="B117" s="1695" t="s">
        <v>2162</v>
      </c>
      <c r="C117" s="1691">
        <v>303.3</v>
      </c>
      <c r="D117" s="1551">
        <v>54664.73</v>
      </c>
      <c r="E117" s="1692">
        <v>60</v>
      </c>
      <c r="F117" s="1701">
        <v>6.5</v>
      </c>
      <c r="G117" s="1551">
        <f>Q27</f>
        <v>0</v>
      </c>
      <c r="H117" s="1551">
        <f t="shared" ref="H117:Q122" si="15">G117</f>
        <v>0</v>
      </c>
      <c r="I117" s="1551">
        <f t="shared" si="15"/>
        <v>0</v>
      </c>
      <c r="J117" s="1551">
        <f t="shared" si="15"/>
        <v>0</v>
      </c>
      <c r="K117" s="1551">
        <f t="shared" si="15"/>
        <v>0</v>
      </c>
      <c r="L117" s="1551">
        <f t="shared" si="15"/>
        <v>0</v>
      </c>
      <c r="M117" s="1551">
        <f t="shared" si="15"/>
        <v>0</v>
      </c>
      <c r="N117" s="1551">
        <f t="shared" si="15"/>
        <v>0</v>
      </c>
      <c r="O117" s="1551">
        <f t="shared" si="15"/>
        <v>0</v>
      </c>
      <c r="P117" s="1551">
        <f t="shared" si="15"/>
        <v>0</v>
      </c>
      <c r="Q117" s="1551">
        <f t="shared" si="15"/>
        <v>0</v>
      </c>
      <c r="R117" s="1551">
        <f t="shared" si="13"/>
        <v>0</v>
      </c>
      <c r="S117" s="360"/>
    </row>
    <row r="118" spans="1:19" ht="12.75" x14ac:dyDescent="0.2">
      <c r="A118" s="1683"/>
      <c r="B118" s="1695" t="s">
        <v>2163</v>
      </c>
      <c r="C118" s="1691">
        <v>303.3</v>
      </c>
      <c r="D118" s="1551">
        <v>124184.16</v>
      </c>
      <c r="E118" s="1692">
        <v>60</v>
      </c>
      <c r="F118" s="1701">
        <v>22.5</v>
      </c>
      <c r="G118" s="1551">
        <f>Q28</f>
        <v>2060.6920000000005</v>
      </c>
      <c r="H118" s="1551">
        <f t="shared" si="15"/>
        <v>2060.6920000000005</v>
      </c>
      <c r="I118" s="1551">
        <f t="shared" si="15"/>
        <v>2060.6920000000005</v>
      </c>
      <c r="J118" s="1551">
        <f t="shared" si="15"/>
        <v>2060.6920000000005</v>
      </c>
      <c r="K118" s="1551">
        <f t="shared" si="15"/>
        <v>2060.6920000000005</v>
      </c>
      <c r="L118" s="1551">
        <f t="shared" si="15"/>
        <v>2060.6920000000005</v>
      </c>
      <c r="M118" s="1551">
        <f t="shared" si="15"/>
        <v>2060.6920000000005</v>
      </c>
      <c r="N118" s="1551">
        <f t="shared" si="15"/>
        <v>2060.6920000000005</v>
      </c>
      <c r="O118" s="1551">
        <f t="shared" si="15"/>
        <v>2060.6920000000005</v>
      </c>
      <c r="P118" s="1551">
        <f t="shared" si="15"/>
        <v>2060.6920000000005</v>
      </c>
      <c r="Q118" s="1551">
        <f t="shared" si="15"/>
        <v>2060.6920000000005</v>
      </c>
      <c r="R118" s="1551">
        <f t="shared" si="13"/>
        <v>2060.6920000000005</v>
      </c>
      <c r="S118" s="360"/>
    </row>
    <row r="119" spans="1:19" ht="12.75" x14ac:dyDescent="0.2">
      <c r="A119" s="1683"/>
      <c r="B119" s="1695" t="s">
        <v>2164</v>
      </c>
      <c r="C119" s="1691">
        <v>303.3</v>
      </c>
      <c r="D119" s="1551">
        <v>11675.47</v>
      </c>
      <c r="E119" s="1692">
        <v>60</v>
      </c>
      <c r="F119" s="1701">
        <v>46.5</v>
      </c>
      <c r="G119" s="1551">
        <f>Q29</f>
        <v>190.58408602150539</v>
      </c>
      <c r="H119" s="1551">
        <f t="shared" si="15"/>
        <v>190.58408602150539</v>
      </c>
      <c r="I119" s="1551">
        <f t="shared" si="15"/>
        <v>190.58408602150539</v>
      </c>
      <c r="J119" s="1551">
        <f t="shared" si="15"/>
        <v>190.58408602150539</v>
      </c>
      <c r="K119" s="1551">
        <f t="shared" si="15"/>
        <v>190.58408602150539</v>
      </c>
      <c r="L119" s="1551">
        <f t="shared" si="15"/>
        <v>190.58408602150539</v>
      </c>
      <c r="M119" s="1551">
        <f t="shared" si="15"/>
        <v>190.58408602150539</v>
      </c>
      <c r="N119" s="1551">
        <f t="shared" si="15"/>
        <v>190.58408602150539</v>
      </c>
      <c r="O119" s="1551">
        <f t="shared" si="15"/>
        <v>190.58408602150539</v>
      </c>
      <c r="P119" s="1551">
        <f t="shared" si="15"/>
        <v>190.58408602150539</v>
      </c>
      <c r="Q119" s="1551">
        <f t="shared" si="15"/>
        <v>190.58408602150539</v>
      </c>
      <c r="R119" s="1551">
        <f t="shared" si="13"/>
        <v>190.58408602150539</v>
      </c>
      <c r="S119" s="360"/>
    </row>
    <row r="120" spans="1:19" ht="12.75" x14ac:dyDescent="0.2">
      <c r="A120" s="1683"/>
      <c r="B120" s="1695" t="s">
        <v>2165</v>
      </c>
      <c r="C120" s="1691">
        <v>303.3</v>
      </c>
      <c r="D120" s="1551">
        <v>60215.95</v>
      </c>
      <c r="E120" s="1692">
        <v>60</v>
      </c>
      <c r="F120" s="1701">
        <v>57.5</v>
      </c>
      <c r="G120" s="1551">
        <f>Q30</f>
        <v>986.24156521739133</v>
      </c>
      <c r="H120" s="1551">
        <f t="shared" si="15"/>
        <v>986.24156521739133</v>
      </c>
      <c r="I120" s="1551">
        <f t="shared" si="15"/>
        <v>986.24156521739133</v>
      </c>
      <c r="J120" s="1551">
        <f t="shared" si="15"/>
        <v>986.24156521739133</v>
      </c>
      <c r="K120" s="1551">
        <f t="shared" si="15"/>
        <v>986.24156521739133</v>
      </c>
      <c r="L120" s="1551">
        <f t="shared" si="15"/>
        <v>986.24156521739133</v>
      </c>
      <c r="M120" s="1551">
        <f t="shared" si="15"/>
        <v>986.24156521739133</v>
      </c>
      <c r="N120" s="1551">
        <f t="shared" si="15"/>
        <v>986.24156521739133</v>
      </c>
      <c r="O120" s="1551">
        <f t="shared" si="15"/>
        <v>986.24156521739133</v>
      </c>
      <c r="P120" s="1551">
        <f t="shared" si="15"/>
        <v>986.24156521739133</v>
      </c>
      <c r="Q120" s="1551">
        <f t="shared" si="15"/>
        <v>986.24156521739133</v>
      </c>
      <c r="R120" s="1551">
        <f t="shared" si="13"/>
        <v>986.24156521739133</v>
      </c>
      <c r="S120" s="360"/>
    </row>
    <row r="121" spans="1:19" ht="12.75" x14ac:dyDescent="0.2">
      <c r="A121" s="1683"/>
      <c r="B121" s="1695" t="s">
        <v>2166</v>
      </c>
      <c r="C121" s="1691">
        <v>303.3</v>
      </c>
      <c r="D121" s="1551">
        <v>19521.439999999999</v>
      </c>
      <c r="E121" s="1692">
        <v>60</v>
      </c>
      <c r="F121" s="1701">
        <v>34.5</v>
      </c>
      <c r="G121" s="1551">
        <f>Q31</f>
        <v>315.92463768115937</v>
      </c>
      <c r="H121" s="1551">
        <f t="shared" si="15"/>
        <v>315.92463768115937</v>
      </c>
      <c r="I121" s="1551">
        <f t="shared" si="15"/>
        <v>315.92463768115937</v>
      </c>
      <c r="J121" s="1551">
        <f t="shared" si="15"/>
        <v>315.92463768115937</v>
      </c>
      <c r="K121" s="1551">
        <f t="shared" si="15"/>
        <v>315.92463768115937</v>
      </c>
      <c r="L121" s="1551">
        <f t="shared" si="15"/>
        <v>315.92463768115937</v>
      </c>
      <c r="M121" s="1551">
        <f t="shared" si="15"/>
        <v>315.92463768115937</v>
      </c>
      <c r="N121" s="1551">
        <f t="shared" si="15"/>
        <v>315.92463768115937</v>
      </c>
      <c r="O121" s="1551">
        <f t="shared" si="15"/>
        <v>315.92463768115937</v>
      </c>
      <c r="P121" s="1551">
        <f t="shared" si="15"/>
        <v>315.92463768115937</v>
      </c>
      <c r="Q121" s="1551">
        <f t="shared" si="15"/>
        <v>315.92463768115937</v>
      </c>
      <c r="R121" s="1551">
        <f t="shared" si="13"/>
        <v>315.92463768115937</v>
      </c>
      <c r="S121" s="360"/>
    </row>
    <row r="122" spans="1:19" ht="12.75" x14ac:dyDescent="0.2">
      <c r="A122" s="1683"/>
      <c r="B122" s="1695" t="s">
        <v>1155</v>
      </c>
      <c r="C122" s="1691">
        <v>303.3</v>
      </c>
      <c r="D122" s="1551">
        <v>60312.77</v>
      </c>
      <c r="E122" s="1692">
        <v>60</v>
      </c>
      <c r="F122" s="1701">
        <v>10.5</v>
      </c>
      <c r="G122" s="1551">
        <f>Q32/2</f>
        <v>460.15238095238084</v>
      </c>
      <c r="H122" s="1551">
        <v>0</v>
      </c>
      <c r="I122" s="1551">
        <f t="shared" si="15"/>
        <v>0</v>
      </c>
      <c r="J122" s="1551">
        <f t="shared" si="15"/>
        <v>0</v>
      </c>
      <c r="K122" s="1551">
        <f t="shared" si="15"/>
        <v>0</v>
      </c>
      <c r="L122" s="1551">
        <f t="shared" si="15"/>
        <v>0</v>
      </c>
      <c r="M122" s="1551">
        <f t="shared" si="15"/>
        <v>0</v>
      </c>
      <c r="N122" s="1551">
        <f t="shared" si="15"/>
        <v>0</v>
      </c>
      <c r="O122" s="1551">
        <f t="shared" si="15"/>
        <v>0</v>
      </c>
      <c r="P122" s="1551">
        <f t="shared" si="15"/>
        <v>0</v>
      </c>
      <c r="Q122" s="1551">
        <f t="shared" si="15"/>
        <v>0</v>
      </c>
      <c r="R122" s="1551">
        <f t="shared" si="13"/>
        <v>0</v>
      </c>
      <c r="S122" s="360"/>
    </row>
    <row r="123" spans="1:19" ht="12.75" x14ac:dyDescent="0.2">
      <c r="A123" s="1683"/>
      <c r="B123" s="1695" t="s">
        <v>2167</v>
      </c>
      <c r="C123" s="1691">
        <v>303.3</v>
      </c>
      <c r="D123" s="1551">
        <v>58959.88</v>
      </c>
      <c r="E123" s="1692">
        <v>60</v>
      </c>
      <c r="F123" s="1701">
        <v>19.5</v>
      </c>
      <c r="G123" s="1551">
        <f t="shared" ref="G123:G134" si="16">Q33</f>
        <v>931.8641025641025</v>
      </c>
      <c r="H123" s="1551">
        <f t="shared" ref="H123:R138" si="17">G123</f>
        <v>931.8641025641025</v>
      </c>
      <c r="I123" s="1551">
        <f t="shared" si="17"/>
        <v>931.8641025641025</v>
      </c>
      <c r="J123" s="1551">
        <f t="shared" si="17"/>
        <v>931.8641025641025</v>
      </c>
      <c r="K123" s="1551">
        <f t="shared" si="17"/>
        <v>931.8641025641025</v>
      </c>
      <c r="L123" s="1551">
        <f t="shared" si="17"/>
        <v>931.8641025641025</v>
      </c>
      <c r="M123" s="1551">
        <f t="shared" si="17"/>
        <v>931.8641025641025</v>
      </c>
      <c r="N123" s="1551">
        <f t="shared" si="17"/>
        <v>931.8641025641025</v>
      </c>
      <c r="O123" s="1551">
        <f t="shared" si="17"/>
        <v>931.8641025641025</v>
      </c>
      <c r="P123" s="1551">
        <f>O123/2</f>
        <v>465.93205128205125</v>
      </c>
      <c r="Q123" s="1551">
        <v>0</v>
      </c>
      <c r="R123" s="1551">
        <f t="shared" si="13"/>
        <v>0</v>
      </c>
      <c r="S123" s="360"/>
    </row>
    <row r="124" spans="1:19" ht="12.75" x14ac:dyDescent="0.2">
      <c r="A124" s="1683"/>
      <c r="B124" s="1695" t="s">
        <v>2168</v>
      </c>
      <c r="C124" s="1691">
        <v>303.3</v>
      </c>
      <c r="D124" s="1551">
        <v>4425.5200000000004</v>
      </c>
      <c r="E124" s="1692">
        <v>60</v>
      </c>
      <c r="F124" s="1701">
        <v>60</v>
      </c>
      <c r="G124" s="1551">
        <f t="shared" si="16"/>
        <v>73.144000000000005</v>
      </c>
      <c r="H124" s="1551">
        <f t="shared" si="17"/>
        <v>73.144000000000005</v>
      </c>
      <c r="I124" s="1551">
        <f t="shared" si="17"/>
        <v>73.144000000000005</v>
      </c>
      <c r="J124" s="1551">
        <f t="shared" si="17"/>
        <v>73.144000000000005</v>
      </c>
      <c r="K124" s="1551">
        <f t="shared" si="17"/>
        <v>73.144000000000005</v>
      </c>
      <c r="L124" s="1551">
        <f t="shared" si="17"/>
        <v>73.144000000000005</v>
      </c>
      <c r="M124" s="1551">
        <f t="shared" si="17"/>
        <v>73.144000000000005</v>
      </c>
      <c r="N124" s="1551">
        <f t="shared" si="17"/>
        <v>73.144000000000005</v>
      </c>
      <c r="O124" s="1551">
        <f t="shared" si="17"/>
        <v>73.144000000000005</v>
      </c>
      <c r="P124" s="1551">
        <f t="shared" si="17"/>
        <v>73.144000000000005</v>
      </c>
      <c r="Q124" s="1551">
        <f t="shared" si="17"/>
        <v>73.144000000000005</v>
      </c>
      <c r="R124" s="1551">
        <f t="shared" si="13"/>
        <v>73.144000000000005</v>
      </c>
      <c r="S124" s="360"/>
    </row>
    <row r="125" spans="1:19" ht="12.75" x14ac:dyDescent="0.2">
      <c r="A125" s="1683"/>
      <c r="B125" s="1695" t="s">
        <v>2169</v>
      </c>
      <c r="C125" s="1691">
        <v>303.3</v>
      </c>
      <c r="D125" s="1551">
        <v>5588.83</v>
      </c>
      <c r="E125" s="1692">
        <v>60</v>
      </c>
      <c r="F125" s="1701">
        <v>51.5</v>
      </c>
      <c r="G125" s="1551">
        <f t="shared" si="16"/>
        <v>92.169320388349519</v>
      </c>
      <c r="H125" s="1551">
        <f t="shared" si="17"/>
        <v>92.169320388349519</v>
      </c>
      <c r="I125" s="1551">
        <f t="shared" si="17"/>
        <v>92.169320388349519</v>
      </c>
      <c r="J125" s="1551">
        <f t="shared" si="17"/>
        <v>92.169320388349519</v>
      </c>
      <c r="K125" s="1551">
        <f t="shared" si="17"/>
        <v>92.169320388349519</v>
      </c>
      <c r="L125" s="1551">
        <f t="shared" si="17"/>
        <v>92.169320388349519</v>
      </c>
      <c r="M125" s="1551">
        <f t="shared" si="17"/>
        <v>92.169320388349519</v>
      </c>
      <c r="N125" s="1551">
        <f t="shared" si="17"/>
        <v>92.169320388349519</v>
      </c>
      <c r="O125" s="1551">
        <f t="shared" si="17"/>
        <v>92.169320388349519</v>
      </c>
      <c r="P125" s="1551">
        <f t="shared" si="17"/>
        <v>92.169320388349519</v>
      </c>
      <c r="Q125" s="1551">
        <f t="shared" si="17"/>
        <v>92.169320388349519</v>
      </c>
      <c r="R125" s="1551">
        <f t="shared" si="13"/>
        <v>92.169320388349519</v>
      </c>
      <c r="S125" s="360"/>
    </row>
    <row r="126" spans="1:19" ht="12.75" x14ac:dyDescent="0.2">
      <c r="A126" s="1683"/>
      <c r="B126" s="1695" t="s">
        <v>1162</v>
      </c>
      <c r="C126" s="1691">
        <v>303.3</v>
      </c>
      <c r="D126" s="1551">
        <v>10899.97</v>
      </c>
      <c r="E126" s="1692">
        <v>60</v>
      </c>
      <c r="F126" s="1701">
        <v>16.5</v>
      </c>
      <c r="G126" s="1551">
        <f t="shared" si="16"/>
        <v>176.93030303030301</v>
      </c>
      <c r="H126" s="1551">
        <f t="shared" si="17"/>
        <v>176.93030303030301</v>
      </c>
      <c r="I126" s="1551">
        <f t="shared" si="17"/>
        <v>176.93030303030301</v>
      </c>
      <c r="J126" s="1551">
        <f t="shared" si="17"/>
        <v>176.93030303030301</v>
      </c>
      <c r="K126" s="1551">
        <f t="shared" si="17"/>
        <v>176.93030303030301</v>
      </c>
      <c r="L126" s="1551">
        <f t="shared" si="17"/>
        <v>176.93030303030301</v>
      </c>
      <c r="M126" s="1551">
        <f>L126/2</f>
        <v>88.465151515151504</v>
      </c>
      <c r="N126" s="1551">
        <v>0</v>
      </c>
      <c r="O126" s="1551">
        <f t="shared" si="17"/>
        <v>0</v>
      </c>
      <c r="P126" s="1551">
        <f t="shared" si="17"/>
        <v>0</v>
      </c>
      <c r="Q126" s="1551">
        <f t="shared" si="17"/>
        <v>0</v>
      </c>
      <c r="R126" s="1551">
        <f t="shared" si="13"/>
        <v>0</v>
      </c>
      <c r="S126" s="360"/>
    </row>
    <row r="127" spans="1:19" ht="12.75" x14ac:dyDescent="0.2">
      <c r="A127" s="1683"/>
      <c r="B127" s="1695" t="s">
        <v>2170</v>
      </c>
      <c r="C127" s="1691">
        <v>303.3</v>
      </c>
      <c r="D127" s="1551">
        <v>19885.14</v>
      </c>
      <c r="E127" s="1692">
        <v>60</v>
      </c>
      <c r="F127" s="1701">
        <v>49.5</v>
      </c>
      <c r="G127" s="1551">
        <f t="shared" si="16"/>
        <v>324.72343434343435</v>
      </c>
      <c r="H127" s="1551">
        <f t="shared" si="17"/>
        <v>324.72343434343435</v>
      </c>
      <c r="I127" s="1551">
        <f t="shared" si="17"/>
        <v>324.72343434343435</v>
      </c>
      <c r="J127" s="1551">
        <f t="shared" si="17"/>
        <v>324.72343434343435</v>
      </c>
      <c r="K127" s="1551">
        <f t="shared" si="17"/>
        <v>324.72343434343435</v>
      </c>
      <c r="L127" s="1551">
        <f t="shared" si="17"/>
        <v>324.72343434343435</v>
      </c>
      <c r="M127" s="1551">
        <f t="shared" si="17"/>
        <v>324.72343434343435</v>
      </c>
      <c r="N127" s="1551">
        <f t="shared" si="17"/>
        <v>324.72343434343435</v>
      </c>
      <c r="O127" s="1551">
        <f t="shared" si="17"/>
        <v>324.72343434343435</v>
      </c>
      <c r="P127" s="1551">
        <f t="shared" si="17"/>
        <v>324.72343434343435</v>
      </c>
      <c r="Q127" s="1551">
        <f t="shared" si="17"/>
        <v>324.72343434343435</v>
      </c>
      <c r="R127" s="1551">
        <f t="shared" si="13"/>
        <v>324.72343434343435</v>
      </c>
      <c r="S127" s="360"/>
    </row>
    <row r="128" spans="1:19" ht="12.75" x14ac:dyDescent="0.2">
      <c r="A128" s="1683"/>
      <c r="B128" s="1695" t="s">
        <v>2171</v>
      </c>
      <c r="C128" s="1691">
        <v>303.3</v>
      </c>
      <c r="D128" s="1551">
        <v>8698.25</v>
      </c>
      <c r="E128" s="1692">
        <v>60</v>
      </c>
      <c r="F128" s="1701">
        <v>38.5</v>
      </c>
      <c r="G128" s="1551">
        <f t="shared" si="16"/>
        <v>141.64545454545456</v>
      </c>
      <c r="H128" s="1551">
        <f t="shared" si="17"/>
        <v>141.64545454545456</v>
      </c>
      <c r="I128" s="1551">
        <f t="shared" si="17"/>
        <v>141.64545454545456</v>
      </c>
      <c r="J128" s="1551">
        <f t="shared" si="17"/>
        <v>141.64545454545456</v>
      </c>
      <c r="K128" s="1551">
        <f t="shared" si="17"/>
        <v>141.64545454545456</v>
      </c>
      <c r="L128" s="1551">
        <f t="shared" si="17"/>
        <v>141.64545454545456</v>
      </c>
      <c r="M128" s="1551">
        <f t="shared" si="17"/>
        <v>141.64545454545456</v>
      </c>
      <c r="N128" s="1551">
        <f t="shared" si="17"/>
        <v>141.64545454545456</v>
      </c>
      <c r="O128" s="1551">
        <f t="shared" si="17"/>
        <v>141.64545454545456</v>
      </c>
      <c r="P128" s="1551">
        <f t="shared" si="17"/>
        <v>141.64545454545456</v>
      </c>
      <c r="Q128" s="1551">
        <f t="shared" si="17"/>
        <v>141.64545454545456</v>
      </c>
      <c r="R128" s="1551">
        <f t="shared" si="13"/>
        <v>141.64545454545456</v>
      </c>
      <c r="S128" s="360"/>
    </row>
    <row r="129" spans="1:19" ht="12.75" x14ac:dyDescent="0.2">
      <c r="A129" s="1683"/>
      <c r="B129" s="1695" t="s">
        <v>1152</v>
      </c>
      <c r="C129" s="1691">
        <v>303.3</v>
      </c>
      <c r="D129" s="1551">
        <v>194017.09999999998</v>
      </c>
      <c r="E129" s="1692">
        <v>60</v>
      </c>
      <c r="F129" s="1701">
        <v>6.5</v>
      </c>
      <c r="G129" s="1551">
        <f t="shared" si="16"/>
        <v>0</v>
      </c>
      <c r="H129" s="1551">
        <f t="shared" si="17"/>
        <v>0</v>
      </c>
      <c r="I129" s="1551">
        <f t="shared" si="17"/>
        <v>0</v>
      </c>
      <c r="J129" s="1551">
        <f t="shared" si="17"/>
        <v>0</v>
      </c>
      <c r="K129" s="1551">
        <f t="shared" si="17"/>
        <v>0</v>
      </c>
      <c r="L129" s="1551">
        <f t="shared" si="17"/>
        <v>0</v>
      </c>
      <c r="M129" s="1551">
        <f t="shared" si="17"/>
        <v>0</v>
      </c>
      <c r="N129" s="1551">
        <f t="shared" si="17"/>
        <v>0</v>
      </c>
      <c r="O129" s="1551">
        <f t="shared" si="17"/>
        <v>0</v>
      </c>
      <c r="P129" s="1551">
        <f t="shared" si="17"/>
        <v>0</v>
      </c>
      <c r="Q129" s="1551">
        <f t="shared" si="17"/>
        <v>0</v>
      </c>
      <c r="R129" s="1551">
        <f t="shared" si="17"/>
        <v>0</v>
      </c>
      <c r="S129" s="360"/>
    </row>
    <row r="130" spans="1:19" ht="12.75" x14ac:dyDescent="0.2">
      <c r="A130" s="1683"/>
      <c r="B130" s="1695" t="s">
        <v>2172</v>
      </c>
      <c r="C130" s="1691">
        <v>303.3</v>
      </c>
      <c r="D130" s="1551">
        <v>4386.42</v>
      </c>
      <c r="E130" s="1692">
        <v>60</v>
      </c>
      <c r="F130" s="1701">
        <v>51.5</v>
      </c>
      <c r="G130" s="1551">
        <f t="shared" si="16"/>
        <v>71.686990291262134</v>
      </c>
      <c r="H130" s="1551">
        <f t="shared" si="17"/>
        <v>71.686990291262134</v>
      </c>
      <c r="I130" s="1551">
        <f t="shared" si="17"/>
        <v>71.686990291262134</v>
      </c>
      <c r="J130" s="1551">
        <f t="shared" si="17"/>
        <v>71.686990291262134</v>
      </c>
      <c r="K130" s="1551">
        <f t="shared" si="17"/>
        <v>71.686990291262134</v>
      </c>
      <c r="L130" s="1551">
        <f t="shared" si="17"/>
        <v>71.686990291262134</v>
      </c>
      <c r="M130" s="1551">
        <f t="shared" si="17"/>
        <v>71.686990291262134</v>
      </c>
      <c r="N130" s="1551">
        <f t="shared" si="17"/>
        <v>71.686990291262134</v>
      </c>
      <c r="O130" s="1551">
        <f t="shared" si="17"/>
        <v>71.686990291262134</v>
      </c>
      <c r="P130" s="1551">
        <f t="shared" si="17"/>
        <v>71.686990291262134</v>
      </c>
      <c r="Q130" s="1551">
        <f t="shared" si="17"/>
        <v>71.686990291262134</v>
      </c>
      <c r="R130" s="1551">
        <f t="shared" si="17"/>
        <v>71.686990291262134</v>
      </c>
      <c r="S130" s="360"/>
    </row>
    <row r="131" spans="1:19" ht="12.75" x14ac:dyDescent="0.2">
      <c r="A131" s="1683"/>
      <c r="B131" s="1695" t="s">
        <v>2173</v>
      </c>
      <c r="C131" s="1691">
        <v>303.3</v>
      </c>
      <c r="D131" s="1551">
        <v>5530.12</v>
      </c>
      <c r="E131" s="1692">
        <v>60</v>
      </c>
      <c r="F131" s="1701">
        <v>56.5</v>
      </c>
      <c r="G131" s="1551">
        <f t="shared" si="16"/>
        <v>90.537345132743354</v>
      </c>
      <c r="H131" s="1551">
        <f t="shared" si="17"/>
        <v>90.537345132743354</v>
      </c>
      <c r="I131" s="1551">
        <f t="shared" si="17"/>
        <v>90.537345132743354</v>
      </c>
      <c r="J131" s="1551">
        <f t="shared" si="17"/>
        <v>90.537345132743354</v>
      </c>
      <c r="K131" s="1551">
        <f t="shared" si="17"/>
        <v>90.537345132743354</v>
      </c>
      <c r="L131" s="1551">
        <f t="shared" si="17"/>
        <v>90.537345132743354</v>
      </c>
      <c r="M131" s="1551">
        <f t="shared" si="17"/>
        <v>90.537345132743354</v>
      </c>
      <c r="N131" s="1551">
        <f t="shared" si="17"/>
        <v>90.537345132743354</v>
      </c>
      <c r="O131" s="1551">
        <f t="shared" si="17"/>
        <v>90.537345132743354</v>
      </c>
      <c r="P131" s="1551">
        <f t="shared" si="17"/>
        <v>90.537345132743354</v>
      </c>
      <c r="Q131" s="1551">
        <f t="shared" si="17"/>
        <v>90.537345132743354</v>
      </c>
      <c r="R131" s="1551">
        <f t="shared" si="17"/>
        <v>90.537345132743354</v>
      </c>
      <c r="S131" s="360"/>
    </row>
    <row r="132" spans="1:19" ht="12.75" x14ac:dyDescent="0.2">
      <c r="A132" s="1683"/>
      <c r="B132" s="1695" t="s">
        <v>1151</v>
      </c>
      <c r="C132" s="1691">
        <v>303.3</v>
      </c>
      <c r="D132" s="1551">
        <v>720309.13</v>
      </c>
      <c r="E132" s="1692">
        <v>120</v>
      </c>
      <c r="F132" s="1701">
        <v>58.5</v>
      </c>
      <c r="G132" s="1551">
        <f t="shared" si="16"/>
        <v>6392.4813675213682</v>
      </c>
      <c r="H132" s="1551">
        <f t="shared" si="17"/>
        <v>6392.4813675213682</v>
      </c>
      <c r="I132" s="1551">
        <f t="shared" si="17"/>
        <v>6392.4813675213682</v>
      </c>
      <c r="J132" s="1551">
        <f t="shared" si="17"/>
        <v>6392.4813675213682</v>
      </c>
      <c r="K132" s="1551">
        <f t="shared" si="17"/>
        <v>6392.4813675213682</v>
      </c>
      <c r="L132" s="1551">
        <f t="shared" si="17"/>
        <v>6392.4813675213682</v>
      </c>
      <c r="M132" s="1551">
        <f t="shared" si="17"/>
        <v>6392.4813675213682</v>
      </c>
      <c r="N132" s="1551">
        <f t="shared" si="17"/>
        <v>6392.4813675213682</v>
      </c>
      <c r="O132" s="1551">
        <f t="shared" si="17"/>
        <v>6392.4813675213682</v>
      </c>
      <c r="P132" s="1551">
        <f t="shared" si="17"/>
        <v>6392.4813675213682</v>
      </c>
      <c r="Q132" s="1551">
        <f t="shared" si="17"/>
        <v>6392.4813675213682</v>
      </c>
      <c r="R132" s="1551">
        <f t="shared" si="17"/>
        <v>6392.4813675213682</v>
      </c>
      <c r="S132" s="360"/>
    </row>
    <row r="133" spans="1:19" ht="12.75" x14ac:dyDescent="0.2">
      <c r="A133" s="1683"/>
      <c r="B133" s="1695" t="s">
        <v>2174</v>
      </c>
      <c r="C133" s="1691">
        <v>303.3</v>
      </c>
      <c r="D133" s="1551">
        <v>26993.55</v>
      </c>
      <c r="E133" s="1692">
        <v>60</v>
      </c>
      <c r="F133" s="1701">
        <v>32.5</v>
      </c>
      <c r="G133" s="1551">
        <f t="shared" si="16"/>
        <v>436.66461538461533</v>
      </c>
      <c r="H133" s="1551">
        <f t="shared" si="17"/>
        <v>436.66461538461533</v>
      </c>
      <c r="I133" s="1551">
        <f t="shared" si="17"/>
        <v>436.66461538461533</v>
      </c>
      <c r="J133" s="1551">
        <f t="shared" si="17"/>
        <v>436.66461538461533</v>
      </c>
      <c r="K133" s="1551">
        <f t="shared" si="17"/>
        <v>436.66461538461533</v>
      </c>
      <c r="L133" s="1551">
        <f t="shared" si="17"/>
        <v>436.66461538461533</v>
      </c>
      <c r="M133" s="1551">
        <f t="shared" si="17"/>
        <v>436.66461538461533</v>
      </c>
      <c r="N133" s="1551">
        <f t="shared" si="17"/>
        <v>436.66461538461533</v>
      </c>
      <c r="O133" s="1551">
        <f t="shared" si="17"/>
        <v>436.66461538461533</v>
      </c>
      <c r="P133" s="1551">
        <f t="shared" si="17"/>
        <v>436.66461538461533</v>
      </c>
      <c r="Q133" s="1551">
        <f t="shared" si="17"/>
        <v>436.66461538461533</v>
      </c>
      <c r="R133" s="1551">
        <f t="shared" si="17"/>
        <v>436.66461538461533</v>
      </c>
      <c r="S133" s="360"/>
    </row>
    <row r="134" spans="1:19" ht="12.75" x14ac:dyDescent="0.2">
      <c r="A134" s="1683"/>
      <c r="B134" s="1695" t="s">
        <v>1161</v>
      </c>
      <c r="C134" s="1691">
        <v>303.3</v>
      </c>
      <c r="D134" s="1551">
        <v>4202.96</v>
      </c>
      <c r="E134" s="1692">
        <v>60</v>
      </c>
      <c r="F134" s="1701">
        <v>17.5</v>
      </c>
      <c r="G134" s="1551">
        <f t="shared" si="16"/>
        <v>66.045142857142849</v>
      </c>
      <c r="H134" s="1551">
        <f t="shared" si="17"/>
        <v>66.045142857142849</v>
      </c>
      <c r="I134" s="1551">
        <f t="shared" si="17"/>
        <v>66.045142857142849</v>
      </c>
      <c r="J134" s="1551">
        <f t="shared" si="17"/>
        <v>66.045142857142849</v>
      </c>
      <c r="K134" s="1551">
        <f t="shared" si="17"/>
        <v>66.045142857142849</v>
      </c>
      <c r="L134" s="1551">
        <f t="shared" si="17"/>
        <v>66.045142857142849</v>
      </c>
      <c r="M134" s="1551">
        <f t="shared" si="17"/>
        <v>66.045142857142849</v>
      </c>
      <c r="N134" s="1551">
        <f>M134/2</f>
        <v>33.022571428571425</v>
      </c>
      <c r="O134" s="1551">
        <v>0</v>
      </c>
      <c r="P134" s="1551">
        <f t="shared" si="17"/>
        <v>0</v>
      </c>
      <c r="Q134" s="1551">
        <f t="shared" si="17"/>
        <v>0</v>
      </c>
      <c r="R134" s="1551">
        <f t="shared" si="17"/>
        <v>0</v>
      </c>
      <c r="S134" s="360"/>
    </row>
    <row r="135" spans="1:19" ht="12.75" x14ac:dyDescent="0.2">
      <c r="A135" s="1683"/>
      <c r="B135" s="1695" t="s">
        <v>1153</v>
      </c>
      <c r="C135" s="1691">
        <v>303.3</v>
      </c>
      <c r="D135" s="1551">
        <v>8748</v>
      </c>
      <c r="E135" s="1692">
        <v>60</v>
      </c>
      <c r="F135" s="1701">
        <v>9.5</v>
      </c>
      <c r="G135" s="1551">
        <v>0</v>
      </c>
      <c r="H135" s="1551">
        <f t="shared" si="17"/>
        <v>0</v>
      </c>
      <c r="I135" s="1551">
        <f t="shared" si="17"/>
        <v>0</v>
      </c>
      <c r="J135" s="1551">
        <f t="shared" si="17"/>
        <v>0</v>
      </c>
      <c r="K135" s="1551">
        <f t="shared" si="17"/>
        <v>0</v>
      </c>
      <c r="L135" s="1551">
        <f t="shared" si="17"/>
        <v>0</v>
      </c>
      <c r="M135" s="1551">
        <f t="shared" si="17"/>
        <v>0</v>
      </c>
      <c r="N135" s="1551">
        <f t="shared" si="17"/>
        <v>0</v>
      </c>
      <c r="O135" s="1551">
        <f t="shared" si="17"/>
        <v>0</v>
      </c>
      <c r="P135" s="1551">
        <f t="shared" si="17"/>
        <v>0</v>
      </c>
      <c r="Q135" s="1551">
        <f t="shared" si="17"/>
        <v>0</v>
      </c>
      <c r="R135" s="1551">
        <f t="shared" si="17"/>
        <v>0</v>
      </c>
      <c r="S135" s="360"/>
    </row>
    <row r="136" spans="1:19" ht="12.75" x14ac:dyDescent="0.2">
      <c r="A136" s="1683"/>
      <c r="B136" s="1695" t="s">
        <v>2175</v>
      </c>
      <c r="C136" s="1691">
        <v>303.3</v>
      </c>
      <c r="D136" s="1551">
        <v>10982.039999999999</v>
      </c>
      <c r="E136" s="1692">
        <v>120</v>
      </c>
      <c r="F136" s="1701">
        <v>28.5</v>
      </c>
      <c r="G136" s="1551">
        <f t="shared" ref="G136:G150" si="18">Q46</f>
        <v>177.86807017543859</v>
      </c>
      <c r="H136" s="1551">
        <f t="shared" si="17"/>
        <v>177.86807017543859</v>
      </c>
      <c r="I136" s="1551">
        <f t="shared" si="17"/>
        <v>177.86807017543859</v>
      </c>
      <c r="J136" s="1551">
        <f t="shared" si="17"/>
        <v>177.86807017543859</v>
      </c>
      <c r="K136" s="1551">
        <f t="shared" si="17"/>
        <v>177.86807017543859</v>
      </c>
      <c r="L136" s="1551">
        <f t="shared" si="17"/>
        <v>177.86807017543859</v>
      </c>
      <c r="M136" s="1551">
        <f t="shared" si="17"/>
        <v>177.86807017543859</v>
      </c>
      <c r="N136" s="1551">
        <f t="shared" si="17"/>
        <v>177.86807017543859</v>
      </c>
      <c r="O136" s="1551">
        <f t="shared" si="17"/>
        <v>177.86807017543859</v>
      </c>
      <c r="P136" s="1551">
        <f t="shared" si="17"/>
        <v>177.86807017543859</v>
      </c>
      <c r="Q136" s="1551">
        <f t="shared" si="17"/>
        <v>177.86807017543859</v>
      </c>
      <c r="R136" s="1551">
        <f t="shared" si="17"/>
        <v>177.86807017543859</v>
      </c>
      <c r="S136" s="360"/>
    </row>
    <row r="137" spans="1:19" ht="12.75" x14ac:dyDescent="0.2">
      <c r="A137" s="1683"/>
      <c r="B137" s="1695" t="s">
        <v>2176</v>
      </c>
      <c r="C137" s="1691">
        <v>303.3</v>
      </c>
      <c r="D137" s="1551">
        <v>31298.02</v>
      </c>
      <c r="E137" s="1692">
        <v>60</v>
      </c>
      <c r="F137" s="1701">
        <v>55.5</v>
      </c>
      <c r="G137" s="1551">
        <f t="shared" si="18"/>
        <v>515.30882882882884</v>
      </c>
      <c r="H137" s="1551">
        <f t="shared" si="17"/>
        <v>515.30882882882884</v>
      </c>
      <c r="I137" s="1551">
        <f t="shared" si="17"/>
        <v>515.30882882882884</v>
      </c>
      <c r="J137" s="1551">
        <f t="shared" si="17"/>
        <v>515.30882882882884</v>
      </c>
      <c r="K137" s="1551">
        <f t="shared" si="17"/>
        <v>515.30882882882884</v>
      </c>
      <c r="L137" s="1551">
        <f t="shared" si="17"/>
        <v>515.30882882882884</v>
      </c>
      <c r="M137" s="1551">
        <f t="shared" si="17"/>
        <v>515.30882882882884</v>
      </c>
      <c r="N137" s="1551">
        <f t="shared" si="17"/>
        <v>515.30882882882884</v>
      </c>
      <c r="O137" s="1551">
        <f t="shared" si="17"/>
        <v>515.30882882882884</v>
      </c>
      <c r="P137" s="1551">
        <f t="shared" si="17"/>
        <v>515.30882882882884</v>
      </c>
      <c r="Q137" s="1551">
        <f t="shared" si="17"/>
        <v>515.30882882882884</v>
      </c>
      <c r="R137" s="1551">
        <f t="shared" si="17"/>
        <v>515.30882882882884</v>
      </c>
      <c r="S137" s="360"/>
    </row>
    <row r="138" spans="1:19" ht="12.75" x14ac:dyDescent="0.2">
      <c r="A138" s="1683"/>
      <c r="B138" s="1695" t="s">
        <v>2177</v>
      </c>
      <c r="C138" s="1691">
        <v>303.3</v>
      </c>
      <c r="D138" s="1551">
        <v>25314.240000000002</v>
      </c>
      <c r="E138" s="1692">
        <v>60</v>
      </c>
      <c r="F138" s="1701">
        <v>28.5</v>
      </c>
      <c r="G138" s="1551">
        <f t="shared" si="18"/>
        <v>407.10140350877197</v>
      </c>
      <c r="H138" s="1551">
        <f t="shared" si="17"/>
        <v>407.10140350877197</v>
      </c>
      <c r="I138" s="1551">
        <f t="shared" si="17"/>
        <v>407.10140350877197</v>
      </c>
      <c r="J138" s="1551">
        <f t="shared" si="17"/>
        <v>407.10140350877197</v>
      </c>
      <c r="K138" s="1551">
        <f t="shared" si="17"/>
        <v>407.10140350877197</v>
      </c>
      <c r="L138" s="1551">
        <f t="shared" si="17"/>
        <v>407.10140350877197</v>
      </c>
      <c r="M138" s="1551">
        <f t="shared" si="17"/>
        <v>407.10140350877197</v>
      </c>
      <c r="N138" s="1551">
        <f t="shared" si="17"/>
        <v>407.10140350877197</v>
      </c>
      <c r="O138" s="1551">
        <f t="shared" si="17"/>
        <v>407.10140350877197</v>
      </c>
      <c r="P138" s="1551">
        <f t="shared" si="17"/>
        <v>407.10140350877197</v>
      </c>
      <c r="Q138" s="1551">
        <f t="shared" si="17"/>
        <v>407.10140350877197</v>
      </c>
      <c r="R138" s="1551">
        <f t="shared" si="17"/>
        <v>407.10140350877197</v>
      </c>
      <c r="S138" s="360"/>
    </row>
    <row r="139" spans="1:19" ht="12.75" x14ac:dyDescent="0.2">
      <c r="A139" s="1683"/>
      <c r="B139" s="1695" t="s">
        <v>2178</v>
      </c>
      <c r="C139" s="1691">
        <v>303.3</v>
      </c>
      <c r="D139" s="1551">
        <v>366402.08</v>
      </c>
      <c r="E139" s="1692">
        <v>84</v>
      </c>
      <c r="F139" s="1701">
        <v>22.5</v>
      </c>
      <c r="G139" s="1551">
        <f t="shared" si="18"/>
        <v>4183.2235555555571</v>
      </c>
      <c r="H139" s="1551">
        <f t="shared" ref="H139:R154" si="19">G139</f>
        <v>4183.2235555555571</v>
      </c>
      <c r="I139" s="1551">
        <f t="shared" si="19"/>
        <v>4183.2235555555571</v>
      </c>
      <c r="J139" s="1551">
        <f t="shared" si="19"/>
        <v>4183.2235555555571</v>
      </c>
      <c r="K139" s="1551">
        <f t="shared" si="19"/>
        <v>4183.2235555555571</v>
      </c>
      <c r="L139" s="1551">
        <f t="shared" si="19"/>
        <v>4183.2235555555571</v>
      </c>
      <c r="M139" s="1551">
        <f t="shared" si="19"/>
        <v>4183.2235555555571</v>
      </c>
      <c r="N139" s="1551">
        <f t="shared" si="19"/>
        <v>4183.2235555555571</v>
      </c>
      <c r="O139" s="1551">
        <f t="shared" si="19"/>
        <v>4183.2235555555571</v>
      </c>
      <c r="P139" s="1551">
        <f t="shared" si="19"/>
        <v>4183.2235555555571</v>
      </c>
      <c r="Q139" s="1551">
        <f t="shared" si="19"/>
        <v>4183.2235555555571</v>
      </c>
      <c r="R139" s="1551">
        <f t="shared" si="19"/>
        <v>4183.2235555555571</v>
      </c>
      <c r="S139" s="360"/>
    </row>
    <row r="140" spans="1:19" ht="12.75" x14ac:dyDescent="0.2">
      <c r="A140" s="1683"/>
      <c r="B140" s="1695" t="s">
        <v>2179</v>
      </c>
      <c r="C140" s="1691">
        <v>303.3</v>
      </c>
      <c r="D140" s="1551">
        <v>16263.67</v>
      </c>
      <c r="E140" s="1692">
        <v>60</v>
      </c>
      <c r="F140" s="1701">
        <v>54.5</v>
      </c>
      <c r="G140" s="1551">
        <f t="shared" si="18"/>
        <v>266.2267889908257</v>
      </c>
      <c r="H140" s="1551">
        <f t="shared" si="19"/>
        <v>266.2267889908257</v>
      </c>
      <c r="I140" s="1551">
        <f t="shared" si="19"/>
        <v>266.2267889908257</v>
      </c>
      <c r="J140" s="1551">
        <f t="shared" si="19"/>
        <v>266.2267889908257</v>
      </c>
      <c r="K140" s="1551">
        <f t="shared" si="19"/>
        <v>266.2267889908257</v>
      </c>
      <c r="L140" s="1551">
        <f t="shared" si="19"/>
        <v>266.2267889908257</v>
      </c>
      <c r="M140" s="1551">
        <f t="shared" si="19"/>
        <v>266.2267889908257</v>
      </c>
      <c r="N140" s="1551">
        <f t="shared" si="19"/>
        <v>266.2267889908257</v>
      </c>
      <c r="O140" s="1551">
        <f t="shared" si="19"/>
        <v>266.2267889908257</v>
      </c>
      <c r="P140" s="1551">
        <f t="shared" si="19"/>
        <v>266.2267889908257</v>
      </c>
      <c r="Q140" s="1551">
        <f t="shared" si="19"/>
        <v>266.2267889908257</v>
      </c>
      <c r="R140" s="1551">
        <f t="shared" si="19"/>
        <v>266.2267889908257</v>
      </c>
      <c r="S140" s="360"/>
    </row>
    <row r="141" spans="1:19" ht="12.75" x14ac:dyDescent="0.2">
      <c r="A141" s="1683"/>
      <c r="B141" s="1695" t="s">
        <v>1158</v>
      </c>
      <c r="C141" s="1691">
        <v>303.3</v>
      </c>
      <c r="D141" s="1551">
        <v>3070.27</v>
      </c>
      <c r="E141" s="1692">
        <v>84</v>
      </c>
      <c r="F141" s="1701">
        <v>34.5</v>
      </c>
      <c r="G141" s="1551">
        <f t="shared" si="18"/>
        <v>35.49246376811594</v>
      </c>
      <c r="H141" s="1551">
        <f t="shared" si="19"/>
        <v>35.49246376811594</v>
      </c>
      <c r="I141" s="1551">
        <f t="shared" si="19"/>
        <v>35.49246376811594</v>
      </c>
      <c r="J141" s="1551">
        <f t="shared" si="19"/>
        <v>35.49246376811594</v>
      </c>
      <c r="K141" s="1551">
        <f t="shared" si="19"/>
        <v>35.49246376811594</v>
      </c>
      <c r="L141" s="1551">
        <f t="shared" si="19"/>
        <v>35.49246376811594</v>
      </c>
      <c r="M141" s="1551">
        <f t="shared" si="19"/>
        <v>35.49246376811594</v>
      </c>
      <c r="N141" s="1551">
        <f t="shared" si="19"/>
        <v>35.49246376811594</v>
      </c>
      <c r="O141" s="1551">
        <f t="shared" si="19"/>
        <v>35.49246376811594</v>
      </c>
      <c r="P141" s="1551">
        <f t="shared" si="19"/>
        <v>35.49246376811594</v>
      </c>
      <c r="Q141" s="1551">
        <f t="shared" si="19"/>
        <v>35.49246376811594</v>
      </c>
      <c r="R141" s="1551">
        <f t="shared" si="19"/>
        <v>35.49246376811594</v>
      </c>
      <c r="S141" s="360"/>
    </row>
    <row r="142" spans="1:19" ht="12.75" x14ac:dyDescent="0.2">
      <c r="A142" s="1683"/>
      <c r="B142" s="1695" t="s">
        <v>1163</v>
      </c>
      <c r="C142" s="1691">
        <v>303.3</v>
      </c>
      <c r="D142" s="1551">
        <v>137759.26999999999</v>
      </c>
      <c r="E142" s="1692">
        <v>60</v>
      </c>
      <c r="F142" s="1701">
        <v>20.5</v>
      </c>
      <c r="G142" s="1551">
        <f t="shared" si="18"/>
        <v>2319.7629268292676</v>
      </c>
      <c r="H142" s="1551">
        <f t="shared" si="19"/>
        <v>2319.7629268292676</v>
      </c>
      <c r="I142" s="1551">
        <f t="shared" si="19"/>
        <v>2319.7629268292676</v>
      </c>
      <c r="J142" s="1551">
        <f t="shared" si="19"/>
        <v>2319.7629268292676</v>
      </c>
      <c r="K142" s="1551">
        <f t="shared" si="19"/>
        <v>2319.7629268292676</v>
      </c>
      <c r="L142" s="1551">
        <f t="shared" si="19"/>
        <v>2319.7629268292676</v>
      </c>
      <c r="M142" s="1551">
        <f t="shared" si="19"/>
        <v>2319.7629268292676</v>
      </c>
      <c r="N142" s="1551">
        <f t="shared" si="19"/>
        <v>2319.7629268292676</v>
      </c>
      <c r="O142" s="1551">
        <f t="shared" si="19"/>
        <v>2319.7629268292676</v>
      </c>
      <c r="P142" s="1551">
        <f t="shared" si="19"/>
        <v>2319.7629268292676</v>
      </c>
      <c r="Q142" s="1551">
        <f>P142/2</f>
        <v>1159.8814634146338</v>
      </c>
      <c r="R142" s="1551">
        <v>0</v>
      </c>
      <c r="S142" s="360"/>
    </row>
    <row r="143" spans="1:19" ht="12.75" x14ac:dyDescent="0.2">
      <c r="A143" s="1683"/>
      <c r="B143" s="1695" t="s">
        <v>2180</v>
      </c>
      <c r="C143" s="1691">
        <v>303.3</v>
      </c>
      <c r="D143" s="1551">
        <v>5569.39</v>
      </c>
      <c r="E143" s="1692">
        <v>60</v>
      </c>
      <c r="F143" s="1701">
        <v>54.5</v>
      </c>
      <c r="G143" s="1551">
        <f t="shared" si="18"/>
        <v>91.719082568807352</v>
      </c>
      <c r="H143" s="1551">
        <f t="shared" si="19"/>
        <v>91.719082568807352</v>
      </c>
      <c r="I143" s="1551">
        <f t="shared" si="19"/>
        <v>91.719082568807352</v>
      </c>
      <c r="J143" s="1551">
        <f t="shared" si="19"/>
        <v>91.719082568807352</v>
      </c>
      <c r="K143" s="1551">
        <f t="shared" si="19"/>
        <v>91.719082568807352</v>
      </c>
      <c r="L143" s="1551">
        <f t="shared" si="19"/>
        <v>91.719082568807352</v>
      </c>
      <c r="M143" s="1551">
        <f t="shared" si="19"/>
        <v>91.719082568807352</v>
      </c>
      <c r="N143" s="1551">
        <f t="shared" si="19"/>
        <v>91.719082568807352</v>
      </c>
      <c r="O143" s="1551">
        <f t="shared" si="19"/>
        <v>91.719082568807352</v>
      </c>
      <c r="P143" s="1551">
        <f t="shared" si="19"/>
        <v>91.719082568807352</v>
      </c>
      <c r="Q143" s="1551">
        <f t="shared" si="19"/>
        <v>91.719082568807352</v>
      </c>
      <c r="R143" s="1551">
        <f t="shared" si="19"/>
        <v>91.719082568807352</v>
      </c>
      <c r="S143" s="360"/>
    </row>
    <row r="144" spans="1:19" ht="12.75" x14ac:dyDescent="0.2">
      <c r="A144" s="1683"/>
      <c r="B144" s="1695" t="s">
        <v>2181</v>
      </c>
      <c r="C144" s="1691">
        <v>303.3</v>
      </c>
      <c r="D144" s="1551">
        <v>565661.80000000005</v>
      </c>
      <c r="E144" s="1692">
        <v>60</v>
      </c>
      <c r="F144" s="1701">
        <v>46.5</v>
      </c>
      <c r="G144" s="1551">
        <f t="shared" si="18"/>
        <v>9353.2670967741942</v>
      </c>
      <c r="H144" s="1551">
        <f t="shared" si="19"/>
        <v>9353.2670967741942</v>
      </c>
      <c r="I144" s="1551">
        <f t="shared" si="19"/>
        <v>9353.2670967741942</v>
      </c>
      <c r="J144" s="1551">
        <f t="shared" si="19"/>
        <v>9353.2670967741942</v>
      </c>
      <c r="K144" s="1551">
        <f t="shared" si="19"/>
        <v>9353.2670967741942</v>
      </c>
      <c r="L144" s="1551">
        <f t="shared" si="19"/>
        <v>9353.2670967741942</v>
      </c>
      <c r="M144" s="1551">
        <f t="shared" si="19"/>
        <v>9353.2670967741942</v>
      </c>
      <c r="N144" s="1551">
        <f t="shared" si="19"/>
        <v>9353.2670967741942</v>
      </c>
      <c r="O144" s="1551">
        <f t="shared" si="19"/>
        <v>9353.2670967741942</v>
      </c>
      <c r="P144" s="1551">
        <f t="shared" si="19"/>
        <v>9353.2670967741942</v>
      </c>
      <c r="Q144" s="1551">
        <f t="shared" si="19"/>
        <v>9353.2670967741942</v>
      </c>
      <c r="R144" s="1551">
        <f t="shared" si="19"/>
        <v>9353.2670967741942</v>
      </c>
      <c r="S144" s="360"/>
    </row>
    <row r="145" spans="1:19" ht="12.75" x14ac:dyDescent="0.2">
      <c r="A145" s="1683"/>
      <c r="B145" s="1695" t="s">
        <v>2182</v>
      </c>
      <c r="C145" s="1691">
        <v>303.3</v>
      </c>
      <c r="D145" s="1551">
        <v>182.95</v>
      </c>
      <c r="E145" s="1692">
        <v>60</v>
      </c>
      <c r="F145" s="1701">
        <v>34.5</v>
      </c>
      <c r="G145" s="1551">
        <f t="shared" si="18"/>
        <v>2.9602898550724634</v>
      </c>
      <c r="H145" s="1551">
        <f t="shared" si="19"/>
        <v>2.9602898550724634</v>
      </c>
      <c r="I145" s="1551">
        <f t="shared" si="19"/>
        <v>2.9602898550724634</v>
      </c>
      <c r="J145" s="1551">
        <f t="shared" si="19"/>
        <v>2.9602898550724634</v>
      </c>
      <c r="K145" s="1551">
        <f t="shared" si="19"/>
        <v>2.9602898550724634</v>
      </c>
      <c r="L145" s="1551">
        <f t="shared" si="19"/>
        <v>2.9602898550724634</v>
      </c>
      <c r="M145" s="1551">
        <f t="shared" si="19"/>
        <v>2.9602898550724634</v>
      </c>
      <c r="N145" s="1551">
        <f t="shared" si="19"/>
        <v>2.9602898550724634</v>
      </c>
      <c r="O145" s="1551">
        <f t="shared" si="19"/>
        <v>2.9602898550724634</v>
      </c>
      <c r="P145" s="1551">
        <f t="shared" si="19"/>
        <v>2.9602898550724634</v>
      </c>
      <c r="Q145" s="1551">
        <f t="shared" si="19"/>
        <v>2.9602898550724634</v>
      </c>
      <c r="R145" s="1551">
        <f t="shared" si="19"/>
        <v>2.9602898550724634</v>
      </c>
      <c r="S145" s="360"/>
    </row>
    <row r="146" spans="1:19" ht="12.75" x14ac:dyDescent="0.2">
      <c r="A146" s="1683"/>
      <c r="B146" s="1695" t="s">
        <v>2183</v>
      </c>
      <c r="C146" s="1691">
        <v>303.3</v>
      </c>
      <c r="D146" s="1551">
        <v>1540.84</v>
      </c>
      <c r="E146" s="1692">
        <v>60</v>
      </c>
      <c r="F146" s="1701">
        <v>46.5</v>
      </c>
      <c r="G146" s="1551">
        <f t="shared" si="18"/>
        <v>25.12838709677419</v>
      </c>
      <c r="H146" s="1551">
        <f t="shared" si="19"/>
        <v>25.12838709677419</v>
      </c>
      <c r="I146" s="1551">
        <f t="shared" si="19"/>
        <v>25.12838709677419</v>
      </c>
      <c r="J146" s="1551">
        <f t="shared" si="19"/>
        <v>25.12838709677419</v>
      </c>
      <c r="K146" s="1551">
        <f t="shared" si="19"/>
        <v>25.12838709677419</v>
      </c>
      <c r="L146" s="1551">
        <f t="shared" si="19"/>
        <v>25.12838709677419</v>
      </c>
      <c r="M146" s="1551">
        <f t="shared" si="19"/>
        <v>25.12838709677419</v>
      </c>
      <c r="N146" s="1551">
        <f t="shared" si="19"/>
        <v>25.12838709677419</v>
      </c>
      <c r="O146" s="1551">
        <f t="shared" si="19"/>
        <v>25.12838709677419</v>
      </c>
      <c r="P146" s="1551">
        <f t="shared" si="19"/>
        <v>25.12838709677419</v>
      </c>
      <c r="Q146" s="1551">
        <f t="shared" si="19"/>
        <v>25.12838709677419</v>
      </c>
      <c r="R146" s="1551">
        <f t="shared" si="19"/>
        <v>25.12838709677419</v>
      </c>
      <c r="S146" s="360"/>
    </row>
    <row r="147" spans="1:19" ht="12.75" x14ac:dyDescent="0.2">
      <c r="A147" s="1683"/>
      <c r="B147" s="1695" t="s">
        <v>2184</v>
      </c>
      <c r="C147" s="1691">
        <v>303.3</v>
      </c>
      <c r="D147" s="1551">
        <v>29224.48</v>
      </c>
      <c r="E147" s="1692">
        <v>60</v>
      </c>
      <c r="F147" s="1701">
        <v>43.5</v>
      </c>
      <c r="G147" s="1551">
        <f t="shared" si="18"/>
        <v>481.3783908045977</v>
      </c>
      <c r="H147" s="1551">
        <f t="shared" si="19"/>
        <v>481.3783908045977</v>
      </c>
      <c r="I147" s="1551">
        <f t="shared" si="19"/>
        <v>481.3783908045977</v>
      </c>
      <c r="J147" s="1551">
        <f t="shared" si="19"/>
        <v>481.3783908045977</v>
      </c>
      <c r="K147" s="1551">
        <f t="shared" si="19"/>
        <v>481.3783908045977</v>
      </c>
      <c r="L147" s="1551">
        <f t="shared" si="19"/>
        <v>481.3783908045977</v>
      </c>
      <c r="M147" s="1551">
        <f t="shared" si="19"/>
        <v>481.3783908045977</v>
      </c>
      <c r="N147" s="1551">
        <f t="shared" si="19"/>
        <v>481.3783908045977</v>
      </c>
      <c r="O147" s="1551">
        <f t="shared" si="19"/>
        <v>481.3783908045977</v>
      </c>
      <c r="P147" s="1551">
        <f t="shared" si="19"/>
        <v>481.3783908045977</v>
      </c>
      <c r="Q147" s="1551">
        <f t="shared" si="19"/>
        <v>481.3783908045977</v>
      </c>
      <c r="R147" s="1551">
        <f t="shared" si="19"/>
        <v>481.3783908045977</v>
      </c>
      <c r="S147" s="360"/>
    </row>
    <row r="148" spans="1:19" ht="12.75" x14ac:dyDescent="0.2">
      <c r="A148" s="1683"/>
      <c r="B148" s="1695" t="s">
        <v>2185</v>
      </c>
      <c r="C148" s="1691">
        <v>303.3</v>
      </c>
      <c r="D148" s="1551">
        <v>63317.91</v>
      </c>
      <c r="E148" s="1692">
        <v>60</v>
      </c>
      <c r="F148" s="1701">
        <v>40.5</v>
      </c>
      <c r="G148" s="1551">
        <f t="shared" si="18"/>
        <v>1041.12987654321</v>
      </c>
      <c r="H148" s="1551">
        <f t="shared" si="19"/>
        <v>1041.12987654321</v>
      </c>
      <c r="I148" s="1551">
        <f t="shared" si="19"/>
        <v>1041.12987654321</v>
      </c>
      <c r="J148" s="1551">
        <f t="shared" si="19"/>
        <v>1041.12987654321</v>
      </c>
      <c r="K148" s="1551">
        <f t="shared" si="19"/>
        <v>1041.12987654321</v>
      </c>
      <c r="L148" s="1551">
        <f t="shared" si="19"/>
        <v>1041.12987654321</v>
      </c>
      <c r="M148" s="1551">
        <f t="shared" si="19"/>
        <v>1041.12987654321</v>
      </c>
      <c r="N148" s="1551">
        <f t="shared" si="19"/>
        <v>1041.12987654321</v>
      </c>
      <c r="O148" s="1551">
        <f t="shared" si="19"/>
        <v>1041.12987654321</v>
      </c>
      <c r="P148" s="1551">
        <f t="shared" si="19"/>
        <v>1041.12987654321</v>
      </c>
      <c r="Q148" s="1551">
        <f t="shared" si="19"/>
        <v>1041.12987654321</v>
      </c>
      <c r="R148" s="1551">
        <f t="shared" si="19"/>
        <v>1041.12987654321</v>
      </c>
      <c r="S148" s="360"/>
    </row>
    <row r="149" spans="1:19" ht="12.75" x14ac:dyDescent="0.2">
      <c r="A149" s="1683"/>
      <c r="B149" s="1695" t="s">
        <v>2186</v>
      </c>
      <c r="C149" s="1691">
        <v>303.3</v>
      </c>
      <c r="D149" s="1551">
        <v>71586.31</v>
      </c>
      <c r="E149" s="1692">
        <v>60</v>
      </c>
      <c r="F149" s="1701">
        <v>52.5</v>
      </c>
      <c r="G149" s="1551">
        <f t="shared" si="18"/>
        <v>1175.8165714285713</v>
      </c>
      <c r="H149" s="1551">
        <f t="shared" si="19"/>
        <v>1175.8165714285713</v>
      </c>
      <c r="I149" s="1551">
        <f t="shared" si="19"/>
        <v>1175.8165714285713</v>
      </c>
      <c r="J149" s="1551">
        <f t="shared" si="19"/>
        <v>1175.8165714285713</v>
      </c>
      <c r="K149" s="1551">
        <f t="shared" si="19"/>
        <v>1175.8165714285713</v>
      </c>
      <c r="L149" s="1551">
        <f t="shared" si="19"/>
        <v>1175.8165714285713</v>
      </c>
      <c r="M149" s="1551">
        <f t="shared" si="19"/>
        <v>1175.8165714285713</v>
      </c>
      <c r="N149" s="1551">
        <f t="shared" si="19"/>
        <v>1175.8165714285713</v>
      </c>
      <c r="O149" s="1551">
        <f t="shared" si="19"/>
        <v>1175.8165714285713</v>
      </c>
      <c r="P149" s="1551">
        <f t="shared" si="19"/>
        <v>1175.8165714285713</v>
      </c>
      <c r="Q149" s="1551">
        <f t="shared" si="19"/>
        <v>1175.8165714285713</v>
      </c>
      <c r="R149" s="1551">
        <f t="shared" si="19"/>
        <v>1175.8165714285713</v>
      </c>
      <c r="S149" s="360"/>
    </row>
    <row r="150" spans="1:19" ht="12.75" x14ac:dyDescent="0.2">
      <c r="A150" s="1683"/>
      <c r="B150" s="1695" t="s">
        <v>2187</v>
      </c>
      <c r="C150" s="1691">
        <v>303.3</v>
      </c>
      <c r="D150" s="1551">
        <v>29708.19</v>
      </c>
      <c r="E150" s="1692">
        <v>60</v>
      </c>
      <c r="F150" s="1701">
        <v>59.5</v>
      </c>
      <c r="G150" s="1551">
        <f t="shared" si="18"/>
        <v>486.8147899159664</v>
      </c>
      <c r="H150" s="1551">
        <f t="shared" si="19"/>
        <v>486.8147899159664</v>
      </c>
      <c r="I150" s="1551">
        <f t="shared" si="19"/>
        <v>486.8147899159664</v>
      </c>
      <c r="J150" s="1551">
        <f t="shared" si="19"/>
        <v>486.8147899159664</v>
      </c>
      <c r="K150" s="1551">
        <f t="shared" si="19"/>
        <v>486.8147899159664</v>
      </c>
      <c r="L150" s="1551">
        <f t="shared" si="19"/>
        <v>486.8147899159664</v>
      </c>
      <c r="M150" s="1551">
        <f t="shared" si="19"/>
        <v>486.8147899159664</v>
      </c>
      <c r="N150" s="1551">
        <f t="shared" si="19"/>
        <v>486.8147899159664</v>
      </c>
      <c r="O150" s="1551">
        <f t="shared" si="19"/>
        <v>486.8147899159664</v>
      </c>
      <c r="P150" s="1551">
        <f t="shared" si="19"/>
        <v>486.8147899159664</v>
      </c>
      <c r="Q150" s="1551">
        <f t="shared" si="19"/>
        <v>486.8147899159664</v>
      </c>
      <c r="R150" s="1551">
        <f t="shared" si="19"/>
        <v>486.8147899159664</v>
      </c>
      <c r="S150" s="360"/>
    </row>
    <row r="151" spans="1:19" ht="12.75" x14ac:dyDescent="0.2">
      <c r="A151" s="1683"/>
      <c r="B151" s="1695" t="s">
        <v>1156</v>
      </c>
      <c r="C151" s="1691">
        <v>303.3</v>
      </c>
      <c r="D151" s="1551">
        <v>5033.0600000000004</v>
      </c>
      <c r="E151" s="1692">
        <v>60</v>
      </c>
      <c r="F151" s="1701">
        <v>10.5</v>
      </c>
      <c r="G151" s="1551">
        <f>Q61/2</f>
        <v>37.948095238095277</v>
      </c>
      <c r="H151" s="1551">
        <v>0</v>
      </c>
      <c r="I151" s="1551">
        <f t="shared" si="19"/>
        <v>0</v>
      </c>
      <c r="J151" s="1551">
        <f t="shared" si="19"/>
        <v>0</v>
      </c>
      <c r="K151" s="1551">
        <f t="shared" si="19"/>
        <v>0</v>
      </c>
      <c r="L151" s="1551">
        <f t="shared" si="19"/>
        <v>0</v>
      </c>
      <c r="M151" s="1551">
        <f t="shared" si="19"/>
        <v>0</v>
      </c>
      <c r="N151" s="1551">
        <f t="shared" si="19"/>
        <v>0</v>
      </c>
      <c r="O151" s="1551">
        <f t="shared" si="19"/>
        <v>0</v>
      </c>
      <c r="P151" s="1551">
        <f t="shared" si="19"/>
        <v>0</v>
      </c>
      <c r="Q151" s="1551">
        <f t="shared" si="19"/>
        <v>0</v>
      </c>
      <c r="R151" s="1551">
        <f t="shared" si="19"/>
        <v>0</v>
      </c>
      <c r="S151" s="360"/>
    </row>
    <row r="152" spans="1:19" ht="12.75" x14ac:dyDescent="0.2">
      <c r="A152" s="1683"/>
      <c r="B152" s="1695" t="s">
        <v>2188</v>
      </c>
      <c r="C152" s="1691">
        <v>303.3</v>
      </c>
      <c r="D152" s="1551">
        <v>60748.75</v>
      </c>
      <c r="E152" s="1692">
        <v>60</v>
      </c>
      <c r="F152" s="1701">
        <v>38.5</v>
      </c>
      <c r="G152" s="1551">
        <f t="shared" ref="G152:G160" si="20">Q62</f>
        <v>1025.4402597402598</v>
      </c>
      <c r="H152" s="1551">
        <f t="shared" ref="H152:R167" si="21">G152</f>
        <v>1025.4402597402598</v>
      </c>
      <c r="I152" s="1551">
        <f t="shared" si="21"/>
        <v>1025.4402597402598</v>
      </c>
      <c r="J152" s="1551">
        <f t="shared" si="21"/>
        <v>1025.4402597402598</v>
      </c>
      <c r="K152" s="1551">
        <f t="shared" si="21"/>
        <v>1025.4402597402598</v>
      </c>
      <c r="L152" s="1551">
        <f t="shared" si="21"/>
        <v>1025.4402597402598</v>
      </c>
      <c r="M152" s="1551">
        <f t="shared" si="21"/>
        <v>1025.4402597402598</v>
      </c>
      <c r="N152" s="1551">
        <f t="shared" si="21"/>
        <v>1025.4402597402598</v>
      </c>
      <c r="O152" s="1551">
        <f t="shared" si="21"/>
        <v>1025.4402597402598</v>
      </c>
      <c r="P152" s="1551">
        <f t="shared" si="21"/>
        <v>1025.4402597402598</v>
      </c>
      <c r="Q152" s="1551">
        <f t="shared" si="21"/>
        <v>1025.4402597402598</v>
      </c>
      <c r="R152" s="1551">
        <f t="shared" si="19"/>
        <v>1025.4402597402598</v>
      </c>
      <c r="S152" s="360"/>
    </row>
    <row r="153" spans="1:19" ht="12.75" x14ac:dyDescent="0.2">
      <c r="A153" s="1683"/>
      <c r="B153" s="1695" t="s">
        <v>2189</v>
      </c>
      <c r="C153" s="1691">
        <v>303.3</v>
      </c>
      <c r="D153" s="1551">
        <v>31262.27</v>
      </c>
      <c r="E153" s="1692">
        <v>60</v>
      </c>
      <c r="F153" s="1701">
        <v>41.5</v>
      </c>
      <c r="G153" s="1551">
        <f t="shared" si="20"/>
        <v>524.10144578313248</v>
      </c>
      <c r="H153" s="1551">
        <f t="shared" si="21"/>
        <v>524.10144578313248</v>
      </c>
      <c r="I153" s="1551">
        <f t="shared" si="21"/>
        <v>524.10144578313248</v>
      </c>
      <c r="J153" s="1551">
        <f t="shared" si="21"/>
        <v>524.10144578313248</v>
      </c>
      <c r="K153" s="1551">
        <f t="shared" si="21"/>
        <v>524.10144578313248</v>
      </c>
      <c r="L153" s="1551">
        <f t="shared" si="21"/>
        <v>524.10144578313248</v>
      </c>
      <c r="M153" s="1551">
        <f t="shared" si="21"/>
        <v>524.10144578313248</v>
      </c>
      <c r="N153" s="1551">
        <f t="shared" si="21"/>
        <v>524.10144578313248</v>
      </c>
      <c r="O153" s="1551">
        <f t="shared" si="21"/>
        <v>524.10144578313248</v>
      </c>
      <c r="P153" s="1551">
        <f t="shared" si="21"/>
        <v>524.10144578313248</v>
      </c>
      <c r="Q153" s="1551">
        <f t="shared" si="21"/>
        <v>524.10144578313248</v>
      </c>
      <c r="R153" s="1551">
        <f t="shared" si="19"/>
        <v>524.10144578313248</v>
      </c>
      <c r="S153" s="360"/>
    </row>
    <row r="154" spans="1:19" ht="12.75" x14ac:dyDescent="0.2">
      <c r="A154" s="1683"/>
      <c r="B154" s="1695" t="s">
        <v>2190</v>
      </c>
      <c r="C154" s="1691">
        <v>303.3</v>
      </c>
      <c r="D154" s="1551">
        <v>1683018.79</v>
      </c>
      <c r="E154" s="1692">
        <v>120</v>
      </c>
      <c r="F154" s="1701">
        <v>97.5</v>
      </c>
      <c r="G154" s="1551">
        <f t="shared" si="20"/>
        <v>13878.120923076924</v>
      </c>
      <c r="H154" s="1551">
        <f t="shared" si="21"/>
        <v>13878.120923076924</v>
      </c>
      <c r="I154" s="1551">
        <f t="shared" si="21"/>
        <v>13878.120923076924</v>
      </c>
      <c r="J154" s="1551">
        <f t="shared" si="21"/>
        <v>13878.120923076924</v>
      </c>
      <c r="K154" s="1551">
        <f t="shared" si="21"/>
        <v>13878.120923076924</v>
      </c>
      <c r="L154" s="1551">
        <f t="shared" si="21"/>
        <v>13878.120923076924</v>
      </c>
      <c r="M154" s="1551">
        <f t="shared" si="21"/>
        <v>13878.120923076924</v>
      </c>
      <c r="N154" s="1551">
        <f t="shared" si="21"/>
        <v>13878.120923076924</v>
      </c>
      <c r="O154" s="1551">
        <f t="shared" si="21"/>
        <v>13878.120923076924</v>
      </c>
      <c r="P154" s="1551">
        <f t="shared" si="21"/>
        <v>13878.120923076924</v>
      </c>
      <c r="Q154" s="1551">
        <f t="shared" si="21"/>
        <v>13878.120923076924</v>
      </c>
      <c r="R154" s="1551">
        <f t="shared" si="19"/>
        <v>13878.120923076924</v>
      </c>
      <c r="S154" s="360"/>
    </row>
    <row r="155" spans="1:19" ht="12.75" x14ac:dyDescent="0.2">
      <c r="A155" s="1683"/>
      <c r="B155" s="1695" t="s">
        <v>2191</v>
      </c>
      <c r="C155" s="1691">
        <v>303.3</v>
      </c>
      <c r="D155" s="1551">
        <v>2590.56</v>
      </c>
      <c r="E155" s="1692">
        <v>60</v>
      </c>
      <c r="F155" s="1701">
        <v>45.5</v>
      </c>
      <c r="G155" s="1551">
        <f t="shared" si="20"/>
        <v>42.226153846153842</v>
      </c>
      <c r="H155" s="1551">
        <f t="shared" si="21"/>
        <v>42.226153846153842</v>
      </c>
      <c r="I155" s="1551">
        <f t="shared" si="21"/>
        <v>42.226153846153842</v>
      </c>
      <c r="J155" s="1551">
        <f t="shared" si="21"/>
        <v>42.226153846153842</v>
      </c>
      <c r="K155" s="1551">
        <f t="shared" si="21"/>
        <v>42.226153846153842</v>
      </c>
      <c r="L155" s="1551">
        <f t="shared" si="21"/>
        <v>42.226153846153842</v>
      </c>
      <c r="M155" s="1551">
        <f t="shared" si="21"/>
        <v>42.226153846153842</v>
      </c>
      <c r="N155" s="1551">
        <f t="shared" si="21"/>
        <v>42.226153846153842</v>
      </c>
      <c r="O155" s="1551">
        <f t="shared" si="21"/>
        <v>42.226153846153842</v>
      </c>
      <c r="P155" s="1551">
        <f t="shared" si="21"/>
        <v>42.226153846153842</v>
      </c>
      <c r="Q155" s="1551">
        <f t="shared" si="21"/>
        <v>42.226153846153842</v>
      </c>
      <c r="R155" s="1551">
        <f t="shared" si="21"/>
        <v>42.226153846153842</v>
      </c>
      <c r="S155" s="360"/>
    </row>
    <row r="156" spans="1:19" ht="12.75" x14ac:dyDescent="0.2">
      <c r="A156" s="1683"/>
      <c r="B156" s="1695" t="s">
        <v>2192</v>
      </c>
      <c r="C156" s="1691">
        <v>303.3</v>
      </c>
      <c r="D156" s="1551">
        <v>4841.08</v>
      </c>
      <c r="E156" s="1692">
        <v>60</v>
      </c>
      <c r="F156" s="1701">
        <v>51.5</v>
      </c>
      <c r="G156" s="1551">
        <f t="shared" si="20"/>
        <v>79.117864077669893</v>
      </c>
      <c r="H156" s="1551">
        <f t="shared" si="21"/>
        <v>79.117864077669893</v>
      </c>
      <c r="I156" s="1551">
        <f t="shared" si="21"/>
        <v>79.117864077669893</v>
      </c>
      <c r="J156" s="1551">
        <f t="shared" si="21"/>
        <v>79.117864077669893</v>
      </c>
      <c r="K156" s="1551">
        <f t="shared" si="21"/>
        <v>79.117864077669893</v>
      </c>
      <c r="L156" s="1551">
        <f t="shared" si="21"/>
        <v>79.117864077669893</v>
      </c>
      <c r="M156" s="1551">
        <f t="shared" si="21"/>
        <v>79.117864077669893</v>
      </c>
      <c r="N156" s="1551">
        <f t="shared" si="21"/>
        <v>79.117864077669893</v>
      </c>
      <c r="O156" s="1551">
        <f t="shared" si="21"/>
        <v>79.117864077669893</v>
      </c>
      <c r="P156" s="1551">
        <f t="shared" si="21"/>
        <v>79.117864077669893</v>
      </c>
      <c r="Q156" s="1551">
        <f t="shared" si="21"/>
        <v>79.117864077669893</v>
      </c>
      <c r="R156" s="1551">
        <f t="shared" si="21"/>
        <v>79.117864077669893</v>
      </c>
      <c r="S156" s="360"/>
    </row>
    <row r="157" spans="1:19" ht="12.75" x14ac:dyDescent="0.2">
      <c r="A157" s="1683"/>
      <c r="B157" s="1695" t="s">
        <v>2193</v>
      </c>
      <c r="C157" s="1691">
        <v>303.3</v>
      </c>
      <c r="D157" s="1551">
        <v>34012.699999999997</v>
      </c>
      <c r="E157" s="1692">
        <v>120</v>
      </c>
      <c r="F157" s="1701">
        <v>37.5</v>
      </c>
      <c r="G157" s="1551">
        <f t="shared" si="20"/>
        <v>551.76053333333323</v>
      </c>
      <c r="H157" s="1551">
        <f t="shared" si="21"/>
        <v>551.76053333333323</v>
      </c>
      <c r="I157" s="1551">
        <f t="shared" si="21"/>
        <v>551.76053333333323</v>
      </c>
      <c r="J157" s="1551">
        <f t="shared" si="21"/>
        <v>551.76053333333323</v>
      </c>
      <c r="K157" s="1551">
        <f t="shared" si="21"/>
        <v>551.76053333333323</v>
      </c>
      <c r="L157" s="1551">
        <f t="shared" si="21"/>
        <v>551.76053333333323</v>
      </c>
      <c r="M157" s="1551">
        <f t="shared" si="21"/>
        <v>551.76053333333323</v>
      </c>
      <c r="N157" s="1551">
        <f t="shared" si="21"/>
        <v>551.76053333333323</v>
      </c>
      <c r="O157" s="1551">
        <f t="shared" si="21"/>
        <v>551.76053333333323</v>
      </c>
      <c r="P157" s="1551">
        <f t="shared" si="21"/>
        <v>551.76053333333323</v>
      </c>
      <c r="Q157" s="1551">
        <f t="shared" si="21"/>
        <v>551.76053333333323</v>
      </c>
      <c r="R157" s="1551">
        <f t="shared" si="21"/>
        <v>551.76053333333323</v>
      </c>
      <c r="S157" s="360"/>
    </row>
    <row r="158" spans="1:19" ht="12.75" x14ac:dyDescent="0.2">
      <c r="A158" s="1683"/>
      <c r="B158" s="1695" t="s">
        <v>2194</v>
      </c>
      <c r="C158" s="1691">
        <v>303.3</v>
      </c>
      <c r="D158" s="1551">
        <v>42700.58</v>
      </c>
      <c r="E158" s="1692">
        <v>120</v>
      </c>
      <c r="F158" s="1701">
        <v>37.5</v>
      </c>
      <c r="G158" s="1551">
        <f t="shared" si="20"/>
        <v>692.69680000000005</v>
      </c>
      <c r="H158" s="1551">
        <f t="shared" si="21"/>
        <v>692.69680000000005</v>
      </c>
      <c r="I158" s="1551">
        <f t="shared" si="21"/>
        <v>692.69680000000005</v>
      </c>
      <c r="J158" s="1551">
        <f t="shared" si="21"/>
        <v>692.69680000000005</v>
      </c>
      <c r="K158" s="1551">
        <f t="shared" si="21"/>
        <v>692.69680000000005</v>
      </c>
      <c r="L158" s="1551">
        <f t="shared" si="21"/>
        <v>692.69680000000005</v>
      </c>
      <c r="M158" s="1551">
        <f t="shared" si="21"/>
        <v>692.69680000000005</v>
      </c>
      <c r="N158" s="1551">
        <f t="shared" si="21"/>
        <v>692.69680000000005</v>
      </c>
      <c r="O158" s="1551">
        <f t="shared" si="21"/>
        <v>692.69680000000005</v>
      </c>
      <c r="P158" s="1551">
        <f t="shared" si="21"/>
        <v>692.69680000000005</v>
      </c>
      <c r="Q158" s="1551">
        <f t="shared" si="21"/>
        <v>692.69680000000005</v>
      </c>
      <c r="R158" s="1551">
        <f t="shared" si="21"/>
        <v>692.69680000000005</v>
      </c>
      <c r="S158" s="360"/>
    </row>
    <row r="159" spans="1:19" ht="12.75" x14ac:dyDescent="0.2">
      <c r="A159" s="1683"/>
      <c r="B159" s="1695" t="s">
        <v>1160</v>
      </c>
      <c r="C159" s="1691">
        <v>303.3</v>
      </c>
      <c r="D159" s="1551">
        <v>68192.58</v>
      </c>
      <c r="E159" s="1692">
        <v>120</v>
      </c>
      <c r="F159" s="1701">
        <v>15.5</v>
      </c>
      <c r="G159" s="1551">
        <f t="shared" si="20"/>
        <v>1084.501935483871</v>
      </c>
      <c r="H159" s="1551">
        <f t="shared" si="21"/>
        <v>1084.501935483871</v>
      </c>
      <c r="I159" s="1551">
        <f t="shared" si="21"/>
        <v>1084.501935483871</v>
      </c>
      <c r="J159" s="1551">
        <f t="shared" si="21"/>
        <v>1084.501935483871</v>
      </c>
      <c r="K159" s="1551">
        <f t="shared" si="21"/>
        <v>1084.501935483871</v>
      </c>
      <c r="L159" s="1551">
        <f>K159/2</f>
        <v>542.25096774193548</v>
      </c>
      <c r="M159" s="1551">
        <v>0</v>
      </c>
      <c r="N159" s="1551">
        <f t="shared" si="21"/>
        <v>0</v>
      </c>
      <c r="O159" s="1551">
        <f t="shared" si="21"/>
        <v>0</v>
      </c>
      <c r="P159" s="1551">
        <f t="shared" si="21"/>
        <v>0</v>
      </c>
      <c r="Q159" s="1551">
        <f t="shared" si="21"/>
        <v>0</v>
      </c>
      <c r="R159" s="1551">
        <f t="shared" si="21"/>
        <v>0</v>
      </c>
      <c r="S159" s="360"/>
    </row>
    <row r="160" spans="1:19" ht="12.75" x14ac:dyDescent="0.2">
      <c r="A160" s="1683"/>
      <c r="B160" s="1695" t="s">
        <v>2195</v>
      </c>
      <c r="C160" s="1691">
        <v>303.3</v>
      </c>
      <c r="D160" s="1551">
        <v>15020.8</v>
      </c>
      <c r="E160" s="1692">
        <v>60</v>
      </c>
      <c r="F160" s="1701">
        <v>28.5</v>
      </c>
      <c r="G160" s="1551">
        <f t="shared" si="20"/>
        <v>241.56105263157892</v>
      </c>
      <c r="H160" s="1551">
        <f t="shared" si="21"/>
        <v>241.56105263157892</v>
      </c>
      <c r="I160" s="1551">
        <f t="shared" si="21"/>
        <v>241.56105263157892</v>
      </c>
      <c r="J160" s="1551">
        <f t="shared" si="21"/>
        <v>241.56105263157892</v>
      </c>
      <c r="K160" s="1551">
        <f t="shared" si="21"/>
        <v>241.56105263157892</v>
      </c>
      <c r="L160" s="1551">
        <f t="shared" si="21"/>
        <v>241.56105263157892</v>
      </c>
      <c r="M160" s="1551">
        <f t="shared" si="21"/>
        <v>241.56105263157892</v>
      </c>
      <c r="N160" s="1551">
        <f t="shared" si="21"/>
        <v>241.56105263157892</v>
      </c>
      <c r="O160" s="1551">
        <f t="shared" si="21"/>
        <v>241.56105263157892</v>
      </c>
      <c r="P160" s="1551">
        <f t="shared" si="21"/>
        <v>241.56105263157892</v>
      </c>
      <c r="Q160" s="1551">
        <f t="shared" si="21"/>
        <v>241.56105263157892</v>
      </c>
      <c r="R160" s="1551">
        <f t="shared" si="21"/>
        <v>241.56105263157892</v>
      </c>
      <c r="S160" s="360"/>
    </row>
    <row r="161" spans="1:19" ht="12.75" x14ac:dyDescent="0.2">
      <c r="A161" s="1683"/>
      <c r="B161" s="1695" t="s">
        <v>1157</v>
      </c>
      <c r="C161" s="1691">
        <v>303.3</v>
      </c>
      <c r="D161" s="1551">
        <v>5570.38</v>
      </c>
      <c r="E161" s="1692">
        <v>60</v>
      </c>
      <c r="F161" s="1701">
        <v>10.5</v>
      </c>
      <c r="G161" s="1551">
        <f>Q71/2</f>
        <v>42.444761904761911</v>
      </c>
      <c r="H161" s="1551">
        <v>0</v>
      </c>
      <c r="I161" s="1551">
        <f>H161</f>
        <v>0</v>
      </c>
      <c r="J161" s="1551">
        <f t="shared" si="21"/>
        <v>0</v>
      </c>
      <c r="K161" s="1551">
        <f t="shared" si="21"/>
        <v>0</v>
      </c>
      <c r="L161" s="1551">
        <f t="shared" si="21"/>
        <v>0</v>
      </c>
      <c r="M161" s="1551">
        <f t="shared" si="21"/>
        <v>0</v>
      </c>
      <c r="N161" s="1551">
        <f t="shared" si="21"/>
        <v>0</v>
      </c>
      <c r="O161" s="1551">
        <f t="shared" si="21"/>
        <v>0</v>
      </c>
      <c r="P161" s="1551">
        <f t="shared" si="21"/>
        <v>0</v>
      </c>
      <c r="Q161" s="1551">
        <f t="shared" si="21"/>
        <v>0</v>
      </c>
      <c r="R161" s="1551">
        <f t="shared" si="21"/>
        <v>0</v>
      </c>
      <c r="S161" s="360"/>
    </row>
    <row r="162" spans="1:19" ht="12.75" x14ac:dyDescent="0.2">
      <c r="A162" s="1683"/>
      <c r="B162" s="1695" t="s">
        <v>1154</v>
      </c>
      <c r="C162" s="1691">
        <v>303.3</v>
      </c>
      <c r="D162" s="1551">
        <v>105456.53</v>
      </c>
      <c r="E162" s="1692">
        <v>60</v>
      </c>
      <c r="F162" s="1701">
        <v>10.5</v>
      </c>
      <c r="G162" s="1551">
        <f>Q72/2</f>
        <v>795.10904761904806</v>
      </c>
      <c r="H162" s="1551">
        <v>0</v>
      </c>
      <c r="I162" s="1551">
        <f>H162</f>
        <v>0</v>
      </c>
      <c r="J162" s="1551">
        <f t="shared" si="21"/>
        <v>0</v>
      </c>
      <c r="K162" s="1551">
        <f t="shared" si="21"/>
        <v>0</v>
      </c>
      <c r="L162" s="1551">
        <f t="shared" si="21"/>
        <v>0</v>
      </c>
      <c r="M162" s="1551">
        <f t="shared" si="21"/>
        <v>0</v>
      </c>
      <c r="N162" s="1551">
        <f t="shared" si="21"/>
        <v>0</v>
      </c>
      <c r="O162" s="1551">
        <f t="shared" si="21"/>
        <v>0</v>
      </c>
      <c r="P162" s="1551">
        <f t="shared" si="21"/>
        <v>0</v>
      </c>
      <c r="Q162" s="1551">
        <f t="shared" si="21"/>
        <v>0</v>
      </c>
      <c r="R162" s="1551">
        <f t="shared" si="21"/>
        <v>0</v>
      </c>
      <c r="S162" s="360"/>
    </row>
    <row r="163" spans="1:19" ht="12.75" x14ac:dyDescent="0.2">
      <c r="A163" s="1683"/>
      <c r="B163" s="1695" t="s">
        <v>2196</v>
      </c>
      <c r="C163" s="1691">
        <v>303.3</v>
      </c>
      <c r="D163" s="1551">
        <v>17363.849999999999</v>
      </c>
      <c r="E163" s="1692">
        <v>60</v>
      </c>
      <c r="F163" s="1701">
        <v>58.5</v>
      </c>
      <c r="G163" s="1551">
        <f t="shared" ref="G163:G169" si="22">Q73</f>
        <v>284.59675213675212</v>
      </c>
      <c r="H163" s="1551">
        <f t="shared" ref="H163:R169" si="23">G163</f>
        <v>284.59675213675212</v>
      </c>
      <c r="I163" s="1551">
        <f t="shared" si="23"/>
        <v>284.59675213675212</v>
      </c>
      <c r="J163" s="1551">
        <f t="shared" si="23"/>
        <v>284.59675213675212</v>
      </c>
      <c r="K163" s="1551">
        <f t="shared" si="23"/>
        <v>284.59675213675212</v>
      </c>
      <c r="L163" s="1551">
        <f t="shared" si="23"/>
        <v>284.59675213675212</v>
      </c>
      <c r="M163" s="1551">
        <f t="shared" si="23"/>
        <v>284.59675213675212</v>
      </c>
      <c r="N163" s="1551">
        <f t="shared" si="23"/>
        <v>284.59675213675212</v>
      </c>
      <c r="O163" s="1551">
        <f t="shared" si="23"/>
        <v>284.59675213675212</v>
      </c>
      <c r="P163" s="1551">
        <f t="shared" si="23"/>
        <v>284.59675213675212</v>
      </c>
      <c r="Q163" s="1551">
        <f t="shared" si="23"/>
        <v>284.59675213675212</v>
      </c>
      <c r="R163" s="1551">
        <f t="shared" si="21"/>
        <v>284.59675213675212</v>
      </c>
      <c r="S163" s="360"/>
    </row>
    <row r="164" spans="1:19" ht="12.75" x14ac:dyDescent="0.2">
      <c r="A164" s="1683"/>
      <c r="B164" s="1695" t="s">
        <v>2197</v>
      </c>
      <c r="C164" s="1691">
        <v>303.3</v>
      </c>
      <c r="D164" s="1551">
        <v>30379.37</v>
      </c>
      <c r="E164" s="1692">
        <v>60</v>
      </c>
      <c r="F164" s="1701">
        <v>40.5</v>
      </c>
      <c r="G164" s="1551">
        <f t="shared" si="22"/>
        <v>555.41432098765426</v>
      </c>
      <c r="H164" s="1551">
        <f t="shared" si="23"/>
        <v>555.41432098765426</v>
      </c>
      <c r="I164" s="1551">
        <f t="shared" si="23"/>
        <v>555.41432098765426</v>
      </c>
      <c r="J164" s="1551">
        <f t="shared" si="23"/>
        <v>555.41432098765426</v>
      </c>
      <c r="K164" s="1551">
        <f t="shared" si="23"/>
        <v>555.41432098765426</v>
      </c>
      <c r="L164" s="1551">
        <f t="shared" si="23"/>
        <v>555.41432098765426</v>
      </c>
      <c r="M164" s="1551">
        <f t="shared" si="23"/>
        <v>555.41432098765426</v>
      </c>
      <c r="N164" s="1551">
        <f t="shared" si="23"/>
        <v>555.41432098765426</v>
      </c>
      <c r="O164" s="1551">
        <f t="shared" si="23"/>
        <v>555.41432098765426</v>
      </c>
      <c r="P164" s="1551">
        <f t="shared" si="23"/>
        <v>555.41432098765426</v>
      </c>
      <c r="Q164" s="1551">
        <f t="shared" si="23"/>
        <v>555.41432098765426</v>
      </c>
      <c r="R164" s="1551">
        <f t="shared" si="21"/>
        <v>555.41432098765426</v>
      </c>
      <c r="S164" s="360"/>
    </row>
    <row r="165" spans="1:19" ht="12.75" x14ac:dyDescent="0.2">
      <c r="A165" s="1683"/>
      <c r="B165" s="1695" t="s">
        <v>2198</v>
      </c>
      <c r="C165" s="1691">
        <v>303.3</v>
      </c>
      <c r="D165" s="1551">
        <v>41940.620000000003</v>
      </c>
      <c r="E165" s="1692">
        <v>60</v>
      </c>
      <c r="F165" s="1701">
        <v>33.5</v>
      </c>
      <c r="G165" s="1551">
        <f t="shared" si="22"/>
        <v>687.77761194029858</v>
      </c>
      <c r="H165" s="1551">
        <f t="shared" si="23"/>
        <v>687.77761194029858</v>
      </c>
      <c r="I165" s="1551">
        <f t="shared" si="23"/>
        <v>687.77761194029858</v>
      </c>
      <c r="J165" s="1551">
        <f t="shared" si="23"/>
        <v>687.77761194029858</v>
      </c>
      <c r="K165" s="1551">
        <f t="shared" si="23"/>
        <v>687.77761194029858</v>
      </c>
      <c r="L165" s="1551">
        <f t="shared" si="23"/>
        <v>687.77761194029858</v>
      </c>
      <c r="M165" s="1551">
        <f t="shared" si="23"/>
        <v>687.77761194029858</v>
      </c>
      <c r="N165" s="1551">
        <f t="shared" si="23"/>
        <v>687.77761194029858</v>
      </c>
      <c r="O165" s="1551">
        <f t="shared" si="23"/>
        <v>687.77761194029858</v>
      </c>
      <c r="P165" s="1551">
        <f t="shared" si="23"/>
        <v>687.77761194029858</v>
      </c>
      <c r="Q165" s="1551">
        <f t="shared" si="23"/>
        <v>687.77761194029858</v>
      </c>
      <c r="R165" s="1551">
        <f t="shared" si="21"/>
        <v>687.77761194029858</v>
      </c>
      <c r="S165" s="360"/>
    </row>
    <row r="166" spans="1:19" ht="12.75" x14ac:dyDescent="0.2">
      <c r="A166" s="1683"/>
      <c r="B166" s="1695" t="s">
        <v>2199</v>
      </c>
      <c r="C166" s="1691">
        <v>303.3</v>
      </c>
      <c r="D166" s="1551">
        <v>7414.54</v>
      </c>
      <c r="E166" s="1692">
        <v>60</v>
      </c>
      <c r="F166" s="1701">
        <v>35.5</v>
      </c>
      <c r="G166" s="1551">
        <f t="shared" si="22"/>
        <v>120.09408450704225</v>
      </c>
      <c r="H166" s="1551">
        <f t="shared" si="23"/>
        <v>120.09408450704225</v>
      </c>
      <c r="I166" s="1551">
        <f t="shared" si="23"/>
        <v>120.09408450704225</v>
      </c>
      <c r="J166" s="1551">
        <f t="shared" si="23"/>
        <v>120.09408450704225</v>
      </c>
      <c r="K166" s="1551">
        <f t="shared" si="23"/>
        <v>120.09408450704225</v>
      </c>
      <c r="L166" s="1551">
        <f t="shared" si="23"/>
        <v>120.09408450704225</v>
      </c>
      <c r="M166" s="1551">
        <f t="shared" si="23"/>
        <v>120.09408450704225</v>
      </c>
      <c r="N166" s="1551">
        <f t="shared" si="23"/>
        <v>120.09408450704225</v>
      </c>
      <c r="O166" s="1551">
        <f t="shared" si="23"/>
        <v>120.09408450704225</v>
      </c>
      <c r="P166" s="1551">
        <f t="shared" si="23"/>
        <v>120.09408450704225</v>
      </c>
      <c r="Q166" s="1551">
        <f t="shared" si="23"/>
        <v>120.09408450704225</v>
      </c>
      <c r="R166" s="1551">
        <f t="shared" si="21"/>
        <v>120.09408450704225</v>
      </c>
      <c r="S166" s="360"/>
    </row>
    <row r="167" spans="1:19" ht="12.75" x14ac:dyDescent="0.2">
      <c r="A167" s="1683"/>
      <c r="B167" s="1695" t="s">
        <v>2200</v>
      </c>
      <c r="C167" s="1691">
        <v>303.3</v>
      </c>
      <c r="D167" s="1551">
        <v>3270.66</v>
      </c>
      <c r="E167" s="1692">
        <v>60</v>
      </c>
      <c r="F167" s="1701">
        <v>43.5</v>
      </c>
      <c r="G167" s="1551">
        <f t="shared" si="22"/>
        <v>53.261839080459765</v>
      </c>
      <c r="H167" s="1551">
        <f t="shared" si="23"/>
        <v>53.261839080459765</v>
      </c>
      <c r="I167" s="1551">
        <f t="shared" si="23"/>
        <v>53.261839080459765</v>
      </c>
      <c r="J167" s="1551">
        <f t="shared" si="23"/>
        <v>53.261839080459765</v>
      </c>
      <c r="K167" s="1551">
        <f t="shared" si="23"/>
        <v>53.261839080459765</v>
      </c>
      <c r="L167" s="1551">
        <f t="shared" si="23"/>
        <v>53.261839080459765</v>
      </c>
      <c r="M167" s="1551">
        <f t="shared" si="23"/>
        <v>53.261839080459765</v>
      </c>
      <c r="N167" s="1551">
        <f t="shared" si="23"/>
        <v>53.261839080459765</v>
      </c>
      <c r="O167" s="1551">
        <f t="shared" si="23"/>
        <v>53.261839080459765</v>
      </c>
      <c r="P167" s="1551">
        <f t="shared" si="23"/>
        <v>53.261839080459765</v>
      </c>
      <c r="Q167" s="1551">
        <f t="shared" si="23"/>
        <v>53.261839080459765</v>
      </c>
      <c r="R167" s="1551">
        <f t="shared" si="21"/>
        <v>53.261839080459765</v>
      </c>
      <c r="S167" s="360"/>
    </row>
    <row r="168" spans="1:19" ht="12.75" x14ac:dyDescent="0.2">
      <c r="A168" s="1683"/>
      <c r="B168" s="1695" t="s">
        <v>2201</v>
      </c>
      <c r="C168" s="1691">
        <v>303.3</v>
      </c>
      <c r="D168" s="1551">
        <v>12084.06</v>
      </c>
      <c r="E168" s="1692">
        <v>60</v>
      </c>
      <c r="F168" s="1701">
        <v>60</v>
      </c>
      <c r="G168" s="1551">
        <f t="shared" si="22"/>
        <v>199.72266666666664</v>
      </c>
      <c r="H168" s="1551">
        <f t="shared" si="23"/>
        <v>199.72266666666664</v>
      </c>
      <c r="I168" s="1551">
        <f t="shared" si="23"/>
        <v>199.72266666666664</v>
      </c>
      <c r="J168" s="1551">
        <f t="shared" si="23"/>
        <v>199.72266666666664</v>
      </c>
      <c r="K168" s="1551">
        <f t="shared" si="23"/>
        <v>199.72266666666664</v>
      </c>
      <c r="L168" s="1551">
        <f t="shared" si="23"/>
        <v>199.72266666666664</v>
      </c>
      <c r="M168" s="1551">
        <f t="shared" si="23"/>
        <v>199.72266666666664</v>
      </c>
      <c r="N168" s="1551">
        <f t="shared" si="23"/>
        <v>199.72266666666664</v>
      </c>
      <c r="O168" s="1551">
        <f t="shared" si="23"/>
        <v>199.72266666666664</v>
      </c>
      <c r="P168" s="1551">
        <f t="shared" si="23"/>
        <v>199.72266666666664</v>
      </c>
      <c r="Q168" s="1551">
        <f t="shared" si="23"/>
        <v>199.72266666666664</v>
      </c>
      <c r="R168" s="1551">
        <f t="shared" si="23"/>
        <v>199.72266666666664</v>
      </c>
      <c r="S168" s="360"/>
    </row>
    <row r="169" spans="1:19" ht="12.75" x14ac:dyDescent="0.2">
      <c r="A169" s="1683"/>
      <c r="B169" s="1695" t="s">
        <v>2202</v>
      </c>
      <c r="C169" s="1691">
        <v>303.3</v>
      </c>
      <c r="D169" s="1551">
        <v>116623.47</v>
      </c>
      <c r="E169" s="1692">
        <v>60</v>
      </c>
      <c r="F169" s="1701">
        <v>37.5</v>
      </c>
      <c r="G169" s="1551">
        <f t="shared" si="22"/>
        <v>2140.3978666666667</v>
      </c>
      <c r="H169" s="1551">
        <f t="shared" si="23"/>
        <v>2140.3978666666667</v>
      </c>
      <c r="I169" s="1551">
        <f t="shared" si="23"/>
        <v>2140.3978666666667</v>
      </c>
      <c r="J169" s="1551">
        <f t="shared" si="23"/>
        <v>2140.3978666666667</v>
      </c>
      <c r="K169" s="1551">
        <f t="shared" si="23"/>
        <v>2140.3978666666667</v>
      </c>
      <c r="L169" s="1551">
        <f t="shared" si="23"/>
        <v>2140.3978666666667</v>
      </c>
      <c r="M169" s="1551">
        <f t="shared" si="23"/>
        <v>2140.3978666666667</v>
      </c>
      <c r="N169" s="1551">
        <f t="shared" si="23"/>
        <v>2140.3978666666667</v>
      </c>
      <c r="O169" s="1551">
        <f t="shared" si="23"/>
        <v>2140.3978666666667</v>
      </c>
      <c r="P169" s="1551">
        <f t="shared" si="23"/>
        <v>2140.3978666666667</v>
      </c>
      <c r="Q169" s="1551">
        <f t="shared" si="23"/>
        <v>2140.3978666666667</v>
      </c>
      <c r="R169" s="1551">
        <f t="shared" si="23"/>
        <v>2140.3978666666667</v>
      </c>
      <c r="S169" s="360"/>
    </row>
    <row r="170" spans="1:19" ht="12.75" x14ac:dyDescent="0.2">
      <c r="B170" s="349"/>
      <c r="C170" s="339"/>
      <c r="D170" s="356"/>
      <c r="E170" s="371"/>
      <c r="F170" s="373"/>
      <c r="G170" s="356"/>
      <c r="H170" s="356"/>
      <c r="I170" s="356"/>
      <c r="J170" s="356"/>
      <c r="K170" s="356"/>
      <c r="L170" s="356"/>
      <c r="M170" s="356"/>
      <c r="N170" s="356"/>
      <c r="O170" s="356"/>
      <c r="P170" s="356"/>
      <c r="Q170" s="356"/>
      <c r="R170" s="356"/>
      <c r="S170" s="360"/>
    </row>
    <row r="171" spans="1:19" ht="12.75" x14ac:dyDescent="0.2">
      <c r="B171" s="336" t="s">
        <v>1173</v>
      </c>
      <c r="C171" s="339"/>
      <c r="D171" s="359"/>
      <c r="E171" s="371"/>
      <c r="F171" s="373"/>
      <c r="G171" s="359"/>
      <c r="H171" s="359"/>
      <c r="I171" s="359"/>
      <c r="J171" s="359"/>
      <c r="K171" s="359"/>
      <c r="L171" s="359"/>
      <c r="M171" s="359"/>
      <c r="N171" s="359"/>
      <c r="O171" s="359"/>
      <c r="P171" s="359"/>
      <c r="Q171" s="359"/>
      <c r="R171" s="359"/>
    </row>
    <row r="172" spans="1:19" ht="12.75" x14ac:dyDescent="0.2">
      <c r="A172" s="1683"/>
      <c r="B172" s="1695" t="s">
        <v>2415</v>
      </c>
      <c r="C172" s="1691">
        <v>303.3</v>
      </c>
      <c r="D172" s="1551">
        <v>52132</v>
      </c>
      <c r="E172" s="1692">
        <v>60</v>
      </c>
      <c r="F172" s="1698"/>
      <c r="G172" s="1551">
        <f>ROUND(D172/E172,0)</f>
        <v>869</v>
      </c>
      <c r="H172" s="1551">
        <f>G172</f>
        <v>869</v>
      </c>
      <c r="I172" s="1551">
        <f t="shared" ref="I172:R172" si="24">H172</f>
        <v>869</v>
      </c>
      <c r="J172" s="1551">
        <f t="shared" si="24"/>
        <v>869</v>
      </c>
      <c r="K172" s="1551">
        <f t="shared" si="24"/>
        <v>869</v>
      </c>
      <c r="L172" s="1551">
        <f t="shared" si="24"/>
        <v>869</v>
      </c>
      <c r="M172" s="1551">
        <f t="shared" si="24"/>
        <v>869</v>
      </c>
      <c r="N172" s="1551">
        <f t="shared" si="24"/>
        <v>869</v>
      </c>
      <c r="O172" s="1551">
        <f t="shared" si="24"/>
        <v>869</v>
      </c>
      <c r="P172" s="1551">
        <f t="shared" si="24"/>
        <v>869</v>
      </c>
      <c r="Q172" s="1551">
        <f t="shared" si="24"/>
        <v>869</v>
      </c>
      <c r="R172" s="1551">
        <f t="shared" si="24"/>
        <v>869</v>
      </c>
    </row>
    <row r="173" spans="1:19" ht="12.75" x14ac:dyDescent="0.2">
      <c r="A173" s="1683"/>
      <c r="B173" s="1702" t="s">
        <v>2416</v>
      </c>
      <c r="C173" s="1691">
        <v>303.3</v>
      </c>
      <c r="D173" s="1551">
        <v>94979</v>
      </c>
      <c r="E173" s="1692">
        <v>60</v>
      </c>
      <c r="F173" s="1698"/>
      <c r="G173" s="1551">
        <f t="shared" ref="G173:G181" si="25">ROUND(D173/E173,0)</f>
        <v>1583</v>
      </c>
      <c r="H173" s="1551">
        <f>G173</f>
        <v>1583</v>
      </c>
      <c r="I173" s="1551">
        <f t="shared" ref="H173:R181" si="26">H173</f>
        <v>1583</v>
      </c>
      <c r="J173" s="1551">
        <f t="shared" si="26"/>
        <v>1583</v>
      </c>
      <c r="K173" s="1551">
        <f t="shared" si="26"/>
        <v>1583</v>
      </c>
      <c r="L173" s="1551">
        <f t="shared" si="26"/>
        <v>1583</v>
      </c>
      <c r="M173" s="1551">
        <f t="shared" si="26"/>
        <v>1583</v>
      </c>
      <c r="N173" s="1551">
        <f t="shared" si="26"/>
        <v>1583</v>
      </c>
      <c r="O173" s="1551">
        <f t="shared" si="26"/>
        <v>1583</v>
      </c>
      <c r="P173" s="1551">
        <f t="shared" si="26"/>
        <v>1583</v>
      </c>
      <c r="Q173" s="1551">
        <f t="shared" si="26"/>
        <v>1583</v>
      </c>
      <c r="R173" s="1551">
        <f t="shared" si="26"/>
        <v>1583</v>
      </c>
    </row>
    <row r="174" spans="1:19" ht="12.75" x14ac:dyDescent="0.2">
      <c r="A174" s="1683"/>
      <c r="B174" s="1702" t="s">
        <v>2417</v>
      </c>
      <c r="C174" s="1691">
        <v>303.3</v>
      </c>
      <c r="D174" s="1551">
        <v>162266</v>
      </c>
      <c r="E174" s="1692">
        <v>60</v>
      </c>
      <c r="F174" s="1698"/>
      <c r="G174" s="1551">
        <f t="shared" si="25"/>
        <v>2704</v>
      </c>
      <c r="H174" s="1551">
        <f t="shared" si="26"/>
        <v>2704</v>
      </c>
      <c r="I174" s="1551">
        <f t="shared" si="26"/>
        <v>2704</v>
      </c>
      <c r="J174" s="1551">
        <f t="shared" si="26"/>
        <v>2704</v>
      </c>
      <c r="K174" s="1551">
        <f t="shared" si="26"/>
        <v>2704</v>
      </c>
      <c r="L174" s="1551">
        <f t="shared" si="26"/>
        <v>2704</v>
      </c>
      <c r="M174" s="1551">
        <f t="shared" si="26"/>
        <v>2704</v>
      </c>
      <c r="N174" s="1551">
        <f t="shared" si="26"/>
        <v>2704</v>
      </c>
      <c r="O174" s="1551">
        <f t="shared" si="26"/>
        <v>2704</v>
      </c>
      <c r="P174" s="1551">
        <f t="shared" si="26"/>
        <v>2704</v>
      </c>
      <c r="Q174" s="1551">
        <f t="shared" si="26"/>
        <v>2704</v>
      </c>
      <c r="R174" s="1551">
        <f t="shared" si="26"/>
        <v>2704</v>
      </c>
    </row>
    <row r="175" spans="1:19" ht="12.75" x14ac:dyDescent="0.2">
      <c r="A175" s="1683"/>
      <c r="B175" s="1702" t="s">
        <v>2418</v>
      </c>
      <c r="C175" s="1691">
        <v>303.3</v>
      </c>
      <c r="D175" s="1551">
        <v>109735</v>
      </c>
      <c r="E175" s="1692">
        <v>60</v>
      </c>
      <c r="F175" s="1698"/>
      <c r="G175" s="1551">
        <f t="shared" si="25"/>
        <v>1829</v>
      </c>
      <c r="H175" s="1551">
        <f t="shared" si="26"/>
        <v>1829</v>
      </c>
      <c r="I175" s="1551">
        <f t="shared" si="26"/>
        <v>1829</v>
      </c>
      <c r="J175" s="1551">
        <f t="shared" si="26"/>
        <v>1829</v>
      </c>
      <c r="K175" s="1551">
        <f t="shared" si="26"/>
        <v>1829</v>
      </c>
      <c r="L175" s="1551">
        <f t="shared" si="26"/>
        <v>1829</v>
      </c>
      <c r="M175" s="1551">
        <f t="shared" si="26"/>
        <v>1829</v>
      </c>
      <c r="N175" s="1551">
        <f t="shared" si="26"/>
        <v>1829</v>
      </c>
      <c r="O175" s="1551">
        <f t="shared" si="26"/>
        <v>1829</v>
      </c>
      <c r="P175" s="1551">
        <f t="shared" si="26"/>
        <v>1829</v>
      </c>
      <c r="Q175" s="1551">
        <f t="shared" si="26"/>
        <v>1829</v>
      </c>
      <c r="R175" s="1551">
        <f t="shared" si="26"/>
        <v>1829</v>
      </c>
    </row>
    <row r="176" spans="1:19" ht="12.75" x14ac:dyDescent="0.2">
      <c r="A176" s="1683"/>
      <c r="B176" s="1702" t="s">
        <v>2419</v>
      </c>
      <c r="C176" s="1691">
        <v>303.3</v>
      </c>
      <c r="D176" s="1551">
        <v>99219</v>
      </c>
      <c r="E176" s="1692">
        <v>60</v>
      </c>
      <c r="F176" s="1698"/>
      <c r="G176" s="1551">
        <f t="shared" si="25"/>
        <v>1654</v>
      </c>
      <c r="H176" s="1551">
        <f t="shared" si="26"/>
        <v>1654</v>
      </c>
      <c r="I176" s="1551">
        <f t="shared" si="26"/>
        <v>1654</v>
      </c>
      <c r="J176" s="1551">
        <f t="shared" si="26"/>
        <v>1654</v>
      </c>
      <c r="K176" s="1551">
        <f t="shared" si="26"/>
        <v>1654</v>
      </c>
      <c r="L176" s="1551">
        <f t="shared" si="26"/>
        <v>1654</v>
      </c>
      <c r="M176" s="1551">
        <f t="shared" si="26"/>
        <v>1654</v>
      </c>
      <c r="N176" s="1551">
        <f t="shared" si="26"/>
        <v>1654</v>
      </c>
      <c r="O176" s="1551">
        <f t="shared" si="26"/>
        <v>1654</v>
      </c>
      <c r="P176" s="1551">
        <f t="shared" si="26"/>
        <v>1654</v>
      </c>
      <c r="Q176" s="1551">
        <f t="shared" si="26"/>
        <v>1654</v>
      </c>
      <c r="R176" s="1551">
        <f t="shared" si="26"/>
        <v>1654</v>
      </c>
    </row>
    <row r="177" spans="1:18" ht="12.75" x14ac:dyDescent="0.2">
      <c r="A177" s="1683"/>
      <c r="B177" s="1702" t="s">
        <v>2420</v>
      </c>
      <c r="C177" s="1691">
        <v>303.3</v>
      </c>
      <c r="D177" s="1551">
        <v>202119</v>
      </c>
      <c r="E177" s="1692">
        <v>60</v>
      </c>
      <c r="F177" s="1698"/>
      <c r="G177" s="1551">
        <f t="shared" si="25"/>
        <v>3369</v>
      </c>
      <c r="H177" s="1551">
        <f t="shared" si="26"/>
        <v>3369</v>
      </c>
      <c r="I177" s="1551">
        <f t="shared" si="26"/>
        <v>3369</v>
      </c>
      <c r="J177" s="1551">
        <f t="shared" si="26"/>
        <v>3369</v>
      </c>
      <c r="K177" s="1551">
        <f t="shared" si="26"/>
        <v>3369</v>
      </c>
      <c r="L177" s="1551">
        <f t="shared" si="26"/>
        <v>3369</v>
      </c>
      <c r="M177" s="1551">
        <f t="shared" si="26"/>
        <v>3369</v>
      </c>
      <c r="N177" s="1551">
        <f t="shared" si="26"/>
        <v>3369</v>
      </c>
      <c r="O177" s="1551">
        <f t="shared" si="26"/>
        <v>3369</v>
      </c>
      <c r="P177" s="1551">
        <f t="shared" si="26"/>
        <v>3369</v>
      </c>
      <c r="Q177" s="1551">
        <f t="shared" si="26"/>
        <v>3369</v>
      </c>
      <c r="R177" s="1551">
        <f t="shared" si="26"/>
        <v>3369</v>
      </c>
    </row>
    <row r="178" spans="1:18" ht="12.75" x14ac:dyDescent="0.2">
      <c r="A178" s="1683"/>
      <c r="B178" s="1702" t="s">
        <v>2421</v>
      </c>
      <c r="C178" s="1691">
        <v>303.3</v>
      </c>
      <c r="D178" s="1551">
        <v>202119</v>
      </c>
      <c r="E178" s="1692">
        <v>60</v>
      </c>
      <c r="F178" s="1698"/>
      <c r="G178" s="1551">
        <f t="shared" si="25"/>
        <v>3369</v>
      </c>
      <c r="H178" s="1551">
        <f t="shared" si="26"/>
        <v>3369</v>
      </c>
      <c r="I178" s="1551">
        <f t="shared" si="26"/>
        <v>3369</v>
      </c>
      <c r="J178" s="1551">
        <f t="shared" si="26"/>
        <v>3369</v>
      </c>
      <c r="K178" s="1551">
        <f t="shared" si="26"/>
        <v>3369</v>
      </c>
      <c r="L178" s="1551">
        <f t="shared" si="26"/>
        <v>3369</v>
      </c>
      <c r="M178" s="1551">
        <f t="shared" si="26"/>
        <v>3369</v>
      </c>
      <c r="N178" s="1551">
        <f t="shared" si="26"/>
        <v>3369</v>
      </c>
      <c r="O178" s="1551">
        <f t="shared" si="26"/>
        <v>3369</v>
      </c>
      <c r="P178" s="1551">
        <f t="shared" si="26"/>
        <v>3369</v>
      </c>
      <c r="Q178" s="1551">
        <f t="shared" si="26"/>
        <v>3369</v>
      </c>
      <c r="R178" s="1551">
        <f t="shared" si="26"/>
        <v>3369</v>
      </c>
    </row>
    <row r="179" spans="1:18" ht="12.75" x14ac:dyDescent="0.2">
      <c r="A179" s="1683"/>
      <c r="B179" s="1702" t="s">
        <v>2422</v>
      </c>
      <c r="C179" s="1691">
        <v>303.3</v>
      </c>
      <c r="D179" s="1551">
        <v>202119</v>
      </c>
      <c r="E179" s="1692">
        <v>60</v>
      </c>
      <c r="F179" s="1698"/>
      <c r="G179" s="1551">
        <f t="shared" si="25"/>
        <v>3369</v>
      </c>
      <c r="H179" s="1551">
        <f t="shared" si="26"/>
        <v>3369</v>
      </c>
      <c r="I179" s="1551">
        <f t="shared" si="26"/>
        <v>3369</v>
      </c>
      <c r="J179" s="1551">
        <f t="shared" si="26"/>
        <v>3369</v>
      </c>
      <c r="K179" s="1551">
        <f t="shared" si="26"/>
        <v>3369</v>
      </c>
      <c r="L179" s="1551">
        <f t="shared" si="26"/>
        <v>3369</v>
      </c>
      <c r="M179" s="1551">
        <f t="shared" si="26"/>
        <v>3369</v>
      </c>
      <c r="N179" s="1551">
        <f t="shared" si="26"/>
        <v>3369</v>
      </c>
      <c r="O179" s="1551">
        <f t="shared" si="26"/>
        <v>3369</v>
      </c>
      <c r="P179" s="1551">
        <f t="shared" si="26"/>
        <v>3369</v>
      </c>
      <c r="Q179" s="1551">
        <f t="shared" si="26"/>
        <v>3369</v>
      </c>
      <c r="R179" s="1551">
        <f t="shared" si="26"/>
        <v>3369</v>
      </c>
    </row>
    <row r="180" spans="1:18" ht="12.75" x14ac:dyDescent="0.2">
      <c r="A180" s="1683"/>
      <c r="B180" s="1702" t="s">
        <v>2423</v>
      </c>
      <c r="C180" s="1691">
        <v>303.3</v>
      </c>
      <c r="D180" s="1551">
        <v>202119</v>
      </c>
      <c r="E180" s="1692">
        <v>60</v>
      </c>
      <c r="F180" s="1698"/>
      <c r="G180" s="1551">
        <f t="shared" si="25"/>
        <v>3369</v>
      </c>
      <c r="H180" s="1551">
        <f t="shared" si="26"/>
        <v>3369</v>
      </c>
      <c r="I180" s="1551">
        <f t="shared" si="26"/>
        <v>3369</v>
      </c>
      <c r="J180" s="1551">
        <f t="shared" si="26"/>
        <v>3369</v>
      </c>
      <c r="K180" s="1551">
        <f t="shared" si="26"/>
        <v>3369</v>
      </c>
      <c r="L180" s="1551">
        <f t="shared" si="26"/>
        <v>3369</v>
      </c>
      <c r="M180" s="1551">
        <f t="shared" si="26"/>
        <v>3369</v>
      </c>
      <c r="N180" s="1551">
        <f t="shared" si="26"/>
        <v>3369</v>
      </c>
      <c r="O180" s="1551">
        <f t="shared" si="26"/>
        <v>3369</v>
      </c>
      <c r="P180" s="1551">
        <f t="shared" si="26"/>
        <v>3369</v>
      </c>
      <c r="Q180" s="1551">
        <f t="shared" si="26"/>
        <v>3369</v>
      </c>
      <c r="R180" s="1551">
        <f t="shared" si="26"/>
        <v>3369</v>
      </c>
    </row>
    <row r="181" spans="1:18" ht="12.75" x14ac:dyDescent="0.2">
      <c r="A181" s="1683"/>
      <c r="B181" s="1702" t="s">
        <v>2424</v>
      </c>
      <c r="C181" s="1691">
        <v>303.3</v>
      </c>
      <c r="D181" s="1551">
        <v>202118</v>
      </c>
      <c r="E181" s="1692">
        <v>60</v>
      </c>
      <c r="F181" s="1698"/>
      <c r="G181" s="1551">
        <f t="shared" si="25"/>
        <v>3369</v>
      </c>
      <c r="H181" s="1551">
        <f t="shared" si="26"/>
        <v>3369</v>
      </c>
      <c r="I181" s="1551">
        <f t="shared" si="26"/>
        <v>3369</v>
      </c>
      <c r="J181" s="1551">
        <f t="shared" si="26"/>
        <v>3369</v>
      </c>
      <c r="K181" s="1551">
        <f t="shared" si="26"/>
        <v>3369</v>
      </c>
      <c r="L181" s="1551">
        <f t="shared" si="26"/>
        <v>3369</v>
      </c>
      <c r="M181" s="1551">
        <f t="shared" si="26"/>
        <v>3369</v>
      </c>
      <c r="N181" s="1551">
        <f t="shared" si="26"/>
        <v>3369</v>
      </c>
      <c r="O181" s="1551">
        <f t="shared" si="26"/>
        <v>3369</v>
      </c>
      <c r="P181" s="1551">
        <f t="shared" si="26"/>
        <v>3369</v>
      </c>
      <c r="Q181" s="1551">
        <f t="shared" si="26"/>
        <v>3369</v>
      </c>
      <c r="R181" s="1551">
        <f t="shared" si="26"/>
        <v>3369</v>
      </c>
    </row>
    <row r="182" spans="1:18" ht="12.75" x14ac:dyDescent="0.2">
      <c r="A182" s="1683"/>
      <c r="B182" s="1695" t="s">
        <v>2203</v>
      </c>
      <c r="C182" s="1691">
        <v>303.3</v>
      </c>
      <c r="D182" s="1551">
        <v>187860</v>
      </c>
      <c r="E182" s="1692">
        <v>60</v>
      </c>
      <c r="F182" s="1698"/>
      <c r="G182" s="1551"/>
      <c r="H182" s="1551"/>
      <c r="I182" s="1551"/>
      <c r="J182" s="1551">
        <f>ROUND((D182/E182*0.5),0)</f>
        <v>1566</v>
      </c>
      <c r="K182" s="1551">
        <f>ROUND((D182/E182),0)</f>
        <v>3131</v>
      </c>
      <c r="L182" s="1551">
        <f t="shared" ref="L182:R182" si="27">K182</f>
        <v>3131</v>
      </c>
      <c r="M182" s="1551">
        <f t="shared" si="27"/>
        <v>3131</v>
      </c>
      <c r="N182" s="1551">
        <f t="shared" si="27"/>
        <v>3131</v>
      </c>
      <c r="O182" s="1551">
        <f t="shared" si="27"/>
        <v>3131</v>
      </c>
      <c r="P182" s="1551">
        <f t="shared" si="27"/>
        <v>3131</v>
      </c>
      <c r="Q182" s="1551">
        <f t="shared" si="27"/>
        <v>3131</v>
      </c>
      <c r="R182" s="1551">
        <f t="shared" si="27"/>
        <v>3131</v>
      </c>
    </row>
    <row r="183" spans="1:18" s="343" customFormat="1" ht="12.75" x14ac:dyDescent="0.2">
      <c r="A183" s="1719"/>
      <c r="B183" s="1695" t="s">
        <v>2206</v>
      </c>
      <c r="C183" s="1691">
        <v>303.3</v>
      </c>
      <c r="D183" s="1551">
        <f>2886447-234465+18</f>
        <v>2652000</v>
      </c>
      <c r="E183" s="1692">
        <v>60</v>
      </c>
      <c r="F183" s="1698"/>
      <c r="G183" s="1551"/>
      <c r="H183" s="1551"/>
      <c r="I183" s="1551"/>
      <c r="J183" s="1551"/>
      <c r="K183" s="1551"/>
      <c r="L183" s="1551"/>
      <c r="M183" s="1551">
        <f>ROUND((D183/E183*0.5),0)</f>
        <v>22100</v>
      </c>
      <c r="N183" s="1551">
        <f>ROUND((D183/E183),0)</f>
        <v>44200</v>
      </c>
      <c r="O183" s="1551">
        <f>N183</f>
        <v>44200</v>
      </c>
      <c r="P183" s="1551">
        <f t="shared" ref="P183:R183" si="28">O183</f>
        <v>44200</v>
      </c>
      <c r="Q183" s="1551">
        <f t="shared" si="28"/>
        <v>44200</v>
      </c>
      <c r="R183" s="1551">
        <f t="shared" si="28"/>
        <v>44200</v>
      </c>
    </row>
    <row r="184" spans="1:18" ht="12.75" x14ac:dyDescent="0.2">
      <c r="A184" s="1683"/>
      <c r="B184" s="1695" t="s">
        <v>2204</v>
      </c>
      <c r="C184" s="1691">
        <v>303.3</v>
      </c>
      <c r="D184" s="1551">
        <v>11760</v>
      </c>
      <c r="E184" s="1692">
        <v>60</v>
      </c>
      <c r="F184" s="1698"/>
      <c r="G184" s="1551"/>
      <c r="H184" s="1551"/>
      <c r="I184" s="1551"/>
      <c r="J184" s="1551"/>
      <c r="K184" s="1551"/>
      <c r="L184" s="1551"/>
      <c r="M184" s="1551"/>
      <c r="N184" s="1551"/>
      <c r="O184" s="1551"/>
      <c r="P184" s="1551"/>
      <c r="Q184" s="1551"/>
      <c r="R184" s="1551">
        <f>ROUND((D184/E184*0.5),0)</f>
        <v>98</v>
      </c>
    </row>
    <row r="185" spans="1:18" ht="12.75" x14ac:dyDescent="0.2">
      <c r="A185" s="1683"/>
      <c r="B185" s="1695" t="s">
        <v>2205</v>
      </c>
      <c r="C185" s="1691">
        <v>303.3</v>
      </c>
      <c r="D185" s="1551">
        <v>34845</v>
      </c>
      <c r="E185" s="1692">
        <v>60</v>
      </c>
      <c r="F185" s="1698"/>
      <c r="G185" s="1551"/>
      <c r="H185" s="1551"/>
      <c r="I185" s="1551"/>
      <c r="J185" s="1551"/>
      <c r="K185" s="1551"/>
      <c r="L185" s="1551"/>
      <c r="M185" s="1551"/>
      <c r="N185" s="1551"/>
      <c r="O185" s="1551"/>
      <c r="P185" s="1551"/>
      <c r="Q185" s="1551"/>
      <c r="R185" s="1551">
        <f>ROUND((D185/E185*0.5),0)</f>
        <v>290</v>
      </c>
    </row>
    <row r="186" spans="1:18" ht="12.75" x14ac:dyDescent="0.2">
      <c r="A186" s="1683"/>
      <c r="B186" s="1713"/>
      <c r="C186" s="1714"/>
      <c r="D186" s="1715"/>
      <c r="E186" s="1692"/>
      <c r="F186" s="1716"/>
      <c r="G186" s="1715"/>
      <c r="H186" s="1715"/>
      <c r="I186" s="1715"/>
      <c r="J186" s="1715"/>
      <c r="K186" s="1715"/>
      <c r="L186" s="1715"/>
      <c r="M186" s="1715"/>
      <c r="N186" s="1715"/>
      <c r="O186" s="1715"/>
      <c r="P186" s="1715"/>
      <c r="Q186" s="1715"/>
      <c r="R186" s="1715"/>
    </row>
    <row r="187" spans="1:18" ht="12.75" x14ac:dyDescent="0.2">
      <c r="B187" s="349"/>
      <c r="C187" s="339"/>
      <c r="D187" s="359"/>
      <c r="E187" s="371"/>
      <c r="F187" s="373"/>
      <c r="G187" s="359"/>
      <c r="H187" s="359"/>
      <c r="I187" s="359"/>
      <c r="J187" s="359"/>
      <c r="K187" s="359"/>
      <c r="L187" s="359"/>
      <c r="M187" s="359"/>
      <c r="N187" s="359"/>
      <c r="O187" s="359"/>
      <c r="P187" s="359"/>
      <c r="Q187" s="359"/>
      <c r="R187" s="359"/>
    </row>
    <row r="188" spans="1:18" ht="12.75" x14ac:dyDescent="0.2">
      <c r="B188" s="349" t="s">
        <v>1166</v>
      </c>
      <c r="C188" s="339">
        <v>303.3</v>
      </c>
      <c r="D188" s="342"/>
      <c r="E188" s="371"/>
      <c r="F188" s="373"/>
      <c r="G188" s="342">
        <f t="shared" ref="G188:R188" si="29">SUM(G113:G187)</f>
        <v>84501.36277039905</v>
      </c>
      <c r="H188" s="342">
        <f t="shared" si="29"/>
        <v>81875.077056113339</v>
      </c>
      <c r="I188" s="342">
        <f t="shared" si="29"/>
        <v>81875.077056113339</v>
      </c>
      <c r="J188" s="342">
        <f t="shared" si="29"/>
        <v>83441.077056113339</v>
      </c>
      <c r="K188" s="342">
        <f t="shared" si="29"/>
        <v>85006.077056113339</v>
      </c>
      <c r="L188" s="342">
        <f t="shared" si="29"/>
        <v>84463.826088371396</v>
      </c>
      <c r="M188" s="342">
        <f t="shared" si="29"/>
        <v>105933.1099691143</v>
      </c>
      <c r="N188" s="342">
        <f t="shared" si="29"/>
        <v>127911.62224617059</v>
      </c>
      <c r="O188" s="342">
        <f t="shared" si="29"/>
        <v>127878.599674742</v>
      </c>
      <c r="P188" s="342">
        <f t="shared" si="29"/>
        <v>127412.66762345996</v>
      </c>
      <c r="Q188" s="342">
        <f t="shared" si="29"/>
        <v>125786.85410876328</v>
      </c>
      <c r="R188" s="342">
        <f t="shared" si="29"/>
        <v>125014.97264534864</v>
      </c>
    </row>
    <row r="189" spans="1:18" ht="12.75" x14ac:dyDescent="0.2">
      <c r="B189" s="349"/>
      <c r="D189" s="342"/>
      <c r="E189" s="371"/>
      <c r="F189" s="373"/>
      <c r="G189" s="342"/>
    </row>
    <row r="190" spans="1:18" ht="12.75" x14ac:dyDescent="0.2">
      <c r="B190" s="358" t="s">
        <v>1031</v>
      </c>
      <c r="D190" s="342"/>
      <c r="E190" s="374"/>
      <c r="F190" s="374"/>
      <c r="G190" s="342">
        <f t="shared" ref="G190:R190" si="30">G188+G110</f>
        <v>84707.882770399054</v>
      </c>
      <c r="H190" s="342">
        <f t="shared" si="30"/>
        <v>82081.597056113344</v>
      </c>
      <c r="I190" s="342">
        <f t="shared" si="30"/>
        <v>82081.597056113344</v>
      </c>
      <c r="J190" s="342">
        <f t="shared" si="30"/>
        <v>83647.597056113344</v>
      </c>
      <c r="K190" s="342">
        <f t="shared" si="30"/>
        <v>85212.597056113344</v>
      </c>
      <c r="L190" s="342">
        <f t="shared" si="30"/>
        <v>84670.3460883714</v>
      </c>
      <c r="M190" s="342">
        <f t="shared" si="30"/>
        <v>106139.62996911431</v>
      </c>
      <c r="N190" s="342">
        <f t="shared" si="30"/>
        <v>128118.1422461706</v>
      </c>
      <c r="O190" s="342">
        <f t="shared" si="30"/>
        <v>128085.119674742</v>
      </c>
      <c r="P190" s="342">
        <f t="shared" si="30"/>
        <v>127619.18762345996</v>
      </c>
      <c r="Q190" s="342">
        <f t="shared" si="30"/>
        <v>125993.37410876328</v>
      </c>
      <c r="R190" s="342">
        <f t="shared" si="30"/>
        <v>125221.49264534864</v>
      </c>
    </row>
  </sheetData>
  <mergeCells count="4">
    <mergeCell ref="A1:O1"/>
    <mergeCell ref="A2:O2"/>
    <mergeCell ref="A3:O3"/>
    <mergeCell ref="A4:O4"/>
  </mergeCells>
  <phoneticPr fontId="0" type="noConversion"/>
  <printOptions horizontalCentered="1"/>
  <pageMargins left="0" right="0" top="0.75" bottom="0" header="0.3" footer="0.3"/>
  <pageSetup scale="53" orientation="landscape" r:id="rId1"/>
  <rowBreaks count="1" manualBreakCount="1">
    <brk id="96" max="17" man="1"/>
  </rowBreaks>
  <ignoredErrors>
    <ignoredError sqref="C14:H14 C104:F104" numberStoredAsText="1"/>
    <ignoredError sqref="N39 G116:G122 G151 Q142 N134 M126 P123 Q4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36"/>
  <dimension ref="A1:T2376"/>
  <sheetViews>
    <sheetView showGridLines="0" view="pageBreakPreview" zoomScale="70" zoomScaleNormal="90" zoomScaleSheetLayoutView="70" workbookViewId="0">
      <selection activeCell="F46" sqref="F46"/>
    </sheetView>
  </sheetViews>
  <sheetFormatPr defaultColWidth="8.33203125" defaultRowHeight="12.75" x14ac:dyDescent="0.2"/>
  <cols>
    <col min="1" max="1" width="5.1640625" style="127" customWidth="1"/>
    <col min="2" max="2" width="8.5" style="30" customWidth="1"/>
    <col min="3" max="3" width="45.6640625" style="30" customWidth="1"/>
    <col min="4" max="4" width="15" style="30" bestFit="1" customWidth="1"/>
    <col min="5" max="5" width="12.83203125" style="171" customWidth="1"/>
    <col min="6" max="6" width="16.5" style="171" bestFit="1" customWidth="1"/>
    <col min="7" max="7" width="15" style="30" bestFit="1" customWidth="1"/>
    <col min="8" max="8" width="1.83203125" style="30" customWidth="1"/>
    <col min="9" max="9" width="15" style="30" bestFit="1" customWidth="1"/>
    <col min="10" max="10" width="14.1640625" style="171" bestFit="1" customWidth="1"/>
    <col min="11" max="11" width="21" style="171" bestFit="1" customWidth="1"/>
    <col min="12" max="12" width="13.33203125" style="30" bestFit="1" customWidth="1"/>
    <col min="13" max="13" width="15" style="30" bestFit="1" customWidth="1"/>
    <col min="14" max="14" width="27" style="2224" customWidth="1"/>
    <col min="15" max="15" width="11.1640625" style="30" customWidth="1"/>
    <col min="16" max="16" width="17.6640625" style="30" customWidth="1"/>
    <col min="17" max="17" width="18.6640625" style="30" customWidth="1"/>
    <col min="18" max="18" width="17" style="30" customWidth="1"/>
    <col min="19" max="19" width="21.6640625" style="30" customWidth="1"/>
    <col min="20" max="20" width="14.1640625" style="30" bestFit="1" customWidth="1"/>
    <col min="21" max="16384" width="8.33203125" style="30"/>
  </cols>
  <sheetData>
    <row r="1" spans="1:16" x14ac:dyDescent="0.2">
      <c r="A1" s="2079" t="str">
        <f>co</f>
        <v>COLUMBIA GAS OF KENTUCKY, INC.</v>
      </c>
      <c r="B1" s="2079"/>
      <c r="C1" s="2079"/>
      <c r="D1" s="2079"/>
      <c r="E1" s="2079"/>
      <c r="F1" s="2079"/>
      <c r="G1" s="2079"/>
      <c r="H1" s="2079"/>
      <c r="I1" s="2079"/>
      <c r="J1" s="2079"/>
      <c r="K1" s="2079"/>
      <c r="L1" s="2079"/>
      <c r="M1" s="2079"/>
      <c r="N1" s="2079"/>
      <c r="O1" s="379"/>
      <c r="P1" s="381">
        <v>0</v>
      </c>
    </row>
    <row r="2" spans="1:16" x14ac:dyDescent="0.2">
      <c r="A2" s="2079" t="str">
        <f>case</f>
        <v>CASE NO. 2016 - 00162</v>
      </c>
      <c r="B2" s="2079"/>
      <c r="C2" s="2079"/>
      <c r="D2" s="2079"/>
      <c r="E2" s="2079"/>
      <c r="F2" s="2079"/>
      <c r="G2" s="2079"/>
      <c r="H2" s="2079"/>
      <c r="I2" s="2079"/>
      <c r="J2" s="2079"/>
      <c r="K2" s="2079"/>
      <c r="L2" s="2079"/>
      <c r="M2" s="2079"/>
      <c r="N2" s="2079"/>
      <c r="P2" s="380">
        <f>1+P1</f>
        <v>1</v>
      </c>
    </row>
    <row r="3" spans="1:16" x14ac:dyDescent="0.2">
      <c r="A3" s="2080" t="s">
        <v>1106</v>
      </c>
      <c r="B3" s="2079"/>
      <c r="C3" s="2079"/>
      <c r="D3" s="2079"/>
      <c r="E3" s="2079"/>
      <c r="F3" s="2079"/>
      <c r="G3" s="2079"/>
      <c r="H3" s="2079"/>
      <c r="I3" s="2079"/>
      <c r="J3" s="2079"/>
      <c r="K3" s="2079"/>
      <c r="L3" s="2079"/>
      <c r="M3" s="2079"/>
      <c r="N3" s="2079"/>
      <c r="P3" s="1260"/>
    </row>
    <row r="4" spans="1:16" x14ac:dyDescent="0.2">
      <c r="A4" s="2081" t="s">
        <v>2142</v>
      </c>
      <c r="B4" s="2085"/>
      <c r="C4" s="2085"/>
      <c r="D4" s="2085"/>
      <c r="E4" s="2085"/>
      <c r="F4" s="2085"/>
      <c r="G4" s="2085"/>
      <c r="H4" s="2085"/>
      <c r="I4" s="2085"/>
      <c r="J4" s="2085"/>
      <c r="K4" s="2085"/>
      <c r="L4" s="2085"/>
      <c r="M4" s="2085"/>
      <c r="N4" s="2085"/>
      <c r="P4" s="1256"/>
    </row>
    <row r="5" spans="1:16" x14ac:dyDescent="0.2">
      <c r="A5" s="375"/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P5" s="1259"/>
    </row>
    <row r="6" spans="1:16" x14ac:dyDescent="0.2">
      <c r="A6" s="1262" t="s">
        <v>1095</v>
      </c>
      <c r="C6" s="171"/>
      <c r="I6" s="32"/>
      <c r="N6" s="1257" t="s">
        <v>1760</v>
      </c>
    </row>
    <row r="7" spans="1:16" x14ac:dyDescent="0.2">
      <c r="A7" s="1262" t="s">
        <v>977</v>
      </c>
      <c r="I7" s="32"/>
      <c r="N7" s="2223" t="s">
        <v>1713</v>
      </c>
    </row>
    <row r="8" spans="1:16" x14ac:dyDescent="0.2">
      <c r="A8" s="200" t="s">
        <v>1712</v>
      </c>
      <c r="B8" s="202"/>
      <c r="C8" s="202"/>
      <c r="D8" s="201"/>
      <c r="E8" s="202"/>
      <c r="F8" s="202"/>
      <c r="G8" s="201"/>
      <c r="H8" s="201"/>
      <c r="I8" s="203"/>
      <c r="L8" s="32"/>
      <c r="M8" s="32"/>
      <c r="N8" s="1263" t="str">
        <f>SMK</f>
        <v>WITNESS:  S. M. KATKO</v>
      </c>
    </row>
    <row r="9" spans="1:16" x14ac:dyDescent="0.2">
      <c r="A9" s="200"/>
      <c r="B9" s="201"/>
      <c r="C9" s="201"/>
      <c r="D9" s="201"/>
      <c r="E9" s="202"/>
      <c r="F9" s="202"/>
      <c r="G9" s="201"/>
      <c r="H9" s="201"/>
      <c r="I9" s="203"/>
      <c r="J9" s="1357"/>
      <c r="L9" s="32"/>
      <c r="M9" s="32"/>
    </row>
    <row r="10" spans="1:16" x14ac:dyDescent="0.2">
      <c r="A10" s="200"/>
      <c r="B10" s="201"/>
      <c r="C10" s="201"/>
      <c r="D10" s="2082" t="s">
        <v>1088</v>
      </c>
      <c r="E10" s="2082"/>
      <c r="F10" s="2082"/>
      <c r="G10" s="2082"/>
      <c r="H10" s="201"/>
      <c r="I10" s="2083" t="s">
        <v>1093</v>
      </c>
      <c r="J10" s="2084"/>
      <c r="K10" s="2084"/>
      <c r="L10" s="2084"/>
      <c r="M10" s="2084"/>
      <c r="N10" s="2084"/>
    </row>
    <row r="11" spans="1:16" x14ac:dyDescent="0.2">
      <c r="A11" s="270"/>
      <c r="B11" s="201"/>
      <c r="C11" s="201"/>
      <c r="E11" s="202"/>
      <c r="F11" s="202"/>
      <c r="G11" s="269"/>
      <c r="H11" s="269"/>
      <c r="J11" s="1358"/>
      <c r="M11" s="32"/>
    </row>
    <row r="12" spans="1:16" x14ac:dyDescent="0.2">
      <c r="A12" s="30"/>
      <c r="D12" s="271" t="s">
        <v>1084</v>
      </c>
      <c r="G12" s="261" t="s">
        <v>1084</v>
      </c>
      <c r="H12" s="268"/>
      <c r="I12" s="261" t="s">
        <v>1089</v>
      </c>
      <c r="L12" s="32"/>
      <c r="M12" s="261" t="s">
        <v>1089</v>
      </c>
    </row>
    <row r="13" spans="1:16" x14ac:dyDescent="0.2">
      <c r="A13" s="261" t="s">
        <v>1080</v>
      </c>
      <c r="B13" s="261"/>
      <c r="D13" s="261" t="s">
        <v>865</v>
      </c>
      <c r="G13" s="262" t="s">
        <v>866</v>
      </c>
      <c r="H13" s="268"/>
      <c r="I13" s="261" t="s">
        <v>865</v>
      </c>
      <c r="J13" s="1308" t="s">
        <v>956</v>
      </c>
      <c r="L13" s="262" t="s">
        <v>1092</v>
      </c>
      <c r="M13" s="262" t="s">
        <v>866</v>
      </c>
    </row>
    <row r="14" spans="1:16" x14ac:dyDescent="0.2">
      <c r="A14" s="272" t="s">
        <v>1081</v>
      </c>
      <c r="C14" s="273" t="s">
        <v>1127</v>
      </c>
      <c r="D14" s="276" t="s">
        <v>867</v>
      </c>
      <c r="E14" s="275" t="s">
        <v>1085</v>
      </c>
      <c r="F14" s="275" t="s">
        <v>1086</v>
      </c>
      <c r="G14" s="275" t="s">
        <v>867</v>
      </c>
      <c r="H14" s="268"/>
      <c r="I14" s="377" t="s">
        <v>867</v>
      </c>
      <c r="J14" s="1327" t="s">
        <v>1090</v>
      </c>
      <c r="K14" s="1327" t="s">
        <v>1086</v>
      </c>
      <c r="L14" s="276" t="s">
        <v>955</v>
      </c>
      <c r="M14" s="274" t="s">
        <v>867</v>
      </c>
    </row>
    <row r="15" spans="1:16" x14ac:dyDescent="0.2">
      <c r="D15" s="267" t="str">
        <f>"(1)"</f>
        <v>(1)</v>
      </c>
      <c r="E15" s="267" t="str">
        <f>"(2)"</f>
        <v>(2)</v>
      </c>
      <c r="F15" s="267" t="str">
        <f>"(3)"</f>
        <v>(3)</v>
      </c>
      <c r="G15" s="267" t="str">
        <f>"(4)=(1+2+3)"</f>
        <v>(4)=(1+2+3)</v>
      </c>
      <c r="H15" s="267"/>
      <c r="I15" s="267" t="str">
        <f>"(5)"</f>
        <v>(5)</v>
      </c>
      <c r="J15" s="1328" t="str">
        <f>"(6)"</f>
        <v>(6)</v>
      </c>
      <c r="K15" s="1328" t="str">
        <f>"(7)"</f>
        <v>(7)</v>
      </c>
      <c r="L15" s="267" t="str">
        <f>"(8)"</f>
        <v>(8)</v>
      </c>
      <c r="M15" s="267" t="str">
        <f>"(9= 5+6-7+8)"</f>
        <v>(9= 5+6-7+8)</v>
      </c>
    </row>
    <row r="16" spans="1:16" x14ac:dyDescent="0.2">
      <c r="D16" s="267" t="s">
        <v>639</v>
      </c>
      <c r="E16" s="267" t="s">
        <v>639</v>
      </c>
      <c r="F16" s="267" t="s">
        <v>639</v>
      </c>
      <c r="G16" s="267" t="s">
        <v>639</v>
      </c>
      <c r="H16" s="267"/>
      <c r="I16" s="267" t="s">
        <v>639</v>
      </c>
      <c r="J16" s="1328" t="s">
        <v>639</v>
      </c>
      <c r="K16" s="1328" t="s">
        <v>639</v>
      </c>
      <c r="L16" s="267" t="s">
        <v>639</v>
      </c>
      <c r="M16" s="267" t="s">
        <v>639</v>
      </c>
    </row>
    <row r="17" spans="1:15" x14ac:dyDescent="0.2">
      <c r="A17" s="127">
        <v>1</v>
      </c>
      <c r="C17" s="1721" t="s">
        <v>2207</v>
      </c>
      <c r="G17" s="292">
        <f>D150</f>
        <v>397468366.36999989</v>
      </c>
      <c r="M17" s="292">
        <f>I150</f>
        <v>142470378.60000002</v>
      </c>
      <c r="O17" s="292"/>
    </row>
    <row r="18" spans="1:15" x14ac:dyDescent="0.2">
      <c r="A18" s="127">
        <f t="shared" ref="A18:A39" si="0">A17+1</f>
        <v>2</v>
      </c>
      <c r="C18" s="1721" t="s">
        <v>2208</v>
      </c>
      <c r="D18" s="292">
        <f>G17</f>
        <v>397468366.36999989</v>
      </c>
      <c r="E18" s="175">
        <f>E150</f>
        <v>2922324</v>
      </c>
      <c r="F18" s="175">
        <f>F150</f>
        <v>-344422</v>
      </c>
      <c r="G18" s="175">
        <f>SUM(D18:F18)</f>
        <v>400046268.36999989</v>
      </c>
      <c r="I18" s="292">
        <f>M17</f>
        <v>142470378.60000002</v>
      </c>
      <c r="J18" s="175">
        <f>K150</f>
        <v>726857.26289764023</v>
      </c>
      <c r="K18" s="175">
        <f>L150</f>
        <v>344422</v>
      </c>
      <c r="L18" s="175">
        <f>M150</f>
        <v>-78658</v>
      </c>
      <c r="M18" s="292">
        <f>I18+J18-K18+L18</f>
        <v>142774155.86289766</v>
      </c>
      <c r="O18" s="292"/>
    </row>
    <row r="19" spans="1:15" x14ac:dyDescent="0.2">
      <c r="A19" s="127">
        <f t="shared" si="0"/>
        <v>3</v>
      </c>
      <c r="C19" s="1721" t="s">
        <v>2211</v>
      </c>
      <c r="D19" s="292">
        <f t="shared" ref="D19:D39" si="1">G18</f>
        <v>400046268.36999989</v>
      </c>
      <c r="E19" s="175">
        <f>E256</f>
        <v>4194215</v>
      </c>
      <c r="F19" s="175">
        <f>F256</f>
        <v>-491908</v>
      </c>
      <c r="G19" s="175">
        <f t="shared" ref="G19:G39" si="2">SUM(D19:F19)</f>
        <v>403748575.36999989</v>
      </c>
      <c r="I19" s="292">
        <f t="shared" ref="I19:I39" si="3">M18</f>
        <v>142774155.86289766</v>
      </c>
      <c r="J19" s="175">
        <f>K256</f>
        <v>743715.17956430686</v>
      </c>
      <c r="K19" s="175">
        <f>L256</f>
        <v>491908</v>
      </c>
      <c r="L19" s="175">
        <f>M256</f>
        <v>-106857</v>
      </c>
      <c r="M19" s="292">
        <f t="shared" ref="M19:M39" si="4">I19+J19-K19+L19</f>
        <v>142919106.04246196</v>
      </c>
      <c r="O19" s="292"/>
    </row>
    <row r="20" spans="1:15" x14ac:dyDescent="0.2">
      <c r="A20" s="127">
        <f t="shared" si="0"/>
        <v>4</v>
      </c>
      <c r="C20" s="1721" t="s">
        <v>2212</v>
      </c>
      <c r="D20" s="292">
        <f t="shared" si="1"/>
        <v>403748575.36999989</v>
      </c>
      <c r="E20" s="175">
        <f>E362</f>
        <v>3334044</v>
      </c>
      <c r="F20" s="175">
        <f>F362</f>
        <v>-380615</v>
      </c>
      <c r="G20" s="175">
        <f t="shared" si="2"/>
        <v>406702004.36999989</v>
      </c>
      <c r="I20" s="292">
        <f t="shared" si="3"/>
        <v>142919106.04246196</v>
      </c>
      <c r="J20" s="175">
        <f>K362</f>
        <v>750849.17956430686</v>
      </c>
      <c r="K20" s="175">
        <f>L362</f>
        <v>380615</v>
      </c>
      <c r="L20" s="175">
        <f>M362</f>
        <v>-86922</v>
      </c>
      <c r="M20" s="292">
        <f t="shared" si="4"/>
        <v>143202418.22202626</v>
      </c>
      <c r="O20" s="292"/>
    </row>
    <row r="21" spans="1:15" x14ac:dyDescent="0.2">
      <c r="A21" s="127">
        <f t="shared" si="0"/>
        <v>5</v>
      </c>
      <c r="C21" s="378" t="s">
        <v>2213</v>
      </c>
      <c r="D21" s="292">
        <f t="shared" si="1"/>
        <v>406702004.36999989</v>
      </c>
      <c r="E21" s="175">
        <f>E468</f>
        <v>2909740</v>
      </c>
      <c r="F21" s="175">
        <f>F468</f>
        <v>-336002</v>
      </c>
      <c r="G21" s="175">
        <f t="shared" si="2"/>
        <v>409275742.36999989</v>
      </c>
      <c r="I21" s="292">
        <f t="shared" si="3"/>
        <v>143202418.22202626</v>
      </c>
      <c r="J21" s="175">
        <f>K468</f>
        <v>757383.17956430686</v>
      </c>
      <c r="K21" s="175">
        <f>L468</f>
        <v>336002</v>
      </c>
      <c r="L21" s="175">
        <f>M468</f>
        <v>-89808</v>
      </c>
      <c r="M21" s="292">
        <f t="shared" si="4"/>
        <v>143533991.40159056</v>
      </c>
      <c r="O21" s="292"/>
    </row>
    <row r="22" spans="1:15" x14ac:dyDescent="0.2">
      <c r="A22" s="127">
        <f t="shared" si="0"/>
        <v>6</v>
      </c>
      <c r="C22" s="378" t="s">
        <v>2214</v>
      </c>
      <c r="D22" s="292">
        <f t="shared" si="1"/>
        <v>409275742.36999989</v>
      </c>
      <c r="E22" s="175">
        <f>E574</f>
        <v>2041602</v>
      </c>
      <c r="F22" s="175">
        <f>F574</f>
        <v>-233085</v>
      </c>
      <c r="G22" s="175">
        <f t="shared" si="2"/>
        <v>411084259.36999989</v>
      </c>
      <c r="I22" s="292">
        <f t="shared" si="3"/>
        <v>143533991.40159056</v>
      </c>
      <c r="J22" s="175">
        <f>K574</f>
        <v>762670.17956430686</v>
      </c>
      <c r="K22" s="175">
        <f>L574</f>
        <v>233085</v>
      </c>
      <c r="L22" s="175">
        <f>M574</f>
        <v>-63961</v>
      </c>
      <c r="M22" s="292">
        <f t="shared" si="4"/>
        <v>143999615.58115485</v>
      </c>
      <c r="O22" s="292"/>
    </row>
    <row r="23" spans="1:15" x14ac:dyDescent="0.2">
      <c r="A23" s="127">
        <f t="shared" si="0"/>
        <v>7</v>
      </c>
      <c r="C23" s="378" t="s">
        <v>2215</v>
      </c>
      <c r="D23" s="292">
        <f t="shared" si="1"/>
        <v>411084259.36999989</v>
      </c>
      <c r="E23" s="175">
        <f>E680</f>
        <v>2316514</v>
      </c>
      <c r="F23" s="175">
        <f>F680</f>
        <v>-253727</v>
      </c>
      <c r="G23" s="175">
        <f t="shared" si="2"/>
        <v>413147046.36999989</v>
      </c>
      <c r="I23" s="292">
        <f t="shared" si="3"/>
        <v>143999615.58115485</v>
      </c>
      <c r="J23" s="175">
        <f>K680</f>
        <v>768287.17956430686</v>
      </c>
      <c r="K23" s="175">
        <f>L680</f>
        <v>253727</v>
      </c>
      <c r="L23" s="175">
        <f>M680</f>
        <v>-61002</v>
      </c>
      <c r="M23" s="292">
        <f t="shared" si="4"/>
        <v>144453173.76071915</v>
      </c>
      <c r="O23" s="292"/>
    </row>
    <row r="24" spans="1:15" x14ac:dyDescent="0.2">
      <c r="A24" s="127">
        <f t="shared" si="0"/>
        <v>8</v>
      </c>
      <c r="C24" s="378" t="s">
        <v>2216</v>
      </c>
      <c r="D24" s="292">
        <f t="shared" si="1"/>
        <v>413147046.36999989</v>
      </c>
      <c r="E24" s="175">
        <f>E786</f>
        <v>2316514</v>
      </c>
      <c r="F24" s="175">
        <f>F786</f>
        <v>-253727</v>
      </c>
      <c r="G24" s="175">
        <f t="shared" si="2"/>
        <v>415209833.36999989</v>
      </c>
      <c r="I24" s="292">
        <f t="shared" si="3"/>
        <v>144453173.76071915</v>
      </c>
      <c r="J24" s="175">
        <f>K786</f>
        <v>773125.63341046078</v>
      </c>
      <c r="K24" s="175">
        <f>L786</f>
        <v>253727</v>
      </c>
      <c r="L24" s="175">
        <f>M786</f>
        <v>-61002</v>
      </c>
      <c r="M24" s="292">
        <f t="shared" si="4"/>
        <v>144911570.3941296</v>
      </c>
      <c r="O24" s="292"/>
    </row>
    <row r="25" spans="1:15" x14ac:dyDescent="0.2">
      <c r="A25" s="127">
        <f t="shared" si="0"/>
        <v>9</v>
      </c>
      <c r="C25" s="378" t="s">
        <v>2217</v>
      </c>
      <c r="D25" s="292">
        <f t="shared" si="1"/>
        <v>415209833.36999989</v>
      </c>
      <c r="E25" s="175">
        <f>E892</f>
        <v>2316514</v>
      </c>
      <c r="F25" s="175">
        <f>F892</f>
        <v>-253727</v>
      </c>
      <c r="G25" s="175">
        <f t="shared" si="2"/>
        <v>417272620.36999989</v>
      </c>
      <c r="I25" s="292">
        <f t="shared" si="3"/>
        <v>144911570.3941296</v>
      </c>
      <c r="J25" s="175">
        <f>K892</f>
        <v>777966.08725661458</v>
      </c>
      <c r="K25" s="175">
        <f>L892</f>
        <v>253727</v>
      </c>
      <c r="L25" s="175">
        <f>M892</f>
        <v>-61002</v>
      </c>
      <c r="M25" s="292">
        <f t="shared" si="4"/>
        <v>145374807.48138621</v>
      </c>
      <c r="O25" s="292"/>
    </row>
    <row r="26" spans="1:15" x14ac:dyDescent="0.2">
      <c r="A26" s="127">
        <f t="shared" si="0"/>
        <v>10</v>
      </c>
      <c r="C26" s="378" t="s">
        <v>2218</v>
      </c>
      <c r="D26" s="292">
        <f t="shared" si="1"/>
        <v>417272620.36999989</v>
      </c>
      <c r="E26" s="175">
        <f>E998</f>
        <v>2316514</v>
      </c>
      <c r="F26" s="175">
        <f>F998</f>
        <v>-253727</v>
      </c>
      <c r="G26" s="175">
        <f t="shared" si="2"/>
        <v>419335407.36999989</v>
      </c>
      <c r="I26" s="292">
        <f t="shared" si="3"/>
        <v>145374807.48138621</v>
      </c>
      <c r="J26" s="175">
        <f>K998</f>
        <v>784587.08725661458</v>
      </c>
      <c r="K26" s="175">
        <f>L998</f>
        <v>253727</v>
      </c>
      <c r="L26" s="175">
        <f>M998</f>
        <v>-61002</v>
      </c>
      <c r="M26" s="292">
        <f t="shared" si="4"/>
        <v>145844665.56864282</v>
      </c>
      <c r="O26" s="292"/>
    </row>
    <row r="27" spans="1:15" x14ac:dyDescent="0.2">
      <c r="A27" s="127">
        <f t="shared" si="0"/>
        <v>11</v>
      </c>
      <c r="C27" s="378" t="s">
        <v>2219</v>
      </c>
      <c r="D27" s="292">
        <f t="shared" si="1"/>
        <v>419335407.36999989</v>
      </c>
      <c r="E27" s="175">
        <f>E1104</f>
        <v>2316513</v>
      </c>
      <c r="F27" s="175">
        <f>F1104</f>
        <v>-253727</v>
      </c>
      <c r="G27" s="175">
        <f t="shared" si="2"/>
        <v>421398193.36999989</v>
      </c>
      <c r="I27" s="292">
        <f t="shared" si="3"/>
        <v>145844665.56864282</v>
      </c>
      <c r="J27" s="175">
        <f>K1104</f>
        <v>791145.86094082508</v>
      </c>
      <c r="K27" s="175">
        <f>L1104</f>
        <v>253727</v>
      </c>
      <c r="L27" s="175">
        <f>M1104</f>
        <v>-61002</v>
      </c>
      <c r="M27" s="292">
        <f t="shared" si="4"/>
        <v>146321082.42958364</v>
      </c>
      <c r="O27" s="292"/>
    </row>
    <row r="28" spans="1:15" x14ac:dyDescent="0.2">
      <c r="A28" s="127">
        <f t="shared" si="0"/>
        <v>12</v>
      </c>
      <c r="C28" s="378" t="s">
        <v>2220</v>
      </c>
      <c r="D28" s="292">
        <f t="shared" si="1"/>
        <v>421398193.36999989</v>
      </c>
      <c r="E28" s="175">
        <f>E1210</f>
        <v>1146066</v>
      </c>
      <c r="F28" s="175">
        <f>F1210</f>
        <v>-137500</v>
      </c>
      <c r="G28" s="175">
        <f t="shared" si="2"/>
        <v>422406759.36999989</v>
      </c>
      <c r="I28" s="292">
        <f t="shared" si="3"/>
        <v>146321082.42958364</v>
      </c>
      <c r="J28" s="175">
        <f>K1210</f>
        <v>1262041.3489107501</v>
      </c>
      <c r="K28" s="175">
        <f>L1210</f>
        <v>137500</v>
      </c>
      <c r="L28" s="175">
        <f>M1210</f>
        <v>-37300</v>
      </c>
      <c r="M28" s="292">
        <f t="shared" si="4"/>
        <v>147408323.77849439</v>
      </c>
      <c r="O28" s="292"/>
    </row>
    <row r="29" spans="1:15" x14ac:dyDescent="0.2">
      <c r="A29" s="127">
        <f t="shared" si="0"/>
        <v>13</v>
      </c>
      <c r="C29" s="378" t="s">
        <v>2209</v>
      </c>
      <c r="D29" s="292">
        <f t="shared" si="1"/>
        <v>422406759.36999989</v>
      </c>
      <c r="E29" s="175">
        <f>E1316</f>
        <v>1042066</v>
      </c>
      <c r="F29" s="175">
        <f>F1316</f>
        <v>-125000</v>
      </c>
      <c r="G29" s="175">
        <f t="shared" si="2"/>
        <v>423323825.36999989</v>
      </c>
      <c r="I29" s="292">
        <f t="shared" si="3"/>
        <v>147408323.77849439</v>
      </c>
      <c r="J29" s="175">
        <f>K1316</f>
        <v>1262191.0631964644</v>
      </c>
      <c r="K29" s="175">
        <f>L1316</f>
        <v>125000</v>
      </c>
      <c r="L29" s="175">
        <f>M1316</f>
        <v>-32300</v>
      </c>
      <c r="M29" s="292">
        <f t="shared" si="4"/>
        <v>148513214.84169084</v>
      </c>
      <c r="O29" s="292"/>
    </row>
    <row r="30" spans="1:15" x14ac:dyDescent="0.2">
      <c r="A30" s="127">
        <f t="shared" si="0"/>
        <v>14</v>
      </c>
      <c r="C30" s="378" t="s">
        <v>2210</v>
      </c>
      <c r="D30" s="292">
        <f t="shared" si="1"/>
        <v>423323825.36999989</v>
      </c>
      <c r="E30" s="175">
        <f>E1422</f>
        <v>1250666</v>
      </c>
      <c r="F30" s="175">
        <f>F1422</f>
        <v>-150100</v>
      </c>
      <c r="G30" s="175">
        <f t="shared" si="2"/>
        <v>424424391.36999989</v>
      </c>
      <c r="I30" s="292">
        <f t="shared" si="3"/>
        <v>148513214.84169084</v>
      </c>
      <c r="J30" s="175">
        <f>K1422</f>
        <v>1264992.0631964644</v>
      </c>
      <c r="K30" s="175">
        <f>L1422</f>
        <v>150100</v>
      </c>
      <c r="L30" s="175">
        <f>M1422</f>
        <v>-34500</v>
      </c>
      <c r="M30" s="292">
        <f t="shared" si="4"/>
        <v>149593606.90488729</v>
      </c>
      <c r="O30" s="292"/>
    </row>
    <row r="31" spans="1:15" x14ac:dyDescent="0.2">
      <c r="A31" s="127">
        <f t="shared" si="0"/>
        <v>15</v>
      </c>
      <c r="C31" s="378" t="s">
        <v>2221</v>
      </c>
      <c r="D31" s="292">
        <f t="shared" si="1"/>
        <v>424424391.36999989</v>
      </c>
      <c r="E31" s="175">
        <f>E1528</f>
        <v>2658266</v>
      </c>
      <c r="F31" s="175">
        <f>F1528</f>
        <v>-296400</v>
      </c>
      <c r="G31" s="175">
        <f t="shared" si="2"/>
        <v>426786257.36999989</v>
      </c>
      <c r="I31" s="292">
        <f t="shared" si="3"/>
        <v>149593606.90488729</v>
      </c>
      <c r="J31" s="175">
        <f>K1528</f>
        <v>1274942.0631964644</v>
      </c>
      <c r="K31" s="175">
        <f>L1528</f>
        <v>296400</v>
      </c>
      <c r="L31" s="175">
        <f>M1528</f>
        <v>-52600</v>
      </c>
      <c r="M31" s="292">
        <f t="shared" si="4"/>
        <v>150519548.96808374</v>
      </c>
      <c r="O31" s="292"/>
    </row>
    <row r="32" spans="1:15" x14ac:dyDescent="0.2">
      <c r="A32" s="127">
        <f t="shared" si="0"/>
        <v>16</v>
      </c>
      <c r="C32" s="378" t="s">
        <v>2222</v>
      </c>
      <c r="D32" s="292">
        <f t="shared" si="1"/>
        <v>426786257.36999989</v>
      </c>
      <c r="E32" s="175">
        <f>E1634</f>
        <v>2371766</v>
      </c>
      <c r="F32" s="175">
        <f>F1634</f>
        <v>-284900</v>
      </c>
      <c r="G32" s="175">
        <f t="shared" si="2"/>
        <v>428873123.36999989</v>
      </c>
      <c r="I32" s="292">
        <f t="shared" si="3"/>
        <v>150519548.96808374</v>
      </c>
      <c r="J32" s="175">
        <f>K1634</f>
        <v>1286305.0631964644</v>
      </c>
      <c r="K32" s="175">
        <f>L1634</f>
        <v>284900</v>
      </c>
      <c r="L32" s="175">
        <f>M1634</f>
        <v>-66400</v>
      </c>
      <c r="M32" s="292">
        <f t="shared" si="4"/>
        <v>151454554.03128019</v>
      </c>
      <c r="O32" s="292"/>
    </row>
    <row r="33" spans="1:16" x14ac:dyDescent="0.2">
      <c r="A33" s="127">
        <f t="shared" si="0"/>
        <v>17</v>
      </c>
      <c r="C33" s="378" t="s">
        <v>2223</v>
      </c>
      <c r="D33" s="292">
        <f t="shared" si="1"/>
        <v>428873123.36999989</v>
      </c>
      <c r="E33" s="175">
        <f>E1740</f>
        <v>3112866</v>
      </c>
      <c r="F33" s="175">
        <f>F1740</f>
        <v>-373400</v>
      </c>
      <c r="G33" s="175">
        <f t="shared" si="2"/>
        <v>431612589.36999989</v>
      </c>
      <c r="I33" s="292">
        <f t="shared" si="3"/>
        <v>151454554.03128019</v>
      </c>
      <c r="J33" s="175">
        <f>K1740</f>
        <v>1292441.8122287225</v>
      </c>
      <c r="K33" s="175">
        <f>L1740</f>
        <v>373400</v>
      </c>
      <c r="L33" s="175">
        <f>M1740</f>
        <v>-88900</v>
      </c>
      <c r="M33" s="292">
        <f t="shared" si="4"/>
        <v>152284695.8435089</v>
      </c>
      <c r="O33" s="292"/>
    </row>
    <row r="34" spans="1:16" x14ac:dyDescent="0.2">
      <c r="A34" s="127">
        <f t="shared" si="0"/>
        <v>18</v>
      </c>
      <c r="C34" s="378" t="s">
        <v>2224</v>
      </c>
      <c r="D34" s="292">
        <f t="shared" si="1"/>
        <v>431612589.36999989</v>
      </c>
      <c r="E34" s="175">
        <f>E1846</f>
        <v>5665666</v>
      </c>
      <c r="F34" s="175">
        <f>F1846</f>
        <v>-361600</v>
      </c>
      <c r="G34" s="175">
        <f t="shared" si="2"/>
        <v>436916655.36999989</v>
      </c>
      <c r="I34" s="292">
        <f t="shared" si="3"/>
        <v>152284695.8435089</v>
      </c>
      <c r="J34" s="175">
        <f>K1846</f>
        <v>1321362.0961094652</v>
      </c>
      <c r="K34" s="175">
        <f>L1846</f>
        <v>361600</v>
      </c>
      <c r="L34" s="175">
        <f>M1846</f>
        <v>-88000</v>
      </c>
      <c r="M34" s="292">
        <f t="shared" si="4"/>
        <v>153156457.93961838</v>
      </c>
      <c r="O34" s="292"/>
    </row>
    <row r="35" spans="1:16" x14ac:dyDescent="0.2">
      <c r="A35" s="127">
        <f t="shared" si="0"/>
        <v>19</v>
      </c>
      <c r="C35" s="378" t="s">
        <v>2225</v>
      </c>
      <c r="D35" s="292">
        <f t="shared" si="1"/>
        <v>436916655.36999989</v>
      </c>
      <c r="E35" s="175">
        <f>E1952</f>
        <v>4456966</v>
      </c>
      <c r="F35" s="175">
        <f>F1952</f>
        <v>-534900</v>
      </c>
      <c r="G35" s="175">
        <f t="shared" si="2"/>
        <v>440838721.36999989</v>
      </c>
      <c r="I35" s="292">
        <f t="shared" si="3"/>
        <v>153156457.93961838</v>
      </c>
      <c r="J35" s="175">
        <f>K1952</f>
        <v>1352543.6083865217</v>
      </c>
      <c r="K35" s="175">
        <f>L1952</f>
        <v>534900</v>
      </c>
      <c r="L35" s="175">
        <f>M1952</f>
        <v>-133200</v>
      </c>
      <c r="M35" s="292">
        <f t="shared" si="4"/>
        <v>153840901.5480049</v>
      </c>
      <c r="O35" s="292"/>
    </row>
    <row r="36" spans="1:16" x14ac:dyDescent="0.2">
      <c r="A36" s="127">
        <f t="shared" si="0"/>
        <v>20</v>
      </c>
      <c r="C36" s="378" t="s">
        <v>2226</v>
      </c>
      <c r="D36" s="292">
        <f t="shared" si="1"/>
        <v>440838721.36999989</v>
      </c>
      <c r="E36" s="175">
        <f>E2058</f>
        <v>4156566</v>
      </c>
      <c r="F36" s="175">
        <f>F2058</f>
        <v>-498800</v>
      </c>
      <c r="G36" s="175">
        <f t="shared" si="2"/>
        <v>444496487.36999989</v>
      </c>
      <c r="I36" s="292">
        <f t="shared" si="3"/>
        <v>153840901.5480049</v>
      </c>
      <c r="J36" s="175">
        <f>K2058</f>
        <v>1363297.585815093</v>
      </c>
      <c r="K36" s="175">
        <f>L2058</f>
        <v>498800</v>
      </c>
      <c r="L36" s="175">
        <f>M2058</f>
        <v>-127500</v>
      </c>
      <c r="M36" s="292">
        <f t="shared" si="4"/>
        <v>154577899.13382</v>
      </c>
      <c r="O36" s="292"/>
    </row>
    <row r="37" spans="1:16" x14ac:dyDescent="0.2">
      <c r="A37" s="127">
        <f t="shared" si="0"/>
        <v>21</v>
      </c>
      <c r="C37" s="378" t="s">
        <v>2227</v>
      </c>
      <c r="D37" s="292">
        <f t="shared" si="1"/>
        <v>444496487.36999989</v>
      </c>
      <c r="E37" s="175">
        <f>E2164</f>
        <v>4247666</v>
      </c>
      <c r="F37" s="175">
        <f>F2164</f>
        <v>-510000</v>
      </c>
      <c r="G37" s="175">
        <f t="shared" si="2"/>
        <v>448234153.36999989</v>
      </c>
      <c r="I37" s="292">
        <f t="shared" si="3"/>
        <v>154577899.13382</v>
      </c>
      <c r="J37" s="175">
        <f>K2164</f>
        <v>1373501.6537638111</v>
      </c>
      <c r="K37" s="175">
        <f>L2164</f>
        <v>510000</v>
      </c>
      <c r="L37" s="175">
        <f>M2164</f>
        <v>-131300</v>
      </c>
      <c r="M37" s="292">
        <f t="shared" si="4"/>
        <v>155310100.7875838</v>
      </c>
      <c r="O37" s="292"/>
    </row>
    <row r="38" spans="1:16" x14ac:dyDescent="0.2">
      <c r="A38" s="127">
        <f t="shared" si="0"/>
        <v>22</v>
      </c>
      <c r="C38" s="378" t="s">
        <v>2228</v>
      </c>
      <c r="D38" s="292">
        <f t="shared" si="1"/>
        <v>448234153.36999989</v>
      </c>
      <c r="E38" s="175">
        <f>E2270</f>
        <v>4830816</v>
      </c>
      <c r="F38" s="175">
        <f>F2270</f>
        <v>-353800</v>
      </c>
      <c r="G38" s="175">
        <f t="shared" si="2"/>
        <v>452711169.36999989</v>
      </c>
      <c r="I38" s="292">
        <f t="shared" si="3"/>
        <v>155310100.7875838</v>
      </c>
      <c r="J38" s="175">
        <f>K2270</f>
        <v>1383056.8402491142</v>
      </c>
      <c r="K38" s="175">
        <f>L2270</f>
        <v>353800</v>
      </c>
      <c r="L38" s="175">
        <f>M2270</f>
        <v>-84500</v>
      </c>
      <c r="M38" s="292">
        <f t="shared" si="4"/>
        <v>156254857.62783292</v>
      </c>
      <c r="O38" s="292"/>
    </row>
    <row r="39" spans="1:16" x14ac:dyDescent="0.2">
      <c r="A39" s="127">
        <f t="shared" si="0"/>
        <v>23</v>
      </c>
      <c r="C39" s="378" t="s">
        <v>2229</v>
      </c>
      <c r="D39" s="292">
        <f t="shared" si="1"/>
        <v>452711169.36999989</v>
      </c>
      <c r="E39" s="175">
        <f>E2376</f>
        <v>2670366</v>
      </c>
      <c r="F39" s="175">
        <f>F2376</f>
        <v>-314900</v>
      </c>
      <c r="G39" s="175">
        <f t="shared" si="2"/>
        <v>455066635.36999989</v>
      </c>
      <c r="I39" s="292">
        <f t="shared" si="3"/>
        <v>156254857.62783292</v>
      </c>
      <c r="J39" s="175">
        <f>K2376</f>
        <v>1391461.9587856997</v>
      </c>
      <c r="K39" s="175">
        <f>L2376</f>
        <v>314900</v>
      </c>
      <c r="L39" s="175">
        <f>M2376</f>
        <v>-79000</v>
      </c>
      <c r="M39" s="292">
        <f t="shared" si="4"/>
        <v>157252419.58661863</v>
      </c>
      <c r="O39" s="292"/>
    </row>
    <row r="41" spans="1:16" x14ac:dyDescent="0.2">
      <c r="A41" s="127">
        <f>A39+1</f>
        <v>24</v>
      </c>
      <c r="C41" s="1748" t="s">
        <v>2262</v>
      </c>
      <c r="G41" s="292">
        <f>AVERAGE(G27:G39)</f>
        <v>435160689.36999989</v>
      </c>
      <c r="M41" s="292">
        <f>AVERAGE(M27:M39)</f>
        <v>152037512.57084674</v>
      </c>
      <c r="P41" s="292"/>
    </row>
    <row r="43" spans="1:16" x14ac:dyDescent="0.2">
      <c r="A43" s="127">
        <f>A41+1</f>
        <v>25</v>
      </c>
      <c r="C43" s="1721" t="s">
        <v>2264</v>
      </c>
      <c r="J43" s="175">
        <f>SUM(J28:J39)</f>
        <v>15828137.157035036</v>
      </c>
    </row>
    <row r="46" spans="1:16" x14ac:dyDescent="0.2">
      <c r="A46" s="2079" t="str">
        <f>co</f>
        <v>COLUMBIA GAS OF KENTUCKY, INC.</v>
      </c>
      <c r="B46" s="2079"/>
      <c r="C46" s="2079"/>
      <c r="D46" s="2079"/>
      <c r="E46" s="2079"/>
      <c r="F46" s="2079"/>
      <c r="G46" s="2079"/>
      <c r="H46" s="2079"/>
      <c r="I46" s="2079"/>
      <c r="J46" s="2079"/>
      <c r="K46" s="2079"/>
      <c r="L46" s="2079"/>
      <c r="M46" s="2079"/>
      <c r="N46" s="2079"/>
    </row>
    <row r="47" spans="1:16" x14ac:dyDescent="0.2">
      <c r="A47" s="2079" t="str">
        <f>case</f>
        <v>CASE NO. 2016 - 00162</v>
      </c>
      <c r="B47" s="2079"/>
      <c r="C47" s="2079"/>
      <c r="D47" s="2079"/>
      <c r="E47" s="2079"/>
      <c r="F47" s="2079"/>
      <c r="G47" s="2079"/>
      <c r="H47" s="2079"/>
      <c r="I47" s="2079"/>
      <c r="J47" s="2079"/>
      <c r="K47" s="2079"/>
      <c r="L47" s="2079"/>
      <c r="M47" s="2079"/>
      <c r="N47" s="2079"/>
    </row>
    <row r="48" spans="1:16" x14ac:dyDescent="0.2">
      <c r="A48" s="2080" t="s">
        <v>1106</v>
      </c>
      <c r="B48" s="2079"/>
      <c r="C48" s="2079"/>
      <c r="D48" s="2079"/>
      <c r="E48" s="2079"/>
      <c r="F48" s="2079"/>
      <c r="G48" s="2079"/>
      <c r="H48" s="2079"/>
      <c r="I48" s="2079"/>
      <c r="J48" s="2079"/>
      <c r="K48" s="2079"/>
      <c r="L48" s="2079"/>
      <c r="M48" s="2079"/>
      <c r="N48" s="2079"/>
    </row>
    <row r="49" spans="1:14" x14ac:dyDescent="0.2">
      <c r="A49" s="2081" t="s">
        <v>2142</v>
      </c>
      <c r="B49" s="2085"/>
      <c r="C49" s="2085"/>
      <c r="D49" s="2085"/>
      <c r="E49" s="2085"/>
      <c r="F49" s="2085"/>
      <c r="G49" s="2085"/>
      <c r="H49" s="2085"/>
      <c r="I49" s="2085"/>
      <c r="J49" s="2085"/>
      <c r="K49" s="2085"/>
      <c r="L49" s="2085"/>
      <c r="M49" s="2085"/>
      <c r="N49" s="2085"/>
    </row>
    <row r="51" spans="1:14" x14ac:dyDescent="0.2">
      <c r="A51" s="285" t="str">
        <f>$A$6</f>
        <v>DATA:__X___BASE PERIOD__X___FORECASTED PERIOD</v>
      </c>
      <c r="C51" s="171"/>
      <c r="I51" s="32"/>
      <c r="N51" s="1258" t="str">
        <f>$N$6</f>
        <v>WPB-2.2</v>
      </c>
    </row>
    <row r="52" spans="1:14" x14ac:dyDescent="0.2">
      <c r="A52" s="4" t="str">
        <f>$A$7</f>
        <v>TYPE OF FILING:___X____ORIGINAL________UPDATED</v>
      </c>
      <c r="I52" s="32"/>
      <c r="N52" s="2223" t="s">
        <v>1714</v>
      </c>
    </row>
    <row r="53" spans="1:14" x14ac:dyDescent="0.2">
      <c r="A53" s="1261" t="str">
        <f>$A$8</f>
        <v xml:space="preserve">WORKPAPER REFERENCE NO(S).: </v>
      </c>
      <c r="B53" s="202"/>
      <c r="C53" s="202"/>
      <c r="D53" s="201"/>
      <c r="E53" s="202"/>
      <c r="F53" s="202"/>
      <c r="G53" s="201"/>
      <c r="H53" s="201"/>
      <c r="I53" s="203"/>
      <c r="L53" s="32"/>
      <c r="M53" s="32"/>
      <c r="N53" s="204" t="str">
        <f>SMK</f>
        <v>WITNESS:  S. M. KATKO</v>
      </c>
    </row>
    <row r="54" spans="1:14" x14ac:dyDescent="0.2">
      <c r="A54" s="200"/>
      <c r="B54" s="201"/>
      <c r="C54" s="201"/>
      <c r="D54" s="201"/>
      <c r="E54" s="202"/>
      <c r="F54" s="202"/>
      <c r="G54" s="201"/>
      <c r="H54" s="201"/>
      <c r="I54" s="203"/>
      <c r="J54" s="1357"/>
      <c r="L54" s="32"/>
      <c r="M54" s="32"/>
    </row>
    <row r="55" spans="1:14" x14ac:dyDescent="0.2">
      <c r="A55" s="200"/>
      <c r="B55" s="201"/>
      <c r="C55" s="201"/>
      <c r="D55" s="2082" t="s">
        <v>1088</v>
      </c>
      <c r="E55" s="2082"/>
      <c r="F55" s="2082"/>
      <c r="G55" s="2082"/>
      <c r="H55" s="201"/>
      <c r="I55" s="2083" t="s">
        <v>1093</v>
      </c>
      <c r="J55" s="2084"/>
      <c r="K55" s="2084"/>
      <c r="L55" s="2084"/>
      <c r="M55" s="2084"/>
      <c r="N55" s="2084"/>
    </row>
    <row r="56" spans="1:14" x14ac:dyDescent="0.2">
      <c r="A56" s="270"/>
      <c r="B56" s="201"/>
      <c r="C56" s="201"/>
      <c r="D56" s="271" t="s">
        <v>1084</v>
      </c>
      <c r="E56" s="202"/>
      <c r="F56" s="202"/>
      <c r="G56" s="269"/>
      <c r="H56" s="269"/>
      <c r="I56" s="261" t="s">
        <v>1089</v>
      </c>
      <c r="J56" s="1358"/>
      <c r="M56" s="32"/>
    </row>
    <row r="57" spans="1:14" x14ac:dyDescent="0.2">
      <c r="A57" s="30"/>
      <c r="D57" s="261" t="s">
        <v>865</v>
      </c>
      <c r="G57" s="261" t="s">
        <v>867</v>
      </c>
      <c r="H57" s="268"/>
      <c r="I57" s="261" t="s">
        <v>865</v>
      </c>
      <c r="J57" s="1308" t="s">
        <v>956</v>
      </c>
      <c r="M57" s="32"/>
      <c r="N57" s="2225" t="s">
        <v>867</v>
      </c>
    </row>
    <row r="58" spans="1:14" x14ac:dyDescent="0.2">
      <c r="A58" s="261" t="s">
        <v>1080</v>
      </c>
      <c r="B58" s="261" t="s">
        <v>1082</v>
      </c>
      <c r="D58" s="261" t="s">
        <v>867</v>
      </c>
      <c r="G58" s="262" t="s">
        <v>1087</v>
      </c>
      <c r="H58" s="268"/>
      <c r="I58" s="262" t="s">
        <v>867</v>
      </c>
      <c r="J58" s="1308" t="s">
        <v>1090</v>
      </c>
      <c r="K58" s="1308" t="s">
        <v>956</v>
      </c>
      <c r="M58" s="262" t="s">
        <v>1092</v>
      </c>
      <c r="N58" s="1259" t="s">
        <v>1087</v>
      </c>
    </row>
    <row r="59" spans="1:14" x14ac:dyDescent="0.2">
      <c r="A59" s="272" t="s">
        <v>1081</v>
      </c>
      <c r="B59" s="272" t="s">
        <v>1081</v>
      </c>
      <c r="C59" s="273" t="s">
        <v>1083</v>
      </c>
      <c r="D59" s="298" t="str">
        <f>"02/29/2016"</f>
        <v>02/29/2016</v>
      </c>
      <c r="E59" s="275" t="s">
        <v>1085</v>
      </c>
      <c r="F59" s="275" t="s">
        <v>1086</v>
      </c>
      <c r="G59" s="298" t="str">
        <f>"03/31/2016"</f>
        <v>03/31/2016</v>
      </c>
      <c r="H59" s="268"/>
      <c r="I59" s="274" t="str">
        <f>D59</f>
        <v>02/29/2016</v>
      </c>
      <c r="J59" s="275" t="s">
        <v>1091</v>
      </c>
      <c r="K59" s="1327" t="s">
        <v>1090</v>
      </c>
      <c r="L59" s="276" t="s">
        <v>1086</v>
      </c>
      <c r="M59" s="276" t="s">
        <v>955</v>
      </c>
      <c r="N59" s="2226" t="str">
        <f>G59</f>
        <v>03/31/2016</v>
      </c>
    </row>
    <row r="60" spans="1:14" x14ac:dyDescent="0.2">
      <c r="A60" s="267"/>
      <c r="B60" s="267"/>
      <c r="C60" s="267"/>
      <c r="D60" s="267" t="str">
        <f>"(1)"</f>
        <v>(1)</v>
      </c>
      <c r="E60" s="267" t="str">
        <f>"(2)"</f>
        <v>(2)</v>
      </c>
      <c r="F60" s="267" t="str">
        <f>"(3)"</f>
        <v>(3)</v>
      </c>
      <c r="G60" s="267" t="str">
        <f>"(4)=(1+2+3)"</f>
        <v>(4)=(1+2+3)</v>
      </c>
      <c r="H60" s="267"/>
      <c r="I60" s="267" t="str">
        <f>"(5)"</f>
        <v>(5)</v>
      </c>
      <c r="J60" s="1328" t="str">
        <f>"(6)"</f>
        <v>(6)</v>
      </c>
      <c r="K60" s="1328" t="str">
        <f>"(7)=((1+4)/2*6/12))"</f>
        <v>(7)=((1+4)/2*6/12))</v>
      </c>
      <c r="L60" s="267" t="str">
        <f>"(8)"</f>
        <v>(8)</v>
      </c>
      <c r="M60" s="267" t="str">
        <f>"(9)"</f>
        <v>(9)</v>
      </c>
      <c r="N60" s="204" t="str">
        <f>"(10)=(5+7-8+9)"</f>
        <v>(10)=(5+7-8+9)</v>
      </c>
    </row>
    <row r="61" spans="1:14" x14ac:dyDescent="0.2">
      <c r="D61" s="31" t="s">
        <v>639</v>
      </c>
      <c r="E61" s="170" t="s">
        <v>639</v>
      </c>
      <c r="F61" s="170" t="s">
        <v>639</v>
      </c>
      <c r="G61" s="31" t="s">
        <v>639</v>
      </c>
      <c r="H61" s="31"/>
      <c r="I61" s="31" t="s">
        <v>639</v>
      </c>
      <c r="J61" s="170" t="s">
        <v>639</v>
      </c>
      <c r="K61" s="170" t="s">
        <v>639</v>
      </c>
      <c r="L61" s="31" t="s">
        <v>639</v>
      </c>
      <c r="M61" s="31" t="s">
        <v>639</v>
      </c>
      <c r="N61" s="155" t="s">
        <v>639</v>
      </c>
    </row>
    <row r="62" spans="1:14" x14ac:dyDescent="0.2">
      <c r="A62" s="31">
        <v>1</v>
      </c>
      <c r="B62" s="36" t="s">
        <v>1025</v>
      </c>
      <c r="C62" s="34"/>
      <c r="M62" s="32"/>
    </row>
    <row r="63" spans="1:14" x14ac:dyDescent="0.2">
      <c r="A63" s="31">
        <f>A62+1</f>
        <v>2</v>
      </c>
      <c r="C63" s="36" t="s">
        <v>697</v>
      </c>
      <c r="M63" s="32"/>
    </row>
    <row r="64" spans="1:14" x14ac:dyDescent="0.2">
      <c r="A64" s="31">
        <f t="shared" ref="A64:A69" si="5">A63+1</f>
        <v>3</v>
      </c>
      <c r="B64" s="253">
        <v>301</v>
      </c>
      <c r="C64" s="52" t="s">
        <v>1026</v>
      </c>
      <c r="D64" s="257">
        <f>'WPB-2.1 Base Period'!K14</f>
        <v>521.20000000000005</v>
      </c>
      <c r="E64" s="382">
        <f>ROUND('Plant input detail '!E66*'WPB2.2 Plant detail-w slippage'!$P$2,0)</f>
        <v>0</v>
      </c>
      <c r="F64" s="257">
        <f>ROUND('Plant input detail '!F66*'WPB2.2 Plant detail-w slippage'!$P$2,0)</f>
        <v>0</v>
      </c>
      <c r="G64" s="257">
        <f>SUM(D64:F64)</f>
        <v>521.20000000000005</v>
      </c>
      <c r="H64" s="38"/>
      <c r="I64" s="257">
        <f>'WPB-3.1 AD&amp;A (Base)'!K13</f>
        <v>0</v>
      </c>
      <c r="J64" s="296" t="s">
        <v>1094</v>
      </c>
      <c r="K64" s="258">
        <v>0</v>
      </c>
      <c r="L64" s="38">
        <f>-F64</f>
        <v>0</v>
      </c>
      <c r="M64" s="257">
        <f>ROUND('Plant input detail '!M66*'WPB2.2 Plant detail-w slippage'!$P$2,0)</f>
        <v>0</v>
      </c>
      <c r="N64" s="2227">
        <f>I64+K64-L64+M64</f>
        <v>0</v>
      </c>
    </row>
    <row r="65" spans="1:20" x14ac:dyDescent="0.2">
      <c r="A65" s="31">
        <f t="shared" si="5"/>
        <v>4</v>
      </c>
      <c r="B65" s="253">
        <v>303</v>
      </c>
      <c r="C65" s="52" t="s">
        <v>1027</v>
      </c>
      <c r="D65" s="257">
        <f>'WPB-2.1 Base Period'!K15</f>
        <v>74347.509999999995</v>
      </c>
      <c r="E65" s="382">
        <f>ROUND('Plant input detail '!E67*'WPB2.2 Plant detail-w slippage'!$P$2,0)</f>
        <v>0</v>
      </c>
      <c r="F65" s="257">
        <f>ROUND('Plant input detail '!F67*'WPB2.2 Plant detail-w slippage'!$P$2,0)</f>
        <v>0</v>
      </c>
      <c r="G65" s="257">
        <f>SUM(D65:F65)</f>
        <v>74347.509999999995</v>
      </c>
      <c r="H65" s="38"/>
      <c r="I65" s="257">
        <f>'WPB-3.1 AD&amp;A (Base)'!K14</f>
        <v>45799.43</v>
      </c>
      <c r="J65" s="296" t="s">
        <v>1094</v>
      </c>
      <c r="K65" s="382">
        <f>'WPB2.2a Intan Amort. w slippage'!H$19</f>
        <v>206.52</v>
      </c>
      <c r="L65" s="38">
        <f>-F65</f>
        <v>0</v>
      </c>
      <c r="M65" s="257">
        <f>ROUND('Plant input detail '!M67*'WPB2.2 Plant detail-w slippage'!$P$2,0)</f>
        <v>0</v>
      </c>
      <c r="N65" s="2227">
        <f>I65+K65-L65+M65</f>
        <v>46005.95</v>
      </c>
      <c r="O65" s="292"/>
      <c r="P65" s="376"/>
    </row>
    <row r="66" spans="1:20" x14ac:dyDescent="0.2">
      <c r="A66" s="31">
        <f t="shared" si="5"/>
        <v>5</v>
      </c>
      <c r="B66" s="253">
        <v>303.10000000000002</v>
      </c>
      <c r="C66" s="52" t="s">
        <v>1028</v>
      </c>
      <c r="D66" s="257">
        <f>'WPB-2.1 Base Period'!K16</f>
        <v>0</v>
      </c>
      <c r="E66" s="382">
        <f>ROUND('Plant input detail '!E68*'WPB2.2 Plant detail-w slippage'!$P$2,0)</f>
        <v>0</v>
      </c>
      <c r="F66" s="257">
        <f>ROUND('Plant input detail '!F68*'WPB2.2 Plant detail-w slippage'!$P$2,0)</f>
        <v>0</v>
      </c>
      <c r="G66" s="257">
        <f>SUM(D66:F66)</f>
        <v>0</v>
      </c>
      <c r="H66" s="38"/>
      <c r="I66" s="257">
        <f>'WPB-3.1 AD&amp;A (Base)'!K15</f>
        <v>0</v>
      </c>
      <c r="J66" s="296" t="s">
        <v>1094</v>
      </c>
      <c r="K66" s="258">
        <v>0</v>
      </c>
      <c r="L66" s="38">
        <f>-F66</f>
        <v>0</v>
      </c>
      <c r="M66" s="257">
        <f>ROUND('Plant input detail '!M68*'WPB2.2 Plant detail-w slippage'!$P$2,0)</f>
        <v>0</v>
      </c>
      <c r="N66" s="2227">
        <f>I66+K66-L66+M66</f>
        <v>0</v>
      </c>
      <c r="O66" s="292"/>
      <c r="P66" s="376"/>
    </row>
    <row r="67" spans="1:20" x14ac:dyDescent="0.2">
      <c r="A67" s="31">
        <f t="shared" si="5"/>
        <v>6</v>
      </c>
      <c r="B67" s="253">
        <v>303.2</v>
      </c>
      <c r="C67" s="52" t="s">
        <v>1029</v>
      </c>
      <c r="D67" s="257">
        <f>'WPB-2.1 Base Period'!K17</f>
        <v>0</v>
      </c>
      <c r="E67" s="382">
        <f>ROUND('Plant input detail '!E69*'WPB2.2 Plant detail-w slippage'!$P$2,0)</f>
        <v>0</v>
      </c>
      <c r="F67" s="257">
        <f>ROUND('Plant input detail '!F69*'WPB2.2 Plant detail-w slippage'!$P$2,0)</f>
        <v>0</v>
      </c>
      <c r="G67" s="257">
        <f>SUM(D67:F67)</f>
        <v>0</v>
      </c>
      <c r="H67" s="38"/>
      <c r="I67" s="257">
        <f>'WPB-3.1 AD&amp;A (Base)'!K16</f>
        <v>0</v>
      </c>
      <c r="J67" s="296" t="s">
        <v>1094</v>
      </c>
      <c r="K67" s="258">
        <v>0</v>
      </c>
      <c r="L67" s="38">
        <f>-F67</f>
        <v>0</v>
      </c>
      <c r="M67" s="257">
        <f>ROUND('Plant input detail '!M69*'WPB2.2 Plant detail-w slippage'!$P$2,0)</f>
        <v>0</v>
      </c>
      <c r="N67" s="2227">
        <f>I67+K67-L67+M67</f>
        <v>0</v>
      </c>
      <c r="O67" s="292"/>
      <c r="P67" s="376"/>
    </row>
    <row r="68" spans="1:20" x14ac:dyDescent="0.2">
      <c r="A68" s="31">
        <f t="shared" si="5"/>
        <v>7</v>
      </c>
      <c r="B68" s="253">
        <v>303.3</v>
      </c>
      <c r="C68" s="52" t="s">
        <v>1030</v>
      </c>
      <c r="D68" s="260">
        <f>'WPB-2.1 Base Period'!K18</f>
        <v>5301761</v>
      </c>
      <c r="E68" s="265">
        <f>ROUND('Plant input detail '!E70*'WPB2.2 Plant detail-w slippage'!$P$2,0)</f>
        <v>52132</v>
      </c>
      <c r="F68" s="265">
        <f>ROUND('Plant input detail '!F70*'WPB2.2 Plant detail-w slippage'!$P$2,0)</f>
        <v>0</v>
      </c>
      <c r="G68" s="260">
        <f>SUM(D68:F68)</f>
        <v>5353893</v>
      </c>
      <c r="H68" s="38"/>
      <c r="I68" s="260">
        <f>'WPB-3.1 AD&amp;A (Base)'!K17</f>
        <v>2150290.4</v>
      </c>
      <c r="J68" s="296" t="s">
        <v>1094</v>
      </c>
      <c r="K68" s="265">
        <f>'WPB2.2a Intan Amort. w slippage'!H$104</f>
        <v>65769.193423955992</v>
      </c>
      <c r="L68" s="295">
        <f>-F68</f>
        <v>0</v>
      </c>
      <c r="M68" s="265">
        <f>ROUND('Plant input detail '!M70*'WPB2.2 Plant detail-w slippage'!$P$2,0)</f>
        <v>0</v>
      </c>
      <c r="N68" s="2228">
        <f>I68+K68-L68+M68</f>
        <v>2216059.5934239561</v>
      </c>
      <c r="O68" s="292"/>
      <c r="P68" s="376"/>
    </row>
    <row r="69" spans="1:20" x14ac:dyDescent="0.2">
      <c r="A69" s="31">
        <f t="shared" si="5"/>
        <v>8</v>
      </c>
      <c r="B69" s="253"/>
      <c r="C69" s="52" t="s">
        <v>1031</v>
      </c>
      <c r="D69" s="38">
        <f>SUM(D64:D68)</f>
        <v>5376629.71</v>
      </c>
      <c r="E69" s="173">
        <f>SUM(E64:E68)</f>
        <v>52132</v>
      </c>
      <c r="F69" s="173">
        <f>SUM(F64:F68)</f>
        <v>0</v>
      </c>
      <c r="G69" s="38">
        <f>SUM(G64:G68)</f>
        <v>5428761.71</v>
      </c>
      <c r="H69" s="38"/>
      <c r="I69" s="38">
        <f>SUM(I64:I68)</f>
        <v>2196089.83</v>
      </c>
      <c r="J69" s="1359"/>
      <c r="K69" s="173">
        <f>SUM(K64:K68)</f>
        <v>65975.713423955996</v>
      </c>
      <c r="L69" s="38">
        <f>SUM(L64:L68)</f>
        <v>0</v>
      </c>
      <c r="M69" s="173">
        <f>SUM(M64:M68)</f>
        <v>0</v>
      </c>
      <c r="N69" s="1361">
        <f>SUM(N64:N68)</f>
        <v>2262065.5434239563</v>
      </c>
      <c r="O69" s="292"/>
      <c r="P69" s="376"/>
    </row>
    <row r="70" spans="1:20" x14ac:dyDescent="0.2">
      <c r="B70" s="254"/>
      <c r="D70" s="38"/>
      <c r="E70" s="173"/>
      <c r="F70" s="173"/>
      <c r="G70" s="38"/>
      <c r="H70" s="38"/>
      <c r="I70" s="38"/>
      <c r="J70" s="1359"/>
      <c r="K70" s="173"/>
      <c r="L70" s="38"/>
      <c r="M70" s="173"/>
    </row>
    <row r="71" spans="1:20" x14ac:dyDescent="0.2">
      <c r="A71" s="31">
        <f>A69+1</f>
        <v>9</v>
      </c>
      <c r="B71" s="254"/>
      <c r="C71" s="36" t="s">
        <v>704</v>
      </c>
      <c r="D71" s="38"/>
      <c r="E71" s="173"/>
      <c r="F71" s="173"/>
      <c r="G71" s="38"/>
      <c r="H71" s="38"/>
      <c r="I71" s="38"/>
      <c r="J71" s="1359"/>
      <c r="K71" s="173"/>
      <c r="L71" s="38"/>
      <c r="M71" s="173"/>
    </row>
    <row r="72" spans="1:20" x14ac:dyDescent="0.2">
      <c r="A72" s="31">
        <f>A71+1</f>
        <v>10</v>
      </c>
      <c r="B72" s="255">
        <v>304.10000000000002</v>
      </c>
      <c r="C72" s="41" t="s">
        <v>1032</v>
      </c>
      <c r="D72" s="265">
        <f>'WPB-2.1 Base Period'!K22</f>
        <v>0</v>
      </c>
      <c r="E72" s="265">
        <f>ROUND('Plant input detail '!E74*'WPB2.2 Plant detail-w slippage'!$P$2,0)</f>
        <v>0</v>
      </c>
      <c r="F72" s="265">
        <f>ROUND('Plant input detail '!F74*'WPB2.2 Plant detail-w slippage'!$P$2,0)</f>
        <v>0</v>
      </c>
      <c r="G72" s="260">
        <f>SUM(D72:F72)</f>
        <v>0</v>
      </c>
      <c r="H72" s="38"/>
      <c r="I72" s="265">
        <f>'WPB-3.1 AD&amp;A (Base)'!K21</f>
        <v>0</v>
      </c>
      <c r="J72" s="1360" t="s">
        <v>1102</v>
      </c>
      <c r="K72" s="266">
        <v>0</v>
      </c>
      <c r="L72" s="295">
        <f>-F72</f>
        <v>0</v>
      </c>
      <c r="M72" s="263">
        <v>0</v>
      </c>
      <c r="N72" s="2228">
        <f>I72+K72-L72+M72</f>
        <v>0</v>
      </c>
    </row>
    <row r="73" spans="1:20" x14ac:dyDescent="0.2">
      <c r="A73" s="31">
        <f>A72+1</f>
        <v>11</v>
      </c>
      <c r="B73" s="255"/>
      <c r="C73" s="256" t="s">
        <v>1079</v>
      </c>
      <c r="D73" s="38">
        <f>D72</f>
        <v>0</v>
      </c>
      <c r="E73" s="173">
        <f>E72</f>
        <v>0</v>
      </c>
      <c r="F73" s="173">
        <f>F72</f>
        <v>0</v>
      </c>
      <c r="G73" s="38">
        <f>G72</f>
        <v>0</v>
      </c>
      <c r="H73" s="38"/>
      <c r="I73" s="38">
        <f>I72</f>
        <v>0</v>
      </c>
      <c r="J73" s="1361"/>
      <c r="K73" s="173">
        <f>SUM(K72)</f>
        <v>0</v>
      </c>
      <c r="L73" s="38">
        <f>SUM(L72)</f>
        <v>0</v>
      </c>
      <c r="M73" s="173">
        <f>M72</f>
        <v>0</v>
      </c>
      <c r="N73" s="1361">
        <f>N72</f>
        <v>0</v>
      </c>
    </row>
    <row r="74" spans="1:20" x14ac:dyDescent="0.2">
      <c r="B74" s="254"/>
      <c r="C74" s="30" t="s">
        <v>2245</v>
      </c>
      <c r="D74" s="38"/>
      <c r="E74" s="173"/>
      <c r="F74" s="173"/>
      <c r="G74" s="38"/>
      <c r="H74" s="38"/>
      <c r="I74" s="38"/>
      <c r="J74" s="1361"/>
      <c r="K74" s="173"/>
      <c r="L74" s="38"/>
      <c r="M74" s="173"/>
    </row>
    <row r="75" spans="1:20" x14ac:dyDescent="0.2">
      <c r="A75" s="31">
        <f>A73+1</f>
        <v>12</v>
      </c>
      <c r="B75" s="254"/>
      <c r="C75" s="36" t="s">
        <v>707</v>
      </c>
      <c r="D75" s="38"/>
      <c r="E75" s="173"/>
      <c r="F75" s="173"/>
      <c r="G75" s="38"/>
      <c r="H75" s="38"/>
      <c r="I75" s="38"/>
      <c r="J75" s="1361"/>
      <c r="K75" s="173"/>
      <c r="L75" s="38"/>
      <c r="M75" s="173"/>
    </row>
    <row r="76" spans="1:20" x14ac:dyDescent="0.2">
      <c r="A76" s="31">
        <f>A75+1</f>
        <v>13</v>
      </c>
      <c r="B76" s="253">
        <v>374.1</v>
      </c>
      <c r="C76" s="52" t="s">
        <v>1035</v>
      </c>
      <c r="D76" s="257">
        <f>'WPB-2.1 Base Period'!K25</f>
        <v>206</v>
      </c>
      <c r="E76" s="382">
        <f>ROUND('Plant input detail '!E78*'WPB2.2 Plant detail-w slippage'!$P$2,0)</f>
        <v>0</v>
      </c>
      <c r="F76" s="257">
        <f>ROUND('Plant input detail '!F78*'WPB2.2 Plant detail-w slippage'!$P$2,0)</f>
        <v>0</v>
      </c>
      <c r="G76" s="257">
        <f>SUM(D76:F76)</f>
        <v>206</v>
      </c>
      <c r="H76" s="38"/>
      <c r="I76" s="257">
        <f>'WPB-3.1 AD&amp;A (Base)'!K25</f>
        <v>0</v>
      </c>
      <c r="J76" s="1360" t="s">
        <v>1102</v>
      </c>
      <c r="K76" s="259">
        <v>0</v>
      </c>
      <c r="L76" s="38">
        <f t="shared" ref="L76:L97" si="6">-F76</f>
        <v>0</v>
      </c>
      <c r="M76" s="257">
        <f>ROUND('Plant input detail '!M78*'WPB2.2 Plant detail-w slippage'!$P$2,0)</f>
        <v>0</v>
      </c>
      <c r="N76" s="2227">
        <f t="shared" ref="N76:N86" si="7">I76+K76-L76+M76</f>
        <v>0</v>
      </c>
    </row>
    <row r="77" spans="1:20" x14ac:dyDescent="0.2">
      <c r="A77" s="31">
        <f t="shared" ref="A77:A97" si="8">A76+1</f>
        <v>14</v>
      </c>
      <c r="B77" s="253">
        <v>374.2</v>
      </c>
      <c r="C77" s="52" t="s">
        <v>1036</v>
      </c>
      <c r="D77" s="257">
        <f>'WPB-2.1 Base Period'!K26</f>
        <v>877756.18</v>
      </c>
      <c r="E77" s="382">
        <f>ROUND('Plant input detail '!E79*'WPB2.2 Plant detail-w slippage'!$P$2,0)</f>
        <v>0</v>
      </c>
      <c r="F77" s="257">
        <f>ROUND('Plant input detail '!F79*'WPB2.2 Plant detail-w slippage'!$P$2,0)</f>
        <v>0</v>
      </c>
      <c r="G77" s="257">
        <f t="shared" ref="G77:G97" si="9">SUM(D77:F77)</f>
        <v>877756.18</v>
      </c>
      <c r="H77" s="38"/>
      <c r="I77" s="257">
        <f>'WPB-3.1 AD&amp;A (Base)'!K26</f>
        <v>-523.13</v>
      </c>
      <c r="J77" s="1360" t="s">
        <v>1102</v>
      </c>
      <c r="K77" s="259">
        <v>0</v>
      </c>
      <c r="L77" s="38">
        <f t="shared" si="6"/>
        <v>0</v>
      </c>
      <c r="M77" s="257">
        <f>ROUND('Plant input detail '!M79*'WPB2.2 Plant detail-w slippage'!$P$2,0)</f>
        <v>0</v>
      </c>
      <c r="N77" s="2227">
        <f t="shared" si="7"/>
        <v>-523.13</v>
      </c>
    </row>
    <row r="78" spans="1:20" x14ac:dyDescent="0.2">
      <c r="A78" s="31">
        <f t="shared" si="8"/>
        <v>15</v>
      </c>
      <c r="B78" s="253">
        <v>374.4</v>
      </c>
      <c r="C78" s="52" t="s">
        <v>1037</v>
      </c>
      <c r="D78" s="257">
        <f>'WPB-2.1 Base Period'!K27</f>
        <v>661305.66</v>
      </c>
      <c r="E78" s="382">
        <f>ROUND('Plant input detail '!E80*'WPB2.2 Plant detail-w slippage'!$P$2,0)</f>
        <v>0</v>
      </c>
      <c r="F78" s="257">
        <f>ROUND('Plant input detail '!F80*'WPB2.2 Plant detail-w slippage'!$P$2,0)</f>
        <v>0</v>
      </c>
      <c r="G78" s="257">
        <f t="shared" si="9"/>
        <v>661305.66</v>
      </c>
      <c r="H78" s="38"/>
      <c r="I78" s="257">
        <f>'WPB-3.1 AD&amp;A (Base)'!K27</f>
        <v>170453.36</v>
      </c>
      <c r="J78" s="361">
        <v>1.5299999999999999E-2</v>
      </c>
      <c r="K78" s="173">
        <f>ROUND((G78+D78)/2*J78/12,0)</f>
        <v>843</v>
      </c>
      <c r="L78" s="38">
        <f t="shared" si="6"/>
        <v>0</v>
      </c>
      <c r="M78" s="257">
        <f>ROUND('Plant input detail '!M80*'WPB2.2 Plant detail-w slippage'!$P$2,0)</f>
        <v>0</v>
      </c>
      <c r="N78" s="2227">
        <f t="shared" si="7"/>
        <v>171296.36</v>
      </c>
      <c r="O78" s="292"/>
      <c r="P78" s="279"/>
    </row>
    <row r="79" spans="1:20" x14ac:dyDescent="0.2">
      <c r="A79" s="31">
        <f t="shared" si="8"/>
        <v>16</v>
      </c>
      <c r="B79" s="253">
        <v>374.5</v>
      </c>
      <c r="C79" s="52" t="s">
        <v>1038</v>
      </c>
      <c r="D79" s="257">
        <f>'WPB-2.1 Base Period'!K28</f>
        <v>2666575.5499999998</v>
      </c>
      <c r="E79" s="382">
        <f>ROUND('Plant input detail '!E81*'WPB2.2 Plant detail-w slippage'!$P$2,0)</f>
        <v>154</v>
      </c>
      <c r="F79" s="257">
        <f>ROUND('Plant input detail '!F81*'WPB2.2 Plant detail-w slippage'!$P$2,0)</f>
        <v>-18</v>
      </c>
      <c r="G79" s="257">
        <f t="shared" si="9"/>
        <v>2666711.5499999998</v>
      </c>
      <c r="H79" s="38"/>
      <c r="I79" s="257">
        <f>'WPB-3.1 AD&amp;A (Base)'!K28</f>
        <v>906530.23</v>
      </c>
      <c r="J79" s="361">
        <v>1.2200000000000001E-2</v>
      </c>
      <c r="K79" s="173">
        <f t="shared" ref="K79:K97" si="10">ROUND((G79+D79)/2*J79/12,0)</f>
        <v>2711</v>
      </c>
      <c r="L79" s="38">
        <f t="shared" si="6"/>
        <v>18</v>
      </c>
      <c r="M79" s="257">
        <f>ROUND('Plant input detail '!M81*'WPB2.2 Plant detail-w slippage'!$P$2,0)</f>
        <v>0</v>
      </c>
      <c r="N79" s="2227">
        <f t="shared" si="7"/>
        <v>909223.23</v>
      </c>
      <c r="O79" s="292"/>
      <c r="P79" s="279"/>
      <c r="S79" s="277"/>
      <c r="T79" s="279"/>
    </row>
    <row r="80" spans="1:20" x14ac:dyDescent="0.2">
      <c r="A80" s="31">
        <f t="shared" si="8"/>
        <v>17</v>
      </c>
      <c r="B80" s="253">
        <v>375.2</v>
      </c>
      <c r="C80" s="52" t="s">
        <v>1039</v>
      </c>
      <c r="D80" s="257">
        <f>'WPB-2.1 Base Period'!K29</f>
        <v>2124.98</v>
      </c>
      <c r="E80" s="382">
        <f>ROUND('Plant input detail '!E82*'WPB2.2 Plant detail-w slippage'!$P$2,0)</f>
        <v>0</v>
      </c>
      <c r="F80" s="257">
        <f>ROUND('Plant input detail '!F82*'WPB2.2 Plant detail-w slippage'!$P$2,0)</f>
        <v>0</v>
      </c>
      <c r="G80" s="257">
        <f t="shared" si="9"/>
        <v>2124.98</v>
      </c>
      <c r="H80" s="38"/>
      <c r="I80" s="257">
        <f>'WPB-3.1 AD&amp;A (Base)'!K29</f>
        <v>1997.32</v>
      </c>
      <c r="J80" s="361">
        <v>1.9599999999999999E-2</v>
      </c>
      <c r="K80" s="173">
        <f t="shared" si="10"/>
        <v>3</v>
      </c>
      <c r="L80" s="38">
        <f t="shared" si="6"/>
        <v>0</v>
      </c>
      <c r="M80" s="257">
        <f>ROUND('Plant input detail '!M82*'WPB2.2 Plant detail-w slippage'!$P$2,0)</f>
        <v>0</v>
      </c>
      <c r="N80" s="2227">
        <f t="shared" si="7"/>
        <v>2000.32</v>
      </c>
      <c r="O80" s="292"/>
      <c r="P80" s="279"/>
      <c r="S80" s="277"/>
      <c r="T80" s="279"/>
    </row>
    <row r="81" spans="1:20" x14ac:dyDescent="0.2">
      <c r="A81" s="31">
        <f t="shared" si="8"/>
        <v>18</v>
      </c>
      <c r="B81" s="253">
        <v>375.3</v>
      </c>
      <c r="C81" s="52" t="s">
        <v>1040</v>
      </c>
      <c r="D81" s="257">
        <f>'WPB-2.1 Base Period'!K30</f>
        <v>0</v>
      </c>
      <c r="E81" s="382">
        <f>ROUND('Plant input detail '!E83*'WPB2.2 Plant detail-w slippage'!$P$2,0)</f>
        <v>0</v>
      </c>
      <c r="F81" s="257">
        <f>ROUND('Plant input detail '!F83*'WPB2.2 Plant detail-w slippage'!$P$2,0)</f>
        <v>0</v>
      </c>
      <c r="G81" s="257">
        <f t="shared" si="9"/>
        <v>0</v>
      </c>
      <c r="H81" s="38"/>
      <c r="I81" s="257">
        <f>'WPB-3.1 AD&amp;A (Base)'!K30</f>
        <v>-77.66</v>
      </c>
      <c r="J81" s="361">
        <v>1.9599999999999999E-2</v>
      </c>
      <c r="K81" s="173">
        <f t="shared" si="10"/>
        <v>0</v>
      </c>
      <c r="L81" s="38">
        <f t="shared" si="6"/>
        <v>0</v>
      </c>
      <c r="M81" s="257">
        <f>ROUND('Plant input detail '!M83*'WPB2.2 Plant detail-w slippage'!$P$2,0)</f>
        <v>0</v>
      </c>
      <c r="N81" s="2227">
        <f t="shared" si="7"/>
        <v>-77.66</v>
      </c>
      <c r="O81" s="292"/>
      <c r="P81" s="279"/>
      <c r="S81" s="277"/>
      <c r="T81" s="279"/>
    </row>
    <row r="82" spans="1:20" x14ac:dyDescent="0.2">
      <c r="A82" s="31">
        <f t="shared" si="8"/>
        <v>19</v>
      </c>
      <c r="B82" s="253">
        <v>375.4</v>
      </c>
      <c r="C82" s="52" t="s">
        <v>1041</v>
      </c>
      <c r="D82" s="257">
        <f>'WPB-2.1 Base Period'!K31</f>
        <v>1871441.02</v>
      </c>
      <c r="E82" s="382">
        <f>ROUND('Plant input detail '!E84*'WPB2.2 Plant detail-w slippage'!$P$2,0)</f>
        <v>185</v>
      </c>
      <c r="F82" s="257">
        <f>ROUND('Plant input detail '!F84*'WPB2.2 Plant detail-w slippage'!$P$2,0)</f>
        <v>-22</v>
      </c>
      <c r="G82" s="257">
        <f t="shared" si="9"/>
        <v>1871604.02</v>
      </c>
      <c r="H82" s="38"/>
      <c r="I82" s="257">
        <f>'WPB-3.1 AD&amp;A (Base)'!K31</f>
        <v>486466.37</v>
      </c>
      <c r="J82" s="361">
        <v>1.9599999999999999E-2</v>
      </c>
      <c r="K82" s="173">
        <f t="shared" si="10"/>
        <v>3057</v>
      </c>
      <c r="L82" s="38">
        <f t="shared" si="6"/>
        <v>22</v>
      </c>
      <c r="M82" s="257">
        <f>ROUND('Plant input detail '!M84*'WPB2.2 Plant detail-w slippage'!$P$2,0)</f>
        <v>-2</v>
      </c>
      <c r="N82" s="2227">
        <f t="shared" si="7"/>
        <v>489499.37</v>
      </c>
      <c r="O82" s="292"/>
      <c r="P82" s="279"/>
      <c r="S82" s="277"/>
      <c r="T82" s="280"/>
    </row>
    <row r="83" spans="1:20" x14ac:dyDescent="0.2">
      <c r="A83" s="31">
        <f t="shared" si="8"/>
        <v>20</v>
      </c>
      <c r="B83" s="253">
        <v>375.6</v>
      </c>
      <c r="C83" s="52" t="s">
        <v>1042</v>
      </c>
      <c r="D83" s="257">
        <f>'WPB-2.1 Base Period'!K32</f>
        <v>0</v>
      </c>
      <c r="E83" s="382">
        <f>ROUND('Plant input detail '!E85*'WPB2.2 Plant detail-w slippage'!$P$2,0)</f>
        <v>0</v>
      </c>
      <c r="F83" s="257">
        <f>ROUND('Plant input detail '!F85*'WPB2.2 Plant detail-w slippage'!$P$2,0)</f>
        <v>0</v>
      </c>
      <c r="G83" s="257">
        <f t="shared" si="9"/>
        <v>0</v>
      </c>
      <c r="H83" s="38"/>
      <c r="I83" s="257">
        <f>'WPB-3.1 AD&amp;A (Base)'!K32</f>
        <v>0.02</v>
      </c>
      <c r="J83" s="361">
        <v>1.9599999999999999E-2</v>
      </c>
      <c r="K83" s="173">
        <f t="shared" si="10"/>
        <v>0</v>
      </c>
      <c r="L83" s="38">
        <f t="shared" si="6"/>
        <v>0</v>
      </c>
      <c r="M83" s="257">
        <f>ROUND('Plant input detail '!M85*'WPB2.2 Plant detail-w slippage'!$P$2,0)</f>
        <v>0</v>
      </c>
      <c r="N83" s="2227">
        <f t="shared" si="7"/>
        <v>0.02</v>
      </c>
      <c r="O83" s="292"/>
      <c r="P83" s="279"/>
      <c r="S83" s="278"/>
      <c r="T83" s="279"/>
    </row>
    <row r="84" spans="1:20" x14ac:dyDescent="0.2">
      <c r="A84" s="31">
        <f t="shared" si="8"/>
        <v>21</v>
      </c>
      <c r="B84" s="253">
        <v>375.7</v>
      </c>
      <c r="C84" s="52" t="s">
        <v>1043</v>
      </c>
      <c r="D84" s="257">
        <f>'WPB-2.1 Base Period'!K33</f>
        <v>7980989.21</v>
      </c>
      <c r="E84" s="382">
        <f>ROUND('Plant input detail '!E86*'WPB2.2 Plant detail-w slippage'!$P$2,0)</f>
        <v>0</v>
      </c>
      <c r="F84" s="257">
        <f>ROUND('Plant input detail '!F86*'WPB2.2 Plant detail-w slippage'!$P$2,0)</f>
        <v>0</v>
      </c>
      <c r="G84" s="257">
        <f t="shared" si="9"/>
        <v>7980989.21</v>
      </c>
      <c r="H84" s="38"/>
      <c r="I84" s="257">
        <f>'WPB-3.1 AD&amp;A (Base)'!K33</f>
        <v>3220067.06</v>
      </c>
      <c r="J84" s="361">
        <v>1.9900000000000001E-2</v>
      </c>
      <c r="K84" s="173">
        <f t="shared" si="10"/>
        <v>13235</v>
      </c>
      <c r="L84" s="38">
        <f t="shared" si="6"/>
        <v>0</v>
      </c>
      <c r="M84" s="257">
        <f>ROUND('Plant input detail '!M86*'WPB2.2 Plant detail-w slippage'!$P$2,0)</f>
        <v>0</v>
      </c>
      <c r="N84" s="2227">
        <f t="shared" si="7"/>
        <v>3233302.06</v>
      </c>
      <c r="O84" s="292"/>
      <c r="P84" s="279"/>
    </row>
    <row r="85" spans="1:20" x14ac:dyDescent="0.2">
      <c r="A85" s="31">
        <f t="shared" si="8"/>
        <v>22</v>
      </c>
      <c r="B85" s="253">
        <v>375.71</v>
      </c>
      <c r="C85" s="52" t="s">
        <v>1044</v>
      </c>
      <c r="D85" s="257">
        <f>'WPB-2.1 Base Period'!K34</f>
        <v>259808.94</v>
      </c>
      <c r="E85" s="382">
        <f>ROUND('Plant input detail '!E87*'WPB2.2 Plant detail-w slippage'!$P$2,0)</f>
        <v>0</v>
      </c>
      <c r="F85" s="257">
        <f>ROUND('Plant input detail '!F87*'WPB2.2 Plant detail-w slippage'!$P$2,0)</f>
        <v>0</v>
      </c>
      <c r="G85" s="257">
        <f t="shared" si="9"/>
        <v>259808.94</v>
      </c>
      <c r="H85" s="38"/>
      <c r="I85" s="257">
        <f>'WPB-3.1 AD&amp;A (Base)'!K34</f>
        <v>155155.06</v>
      </c>
      <c r="J85" s="296" t="s">
        <v>1094</v>
      </c>
      <c r="K85" s="1334">
        <f>104653.88/38</f>
        <v>2754.0494736842106</v>
      </c>
      <c r="L85" s="38">
        <f t="shared" si="6"/>
        <v>0</v>
      </c>
      <c r="M85" s="257">
        <f>ROUND('Plant input detail '!M87*'WPB2.2 Plant detail-w slippage'!$P$2,0)</f>
        <v>0</v>
      </c>
      <c r="N85" s="2227">
        <f t="shared" si="7"/>
        <v>157909.10947368422</v>
      </c>
      <c r="O85" s="292"/>
      <c r="P85" s="279"/>
    </row>
    <row r="86" spans="1:20" x14ac:dyDescent="0.2">
      <c r="A86" s="31">
        <f t="shared" si="8"/>
        <v>23</v>
      </c>
      <c r="B86" s="253">
        <v>375.8</v>
      </c>
      <c r="C86" s="52" t="s">
        <v>1045</v>
      </c>
      <c r="D86" s="257">
        <f>'WPB-2.1 Base Period'!K35</f>
        <v>0</v>
      </c>
      <c r="E86" s="382">
        <f>ROUND('Plant input detail '!E88*'WPB2.2 Plant detail-w slippage'!$P$2,0)</f>
        <v>0</v>
      </c>
      <c r="F86" s="257">
        <f>ROUND('Plant input detail '!F88*'WPB2.2 Plant detail-w slippage'!$P$2,0)</f>
        <v>0</v>
      </c>
      <c r="G86" s="257">
        <f t="shared" si="9"/>
        <v>0</v>
      </c>
      <c r="H86" s="38"/>
      <c r="I86" s="257">
        <f>'WPB-3.1 AD&amp;A (Base)'!K35</f>
        <v>0</v>
      </c>
      <c r="J86" s="361">
        <v>5.3199999999999997E-2</v>
      </c>
      <c r="K86" s="1334">
        <v>0</v>
      </c>
      <c r="L86" s="38">
        <f t="shared" si="6"/>
        <v>0</v>
      </c>
      <c r="M86" s="257">
        <f>ROUND('Plant input detail '!M88*'WPB2.2 Plant detail-w slippage'!$P$2,0)</f>
        <v>0</v>
      </c>
      <c r="N86" s="2227">
        <f t="shared" si="7"/>
        <v>0</v>
      </c>
      <c r="O86" s="292"/>
      <c r="P86" s="279"/>
    </row>
    <row r="87" spans="1:20" x14ac:dyDescent="0.2">
      <c r="A87" s="31">
        <f>A86+1</f>
        <v>24</v>
      </c>
      <c r="B87" s="253">
        <v>376</v>
      </c>
      <c r="C87" s="251" t="s">
        <v>1096</v>
      </c>
      <c r="D87" s="257"/>
      <c r="E87" s="258"/>
      <c r="F87" s="259"/>
      <c r="G87" s="257"/>
      <c r="H87" s="38"/>
      <c r="I87" s="181"/>
      <c r="J87" s="1361"/>
      <c r="K87" s="173"/>
      <c r="L87" s="38"/>
      <c r="M87" s="259"/>
      <c r="P87" s="279"/>
    </row>
    <row r="88" spans="1:20" x14ac:dyDescent="0.2">
      <c r="A88" s="31"/>
      <c r="B88" s="253"/>
      <c r="C88" s="286" t="s">
        <v>1097</v>
      </c>
      <c r="D88" s="257"/>
      <c r="E88" s="258"/>
      <c r="F88" s="259"/>
      <c r="G88" s="257"/>
      <c r="H88" s="38"/>
      <c r="I88" s="257"/>
      <c r="J88" s="361"/>
      <c r="K88" s="173"/>
      <c r="L88" s="38"/>
      <c r="M88" s="257"/>
      <c r="N88" s="2227"/>
      <c r="O88" s="292"/>
      <c r="P88" s="279"/>
      <c r="R88" s="293"/>
    </row>
    <row r="89" spans="1:20" x14ac:dyDescent="0.2">
      <c r="A89" s="31"/>
      <c r="B89" s="253"/>
      <c r="C89" s="286" t="s">
        <v>1098</v>
      </c>
      <c r="D89" s="257"/>
      <c r="E89" s="258"/>
      <c r="F89" s="259"/>
      <c r="G89" s="257"/>
      <c r="H89" s="38"/>
      <c r="I89" s="257"/>
      <c r="J89" s="361"/>
      <c r="K89" s="173"/>
      <c r="L89" s="38"/>
      <c r="M89" s="257"/>
      <c r="N89" s="2227"/>
      <c r="O89" s="292"/>
      <c r="P89" s="279"/>
      <c r="R89" s="293"/>
    </row>
    <row r="90" spans="1:20" x14ac:dyDescent="0.2">
      <c r="A90" s="31"/>
      <c r="B90" s="253"/>
      <c r="C90" s="286" t="s">
        <v>1099</v>
      </c>
      <c r="D90" s="257"/>
      <c r="E90" s="258"/>
      <c r="F90" s="259"/>
      <c r="G90" s="257"/>
      <c r="H90" s="38"/>
      <c r="I90" s="257"/>
      <c r="J90" s="361"/>
      <c r="K90" s="173"/>
      <c r="L90" s="38"/>
      <c r="M90" s="257"/>
      <c r="N90" s="2227"/>
      <c r="O90" s="292"/>
      <c r="P90" s="279"/>
      <c r="R90" s="293"/>
    </row>
    <row r="91" spans="1:20" x14ac:dyDescent="0.2">
      <c r="A91" s="31"/>
      <c r="B91" s="253"/>
      <c r="C91" s="286" t="s">
        <v>1100</v>
      </c>
      <c r="D91" s="257"/>
      <c r="E91" s="258"/>
      <c r="F91" s="259"/>
      <c r="G91" s="257"/>
      <c r="H91" s="38"/>
      <c r="I91" s="257"/>
      <c r="J91" s="361"/>
      <c r="K91" s="173"/>
      <c r="L91" s="38"/>
      <c r="M91" s="257"/>
      <c r="N91" s="2227"/>
      <c r="O91" s="292"/>
      <c r="P91" s="279"/>
      <c r="R91" s="293"/>
    </row>
    <row r="92" spans="1:20" x14ac:dyDescent="0.2">
      <c r="A92" s="31"/>
      <c r="B92" s="253"/>
      <c r="C92" s="286" t="s">
        <v>1101</v>
      </c>
      <c r="D92" s="257">
        <f>'WPB-2.1 Base Period'!K36</f>
        <v>200467453.44</v>
      </c>
      <c r="E92" s="382">
        <f>ROUND('Plant input detail '!E94*'WPB2.2 Plant detail-w slippage'!$P$2,0)</f>
        <v>1887950</v>
      </c>
      <c r="F92" s="257">
        <f>ROUND('Plant input detail '!F94*'WPB2.2 Plant detail-w slippage'!$P$2,0)</f>
        <v>-226554</v>
      </c>
      <c r="G92" s="257">
        <f>SUM(D92:F92)</f>
        <v>202128849.44</v>
      </c>
      <c r="H92" s="38"/>
      <c r="I92" s="257">
        <f>'WPB-3.1 AD&amp;A (Base)'!K36</f>
        <v>56755635.609999999</v>
      </c>
      <c r="J92" s="361">
        <v>1.5699999999999999E-2</v>
      </c>
      <c r="K92" s="173">
        <f t="shared" si="10"/>
        <v>263365</v>
      </c>
      <c r="L92" s="38">
        <f t="shared" si="6"/>
        <v>226554</v>
      </c>
      <c r="M92" s="257">
        <f>ROUND('Plant input detail '!M94*'WPB2.2 Plant detail-w slippage'!$P$2,0)</f>
        <v>-33983</v>
      </c>
      <c r="N92" s="2227">
        <f t="shared" ref="N92:N97" si="11">I92+K92-L92+M92</f>
        <v>56758463.609999999</v>
      </c>
      <c r="O92" s="292"/>
      <c r="P92" s="279"/>
      <c r="R92" s="294"/>
    </row>
    <row r="93" spans="1:20" x14ac:dyDescent="0.2">
      <c r="A93" s="31">
        <f>A87+1</f>
        <v>25</v>
      </c>
      <c r="B93" s="253">
        <v>378.1</v>
      </c>
      <c r="C93" s="52" t="s">
        <v>1047</v>
      </c>
      <c r="D93" s="257">
        <f>'WPB-2.1 Base Period'!K37</f>
        <v>518504.18</v>
      </c>
      <c r="E93" s="382">
        <f>ROUND('Plant input detail '!E95*'WPB2.2 Plant detail-w slippage'!$P$2,0)</f>
        <v>0</v>
      </c>
      <c r="F93" s="257">
        <f>ROUND('Plant input detail '!F95*'WPB2.2 Plant detail-w slippage'!$P$2,0)</f>
        <v>0</v>
      </c>
      <c r="G93" s="257">
        <f t="shared" si="9"/>
        <v>518504.18</v>
      </c>
      <c r="H93" s="38"/>
      <c r="I93" s="257">
        <f>'WPB-3.1 AD&amp;A (Base)'!K37</f>
        <v>353311.81</v>
      </c>
      <c r="J93" s="361">
        <v>2.35E-2</v>
      </c>
      <c r="K93" s="173">
        <f t="shared" si="10"/>
        <v>1015</v>
      </c>
      <c r="L93" s="38">
        <f t="shared" si="6"/>
        <v>0</v>
      </c>
      <c r="M93" s="257">
        <f>ROUND('Plant input detail '!M95*'WPB2.2 Plant detail-w slippage'!$P$2,0)</f>
        <v>0</v>
      </c>
      <c r="N93" s="2227">
        <f t="shared" si="11"/>
        <v>354326.81</v>
      </c>
      <c r="O93" s="292"/>
      <c r="P93" s="279"/>
    </row>
    <row r="94" spans="1:20" x14ac:dyDescent="0.2">
      <c r="A94" s="31">
        <f t="shared" si="8"/>
        <v>26</v>
      </c>
      <c r="B94" s="253">
        <v>378.2</v>
      </c>
      <c r="C94" s="52" t="s">
        <v>1048</v>
      </c>
      <c r="D94" s="257">
        <f>'WPB-2.1 Base Period'!K38</f>
        <v>9495354</v>
      </c>
      <c r="E94" s="382">
        <f>ROUND('Plant input detail '!E96*'WPB2.2 Plant detail-w slippage'!$P$2,0)</f>
        <v>13744</v>
      </c>
      <c r="F94" s="257">
        <f>ROUND('Plant input detail '!F96*'WPB2.2 Plant detail-w slippage'!$P$2,0)</f>
        <v>-1649</v>
      </c>
      <c r="G94" s="257">
        <f t="shared" si="9"/>
        <v>9507449</v>
      </c>
      <c r="H94" s="38"/>
      <c r="I94" s="257">
        <f>'WPB-3.1 AD&amp;A (Base)'!K38</f>
        <v>3221847.91</v>
      </c>
      <c r="J94" s="361">
        <v>2.35E-2</v>
      </c>
      <c r="K94" s="173">
        <f t="shared" si="10"/>
        <v>18607</v>
      </c>
      <c r="L94" s="38">
        <f t="shared" si="6"/>
        <v>1649</v>
      </c>
      <c r="M94" s="257">
        <f>ROUND('Plant input detail '!M96*'WPB2.2 Plant detail-w slippage'!$P$2,0)</f>
        <v>-82</v>
      </c>
      <c r="N94" s="2227">
        <f t="shared" si="11"/>
        <v>3238723.91</v>
      </c>
      <c r="O94" s="292"/>
      <c r="P94" s="279"/>
    </row>
    <row r="95" spans="1:20" x14ac:dyDescent="0.2">
      <c r="A95" s="31">
        <f t="shared" si="8"/>
        <v>27</v>
      </c>
      <c r="B95" s="253">
        <v>378.3</v>
      </c>
      <c r="C95" s="52" t="s">
        <v>1049</v>
      </c>
      <c r="D95" s="257">
        <f>'WPB-2.1 Base Period'!K39</f>
        <v>45443.08</v>
      </c>
      <c r="E95" s="382">
        <f>ROUND('Plant input detail '!E97*'WPB2.2 Plant detail-w slippage'!$P$2,0)</f>
        <v>0</v>
      </c>
      <c r="F95" s="257">
        <f>ROUND('Plant input detail '!F97*'WPB2.2 Plant detail-w slippage'!$P$2,0)</f>
        <v>0</v>
      </c>
      <c r="G95" s="257">
        <f t="shared" si="9"/>
        <v>45443.08</v>
      </c>
      <c r="H95" s="38"/>
      <c r="I95" s="257">
        <f>'WPB-3.1 AD&amp;A (Base)'!K39</f>
        <v>34988.04</v>
      </c>
      <c r="J95" s="361">
        <v>2.35E-2</v>
      </c>
      <c r="K95" s="173">
        <f t="shared" si="10"/>
        <v>89</v>
      </c>
      <c r="L95" s="38">
        <f t="shared" si="6"/>
        <v>0</v>
      </c>
      <c r="M95" s="257">
        <f>ROUND('Plant input detail '!M97*'WPB2.2 Plant detail-w slippage'!$P$2,0)</f>
        <v>0</v>
      </c>
      <c r="N95" s="2227">
        <f t="shared" si="11"/>
        <v>35077.040000000001</v>
      </c>
      <c r="O95" s="292"/>
      <c r="P95" s="279"/>
    </row>
    <row r="96" spans="1:20" x14ac:dyDescent="0.2">
      <c r="A96" s="31">
        <f t="shared" si="8"/>
        <v>28</v>
      </c>
      <c r="B96" s="253">
        <v>379.1</v>
      </c>
      <c r="C96" s="52" t="s">
        <v>1050</v>
      </c>
      <c r="D96" s="257">
        <f>'WPB-2.1 Base Period'!K40</f>
        <v>254900.59</v>
      </c>
      <c r="E96" s="382">
        <f>ROUND('Plant input detail '!E98*'WPB2.2 Plant detail-w slippage'!$P$2,0)</f>
        <v>0</v>
      </c>
      <c r="F96" s="257">
        <f>ROUND('Plant input detail '!F98*'WPB2.2 Plant detail-w slippage'!$P$2,0)</f>
        <v>0</v>
      </c>
      <c r="G96" s="257">
        <f t="shared" si="9"/>
        <v>254900.59</v>
      </c>
      <c r="H96" s="38"/>
      <c r="I96" s="257">
        <f>'WPB-3.1 AD&amp;A (Base)'!K40</f>
        <v>267730.57</v>
      </c>
      <c r="J96" s="361">
        <v>2.2700000000000001E-2</v>
      </c>
      <c r="K96" s="259">
        <v>0</v>
      </c>
      <c r="L96" s="38">
        <f t="shared" si="6"/>
        <v>0</v>
      </c>
      <c r="M96" s="257">
        <f>ROUND('Plant input detail '!M98*'WPB2.2 Plant detail-w slippage'!$P$2,0)</f>
        <v>0</v>
      </c>
      <c r="N96" s="2227">
        <f t="shared" si="11"/>
        <v>267730.57</v>
      </c>
      <c r="O96" s="292"/>
      <c r="P96" s="279"/>
    </row>
    <row r="97" spans="1:16" x14ac:dyDescent="0.2">
      <c r="A97" s="31">
        <f t="shared" si="8"/>
        <v>29</v>
      </c>
      <c r="B97" s="253">
        <v>380</v>
      </c>
      <c r="C97" s="52" t="s">
        <v>1051</v>
      </c>
      <c r="D97" s="257">
        <f>'WPB-2.1 Base Period'!K41</f>
        <v>116344343.77</v>
      </c>
      <c r="E97" s="382">
        <f>ROUND('Plant input detail '!E99*'WPB2.2 Plant detail-w slippage'!$P$2,0)</f>
        <v>738026</v>
      </c>
      <c r="F97" s="257">
        <f>ROUND('Plant input detail '!F99*'WPB2.2 Plant detail-w slippage'!$P$2,0)</f>
        <v>-88563</v>
      </c>
      <c r="G97" s="257">
        <f t="shared" si="9"/>
        <v>116993806.77</v>
      </c>
      <c r="H97" s="38"/>
      <c r="I97" s="257">
        <f>'WPB-3.1 AD&amp;A (Base)'!K41</f>
        <v>57575962.520000003</v>
      </c>
      <c r="J97" s="361">
        <v>2.5899999999999999E-2</v>
      </c>
      <c r="K97" s="173">
        <f t="shared" si="10"/>
        <v>251811</v>
      </c>
      <c r="L97" s="38">
        <f t="shared" si="6"/>
        <v>88563</v>
      </c>
      <c r="M97" s="257">
        <f>ROUND('Plant input detail '!M99*'WPB2.2 Plant detail-w slippage'!$P$2,0)</f>
        <v>-44282</v>
      </c>
      <c r="N97" s="2227">
        <f t="shared" si="11"/>
        <v>57694928.520000003</v>
      </c>
      <c r="O97" s="292"/>
      <c r="P97" s="279"/>
    </row>
    <row r="98" spans="1:16" s="171" customFormat="1" x14ac:dyDescent="0.2">
      <c r="A98" s="170"/>
      <c r="B98" s="179"/>
      <c r="C98" s="178"/>
      <c r="D98" s="181"/>
      <c r="E98" s="173"/>
      <c r="F98" s="173"/>
      <c r="G98" s="181"/>
      <c r="H98" s="173"/>
      <c r="I98" s="173"/>
      <c r="J98" s="173"/>
      <c r="K98" s="173"/>
      <c r="L98" s="173"/>
      <c r="N98" s="2229"/>
    </row>
    <row r="99" spans="1:16" x14ac:dyDescent="0.2">
      <c r="A99" s="2079" t="str">
        <f>co</f>
        <v>COLUMBIA GAS OF KENTUCKY, INC.</v>
      </c>
      <c r="B99" s="2079"/>
      <c r="C99" s="2079"/>
      <c r="D99" s="2079"/>
      <c r="E99" s="2079"/>
      <c r="F99" s="2079"/>
      <c r="G99" s="2079"/>
      <c r="H99" s="2079"/>
      <c r="I99" s="2079"/>
      <c r="J99" s="2079"/>
      <c r="K99" s="2079"/>
      <c r="L99" s="2079"/>
      <c r="M99" s="2079"/>
      <c r="N99" s="2079"/>
    </row>
    <row r="100" spans="1:16" x14ac:dyDescent="0.2">
      <c r="A100" s="2079" t="str">
        <f>case</f>
        <v>CASE NO. 2016 - 00162</v>
      </c>
      <c r="B100" s="2079"/>
      <c r="C100" s="2079"/>
      <c r="D100" s="2079"/>
      <c r="E100" s="2079"/>
      <c r="F100" s="2079"/>
      <c r="G100" s="2079"/>
      <c r="H100" s="2079"/>
      <c r="I100" s="2079"/>
      <c r="J100" s="2079"/>
      <c r="K100" s="2079"/>
      <c r="L100" s="2079"/>
      <c r="M100" s="2079"/>
      <c r="N100" s="2079"/>
    </row>
    <row r="101" spans="1:16" x14ac:dyDescent="0.2">
      <c r="A101" s="2080" t="s">
        <v>1106</v>
      </c>
      <c r="B101" s="2079"/>
      <c r="C101" s="2079"/>
      <c r="D101" s="2079"/>
      <c r="E101" s="2079"/>
      <c r="F101" s="2079"/>
      <c r="G101" s="2079"/>
      <c r="H101" s="2079"/>
      <c r="I101" s="2079"/>
      <c r="J101" s="2079"/>
      <c r="K101" s="2079"/>
      <c r="L101" s="2079"/>
      <c r="M101" s="2079"/>
      <c r="N101" s="2079"/>
    </row>
    <row r="102" spans="1:16" x14ac:dyDescent="0.2">
      <c r="A102" s="2081" t="s">
        <v>2142</v>
      </c>
      <c r="B102" s="2085"/>
      <c r="C102" s="2085"/>
      <c r="D102" s="2085"/>
      <c r="E102" s="2085"/>
      <c r="F102" s="2085"/>
      <c r="G102" s="2085"/>
      <c r="H102" s="2085"/>
      <c r="I102" s="2085"/>
      <c r="J102" s="2085"/>
      <c r="K102" s="2085"/>
      <c r="L102" s="2085"/>
      <c r="M102" s="2085"/>
      <c r="N102" s="2085"/>
    </row>
    <row r="104" spans="1:16" x14ac:dyDescent="0.2">
      <c r="A104" s="285" t="str">
        <f>$A$6</f>
        <v>DATA:__X___BASE PERIOD__X___FORECASTED PERIOD</v>
      </c>
      <c r="C104" s="171"/>
      <c r="M104" s="32"/>
      <c r="N104" s="1258" t="str">
        <f>$N$6</f>
        <v>WPB-2.2</v>
      </c>
    </row>
    <row r="105" spans="1:16" x14ac:dyDescent="0.2">
      <c r="A105" s="4" t="str">
        <f>$A$7</f>
        <v>TYPE OF FILING:___X____ORIGINAL________UPDATED</v>
      </c>
      <c r="M105" s="32"/>
      <c r="N105" s="2223" t="s">
        <v>1715</v>
      </c>
    </row>
    <row r="106" spans="1:16" x14ac:dyDescent="0.2">
      <c r="A106" s="1261" t="str">
        <f>$A$8</f>
        <v xml:space="preserve">WORKPAPER REFERENCE NO(S).: </v>
      </c>
      <c r="B106" s="202"/>
      <c r="C106" s="202"/>
      <c r="D106" s="201"/>
      <c r="E106" s="202"/>
      <c r="F106" s="202"/>
      <c r="G106" s="201"/>
      <c r="H106" s="201"/>
      <c r="M106" s="203"/>
      <c r="N106" s="204" t="str">
        <f>SMK</f>
        <v>WITNESS:  S. M. KATKO</v>
      </c>
    </row>
    <row r="107" spans="1:16" x14ac:dyDescent="0.2">
      <c r="A107" s="200"/>
      <c r="B107" s="201"/>
      <c r="C107" s="201"/>
      <c r="D107" s="201"/>
      <c r="E107" s="202"/>
      <c r="F107" s="202"/>
      <c r="G107" s="201"/>
      <c r="H107" s="201"/>
      <c r="I107" s="203"/>
      <c r="J107" s="1357"/>
      <c r="L107" s="32"/>
      <c r="M107" s="32"/>
    </row>
    <row r="108" spans="1:16" x14ac:dyDescent="0.2">
      <c r="A108" s="200"/>
      <c r="B108" s="201"/>
      <c r="C108" s="201"/>
      <c r="D108" s="2082" t="s">
        <v>1088</v>
      </c>
      <c r="E108" s="2082"/>
      <c r="F108" s="2082"/>
      <c r="G108" s="2082"/>
      <c r="H108" s="201"/>
      <c r="I108" s="2083" t="s">
        <v>1093</v>
      </c>
      <c r="J108" s="2084"/>
      <c r="K108" s="2084"/>
      <c r="L108" s="2084"/>
      <c r="M108" s="2084"/>
      <c r="N108" s="2084"/>
    </row>
    <row r="109" spans="1:16" x14ac:dyDescent="0.2">
      <c r="A109" s="270"/>
      <c r="B109" s="201"/>
      <c r="C109" s="201"/>
      <c r="D109" s="271" t="s">
        <v>1084</v>
      </c>
      <c r="E109" s="202"/>
      <c r="F109" s="202"/>
      <c r="G109" s="269"/>
      <c r="H109" s="269"/>
      <c r="I109" s="261" t="s">
        <v>1089</v>
      </c>
      <c r="J109" s="1358"/>
      <c r="M109" s="32"/>
    </row>
    <row r="110" spans="1:16" x14ac:dyDescent="0.2">
      <c r="A110" s="30"/>
      <c r="D110" s="261" t="s">
        <v>865</v>
      </c>
      <c r="G110" s="261" t="s">
        <v>867</v>
      </c>
      <c r="H110" s="268"/>
      <c r="I110" s="261" t="s">
        <v>865</v>
      </c>
      <c r="J110" s="1308" t="s">
        <v>956</v>
      </c>
      <c r="M110" s="32"/>
      <c r="N110" s="2225" t="s">
        <v>867</v>
      </c>
    </row>
    <row r="111" spans="1:16" x14ac:dyDescent="0.2">
      <c r="A111" s="261" t="s">
        <v>1080</v>
      </c>
      <c r="B111" s="261" t="s">
        <v>1082</v>
      </c>
      <c r="D111" s="261" t="s">
        <v>867</v>
      </c>
      <c r="G111" s="262" t="s">
        <v>1087</v>
      </c>
      <c r="H111" s="268"/>
      <c r="I111" s="262" t="s">
        <v>867</v>
      </c>
      <c r="J111" s="1308" t="s">
        <v>1090</v>
      </c>
      <c r="K111" s="1308" t="s">
        <v>956</v>
      </c>
      <c r="M111" s="262" t="s">
        <v>1092</v>
      </c>
      <c r="N111" s="1259" t="s">
        <v>1087</v>
      </c>
    </row>
    <row r="112" spans="1:16" x14ac:dyDescent="0.2">
      <c r="A112" s="272" t="s">
        <v>1081</v>
      </c>
      <c r="B112" s="272" t="s">
        <v>1081</v>
      </c>
      <c r="C112" s="273" t="s">
        <v>1083</v>
      </c>
      <c r="D112" s="274" t="str">
        <f>D59</f>
        <v>02/29/2016</v>
      </c>
      <c r="E112" s="275" t="s">
        <v>1085</v>
      </c>
      <c r="F112" s="275" t="s">
        <v>1086</v>
      </c>
      <c r="G112" s="274" t="str">
        <f>G59</f>
        <v>03/31/2016</v>
      </c>
      <c r="H112" s="268"/>
      <c r="I112" s="274" t="str">
        <f>D112</f>
        <v>02/29/2016</v>
      </c>
      <c r="J112" s="275" t="s">
        <v>1091</v>
      </c>
      <c r="K112" s="1327" t="s">
        <v>1090</v>
      </c>
      <c r="L112" s="276" t="s">
        <v>1086</v>
      </c>
      <c r="M112" s="276" t="s">
        <v>955</v>
      </c>
      <c r="N112" s="2226" t="str">
        <f>G112</f>
        <v>03/31/2016</v>
      </c>
    </row>
    <row r="113" spans="1:16" x14ac:dyDescent="0.2">
      <c r="A113" s="267"/>
      <c r="B113" s="267"/>
      <c r="C113" s="267"/>
      <c r="D113" s="267" t="str">
        <f>"(1)"</f>
        <v>(1)</v>
      </c>
      <c r="E113" s="267" t="str">
        <f>"(2)"</f>
        <v>(2)</v>
      </c>
      <c r="F113" s="267" t="str">
        <f>"(3)"</f>
        <v>(3)</v>
      </c>
      <c r="G113" s="267" t="str">
        <f>"(4)=(1+2+3)"</f>
        <v>(4)=(1+2+3)</v>
      </c>
      <c r="H113" s="267"/>
      <c r="I113" s="267" t="str">
        <f>"(5)"</f>
        <v>(5)</v>
      </c>
      <c r="J113" s="1328" t="str">
        <f>"(6)"</f>
        <v>(6)</v>
      </c>
      <c r="K113" s="1328" t="str">
        <f>"(7)=((1+4)/2*6/12))"</f>
        <v>(7)=((1+4)/2*6/12))</v>
      </c>
      <c r="L113" s="267" t="str">
        <f>"(8)"</f>
        <v>(8)</v>
      </c>
      <c r="M113" s="267" t="str">
        <f>"(9)"</f>
        <v>(9)</v>
      </c>
      <c r="N113" s="204" t="str">
        <f>"(10)=(5+7-8+9)"</f>
        <v>(10)=(5+7-8+9)</v>
      </c>
    </row>
    <row r="114" spans="1:16" x14ac:dyDescent="0.2">
      <c r="D114" s="31" t="s">
        <v>639</v>
      </c>
      <c r="E114" s="170" t="s">
        <v>639</v>
      </c>
      <c r="F114" s="170" t="s">
        <v>639</v>
      </c>
      <c r="G114" s="31" t="s">
        <v>639</v>
      </c>
      <c r="H114" s="31"/>
      <c r="I114" s="31" t="s">
        <v>639</v>
      </c>
      <c r="J114" s="170" t="s">
        <v>639</v>
      </c>
      <c r="K114" s="170" t="s">
        <v>639</v>
      </c>
      <c r="L114" s="31" t="s">
        <v>639</v>
      </c>
      <c r="M114" s="31" t="s">
        <v>639</v>
      </c>
      <c r="N114" s="155" t="s">
        <v>639</v>
      </c>
    </row>
    <row r="115" spans="1:16" x14ac:dyDescent="0.2">
      <c r="C115" s="36" t="s">
        <v>707</v>
      </c>
      <c r="D115" s="31"/>
      <c r="E115" s="170"/>
      <c r="F115" s="170"/>
      <c r="G115" s="31"/>
      <c r="J115" s="170"/>
    </row>
    <row r="116" spans="1:16" x14ac:dyDescent="0.2">
      <c r="A116" s="127">
        <v>1</v>
      </c>
      <c r="B116" s="123">
        <v>381</v>
      </c>
      <c r="C116" s="52" t="s">
        <v>1052</v>
      </c>
      <c r="D116" s="257">
        <f>'WPB-2.1 Base Period'!K55</f>
        <v>13358440.550000001</v>
      </c>
      <c r="E116" s="382">
        <f>ROUND('Plant input detail '!E118*'WPB2.2 Plant detail-w slippage'!$P$2,0)</f>
        <v>89304</v>
      </c>
      <c r="F116" s="257">
        <f>ROUND('Plant input detail '!F118*'WPB2.2 Plant detail-w slippage'!$P$2,0)</f>
        <v>-10716</v>
      </c>
      <c r="G116" s="257">
        <f>SUM(D116:F116)</f>
        <v>13437028.550000001</v>
      </c>
      <c r="H116" s="38"/>
      <c r="I116" s="257">
        <f>'WPB-3.1 AD&amp;A (Base)'!K55</f>
        <v>4686265.8899999997</v>
      </c>
      <c r="J116" s="361">
        <v>2.5899999999999999E-2</v>
      </c>
      <c r="K116" s="173">
        <f t="shared" ref="K116:K127" si="12">ROUND((G116+D116)/2*J116/12,0)</f>
        <v>28917</v>
      </c>
      <c r="L116" s="38">
        <f t="shared" ref="L116:L127" si="13">-F116</f>
        <v>10716</v>
      </c>
      <c r="M116" s="257">
        <f>ROUND('Plant input detail '!M118*'WPB2.2 Plant detail-w slippage'!$P$2,0)</f>
        <v>0</v>
      </c>
      <c r="N116" s="2227">
        <f t="shared" ref="N116:N127" si="14">I116+K116-L116+M116</f>
        <v>4704466.8899999997</v>
      </c>
      <c r="O116" s="292"/>
      <c r="P116" s="279"/>
    </row>
    <row r="117" spans="1:16" x14ac:dyDescent="0.2">
      <c r="A117" s="127">
        <f>A116+1</f>
        <v>2</v>
      </c>
      <c r="B117" s="123">
        <v>381.1</v>
      </c>
      <c r="C117" s="52" t="s">
        <v>1115</v>
      </c>
      <c r="D117" s="257">
        <f>'WPB-2.1 Base Period'!K56</f>
        <v>8705079.0600000005</v>
      </c>
      <c r="E117" s="382">
        <f>ROUND('Plant input detail '!E119*'WPB2.2 Plant detail-w slippage'!$P$2,0)</f>
        <v>1030</v>
      </c>
      <c r="F117" s="257">
        <f>ROUND('Plant input detail '!F119*'WPB2.2 Plant detail-w slippage'!$P$2,0)</f>
        <v>-124</v>
      </c>
      <c r="G117" s="257">
        <f>SUM(D117:F117)</f>
        <v>8705985.0600000005</v>
      </c>
      <c r="H117" s="38"/>
      <c r="I117" s="257">
        <f>'WPB-3.1 AD&amp;A (Base)'!K56</f>
        <v>373391.5</v>
      </c>
      <c r="J117" s="361">
        <v>2.5899999999999999E-2</v>
      </c>
      <c r="K117" s="173">
        <f t="shared" si="12"/>
        <v>18789</v>
      </c>
      <c r="L117" s="38">
        <f t="shared" si="13"/>
        <v>124</v>
      </c>
      <c r="M117" s="257">
        <f>ROUND('Plant input detail '!M119*'WPB2.2 Plant detail-w slippage'!$P$2,0)</f>
        <v>0</v>
      </c>
      <c r="N117" s="2227">
        <f t="shared" si="14"/>
        <v>392056.5</v>
      </c>
      <c r="O117" s="292"/>
      <c r="P117" s="279"/>
    </row>
    <row r="118" spans="1:16" x14ac:dyDescent="0.2">
      <c r="A118" s="127">
        <f t="shared" ref="A118:A128" si="15">A117+1</f>
        <v>3</v>
      </c>
      <c r="B118" s="123">
        <v>382</v>
      </c>
      <c r="C118" s="52" t="s">
        <v>1053</v>
      </c>
      <c r="D118" s="257">
        <f>'WPB-2.1 Base Period'!K57</f>
        <v>9009270.6500000004</v>
      </c>
      <c r="E118" s="382">
        <f>ROUND('Plant input detail '!E120*'WPB2.2 Plant detail-w slippage'!$P$2,0)</f>
        <v>11268</v>
      </c>
      <c r="F118" s="257">
        <f>ROUND('Plant input detail '!F120*'WPB2.2 Plant detail-w slippage'!$P$2,0)</f>
        <v>-1352</v>
      </c>
      <c r="G118" s="257">
        <f t="shared" ref="G118:G123" si="16">SUM(D118:F118)</f>
        <v>9019186.6500000004</v>
      </c>
      <c r="H118" s="38"/>
      <c r="I118" s="257">
        <f>'WPB-3.1 AD&amp;A (Base)'!K57</f>
        <v>4482538.3</v>
      </c>
      <c r="J118" s="361">
        <v>2.3900000000000001E-2</v>
      </c>
      <c r="K118" s="173">
        <f t="shared" si="12"/>
        <v>17953</v>
      </c>
      <c r="L118" s="38">
        <f t="shared" si="13"/>
        <v>1352</v>
      </c>
      <c r="M118" s="257">
        <f>ROUND('Plant input detail '!M120*'WPB2.2 Plant detail-w slippage'!$P$2,0)</f>
        <v>-68</v>
      </c>
      <c r="N118" s="2227">
        <f t="shared" si="14"/>
        <v>4499071.3</v>
      </c>
      <c r="O118" s="292"/>
      <c r="P118" s="279"/>
    </row>
    <row r="119" spans="1:16" x14ac:dyDescent="0.2">
      <c r="A119" s="127">
        <f t="shared" si="15"/>
        <v>4</v>
      </c>
      <c r="B119" s="123">
        <v>383</v>
      </c>
      <c r="C119" s="52" t="s">
        <v>1054</v>
      </c>
      <c r="D119" s="257">
        <f>'WPB-2.1 Base Period'!K58</f>
        <v>5526144.7599999998</v>
      </c>
      <c r="E119" s="382">
        <f>ROUND('Plant input detail '!E121*'WPB2.2 Plant detail-w slippage'!$P$2,0)</f>
        <v>12034</v>
      </c>
      <c r="F119" s="257">
        <f>ROUND('Plant input detail '!F121*'WPB2.2 Plant detail-w slippage'!$P$2,0)</f>
        <v>-1444</v>
      </c>
      <c r="G119" s="257">
        <f t="shared" si="16"/>
        <v>5536734.7599999998</v>
      </c>
      <c r="H119" s="38"/>
      <c r="I119" s="257">
        <f>'WPB-3.1 AD&amp;A (Base)'!K58</f>
        <v>1460409.41</v>
      </c>
      <c r="J119" s="361">
        <v>1.3899999999999999E-2</v>
      </c>
      <c r="K119" s="173">
        <f t="shared" si="12"/>
        <v>6407</v>
      </c>
      <c r="L119" s="38">
        <f t="shared" si="13"/>
        <v>1444</v>
      </c>
      <c r="M119" s="257">
        <f>ROUND('Plant input detail '!M121*'WPB2.2 Plant detail-w slippage'!$P$2,0)</f>
        <v>-72</v>
      </c>
      <c r="N119" s="2227">
        <f t="shared" si="14"/>
        <v>1465300.41</v>
      </c>
      <c r="O119" s="292"/>
      <c r="P119" s="279"/>
    </row>
    <row r="120" spans="1:16" x14ac:dyDescent="0.2">
      <c r="A120" s="127">
        <f t="shared" si="15"/>
        <v>5</v>
      </c>
      <c r="B120" s="123">
        <v>384</v>
      </c>
      <c r="C120" s="52" t="s">
        <v>1055</v>
      </c>
      <c r="D120" s="257">
        <f>'WPB-2.1 Base Period'!K59</f>
        <v>2257522</v>
      </c>
      <c r="E120" s="382">
        <f>ROUND('Plant input detail '!E122*'WPB2.2 Plant detail-w slippage'!$P$2,0)</f>
        <v>0</v>
      </c>
      <c r="F120" s="257">
        <f>ROUND('Plant input detail '!F122*'WPB2.2 Plant detail-w slippage'!$P$2,0)</f>
        <v>0</v>
      </c>
      <c r="G120" s="257">
        <f t="shared" si="16"/>
        <v>2257522</v>
      </c>
      <c r="H120" s="38"/>
      <c r="I120" s="257">
        <f>'WPB-3.1 AD&amp;A (Base)'!K59</f>
        <v>1748638.73</v>
      </c>
      <c r="J120" s="361">
        <v>1.0999999999999999E-2</v>
      </c>
      <c r="K120" s="173">
        <f t="shared" si="12"/>
        <v>2069</v>
      </c>
      <c r="L120" s="38">
        <f t="shared" si="13"/>
        <v>0</v>
      </c>
      <c r="M120" s="257">
        <f>ROUND('Plant input detail '!M122*'WPB2.2 Plant detail-w slippage'!$P$2,0)</f>
        <v>0</v>
      </c>
      <c r="N120" s="2227">
        <f t="shared" si="14"/>
        <v>1750707.73</v>
      </c>
      <c r="O120" s="292"/>
      <c r="P120" s="279"/>
    </row>
    <row r="121" spans="1:16" x14ac:dyDescent="0.2">
      <c r="A121" s="127">
        <f t="shared" si="15"/>
        <v>6</v>
      </c>
      <c r="B121" s="123">
        <v>385</v>
      </c>
      <c r="C121" s="52" t="s">
        <v>1056</v>
      </c>
      <c r="D121" s="257">
        <f>'WPB-2.1 Base Period'!K60</f>
        <v>3049398.36</v>
      </c>
      <c r="E121" s="382">
        <f>ROUND('Plant input detail '!E123*'WPB2.2 Plant detail-w slippage'!$P$2,0)</f>
        <v>28235</v>
      </c>
      <c r="F121" s="257">
        <f>ROUND('Plant input detail '!F123*'WPB2.2 Plant detail-w slippage'!$P$2,0)</f>
        <v>-3388</v>
      </c>
      <c r="G121" s="257">
        <f t="shared" si="16"/>
        <v>3074245.36</v>
      </c>
      <c r="H121" s="38"/>
      <c r="I121" s="257">
        <f>'WPB-3.1 AD&amp;A (Base)'!K60</f>
        <v>864244.55</v>
      </c>
      <c r="J121" s="361">
        <v>2.0899999999999998E-2</v>
      </c>
      <c r="K121" s="173">
        <f t="shared" si="12"/>
        <v>5333</v>
      </c>
      <c r="L121" s="38">
        <f t="shared" si="13"/>
        <v>3388</v>
      </c>
      <c r="M121" s="257">
        <f>ROUND('Plant input detail '!M123*'WPB2.2 Plant detail-w slippage'!$P$2,0)</f>
        <v>-169</v>
      </c>
      <c r="N121" s="2227">
        <f t="shared" si="14"/>
        <v>866020.55</v>
      </c>
      <c r="O121" s="292"/>
      <c r="P121" s="279"/>
    </row>
    <row r="122" spans="1:16" x14ac:dyDescent="0.2">
      <c r="A122" s="127">
        <f t="shared" si="15"/>
        <v>7</v>
      </c>
      <c r="B122" s="123">
        <v>387.2</v>
      </c>
      <c r="C122" s="52" t="s">
        <v>1057</v>
      </c>
      <c r="D122" s="257">
        <f>'WPB-2.1 Base Period'!K61</f>
        <v>0</v>
      </c>
      <c r="E122" s="382">
        <f>ROUND('Plant input detail '!E124*'WPB2.2 Plant detail-w slippage'!$P$2,0)</f>
        <v>0</v>
      </c>
      <c r="F122" s="257">
        <f>ROUND('Plant input detail '!F124*'WPB2.2 Plant detail-w slippage'!$P$2,0)</f>
        <v>0</v>
      </c>
      <c r="G122" s="257">
        <f t="shared" si="16"/>
        <v>0</v>
      </c>
      <c r="H122" s="38"/>
      <c r="I122" s="257">
        <f>'WPB-3.1 AD&amp;A (Base)'!K61</f>
        <v>-59912.03</v>
      </c>
      <c r="J122" s="361">
        <v>2.3199999999999998E-2</v>
      </c>
      <c r="K122" s="173">
        <f t="shared" si="12"/>
        <v>0</v>
      </c>
      <c r="L122" s="38">
        <f t="shared" si="13"/>
        <v>0</v>
      </c>
      <c r="M122" s="257">
        <f>ROUND('Plant input detail '!M124*'WPB2.2 Plant detail-w slippage'!$P$2,0)</f>
        <v>0</v>
      </c>
      <c r="N122" s="2227">
        <f t="shared" si="14"/>
        <v>-59912.03</v>
      </c>
      <c r="O122" s="292"/>
      <c r="P122" s="279"/>
    </row>
    <row r="123" spans="1:16" x14ac:dyDescent="0.2">
      <c r="A123" s="127">
        <f t="shared" si="15"/>
        <v>8</v>
      </c>
      <c r="B123" s="123">
        <v>387.41</v>
      </c>
      <c r="C123" s="52" t="s">
        <v>1058</v>
      </c>
      <c r="D123" s="257">
        <f>'WPB-2.1 Base Period'!K62</f>
        <v>735770.76</v>
      </c>
      <c r="E123" s="382">
        <f>ROUND('Plant input detail '!E125*'WPB2.2 Plant detail-w slippage'!$P$2,0)</f>
        <v>0</v>
      </c>
      <c r="F123" s="257">
        <f>ROUND('Plant input detail '!F125*'WPB2.2 Plant detail-w slippage'!$P$2,0)</f>
        <v>0</v>
      </c>
      <c r="G123" s="257">
        <f t="shared" si="16"/>
        <v>735770.76</v>
      </c>
      <c r="H123" s="38"/>
      <c r="I123" s="257">
        <f>'WPB-3.1 AD&amp;A (Base)'!K62</f>
        <v>371707.95</v>
      </c>
      <c r="J123" s="361">
        <v>2.3400000000000001E-2</v>
      </c>
      <c r="K123" s="173">
        <f t="shared" si="12"/>
        <v>1435</v>
      </c>
      <c r="L123" s="38">
        <f t="shared" si="13"/>
        <v>0</v>
      </c>
      <c r="M123" s="257">
        <f>ROUND('Plant input detail '!M125*'WPB2.2 Plant detail-w slippage'!$P$2,0)</f>
        <v>0</v>
      </c>
      <c r="N123" s="2227">
        <f t="shared" si="14"/>
        <v>373142.95</v>
      </c>
      <c r="O123" s="292"/>
      <c r="P123" s="279"/>
    </row>
    <row r="124" spans="1:16" x14ac:dyDescent="0.2">
      <c r="A124" s="127">
        <f t="shared" si="15"/>
        <v>9</v>
      </c>
      <c r="B124" s="123">
        <v>387.42</v>
      </c>
      <c r="C124" s="52" t="s">
        <v>1059</v>
      </c>
      <c r="D124" s="257">
        <f>'WPB-2.1 Base Period'!K63</f>
        <v>795186.58</v>
      </c>
      <c r="E124" s="382">
        <f>ROUND('Plant input detail '!E126*'WPB2.2 Plant detail-w slippage'!$P$2,0)</f>
        <v>0</v>
      </c>
      <c r="F124" s="257">
        <f>ROUND('Plant input detail '!F126*'WPB2.2 Plant detail-w slippage'!$P$2,0)</f>
        <v>0</v>
      </c>
      <c r="G124" s="257">
        <f>SUM(D124:F124)</f>
        <v>795186.58</v>
      </c>
      <c r="H124" s="38"/>
      <c r="I124" s="257">
        <f>'WPB-3.1 AD&amp;A (Base)'!K63</f>
        <v>537035.94999999995</v>
      </c>
      <c r="J124" s="361">
        <v>2.3400000000000001E-2</v>
      </c>
      <c r="K124" s="173">
        <f t="shared" si="12"/>
        <v>1551</v>
      </c>
      <c r="L124" s="38">
        <f t="shared" si="13"/>
        <v>0</v>
      </c>
      <c r="M124" s="257">
        <f>ROUND('Plant input detail '!M126*'WPB2.2 Plant detail-w slippage'!$P$2,0)</f>
        <v>0</v>
      </c>
      <c r="N124" s="2227">
        <f t="shared" si="14"/>
        <v>538586.94999999995</v>
      </c>
      <c r="O124" s="292"/>
      <c r="P124" s="279"/>
    </row>
    <row r="125" spans="1:16" x14ac:dyDescent="0.2">
      <c r="A125" s="127">
        <f t="shared" si="15"/>
        <v>10</v>
      </c>
      <c r="B125" s="123">
        <v>387.44</v>
      </c>
      <c r="C125" s="52" t="s">
        <v>1060</v>
      </c>
      <c r="D125" s="257">
        <f>'WPB-2.1 Base Period'!K64</f>
        <v>133589.93</v>
      </c>
      <c r="E125" s="382">
        <f>ROUND('Plant input detail '!E127*'WPB2.2 Plant detail-w slippage'!$P$2,0)</f>
        <v>0</v>
      </c>
      <c r="F125" s="257">
        <f>ROUND('Plant input detail '!F127*'WPB2.2 Plant detail-w slippage'!$P$2,0)</f>
        <v>0</v>
      </c>
      <c r="G125" s="257">
        <f>SUM(D125:F125)</f>
        <v>133589.93</v>
      </c>
      <c r="H125" s="38"/>
      <c r="I125" s="257">
        <f>'WPB-3.1 AD&amp;A (Base)'!K64</f>
        <v>45543.55</v>
      </c>
      <c r="J125" s="361">
        <v>2.3400000000000001E-2</v>
      </c>
      <c r="K125" s="173">
        <f t="shared" si="12"/>
        <v>261</v>
      </c>
      <c r="L125" s="38">
        <f t="shared" si="13"/>
        <v>0</v>
      </c>
      <c r="M125" s="257">
        <f>ROUND('Plant input detail '!M127*'WPB2.2 Plant detail-w slippage'!$P$2,0)</f>
        <v>0</v>
      </c>
      <c r="N125" s="2227">
        <f t="shared" si="14"/>
        <v>45804.55</v>
      </c>
      <c r="O125" s="292"/>
      <c r="P125" s="279"/>
    </row>
    <row r="126" spans="1:16" x14ac:dyDescent="0.2">
      <c r="A126" s="127">
        <f t="shared" si="15"/>
        <v>11</v>
      </c>
      <c r="B126" s="123">
        <v>387.45</v>
      </c>
      <c r="C126" s="52" t="s">
        <v>1061</v>
      </c>
      <c r="D126" s="257">
        <f>'WPB-2.1 Base Period'!K65</f>
        <v>2744230.66</v>
      </c>
      <c r="E126" s="382">
        <f>ROUND('Plant input detail '!E128*'WPB2.2 Plant detail-w slippage'!$P$2,0)</f>
        <v>13623</v>
      </c>
      <c r="F126" s="257">
        <f>ROUND('Plant input detail '!F128*'WPB2.2 Plant detail-w slippage'!$P$2,0)</f>
        <v>-1635</v>
      </c>
      <c r="G126" s="257">
        <f>SUM(D126:F126)</f>
        <v>2756218.66</v>
      </c>
      <c r="H126" s="38"/>
      <c r="I126" s="257">
        <f>'WPB-3.1 AD&amp;A (Base)'!K65</f>
        <v>547160.06000000006</v>
      </c>
      <c r="J126" s="361">
        <v>2.3400000000000001E-2</v>
      </c>
      <c r="K126" s="173">
        <f t="shared" si="12"/>
        <v>5363</v>
      </c>
      <c r="L126" s="38">
        <f t="shared" si="13"/>
        <v>1635</v>
      </c>
      <c r="M126" s="257">
        <f>ROUND('Plant input detail '!M128*'WPB2.2 Plant detail-w slippage'!$P$2,0)</f>
        <v>0</v>
      </c>
      <c r="N126" s="2227">
        <f t="shared" si="14"/>
        <v>550888.06000000006</v>
      </c>
      <c r="O126" s="292"/>
      <c r="P126" s="279"/>
    </row>
    <row r="127" spans="1:16" x14ac:dyDescent="0.2">
      <c r="A127" s="127">
        <f t="shared" si="15"/>
        <v>12</v>
      </c>
      <c r="B127" s="123">
        <v>387.46</v>
      </c>
      <c r="C127" s="52" t="s">
        <v>1062</v>
      </c>
      <c r="D127" s="260">
        <f>'WPB-2.1 Base Period'!K66</f>
        <v>113644.47</v>
      </c>
      <c r="E127" s="265">
        <f>ROUND('Plant input detail '!E129*'WPB2.2 Plant detail-w slippage'!$P$2,0)</f>
        <v>0</v>
      </c>
      <c r="F127" s="265">
        <f>ROUND('Plant input detail '!F129*'WPB2.2 Plant detail-w slippage'!$P$2,0)</f>
        <v>0</v>
      </c>
      <c r="G127" s="265">
        <f>SUM(D127:F127)</f>
        <v>113644.47</v>
      </c>
      <c r="H127" s="264"/>
      <c r="I127" s="260">
        <f>'WPB-3.1 AD&amp;A (Base)'!K66</f>
        <v>110012.83</v>
      </c>
      <c r="J127" s="361">
        <v>2.3400000000000001E-2</v>
      </c>
      <c r="K127" s="260">
        <f t="shared" si="12"/>
        <v>222</v>
      </c>
      <c r="L127" s="295">
        <f t="shared" si="13"/>
        <v>0</v>
      </c>
      <c r="M127" s="265">
        <f>ROUND('Plant input detail '!M129*'WPB2.2 Plant detail-w slippage'!$P$2,0)</f>
        <v>0</v>
      </c>
      <c r="N127" s="2228">
        <f t="shared" si="14"/>
        <v>110234.83</v>
      </c>
      <c r="O127" s="292"/>
      <c r="P127" s="279"/>
    </row>
    <row r="128" spans="1:16" x14ac:dyDescent="0.2">
      <c r="A128" s="127">
        <f t="shared" si="15"/>
        <v>13</v>
      </c>
      <c r="B128" s="252"/>
      <c r="C128" s="32" t="s">
        <v>1063</v>
      </c>
      <c r="D128" s="173">
        <f>SUM(D116:D127,D76:D97)</f>
        <v>387874484.37999994</v>
      </c>
      <c r="E128" s="173">
        <f>SUM(E116:E127,E76:E97)</f>
        <v>2795553</v>
      </c>
      <c r="F128" s="173">
        <f>SUM(F116:F127,F76:F97)</f>
        <v>-335465</v>
      </c>
      <c r="G128" s="173">
        <f>SUM(G116:G127,G76:G97)</f>
        <v>390334572.37999994</v>
      </c>
      <c r="H128" s="38"/>
      <c r="I128" s="173">
        <f>SUM(I116:I127,I76:I97)</f>
        <v>138316581.78</v>
      </c>
      <c r="J128" s="173"/>
      <c r="K128" s="173">
        <f>SUM(K116:K127,K76:K97)</f>
        <v>645790.04947368428</v>
      </c>
      <c r="L128" s="173">
        <f>SUM(L116:L127,L76:L97)</f>
        <v>335465</v>
      </c>
      <c r="M128" s="173">
        <f>SUM(M116:M127,M76:M97)</f>
        <v>-78658</v>
      </c>
      <c r="N128" s="1361">
        <f>SUM(N116:N127,N76:N97)</f>
        <v>138548248.82947367</v>
      </c>
      <c r="P128" s="279"/>
    </row>
    <row r="129" spans="1:16" x14ac:dyDescent="0.2">
      <c r="B129" s="252"/>
      <c r="D129" s="38"/>
      <c r="E129" s="173"/>
      <c r="F129" s="173"/>
      <c r="G129" s="38"/>
      <c r="H129" s="38"/>
      <c r="I129" s="181"/>
      <c r="J129" s="173"/>
      <c r="K129" s="173"/>
      <c r="L129" s="38"/>
      <c r="M129" s="173"/>
      <c r="P129" s="279"/>
    </row>
    <row r="130" spans="1:16" x14ac:dyDescent="0.2">
      <c r="A130" s="127">
        <f>A128+1</f>
        <v>14</v>
      </c>
      <c r="B130" s="252"/>
      <c r="C130" s="36" t="s">
        <v>737</v>
      </c>
      <c r="D130" s="38"/>
      <c r="E130" s="173"/>
      <c r="F130" s="173"/>
      <c r="G130" s="38"/>
      <c r="H130" s="38"/>
      <c r="I130" s="181"/>
      <c r="J130" s="173"/>
      <c r="K130" s="173"/>
      <c r="L130" s="38"/>
      <c r="M130" s="173"/>
      <c r="P130" s="279"/>
    </row>
    <row r="131" spans="1:16" x14ac:dyDescent="0.2">
      <c r="A131" s="31">
        <f>A130+1</f>
        <v>15</v>
      </c>
      <c r="B131" s="123">
        <v>391.1</v>
      </c>
      <c r="C131" s="52" t="s">
        <v>1064</v>
      </c>
      <c r="D131" s="257">
        <f>'WPB-2.1 Base Period'!K70</f>
        <v>713480.71</v>
      </c>
      <c r="E131" s="382">
        <f>ROUND('Plant input detail '!E133*'WPB2.2 Plant detail-w slippage'!$P$2,0)</f>
        <v>22697</v>
      </c>
      <c r="F131" s="257">
        <f>ROUND('Plant input detail '!F133*'WPB2.2 Plant detail-w slippage'!$P$2,0)</f>
        <v>-2724</v>
      </c>
      <c r="G131" s="257">
        <f t="shared" ref="G131:G144" si="17">SUM(D131:F131)</f>
        <v>733453.71</v>
      </c>
      <c r="H131" s="38"/>
      <c r="I131" s="296">
        <f>'WPB-3.1 AD&amp;A (Base)'!K70</f>
        <v>-80906.22</v>
      </c>
      <c r="J131" s="361">
        <v>0.05</v>
      </c>
      <c r="K131" s="173">
        <f>ROUND((G131+D131)/2*J131/12,0)</f>
        <v>3014</v>
      </c>
      <c r="L131" s="38">
        <f t="shared" ref="L131:L144" si="18">-F131</f>
        <v>2724</v>
      </c>
      <c r="M131" s="257">
        <f>ROUND('Plant input detail '!M133*'WPB2.2 Plant detail-w slippage'!$P$2,0)</f>
        <v>0</v>
      </c>
      <c r="N131" s="2227">
        <f t="shared" ref="N131:N144" si="19">I131+K131-L131+M131</f>
        <v>-80616.22</v>
      </c>
      <c r="O131" s="292"/>
      <c r="P131" s="279"/>
    </row>
    <row r="132" spans="1:16" x14ac:dyDescent="0.2">
      <c r="A132" s="31">
        <f t="shared" ref="A132:A145" si="20">A131+1</f>
        <v>16</v>
      </c>
      <c r="B132" s="123">
        <v>391.11</v>
      </c>
      <c r="C132" s="52" t="s">
        <v>1065</v>
      </c>
      <c r="D132" s="257">
        <f>'WPB-2.1 Base Period'!K71</f>
        <v>18815.57</v>
      </c>
      <c r="E132" s="382">
        <f>ROUND('Plant input detail '!E134*'WPB2.2 Plant detail-w slippage'!$P$2,0)</f>
        <v>0</v>
      </c>
      <c r="F132" s="257">
        <f>ROUND('Plant input detail '!F134*'WPB2.2 Plant detail-w slippage'!$P$2,0)</f>
        <v>0</v>
      </c>
      <c r="G132" s="257">
        <f t="shared" si="17"/>
        <v>18815.57</v>
      </c>
      <c r="H132" s="38"/>
      <c r="I132" s="296">
        <f>'WPB-3.1 AD&amp;A (Base)'!K71</f>
        <v>-13034.77</v>
      </c>
      <c r="J132" s="361">
        <v>6.6699999999999995E-2</v>
      </c>
      <c r="K132" s="173">
        <f>ROUND((G132+D132)/2*J132/12,0)</f>
        <v>105</v>
      </c>
      <c r="L132" s="38">
        <f t="shared" si="18"/>
        <v>0</v>
      </c>
      <c r="M132" s="257">
        <f>ROUND('Plant input detail '!M134*'WPB2.2 Plant detail-w slippage'!$P$2,0)</f>
        <v>0</v>
      </c>
      <c r="N132" s="2227">
        <f t="shared" si="19"/>
        <v>-12929.77</v>
      </c>
      <c r="O132" s="292"/>
      <c r="P132" s="279"/>
    </row>
    <row r="133" spans="1:16" x14ac:dyDescent="0.2">
      <c r="A133" s="31">
        <f t="shared" si="20"/>
        <v>17</v>
      </c>
      <c r="B133" s="123">
        <v>391.12</v>
      </c>
      <c r="C133" s="52" t="s">
        <v>1066</v>
      </c>
      <c r="D133" s="257">
        <f>'WPB-2.1 Base Period'!K72</f>
        <v>853483.41</v>
      </c>
      <c r="E133" s="382">
        <f>ROUND('Plant input detail '!E135*'WPB2.2 Plant detail-w slippage'!$P$2,0)</f>
        <v>0</v>
      </c>
      <c r="F133" s="257">
        <f>ROUND('Plant input detail '!F135*'WPB2.2 Plant detail-w slippage'!$P$2,0)</f>
        <v>0</v>
      </c>
      <c r="G133" s="257">
        <f t="shared" si="17"/>
        <v>853483.41</v>
      </c>
      <c r="H133" s="38"/>
      <c r="I133" s="296">
        <f>'WPB-3.1 AD&amp;A (Base)'!K72</f>
        <v>547335.37</v>
      </c>
      <c r="J133" s="361">
        <v>0.2</v>
      </c>
      <c r="K133" s="173">
        <f>ROUND((G133+D133)/2*J133/12,0)</f>
        <v>14225</v>
      </c>
      <c r="L133" s="38">
        <f t="shared" si="18"/>
        <v>0</v>
      </c>
      <c r="M133" s="257">
        <f>ROUND('Plant input detail '!M135*'WPB2.2 Plant detail-w slippage'!$P$2,0)</f>
        <v>0</v>
      </c>
      <c r="N133" s="2227">
        <f t="shared" si="19"/>
        <v>561560.37</v>
      </c>
      <c r="O133" s="292"/>
      <c r="P133" s="279"/>
    </row>
    <row r="134" spans="1:16" x14ac:dyDescent="0.2">
      <c r="A134" s="31">
        <f t="shared" si="20"/>
        <v>18</v>
      </c>
      <c r="B134" s="123">
        <v>392.2</v>
      </c>
      <c r="C134" s="52" t="s">
        <v>1067</v>
      </c>
      <c r="D134" s="257">
        <f>'WPB-2.1 Base Period'!K73</f>
        <v>95778</v>
      </c>
      <c r="E134" s="382">
        <f>ROUND('Plant input detail '!E136*'WPB2.2 Plant detail-w slippage'!$P$2,0)</f>
        <v>0</v>
      </c>
      <c r="F134" s="257">
        <f>ROUND('Plant input detail '!F136*'WPB2.2 Plant detail-w slippage'!$P$2,0)</f>
        <v>0</v>
      </c>
      <c r="G134" s="257">
        <f t="shared" si="17"/>
        <v>95778</v>
      </c>
      <c r="H134" s="38"/>
      <c r="I134" s="296">
        <f>'WPB-3.1 AD&amp;A (Base)'!K73</f>
        <v>20305.05</v>
      </c>
      <c r="J134" s="361">
        <v>2.9399999999999999E-2</v>
      </c>
      <c r="K134" s="173">
        <f>ROUND((G134+D134)/2*J134/12,0)</f>
        <v>235</v>
      </c>
      <c r="L134" s="38">
        <f t="shared" si="18"/>
        <v>0</v>
      </c>
      <c r="M134" s="257">
        <f>ROUND('Plant input detail '!M136*'WPB2.2 Plant detail-w slippage'!$P$2,0)</f>
        <v>0</v>
      </c>
      <c r="N134" s="2227">
        <f t="shared" si="19"/>
        <v>20540.05</v>
      </c>
      <c r="O134" s="292"/>
      <c r="P134" s="279"/>
    </row>
    <row r="135" spans="1:16" x14ac:dyDescent="0.2">
      <c r="A135" s="31">
        <f t="shared" si="20"/>
        <v>19</v>
      </c>
      <c r="B135" s="123">
        <v>392.21</v>
      </c>
      <c r="C135" s="52" t="s">
        <v>1068</v>
      </c>
      <c r="D135" s="257">
        <f>'WPB-2.1 Base Period'!K74</f>
        <v>24462.2</v>
      </c>
      <c r="E135" s="382">
        <f>ROUND('Plant input detail '!E137*'WPB2.2 Plant detail-w slippage'!$P$2,0)</f>
        <v>0</v>
      </c>
      <c r="F135" s="257">
        <f>ROUND('Plant input detail '!F137*'WPB2.2 Plant detail-w slippage'!$P$2,0)</f>
        <v>0</v>
      </c>
      <c r="G135" s="257">
        <f t="shared" si="17"/>
        <v>24462.2</v>
      </c>
      <c r="H135" s="38"/>
      <c r="I135" s="296">
        <f>'WPB-3.1 AD&amp;A (Base)'!K74</f>
        <v>4587.3999999999996</v>
      </c>
      <c r="J135" s="361">
        <v>2.9399999999999999E-2</v>
      </c>
      <c r="K135" s="173">
        <f>ROUND((G135+D135)/2*J135/12,0)</f>
        <v>60</v>
      </c>
      <c r="L135" s="38">
        <f t="shared" si="18"/>
        <v>0</v>
      </c>
      <c r="M135" s="257">
        <f>ROUND('Plant input detail '!M137*'WPB2.2 Plant detail-w slippage'!$P$2,0)</f>
        <v>0</v>
      </c>
      <c r="N135" s="2227">
        <f t="shared" si="19"/>
        <v>4647.3999999999996</v>
      </c>
      <c r="O135" s="292"/>
      <c r="P135" s="279"/>
    </row>
    <row r="136" spans="1:16" x14ac:dyDescent="0.2">
      <c r="A136" s="31">
        <f t="shared" si="20"/>
        <v>20</v>
      </c>
      <c r="B136" s="123">
        <v>393</v>
      </c>
      <c r="C136" s="52" t="s">
        <v>1069</v>
      </c>
      <c r="D136" s="257">
        <f>'WPB-2.1 Base Period'!K75</f>
        <v>0</v>
      </c>
      <c r="E136" s="382">
        <f>ROUND('Plant input detail '!E138*'WPB2.2 Plant detail-w slippage'!$P$2,0)</f>
        <v>0</v>
      </c>
      <c r="F136" s="257">
        <f>ROUND('Plant input detail '!F138*'WPB2.2 Plant detail-w slippage'!$P$2,0)</f>
        <v>0</v>
      </c>
      <c r="G136" s="257">
        <f t="shared" si="17"/>
        <v>0</v>
      </c>
      <c r="H136" s="38"/>
      <c r="I136" s="296">
        <f>'WPB-3.1 AD&amp;A (Base)'!K75</f>
        <v>0</v>
      </c>
      <c r="J136" s="296" t="s">
        <v>1094</v>
      </c>
      <c r="K136" s="259">
        <v>0</v>
      </c>
      <c r="L136" s="38">
        <f t="shared" si="18"/>
        <v>0</v>
      </c>
      <c r="M136" s="257">
        <f>ROUND('Plant input detail '!M138*'WPB2.2 Plant detail-w slippage'!$P$2,0)</f>
        <v>0</v>
      </c>
      <c r="N136" s="2227">
        <f t="shared" si="19"/>
        <v>0</v>
      </c>
      <c r="O136" s="292"/>
      <c r="P136" s="279"/>
    </row>
    <row r="137" spans="1:16" x14ac:dyDescent="0.2">
      <c r="A137" s="31">
        <f t="shared" si="20"/>
        <v>21</v>
      </c>
      <c r="B137" s="123">
        <v>394.1</v>
      </c>
      <c r="C137" s="52" t="s">
        <v>1070</v>
      </c>
      <c r="D137" s="257">
        <f>'WPB-2.1 Base Period'!K76</f>
        <v>24240.799999999999</v>
      </c>
      <c r="E137" s="382">
        <f>ROUND('Plant input detail '!E139*'WPB2.2 Plant detail-w slippage'!$P$2,0)</f>
        <v>0</v>
      </c>
      <c r="F137" s="257">
        <f>ROUND('Plant input detail '!F139*'WPB2.2 Plant detail-w slippage'!$P$2,0)</f>
        <v>0</v>
      </c>
      <c r="G137" s="257">
        <f t="shared" si="17"/>
        <v>24240.799999999999</v>
      </c>
      <c r="H137" s="38"/>
      <c r="I137" s="296">
        <f>'WPB-3.1 AD&amp;A (Base)'!K76</f>
        <v>13798.82</v>
      </c>
      <c r="J137" s="361">
        <v>0.04</v>
      </c>
      <c r="K137" s="173">
        <f t="shared" ref="K137:K144" si="21">ROUND((G137+D137)/2*J137/12,0)</f>
        <v>81</v>
      </c>
      <c r="L137" s="38">
        <f t="shared" si="18"/>
        <v>0</v>
      </c>
      <c r="M137" s="257">
        <f>ROUND('Plant input detail '!M139*'WPB2.2 Plant detail-w slippage'!$P$2,0)</f>
        <v>0</v>
      </c>
      <c r="N137" s="2227">
        <f t="shared" si="19"/>
        <v>13879.82</v>
      </c>
      <c r="O137" s="292"/>
      <c r="P137" s="279"/>
    </row>
    <row r="138" spans="1:16" x14ac:dyDescent="0.2">
      <c r="A138" s="31">
        <f t="shared" si="20"/>
        <v>22</v>
      </c>
      <c r="B138" s="123">
        <v>394.11</v>
      </c>
      <c r="C138" s="52" t="s">
        <v>1071</v>
      </c>
      <c r="D138" s="257">
        <f>'WPB-2.1 Base Period'!K77</f>
        <v>0</v>
      </c>
      <c r="E138" s="382">
        <f>ROUND('Plant input detail '!E140*'WPB2.2 Plant detail-w slippage'!$P$2,0)</f>
        <v>0</v>
      </c>
      <c r="F138" s="257">
        <f>ROUND('Plant input detail '!F140*'WPB2.2 Plant detail-w slippage'!$P$2,0)</f>
        <v>0</v>
      </c>
      <c r="G138" s="257">
        <f t="shared" si="17"/>
        <v>0</v>
      </c>
      <c r="H138" s="38"/>
      <c r="I138" s="296">
        <f>'WPB-3.1 AD&amp;A (Base)'!K77</f>
        <v>0</v>
      </c>
      <c r="J138" s="361">
        <v>0.13769999999999999</v>
      </c>
      <c r="K138" s="173">
        <f t="shared" si="21"/>
        <v>0</v>
      </c>
      <c r="L138" s="38">
        <f t="shared" si="18"/>
        <v>0</v>
      </c>
      <c r="M138" s="257">
        <f>ROUND('Plant input detail '!M140*'WPB2.2 Plant detail-w slippage'!$P$2,0)</f>
        <v>0</v>
      </c>
      <c r="N138" s="2227">
        <f t="shared" si="19"/>
        <v>0</v>
      </c>
      <c r="O138" s="292"/>
      <c r="P138" s="279"/>
    </row>
    <row r="139" spans="1:16" x14ac:dyDescent="0.2">
      <c r="A139" s="31">
        <f t="shared" si="20"/>
        <v>23</v>
      </c>
      <c r="B139" s="123">
        <v>394.13</v>
      </c>
      <c r="C139" s="251" t="s">
        <v>1072</v>
      </c>
      <c r="D139" s="257">
        <f>'WPB-2.1 Base Period'!K78</f>
        <v>0</v>
      </c>
      <c r="E139" s="382">
        <f>ROUND('Plant input detail '!E141*'WPB2.2 Plant detail-w slippage'!$P$2,0)</f>
        <v>0</v>
      </c>
      <c r="F139" s="257">
        <f>ROUND('Plant input detail '!F141*'WPB2.2 Plant detail-w slippage'!$P$2,0)</f>
        <v>0</v>
      </c>
      <c r="G139" s="257">
        <f t="shared" si="17"/>
        <v>0</v>
      </c>
      <c r="H139" s="38"/>
      <c r="I139" s="296">
        <f>'WPB-3.1 AD&amp;A (Base)'!K78</f>
        <v>37937.360000000001</v>
      </c>
      <c r="J139" s="296" t="s">
        <v>1094</v>
      </c>
      <c r="K139" s="259">
        <v>0</v>
      </c>
      <c r="L139" s="38">
        <f t="shared" si="18"/>
        <v>0</v>
      </c>
      <c r="M139" s="257">
        <f>ROUND('Plant input detail '!M141*'WPB2.2 Plant detail-w slippage'!$P$2,0)</f>
        <v>0</v>
      </c>
      <c r="N139" s="2227">
        <f t="shared" si="19"/>
        <v>37937.360000000001</v>
      </c>
      <c r="O139" s="292"/>
      <c r="P139" s="279"/>
    </row>
    <row r="140" spans="1:16" x14ac:dyDescent="0.2">
      <c r="A140" s="31">
        <f t="shared" si="20"/>
        <v>24</v>
      </c>
      <c r="B140" s="123">
        <v>394.2</v>
      </c>
      <c r="C140" s="52" t="s">
        <v>1073</v>
      </c>
      <c r="D140" s="257">
        <f>'WPB-2.1 Base Period'!K79</f>
        <v>0</v>
      </c>
      <c r="E140" s="382">
        <f>ROUND('Plant input detail '!E142*'WPB2.2 Plant detail-w slippage'!$P$2,0)</f>
        <v>0</v>
      </c>
      <c r="F140" s="257">
        <f>ROUND('Plant input detail '!F142*'WPB2.2 Plant detail-w slippage'!$P$2,0)</f>
        <v>0</v>
      </c>
      <c r="G140" s="257">
        <f t="shared" si="17"/>
        <v>0</v>
      </c>
      <c r="H140" s="38"/>
      <c r="I140" s="296">
        <f>'WPB-3.1 AD&amp;A (Base)'!K79</f>
        <v>185.21</v>
      </c>
      <c r="J140" s="361">
        <v>0.04</v>
      </c>
      <c r="K140" s="173">
        <f t="shared" si="21"/>
        <v>0</v>
      </c>
      <c r="L140" s="38">
        <f t="shared" si="18"/>
        <v>0</v>
      </c>
      <c r="M140" s="257">
        <f>ROUND('Plant input detail '!M142*'WPB2.2 Plant detail-w slippage'!$P$2,0)</f>
        <v>0</v>
      </c>
      <c r="N140" s="2227">
        <f t="shared" si="19"/>
        <v>185.21</v>
      </c>
      <c r="O140" s="292"/>
      <c r="P140" s="279"/>
    </row>
    <row r="141" spans="1:16" x14ac:dyDescent="0.2">
      <c r="A141" s="31">
        <f t="shared" si="20"/>
        <v>25</v>
      </c>
      <c r="B141" s="123">
        <v>394.3</v>
      </c>
      <c r="C141" s="52" t="s">
        <v>1074</v>
      </c>
      <c r="D141" s="257">
        <f>'WPB-2.1 Base Period'!K80</f>
        <v>2910614.16</v>
      </c>
      <c r="E141" s="382">
        <f>ROUND('Plant input detail '!E143*'WPB2.2 Plant detail-w slippage'!$P$2,0)</f>
        <v>51942</v>
      </c>
      <c r="F141" s="257">
        <f>ROUND('Plant input detail '!F143*'WPB2.2 Plant detail-w slippage'!$P$2,0)</f>
        <v>-6233</v>
      </c>
      <c r="G141" s="257">
        <f t="shared" si="17"/>
        <v>2956323.16</v>
      </c>
      <c r="H141" s="38"/>
      <c r="I141" s="296">
        <f>'WPB-3.1 AD&amp;A (Base)'!K80</f>
        <v>1210842.1499999999</v>
      </c>
      <c r="J141" s="361">
        <v>0.04</v>
      </c>
      <c r="K141" s="173">
        <f t="shared" si="21"/>
        <v>9778</v>
      </c>
      <c r="L141" s="38">
        <f t="shared" si="18"/>
        <v>6233</v>
      </c>
      <c r="M141" s="257">
        <f>ROUND('Plant input detail '!M143*'WPB2.2 Plant detail-w slippage'!$P$2,0)</f>
        <v>0</v>
      </c>
      <c r="N141" s="2227">
        <f t="shared" si="19"/>
        <v>1214387.1499999999</v>
      </c>
      <c r="O141" s="292"/>
      <c r="P141" s="279"/>
    </row>
    <row r="142" spans="1:16" x14ac:dyDescent="0.2">
      <c r="A142" s="31">
        <f t="shared" si="20"/>
        <v>26</v>
      </c>
      <c r="B142" s="123">
        <v>395</v>
      </c>
      <c r="C142" s="52" t="s">
        <v>1075</v>
      </c>
      <c r="D142" s="257">
        <f>'WPB-2.1 Base Period'!K81</f>
        <v>9257.77</v>
      </c>
      <c r="E142" s="382">
        <f>ROUND('Plant input detail '!E144*'WPB2.2 Plant detail-w slippage'!$P$2,0)</f>
        <v>0</v>
      </c>
      <c r="F142" s="257">
        <f>ROUND('Plant input detail '!F144*'WPB2.2 Plant detail-w slippage'!$P$2,0)</f>
        <v>0</v>
      </c>
      <c r="G142" s="257">
        <f t="shared" si="17"/>
        <v>9257.77</v>
      </c>
      <c r="H142" s="38"/>
      <c r="I142" s="296">
        <f>'WPB-3.1 AD&amp;A (Base)'!K81</f>
        <v>7139.59</v>
      </c>
      <c r="J142" s="361">
        <v>0.05</v>
      </c>
      <c r="K142" s="173">
        <f t="shared" si="21"/>
        <v>39</v>
      </c>
      <c r="L142" s="38">
        <f t="shared" si="18"/>
        <v>0</v>
      </c>
      <c r="M142" s="257">
        <f>ROUND('Plant input detail '!M144*'WPB2.2 Plant detail-w slippage'!$P$2,0)</f>
        <v>0</v>
      </c>
      <c r="N142" s="2227">
        <f t="shared" si="19"/>
        <v>7178.59</v>
      </c>
      <c r="O142" s="292"/>
      <c r="P142" s="279"/>
    </row>
    <row r="143" spans="1:16" x14ac:dyDescent="0.2">
      <c r="A143" s="31">
        <f t="shared" si="20"/>
        <v>27</v>
      </c>
      <c r="B143" s="123">
        <v>396</v>
      </c>
      <c r="C143" s="52" t="s">
        <v>1076</v>
      </c>
      <c r="D143" s="257">
        <f>'WPB-2.1 Base Period'!K82</f>
        <v>253134.72</v>
      </c>
      <c r="E143" s="382">
        <f>ROUND('Plant input detail '!E145*'WPB2.2 Plant detail-w slippage'!$P$2,0)</f>
        <v>0</v>
      </c>
      <c r="F143" s="257">
        <f>ROUND('Plant input detail '!F145*'WPB2.2 Plant detail-w slippage'!$P$2,0)</f>
        <v>0</v>
      </c>
      <c r="G143" s="257">
        <f t="shared" si="17"/>
        <v>253134.72</v>
      </c>
      <c r="H143" s="38"/>
      <c r="I143" s="296">
        <f>'WPB-3.1 AD&amp;A (Base)'!K82</f>
        <v>199321.72</v>
      </c>
      <c r="J143" s="361">
        <v>0</v>
      </c>
      <c r="K143" s="173">
        <f t="shared" si="21"/>
        <v>0</v>
      </c>
      <c r="L143" s="38">
        <f t="shared" si="18"/>
        <v>0</v>
      </c>
      <c r="M143" s="257">
        <f>ROUND('Plant input detail '!M145*'WPB2.2 Plant detail-w slippage'!$P$2,0)</f>
        <v>0</v>
      </c>
      <c r="N143" s="2227">
        <f t="shared" si="19"/>
        <v>199321.72</v>
      </c>
      <c r="O143" s="292"/>
      <c r="P143" s="279"/>
    </row>
    <row r="144" spans="1:16" x14ac:dyDescent="0.2">
      <c r="A144" s="31">
        <f t="shared" si="20"/>
        <v>28</v>
      </c>
      <c r="B144" s="123">
        <v>398</v>
      </c>
      <c r="C144" s="52" t="s">
        <v>1077</v>
      </c>
      <c r="D144" s="260">
        <f>'WPB-2.1 Base Period'!K83</f>
        <v>91076.94</v>
      </c>
      <c r="E144" s="265">
        <f>ROUND('Plant input detail '!E146*'WPB2.2 Plant detail-w slippage'!$P$2,0)</f>
        <v>0</v>
      </c>
      <c r="F144" s="260">
        <f>ROUND('Plant input detail '!F146*'WPB2.2 Plant detail-w slippage'!$P$2,0)</f>
        <v>0</v>
      </c>
      <c r="G144" s="260">
        <f t="shared" si="17"/>
        <v>91076.94</v>
      </c>
      <c r="H144" s="264"/>
      <c r="I144" s="297">
        <f>'WPB-3.1 AD&amp;A (Base)'!K83</f>
        <v>20211.59</v>
      </c>
      <c r="J144" s="361">
        <v>6.6699999999999995E-2</v>
      </c>
      <c r="K144" s="260">
        <f t="shared" si="21"/>
        <v>506</v>
      </c>
      <c r="L144" s="295">
        <f t="shared" si="18"/>
        <v>0</v>
      </c>
      <c r="M144" s="260">
        <f>ROUND('Plant input detail '!M146*'WPB2.2 Plant detail-w slippage'!$P$2,0)</f>
        <v>0</v>
      </c>
      <c r="N144" s="2228">
        <f t="shared" si="19"/>
        <v>20717.59</v>
      </c>
      <c r="O144" s="292"/>
      <c r="P144" s="279"/>
    </row>
    <row r="145" spans="1:16" x14ac:dyDescent="0.2">
      <c r="A145" s="31">
        <f t="shared" si="20"/>
        <v>29</v>
      </c>
      <c r="C145" s="32" t="s">
        <v>1078</v>
      </c>
      <c r="D145" s="264">
        <f>SUM(D131:D144)</f>
        <v>4994344.2799999993</v>
      </c>
      <c r="E145" s="176">
        <f>SUM(E131:E144)</f>
        <v>74639</v>
      </c>
      <c r="F145" s="176">
        <f>SUM(F131:F144)</f>
        <v>-8957</v>
      </c>
      <c r="G145" s="264">
        <f>SUM(G131:G144)</f>
        <v>5060026.2799999993</v>
      </c>
      <c r="H145" s="264"/>
      <c r="I145" s="264">
        <f>SUM(I131:I144)</f>
        <v>1967723.27</v>
      </c>
      <c r="J145" s="1359"/>
      <c r="K145" s="176">
        <f>SUM(K131:K144)</f>
        <v>28043</v>
      </c>
      <c r="L145" s="264">
        <f>SUM(L131:L144)</f>
        <v>8957</v>
      </c>
      <c r="M145" s="176">
        <f>SUM(M131:M144)</f>
        <v>0</v>
      </c>
      <c r="N145" s="1359">
        <f>SUM(N131:N144)</f>
        <v>1986809.27</v>
      </c>
    </row>
    <row r="146" spans="1:16" x14ac:dyDescent="0.2">
      <c r="A146" s="31"/>
      <c r="C146" s="32"/>
      <c r="D146" s="264"/>
      <c r="E146" s="176"/>
      <c r="F146" s="176"/>
      <c r="G146" s="264"/>
      <c r="H146" s="264"/>
      <c r="I146" s="264"/>
      <c r="J146" s="1359"/>
      <c r="K146" s="176"/>
      <c r="L146" s="264"/>
      <c r="M146" s="176"/>
      <c r="N146" s="1359"/>
    </row>
    <row r="147" spans="1:16" x14ac:dyDescent="0.2">
      <c r="A147" s="1805">
        <f>A145+1</f>
        <v>30</v>
      </c>
      <c r="B147" s="252"/>
      <c r="C147" s="36" t="s">
        <v>2287</v>
      </c>
      <c r="D147" s="38"/>
      <c r="E147" s="173"/>
      <c r="F147" s="173"/>
      <c r="G147" s="38"/>
      <c r="H147" s="38"/>
      <c r="I147" s="181"/>
      <c r="J147" s="173"/>
      <c r="K147" s="173"/>
      <c r="L147" s="38"/>
      <c r="M147" s="173"/>
      <c r="P147" s="279"/>
    </row>
    <row r="148" spans="1:16" x14ac:dyDescent="0.2">
      <c r="A148" s="31">
        <f>A147+1</f>
        <v>31</v>
      </c>
      <c r="B148" s="123">
        <v>378.21</v>
      </c>
      <c r="C148" s="52" t="s">
        <v>2244</v>
      </c>
      <c r="D148" s="257">
        <f>'WPB-2.1 Base Period'!K88</f>
        <v>-777092</v>
      </c>
      <c r="E148" s="382">
        <f>ROUND('Plant input detail '!E150*'WPB2.2 Plant detail-w slippage'!$P$2,0)</f>
        <v>0</v>
      </c>
      <c r="F148" s="257">
        <f>ROUND('Plant input detail '!F150*'WPB2.2 Plant detail-w slippage'!$P$2,0)</f>
        <v>0</v>
      </c>
      <c r="G148" s="257">
        <f t="shared" ref="G148" si="22">SUM(D148:F148)</f>
        <v>-777092</v>
      </c>
      <c r="H148" s="264"/>
      <c r="I148" s="296">
        <f>'WPB-3.1 AD&amp;A (Base)'!K88</f>
        <v>-10016.279999999999</v>
      </c>
      <c r="J148" s="296" t="s">
        <v>1094</v>
      </c>
      <c r="K148" s="1334">
        <v>-12951.5</v>
      </c>
      <c r="L148" s="38">
        <f t="shared" ref="L148" si="23">-F148</f>
        <v>0</v>
      </c>
      <c r="M148" s="257">
        <f>ROUND('Plant input detail '!M150*'WPB2.2 Plant detail-w slippage'!$P$2,0)</f>
        <v>0</v>
      </c>
      <c r="N148" s="2227">
        <f t="shared" ref="N148" si="24">I148+K148-L148+M148</f>
        <v>-22967.78</v>
      </c>
      <c r="O148" s="292"/>
    </row>
    <row r="149" spans="1:16" x14ac:dyDescent="0.2">
      <c r="D149" s="38"/>
      <c r="E149" s="173"/>
      <c r="F149" s="173"/>
      <c r="G149" s="38"/>
      <c r="H149" s="38"/>
      <c r="I149" s="173"/>
      <c r="J149" s="1361"/>
      <c r="K149" s="173"/>
      <c r="L149" s="38"/>
      <c r="M149" s="173"/>
    </row>
    <row r="150" spans="1:16" x14ac:dyDescent="0.2">
      <c r="A150" s="31">
        <f>A148+1</f>
        <v>32</v>
      </c>
      <c r="C150" s="32" t="s">
        <v>774</v>
      </c>
      <c r="D150" s="40">
        <f>D145+D128+D73+D69+D148</f>
        <v>397468366.36999989</v>
      </c>
      <c r="E150" s="40">
        <f>E145+E128+E73+E69+E148</f>
        <v>2922324</v>
      </c>
      <c r="F150" s="40">
        <f>F145+F128+F73+F69+F148</f>
        <v>-344422</v>
      </c>
      <c r="G150" s="40">
        <f>G145+G128+G73+G69+G148</f>
        <v>400046268.36999989</v>
      </c>
      <c r="H150" s="38"/>
      <c r="I150" s="40">
        <f>I145+I128+I73+I69+I148</f>
        <v>142470378.60000002</v>
      </c>
      <c r="J150" s="1363"/>
      <c r="K150" s="40">
        <f>K145+K128+K73+K69+K148</f>
        <v>726857.26289764023</v>
      </c>
      <c r="L150" s="40">
        <f>L145+L128+L73+L69+L148</f>
        <v>344422</v>
      </c>
      <c r="M150" s="40">
        <f>M145+M128+M73+M69+M148</f>
        <v>-78658</v>
      </c>
      <c r="N150" s="2230">
        <f>N145+N128+N73+N69+N148</f>
        <v>142774155.86289763</v>
      </c>
    </row>
    <row r="151" spans="1:16" x14ac:dyDescent="0.2">
      <c r="I151" s="171"/>
      <c r="P151" s="292"/>
    </row>
    <row r="152" spans="1:16" x14ac:dyDescent="0.2">
      <c r="A152" s="2079" t="str">
        <f>co</f>
        <v>COLUMBIA GAS OF KENTUCKY, INC.</v>
      </c>
      <c r="B152" s="2079"/>
      <c r="C152" s="2079"/>
      <c r="D152" s="2079"/>
      <c r="E152" s="2079"/>
      <c r="F152" s="2079"/>
      <c r="G152" s="2079"/>
      <c r="H152" s="2079"/>
      <c r="I152" s="2079"/>
      <c r="J152" s="2079"/>
      <c r="K152" s="2079"/>
      <c r="L152" s="2079"/>
      <c r="M152" s="2079"/>
      <c r="N152" s="2079"/>
    </row>
    <row r="153" spans="1:16" x14ac:dyDescent="0.2">
      <c r="A153" s="2079" t="str">
        <f>case</f>
        <v>CASE NO. 2016 - 00162</v>
      </c>
      <c r="B153" s="2079"/>
      <c r="C153" s="2079"/>
      <c r="D153" s="2079"/>
      <c r="E153" s="2079"/>
      <c r="F153" s="2079"/>
      <c r="G153" s="2079"/>
      <c r="H153" s="2079"/>
      <c r="I153" s="2079"/>
      <c r="J153" s="2079"/>
      <c r="K153" s="2079"/>
      <c r="L153" s="2079"/>
      <c r="M153" s="2079"/>
      <c r="N153" s="2079"/>
    </row>
    <row r="154" spans="1:16" x14ac:dyDescent="0.2">
      <c r="A154" s="2080" t="s">
        <v>1106</v>
      </c>
      <c r="B154" s="2079"/>
      <c r="C154" s="2079"/>
      <c r="D154" s="2079"/>
      <c r="E154" s="2079"/>
      <c r="F154" s="2079"/>
      <c r="G154" s="2079"/>
      <c r="H154" s="2079"/>
      <c r="I154" s="2079"/>
      <c r="J154" s="2079"/>
      <c r="K154" s="2079"/>
      <c r="L154" s="2079"/>
      <c r="M154" s="2079"/>
      <c r="N154" s="2079"/>
    </row>
    <row r="155" spans="1:16" x14ac:dyDescent="0.2">
      <c r="A155" s="2081" t="s">
        <v>2142</v>
      </c>
      <c r="B155" s="2085"/>
      <c r="C155" s="2085"/>
      <c r="D155" s="2085"/>
      <c r="E155" s="2085"/>
      <c r="F155" s="2085"/>
      <c r="G155" s="2085"/>
      <c r="H155" s="2085"/>
      <c r="I155" s="2085"/>
      <c r="J155" s="2085"/>
      <c r="K155" s="2085"/>
      <c r="L155" s="2085"/>
      <c r="M155" s="2085"/>
      <c r="N155" s="2085"/>
    </row>
    <row r="157" spans="1:16" x14ac:dyDescent="0.2">
      <c r="A157" s="285" t="str">
        <f>$A$6</f>
        <v>DATA:__X___BASE PERIOD__X___FORECASTED PERIOD</v>
      </c>
      <c r="C157" s="171"/>
      <c r="I157" s="32"/>
      <c r="N157" s="1258" t="str">
        <f>$N$6</f>
        <v>WPB-2.2</v>
      </c>
    </row>
    <row r="158" spans="1:16" x14ac:dyDescent="0.2">
      <c r="A158" s="4" t="str">
        <f>$A$7</f>
        <v>TYPE OF FILING:___X____ORIGINAL________UPDATED</v>
      </c>
      <c r="I158" s="32"/>
      <c r="N158" s="2223" t="s">
        <v>1716</v>
      </c>
    </row>
    <row r="159" spans="1:16" x14ac:dyDescent="0.2">
      <c r="A159" s="1261" t="str">
        <f>$A$8</f>
        <v xml:space="preserve">WORKPAPER REFERENCE NO(S).: </v>
      </c>
      <c r="B159" s="202"/>
      <c r="C159" s="202"/>
      <c r="D159" s="201"/>
      <c r="E159" s="202"/>
      <c r="F159" s="202"/>
      <c r="G159" s="201"/>
      <c r="H159" s="201"/>
      <c r="I159" s="203"/>
      <c r="L159" s="32"/>
      <c r="M159" s="32"/>
      <c r="N159" s="204" t="str">
        <f>SMK</f>
        <v>WITNESS:  S. M. KATKO</v>
      </c>
    </row>
    <row r="160" spans="1:16" x14ac:dyDescent="0.2">
      <c r="A160" s="200"/>
      <c r="B160" s="201"/>
      <c r="C160" s="201"/>
      <c r="D160" s="201"/>
      <c r="E160" s="202"/>
      <c r="F160" s="202"/>
      <c r="G160" s="201"/>
      <c r="H160" s="201"/>
      <c r="I160" s="203"/>
      <c r="J160" s="1357"/>
      <c r="L160" s="32"/>
      <c r="M160" s="32"/>
    </row>
    <row r="161" spans="1:14" x14ac:dyDescent="0.2">
      <c r="A161" s="200"/>
      <c r="B161" s="201"/>
      <c r="C161" s="201"/>
      <c r="D161" s="2082" t="s">
        <v>1088</v>
      </c>
      <c r="E161" s="2082"/>
      <c r="F161" s="2082"/>
      <c r="G161" s="2082"/>
      <c r="H161" s="201"/>
      <c r="I161" s="2083" t="s">
        <v>1093</v>
      </c>
      <c r="J161" s="2084"/>
      <c r="K161" s="2084"/>
      <c r="L161" s="2084"/>
      <c r="M161" s="2084"/>
      <c r="N161" s="2084"/>
    </row>
    <row r="162" spans="1:14" x14ac:dyDescent="0.2">
      <c r="A162" s="270"/>
      <c r="B162" s="201"/>
      <c r="C162" s="201"/>
      <c r="D162" s="271" t="s">
        <v>1084</v>
      </c>
      <c r="E162" s="202"/>
      <c r="F162" s="202"/>
      <c r="G162" s="269"/>
      <c r="H162" s="269"/>
      <c r="I162" s="261" t="s">
        <v>1089</v>
      </c>
      <c r="J162" s="1358"/>
      <c r="M162" s="32"/>
    </row>
    <row r="163" spans="1:14" x14ac:dyDescent="0.2">
      <c r="A163" s="30"/>
      <c r="D163" s="261" t="s">
        <v>865</v>
      </c>
      <c r="G163" s="261" t="s">
        <v>867</v>
      </c>
      <c r="H163" s="268"/>
      <c r="I163" s="261" t="s">
        <v>865</v>
      </c>
      <c r="J163" s="1308" t="s">
        <v>956</v>
      </c>
      <c r="M163" s="32"/>
      <c r="N163" s="2225" t="s">
        <v>867</v>
      </c>
    </row>
    <row r="164" spans="1:14" x14ac:dyDescent="0.2">
      <c r="A164" s="261" t="s">
        <v>1080</v>
      </c>
      <c r="B164" s="261" t="s">
        <v>1082</v>
      </c>
      <c r="D164" s="261" t="s">
        <v>867</v>
      </c>
      <c r="G164" s="262" t="s">
        <v>1087</v>
      </c>
      <c r="H164" s="268"/>
      <c r="I164" s="262" t="s">
        <v>867</v>
      </c>
      <c r="J164" s="1308" t="s">
        <v>1090</v>
      </c>
      <c r="K164" s="1308" t="s">
        <v>956</v>
      </c>
      <c r="M164" s="262" t="s">
        <v>1092</v>
      </c>
      <c r="N164" s="1259" t="s">
        <v>1087</v>
      </c>
    </row>
    <row r="165" spans="1:14" x14ac:dyDescent="0.2">
      <c r="A165" s="272" t="s">
        <v>1081</v>
      </c>
      <c r="B165" s="272" t="s">
        <v>1081</v>
      </c>
      <c r="C165" s="273" t="s">
        <v>1083</v>
      </c>
      <c r="D165" s="298" t="str">
        <f>"03/31/2016"</f>
        <v>03/31/2016</v>
      </c>
      <c r="E165" s="275" t="s">
        <v>1085</v>
      </c>
      <c r="F165" s="275" t="s">
        <v>1086</v>
      </c>
      <c r="G165" s="298" t="str">
        <f>"04/30/2016"</f>
        <v>04/30/2016</v>
      </c>
      <c r="H165" s="268"/>
      <c r="I165" s="274" t="str">
        <f>D165</f>
        <v>03/31/2016</v>
      </c>
      <c r="J165" s="275" t="s">
        <v>1091</v>
      </c>
      <c r="K165" s="1327" t="s">
        <v>1090</v>
      </c>
      <c r="L165" s="276" t="s">
        <v>1086</v>
      </c>
      <c r="M165" s="276" t="s">
        <v>955</v>
      </c>
      <c r="N165" s="2226" t="str">
        <f>G165</f>
        <v>04/30/2016</v>
      </c>
    </row>
    <row r="166" spans="1:14" x14ac:dyDescent="0.2">
      <c r="A166" s="267"/>
      <c r="B166" s="267"/>
      <c r="C166" s="267"/>
      <c r="D166" s="267" t="str">
        <f>"(1)"</f>
        <v>(1)</v>
      </c>
      <c r="E166" s="267" t="str">
        <f>"(2)"</f>
        <v>(2)</v>
      </c>
      <c r="F166" s="267" t="str">
        <f>"(3)"</f>
        <v>(3)</v>
      </c>
      <c r="G166" s="267" t="str">
        <f>"(4)=(1+2+3)"</f>
        <v>(4)=(1+2+3)</v>
      </c>
      <c r="H166" s="267"/>
      <c r="I166" s="267" t="str">
        <f>"(5)"</f>
        <v>(5)</v>
      </c>
      <c r="J166" s="1328" t="str">
        <f>"(6)"</f>
        <v>(6)</v>
      </c>
      <c r="K166" s="1328" t="str">
        <f>"(7)=((1+4)/2*6/12))"</f>
        <v>(7)=((1+4)/2*6/12))</v>
      </c>
      <c r="L166" s="267" t="str">
        <f>"(8)"</f>
        <v>(8)</v>
      </c>
      <c r="M166" s="267" t="str">
        <f>"(9)"</f>
        <v>(9)</v>
      </c>
      <c r="N166" s="204" t="str">
        <f>"(10)=(5+7-8+9)"</f>
        <v>(10)=(5+7-8+9)</v>
      </c>
    </row>
    <row r="167" spans="1:14" x14ac:dyDescent="0.2">
      <c r="D167" s="31" t="s">
        <v>639</v>
      </c>
      <c r="E167" s="170" t="s">
        <v>639</v>
      </c>
      <c r="F167" s="170" t="s">
        <v>639</v>
      </c>
      <c r="G167" s="31" t="s">
        <v>639</v>
      </c>
      <c r="H167" s="31"/>
      <c r="I167" s="31" t="s">
        <v>639</v>
      </c>
      <c r="J167" s="170" t="s">
        <v>639</v>
      </c>
      <c r="K167" s="170" t="s">
        <v>639</v>
      </c>
      <c r="L167" s="31" t="s">
        <v>639</v>
      </c>
      <c r="M167" s="31" t="s">
        <v>639</v>
      </c>
      <c r="N167" s="155" t="s">
        <v>639</v>
      </c>
    </row>
    <row r="168" spans="1:14" x14ac:dyDescent="0.2">
      <c r="A168" s="31">
        <v>1</v>
      </c>
      <c r="B168" s="36" t="s">
        <v>1025</v>
      </c>
      <c r="C168" s="34"/>
      <c r="M168" s="32"/>
    </row>
    <row r="169" spans="1:14" x14ac:dyDescent="0.2">
      <c r="A169" s="31">
        <f>A168+1</f>
        <v>2</v>
      </c>
      <c r="C169" s="36" t="s">
        <v>697</v>
      </c>
      <c r="M169" s="32"/>
    </row>
    <row r="170" spans="1:14" x14ac:dyDescent="0.2">
      <c r="A170" s="31">
        <f t="shared" ref="A170:A175" si="25">A169+1</f>
        <v>3</v>
      </c>
      <c r="B170" s="253">
        <v>301</v>
      </c>
      <c r="C170" s="52" t="s">
        <v>1026</v>
      </c>
      <c r="D170" s="257">
        <f>G64</f>
        <v>521.20000000000005</v>
      </c>
      <c r="E170" s="382">
        <f>ROUND('Plant input detail '!E172*'WPB2.2 Plant detail-w slippage'!$P$2,0)</f>
        <v>0</v>
      </c>
      <c r="F170" s="257">
        <f>ROUND('Plant input detail '!F172*'WPB2.2 Plant detail-w slippage'!$P$2,0)</f>
        <v>0</v>
      </c>
      <c r="G170" s="257">
        <f>SUM(D170:F170)</f>
        <v>521.20000000000005</v>
      </c>
      <c r="H170" s="38"/>
      <c r="I170" s="257">
        <f>N64</f>
        <v>0</v>
      </c>
      <c r="J170" s="1362" t="str">
        <f>J64</f>
        <v>Amort.</v>
      </c>
      <c r="K170" s="258">
        <v>0</v>
      </c>
      <c r="L170" s="38">
        <f>-F170</f>
        <v>0</v>
      </c>
      <c r="M170" s="259">
        <v>0</v>
      </c>
      <c r="N170" s="2227">
        <f>I170+K170-L170+M170</f>
        <v>0</v>
      </c>
    </row>
    <row r="171" spans="1:14" x14ac:dyDescent="0.2">
      <c r="A171" s="31">
        <f t="shared" si="25"/>
        <v>4</v>
      </c>
      <c r="B171" s="253">
        <v>303</v>
      </c>
      <c r="C171" s="52" t="s">
        <v>1027</v>
      </c>
      <c r="D171" s="257">
        <f>G65</f>
        <v>74347.509999999995</v>
      </c>
      <c r="E171" s="382">
        <f>ROUND('Plant input detail '!E173*'WPB2.2 Plant detail-w slippage'!$P$2,0)</f>
        <v>0</v>
      </c>
      <c r="F171" s="257">
        <f>ROUND('Plant input detail '!F173*'WPB2.2 Plant detail-w slippage'!$P$2,0)</f>
        <v>0</v>
      </c>
      <c r="G171" s="257">
        <f>SUM(D171:F171)</f>
        <v>74347.509999999995</v>
      </c>
      <c r="H171" s="38"/>
      <c r="I171" s="257">
        <f>N65</f>
        <v>46005.95</v>
      </c>
      <c r="J171" s="1362" t="str">
        <f>J65</f>
        <v>Amort.</v>
      </c>
      <c r="K171" s="382">
        <f>'WPB2.2a Intan Amort. w slippage'!I$19</f>
        <v>206.52</v>
      </c>
      <c r="L171" s="38">
        <f>-F171</f>
        <v>0</v>
      </c>
      <c r="M171" s="259">
        <v>0</v>
      </c>
      <c r="N171" s="2227">
        <f>I171+K171-L171+M171</f>
        <v>46212.469999999994</v>
      </c>
    </row>
    <row r="172" spans="1:14" x14ac:dyDescent="0.2">
      <c r="A172" s="31">
        <f t="shared" si="25"/>
        <v>5</v>
      </c>
      <c r="B172" s="253">
        <v>303.10000000000002</v>
      </c>
      <c r="C172" s="52" t="s">
        <v>1028</v>
      </c>
      <c r="D172" s="257">
        <f>G66</f>
        <v>0</v>
      </c>
      <c r="E172" s="382">
        <f>ROUND('Plant input detail '!E174*'WPB2.2 Plant detail-w slippage'!$P$2,0)</f>
        <v>0</v>
      </c>
      <c r="F172" s="257">
        <f>ROUND('Plant input detail '!F174*'WPB2.2 Plant detail-w slippage'!$P$2,0)</f>
        <v>0</v>
      </c>
      <c r="G172" s="257">
        <f>SUM(D172:F172)</f>
        <v>0</v>
      </c>
      <c r="H172" s="38"/>
      <c r="I172" s="257">
        <f>N66</f>
        <v>0</v>
      </c>
      <c r="J172" s="1362" t="str">
        <f>J66</f>
        <v>Amort.</v>
      </c>
      <c r="K172" s="258">
        <v>0</v>
      </c>
      <c r="L172" s="38">
        <f>-F172</f>
        <v>0</v>
      </c>
      <c r="M172" s="259">
        <v>0</v>
      </c>
      <c r="N172" s="2227">
        <f>I172+K172-L172+M172</f>
        <v>0</v>
      </c>
    </row>
    <row r="173" spans="1:14" x14ac:dyDescent="0.2">
      <c r="A173" s="31">
        <f t="shared" si="25"/>
        <v>6</v>
      </c>
      <c r="B173" s="253">
        <v>303.2</v>
      </c>
      <c r="C173" s="52" t="s">
        <v>1029</v>
      </c>
      <c r="D173" s="257">
        <f>G67</f>
        <v>0</v>
      </c>
      <c r="E173" s="382">
        <f>ROUND('Plant input detail '!E175*'WPB2.2 Plant detail-w slippage'!$P$2,0)</f>
        <v>0</v>
      </c>
      <c r="F173" s="257">
        <f>ROUND('Plant input detail '!F175*'WPB2.2 Plant detail-w slippage'!$P$2,0)</f>
        <v>0</v>
      </c>
      <c r="G173" s="257">
        <f>SUM(D173:F173)</f>
        <v>0</v>
      </c>
      <c r="H173" s="38"/>
      <c r="I173" s="257">
        <f>N67</f>
        <v>0</v>
      </c>
      <c r="J173" s="1362" t="str">
        <f>J67</f>
        <v>Amort.</v>
      </c>
      <c r="K173" s="258">
        <v>0</v>
      </c>
      <c r="L173" s="38">
        <f>-F173</f>
        <v>0</v>
      </c>
      <c r="M173" s="259">
        <v>0</v>
      </c>
      <c r="N173" s="2227">
        <f>I173+K173-L173+M173</f>
        <v>0</v>
      </c>
    </row>
    <row r="174" spans="1:14" x14ac:dyDescent="0.2">
      <c r="A174" s="31">
        <f t="shared" si="25"/>
        <v>7</v>
      </c>
      <c r="B174" s="253">
        <v>303.3</v>
      </c>
      <c r="C174" s="52" t="s">
        <v>1030</v>
      </c>
      <c r="D174" s="260">
        <f>G68</f>
        <v>5353893</v>
      </c>
      <c r="E174" s="265">
        <f>ROUND('Plant input detail '!E176*'WPB2.2 Plant detail-w slippage'!$P$2,0)</f>
        <v>94979</v>
      </c>
      <c r="F174" s="265">
        <f>ROUND('Plant input detail '!F176*'WPB2.2 Plant detail-w slippage'!$P$2,0)</f>
        <v>0</v>
      </c>
      <c r="G174" s="260">
        <f>SUM(D174:F174)</f>
        <v>5448872</v>
      </c>
      <c r="H174" s="38"/>
      <c r="I174" s="260">
        <f>N68</f>
        <v>2216059.5934239561</v>
      </c>
      <c r="J174" s="1362" t="str">
        <f>J68</f>
        <v>Amort.</v>
      </c>
      <c r="K174" s="265">
        <f>'WPB2.2a Intan Amort. w slippage'!I$104</f>
        <v>66995.193423955992</v>
      </c>
      <c r="L174" s="295">
        <f>-F174</f>
        <v>0</v>
      </c>
      <c r="M174" s="263">
        <v>0</v>
      </c>
      <c r="N174" s="2228">
        <f>I174+K174-L174+M174</f>
        <v>2283054.7868479122</v>
      </c>
    </row>
    <row r="175" spans="1:14" x14ac:dyDescent="0.2">
      <c r="A175" s="31">
        <f t="shared" si="25"/>
        <v>8</v>
      </c>
      <c r="B175" s="253"/>
      <c r="C175" s="52" t="s">
        <v>1031</v>
      </c>
      <c r="D175" s="38">
        <f>SUM(D170:D174)</f>
        <v>5428761.71</v>
      </c>
      <c r="E175" s="173">
        <f>SUM(E170:E174)</f>
        <v>94979</v>
      </c>
      <c r="F175" s="173">
        <f>SUM(F170:F174)</f>
        <v>0</v>
      </c>
      <c r="G175" s="38">
        <f>SUM(G170:G174)</f>
        <v>5523740.71</v>
      </c>
      <c r="H175" s="38"/>
      <c r="I175" s="38">
        <f>SUM(I170:I174)</f>
        <v>2262065.5434239563</v>
      </c>
      <c r="J175" s="1359"/>
      <c r="K175" s="173">
        <f>SUM(K170:K174)</f>
        <v>67201.713423955996</v>
      </c>
      <c r="L175" s="38">
        <f>SUM(L170:L174)</f>
        <v>0</v>
      </c>
      <c r="M175" s="173">
        <f>SUM(M170:M174)</f>
        <v>0</v>
      </c>
      <c r="N175" s="1361">
        <f>SUM(N170:N174)</f>
        <v>2329267.2568479124</v>
      </c>
    </row>
    <row r="176" spans="1:14" x14ac:dyDescent="0.2">
      <c r="B176" s="254"/>
      <c r="D176" s="38"/>
      <c r="E176" s="173"/>
      <c r="F176" s="173"/>
      <c r="G176" s="38"/>
      <c r="H176" s="38"/>
      <c r="I176" s="38"/>
      <c r="J176" s="1359"/>
      <c r="K176" s="173"/>
      <c r="L176" s="38"/>
      <c r="M176" s="173"/>
    </row>
    <row r="177" spans="1:14" x14ac:dyDescent="0.2">
      <c r="A177" s="31">
        <f>A175+1</f>
        <v>9</v>
      </c>
      <c r="B177" s="254"/>
      <c r="C177" s="36" t="s">
        <v>704</v>
      </c>
      <c r="D177" s="38"/>
      <c r="E177" s="173"/>
      <c r="F177" s="173"/>
      <c r="G177" s="38"/>
      <c r="H177" s="38"/>
      <c r="I177" s="38"/>
      <c r="J177" s="1359"/>
      <c r="K177" s="173"/>
      <c r="L177" s="38"/>
      <c r="M177" s="173"/>
    </row>
    <row r="178" spans="1:14" x14ac:dyDescent="0.2">
      <c r="A178" s="31">
        <f>A177+1</f>
        <v>10</v>
      </c>
      <c r="B178" s="255">
        <v>304.10000000000002</v>
      </c>
      <c r="C178" s="41" t="s">
        <v>1032</v>
      </c>
      <c r="D178" s="260">
        <f>G72</f>
        <v>0</v>
      </c>
      <c r="E178" s="265">
        <f>ROUND('Plant input detail '!E180*'WPB2.2 Plant detail-w slippage'!$P$2,0)</f>
        <v>0</v>
      </c>
      <c r="F178" s="265">
        <f>ROUND('Plant input detail '!F180*'WPB2.2 Plant detail-w slippage'!$P$2,0)</f>
        <v>0</v>
      </c>
      <c r="G178" s="260">
        <f>SUM(D178:F178)</f>
        <v>0</v>
      </c>
      <c r="H178" s="38"/>
      <c r="I178" s="260">
        <f>N72</f>
        <v>0</v>
      </c>
      <c r="J178" s="1362" t="str">
        <f>J72</f>
        <v>Non-Dep.</v>
      </c>
      <c r="K178" s="266">
        <v>0</v>
      </c>
      <c r="L178" s="295">
        <f>-F178</f>
        <v>0</v>
      </c>
      <c r="M178" s="263">
        <v>0</v>
      </c>
      <c r="N178" s="2228">
        <f>I178+K178-L178+M178</f>
        <v>0</v>
      </c>
    </row>
    <row r="179" spans="1:14" x14ac:dyDescent="0.2">
      <c r="A179" s="31">
        <f>A178+1</f>
        <v>11</v>
      </c>
      <c r="B179" s="255"/>
      <c r="C179" s="256" t="s">
        <v>1079</v>
      </c>
      <c r="D179" s="38">
        <f>D178</f>
        <v>0</v>
      </c>
      <c r="E179" s="173">
        <f>E178</f>
        <v>0</v>
      </c>
      <c r="F179" s="173">
        <f>F178</f>
        <v>0</v>
      </c>
      <c r="G179" s="38">
        <f>G178</f>
        <v>0</v>
      </c>
      <c r="H179" s="38"/>
      <c r="I179" s="38">
        <f>I178</f>
        <v>0</v>
      </c>
      <c r="J179" s="1361"/>
      <c r="K179" s="173">
        <f>SUM(K178)</f>
        <v>0</v>
      </c>
      <c r="L179" s="38">
        <f>SUM(L178)</f>
        <v>0</v>
      </c>
      <c r="M179" s="173">
        <f>M178</f>
        <v>0</v>
      </c>
      <c r="N179" s="1361">
        <f>N178</f>
        <v>0</v>
      </c>
    </row>
    <row r="180" spans="1:14" x14ac:dyDescent="0.2">
      <c r="B180" s="254"/>
      <c r="D180" s="38"/>
      <c r="E180" s="173"/>
      <c r="F180" s="173"/>
      <c r="G180" s="38"/>
      <c r="H180" s="38"/>
      <c r="I180" s="38"/>
      <c r="J180" s="1361"/>
      <c r="K180" s="173"/>
      <c r="L180" s="38"/>
      <c r="M180" s="173"/>
    </row>
    <row r="181" spans="1:14" x14ac:dyDescent="0.2">
      <c r="A181" s="31">
        <f>A179+1</f>
        <v>12</v>
      </c>
      <c r="B181" s="254"/>
      <c r="C181" s="36" t="s">
        <v>707</v>
      </c>
      <c r="D181" s="38"/>
      <c r="E181" s="173"/>
      <c r="F181" s="173"/>
      <c r="G181" s="38"/>
      <c r="H181" s="38"/>
      <c r="I181" s="38"/>
      <c r="J181" s="1361"/>
      <c r="K181" s="173"/>
      <c r="L181" s="38"/>
      <c r="M181" s="173"/>
    </row>
    <row r="182" spans="1:14" x14ac:dyDescent="0.2">
      <c r="A182" s="31">
        <f>A181+1</f>
        <v>13</v>
      </c>
      <c r="B182" s="253">
        <v>374.1</v>
      </c>
      <c r="C182" s="52" t="s">
        <v>1035</v>
      </c>
      <c r="D182" s="257">
        <f>G76</f>
        <v>206</v>
      </c>
      <c r="E182" s="382">
        <f>ROUND('Plant input detail '!E184*'WPB2.2 Plant detail-w slippage'!$P$2,0)</f>
        <v>0</v>
      </c>
      <c r="F182" s="257">
        <f>ROUND('Plant input detail '!F184*'WPB2.2 Plant detail-w slippage'!$P$2,0)</f>
        <v>0</v>
      </c>
      <c r="G182" s="257">
        <f>SUM(D182:F182)</f>
        <v>206</v>
      </c>
      <c r="H182" s="38"/>
      <c r="I182" s="257">
        <f>N76</f>
        <v>0</v>
      </c>
      <c r="J182" s="1362" t="str">
        <f>J76</f>
        <v>Non-Dep.</v>
      </c>
      <c r="K182" s="259">
        <v>0</v>
      </c>
      <c r="L182" s="38">
        <f t="shared" ref="L182:L192" si="26">-F182</f>
        <v>0</v>
      </c>
      <c r="M182" s="257">
        <f>ROUND('Plant input detail '!M184*'WPB2.2 Plant detail-w slippage'!$P$2,0)</f>
        <v>0</v>
      </c>
      <c r="N182" s="2227">
        <f t="shared" ref="N182:N192" si="27">I182+K182-L182+M182</f>
        <v>0</v>
      </c>
    </row>
    <row r="183" spans="1:14" x14ac:dyDescent="0.2">
      <c r="A183" s="31">
        <f t="shared" ref="A183:A203" si="28">A182+1</f>
        <v>14</v>
      </c>
      <c r="B183" s="253">
        <v>374.2</v>
      </c>
      <c r="C183" s="52" t="s">
        <v>1036</v>
      </c>
      <c r="D183" s="257">
        <f>G77</f>
        <v>877756.18</v>
      </c>
      <c r="E183" s="382">
        <f>ROUND('Plant input detail '!E185*'WPB2.2 Plant detail-w slippage'!$P$2,0)</f>
        <v>0</v>
      </c>
      <c r="F183" s="257">
        <f>ROUND('Plant input detail '!F185*'WPB2.2 Plant detail-w slippage'!$P$2,0)</f>
        <v>0</v>
      </c>
      <c r="G183" s="257">
        <f t="shared" ref="G183:G192" si="29">SUM(D183:F183)</f>
        <v>877756.18</v>
      </c>
      <c r="H183" s="38"/>
      <c r="I183" s="257">
        <f>N77</f>
        <v>-523.13</v>
      </c>
      <c r="J183" s="1362" t="str">
        <f>J77</f>
        <v>Non-Dep.</v>
      </c>
      <c r="K183" s="259">
        <v>0</v>
      </c>
      <c r="L183" s="38">
        <f t="shared" si="26"/>
        <v>0</v>
      </c>
      <c r="M183" s="257">
        <f>ROUND('Plant input detail '!M185*'WPB2.2 Plant detail-w slippage'!$P$2,0)</f>
        <v>0</v>
      </c>
      <c r="N183" s="2227">
        <f t="shared" si="27"/>
        <v>-523.13</v>
      </c>
    </row>
    <row r="184" spans="1:14" x14ac:dyDescent="0.2">
      <c r="A184" s="31">
        <f t="shared" si="28"/>
        <v>15</v>
      </c>
      <c r="B184" s="253">
        <v>374.4</v>
      </c>
      <c r="C184" s="52" t="s">
        <v>1037</v>
      </c>
      <c r="D184" s="257">
        <f>G78</f>
        <v>661305.66</v>
      </c>
      <c r="E184" s="382">
        <f>ROUND('Plant input detail '!E186*'WPB2.2 Plant detail-w slippage'!$P$2,0)</f>
        <v>0</v>
      </c>
      <c r="F184" s="257">
        <f>ROUND('Plant input detail '!F186*'WPB2.2 Plant detail-w slippage'!$P$2,0)</f>
        <v>0</v>
      </c>
      <c r="G184" s="257">
        <f t="shared" si="29"/>
        <v>661305.66</v>
      </c>
      <c r="H184" s="38"/>
      <c r="I184" s="257">
        <f>N78</f>
        <v>171296.36</v>
      </c>
      <c r="J184" s="1362">
        <f>J78</f>
        <v>1.5299999999999999E-2</v>
      </c>
      <c r="K184" s="173">
        <f>ROUND((G184+D184)/2*J184/12,0)</f>
        <v>843</v>
      </c>
      <c r="L184" s="38">
        <f t="shared" si="26"/>
        <v>0</v>
      </c>
      <c r="M184" s="257">
        <f>ROUND('Plant input detail '!M186*'WPB2.2 Plant detail-w slippage'!$P$2,0)</f>
        <v>0</v>
      </c>
      <c r="N184" s="2227">
        <f t="shared" si="27"/>
        <v>172139.36</v>
      </c>
    </row>
    <row r="185" spans="1:14" x14ac:dyDescent="0.2">
      <c r="A185" s="31">
        <f t="shared" si="28"/>
        <v>16</v>
      </c>
      <c r="B185" s="253">
        <v>374.5</v>
      </c>
      <c r="C185" s="52" t="s">
        <v>1038</v>
      </c>
      <c r="D185" s="257">
        <f>G79</f>
        <v>2666711.5499999998</v>
      </c>
      <c r="E185" s="382">
        <f>ROUND('Plant input detail '!E187*'WPB2.2 Plant detail-w slippage'!$P$2,0)</f>
        <v>26124</v>
      </c>
      <c r="F185" s="257">
        <f>ROUND('Plant input detail '!F187*'WPB2.2 Plant detail-w slippage'!$P$2,0)</f>
        <v>-3135</v>
      </c>
      <c r="G185" s="257">
        <f t="shared" si="29"/>
        <v>2689700.55</v>
      </c>
      <c r="H185" s="38"/>
      <c r="I185" s="257">
        <f>N79</f>
        <v>909223.23</v>
      </c>
      <c r="J185" s="1362">
        <f>J79</f>
        <v>1.2200000000000001E-2</v>
      </c>
      <c r="K185" s="173">
        <f t="shared" ref="K185:K190" si="30">ROUND((G185+D185)/2*J185/12,0)</f>
        <v>2723</v>
      </c>
      <c r="L185" s="38">
        <f t="shared" si="26"/>
        <v>3135</v>
      </c>
      <c r="M185" s="257">
        <f>ROUND('Plant input detail '!M187*'WPB2.2 Plant detail-w slippage'!$P$2,0)</f>
        <v>0</v>
      </c>
      <c r="N185" s="2227">
        <f t="shared" si="27"/>
        <v>908811.23</v>
      </c>
    </row>
    <row r="186" spans="1:14" x14ac:dyDescent="0.2">
      <c r="A186" s="31">
        <f t="shared" si="28"/>
        <v>17</v>
      </c>
      <c r="B186" s="253">
        <v>375.2</v>
      </c>
      <c r="C186" s="52" t="s">
        <v>1039</v>
      </c>
      <c r="D186" s="257">
        <f>G80</f>
        <v>2124.98</v>
      </c>
      <c r="E186" s="382">
        <f>ROUND('Plant input detail '!E188*'WPB2.2 Plant detail-w slippage'!$P$2,0)</f>
        <v>0</v>
      </c>
      <c r="F186" s="257">
        <f>ROUND('Plant input detail '!F188*'WPB2.2 Plant detail-w slippage'!$P$2,0)</f>
        <v>0</v>
      </c>
      <c r="G186" s="257">
        <f t="shared" si="29"/>
        <v>2124.98</v>
      </c>
      <c r="H186" s="38"/>
      <c r="I186" s="257">
        <f>N80</f>
        <v>2000.32</v>
      </c>
      <c r="J186" s="1362">
        <f>J80</f>
        <v>1.9599999999999999E-2</v>
      </c>
      <c r="K186" s="173">
        <f t="shared" si="30"/>
        <v>3</v>
      </c>
      <c r="L186" s="38">
        <f t="shared" si="26"/>
        <v>0</v>
      </c>
      <c r="M186" s="257">
        <f>ROUND('Plant input detail '!M188*'WPB2.2 Plant detail-w slippage'!$P$2,0)</f>
        <v>0</v>
      </c>
      <c r="N186" s="2227">
        <f t="shared" si="27"/>
        <v>2003.32</v>
      </c>
    </row>
    <row r="187" spans="1:14" x14ac:dyDescent="0.2">
      <c r="A187" s="31">
        <f t="shared" si="28"/>
        <v>18</v>
      </c>
      <c r="B187" s="253">
        <v>375.3</v>
      </c>
      <c r="C187" s="52" t="s">
        <v>1040</v>
      </c>
      <c r="D187" s="257">
        <f>G81</f>
        <v>0</v>
      </c>
      <c r="E187" s="382">
        <f>ROUND('Plant input detail '!E189*'WPB2.2 Plant detail-w slippage'!$P$2,0)</f>
        <v>0</v>
      </c>
      <c r="F187" s="257">
        <f>ROUND('Plant input detail '!F189*'WPB2.2 Plant detail-w slippage'!$P$2,0)</f>
        <v>0</v>
      </c>
      <c r="G187" s="257">
        <f t="shared" si="29"/>
        <v>0</v>
      </c>
      <c r="H187" s="38"/>
      <c r="I187" s="257">
        <f>N81</f>
        <v>-77.66</v>
      </c>
      <c r="J187" s="1362">
        <f>J81</f>
        <v>1.9599999999999999E-2</v>
      </c>
      <c r="K187" s="173">
        <f t="shared" si="30"/>
        <v>0</v>
      </c>
      <c r="L187" s="38">
        <f t="shared" si="26"/>
        <v>0</v>
      </c>
      <c r="M187" s="257">
        <f>ROUND('Plant input detail '!M189*'WPB2.2 Plant detail-w slippage'!$P$2,0)</f>
        <v>0</v>
      </c>
      <c r="N187" s="2227">
        <f t="shared" si="27"/>
        <v>-77.66</v>
      </c>
    </row>
    <row r="188" spans="1:14" x14ac:dyDescent="0.2">
      <c r="A188" s="31">
        <f t="shared" si="28"/>
        <v>19</v>
      </c>
      <c r="B188" s="253">
        <v>375.4</v>
      </c>
      <c r="C188" s="52" t="s">
        <v>1041</v>
      </c>
      <c r="D188" s="257">
        <f>G82</f>
        <v>1871604.02</v>
      </c>
      <c r="E188" s="382">
        <f>ROUND('Plant input detail '!E190*'WPB2.2 Plant detail-w slippage'!$P$2,0)</f>
        <v>185</v>
      </c>
      <c r="F188" s="257">
        <f>ROUND('Plant input detail '!F190*'WPB2.2 Plant detail-w slippage'!$P$2,0)</f>
        <v>-22</v>
      </c>
      <c r="G188" s="257">
        <f t="shared" si="29"/>
        <v>1871767.02</v>
      </c>
      <c r="H188" s="38"/>
      <c r="I188" s="257">
        <f>N82</f>
        <v>489499.37</v>
      </c>
      <c r="J188" s="1362">
        <f>J82</f>
        <v>1.9599999999999999E-2</v>
      </c>
      <c r="K188" s="173">
        <f t="shared" si="30"/>
        <v>3057</v>
      </c>
      <c r="L188" s="38">
        <f t="shared" si="26"/>
        <v>22</v>
      </c>
      <c r="M188" s="257">
        <f>ROUND('Plant input detail '!M190*'WPB2.2 Plant detail-w slippage'!$P$2,0)</f>
        <v>-2</v>
      </c>
      <c r="N188" s="2227">
        <f t="shared" si="27"/>
        <v>492532.37</v>
      </c>
    </row>
    <row r="189" spans="1:14" x14ac:dyDescent="0.2">
      <c r="A189" s="31">
        <f t="shared" si="28"/>
        <v>20</v>
      </c>
      <c r="B189" s="253">
        <v>375.6</v>
      </c>
      <c r="C189" s="52" t="s">
        <v>1042</v>
      </c>
      <c r="D189" s="257">
        <f>G83</f>
        <v>0</v>
      </c>
      <c r="E189" s="382">
        <f>ROUND('Plant input detail '!E191*'WPB2.2 Plant detail-w slippage'!$P$2,0)</f>
        <v>0</v>
      </c>
      <c r="F189" s="257">
        <f>ROUND('Plant input detail '!F191*'WPB2.2 Plant detail-w slippage'!$P$2,0)</f>
        <v>0</v>
      </c>
      <c r="G189" s="257">
        <f t="shared" si="29"/>
        <v>0</v>
      </c>
      <c r="H189" s="38"/>
      <c r="I189" s="257">
        <f>N83</f>
        <v>0.02</v>
      </c>
      <c r="J189" s="1362">
        <f>J83</f>
        <v>1.9599999999999999E-2</v>
      </c>
      <c r="K189" s="173">
        <f t="shared" si="30"/>
        <v>0</v>
      </c>
      <c r="L189" s="38">
        <f t="shared" si="26"/>
        <v>0</v>
      </c>
      <c r="M189" s="257">
        <f>ROUND('Plant input detail '!M191*'WPB2.2 Plant detail-w slippage'!$P$2,0)</f>
        <v>0</v>
      </c>
      <c r="N189" s="2227">
        <f t="shared" si="27"/>
        <v>0.02</v>
      </c>
    </row>
    <row r="190" spans="1:14" x14ac:dyDescent="0.2">
      <c r="A190" s="31">
        <f t="shared" si="28"/>
        <v>21</v>
      </c>
      <c r="B190" s="253">
        <v>375.7</v>
      </c>
      <c r="C190" s="52" t="s">
        <v>1043</v>
      </c>
      <c r="D190" s="257">
        <f>G84</f>
        <v>7980989.21</v>
      </c>
      <c r="E190" s="382">
        <f>ROUND('Plant input detail '!E192*'WPB2.2 Plant detail-w slippage'!$P$2,0)</f>
        <v>0</v>
      </c>
      <c r="F190" s="257">
        <f>ROUND('Plant input detail '!F192*'WPB2.2 Plant detail-w slippage'!$P$2,0)</f>
        <v>0</v>
      </c>
      <c r="G190" s="257">
        <f t="shared" si="29"/>
        <v>7980989.21</v>
      </c>
      <c r="H190" s="38"/>
      <c r="I190" s="257">
        <f>N84</f>
        <v>3233302.06</v>
      </c>
      <c r="J190" s="1362">
        <f>J84</f>
        <v>1.9900000000000001E-2</v>
      </c>
      <c r="K190" s="173">
        <f t="shared" si="30"/>
        <v>13235</v>
      </c>
      <c r="L190" s="38">
        <f t="shared" si="26"/>
        <v>0</v>
      </c>
      <c r="M190" s="257">
        <f>ROUND('Plant input detail '!M192*'WPB2.2 Plant detail-w slippage'!$P$2,0)</f>
        <v>0</v>
      </c>
      <c r="N190" s="2227">
        <f t="shared" si="27"/>
        <v>3246537.06</v>
      </c>
    </row>
    <row r="191" spans="1:14" x14ac:dyDescent="0.2">
      <c r="A191" s="31">
        <f t="shared" si="28"/>
        <v>22</v>
      </c>
      <c r="B191" s="253">
        <v>375.71</v>
      </c>
      <c r="C191" s="52" t="s">
        <v>1044</v>
      </c>
      <c r="D191" s="257">
        <f>G85</f>
        <v>259808.94</v>
      </c>
      <c r="E191" s="382">
        <f>ROUND('Plant input detail '!E193*'WPB2.2 Plant detail-w slippage'!$P$2,0)</f>
        <v>0</v>
      </c>
      <c r="F191" s="257">
        <f>ROUND('Plant input detail '!F193*'WPB2.2 Plant detail-w slippage'!$P$2,0)</f>
        <v>0</v>
      </c>
      <c r="G191" s="257">
        <f t="shared" si="29"/>
        <v>259808.94</v>
      </c>
      <c r="H191" s="38"/>
      <c r="I191" s="257">
        <f>N85</f>
        <v>157909.10947368422</v>
      </c>
      <c r="J191" s="1362" t="str">
        <f>J85</f>
        <v>Amort.</v>
      </c>
      <c r="K191" s="258">
        <f>104653.88/38</f>
        <v>2754.0494736842106</v>
      </c>
      <c r="L191" s="38">
        <f t="shared" si="26"/>
        <v>0</v>
      </c>
      <c r="M191" s="257">
        <f>ROUND('Plant input detail '!M193*'WPB2.2 Plant detail-w slippage'!$P$2,0)</f>
        <v>0</v>
      </c>
      <c r="N191" s="2227">
        <f t="shared" si="27"/>
        <v>160663.15894736844</v>
      </c>
    </row>
    <row r="192" spans="1:14" x14ac:dyDescent="0.2">
      <c r="A192" s="31">
        <f t="shared" si="28"/>
        <v>23</v>
      </c>
      <c r="B192" s="253">
        <v>375.8</v>
      </c>
      <c r="C192" s="52" t="s">
        <v>1045</v>
      </c>
      <c r="D192" s="257">
        <f>G86</f>
        <v>0</v>
      </c>
      <c r="E192" s="382">
        <f>ROUND('Plant input detail '!E194*'WPB2.2 Plant detail-w slippage'!$P$2,0)</f>
        <v>0</v>
      </c>
      <c r="F192" s="257">
        <f>ROUND('Plant input detail '!F194*'WPB2.2 Plant detail-w slippage'!$P$2,0)</f>
        <v>0</v>
      </c>
      <c r="G192" s="257">
        <f t="shared" si="29"/>
        <v>0</v>
      </c>
      <c r="H192" s="38"/>
      <c r="I192" s="257">
        <f>N86</f>
        <v>0</v>
      </c>
      <c r="J192" s="1362">
        <f>J86</f>
        <v>5.3199999999999997E-2</v>
      </c>
      <c r="K192" s="259">
        <v>0</v>
      </c>
      <c r="L192" s="38">
        <f t="shared" si="26"/>
        <v>0</v>
      </c>
      <c r="M192" s="257">
        <f>ROUND('Plant input detail '!M194*'WPB2.2 Plant detail-w slippage'!$P$2,0)</f>
        <v>0</v>
      </c>
      <c r="N192" s="2227">
        <f t="shared" si="27"/>
        <v>0</v>
      </c>
    </row>
    <row r="193" spans="1:14" x14ac:dyDescent="0.2">
      <c r="A193" s="31">
        <f>A192+1</f>
        <v>24</v>
      </c>
      <c r="B193" s="253">
        <v>376</v>
      </c>
      <c r="C193" s="251" t="s">
        <v>1096</v>
      </c>
      <c r="D193" s="257"/>
      <c r="E193" s="258"/>
      <c r="F193" s="259"/>
      <c r="G193" s="257"/>
      <c r="H193" s="38"/>
      <c r="I193" s="181"/>
      <c r="J193" s="1361"/>
      <c r="K193" s="173"/>
      <c r="L193" s="38"/>
      <c r="M193" s="259"/>
    </row>
    <row r="194" spans="1:14" x14ac:dyDescent="0.2">
      <c r="A194" s="31"/>
      <c r="B194" s="253"/>
      <c r="C194" s="286" t="s">
        <v>1097</v>
      </c>
      <c r="D194" s="257"/>
      <c r="E194" s="258"/>
      <c r="F194" s="259"/>
      <c r="G194" s="257"/>
      <c r="H194" s="38"/>
      <c r="I194" s="257"/>
      <c r="J194" s="1362"/>
      <c r="K194" s="173"/>
      <c r="L194" s="38"/>
      <c r="M194" s="257"/>
      <c r="N194" s="2227"/>
    </row>
    <row r="195" spans="1:14" x14ac:dyDescent="0.2">
      <c r="A195" s="31"/>
      <c r="B195" s="253"/>
      <c r="C195" s="286" t="s">
        <v>1098</v>
      </c>
      <c r="D195" s="257"/>
      <c r="E195" s="258"/>
      <c r="F195" s="259"/>
      <c r="G195" s="257"/>
      <c r="H195" s="38"/>
      <c r="I195" s="257"/>
      <c r="J195" s="1362"/>
      <c r="K195" s="173"/>
      <c r="L195" s="38"/>
      <c r="M195" s="257"/>
      <c r="N195" s="2227"/>
    </row>
    <row r="196" spans="1:14" x14ac:dyDescent="0.2">
      <c r="A196" s="31"/>
      <c r="B196" s="253"/>
      <c r="C196" s="286" t="s">
        <v>1099</v>
      </c>
      <c r="D196" s="257"/>
      <c r="E196" s="258"/>
      <c r="F196" s="259"/>
      <c r="G196" s="257"/>
      <c r="H196" s="38"/>
      <c r="I196" s="257"/>
      <c r="J196" s="1362"/>
      <c r="K196" s="173"/>
      <c r="L196" s="38"/>
      <c r="M196" s="257"/>
      <c r="N196" s="2227"/>
    </row>
    <row r="197" spans="1:14" x14ac:dyDescent="0.2">
      <c r="A197" s="31"/>
      <c r="B197" s="253"/>
      <c r="C197" s="286" t="s">
        <v>1100</v>
      </c>
      <c r="D197" s="257"/>
      <c r="E197" s="258"/>
      <c r="F197" s="259"/>
      <c r="G197" s="257"/>
      <c r="H197" s="38"/>
      <c r="I197" s="257"/>
      <c r="J197" s="1362"/>
      <c r="K197" s="173"/>
      <c r="L197" s="38"/>
      <c r="M197" s="257"/>
      <c r="N197" s="2227"/>
    </row>
    <row r="198" spans="1:14" x14ac:dyDescent="0.2">
      <c r="A198" s="31"/>
      <c r="B198" s="253"/>
      <c r="C198" s="286" t="s">
        <v>1101</v>
      </c>
      <c r="D198" s="257">
        <f>G92</f>
        <v>202128849.44</v>
      </c>
      <c r="E198" s="382">
        <f>ROUND('Plant input detail '!E200*'WPB2.2 Plant detail-w slippage'!$P$2,0)</f>
        <v>2935619</v>
      </c>
      <c r="F198" s="257">
        <f>ROUND('Plant input detail '!F200*'WPB2.2 Plant detail-w slippage'!$P$2,0)</f>
        <v>-352274</v>
      </c>
      <c r="G198" s="257">
        <f t="shared" ref="G198:G203" si="31">SUM(D198:F198)</f>
        <v>204712194.44</v>
      </c>
      <c r="H198" s="38"/>
      <c r="I198" s="257">
        <f>N92</f>
        <v>56758463.609999999</v>
      </c>
      <c r="J198" s="1362">
        <f>J92</f>
        <v>1.5699999999999999E-2</v>
      </c>
      <c r="K198" s="173">
        <f t="shared" ref="K198:K203" si="32">ROUND((G198+D198)/2*J198/12,0)</f>
        <v>266142</v>
      </c>
      <c r="L198" s="38">
        <f t="shared" ref="L198:L203" si="33">-F198</f>
        <v>352274</v>
      </c>
      <c r="M198" s="257">
        <f>ROUND('Plant input detail '!M200*'WPB2.2 Plant detail-w slippage'!$P$2,0)</f>
        <v>-52841</v>
      </c>
      <c r="N198" s="2227">
        <f t="shared" ref="N198:N203" si="34">I198+K198-L198+M198</f>
        <v>56619490.609999999</v>
      </c>
    </row>
    <row r="199" spans="1:14" x14ac:dyDescent="0.2">
      <c r="A199" s="31">
        <f>A193+1</f>
        <v>25</v>
      </c>
      <c r="B199" s="253">
        <v>378.1</v>
      </c>
      <c r="C199" s="52" t="s">
        <v>1047</v>
      </c>
      <c r="D199" s="257">
        <f>G93</f>
        <v>518504.18</v>
      </c>
      <c r="E199" s="382">
        <f>ROUND('Plant input detail '!E201*'WPB2.2 Plant detail-w slippage'!$P$2,0)</f>
        <v>0</v>
      </c>
      <c r="F199" s="257">
        <f>ROUND('Plant input detail '!F201*'WPB2.2 Plant detail-w slippage'!$P$2,0)</f>
        <v>0</v>
      </c>
      <c r="G199" s="257">
        <f t="shared" si="31"/>
        <v>518504.18</v>
      </c>
      <c r="H199" s="38"/>
      <c r="I199" s="257">
        <f>N93</f>
        <v>354326.81</v>
      </c>
      <c r="J199" s="1362">
        <f>J93</f>
        <v>2.35E-2</v>
      </c>
      <c r="K199" s="173">
        <f t="shared" si="32"/>
        <v>1015</v>
      </c>
      <c r="L199" s="38">
        <f t="shared" si="33"/>
        <v>0</v>
      </c>
      <c r="M199" s="257">
        <f>ROUND('Plant input detail '!M201*'WPB2.2 Plant detail-w slippage'!$P$2,0)</f>
        <v>0</v>
      </c>
      <c r="N199" s="2227">
        <f t="shared" si="34"/>
        <v>355341.81</v>
      </c>
    </row>
    <row r="200" spans="1:14" x14ac:dyDescent="0.2">
      <c r="A200" s="31">
        <f t="shared" si="28"/>
        <v>26</v>
      </c>
      <c r="B200" s="253">
        <v>378.2</v>
      </c>
      <c r="C200" s="52" t="s">
        <v>1048</v>
      </c>
      <c r="D200" s="257">
        <f>G94</f>
        <v>9507449</v>
      </c>
      <c r="E200" s="382">
        <f>ROUND('Plant input detail '!E202*'WPB2.2 Plant detail-w slippage'!$P$2,0)</f>
        <v>24034</v>
      </c>
      <c r="F200" s="257">
        <f>ROUND('Plant input detail '!F202*'WPB2.2 Plant detail-w slippage'!$P$2,0)</f>
        <v>-2884</v>
      </c>
      <c r="G200" s="257">
        <f t="shared" si="31"/>
        <v>9528599</v>
      </c>
      <c r="H200" s="38"/>
      <c r="I200" s="257">
        <f>N94</f>
        <v>3238723.91</v>
      </c>
      <c r="J200" s="1362">
        <f>J94</f>
        <v>2.35E-2</v>
      </c>
      <c r="K200" s="173">
        <f t="shared" si="32"/>
        <v>18639</v>
      </c>
      <c r="L200" s="38">
        <f t="shared" si="33"/>
        <v>2884</v>
      </c>
      <c r="M200" s="257">
        <f>ROUND('Plant input detail '!M202*'WPB2.2 Plant detail-w slippage'!$P$2,0)</f>
        <v>-144</v>
      </c>
      <c r="N200" s="2227">
        <f t="shared" si="34"/>
        <v>3254334.91</v>
      </c>
    </row>
    <row r="201" spans="1:14" x14ac:dyDescent="0.2">
      <c r="A201" s="31">
        <f t="shared" si="28"/>
        <v>27</v>
      </c>
      <c r="B201" s="253">
        <v>378.3</v>
      </c>
      <c r="C201" s="52" t="s">
        <v>1049</v>
      </c>
      <c r="D201" s="257">
        <f>G95</f>
        <v>45443.08</v>
      </c>
      <c r="E201" s="382">
        <f>ROUND('Plant input detail '!E203*'WPB2.2 Plant detail-w slippage'!$P$2,0)</f>
        <v>0</v>
      </c>
      <c r="F201" s="257">
        <f>ROUND('Plant input detail '!F203*'WPB2.2 Plant detail-w slippage'!$P$2,0)</f>
        <v>0</v>
      </c>
      <c r="G201" s="257">
        <f t="shared" si="31"/>
        <v>45443.08</v>
      </c>
      <c r="H201" s="38"/>
      <c r="I201" s="257">
        <f>N95</f>
        <v>35077.040000000001</v>
      </c>
      <c r="J201" s="1362">
        <f>J95</f>
        <v>2.35E-2</v>
      </c>
      <c r="K201" s="173">
        <f t="shared" si="32"/>
        <v>89</v>
      </c>
      <c r="L201" s="38">
        <f t="shared" si="33"/>
        <v>0</v>
      </c>
      <c r="M201" s="257">
        <f>ROUND('Plant input detail '!M203*'WPB2.2 Plant detail-w slippage'!$P$2,0)</f>
        <v>0</v>
      </c>
      <c r="N201" s="2227">
        <f t="shared" si="34"/>
        <v>35166.04</v>
      </c>
    </row>
    <row r="202" spans="1:14" x14ac:dyDescent="0.2">
      <c r="A202" s="31">
        <f t="shared" si="28"/>
        <v>28</v>
      </c>
      <c r="B202" s="253">
        <v>379.1</v>
      </c>
      <c r="C202" s="52" t="s">
        <v>1050</v>
      </c>
      <c r="D202" s="257">
        <f>G96</f>
        <v>254900.59</v>
      </c>
      <c r="E202" s="382">
        <f>ROUND('Plant input detail '!E204*'WPB2.2 Plant detail-w slippage'!$P$2,0)</f>
        <v>0</v>
      </c>
      <c r="F202" s="257">
        <f>ROUND('Plant input detail '!F204*'WPB2.2 Plant detail-w slippage'!$P$2,0)</f>
        <v>0</v>
      </c>
      <c r="G202" s="257">
        <f t="shared" si="31"/>
        <v>254900.59</v>
      </c>
      <c r="H202" s="38"/>
      <c r="I202" s="257">
        <f>N96</f>
        <v>267730.57</v>
      </c>
      <c r="J202" s="1362">
        <f>J96</f>
        <v>2.2700000000000001E-2</v>
      </c>
      <c r="K202" s="259">
        <v>0</v>
      </c>
      <c r="L202" s="38">
        <f t="shared" si="33"/>
        <v>0</v>
      </c>
      <c r="M202" s="257">
        <f>ROUND('Plant input detail '!M204*'WPB2.2 Plant detail-w slippage'!$P$2,0)</f>
        <v>0</v>
      </c>
      <c r="N202" s="2227">
        <f t="shared" si="34"/>
        <v>267730.57</v>
      </c>
    </row>
    <row r="203" spans="1:14" x14ac:dyDescent="0.2">
      <c r="A203" s="31">
        <f t="shared" si="28"/>
        <v>29</v>
      </c>
      <c r="B203" s="253">
        <v>380</v>
      </c>
      <c r="C203" s="52" t="s">
        <v>1051</v>
      </c>
      <c r="D203" s="257">
        <f>G97</f>
        <v>116993806.77</v>
      </c>
      <c r="E203" s="382">
        <f>ROUND('Plant input detail '!E205*'WPB2.2 Plant detail-w slippage'!$P$2,0)</f>
        <v>892430</v>
      </c>
      <c r="F203" s="257">
        <f>ROUND('Plant input detail '!F205*'WPB2.2 Plant detail-w slippage'!$P$2,0)</f>
        <v>-107092</v>
      </c>
      <c r="G203" s="257">
        <f t="shared" si="31"/>
        <v>117779144.77</v>
      </c>
      <c r="H203" s="38"/>
      <c r="I203" s="257">
        <f>N97</f>
        <v>57694928.520000003</v>
      </c>
      <c r="J203" s="1362">
        <f>J97</f>
        <v>2.5899999999999999E-2</v>
      </c>
      <c r="K203" s="173">
        <f t="shared" si="32"/>
        <v>253359</v>
      </c>
      <c r="L203" s="38">
        <f t="shared" si="33"/>
        <v>107092</v>
      </c>
      <c r="M203" s="257">
        <f>ROUND('Plant input detail '!M205*'WPB2.2 Plant detail-w slippage'!$P$2,0)</f>
        <v>-53546</v>
      </c>
      <c r="N203" s="2227">
        <f t="shared" si="34"/>
        <v>57787649.520000003</v>
      </c>
    </row>
    <row r="204" spans="1:14" x14ac:dyDescent="0.2">
      <c r="A204" s="170"/>
      <c r="B204" s="179"/>
      <c r="C204" s="178"/>
      <c r="D204" s="181"/>
      <c r="E204" s="173"/>
      <c r="F204" s="173"/>
      <c r="G204" s="181"/>
      <c r="H204" s="173"/>
      <c r="I204" s="173"/>
      <c r="J204" s="173"/>
      <c r="K204" s="173"/>
      <c r="L204" s="173"/>
      <c r="M204" s="171"/>
      <c r="N204" s="2229"/>
    </row>
    <row r="205" spans="1:14" x14ac:dyDescent="0.2">
      <c r="A205" s="2079" t="str">
        <f>co</f>
        <v>COLUMBIA GAS OF KENTUCKY, INC.</v>
      </c>
      <c r="B205" s="2079"/>
      <c r="C205" s="2079"/>
      <c r="D205" s="2079"/>
      <c r="E205" s="2079"/>
      <c r="F205" s="2079"/>
      <c r="G205" s="2079"/>
      <c r="H205" s="2079"/>
      <c r="I205" s="2079"/>
      <c r="J205" s="2079"/>
      <c r="K205" s="2079"/>
      <c r="L205" s="2079"/>
      <c r="M205" s="2079"/>
      <c r="N205" s="2079"/>
    </row>
    <row r="206" spans="1:14" x14ac:dyDescent="0.2">
      <c r="A206" s="2079" t="str">
        <f>case</f>
        <v>CASE NO. 2016 - 00162</v>
      </c>
      <c r="B206" s="2079"/>
      <c r="C206" s="2079"/>
      <c r="D206" s="2079"/>
      <c r="E206" s="2079"/>
      <c r="F206" s="2079"/>
      <c r="G206" s="2079"/>
      <c r="H206" s="2079"/>
      <c r="I206" s="2079"/>
      <c r="J206" s="2079"/>
      <c r="K206" s="2079"/>
      <c r="L206" s="2079"/>
      <c r="M206" s="2079"/>
      <c r="N206" s="2079"/>
    </row>
    <row r="207" spans="1:14" x14ac:dyDescent="0.2">
      <c r="A207" s="2080" t="s">
        <v>1106</v>
      </c>
      <c r="B207" s="2079"/>
      <c r="C207" s="2079"/>
      <c r="D207" s="2079"/>
      <c r="E207" s="2079"/>
      <c r="F207" s="2079"/>
      <c r="G207" s="2079"/>
      <c r="H207" s="2079"/>
      <c r="I207" s="2079"/>
      <c r="J207" s="2079"/>
      <c r="K207" s="2079"/>
      <c r="L207" s="2079"/>
      <c r="M207" s="2079"/>
      <c r="N207" s="2079"/>
    </row>
    <row r="208" spans="1:14" x14ac:dyDescent="0.2">
      <c r="A208" s="2081" t="s">
        <v>2142</v>
      </c>
      <c r="B208" s="2085"/>
      <c r="C208" s="2085"/>
      <c r="D208" s="2085"/>
      <c r="E208" s="2085"/>
      <c r="F208" s="2085"/>
      <c r="G208" s="2085"/>
      <c r="H208" s="2085"/>
      <c r="I208" s="2085"/>
      <c r="J208" s="2085"/>
      <c r="K208" s="2085"/>
      <c r="L208" s="2085"/>
      <c r="M208" s="2085"/>
      <c r="N208" s="2085"/>
    </row>
    <row r="210" spans="1:14" x14ac:dyDescent="0.2">
      <c r="A210" s="285" t="str">
        <f>$A$6</f>
        <v>DATA:__X___BASE PERIOD__X___FORECASTED PERIOD</v>
      </c>
      <c r="C210" s="171"/>
      <c r="M210" s="32"/>
      <c r="N210" s="1258" t="str">
        <f>$N$6</f>
        <v>WPB-2.2</v>
      </c>
    </row>
    <row r="211" spans="1:14" x14ac:dyDescent="0.2">
      <c r="A211" s="4" t="str">
        <f>$A$7</f>
        <v>TYPE OF FILING:___X____ORIGINAL________UPDATED</v>
      </c>
      <c r="M211" s="32"/>
      <c r="N211" s="2223" t="s">
        <v>1717</v>
      </c>
    </row>
    <row r="212" spans="1:14" x14ac:dyDescent="0.2">
      <c r="A212" s="1261" t="str">
        <f>$A$8</f>
        <v xml:space="preserve">WORKPAPER REFERENCE NO(S).: </v>
      </c>
      <c r="B212" s="202"/>
      <c r="C212" s="202"/>
      <c r="D212" s="201"/>
      <c r="E212" s="202"/>
      <c r="F212" s="202"/>
      <c r="G212" s="201"/>
      <c r="H212" s="201"/>
      <c r="M212" s="203"/>
      <c r="N212" s="204" t="str">
        <f>SMK</f>
        <v>WITNESS:  S. M. KATKO</v>
      </c>
    </row>
    <row r="213" spans="1:14" x14ac:dyDescent="0.2">
      <c r="A213" s="200"/>
      <c r="B213" s="201"/>
      <c r="C213" s="201"/>
      <c r="D213" s="201"/>
      <c r="E213" s="202"/>
      <c r="F213" s="202"/>
      <c r="G213" s="201"/>
      <c r="H213" s="201"/>
      <c r="I213" s="203"/>
      <c r="J213" s="1357"/>
      <c r="L213" s="32"/>
      <c r="M213" s="32"/>
    </row>
    <row r="214" spans="1:14" x14ac:dyDescent="0.2">
      <c r="A214" s="200"/>
      <c r="B214" s="201"/>
      <c r="C214" s="201"/>
      <c r="D214" s="2082" t="s">
        <v>1088</v>
      </c>
      <c r="E214" s="2082"/>
      <c r="F214" s="2082"/>
      <c r="G214" s="2082"/>
      <c r="H214" s="201"/>
      <c r="I214" s="2083" t="s">
        <v>1093</v>
      </c>
      <c r="J214" s="2084"/>
      <c r="K214" s="2084"/>
      <c r="L214" s="2084"/>
      <c r="M214" s="2084"/>
      <c r="N214" s="2084"/>
    </row>
    <row r="215" spans="1:14" x14ac:dyDescent="0.2">
      <c r="A215" s="270"/>
      <c r="B215" s="201"/>
      <c r="C215" s="201"/>
      <c r="D215" s="271" t="s">
        <v>1084</v>
      </c>
      <c r="E215" s="202"/>
      <c r="F215" s="202"/>
      <c r="G215" s="269"/>
      <c r="H215" s="269"/>
      <c r="I215" s="261" t="s">
        <v>1089</v>
      </c>
      <c r="J215" s="1358"/>
      <c r="M215" s="32"/>
    </row>
    <row r="216" spans="1:14" x14ac:dyDescent="0.2">
      <c r="A216" s="30"/>
      <c r="D216" s="261" t="s">
        <v>865</v>
      </c>
      <c r="G216" s="261" t="s">
        <v>867</v>
      </c>
      <c r="H216" s="268"/>
      <c r="I216" s="261" t="s">
        <v>865</v>
      </c>
      <c r="J216" s="1308" t="s">
        <v>956</v>
      </c>
      <c r="M216" s="32"/>
      <c r="N216" s="2225" t="s">
        <v>867</v>
      </c>
    </row>
    <row r="217" spans="1:14" x14ac:dyDescent="0.2">
      <c r="A217" s="261" t="s">
        <v>1080</v>
      </c>
      <c r="B217" s="261" t="s">
        <v>1082</v>
      </c>
      <c r="D217" s="261" t="s">
        <v>867</v>
      </c>
      <c r="G217" s="262" t="s">
        <v>1087</v>
      </c>
      <c r="H217" s="268"/>
      <c r="I217" s="262" t="s">
        <v>867</v>
      </c>
      <c r="J217" s="1308" t="s">
        <v>1090</v>
      </c>
      <c r="K217" s="1308" t="s">
        <v>956</v>
      </c>
      <c r="M217" s="262" t="s">
        <v>1092</v>
      </c>
      <c r="N217" s="1259" t="s">
        <v>1087</v>
      </c>
    </row>
    <row r="218" spans="1:14" x14ac:dyDescent="0.2">
      <c r="A218" s="272" t="s">
        <v>1081</v>
      </c>
      <c r="B218" s="272" t="s">
        <v>1081</v>
      </c>
      <c r="C218" s="273" t="s">
        <v>1083</v>
      </c>
      <c r="D218" s="274" t="str">
        <f>D165</f>
        <v>03/31/2016</v>
      </c>
      <c r="E218" s="275" t="s">
        <v>1085</v>
      </c>
      <c r="F218" s="275" t="s">
        <v>1086</v>
      </c>
      <c r="G218" s="274" t="str">
        <f>G165</f>
        <v>04/30/2016</v>
      </c>
      <c r="H218" s="268"/>
      <c r="I218" s="274" t="str">
        <f>D218</f>
        <v>03/31/2016</v>
      </c>
      <c r="J218" s="275" t="s">
        <v>1091</v>
      </c>
      <c r="K218" s="1327" t="s">
        <v>1090</v>
      </c>
      <c r="L218" s="276" t="s">
        <v>1086</v>
      </c>
      <c r="M218" s="276" t="s">
        <v>955</v>
      </c>
      <c r="N218" s="2226" t="str">
        <f>G218</f>
        <v>04/30/2016</v>
      </c>
    </row>
    <row r="219" spans="1:14" x14ac:dyDescent="0.2">
      <c r="A219" s="267"/>
      <c r="B219" s="267"/>
      <c r="C219" s="267"/>
      <c r="D219" s="267" t="str">
        <f>"(1)"</f>
        <v>(1)</v>
      </c>
      <c r="E219" s="267" t="str">
        <f>"(2)"</f>
        <v>(2)</v>
      </c>
      <c r="F219" s="267" t="str">
        <f>"(3)"</f>
        <v>(3)</v>
      </c>
      <c r="G219" s="267" t="str">
        <f>"(4)=(1+2+3)"</f>
        <v>(4)=(1+2+3)</v>
      </c>
      <c r="H219" s="267"/>
      <c r="I219" s="267" t="str">
        <f>"(5)"</f>
        <v>(5)</v>
      </c>
      <c r="J219" s="1328" t="str">
        <f>"(6)"</f>
        <v>(6)</v>
      </c>
      <c r="K219" s="1328" t="str">
        <f>"(7)=((1+4)/2*6/12))"</f>
        <v>(7)=((1+4)/2*6/12))</v>
      </c>
      <c r="L219" s="267" t="str">
        <f>"(8)"</f>
        <v>(8)</v>
      </c>
      <c r="M219" s="267" t="str">
        <f>"(9)"</f>
        <v>(9)</v>
      </c>
      <c r="N219" s="204" t="str">
        <f>"(10)=(5+7-8+9)"</f>
        <v>(10)=(5+7-8+9)</v>
      </c>
    </row>
    <row r="220" spans="1:14" x14ac:dyDescent="0.2">
      <c r="D220" s="31" t="s">
        <v>639</v>
      </c>
      <c r="E220" s="170" t="s">
        <v>639</v>
      </c>
      <c r="F220" s="170" t="s">
        <v>639</v>
      </c>
      <c r="G220" s="31" t="s">
        <v>639</v>
      </c>
      <c r="H220" s="31"/>
      <c r="I220" s="31" t="s">
        <v>639</v>
      </c>
      <c r="J220" s="170" t="s">
        <v>639</v>
      </c>
      <c r="K220" s="170" t="s">
        <v>639</v>
      </c>
      <c r="L220" s="31" t="s">
        <v>639</v>
      </c>
      <c r="M220" s="31" t="s">
        <v>639</v>
      </c>
      <c r="N220" s="155" t="s">
        <v>639</v>
      </c>
    </row>
    <row r="221" spans="1:14" x14ac:dyDescent="0.2">
      <c r="C221" s="36" t="s">
        <v>707</v>
      </c>
      <c r="D221" s="31"/>
      <c r="E221" s="170"/>
      <c r="F221" s="170"/>
      <c r="G221" s="31"/>
      <c r="J221" s="170"/>
    </row>
    <row r="222" spans="1:14" x14ac:dyDescent="0.2">
      <c r="A222" s="127">
        <v>1</v>
      </c>
      <c r="B222" s="123">
        <v>381</v>
      </c>
      <c r="C222" s="52" t="s">
        <v>1052</v>
      </c>
      <c r="D222" s="257">
        <f t="shared" ref="D222:D233" si="35">G116</f>
        <v>13437028.550000001</v>
      </c>
      <c r="E222" s="382">
        <f>ROUND('Plant input detail '!E224*'WPB2.2 Plant detail-w slippage'!$P$2,0)</f>
        <v>68258</v>
      </c>
      <c r="F222" s="257">
        <f>ROUND('Plant input detail '!F224*'WPB2.2 Plant detail-w slippage'!$P$2,0)</f>
        <v>-8191</v>
      </c>
      <c r="G222" s="257">
        <f>SUM(D222:F222)</f>
        <v>13497095.550000001</v>
      </c>
      <c r="H222" s="38"/>
      <c r="I222" s="257">
        <f t="shared" ref="I222:I233" si="36">N116</f>
        <v>4704466.8899999997</v>
      </c>
      <c r="J222" s="1362">
        <f t="shared" ref="J222:J233" si="37">J116</f>
        <v>2.5899999999999999E-2</v>
      </c>
      <c r="K222" s="173">
        <f t="shared" ref="K222:K233" si="38">ROUND((G222+D222)/2*J222/12,0)</f>
        <v>29066</v>
      </c>
      <c r="L222" s="38">
        <f t="shared" ref="L222:L233" si="39">-F222</f>
        <v>8191</v>
      </c>
      <c r="M222" s="257">
        <f>ROUND('Plant input detail '!M224*'WPB2.2 Plant detail-w slippage'!$P$2,0)</f>
        <v>0</v>
      </c>
      <c r="N222" s="2227">
        <f t="shared" ref="N222:N233" si="40">I222+K222-L222+M222</f>
        <v>4725341.8899999997</v>
      </c>
    </row>
    <row r="223" spans="1:14" x14ac:dyDescent="0.2">
      <c r="A223" s="127">
        <f>A222+1</f>
        <v>2</v>
      </c>
      <c r="B223" s="123">
        <v>381.1</v>
      </c>
      <c r="C223" s="52" t="s">
        <v>1115</v>
      </c>
      <c r="D223" s="257">
        <f t="shared" si="35"/>
        <v>8705985.0600000005</v>
      </c>
      <c r="E223" s="382">
        <f>ROUND('Plant input detail '!E225*'WPB2.2 Plant detail-w slippage'!$P$2,0)</f>
        <v>54586</v>
      </c>
      <c r="F223" s="257">
        <f>ROUND('Plant input detail '!F225*'WPB2.2 Plant detail-w slippage'!$P$2,0)</f>
        <v>-6550</v>
      </c>
      <c r="G223" s="257">
        <f>SUM(D223:F223)</f>
        <v>8754021.0600000005</v>
      </c>
      <c r="H223" s="38"/>
      <c r="I223" s="257">
        <f t="shared" si="36"/>
        <v>392056.5</v>
      </c>
      <c r="J223" s="1362">
        <f t="shared" si="37"/>
        <v>2.5899999999999999E-2</v>
      </c>
      <c r="K223" s="173">
        <f t="shared" si="38"/>
        <v>18842</v>
      </c>
      <c r="L223" s="38">
        <f t="shared" si="39"/>
        <v>6550</v>
      </c>
      <c r="M223" s="257">
        <f>ROUND('Plant input detail '!M225*'WPB2.2 Plant detail-w slippage'!$P$2,0)</f>
        <v>0</v>
      </c>
      <c r="N223" s="2227">
        <f t="shared" si="40"/>
        <v>404348.5</v>
      </c>
    </row>
    <row r="224" spans="1:14" x14ac:dyDescent="0.2">
      <c r="A224" s="127">
        <f t="shared" ref="A224:A234" si="41">A223+1</f>
        <v>3</v>
      </c>
      <c r="B224" s="123">
        <v>382</v>
      </c>
      <c r="C224" s="52" t="s">
        <v>1053</v>
      </c>
      <c r="D224" s="257">
        <f t="shared" si="35"/>
        <v>9019186.6500000004</v>
      </c>
      <c r="E224" s="382">
        <f>ROUND('Plant input detail '!E226*'WPB2.2 Plant detail-w slippage'!$P$2,0)</f>
        <v>16332</v>
      </c>
      <c r="F224" s="257">
        <f>ROUND('Plant input detail '!F226*'WPB2.2 Plant detail-w slippage'!$P$2,0)</f>
        <v>-1960</v>
      </c>
      <c r="G224" s="257">
        <f t="shared" ref="G224:G229" si="42">SUM(D224:F224)</f>
        <v>9033558.6500000004</v>
      </c>
      <c r="H224" s="38"/>
      <c r="I224" s="257">
        <f t="shared" si="36"/>
        <v>4499071.3</v>
      </c>
      <c r="J224" s="1362">
        <f t="shared" si="37"/>
        <v>2.3900000000000001E-2</v>
      </c>
      <c r="K224" s="173">
        <f t="shared" si="38"/>
        <v>17978</v>
      </c>
      <c r="L224" s="38">
        <f t="shared" si="39"/>
        <v>1960</v>
      </c>
      <c r="M224" s="257">
        <f>ROUND('Plant input detail '!M226*'WPB2.2 Plant detail-w slippage'!$P$2,0)</f>
        <v>-98</v>
      </c>
      <c r="N224" s="2227">
        <f t="shared" si="40"/>
        <v>4514991.3</v>
      </c>
    </row>
    <row r="225" spans="1:14" x14ac:dyDescent="0.2">
      <c r="A225" s="127">
        <f t="shared" si="41"/>
        <v>4</v>
      </c>
      <c r="B225" s="123">
        <v>383</v>
      </c>
      <c r="C225" s="52" t="s">
        <v>1054</v>
      </c>
      <c r="D225" s="257">
        <f t="shared" si="35"/>
        <v>5536734.7599999998</v>
      </c>
      <c r="E225" s="382">
        <f>ROUND('Plant input detail '!E227*'WPB2.2 Plant detail-w slippage'!$P$2,0)</f>
        <v>10572</v>
      </c>
      <c r="F225" s="257">
        <f>ROUND('Plant input detail '!F227*'WPB2.2 Plant detail-w slippage'!$P$2,0)</f>
        <v>-1269</v>
      </c>
      <c r="G225" s="257">
        <f t="shared" si="42"/>
        <v>5546037.7599999998</v>
      </c>
      <c r="H225" s="38"/>
      <c r="I225" s="257">
        <f t="shared" si="36"/>
        <v>1465300.41</v>
      </c>
      <c r="J225" s="1362">
        <f t="shared" si="37"/>
        <v>1.3899999999999999E-2</v>
      </c>
      <c r="K225" s="173">
        <f t="shared" si="38"/>
        <v>6419</v>
      </c>
      <c r="L225" s="38">
        <f t="shared" si="39"/>
        <v>1269</v>
      </c>
      <c r="M225" s="257">
        <f>ROUND('Plant input detail '!M227*'WPB2.2 Plant detail-w slippage'!$P$2,0)</f>
        <v>-63</v>
      </c>
      <c r="N225" s="2227">
        <f t="shared" si="40"/>
        <v>1470387.41</v>
      </c>
    </row>
    <row r="226" spans="1:14" x14ac:dyDescent="0.2">
      <c r="A226" s="127">
        <f t="shared" si="41"/>
        <v>5</v>
      </c>
      <c r="B226" s="123">
        <v>384</v>
      </c>
      <c r="C226" s="52" t="s">
        <v>1055</v>
      </c>
      <c r="D226" s="257">
        <f t="shared" si="35"/>
        <v>2257522</v>
      </c>
      <c r="E226" s="382">
        <f>ROUND('Plant input detail '!E228*'WPB2.2 Plant detail-w slippage'!$P$2,0)</f>
        <v>0</v>
      </c>
      <c r="F226" s="257">
        <f>ROUND('Plant input detail '!F228*'WPB2.2 Plant detail-w slippage'!$P$2,0)</f>
        <v>0</v>
      </c>
      <c r="G226" s="257">
        <f t="shared" si="42"/>
        <v>2257522</v>
      </c>
      <c r="H226" s="38"/>
      <c r="I226" s="257">
        <f t="shared" si="36"/>
        <v>1750707.73</v>
      </c>
      <c r="J226" s="1362">
        <f t="shared" si="37"/>
        <v>1.0999999999999999E-2</v>
      </c>
      <c r="K226" s="173">
        <f t="shared" si="38"/>
        <v>2069</v>
      </c>
      <c r="L226" s="38">
        <f t="shared" si="39"/>
        <v>0</v>
      </c>
      <c r="M226" s="257">
        <f>ROUND('Plant input detail '!M228*'WPB2.2 Plant detail-w slippage'!$P$2,0)</f>
        <v>0</v>
      </c>
      <c r="N226" s="2227">
        <f t="shared" si="40"/>
        <v>1752776.73</v>
      </c>
    </row>
    <row r="227" spans="1:14" x14ac:dyDescent="0.2">
      <c r="A227" s="127">
        <f t="shared" si="41"/>
        <v>6</v>
      </c>
      <c r="B227" s="123">
        <v>385</v>
      </c>
      <c r="C227" s="52" t="s">
        <v>1056</v>
      </c>
      <c r="D227" s="257">
        <f t="shared" si="35"/>
        <v>3074245.36</v>
      </c>
      <c r="E227" s="382">
        <f>ROUND('Plant input detail '!E229*'WPB2.2 Plant detail-w slippage'!$P$2,0)</f>
        <v>27101</v>
      </c>
      <c r="F227" s="257">
        <f>ROUND('Plant input detail '!F229*'WPB2.2 Plant detail-w slippage'!$P$2,0)</f>
        <v>-3252</v>
      </c>
      <c r="G227" s="257">
        <f t="shared" si="42"/>
        <v>3098094.36</v>
      </c>
      <c r="H227" s="38"/>
      <c r="I227" s="257">
        <f t="shared" si="36"/>
        <v>866020.55</v>
      </c>
      <c r="J227" s="1362">
        <f t="shared" si="37"/>
        <v>2.0899999999999998E-2</v>
      </c>
      <c r="K227" s="173">
        <f t="shared" si="38"/>
        <v>5375</v>
      </c>
      <c r="L227" s="38">
        <f t="shared" si="39"/>
        <v>3252</v>
      </c>
      <c r="M227" s="257">
        <f>ROUND('Plant input detail '!M229*'WPB2.2 Plant detail-w slippage'!$P$2,0)</f>
        <v>-163</v>
      </c>
      <c r="N227" s="2227">
        <f t="shared" si="40"/>
        <v>867980.55</v>
      </c>
    </row>
    <row r="228" spans="1:14" x14ac:dyDescent="0.2">
      <c r="A228" s="127">
        <f t="shared" si="41"/>
        <v>7</v>
      </c>
      <c r="B228" s="123">
        <v>387.2</v>
      </c>
      <c r="C228" s="52" t="s">
        <v>1057</v>
      </c>
      <c r="D228" s="257">
        <f t="shared" si="35"/>
        <v>0</v>
      </c>
      <c r="E228" s="382">
        <f>ROUND('Plant input detail '!E230*'WPB2.2 Plant detail-w slippage'!$P$2,0)</f>
        <v>0</v>
      </c>
      <c r="F228" s="257">
        <f>ROUND('Plant input detail '!F230*'WPB2.2 Plant detail-w slippage'!$P$2,0)</f>
        <v>0</v>
      </c>
      <c r="G228" s="257">
        <f t="shared" si="42"/>
        <v>0</v>
      </c>
      <c r="H228" s="38"/>
      <c r="I228" s="257">
        <f t="shared" si="36"/>
        <v>-59912.03</v>
      </c>
      <c r="J228" s="1362">
        <f t="shared" si="37"/>
        <v>2.3199999999999998E-2</v>
      </c>
      <c r="K228" s="173">
        <f t="shared" si="38"/>
        <v>0</v>
      </c>
      <c r="L228" s="38">
        <f t="shared" si="39"/>
        <v>0</v>
      </c>
      <c r="M228" s="257">
        <f>ROUND('Plant input detail '!M230*'WPB2.2 Plant detail-w slippage'!$P$2,0)</f>
        <v>0</v>
      </c>
      <c r="N228" s="2227">
        <f t="shared" si="40"/>
        <v>-59912.03</v>
      </c>
    </row>
    <row r="229" spans="1:14" x14ac:dyDescent="0.2">
      <c r="A229" s="127">
        <f t="shared" si="41"/>
        <v>8</v>
      </c>
      <c r="B229" s="123">
        <v>387.41</v>
      </c>
      <c r="C229" s="52" t="s">
        <v>1058</v>
      </c>
      <c r="D229" s="257">
        <f t="shared" si="35"/>
        <v>735770.76</v>
      </c>
      <c r="E229" s="382">
        <f>ROUND('Plant input detail '!E231*'WPB2.2 Plant detail-w slippage'!$P$2,0)</f>
        <v>0</v>
      </c>
      <c r="F229" s="257">
        <f>ROUND('Plant input detail '!F231*'WPB2.2 Plant detail-w slippage'!$P$2,0)</f>
        <v>0</v>
      </c>
      <c r="G229" s="257">
        <f t="shared" si="42"/>
        <v>735770.76</v>
      </c>
      <c r="H229" s="38"/>
      <c r="I229" s="257">
        <f t="shared" si="36"/>
        <v>373142.95</v>
      </c>
      <c r="J229" s="1362">
        <f t="shared" si="37"/>
        <v>2.3400000000000001E-2</v>
      </c>
      <c r="K229" s="173">
        <f t="shared" si="38"/>
        <v>1435</v>
      </c>
      <c r="L229" s="38">
        <f t="shared" si="39"/>
        <v>0</v>
      </c>
      <c r="M229" s="257">
        <f>ROUND('Plant input detail '!M231*'WPB2.2 Plant detail-w slippage'!$P$2,0)</f>
        <v>0</v>
      </c>
      <c r="N229" s="2227">
        <f t="shared" si="40"/>
        <v>374577.95</v>
      </c>
    </row>
    <row r="230" spans="1:14" x14ac:dyDescent="0.2">
      <c r="A230" s="127">
        <f t="shared" si="41"/>
        <v>9</v>
      </c>
      <c r="B230" s="123">
        <v>387.42</v>
      </c>
      <c r="C230" s="52" t="s">
        <v>1059</v>
      </c>
      <c r="D230" s="257">
        <f t="shared" si="35"/>
        <v>795186.58</v>
      </c>
      <c r="E230" s="382">
        <f>ROUND('Plant input detail '!E232*'WPB2.2 Plant detail-w slippage'!$P$2,0)</f>
        <v>0</v>
      </c>
      <c r="F230" s="257">
        <f>ROUND('Plant input detail '!F232*'WPB2.2 Plant detail-w slippage'!$P$2,0)</f>
        <v>0</v>
      </c>
      <c r="G230" s="257">
        <f>SUM(D230:F230)</f>
        <v>795186.58</v>
      </c>
      <c r="H230" s="38"/>
      <c r="I230" s="257">
        <f t="shared" si="36"/>
        <v>538586.94999999995</v>
      </c>
      <c r="J230" s="1362">
        <f t="shared" si="37"/>
        <v>2.3400000000000001E-2</v>
      </c>
      <c r="K230" s="173">
        <f t="shared" si="38"/>
        <v>1551</v>
      </c>
      <c r="L230" s="38">
        <f t="shared" si="39"/>
        <v>0</v>
      </c>
      <c r="M230" s="257">
        <f>ROUND('Plant input detail '!M232*'WPB2.2 Plant detail-w slippage'!$P$2,0)</f>
        <v>0</v>
      </c>
      <c r="N230" s="2227">
        <f t="shared" si="40"/>
        <v>540137.94999999995</v>
      </c>
    </row>
    <row r="231" spans="1:14" x14ac:dyDescent="0.2">
      <c r="A231" s="127">
        <f t="shared" si="41"/>
        <v>10</v>
      </c>
      <c r="B231" s="123">
        <v>387.44</v>
      </c>
      <c r="C231" s="52" t="s">
        <v>1060</v>
      </c>
      <c r="D231" s="257">
        <f t="shared" si="35"/>
        <v>133589.93</v>
      </c>
      <c r="E231" s="382">
        <f>ROUND('Plant input detail '!E233*'WPB2.2 Plant detail-w slippage'!$P$2,0)</f>
        <v>0</v>
      </c>
      <c r="F231" s="257">
        <f>ROUND('Plant input detail '!F233*'WPB2.2 Plant detail-w slippage'!$P$2,0)</f>
        <v>0</v>
      </c>
      <c r="G231" s="257">
        <f>SUM(D231:F231)</f>
        <v>133589.93</v>
      </c>
      <c r="H231" s="38"/>
      <c r="I231" s="257">
        <f t="shared" si="36"/>
        <v>45804.55</v>
      </c>
      <c r="J231" s="1362">
        <f t="shared" si="37"/>
        <v>2.3400000000000001E-2</v>
      </c>
      <c r="K231" s="173">
        <f t="shared" si="38"/>
        <v>261</v>
      </c>
      <c r="L231" s="38">
        <f t="shared" si="39"/>
        <v>0</v>
      </c>
      <c r="M231" s="257">
        <f>ROUND('Plant input detail '!M233*'WPB2.2 Plant detail-w slippage'!$P$2,0)</f>
        <v>0</v>
      </c>
      <c r="N231" s="2227">
        <f t="shared" si="40"/>
        <v>46065.55</v>
      </c>
    </row>
    <row r="232" spans="1:14" x14ac:dyDescent="0.2">
      <c r="A232" s="127">
        <f t="shared" si="41"/>
        <v>11</v>
      </c>
      <c r="B232" s="123">
        <v>387.45</v>
      </c>
      <c r="C232" s="52" t="s">
        <v>1061</v>
      </c>
      <c r="D232" s="257">
        <f t="shared" si="35"/>
        <v>2756218.66</v>
      </c>
      <c r="E232" s="382">
        <f>ROUND('Plant input detail '!E234*'WPB2.2 Plant detail-w slippage'!$P$2,0)</f>
        <v>9281</v>
      </c>
      <c r="F232" s="257">
        <f>ROUND('Plant input detail '!F234*'WPB2.2 Plant detail-w slippage'!$P$2,0)</f>
        <v>-1114</v>
      </c>
      <c r="G232" s="257">
        <f>SUM(D232:F232)</f>
        <v>2764385.66</v>
      </c>
      <c r="H232" s="38"/>
      <c r="I232" s="257">
        <f t="shared" si="36"/>
        <v>550888.06000000006</v>
      </c>
      <c r="J232" s="1362">
        <f t="shared" si="37"/>
        <v>2.3400000000000001E-2</v>
      </c>
      <c r="K232" s="173">
        <f t="shared" si="38"/>
        <v>5383</v>
      </c>
      <c r="L232" s="38">
        <f t="shared" si="39"/>
        <v>1114</v>
      </c>
      <c r="M232" s="257">
        <f>ROUND('Plant input detail '!M234*'WPB2.2 Plant detail-w slippage'!$P$2,0)</f>
        <v>0</v>
      </c>
      <c r="N232" s="2227">
        <f t="shared" si="40"/>
        <v>555157.06000000006</v>
      </c>
    </row>
    <row r="233" spans="1:14" x14ac:dyDescent="0.2">
      <c r="A233" s="127">
        <f t="shared" si="41"/>
        <v>12</v>
      </c>
      <c r="B233" s="123">
        <v>387.46</v>
      </c>
      <c r="C233" s="52" t="s">
        <v>1062</v>
      </c>
      <c r="D233" s="260">
        <f t="shared" si="35"/>
        <v>113644.47</v>
      </c>
      <c r="E233" s="265">
        <f>ROUND('Plant input detail '!E235*'WPB2.2 Plant detail-w slippage'!$P$2,0)</f>
        <v>0</v>
      </c>
      <c r="F233" s="265">
        <f>ROUND('Plant input detail '!F235*'WPB2.2 Plant detail-w slippage'!$P$2,0)</f>
        <v>0</v>
      </c>
      <c r="G233" s="265">
        <f>SUM(D233:F233)</f>
        <v>113644.47</v>
      </c>
      <c r="H233" s="264"/>
      <c r="I233" s="260">
        <f t="shared" si="36"/>
        <v>110234.83</v>
      </c>
      <c r="J233" s="1362">
        <f t="shared" si="37"/>
        <v>2.3400000000000001E-2</v>
      </c>
      <c r="K233" s="260">
        <f t="shared" si="38"/>
        <v>222</v>
      </c>
      <c r="L233" s="295">
        <f t="shared" si="39"/>
        <v>0</v>
      </c>
      <c r="M233" s="265">
        <f>ROUND('Plant input detail '!M235*'WPB2.2 Plant detail-w slippage'!$P$2,0)</f>
        <v>0</v>
      </c>
      <c r="N233" s="2228">
        <f t="shared" si="40"/>
        <v>110456.83</v>
      </c>
    </row>
    <row r="234" spans="1:14" x14ac:dyDescent="0.2">
      <c r="A234" s="127">
        <f t="shared" si="41"/>
        <v>13</v>
      </c>
      <c r="B234" s="252"/>
      <c r="C234" s="32" t="s">
        <v>1063</v>
      </c>
      <c r="D234" s="173">
        <f>SUM(D222:D233,D182:D203)</f>
        <v>390334572.37999994</v>
      </c>
      <c r="E234" s="173">
        <f>SUM(E222:E233,E182:E203)</f>
        <v>4064522</v>
      </c>
      <c r="F234" s="173">
        <f>SUM(F222:F233,F182:F203)</f>
        <v>-487743</v>
      </c>
      <c r="G234" s="173">
        <f>SUM(G222:G233,G182:G203)</f>
        <v>393911351.37999994</v>
      </c>
      <c r="H234" s="38"/>
      <c r="I234" s="173">
        <f>SUM(I222:I233,I182:I203)</f>
        <v>138548248.82947367</v>
      </c>
      <c r="J234" s="173"/>
      <c r="K234" s="173">
        <f>SUM(K222:K233,K182:K203)</f>
        <v>650460.04947368428</v>
      </c>
      <c r="L234" s="173">
        <f>SUM(L222:L233,L182:L203)</f>
        <v>487743</v>
      </c>
      <c r="M234" s="173">
        <f>SUM(M222:M233,M182:M203)</f>
        <v>-106857</v>
      </c>
      <c r="N234" s="1361">
        <f>SUM(N222:N233,N182:N203)</f>
        <v>138604108.87894738</v>
      </c>
    </row>
    <row r="235" spans="1:14" x14ac:dyDescent="0.2">
      <c r="B235" s="252"/>
      <c r="D235" s="38"/>
      <c r="E235" s="173"/>
      <c r="F235" s="173"/>
      <c r="G235" s="38"/>
      <c r="H235" s="38"/>
      <c r="I235" s="181"/>
      <c r="J235" s="173"/>
      <c r="K235" s="173"/>
      <c r="L235" s="38"/>
      <c r="M235" s="173"/>
    </row>
    <row r="236" spans="1:14" x14ac:dyDescent="0.2">
      <c r="A236" s="127">
        <f>A234+1</f>
        <v>14</v>
      </c>
      <c r="B236" s="252"/>
      <c r="C236" s="36" t="s">
        <v>737</v>
      </c>
      <c r="D236" s="38"/>
      <c r="E236" s="173"/>
      <c r="F236" s="173"/>
      <c r="G236" s="38"/>
      <c r="H236" s="38"/>
      <c r="I236" s="181"/>
      <c r="J236" s="173"/>
      <c r="K236" s="173"/>
      <c r="L236" s="38"/>
      <c r="M236" s="173"/>
    </row>
    <row r="237" spans="1:14" x14ac:dyDescent="0.2">
      <c r="A237" s="31">
        <f>A236+1</f>
        <v>15</v>
      </c>
      <c r="B237" s="123">
        <v>391.1</v>
      </c>
      <c r="C237" s="52" t="s">
        <v>1064</v>
      </c>
      <c r="D237" s="257">
        <f t="shared" ref="D237:D250" si="43">G131</f>
        <v>733453.71</v>
      </c>
      <c r="E237" s="382">
        <f>ROUND('Plant input detail '!E239*'WPB2.2 Plant detail-w slippage'!$P$2,0)</f>
        <v>62</v>
      </c>
      <c r="F237" s="257">
        <f>ROUND('Plant input detail '!F239*'WPB2.2 Plant detail-w slippage'!$P$2,0)</f>
        <v>-7</v>
      </c>
      <c r="G237" s="257">
        <f t="shared" ref="G237:G250" si="44">SUM(D237:F237)</f>
        <v>733508.71</v>
      </c>
      <c r="H237" s="38"/>
      <c r="I237" s="257">
        <f t="shared" ref="I237:I250" si="45">N131</f>
        <v>-80616.22</v>
      </c>
      <c r="J237" s="1362">
        <f t="shared" ref="J237:J250" si="46">J131</f>
        <v>0.05</v>
      </c>
      <c r="K237" s="173">
        <f>ROUND((G237+D237)/2*J237/12,0)</f>
        <v>3056</v>
      </c>
      <c r="L237" s="38">
        <f t="shared" ref="L237:L250" si="47">-F237</f>
        <v>7</v>
      </c>
      <c r="M237" s="257">
        <f>ROUND('Plant input detail '!M239*'WPB2.2 Plant detail-w slippage'!$P$2,0)</f>
        <v>0</v>
      </c>
      <c r="N237" s="2227">
        <f t="shared" ref="N237:N250" si="48">I237+K237-L237+M237</f>
        <v>-77567.22</v>
      </c>
    </row>
    <row r="238" spans="1:14" x14ac:dyDescent="0.2">
      <c r="A238" s="31">
        <f t="shared" ref="A238:A251" si="49">A237+1</f>
        <v>16</v>
      </c>
      <c r="B238" s="123">
        <v>391.11</v>
      </c>
      <c r="C238" s="52" t="s">
        <v>1065</v>
      </c>
      <c r="D238" s="257">
        <f t="shared" si="43"/>
        <v>18815.57</v>
      </c>
      <c r="E238" s="382">
        <f>ROUND('Plant input detail '!E240*'WPB2.2 Plant detail-w slippage'!$P$2,0)</f>
        <v>0</v>
      </c>
      <c r="F238" s="257">
        <f>ROUND('Plant input detail '!F240*'WPB2.2 Plant detail-w slippage'!$P$2,0)</f>
        <v>0</v>
      </c>
      <c r="G238" s="257">
        <f t="shared" si="44"/>
        <v>18815.57</v>
      </c>
      <c r="H238" s="38"/>
      <c r="I238" s="257">
        <f t="shared" si="45"/>
        <v>-12929.77</v>
      </c>
      <c r="J238" s="1362">
        <f t="shared" si="46"/>
        <v>6.6699999999999995E-2</v>
      </c>
      <c r="K238" s="173">
        <f>ROUND((G238+D238)/2*J238/12,0)</f>
        <v>105</v>
      </c>
      <c r="L238" s="38">
        <f t="shared" si="47"/>
        <v>0</v>
      </c>
      <c r="M238" s="257">
        <f>ROUND('Plant input detail '!M240*'WPB2.2 Plant detail-w slippage'!$P$2,0)</f>
        <v>0</v>
      </c>
      <c r="N238" s="2227">
        <f t="shared" si="48"/>
        <v>-12824.77</v>
      </c>
    </row>
    <row r="239" spans="1:14" x14ac:dyDescent="0.2">
      <c r="A239" s="31">
        <f t="shared" si="49"/>
        <v>17</v>
      </c>
      <c r="B239" s="123">
        <v>391.12</v>
      </c>
      <c r="C239" s="52" t="s">
        <v>1066</v>
      </c>
      <c r="D239" s="257">
        <f t="shared" si="43"/>
        <v>853483.41</v>
      </c>
      <c r="E239" s="382">
        <f>ROUND('Plant input detail '!E241*'WPB2.2 Plant detail-w slippage'!$P$2,0)</f>
        <v>0</v>
      </c>
      <c r="F239" s="257">
        <f>ROUND('Plant input detail '!F241*'WPB2.2 Plant detail-w slippage'!$P$2,0)</f>
        <v>0</v>
      </c>
      <c r="G239" s="257">
        <f t="shared" si="44"/>
        <v>853483.41</v>
      </c>
      <c r="H239" s="38"/>
      <c r="I239" s="257">
        <f t="shared" si="45"/>
        <v>561560.37</v>
      </c>
      <c r="J239" s="1362">
        <f t="shared" si="46"/>
        <v>0.2</v>
      </c>
      <c r="K239" s="173">
        <f>ROUND((G239+D239)/2*J239/12,0)</f>
        <v>14225</v>
      </c>
      <c r="L239" s="38">
        <f t="shared" si="47"/>
        <v>0</v>
      </c>
      <c r="M239" s="257">
        <f>ROUND('Plant input detail '!M241*'WPB2.2 Plant detail-w slippage'!$P$2,0)</f>
        <v>0</v>
      </c>
      <c r="N239" s="2227">
        <f t="shared" si="48"/>
        <v>575785.37</v>
      </c>
    </row>
    <row r="240" spans="1:14" x14ac:dyDescent="0.2">
      <c r="A240" s="31">
        <f t="shared" si="49"/>
        <v>18</v>
      </c>
      <c r="B240" s="123">
        <v>392.2</v>
      </c>
      <c r="C240" s="52" t="s">
        <v>1067</v>
      </c>
      <c r="D240" s="257">
        <f t="shared" si="43"/>
        <v>95778</v>
      </c>
      <c r="E240" s="382">
        <f>ROUND('Plant input detail '!E242*'WPB2.2 Plant detail-w slippage'!$P$2,0)</f>
        <v>0</v>
      </c>
      <c r="F240" s="257">
        <f>ROUND('Plant input detail '!F242*'WPB2.2 Plant detail-w slippage'!$P$2,0)</f>
        <v>0</v>
      </c>
      <c r="G240" s="257">
        <f t="shared" si="44"/>
        <v>95778</v>
      </c>
      <c r="H240" s="38"/>
      <c r="I240" s="257">
        <f t="shared" si="45"/>
        <v>20540.05</v>
      </c>
      <c r="J240" s="1362">
        <f t="shared" si="46"/>
        <v>2.9399999999999999E-2</v>
      </c>
      <c r="K240" s="173">
        <f>ROUND((G240+D240)/2*J240/12,0)</f>
        <v>235</v>
      </c>
      <c r="L240" s="38">
        <f t="shared" si="47"/>
        <v>0</v>
      </c>
      <c r="M240" s="257">
        <f>ROUND('Plant input detail '!M242*'WPB2.2 Plant detail-w slippage'!$P$2,0)</f>
        <v>0</v>
      </c>
      <c r="N240" s="2227">
        <f t="shared" si="48"/>
        <v>20775.05</v>
      </c>
    </row>
    <row r="241" spans="1:16" x14ac:dyDescent="0.2">
      <c r="A241" s="31">
        <f t="shared" si="49"/>
        <v>19</v>
      </c>
      <c r="B241" s="123">
        <v>392.21</v>
      </c>
      <c r="C241" s="52" t="s">
        <v>1068</v>
      </c>
      <c r="D241" s="257">
        <f t="shared" si="43"/>
        <v>24462.2</v>
      </c>
      <c r="E241" s="382">
        <f>ROUND('Plant input detail '!E243*'WPB2.2 Plant detail-w slippage'!$P$2,0)</f>
        <v>0</v>
      </c>
      <c r="F241" s="257">
        <f>ROUND('Plant input detail '!F243*'WPB2.2 Plant detail-w slippage'!$P$2,0)</f>
        <v>0</v>
      </c>
      <c r="G241" s="257">
        <f t="shared" si="44"/>
        <v>24462.2</v>
      </c>
      <c r="H241" s="38"/>
      <c r="I241" s="257">
        <f t="shared" si="45"/>
        <v>4647.3999999999996</v>
      </c>
      <c r="J241" s="1362">
        <f t="shared" si="46"/>
        <v>2.9399999999999999E-2</v>
      </c>
      <c r="K241" s="173">
        <f>ROUND((G241+D241)/2*J241/12,0)</f>
        <v>60</v>
      </c>
      <c r="L241" s="38">
        <f t="shared" si="47"/>
        <v>0</v>
      </c>
      <c r="M241" s="257">
        <f>ROUND('Plant input detail '!M243*'WPB2.2 Plant detail-w slippage'!$P$2,0)</f>
        <v>0</v>
      </c>
      <c r="N241" s="2227">
        <f t="shared" si="48"/>
        <v>4707.3999999999996</v>
      </c>
    </row>
    <row r="242" spans="1:16" x14ac:dyDescent="0.2">
      <c r="A242" s="31">
        <f t="shared" si="49"/>
        <v>20</v>
      </c>
      <c r="B242" s="123">
        <v>393</v>
      </c>
      <c r="C242" s="52" t="s">
        <v>1069</v>
      </c>
      <c r="D242" s="257">
        <f t="shared" si="43"/>
        <v>0</v>
      </c>
      <c r="E242" s="382">
        <f>ROUND('Plant input detail '!E244*'WPB2.2 Plant detail-w slippage'!$P$2,0)</f>
        <v>0</v>
      </c>
      <c r="F242" s="257">
        <f>ROUND('Plant input detail '!F244*'WPB2.2 Plant detail-w slippage'!$P$2,0)</f>
        <v>0</v>
      </c>
      <c r="G242" s="257">
        <f t="shared" si="44"/>
        <v>0</v>
      </c>
      <c r="H242" s="38"/>
      <c r="I242" s="257">
        <f t="shared" si="45"/>
        <v>0</v>
      </c>
      <c r="J242" s="1362" t="str">
        <f t="shared" si="46"/>
        <v>Amort.</v>
      </c>
      <c r="K242" s="259">
        <v>0</v>
      </c>
      <c r="L242" s="38">
        <f t="shared" si="47"/>
        <v>0</v>
      </c>
      <c r="M242" s="257">
        <f>ROUND('Plant input detail '!M244*'WPB2.2 Plant detail-w slippage'!$P$2,0)</f>
        <v>0</v>
      </c>
      <c r="N242" s="2227">
        <f t="shared" si="48"/>
        <v>0</v>
      </c>
    </row>
    <row r="243" spans="1:16" x14ac:dyDescent="0.2">
      <c r="A243" s="31">
        <f t="shared" si="49"/>
        <v>21</v>
      </c>
      <c r="B243" s="123">
        <v>394.1</v>
      </c>
      <c r="C243" s="52" t="s">
        <v>1070</v>
      </c>
      <c r="D243" s="257">
        <f t="shared" si="43"/>
        <v>24240.799999999999</v>
      </c>
      <c r="E243" s="382">
        <f>ROUND('Plant input detail '!E245*'WPB2.2 Plant detail-w slippage'!$P$2,0)</f>
        <v>0</v>
      </c>
      <c r="F243" s="257">
        <f>ROUND('Plant input detail '!F245*'WPB2.2 Plant detail-w slippage'!$P$2,0)</f>
        <v>0</v>
      </c>
      <c r="G243" s="257">
        <f t="shared" si="44"/>
        <v>24240.799999999999</v>
      </c>
      <c r="H243" s="38"/>
      <c r="I243" s="257">
        <f t="shared" si="45"/>
        <v>13879.82</v>
      </c>
      <c r="J243" s="1362">
        <f t="shared" si="46"/>
        <v>0.04</v>
      </c>
      <c r="K243" s="173">
        <f>ROUND((G243+D243)/2*J243/12,0)</f>
        <v>81</v>
      </c>
      <c r="L243" s="38">
        <f t="shared" si="47"/>
        <v>0</v>
      </c>
      <c r="M243" s="257">
        <f>ROUND('Plant input detail '!M245*'WPB2.2 Plant detail-w slippage'!$P$2,0)</f>
        <v>0</v>
      </c>
      <c r="N243" s="2227">
        <f t="shared" si="48"/>
        <v>13960.82</v>
      </c>
    </row>
    <row r="244" spans="1:16" x14ac:dyDescent="0.2">
      <c r="A244" s="31">
        <f t="shared" si="49"/>
        <v>22</v>
      </c>
      <c r="B244" s="123">
        <v>394.11</v>
      </c>
      <c r="C244" s="52" t="s">
        <v>1071</v>
      </c>
      <c r="D244" s="257">
        <f t="shared" si="43"/>
        <v>0</v>
      </c>
      <c r="E244" s="382">
        <f>ROUND('Plant input detail '!E246*'WPB2.2 Plant detail-w slippage'!$P$2,0)</f>
        <v>0</v>
      </c>
      <c r="F244" s="257">
        <f>ROUND('Plant input detail '!F246*'WPB2.2 Plant detail-w slippage'!$P$2,0)</f>
        <v>0</v>
      </c>
      <c r="G244" s="257">
        <f t="shared" si="44"/>
        <v>0</v>
      </c>
      <c r="H244" s="38"/>
      <c r="I244" s="257">
        <f t="shared" si="45"/>
        <v>0</v>
      </c>
      <c r="J244" s="1362">
        <f t="shared" si="46"/>
        <v>0.13769999999999999</v>
      </c>
      <c r="K244" s="1334">
        <v>0</v>
      </c>
      <c r="L244" s="38">
        <f t="shared" si="47"/>
        <v>0</v>
      </c>
      <c r="M244" s="257">
        <f>ROUND('Plant input detail '!M246*'WPB2.2 Plant detail-w slippage'!$P$2,0)</f>
        <v>0</v>
      </c>
      <c r="N244" s="2227">
        <f t="shared" si="48"/>
        <v>0</v>
      </c>
    </row>
    <row r="245" spans="1:16" x14ac:dyDescent="0.2">
      <c r="A245" s="31">
        <f t="shared" si="49"/>
        <v>23</v>
      </c>
      <c r="B245" s="123">
        <v>394.13</v>
      </c>
      <c r="C245" s="251" t="s">
        <v>1072</v>
      </c>
      <c r="D245" s="257">
        <f t="shared" si="43"/>
        <v>0</v>
      </c>
      <c r="E245" s="382">
        <f>ROUND('Plant input detail '!E247*'WPB2.2 Plant detail-w slippage'!$P$2,0)</f>
        <v>0</v>
      </c>
      <c r="F245" s="257">
        <f>ROUND('Plant input detail '!F247*'WPB2.2 Plant detail-w slippage'!$P$2,0)</f>
        <v>0</v>
      </c>
      <c r="G245" s="257">
        <f t="shared" si="44"/>
        <v>0</v>
      </c>
      <c r="H245" s="38"/>
      <c r="I245" s="257">
        <f t="shared" si="45"/>
        <v>37937.360000000001</v>
      </c>
      <c r="J245" s="1362" t="str">
        <f t="shared" si="46"/>
        <v>Amort.</v>
      </c>
      <c r="K245" s="259">
        <v>0</v>
      </c>
      <c r="L245" s="38">
        <f t="shared" si="47"/>
        <v>0</v>
      </c>
      <c r="M245" s="257">
        <f>ROUND('Plant input detail '!M247*'WPB2.2 Plant detail-w slippage'!$P$2,0)</f>
        <v>0</v>
      </c>
      <c r="N245" s="2227">
        <f t="shared" si="48"/>
        <v>37937.360000000001</v>
      </c>
    </row>
    <row r="246" spans="1:16" x14ac:dyDescent="0.2">
      <c r="A246" s="31">
        <f t="shared" si="49"/>
        <v>24</v>
      </c>
      <c r="B246" s="123">
        <v>394.2</v>
      </c>
      <c r="C246" s="52" t="s">
        <v>1073</v>
      </c>
      <c r="D246" s="257">
        <f t="shared" si="43"/>
        <v>0</v>
      </c>
      <c r="E246" s="382">
        <f>ROUND('Plant input detail '!E248*'WPB2.2 Plant detail-w slippage'!$P$2,0)</f>
        <v>0</v>
      </c>
      <c r="F246" s="257">
        <f>ROUND('Plant input detail '!F248*'WPB2.2 Plant detail-w slippage'!$P$2,0)</f>
        <v>0</v>
      </c>
      <c r="G246" s="257">
        <f t="shared" si="44"/>
        <v>0</v>
      </c>
      <c r="H246" s="38"/>
      <c r="I246" s="257">
        <f t="shared" si="45"/>
        <v>185.21</v>
      </c>
      <c r="J246" s="1362">
        <f t="shared" si="46"/>
        <v>0.04</v>
      </c>
      <c r="K246" s="173">
        <f>ROUND((G246+D246)/2*J246/12,0)</f>
        <v>0</v>
      </c>
      <c r="L246" s="38">
        <f t="shared" si="47"/>
        <v>0</v>
      </c>
      <c r="M246" s="257">
        <f>ROUND('Plant input detail '!M248*'WPB2.2 Plant detail-w slippage'!$P$2,0)</f>
        <v>0</v>
      </c>
      <c r="N246" s="2227">
        <f t="shared" si="48"/>
        <v>185.21</v>
      </c>
    </row>
    <row r="247" spans="1:16" x14ac:dyDescent="0.2">
      <c r="A247" s="31">
        <f t="shared" si="49"/>
        <v>25</v>
      </c>
      <c r="B247" s="123">
        <v>394.3</v>
      </c>
      <c r="C247" s="52" t="s">
        <v>1074</v>
      </c>
      <c r="D247" s="257">
        <f t="shared" si="43"/>
        <v>2956323.16</v>
      </c>
      <c r="E247" s="382">
        <f>ROUND('Plant input detail '!E249*'WPB2.2 Plant detail-w slippage'!$P$2,0)</f>
        <v>34652</v>
      </c>
      <c r="F247" s="257">
        <f>ROUND('Plant input detail '!F249*'WPB2.2 Plant detail-w slippage'!$P$2,0)</f>
        <v>-4158</v>
      </c>
      <c r="G247" s="257">
        <f t="shared" si="44"/>
        <v>2986817.16</v>
      </c>
      <c r="H247" s="38"/>
      <c r="I247" s="257">
        <f t="shared" si="45"/>
        <v>1214387.1499999999</v>
      </c>
      <c r="J247" s="1362">
        <f t="shared" si="46"/>
        <v>0.04</v>
      </c>
      <c r="K247" s="173">
        <f>ROUND((G247+D247)/2*J247/12,0)</f>
        <v>9905</v>
      </c>
      <c r="L247" s="38">
        <f t="shared" si="47"/>
        <v>4158</v>
      </c>
      <c r="M247" s="257">
        <f>ROUND('Plant input detail '!M249*'WPB2.2 Plant detail-w slippage'!$P$2,0)</f>
        <v>0</v>
      </c>
      <c r="N247" s="2227">
        <f t="shared" si="48"/>
        <v>1220134.1499999999</v>
      </c>
    </row>
    <row r="248" spans="1:16" x14ac:dyDescent="0.2">
      <c r="A248" s="31">
        <f t="shared" si="49"/>
        <v>26</v>
      </c>
      <c r="B248" s="123">
        <v>395</v>
      </c>
      <c r="C248" s="52" t="s">
        <v>1075</v>
      </c>
      <c r="D248" s="257">
        <f t="shared" si="43"/>
        <v>9257.77</v>
      </c>
      <c r="E248" s="382">
        <f>ROUND('Plant input detail '!E250*'WPB2.2 Plant detail-w slippage'!$P$2,0)</f>
        <v>0</v>
      </c>
      <c r="F248" s="257">
        <f>ROUND('Plant input detail '!F250*'WPB2.2 Plant detail-w slippage'!$P$2,0)</f>
        <v>0</v>
      </c>
      <c r="G248" s="257">
        <f t="shared" si="44"/>
        <v>9257.77</v>
      </c>
      <c r="H248" s="38"/>
      <c r="I248" s="257">
        <f t="shared" si="45"/>
        <v>7178.59</v>
      </c>
      <c r="J248" s="1362">
        <f t="shared" si="46"/>
        <v>0.05</v>
      </c>
      <c r="K248" s="173">
        <f>ROUND((G248+D248)/2*J248/12,0)</f>
        <v>39</v>
      </c>
      <c r="L248" s="38">
        <f t="shared" si="47"/>
        <v>0</v>
      </c>
      <c r="M248" s="257">
        <f>ROUND('Plant input detail '!M250*'WPB2.2 Plant detail-w slippage'!$P$2,0)</f>
        <v>0</v>
      </c>
      <c r="N248" s="2227">
        <f t="shared" si="48"/>
        <v>7217.59</v>
      </c>
    </row>
    <row r="249" spans="1:16" x14ac:dyDescent="0.2">
      <c r="A249" s="31">
        <f t="shared" si="49"/>
        <v>27</v>
      </c>
      <c r="B249" s="123">
        <v>396</v>
      </c>
      <c r="C249" s="52" t="s">
        <v>1076</v>
      </c>
      <c r="D249" s="257">
        <f t="shared" si="43"/>
        <v>253134.72</v>
      </c>
      <c r="E249" s="382">
        <f>ROUND('Plant input detail '!E251*'WPB2.2 Plant detail-w slippage'!$P$2,0)</f>
        <v>0</v>
      </c>
      <c r="F249" s="257">
        <f>ROUND('Plant input detail '!F251*'WPB2.2 Plant detail-w slippage'!$P$2,0)</f>
        <v>0</v>
      </c>
      <c r="G249" s="257">
        <f t="shared" si="44"/>
        <v>253134.72</v>
      </c>
      <c r="H249" s="38"/>
      <c r="I249" s="257">
        <f t="shared" si="45"/>
        <v>199321.72</v>
      </c>
      <c r="J249" s="1362">
        <f t="shared" si="46"/>
        <v>0</v>
      </c>
      <c r="K249" s="173">
        <f>ROUND((G249+D249)/2*J249/12,0)</f>
        <v>0</v>
      </c>
      <c r="L249" s="38">
        <f t="shared" si="47"/>
        <v>0</v>
      </c>
      <c r="M249" s="257">
        <f>ROUND('Plant input detail '!M251*'WPB2.2 Plant detail-w slippage'!$P$2,0)</f>
        <v>0</v>
      </c>
      <c r="N249" s="2227">
        <f t="shared" si="48"/>
        <v>199321.72</v>
      </c>
    </row>
    <row r="250" spans="1:16" x14ac:dyDescent="0.2">
      <c r="A250" s="31">
        <f t="shared" si="49"/>
        <v>28</v>
      </c>
      <c r="B250" s="123">
        <v>398</v>
      </c>
      <c r="C250" s="52" t="s">
        <v>1077</v>
      </c>
      <c r="D250" s="260">
        <f t="shared" si="43"/>
        <v>91076.94</v>
      </c>
      <c r="E250" s="265">
        <f>ROUND('Plant input detail '!E252*'WPB2.2 Plant detail-w slippage'!$P$2,0)</f>
        <v>0</v>
      </c>
      <c r="F250" s="260">
        <f>ROUND('Plant input detail '!F252*'WPB2.2 Plant detail-w slippage'!$P$2,0)</f>
        <v>0</v>
      </c>
      <c r="G250" s="260">
        <f t="shared" si="44"/>
        <v>91076.94</v>
      </c>
      <c r="H250" s="264"/>
      <c r="I250" s="260">
        <f t="shared" si="45"/>
        <v>20717.59</v>
      </c>
      <c r="J250" s="1362">
        <f t="shared" si="46"/>
        <v>6.6699999999999995E-2</v>
      </c>
      <c r="K250" s="260">
        <f>ROUND((G250+D250)/2*J250/12,0)</f>
        <v>506</v>
      </c>
      <c r="L250" s="295">
        <f t="shared" si="47"/>
        <v>0</v>
      </c>
      <c r="M250" s="260">
        <f>ROUND('Plant input detail '!M252*'WPB2.2 Plant detail-w slippage'!$P$2,0)</f>
        <v>0</v>
      </c>
      <c r="N250" s="2228">
        <f t="shared" si="48"/>
        <v>21223.59</v>
      </c>
    </row>
    <row r="251" spans="1:16" x14ac:dyDescent="0.2">
      <c r="A251" s="31">
        <f t="shared" si="49"/>
        <v>29</v>
      </c>
      <c r="C251" s="32" t="s">
        <v>1078</v>
      </c>
      <c r="D251" s="264">
        <f>SUM(D237:D250)</f>
        <v>5060026.2799999993</v>
      </c>
      <c r="E251" s="176">
        <f>SUM(E237:E250)</f>
        <v>34714</v>
      </c>
      <c r="F251" s="176">
        <f>SUM(F237:F250)</f>
        <v>-4165</v>
      </c>
      <c r="G251" s="264">
        <f>SUM(G237:G250)</f>
        <v>5090575.2799999993</v>
      </c>
      <c r="H251" s="264"/>
      <c r="I251" s="264">
        <f>SUM(I237:I250)</f>
        <v>1986809.27</v>
      </c>
      <c r="J251" s="1359"/>
      <c r="K251" s="176">
        <f>SUM(K237:K250)</f>
        <v>28212</v>
      </c>
      <c r="L251" s="264">
        <f>SUM(L237:L250)</f>
        <v>4165</v>
      </c>
      <c r="M251" s="176">
        <f>SUM(M237:M250)</f>
        <v>0</v>
      </c>
      <c r="N251" s="1359">
        <f>SUM(N237:N250)</f>
        <v>2010856.27</v>
      </c>
    </row>
    <row r="252" spans="1:16" x14ac:dyDescent="0.2">
      <c r="D252" s="38"/>
      <c r="E252" s="173"/>
      <c r="F252" s="173"/>
      <c r="G252" s="38"/>
      <c r="H252" s="38"/>
      <c r="I252" s="173"/>
      <c r="J252" s="1361"/>
      <c r="K252" s="173"/>
      <c r="L252" s="38"/>
      <c r="M252" s="173"/>
    </row>
    <row r="253" spans="1:16" x14ac:dyDescent="0.2">
      <c r="A253" s="1805">
        <f>A251+1</f>
        <v>30</v>
      </c>
      <c r="B253" s="252"/>
      <c r="C253" s="36" t="s">
        <v>2287</v>
      </c>
      <c r="D253" s="38"/>
      <c r="E253" s="173"/>
      <c r="F253" s="173"/>
      <c r="G253" s="38"/>
      <c r="H253" s="38"/>
      <c r="I253" s="181"/>
      <c r="J253" s="173"/>
      <c r="K253" s="173"/>
      <c r="L253" s="38"/>
      <c r="M253" s="173"/>
      <c r="P253" s="279"/>
    </row>
    <row r="254" spans="1:16" x14ac:dyDescent="0.2">
      <c r="A254" s="31">
        <f>A253+1</f>
        <v>31</v>
      </c>
      <c r="B254" s="123">
        <v>378.21</v>
      </c>
      <c r="C254" s="52" t="s">
        <v>2244</v>
      </c>
      <c r="D254" s="257">
        <f>G148</f>
        <v>-777092</v>
      </c>
      <c r="E254" s="382">
        <f>ROUND('Plant input detail '!E256*'WPB2.2 Plant detail-w slippage'!$P$2,0)</f>
        <v>0</v>
      </c>
      <c r="F254" s="257">
        <f>ROUND('Plant input detail '!F256*'WPB2.2 Plant detail-w slippage'!$P$2,0)</f>
        <v>0</v>
      </c>
      <c r="G254" s="257">
        <f t="shared" ref="G254" si="50">SUM(D254:F254)</f>
        <v>-777092</v>
      </c>
      <c r="H254" s="264"/>
      <c r="I254" s="257">
        <f>N148</f>
        <v>-22967.78</v>
      </c>
      <c r="J254" s="296" t="s">
        <v>1094</v>
      </c>
      <c r="K254" s="1334">
        <v>-2158.5833333333321</v>
      </c>
      <c r="L254" s="38">
        <f t="shared" ref="L254" si="51">-F254</f>
        <v>0</v>
      </c>
      <c r="M254" s="257">
        <f>ROUND('Plant input detail '!M256*'WPB2.2 Plant detail-w slippage'!$P$2,0)</f>
        <v>0</v>
      </c>
      <c r="N254" s="2227">
        <f t="shared" ref="N254" si="52">I254+K254-L254+M254</f>
        <v>-25126.363333333331</v>
      </c>
      <c r="O254" s="292"/>
    </row>
    <row r="255" spans="1:16" x14ac:dyDescent="0.2">
      <c r="A255" s="1723"/>
      <c r="D255" s="38"/>
      <c r="E255" s="173"/>
      <c r="F255" s="173"/>
      <c r="G255" s="38"/>
      <c r="H255" s="38"/>
      <c r="I255" s="173"/>
      <c r="J255" s="1361"/>
      <c r="K255" s="173"/>
      <c r="L255" s="38"/>
      <c r="M255" s="173"/>
    </row>
    <row r="256" spans="1:16" x14ac:dyDescent="0.2">
      <c r="A256" s="31">
        <f>A254+1</f>
        <v>32</v>
      </c>
      <c r="C256" s="32" t="s">
        <v>774</v>
      </c>
      <c r="D256" s="40">
        <f>D251+D234+D179+D175+D254</f>
        <v>400046268.36999989</v>
      </c>
      <c r="E256" s="40">
        <f>E251+E234+E179+E175+E254</f>
        <v>4194215</v>
      </c>
      <c r="F256" s="40">
        <f>F251+F234+F179+F175+F254</f>
        <v>-491908</v>
      </c>
      <c r="G256" s="40">
        <f>G251+G234+G179+G175+G254</f>
        <v>403748575.36999989</v>
      </c>
      <c r="H256" s="38"/>
      <c r="I256" s="40">
        <f>I251+I234+I179+I175+I254</f>
        <v>142774155.86289763</v>
      </c>
      <c r="J256" s="1363"/>
      <c r="K256" s="40">
        <f>K251+K234+K179+K175+K254</f>
        <v>743715.17956430686</v>
      </c>
      <c r="L256" s="40">
        <f>L251+L234+L179+L175+L254</f>
        <v>491908</v>
      </c>
      <c r="M256" s="40">
        <f>M251+M234+M179+M175+M254</f>
        <v>-106857</v>
      </c>
      <c r="N256" s="2230">
        <f>N251+N234+N179+N175+N254</f>
        <v>142919106.04246196</v>
      </c>
    </row>
    <row r="257" spans="1:14" x14ac:dyDescent="0.2">
      <c r="A257" s="31"/>
      <c r="C257" s="32"/>
      <c r="D257" s="38"/>
      <c r="E257" s="173"/>
      <c r="F257" s="173"/>
      <c r="G257" s="38"/>
      <c r="H257" s="38"/>
      <c r="I257" s="173"/>
      <c r="J257" s="173"/>
      <c r="K257" s="173"/>
      <c r="L257" s="38"/>
    </row>
    <row r="258" spans="1:14" x14ac:dyDescent="0.2">
      <c r="A258" s="2079" t="str">
        <f>co</f>
        <v>COLUMBIA GAS OF KENTUCKY, INC.</v>
      </c>
      <c r="B258" s="2079"/>
      <c r="C258" s="2079"/>
      <c r="D258" s="2079"/>
      <c r="E258" s="2079"/>
      <c r="F258" s="2079"/>
      <c r="G258" s="2079"/>
      <c r="H258" s="2079"/>
      <c r="I258" s="2079"/>
      <c r="J258" s="2079"/>
      <c r="K258" s="2079"/>
      <c r="L258" s="2079"/>
      <c r="M258" s="2079"/>
      <c r="N258" s="2079"/>
    </row>
    <row r="259" spans="1:14" x14ac:dyDescent="0.2">
      <c r="A259" s="2079" t="str">
        <f>case</f>
        <v>CASE NO. 2016 - 00162</v>
      </c>
      <c r="B259" s="2079"/>
      <c r="C259" s="2079"/>
      <c r="D259" s="2079"/>
      <c r="E259" s="2079"/>
      <c r="F259" s="2079"/>
      <c r="G259" s="2079"/>
      <c r="H259" s="2079"/>
      <c r="I259" s="2079"/>
      <c r="J259" s="2079"/>
      <c r="K259" s="2079"/>
      <c r="L259" s="2079"/>
      <c r="M259" s="2079"/>
      <c r="N259" s="2079"/>
    </row>
    <row r="260" spans="1:14" x14ac:dyDescent="0.2">
      <c r="A260" s="2080" t="s">
        <v>1106</v>
      </c>
      <c r="B260" s="2079"/>
      <c r="C260" s="2079"/>
      <c r="D260" s="2079"/>
      <c r="E260" s="2079"/>
      <c r="F260" s="2079"/>
      <c r="G260" s="2079"/>
      <c r="H260" s="2079"/>
      <c r="I260" s="2079"/>
      <c r="J260" s="2079"/>
      <c r="K260" s="2079"/>
      <c r="L260" s="2079"/>
      <c r="M260" s="2079"/>
      <c r="N260" s="2079"/>
    </row>
    <row r="261" spans="1:14" x14ac:dyDescent="0.2">
      <c r="A261" s="2081" t="s">
        <v>2142</v>
      </c>
      <c r="B261" s="2085"/>
      <c r="C261" s="2085"/>
      <c r="D261" s="2085"/>
      <c r="E261" s="2085"/>
      <c r="F261" s="2085"/>
      <c r="G261" s="2085"/>
      <c r="H261" s="2085"/>
      <c r="I261" s="2085"/>
      <c r="J261" s="2085"/>
      <c r="K261" s="2085"/>
      <c r="L261" s="2085"/>
      <c r="M261" s="2085"/>
      <c r="N261" s="2085"/>
    </row>
    <row r="263" spans="1:14" x14ac:dyDescent="0.2">
      <c r="A263" s="285" t="str">
        <f>$A$6</f>
        <v>DATA:__X___BASE PERIOD__X___FORECASTED PERIOD</v>
      </c>
      <c r="C263" s="171"/>
      <c r="I263" s="32"/>
      <c r="N263" s="1258" t="str">
        <f>$N$6</f>
        <v>WPB-2.2</v>
      </c>
    </row>
    <row r="264" spans="1:14" x14ac:dyDescent="0.2">
      <c r="A264" s="4" t="str">
        <f>$A$7</f>
        <v>TYPE OF FILING:___X____ORIGINAL________UPDATED</v>
      </c>
      <c r="I264" s="32"/>
      <c r="N264" s="2223" t="s">
        <v>1718</v>
      </c>
    </row>
    <row r="265" spans="1:14" x14ac:dyDescent="0.2">
      <c r="A265" s="1261" t="str">
        <f>$A$8</f>
        <v xml:space="preserve">WORKPAPER REFERENCE NO(S).: </v>
      </c>
      <c r="B265" s="202"/>
      <c r="C265" s="202"/>
      <c r="D265" s="201"/>
      <c r="E265" s="202"/>
      <c r="F265" s="202"/>
      <c r="G265" s="201"/>
      <c r="H265" s="201"/>
      <c r="I265" s="203"/>
      <c r="L265" s="32"/>
      <c r="M265" s="32"/>
      <c r="N265" s="204" t="str">
        <f>SMK</f>
        <v>WITNESS:  S. M. KATKO</v>
      </c>
    </row>
    <row r="266" spans="1:14" x14ac:dyDescent="0.2">
      <c r="A266" s="200"/>
      <c r="B266" s="201"/>
      <c r="C266" s="201"/>
      <c r="D266" s="201"/>
      <c r="E266" s="202"/>
      <c r="F266" s="202"/>
      <c r="G266" s="201"/>
      <c r="H266" s="201"/>
      <c r="I266" s="203"/>
      <c r="J266" s="1357"/>
      <c r="L266" s="32"/>
      <c r="M266" s="32"/>
    </row>
    <row r="267" spans="1:14" x14ac:dyDescent="0.2">
      <c r="A267" s="200"/>
      <c r="B267" s="201"/>
      <c r="C267" s="201"/>
      <c r="D267" s="2082" t="s">
        <v>1088</v>
      </c>
      <c r="E267" s="2082"/>
      <c r="F267" s="2082"/>
      <c r="G267" s="2082"/>
      <c r="H267" s="201"/>
      <c r="I267" s="2083" t="s">
        <v>1093</v>
      </c>
      <c r="J267" s="2084"/>
      <c r="K267" s="2084"/>
      <c r="L267" s="2084"/>
      <c r="M267" s="2084"/>
      <c r="N267" s="2084"/>
    </row>
    <row r="268" spans="1:14" x14ac:dyDescent="0.2">
      <c r="A268" s="270"/>
      <c r="B268" s="201"/>
      <c r="C268" s="201"/>
      <c r="D268" s="271" t="s">
        <v>1084</v>
      </c>
      <c r="E268" s="202"/>
      <c r="F268" s="202"/>
      <c r="G268" s="269"/>
      <c r="H268" s="269"/>
      <c r="I268" s="261" t="s">
        <v>1089</v>
      </c>
      <c r="J268" s="1358"/>
      <c r="M268" s="32"/>
    </row>
    <row r="269" spans="1:14" x14ac:dyDescent="0.2">
      <c r="A269" s="30"/>
      <c r="D269" s="261" t="s">
        <v>865</v>
      </c>
      <c r="G269" s="261" t="s">
        <v>867</v>
      </c>
      <c r="H269" s="268"/>
      <c r="I269" s="261" t="s">
        <v>865</v>
      </c>
      <c r="J269" s="1308" t="s">
        <v>956</v>
      </c>
      <c r="M269" s="32"/>
      <c r="N269" s="2225" t="s">
        <v>867</v>
      </c>
    </row>
    <row r="270" spans="1:14" x14ac:dyDescent="0.2">
      <c r="A270" s="261" t="s">
        <v>1080</v>
      </c>
      <c r="B270" s="261" t="s">
        <v>1082</v>
      </c>
      <c r="D270" s="261" t="s">
        <v>867</v>
      </c>
      <c r="G270" s="262" t="s">
        <v>1087</v>
      </c>
      <c r="H270" s="268"/>
      <c r="I270" s="262" t="s">
        <v>867</v>
      </c>
      <c r="J270" s="1308" t="s">
        <v>1090</v>
      </c>
      <c r="K270" s="1308" t="s">
        <v>956</v>
      </c>
      <c r="M270" s="262" t="s">
        <v>1092</v>
      </c>
      <c r="N270" s="1259" t="s">
        <v>1087</v>
      </c>
    </row>
    <row r="271" spans="1:14" x14ac:dyDescent="0.2">
      <c r="A271" s="272" t="s">
        <v>1081</v>
      </c>
      <c r="B271" s="272" t="s">
        <v>1081</v>
      </c>
      <c r="C271" s="273" t="s">
        <v>1083</v>
      </c>
      <c r="D271" s="298" t="str">
        <f>"04/30/2016"</f>
        <v>04/30/2016</v>
      </c>
      <c r="E271" s="275" t="s">
        <v>1085</v>
      </c>
      <c r="F271" s="275" t="s">
        <v>1086</v>
      </c>
      <c r="G271" s="298" t="str">
        <f>"05/31/2016"</f>
        <v>05/31/2016</v>
      </c>
      <c r="H271" s="268"/>
      <c r="I271" s="274" t="str">
        <f>D271</f>
        <v>04/30/2016</v>
      </c>
      <c r="J271" s="275" t="s">
        <v>1091</v>
      </c>
      <c r="K271" s="1327" t="s">
        <v>1090</v>
      </c>
      <c r="L271" s="276" t="s">
        <v>1086</v>
      </c>
      <c r="M271" s="276" t="s">
        <v>955</v>
      </c>
      <c r="N271" s="2226" t="str">
        <f>G271</f>
        <v>05/31/2016</v>
      </c>
    </row>
    <row r="272" spans="1:14" x14ac:dyDescent="0.2">
      <c r="A272" s="267"/>
      <c r="B272" s="267"/>
      <c r="C272" s="267"/>
      <c r="D272" s="267" t="str">
        <f>"(1)"</f>
        <v>(1)</v>
      </c>
      <c r="E272" s="267" t="str">
        <f>"(2)"</f>
        <v>(2)</v>
      </c>
      <c r="F272" s="267" t="str">
        <f>"(3)"</f>
        <v>(3)</v>
      </c>
      <c r="G272" s="267" t="str">
        <f>"(4)=(1+2+3)"</f>
        <v>(4)=(1+2+3)</v>
      </c>
      <c r="H272" s="267"/>
      <c r="I272" s="267" t="str">
        <f>"(5)"</f>
        <v>(5)</v>
      </c>
      <c r="J272" s="1328" t="str">
        <f>"(6)"</f>
        <v>(6)</v>
      </c>
      <c r="K272" s="1328" t="str">
        <f>"(7)=((1+4)/2*6/12))"</f>
        <v>(7)=((1+4)/2*6/12))</v>
      </c>
      <c r="L272" s="267" t="str">
        <f>"(8)"</f>
        <v>(8)</v>
      </c>
      <c r="M272" s="267" t="str">
        <f>"(9)"</f>
        <v>(9)</v>
      </c>
      <c r="N272" s="204" t="str">
        <f>"(10)=(5+7-8+9)"</f>
        <v>(10)=(5+7-8+9)</v>
      </c>
    </row>
    <row r="273" spans="1:14" x14ac:dyDescent="0.2">
      <c r="D273" s="31" t="s">
        <v>639</v>
      </c>
      <c r="E273" s="170" t="s">
        <v>639</v>
      </c>
      <c r="F273" s="170" t="s">
        <v>639</v>
      </c>
      <c r="G273" s="31" t="s">
        <v>639</v>
      </c>
      <c r="H273" s="31"/>
      <c r="I273" s="31" t="s">
        <v>639</v>
      </c>
      <c r="J273" s="170" t="s">
        <v>639</v>
      </c>
      <c r="K273" s="170" t="s">
        <v>639</v>
      </c>
      <c r="L273" s="31" t="s">
        <v>639</v>
      </c>
      <c r="M273" s="31" t="s">
        <v>639</v>
      </c>
      <c r="N273" s="155" t="s">
        <v>639</v>
      </c>
    </row>
    <row r="274" spans="1:14" x14ac:dyDescent="0.2">
      <c r="A274" s="31">
        <v>1</v>
      </c>
      <c r="B274" s="36" t="s">
        <v>1025</v>
      </c>
      <c r="C274" s="34"/>
      <c r="M274" s="32"/>
    </row>
    <row r="275" spans="1:14" x14ac:dyDescent="0.2">
      <c r="A275" s="31">
        <f>A274+1</f>
        <v>2</v>
      </c>
      <c r="C275" s="36" t="s">
        <v>697</v>
      </c>
      <c r="M275" s="32"/>
    </row>
    <row r="276" spans="1:14" x14ac:dyDescent="0.2">
      <c r="A276" s="31">
        <f t="shared" ref="A276:A281" si="53">A275+1</f>
        <v>3</v>
      </c>
      <c r="B276" s="253">
        <v>301</v>
      </c>
      <c r="C276" s="52" t="s">
        <v>1026</v>
      </c>
      <c r="D276" s="257">
        <f>G170</f>
        <v>521.20000000000005</v>
      </c>
      <c r="E276" s="382">
        <f>ROUND('Plant input detail '!E278*'WPB2.2 Plant detail-w slippage'!$P$2,0)</f>
        <v>0</v>
      </c>
      <c r="F276" s="257">
        <f>ROUND('Plant input detail '!F278*'WPB2.2 Plant detail-w slippage'!$P$2,0)</f>
        <v>0</v>
      </c>
      <c r="G276" s="257">
        <f>SUM(D276:F276)</f>
        <v>521.20000000000005</v>
      </c>
      <c r="H276" s="38"/>
      <c r="I276" s="257">
        <f>N170</f>
        <v>0</v>
      </c>
      <c r="J276" s="1362" t="str">
        <f>J170</f>
        <v>Amort.</v>
      </c>
      <c r="K276" s="258">
        <v>0</v>
      </c>
      <c r="L276" s="38">
        <f>-F276</f>
        <v>0</v>
      </c>
      <c r="M276" s="259">
        <v>0</v>
      </c>
      <c r="N276" s="2227">
        <f>I276+K276-L276+M276</f>
        <v>0</v>
      </c>
    </row>
    <row r="277" spans="1:14" x14ac:dyDescent="0.2">
      <c r="A277" s="31">
        <f t="shared" si="53"/>
        <v>4</v>
      </c>
      <c r="B277" s="253">
        <v>303</v>
      </c>
      <c r="C277" s="52" t="s">
        <v>1027</v>
      </c>
      <c r="D277" s="257">
        <f>G171</f>
        <v>74347.509999999995</v>
      </c>
      <c r="E277" s="382">
        <f>ROUND('Plant input detail '!E279*'WPB2.2 Plant detail-w slippage'!$P$2,0)</f>
        <v>0</v>
      </c>
      <c r="F277" s="257">
        <f>ROUND('Plant input detail '!F279*'WPB2.2 Plant detail-w slippage'!$P$2,0)</f>
        <v>0</v>
      </c>
      <c r="G277" s="257">
        <f>SUM(D277:F277)</f>
        <v>74347.509999999995</v>
      </c>
      <c r="H277" s="38"/>
      <c r="I277" s="257">
        <f>N171</f>
        <v>46212.469999999994</v>
      </c>
      <c r="J277" s="1362" t="str">
        <f>J171</f>
        <v>Amort.</v>
      </c>
      <c r="K277" s="382">
        <f>'WPB2.2a Intan Amort. w slippage'!J$19</f>
        <v>206.52</v>
      </c>
      <c r="L277" s="38">
        <f>-F277</f>
        <v>0</v>
      </c>
      <c r="M277" s="259">
        <v>0</v>
      </c>
      <c r="N277" s="2227">
        <f>I277+K277-L277+M277</f>
        <v>46418.989999999991</v>
      </c>
    </row>
    <row r="278" spans="1:14" x14ac:dyDescent="0.2">
      <c r="A278" s="31">
        <f t="shared" si="53"/>
        <v>5</v>
      </c>
      <c r="B278" s="253">
        <v>303.10000000000002</v>
      </c>
      <c r="C278" s="52" t="s">
        <v>1028</v>
      </c>
      <c r="D278" s="257">
        <f>G172</f>
        <v>0</v>
      </c>
      <c r="E278" s="382">
        <f>ROUND('Plant input detail '!E280*'WPB2.2 Plant detail-w slippage'!$P$2,0)</f>
        <v>0</v>
      </c>
      <c r="F278" s="257">
        <f>ROUND('Plant input detail '!F280*'WPB2.2 Plant detail-w slippage'!$P$2,0)</f>
        <v>0</v>
      </c>
      <c r="G278" s="257">
        <f>SUM(D278:F278)</f>
        <v>0</v>
      </c>
      <c r="H278" s="38"/>
      <c r="I278" s="257">
        <f>N172</f>
        <v>0</v>
      </c>
      <c r="J278" s="1362" t="str">
        <f>J172</f>
        <v>Amort.</v>
      </c>
      <c r="K278" s="258">
        <v>0</v>
      </c>
      <c r="L278" s="38">
        <f>-F278</f>
        <v>0</v>
      </c>
      <c r="M278" s="259">
        <v>0</v>
      </c>
      <c r="N278" s="2227">
        <f>I278+K278-L278+M278</f>
        <v>0</v>
      </c>
    </row>
    <row r="279" spans="1:14" x14ac:dyDescent="0.2">
      <c r="A279" s="31">
        <f t="shared" si="53"/>
        <v>6</v>
      </c>
      <c r="B279" s="253">
        <v>303.2</v>
      </c>
      <c r="C279" s="52" t="s">
        <v>1029</v>
      </c>
      <c r="D279" s="257">
        <f>G173</f>
        <v>0</v>
      </c>
      <c r="E279" s="382">
        <f>ROUND('Plant input detail '!E281*'WPB2.2 Plant detail-w slippage'!$P$2,0)</f>
        <v>0</v>
      </c>
      <c r="F279" s="257">
        <f>ROUND('Plant input detail '!F281*'WPB2.2 Plant detail-w slippage'!$P$2,0)</f>
        <v>0</v>
      </c>
      <c r="G279" s="257">
        <f>SUM(D279:F279)</f>
        <v>0</v>
      </c>
      <c r="H279" s="38"/>
      <c r="I279" s="257">
        <f>N173</f>
        <v>0</v>
      </c>
      <c r="J279" s="1362" t="str">
        <f>J173</f>
        <v>Amort.</v>
      </c>
      <c r="K279" s="258">
        <v>0</v>
      </c>
      <c r="L279" s="38">
        <f>-F279</f>
        <v>0</v>
      </c>
      <c r="M279" s="259">
        <v>0</v>
      </c>
      <c r="N279" s="2227">
        <f>I279+K279-L279+M279</f>
        <v>0</v>
      </c>
    </row>
    <row r="280" spans="1:14" x14ac:dyDescent="0.2">
      <c r="A280" s="31">
        <f t="shared" si="53"/>
        <v>7</v>
      </c>
      <c r="B280" s="253">
        <v>303.3</v>
      </c>
      <c r="C280" s="52" t="s">
        <v>1030</v>
      </c>
      <c r="D280" s="260">
        <f>G174</f>
        <v>5448872</v>
      </c>
      <c r="E280" s="265">
        <f>ROUND('Plant input detail '!E282*'WPB2.2 Plant detail-w slippage'!$P$2,0)</f>
        <v>162266</v>
      </c>
      <c r="F280" s="265">
        <f>ROUND('Plant input detail '!F282*'WPB2.2 Plant detail-w slippage'!$P$2,0)</f>
        <v>0</v>
      </c>
      <c r="G280" s="260">
        <f>SUM(D280:F280)</f>
        <v>5611138</v>
      </c>
      <c r="H280" s="38"/>
      <c r="I280" s="260">
        <f>N174</f>
        <v>2283054.7868479122</v>
      </c>
      <c r="J280" s="1362" t="str">
        <f>J174</f>
        <v>Amort.</v>
      </c>
      <c r="K280" s="265">
        <f>'WPB2.2a Intan Amort. w slippage'!J$104</f>
        <v>69139.193423955992</v>
      </c>
      <c r="L280" s="295">
        <f>-F280</f>
        <v>0</v>
      </c>
      <c r="M280" s="263">
        <v>0</v>
      </c>
      <c r="N280" s="2228">
        <f>I280+K280-L280+M280</f>
        <v>2352193.9802718684</v>
      </c>
    </row>
    <row r="281" spans="1:14" x14ac:dyDescent="0.2">
      <c r="A281" s="31">
        <f t="shared" si="53"/>
        <v>8</v>
      </c>
      <c r="B281" s="253"/>
      <c r="C281" s="52" t="s">
        <v>1031</v>
      </c>
      <c r="D281" s="38">
        <f>SUM(D276:D280)</f>
        <v>5523740.71</v>
      </c>
      <c r="E281" s="173">
        <f>SUM(E276:E280)</f>
        <v>162266</v>
      </c>
      <c r="F281" s="173">
        <f>SUM(F276:F280)</f>
        <v>0</v>
      </c>
      <c r="G281" s="38">
        <f>SUM(G276:G280)</f>
        <v>5686006.71</v>
      </c>
      <c r="H281" s="38"/>
      <c r="I281" s="38">
        <f>SUM(I276:I280)</f>
        <v>2329267.2568479124</v>
      </c>
      <c r="J281" s="1359"/>
      <c r="K281" s="173">
        <f>SUM(K276:K280)</f>
        <v>69345.713423955996</v>
      </c>
      <c r="L281" s="38">
        <f>SUM(L276:L280)</f>
        <v>0</v>
      </c>
      <c r="M281" s="173">
        <f>SUM(M276:M280)</f>
        <v>0</v>
      </c>
      <c r="N281" s="1361">
        <f>SUM(N276:N280)</f>
        <v>2398612.9702718686</v>
      </c>
    </row>
    <row r="282" spans="1:14" x14ac:dyDescent="0.2">
      <c r="B282" s="254"/>
      <c r="D282" s="38"/>
      <c r="E282" s="173"/>
      <c r="F282" s="173"/>
      <c r="G282" s="38"/>
      <c r="H282" s="38"/>
      <c r="I282" s="38"/>
      <c r="J282" s="1359"/>
      <c r="K282" s="173"/>
      <c r="L282" s="38"/>
      <c r="M282" s="173"/>
    </row>
    <row r="283" spans="1:14" x14ac:dyDescent="0.2">
      <c r="A283" s="31">
        <f>A281+1</f>
        <v>9</v>
      </c>
      <c r="B283" s="254"/>
      <c r="C283" s="36" t="s">
        <v>704</v>
      </c>
      <c r="D283" s="38"/>
      <c r="E283" s="173"/>
      <c r="F283" s="173"/>
      <c r="G283" s="38"/>
      <c r="H283" s="38"/>
      <c r="I283" s="38"/>
      <c r="J283" s="1359"/>
      <c r="K283" s="173"/>
      <c r="L283" s="38"/>
      <c r="M283" s="173"/>
    </row>
    <row r="284" spans="1:14" x14ac:dyDescent="0.2">
      <c r="A284" s="31">
        <f>A283+1</f>
        <v>10</v>
      </c>
      <c r="B284" s="255">
        <v>304.10000000000002</v>
      </c>
      <c r="C284" s="41" t="s">
        <v>1032</v>
      </c>
      <c r="D284" s="260">
        <f>G178</f>
        <v>0</v>
      </c>
      <c r="E284" s="265">
        <f>ROUND('Plant input detail '!E286*'WPB2.2 Plant detail-w slippage'!$P$2,0)</f>
        <v>0</v>
      </c>
      <c r="F284" s="265">
        <f>ROUND('Plant input detail '!F286*'WPB2.2 Plant detail-w slippage'!$P$2,0)</f>
        <v>0</v>
      </c>
      <c r="G284" s="260">
        <f>SUM(D284:F284)</f>
        <v>0</v>
      </c>
      <c r="H284" s="38"/>
      <c r="I284" s="260">
        <f>N178</f>
        <v>0</v>
      </c>
      <c r="J284" s="1362" t="str">
        <f>J178</f>
        <v>Non-Dep.</v>
      </c>
      <c r="K284" s="266">
        <v>0</v>
      </c>
      <c r="L284" s="295">
        <f>-F284</f>
        <v>0</v>
      </c>
      <c r="M284" s="263">
        <v>0</v>
      </c>
      <c r="N284" s="2228">
        <f>I284+K284-L284+M284</f>
        <v>0</v>
      </c>
    </row>
    <row r="285" spans="1:14" x14ac:dyDescent="0.2">
      <c r="A285" s="31">
        <f>A284+1</f>
        <v>11</v>
      </c>
      <c r="B285" s="255"/>
      <c r="C285" s="256" t="s">
        <v>1079</v>
      </c>
      <c r="D285" s="38">
        <f>D284</f>
        <v>0</v>
      </c>
      <c r="E285" s="173">
        <f>E284</f>
        <v>0</v>
      </c>
      <c r="F285" s="173">
        <f>F284</f>
        <v>0</v>
      </c>
      <c r="G285" s="38">
        <f>G284</f>
        <v>0</v>
      </c>
      <c r="H285" s="38"/>
      <c r="I285" s="38">
        <f>I284</f>
        <v>0</v>
      </c>
      <c r="J285" s="1361"/>
      <c r="K285" s="173">
        <f>SUM(K284)</f>
        <v>0</v>
      </c>
      <c r="L285" s="38">
        <f>SUM(L284)</f>
        <v>0</v>
      </c>
      <c r="M285" s="173">
        <f>M284</f>
        <v>0</v>
      </c>
      <c r="N285" s="1361">
        <f>N284</f>
        <v>0</v>
      </c>
    </row>
    <row r="286" spans="1:14" x14ac:dyDescent="0.2">
      <c r="B286" s="254"/>
      <c r="D286" s="38"/>
      <c r="E286" s="173"/>
      <c r="F286" s="173"/>
      <c r="G286" s="38"/>
      <c r="H286" s="38"/>
      <c r="I286" s="38"/>
      <c r="J286" s="1361"/>
      <c r="K286" s="173"/>
      <c r="L286" s="38"/>
      <c r="M286" s="173"/>
    </row>
    <row r="287" spans="1:14" x14ac:dyDescent="0.2">
      <c r="A287" s="31">
        <f>A285+1</f>
        <v>12</v>
      </c>
      <c r="B287" s="254"/>
      <c r="C287" s="36" t="s">
        <v>707</v>
      </c>
      <c r="D287" s="38"/>
      <c r="E287" s="173"/>
      <c r="F287" s="173"/>
      <c r="G287" s="38"/>
      <c r="H287" s="38"/>
      <c r="I287" s="38"/>
      <c r="J287" s="1361"/>
      <c r="K287" s="173"/>
      <c r="L287" s="38"/>
      <c r="M287" s="173"/>
    </row>
    <row r="288" spans="1:14" x14ac:dyDescent="0.2">
      <c r="A288" s="31">
        <f>A287+1</f>
        <v>13</v>
      </c>
      <c r="B288" s="253">
        <v>374.1</v>
      </c>
      <c r="C288" s="52" t="s">
        <v>1035</v>
      </c>
      <c r="D288" s="257">
        <f t="shared" ref="D288:D298" si="54">G182</f>
        <v>206</v>
      </c>
      <c r="E288" s="382">
        <f>ROUND('Plant input detail '!E290*'WPB2.2 Plant detail-w slippage'!$P$2,0)</f>
        <v>0</v>
      </c>
      <c r="F288" s="257">
        <f>ROUND('Plant input detail '!F290*'WPB2.2 Plant detail-w slippage'!$P$2,0)</f>
        <v>0</v>
      </c>
      <c r="G288" s="257">
        <f>SUM(D288:F288)</f>
        <v>206</v>
      </c>
      <c r="H288" s="38"/>
      <c r="I288" s="257">
        <f t="shared" ref="I288:I298" si="55">N182</f>
        <v>0</v>
      </c>
      <c r="J288" s="1362" t="str">
        <f t="shared" ref="J288:J298" si="56">J182</f>
        <v>Non-Dep.</v>
      </c>
      <c r="K288" s="259">
        <v>0</v>
      </c>
      <c r="L288" s="38">
        <f t="shared" ref="L288:L298" si="57">-F288</f>
        <v>0</v>
      </c>
      <c r="M288" s="257">
        <f>ROUND('Plant input detail '!M290*'WPB2.2 Plant detail-w slippage'!$P$2,0)</f>
        <v>0</v>
      </c>
      <c r="N288" s="2227">
        <f t="shared" ref="N288:N298" si="58">I288+K288-L288+M288</f>
        <v>0</v>
      </c>
    </row>
    <row r="289" spans="1:14" x14ac:dyDescent="0.2">
      <c r="A289" s="31">
        <f t="shared" ref="A289:A309" si="59">A288+1</f>
        <v>14</v>
      </c>
      <c r="B289" s="253">
        <v>374.2</v>
      </c>
      <c r="C289" s="52" t="s">
        <v>1036</v>
      </c>
      <c r="D289" s="257">
        <f t="shared" si="54"/>
        <v>877756.18</v>
      </c>
      <c r="E289" s="382">
        <f>ROUND('Plant input detail '!E291*'WPB2.2 Plant detail-w slippage'!$P$2,0)</f>
        <v>0</v>
      </c>
      <c r="F289" s="257">
        <f>ROUND('Plant input detail '!F291*'WPB2.2 Plant detail-w slippage'!$P$2,0)</f>
        <v>0</v>
      </c>
      <c r="G289" s="257">
        <f t="shared" ref="G289:G298" si="60">SUM(D289:F289)</f>
        <v>877756.18</v>
      </c>
      <c r="H289" s="38"/>
      <c r="I289" s="257">
        <f t="shared" si="55"/>
        <v>-523.13</v>
      </c>
      <c r="J289" s="1362" t="str">
        <f t="shared" si="56"/>
        <v>Non-Dep.</v>
      </c>
      <c r="K289" s="259">
        <v>0</v>
      </c>
      <c r="L289" s="38">
        <f t="shared" si="57"/>
        <v>0</v>
      </c>
      <c r="M289" s="257">
        <f>ROUND('Plant input detail '!M291*'WPB2.2 Plant detail-w slippage'!$P$2,0)</f>
        <v>0</v>
      </c>
      <c r="N289" s="2227">
        <f t="shared" si="58"/>
        <v>-523.13</v>
      </c>
    </row>
    <row r="290" spans="1:14" x14ac:dyDescent="0.2">
      <c r="A290" s="31">
        <f t="shared" si="59"/>
        <v>15</v>
      </c>
      <c r="B290" s="253">
        <v>374.4</v>
      </c>
      <c r="C290" s="52" t="s">
        <v>1037</v>
      </c>
      <c r="D290" s="257">
        <f t="shared" si="54"/>
        <v>661305.66</v>
      </c>
      <c r="E290" s="382">
        <f>ROUND('Plant input detail '!E292*'WPB2.2 Plant detail-w slippage'!$P$2,0)</f>
        <v>0</v>
      </c>
      <c r="F290" s="257">
        <f>ROUND('Plant input detail '!F292*'WPB2.2 Plant detail-w slippage'!$P$2,0)</f>
        <v>0</v>
      </c>
      <c r="G290" s="257">
        <f t="shared" si="60"/>
        <v>661305.66</v>
      </c>
      <c r="H290" s="38"/>
      <c r="I290" s="257">
        <f t="shared" si="55"/>
        <v>172139.36</v>
      </c>
      <c r="J290" s="1362">
        <f t="shared" si="56"/>
        <v>1.5299999999999999E-2</v>
      </c>
      <c r="K290" s="173">
        <f>ROUND((G290+D290)/2*J290/12,0)</f>
        <v>843</v>
      </c>
      <c r="L290" s="38">
        <f t="shared" si="57"/>
        <v>0</v>
      </c>
      <c r="M290" s="257">
        <f>ROUND('Plant input detail '!M292*'WPB2.2 Plant detail-w slippage'!$P$2,0)</f>
        <v>0</v>
      </c>
      <c r="N290" s="2227">
        <f t="shared" si="58"/>
        <v>172982.36</v>
      </c>
    </row>
    <row r="291" spans="1:14" x14ac:dyDescent="0.2">
      <c r="A291" s="31">
        <f t="shared" si="59"/>
        <v>16</v>
      </c>
      <c r="B291" s="253">
        <v>374.5</v>
      </c>
      <c r="C291" s="52" t="s">
        <v>1038</v>
      </c>
      <c r="D291" s="257">
        <f t="shared" si="54"/>
        <v>2689700.55</v>
      </c>
      <c r="E291" s="382">
        <f>ROUND('Plant input detail '!E293*'WPB2.2 Plant detail-w slippage'!$P$2,0)</f>
        <v>286</v>
      </c>
      <c r="F291" s="257">
        <f>ROUND('Plant input detail '!F293*'WPB2.2 Plant detail-w slippage'!$P$2,0)</f>
        <v>-34</v>
      </c>
      <c r="G291" s="257">
        <f t="shared" si="60"/>
        <v>2689952.55</v>
      </c>
      <c r="H291" s="38"/>
      <c r="I291" s="257">
        <f t="shared" si="55"/>
        <v>908811.23</v>
      </c>
      <c r="J291" s="1362">
        <f t="shared" si="56"/>
        <v>1.2200000000000001E-2</v>
      </c>
      <c r="K291" s="173">
        <f t="shared" ref="K291:K296" si="61">ROUND((G291+D291)/2*J291/12,0)</f>
        <v>2735</v>
      </c>
      <c r="L291" s="38">
        <f t="shared" si="57"/>
        <v>34</v>
      </c>
      <c r="M291" s="257">
        <f>ROUND('Plant input detail '!M293*'WPB2.2 Plant detail-w slippage'!$P$2,0)</f>
        <v>0</v>
      </c>
      <c r="N291" s="2227">
        <f t="shared" si="58"/>
        <v>911512.23</v>
      </c>
    </row>
    <row r="292" spans="1:14" x14ac:dyDescent="0.2">
      <c r="A292" s="31">
        <f t="shared" si="59"/>
        <v>17</v>
      </c>
      <c r="B292" s="253">
        <v>375.2</v>
      </c>
      <c r="C292" s="52" t="s">
        <v>1039</v>
      </c>
      <c r="D292" s="257">
        <f t="shared" si="54"/>
        <v>2124.98</v>
      </c>
      <c r="E292" s="382">
        <f>ROUND('Plant input detail '!E294*'WPB2.2 Plant detail-w slippage'!$P$2,0)</f>
        <v>0</v>
      </c>
      <c r="F292" s="257">
        <f>ROUND('Plant input detail '!F294*'WPB2.2 Plant detail-w slippage'!$P$2,0)</f>
        <v>0</v>
      </c>
      <c r="G292" s="257">
        <f t="shared" si="60"/>
        <v>2124.98</v>
      </c>
      <c r="H292" s="38"/>
      <c r="I292" s="257">
        <f t="shared" si="55"/>
        <v>2003.32</v>
      </c>
      <c r="J292" s="1362">
        <f t="shared" si="56"/>
        <v>1.9599999999999999E-2</v>
      </c>
      <c r="K292" s="173">
        <f t="shared" si="61"/>
        <v>3</v>
      </c>
      <c r="L292" s="38">
        <f t="shared" si="57"/>
        <v>0</v>
      </c>
      <c r="M292" s="257">
        <f>ROUND('Plant input detail '!M294*'WPB2.2 Plant detail-w slippage'!$P$2,0)</f>
        <v>0</v>
      </c>
      <c r="N292" s="2227">
        <f t="shared" si="58"/>
        <v>2006.32</v>
      </c>
    </row>
    <row r="293" spans="1:14" x14ac:dyDescent="0.2">
      <c r="A293" s="31">
        <f t="shared" si="59"/>
        <v>18</v>
      </c>
      <c r="B293" s="253">
        <v>375.3</v>
      </c>
      <c r="C293" s="52" t="s">
        <v>1040</v>
      </c>
      <c r="D293" s="257">
        <f t="shared" si="54"/>
        <v>0</v>
      </c>
      <c r="E293" s="382">
        <f>ROUND('Plant input detail '!E295*'WPB2.2 Plant detail-w slippage'!$P$2,0)</f>
        <v>0</v>
      </c>
      <c r="F293" s="257">
        <f>ROUND('Plant input detail '!F295*'WPB2.2 Plant detail-w slippage'!$P$2,0)</f>
        <v>0</v>
      </c>
      <c r="G293" s="257">
        <f t="shared" si="60"/>
        <v>0</v>
      </c>
      <c r="H293" s="38"/>
      <c r="I293" s="257">
        <f t="shared" si="55"/>
        <v>-77.66</v>
      </c>
      <c r="J293" s="1362">
        <f t="shared" si="56"/>
        <v>1.9599999999999999E-2</v>
      </c>
      <c r="K293" s="173">
        <f t="shared" si="61"/>
        <v>0</v>
      </c>
      <c r="L293" s="38">
        <f t="shared" si="57"/>
        <v>0</v>
      </c>
      <c r="M293" s="257">
        <f>ROUND('Plant input detail '!M295*'WPB2.2 Plant detail-w slippage'!$P$2,0)</f>
        <v>0</v>
      </c>
      <c r="N293" s="2227">
        <f t="shared" si="58"/>
        <v>-77.66</v>
      </c>
    </row>
    <row r="294" spans="1:14" x14ac:dyDescent="0.2">
      <c r="A294" s="31">
        <f t="shared" si="59"/>
        <v>19</v>
      </c>
      <c r="B294" s="253">
        <v>375.4</v>
      </c>
      <c r="C294" s="52" t="s">
        <v>1041</v>
      </c>
      <c r="D294" s="257">
        <f t="shared" si="54"/>
        <v>1871767.02</v>
      </c>
      <c r="E294" s="382">
        <f>ROUND('Plant input detail '!E296*'WPB2.2 Plant detail-w slippage'!$P$2,0)</f>
        <v>148</v>
      </c>
      <c r="F294" s="257">
        <f>ROUND('Plant input detail '!F296*'WPB2.2 Plant detail-w slippage'!$P$2,0)</f>
        <v>-18</v>
      </c>
      <c r="G294" s="257">
        <f t="shared" si="60"/>
        <v>1871897.02</v>
      </c>
      <c r="H294" s="38"/>
      <c r="I294" s="257">
        <f t="shared" si="55"/>
        <v>492532.37</v>
      </c>
      <c r="J294" s="1362">
        <f t="shared" si="56"/>
        <v>1.9599999999999999E-2</v>
      </c>
      <c r="K294" s="173">
        <f t="shared" si="61"/>
        <v>3057</v>
      </c>
      <c r="L294" s="38">
        <f t="shared" si="57"/>
        <v>18</v>
      </c>
      <c r="M294" s="257">
        <f>ROUND('Plant input detail '!M296*'WPB2.2 Plant detail-w slippage'!$P$2,0)</f>
        <v>-2</v>
      </c>
      <c r="N294" s="2227">
        <f t="shared" si="58"/>
        <v>495569.37</v>
      </c>
    </row>
    <row r="295" spans="1:14" x14ac:dyDescent="0.2">
      <c r="A295" s="31">
        <f t="shared" si="59"/>
        <v>20</v>
      </c>
      <c r="B295" s="253">
        <v>375.6</v>
      </c>
      <c r="C295" s="52" t="s">
        <v>1042</v>
      </c>
      <c r="D295" s="257">
        <f t="shared" si="54"/>
        <v>0</v>
      </c>
      <c r="E295" s="382">
        <f>ROUND('Plant input detail '!E297*'WPB2.2 Plant detail-w slippage'!$P$2,0)</f>
        <v>0</v>
      </c>
      <c r="F295" s="257">
        <f>ROUND('Plant input detail '!F297*'WPB2.2 Plant detail-w slippage'!$P$2,0)</f>
        <v>0</v>
      </c>
      <c r="G295" s="257">
        <f t="shared" si="60"/>
        <v>0</v>
      </c>
      <c r="H295" s="38"/>
      <c r="I295" s="257">
        <f t="shared" si="55"/>
        <v>0.02</v>
      </c>
      <c r="J295" s="1362">
        <f t="shared" si="56"/>
        <v>1.9599999999999999E-2</v>
      </c>
      <c r="K295" s="173">
        <f t="shared" si="61"/>
        <v>0</v>
      </c>
      <c r="L295" s="38">
        <f t="shared" si="57"/>
        <v>0</v>
      </c>
      <c r="M295" s="257">
        <f>ROUND('Plant input detail '!M297*'WPB2.2 Plant detail-w slippage'!$P$2,0)</f>
        <v>0</v>
      </c>
      <c r="N295" s="2227">
        <f t="shared" si="58"/>
        <v>0.02</v>
      </c>
    </row>
    <row r="296" spans="1:14" x14ac:dyDescent="0.2">
      <c r="A296" s="31">
        <f t="shared" si="59"/>
        <v>21</v>
      </c>
      <c r="B296" s="253">
        <v>375.7</v>
      </c>
      <c r="C296" s="52" t="s">
        <v>1043</v>
      </c>
      <c r="D296" s="257">
        <f t="shared" si="54"/>
        <v>7980989.21</v>
      </c>
      <c r="E296" s="382">
        <f>ROUND('Plant input detail '!E298*'WPB2.2 Plant detail-w slippage'!$P$2,0)</f>
        <v>0</v>
      </c>
      <c r="F296" s="257">
        <f>ROUND('Plant input detail '!F298*'WPB2.2 Plant detail-w slippage'!$P$2,0)</f>
        <v>0</v>
      </c>
      <c r="G296" s="257">
        <f t="shared" si="60"/>
        <v>7980989.21</v>
      </c>
      <c r="H296" s="38"/>
      <c r="I296" s="257">
        <f t="shared" si="55"/>
        <v>3246537.06</v>
      </c>
      <c r="J296" s="1362">
        <f t="shared" si="56"/>
        <v>1.9900000000000001E-2</v>
      </c>
      <c r="K296" s="173">
        <f t="shared" si="61"/>
        <v>13235</v>
      </c>
      <c r="L296" s="38">
        <f t="shared" si="57"/>
        <v>0</v>
      </c>
      <c r="M296" s="257">
        <f>ROUND('Plant input detail '!M298*'WPB2.2 Plant detail-w slippage'!$P$2,0)</f>
        <v>0</v>
      </c>
      <c r="N296" s="2227">
        <f t="shared" si="58"/>
        <v>3259772.06</v>
      </c>
    </row>
    <row r="297" spans="1:14" x14ac:dyDescent="0.2">
      <c r="A297" s="31">
        <f t="shared" si="59"/>
        <v>22</v>
      </c>
      <c r="B297" s="253">
        <v>375.71</v>
      </c>
      <c r="C297" s="52" t="s">
        <v>1044</v>
      </c>
      <c r="D297" s="257">
        <f t="shared" si="54"/>
        <v>259808.94</v>
      </c>
      <c r="E297" s="382">
        <f>ROUND('Plant input detail '!E299*'WPB2.2 Plant detail-w slippage'!$P$2,0)</f>
        <v>0</v>
      </c>
      <c r="F297" s="257">
        <f>ROUND('Plant input detail '!F299*'WPB2.2 Plant detail-w slippage'!$P$2,0)</f>
        <v>0</v>
      </c>
      <c r="G297" s="257">
        <f t="shared" si="60"/>
        <v>259808.94</v>
      </c>
      <c r="H297" s="38"/>
      <c r="I297" s="257">
        <f t="shared" si="55"/>
        <v>160663.15894736844</v>
      </c>
      <c r="J297" s="1362" t="str">
        <f t="shared" si="56"/>
        <v>Amort.</v>
      </c>
      <c r="K297" s="258">
        <f>104653.88/38</f>
        <v>2754.0494736842106</v>
      </c>
      <c r="L297" s="38">
        <f t="shared" si="57"/>
        <v>0</v>
      </c>
      <c r="M297" s="257">
        <f>ROUND('Plant input detail '!M299*'WPB2.2 Plant detail-w slippage'!$P$2,0)</f>
        <v>0</v>
      </c>
      <c r="N297" s="2227">
        <f t="shared" si="58"/>
        <v>163417.20842105267</v>
      </c>
    </row>
    <row r="298" spans="1:14" x14ac:dyDescent="0.2">
      <c r="A298" s="31">
        <f t="shared" si="59"/>
        <v>23</v>
      </c>
      <c r="B298" s="253">
        <v>375.8</v>
      </c>
      <c r="C298" s="52" t="s">
        <v>1045</v>
      </c>
      <c r="D298" s="257">
        <f t="shared" si="54"/>
        <v>0</v>
      </c>
      <c r="E298" s="382">
        <f>ROUND('Plant input detail '!E300*'WPB2.2 Plant detail-w slippage'!$P$2,0)</f>
        <v>0</v>
      </c>
      <c r="F298" s="257">
        <f>ROUND('Plant input detail '!F300*'WPB2.2 Plant detail-w slippage'!$P$2,0)</f>
        <v>0</v>
      </c>
      <c r="G298" s="257">
        <f t="shared" si="60"/>
        <v>0</v>
      </c>
      <c r="H298" s="38"/>
      <c r="I298" s="257">
        <f t="shared" si="55"/>
        <v>0</v>
      </c>
      <c r="J298" s="1362">
        <f t="shared" si="56"/>
        <v>5.3199999999999997E-2</v>
      </c>
      <c r="K298" s="259">
        <v>0</v>
      </c>
      <c r="L298" s="38">
        <f t="shared" si="57"/>
        <v>0</v>
      </c>
      <c r="M298" s="257">
        <f>ROUND('Plant input detail '!M300*'WPB2.2 Plant detail-w slippage'!$P$2,0)</f>
        <v>0</v>
      </c>
      <c r="N298" s="2227">
        <f t="shared" si="58"/>
        <v>0</v>
      </c>
    </row>
    <row r="299" spans="1:14" x14ac:dyDescent="0.2">
      <c r="A299" s="31">
        <f>A298+1</f>
        <v>24</v>
      </c>
      <c r="B299" s="253">
        <v>376</v>
      </c>
      <c r="C299" s="251" t="s">
        <v>1096</v>
      </c>
      <c r="D299" s="257"/>
      <c r="E299" s="258"/>
      <c r="F299" s="259"/>
      <c r="G299" s="257"/>
      <c r="H299" s="38"/>
      <c r="I299" s="181"/>
      <c r="J299" s="1361"/>
      <c r="K299" s="173"/>
      <c r="L299" s="38"/>
      <c r="M299" s="259"/>
    </row>
    <row r="300" spans="1:14" x14ac:dyDescent="0.2">
      <c r="A300" s="31"/>
      <c r="B300" s="253"/>
      <c r="C300" s="286" t="s">
        <v>1097</v>
      </c>
      <c r="D300" s="257"/>
      <c r="E300" s="258"/>
      <c r="F300" s="259"/>
      <c r="G300" s="257"/>
      <c r="H300" s="38"/>
      <c r="I300" s="257"/>
      <c r="J300" s="1362"/>
      <c r="K300" s="173"/>
      <c r="L300" s="38"/>
      <c r="M300" s="257"/>
      <c r="N300" s="2227"/>
    </row>
    <row r="301" spans="1:14" x14ac:dyDescent="0.2">
      <c r="A301" s="31"/>
      <c r="B301" s="253"/>
      <c r="C301" s="286" t="s">
        <v>1098</v>
      </c>
      <c r="D301" s="257"/>
      <c r="E301" s="258"/>
      <c r="F301" s="259"/>
      <c r="G301" s="257"/>
      <c r="H301" s="38"/>
      <c r="I301" s="257"/>
      <c r="J301" s="1362"/>
      <c r="K301" s="173"/>
      <c r="L301" s="38"/>
      <c r="M301" s="257"/>
      <c r="N301" s="2227"/>
    </row>
    <row r="302" spans="1:14" x14ac:dyDescent="0.2">
      <c r="A302" s="31"/>
      <c r="B302" s="253"/>
      <c r="C302" s="286" t="s">
        <v>1099</v>
      </c>
      <c r="D302" s="257"/>
      <c r="E302" s="258"/>
      <c r="F302" s="259"/>
      <c r="G302" s="257"/>
      <c r="H302" s="38"/>
      <c r="I302" s="257"/>
      <c r="J302" s="1362"/>
      <c r="K302" s="173"/>
      <c r="L302" s="38"/>
      <c r="M302" s="257"/>
      <c r="N302" s="2227"/>
    </row>
    <row r="303" spans="1:14" x14ac:dyDescent="0.2">
      <c r="A303" s="31"/>
      <c r="B303" s="253"/>
      <c r="C303" s="286" t="s">
        <v>1100</v>
      </c>
      <c r="D303" s="257"/>
      <c r="E303" s="258"/>
      <c r="F303" s="259"/>
      <c r="G303" s="257"/>
      <c r="H303" s="38"/>
      <c r="I303" s="257"/>
      <c r="J303" s="1362"/>
      <c r="K303" s="173"/>
      <c r="L303" s="38"/>
      <c r="M303" s="257"/>
      <c r="N303" s="2227"/>
    </row>
    <row r="304" spans="1:14" x14ac:dyDescent="0.2">
      <c r="A304" s="31"/>
      <c r="B304" s="253"/>
      <c r="C304" s="286" t="s">
        <v>1101</v>
      </c>
      <c r="D304" s="257">
        <f t="shared" ref="D304:D309" si="62">G198</f>
        <v>204712194.44</v>
      </c>
      <c r="E304" s="382">
        <f>ROUND('Plant input detail '!E306*'WPB2.2 Plant detail-w slippage'!$P$2,0)</f>
        <v>2139935</v>
      </c>
      <c r="F304" s="257">
        <f>ROUND('Plant input detail '!F306*'WPB2.2 Plant detail-w slippage'!$P$2,0)</f>
        <v>-256792</v>
      </c>
      <c r="G304" s="257">
        <f t="shared" ref="G304:G309" si="63">SUM(D304:F304)</f>
        <v>206595337.44</v>
      </c>
      <c r="H304" s="38"/>
      <c r="I304" s="257">
        <f t="shared" ref="I304:I309" si="64">N198</f>
        <v>56619490.609999999</v>
      </c>
      <c r="J304" s="1362">
        <f t="shared" ref="J304:J309" si="65">J198</f>
        <v>1.5699999999999999E-2</v>
      </c>
      <c r="K304" s="173">
        <f t="shared" ref="K304:K309" si="66">ROUND((G304+D304)/2*J304/12,0)</f>
        <v>269064</v>
      </c>
      <c r="L304" s="38">
        <f t="shared" ref="L304:L309" si="67">-F304</f>
        <v>256792</v>
      </c>
      <c r="M304" s="257">
        <f>ROUND('Plant input detail '!M306*'WPB2.2 Plant detail-w slippage'!$P$2,0)</f>
        <v>-38519</v>
      </c>
      <c r="N304" s="2227">
        <f t="shared" ref="N304:N309" si="68">I304+K304-L304+M304</f>
        <v>56593243.609999999</v>
      </c>
    </row>
    <row r="305" spans="1:14" x14ac:dyDescent="0.2">
      <c r="A305" s="31">
        <f>A299+1</f>
        <v>25</v>
      </c>
      <c r="B305" s="253">
        <v>378.1</v>
      </c>
      <c r="C305" s="52" t="s">
        <v>1047</v>
      </c>
      <c r="D305" s="257">
        <f t="shared" si="62"/>
        <v>518504.18</v>
      </c>
      <c r="E305" s="382">
        <f>ROUND('Plant input detail '!E307*'WPB2.2 Plant detail-w slippage'!$P$2,0)</f>
        <v>0</v>
      </c>
      <c r="F305" s="257">
        <f>ROUND('Plant input detail '!F307*'WPB2.2 Plant detail-w slippage'!$P$2,0)</f>
        <v>0</v>
      </c>
      <c r="G305" s="257">
        <f t="shared" si="63"/>
        <v>518504.18</v>
      </c>
      <c r="H305" s="38"/>
      <c r="I305" s="257">
        <f t="shared" si="64"/>
        <v>355341.81</v>
      </c>
      <c r="J305" s="1362">
        <f t="shared" si="65"/>
        <v>2.35E-2</v>
      </c>
      <c r="K305" s="173">
        <f t="shared" si="66"/>
        <v>1015</v>
      </c>
      <c r="L305" s="38">
        <f t="shared" si="67"/>
        <v>0</v>
      </c>
      <c r="M305" s="257">
        <f>ROUND('Plant input detail '!M307*'WPB2.2 Plant detail-w slippage'!$P$2,0)</f>
        <v>0</v>
      </c>
      <c r="N305" s="2227">
        <f t="shared" si="68"/>
        <v>356356.81</v>
      </c>
    </row>
    <row r="306" spans="1:14" x14ac:dyDescent="0.2">
      <c r="A306" s="31">
        <f t="shared" si="59"/>
        <v>26</v>
      </c>
      <c r="B306" s="253">
        <v>378.2</v>
      </c>
      <c r="C306" s="52" t="s">
        <v>1048</v>
      </c>
      <c r="D306" s="257">
        <f t="shared" si="62"/>
        <v>9528599</v>
      </c>
      <c r="E306" s="382">
        <f>ROUND('Plant input detail '!E308*'WPB2.2 Plant detail-w slippage'!$P$2,0)</f>
        <v>-2240</v>
      </c>
      <c r="F306" s="257">
        <f>ROUND('Plant input detail '!F308*'WPB2.2 Plant detail-w slippage'!$P$2,0)</f>
        <v>269</v>
      </c>
      <c r="G306" s="257">
        <f t="shared" si="63"/>
        <v>9526628</v>
      </c>
      <c r="H306" s="38"/>
      <c r="I306" s="257">
        <f t="shared" si="64"/>
        <v>3254334.91</v>
      </c>
      <c r="J306" s="1362">
        <f t="shared" si="65"/>
        <v>2.35E-2</v>
      </c>
      <c r="K306" s="173">
        <f t="shared" si="66"/>
        <v>18658</v>
      </c>
      <c r="L306" s="38">
        <f t="shared" si="67"/>
        <v>-269</v>
      </c>
      <c r="M306" s="257">
        <f>ROUND('Plant input detail '!M308*'WPB2.2 Plant detail-w slippage'!$P$2,0)</f>
        <v>13</v>
      </c>
      <c r="N306" s="2227">
        <f t="shared" si="68"/>
        <v>3273274.91</v>
      </c>
    </row>
    <row r="307" spans="1:14" x14ac:dyDescent="0.2">
      <c r="A307" s="31">
        <f t="shared" si="59"/>
        <v>27</v>
      </c>
      <c r="B307" s="253">
        <v>378.3</v>
      </c>
      <c r="C307" s="52" t="s">
        <v>1049</v>
      </c>
      <c r="D307" s="257">
        <f t="shared" si="62"/>
        <v>45443.08</v>
      </c>
      <c r="E307" s="382">
        <f>ROUND('Plant input detail '!E309*'WPB2.2 Plant detail-w slippage'!$P$2,0)</f>
        <v>0</v>
      </c>
      <c r="F307" s="257">
        <f>ROUND('Plant input detail '!F309*'WPB2.2 Plant detail-w slippage'!$P$2,0)</f>
        <v>0</v>
      </c>
      <c r="G307" s="257">
        <f t="shared" si="63"/>
        <v>45443.08</v>
      </c>
      <c r="H307" s="38"/>
      <c r="I307" s="257">
        <f t="shared" si="64"/>
        <v>35166.04</v>
      </c>
      <c r="J307" s="1362">
        <f t="shared" si="65"/>
        <v>2.35E-2</v>
      </c>
      <c r="K307" s="173">
        <f t="shared" si="66"/>
        <v>89</v>
      </c>
      <c r="L307" s="38">
        <f t="shared" si="67"/>
        <v>0</v>
      </c>
      <c r="M307" s="257">
        <f>ROUND('Plant input detail '!M309*'WPB2.2 Plant detail-w slippage'!$P$2,0)</f>
        <v>0</v>
      </c>
      <c r="N307" s="2227">
        <f t="shared" si="68"/>
        <v>35255.040000000001</v>
      </c>
    </row>
    <row r="308" spans="1:14" x14ac:dyDescent="0.2">
      <c r="A308" s="31">
        <f t="shared" si="59"/>
        <v>28</v>
      </c>
      <c r="B308" s="253">
        <v>379.1</v>
      </c>
      <c r="C308" s="52" t="s">
        <v>1050</v>
      </c>
      <c r="D308" s="257">
        <f t="shared" si="62"/>
        <v>254900.59</v>
      </c>
      <c r="E308" s="382">
        <f>ROUND('Plant input detail '!E310*'WPB2.2 Plant detail-w slippage'!$P$2,0)</f>
        <v>0</v>
      </c>
      <c r="F308" s="257">
        <f>ROUND('Plant input detail '!F310*'WPB2.2 Plant detail-w slippage'!$P$2,0)</f>
        <v>0</v>
      </c>
      <c r="G308" s="257">
        <f t="shared" si="63"/>
        <v>254900.59</v>
      </c>
      <c r="H308" s="38"/>
      <c r="I308" s="257">
        <f t="shared" si="64"/>
        <v>267730.57</v>
      </c>
      <c r="J308" s="1362">
        <f t="shared" si="65"/>
        <v>2.2700000000000001E-2</v>
      </c>
      <c r="K308" s="259">
        <v>0</v>
      </c>
      <c r="L308" s="38">
        <f t="shared" si="67"/>
        <v>0</v>
      </c>
      <c r="M308" s="257">
        <f>ROUND('Plant input detail '!M310*'WPB2.2 Plant detail-w slippage'!$P$2,0)</f>
        <v>0</v>
      </c>
      <c r="N308" s="2227">
        <f t="shared" si="68"/>
        <v>267730.57</v>
      </c>
    </row>
    <row r="309" spans="1:14" x14ac:dyDescent="0.2">
      <c r="A309" s="31">
        <f t="shared" si="59"/>
        <v>29</v>
      </c>
      <c r="B309" s="253">
        <v>380</v>
      </c>
      <c r="C309" s="52" t="s">
        <v>1051</v>
      </c>
      <c r="D309" s="257">
        <f t="shared" si="62"/>
        <v>117779144.77</v>
      </c>
      <c r="E309" s="382">
        <f>ROUND('Plant input detail '!E311*'WPB2.2 Plant detail-w slippage'!$P$2,0)</f>
        <v>800347</v>
      </c>
      <c r="F309" s="257">
        <f>ROUND('Plant input detail '!F311*'WPB2.2 Plant detail-w slippage'!$P$2,0)</f>
        <v>-96042</v>
      </c>
      <c r="G309" s="257">
        <f t="shared" si="63"/>
        <v>118483449.77</v>
      </c>
      <c r="H309" s="38"/>
      <c r="I309" s="257">
        <f t="shared" si="64"/>
        <v>57787649.520000003</v>
      </c>
      <c r="J309" s="1362">
        <f t="shared" si="65"/>
        <v>2.5899999999999999E-2</v>
      </c>
      <c r="K309" s="173">
        <f t="shared" si="66"/>
        <v>254967</v>
      </c>
      <c r="L309" s="38">
        <f t="shared" si="67"/>
        <v>96042</v>
      </c>
      <c r="M309" s="257">
        <f>ROUND('Plant input detail '!M311*'WPB2.2 Plant detail-w slippage'!$P$2,0)</f>
        <v>-48021</v>
      </c>
      <c r="N309" s="2227">
        <f t="shared" si="68"/>
        <v>57898553.520000003</v>
      </c>
    </row>
    <row r="310" spans="1:14" x14ac:dyDescent="0.2">
      <c r="A310" s="170"/>
      <c r="B310" s="179"/>
      <c r="C310" s="178"/>
      <c r="D310" s="181"/>
      <c r="E310" s="173"/>
      <c r="F310" s="173"/>
      <c r="G310" s="181"/>
      <c r="H310" s="173"/>
      <c r="I310" s="173"/>
      <c r="J310" s="173"/>
      <c r="K310" s="173"/>
      <c r="L310" s="173"/>
      <c r="M310" s="171"/>
      <c r="N310" s="2229"/>
    </row>
    <row r="311" spans="1:14" x14ac:dyDescent="0.2">
      <c r="A311" s="2079" t="str">
        <f>co</f>
        <v>COLUMBIA GAS OF KENTUCKY, INC.</v>
      </c>
      <c r="B311" s="2079"/>
      <c r="C311" s="2079"/>
      <c r="D311" s="2079"/>
      <c r="E311" s="2079"/>
      <c r="F311" s="2079"/>
      <c r="G311" s="2079"/>
      <c r="H311" s="2079"/>
      <c r="I311" s="2079"/>
      <c r="J311" s="2079"/>
      <c r="K311" s="2079"/>
      <c r="L311" s="2079"/>
      <c r="M311" s="2079"/>
      <c r="N311" s="2079"/>
    </row>
    <row r="312" spans="1:14" x14ac:dyDescent="0.2">
      <c r="A312" s="2079" t="str">
        <f>case</f>
        <v>CASE NO. 2016 - 00162</v>
      </c>
      <c r="B312" s="2079"/>
      <c r="C312" s="2079"/>
      <c r="D312" s="2079"/>
      <c r="E312" s="2079"/>
      <c r="F312" s="2079"/>
      <c r="G312" s="2079"/>
      <c r="H312" s="2079"/>
      <c r="I312" s="2079"/>
      <c r="J312" s="2079"/>
      <c r="K312" s="2079"/>
      <c r="L312" s="2079"/>
      <c r="M312" s="2079"/>
      <c r="N312" s="2079"/>
    </row>
    <row r="313" spans="1:14" x14ac:dyDescent="0.2">
      <c r="A313" s="2080" t="s">
        <v>1106</v>
      </c>
      <c r="B313" s="2079"/>
      <c r="C313" s="2079"/>
      <c r="D313" s="2079"/>
      <c r="E313" s="2079"/>
      <c r="F313" s="2079"/>
      <c r="G313" s="2079"/>
      <c r="H313" s="2079"/>
      <c r="I313" s="2079"/>
      <c r="J313" s="2079"/>
      <c r="K313" s="2079"/>
      <c r="L313" s="2079"/>
      <c r="M313" s="2079"/>
      <c r="N313" s="2079"/>
    </row>
    <row r="314" spans="1:14" x14ac:dyDescent="0.2">
      <c r="A314" s="2081" t="s">
        <v>2142</v>
      </c>
      <c r="B314" s="2085"/>
      <c r="C314" s="2085"/>
      <c r="D314" s="2085"/>
      <c r="E314" s="2085"/>
      <c r="F314" s="2085"/>
      <c r="G314" s="2085"/>
      <c r="H314" s="2085"/>
      <c r="I314" s="2085"/>
      <c r="J314" s="2085"/>
      <c r="K314" s="2085"/>
      <c r="L314" s="2085"/>
      <c r="M314" s="2085"/>
      <c r="N314" s="2085"/>
    </row>
    <row r="316" spans="1:14" x14ac:dyDescent="0.2">
      <c r="A316" s="285" t="str">
        <f>$A$6</f>
        <v>DATA:__X___BASE PERIOD__X___FORECASTED PERIOD</v>
      </c>
      <c r="C316" s="171"/>
      <c r="M316" s="32"/>
      <c r="N316" s="1258" t="str">
        <f>$N$6</f>
        <v>WPB-2.2</v>
      </c>
    </row>
    <row r="317" spans="1:14" x14ac:dyDescent="0.2">
      <c r="A317" s="4" t="str">
        <f>$A$7</f>
        <v>TYPE OF FILING:___X____ORIGINAL________UPDATED</v>
      </c>
      <c r="M317" s="32"/>
      <c r="N317" s="2223" t="s">
        <v>1719</v>
      </c>
    </row>
    <row r="318" spans="1:14" x14ac:dyDescent="0.2">
      <c r="A318" s="1261" t="str">
        <f>$A$8</f>
        <v xml:space="preserve">WORKPAPER REFERENCE NO(S).: </v>
      </c>
      <c r="B318" s="202"/>
      <c r="C318" s="202"/>
      <c r="D318" s="201"/>
      <c r="E318" s="202"/>
      <c r="F318" s="202"/>
      <c r="G318" s="201"/>
      <c r="H318" s="201"/>
      <c r="M318" s="203"/>
      <c r="N318" s="204" t="str">
        <f>SMK</f>
        <v>WITNESS:  S. M. KATKO</v>
      </c>
    </row>
    <row r="319" spans="1:14" x14ac:dyDescent="0.2">
      <c r="A319" s="200"/>
      <c r="B319" s="201"/>
      <c r="C319" s="201"/>
      <c r="D319" s="201"/>
      <c r="E319" s="202"/>
      <c r="F319" s="202"/>
      <c r="G319" s="201"/>
      <c r="H319" s="201"/>
      <c r="I319" s="203"/>
      <c r="J319" s="1357"/>
      <c r="L319" s="32"/>
      <c r="M319" s="32"/>
    </row>
    <row r="320" spans="1:14" x14ac:dyDescent="0.2">
      <c r="A320" s="200"/>
      <c r="B320" s="201"/>
      <c r="C320" s="201"/>
      <c r="D320" s="2082" t="s">
        <v>1088</v>
      </c>
      <c r="E320" s="2082"/>
      <c r="F320" s="2082"/>
      <c r="G320" s="2082"/>
      <c r="H320" s="201"/>
      <c r="I320" s="2083" t="s">
        <v>1093</v>
      </c>
      <c r="J320" s="2084"/>
      <c r="K320" s="2084"/>
      <c r="L320" s="2084"/>
      <c r="M320" s="2084"/>
      <c r="N320" s="2084"/>
    </row>
    <row r="321" spans="1:14" x14ac:dyDescent="0.2">
      <c r="A321" s="270"/>
      <c r="B321" s="201"/>
      <c r="C321" s="201"/>
      <c r="D321" s="271" t="s">
        <v>1084</v>
      </c>
      <c r="E321" s="202"/>
      <c r="F321" s="202"/>
      <c r="G321" s="269"/>
      <c r="H321" s="269"/>
      <c r="I321" s="261" t="s">
        <v>1089</v>
      </c>
      <c r="J321" s="1358"/>
      <c r="M321" s="32"/>
    </row>
    <row r="322" spans="1:14" x14ac:dyDescent="0.2">
      <c r="A322" s="30"/>
      <c r="D322" s="261" t="s">
        <v>865</v>
      </c>
      <c r="G322" s="261" t="s">
        <v>867</v>
      </c>
      <c r="H322" s="268"/>
      <c r="I322" s="261" t="s">
        <v>865</v>
      </c>
      <c r="J322" s="1308" t="s">
        <v>956</v>
      </c>
      <c r="M322" s="32"/>
      <c r="N322" s="2225" t="s">
        <v>867</v>
      </c>
    </row>
    <row r="323" spans="1:14" x14ac:dyDescent="0.2">
      <c r="A323" s="261" t="s">
        <v>1080</v>
      </c>
      <c r="B323" s="261" t="s">
        <v>1082</v>
      </c>
      <c r="D323" s="261" t="s">
        <v>867</v>
      </c>
      <c r="G323" s="262" t="s">
        <v>1087</v>
      </c>
      <c r="H323" s="268"/>
      <c r="I323" s="262" t="s">
        <v>867</v>
      </c>
      <c r="J323" s="1308" t="s">
        <v>1090</v>
      </c>
      <c r="K323" s="1308" t="s">
        <v>956</v>
      </c>
      <c r="M323" s="262" t="s">
        <v>1092</v>
      </c>
      <c r="N323" s="1259" t="s">
        <v>1087</v>
      </c>
    </row>
    <row r="324" spans="1:14" x14ac:dyDescent="0.2">
      <c r="A324" s="272" t="s">
        <v>1081</v>
      </c>
      <c r="B324" s="272" t="s">
        <v>1081</v>
      </c>
      <c r="C324" s="273" t="s">
        <v>1083</v>
      </c>
      <c r="D324" s="274" t="str">
        <f>D271</f>
        <v>04/30/2016</v>
      </c>
      <c r="E324" s="275" t="s">
        <v>1085</v>
      </c>
      <c r="F324" s="275" t="s">
        <v>1086</v>
      </c>
      <c r="G324" s="274" t="str">
        <f>G271</f>
        <v>05/31/2016</v>
      </c>
      <c r="H324" s="268"/>
      <c r="I324" s="274" t="str">
        <f>D324</f>
        <v>04/30/2016</v>
      </c>
      <c r="J324" s="275" t="s">
        <v>1091</v>
      </c>
      <c r="K324" s="1327" t="s">
        <v>1090</v>
      </c>
      <c r="L324" s="276" t="s">
        <v>1086</v>
      </c>
      <c r="M324" s="276" t="s">
        <v>955</v>
      </c>
      <c r="N324" s="2226" t="str">
        <f>G324</f>
        <v>05/31/2016</v>
      </c>
    </row>
    <row r="325" spans="1:14" x14ac:dyDescent="0.2">
      <c r="A325" s="267"/>
      <c r="B325" s="267"/>
      <c r="C325" s="267"/>
      <c r="D325" s="267" t="str">
        <f>"(1)"</f>
        <v>(1)</v>
      </c>
      <c r="E325" s="267" t="str">
        <f>"(2)"</f>
        <v>(2)</v>
      </c>
      <c r="F325" s="267" t="str">
        <f>"(3)"</f>
        <v>(3)</v>
      </c>
      <c r="G325" s="267" t="str">
        <f>"(4)=(1+2+3)"</f>
        <v>(4)=(1+2+3)</v>
      </c>
      <c r="H325" s="267"/>
      <c r="I325" s="267" t="str">
        <f>"(5)"</f>
        <v>(5)</v>
      </c>
      <c r="J325" s="1328" t="str">
        <f>"(6)"</f>
        <v>(6)</v>
      </c>
      <c r="K325" s="1328" t="str">
        <f>"(7)=((1+4)/2*6/12))"</f>
        <v>(7)=((1+4)/2*6/12))</v>
      </c>
      <c r="L325" s="267" t="str">
        <f>"(8)"</f>
        <v>(8)</v>
      </c>
      <c r="M325" s="267" t="str">
        <f>"(9)"</f>
        <v>(9)</v>
      </c>
      <c r="N325" s="204" t="str">
        <f>"(10)=(5+7-8+9)"</f>
        <v>(10)=(5+7-8+9)</v>
      </c>
    </row>
    <row r="326" spans="1:14" x14ac:dyDescent="0.2">
      <c r="D326" s="31" t="s">
        <v>639</v>
      </c>
      <c r="E326" s="170" t="s">
        <v>639</v>
      </c>
      <c r="F326" s="170" t="s">
        <v>639</v>
      </c>
      <c r="G326" s="31" t="s">
        <v>639</v>
      </c>
      <c r="H326" s="31"/>
      <c r="I326" s="31" t="s">
        <v>639</v>
      </c>
      <c r="J326" s="170" t="s">
        <v>639</v>
      </c>
      <c r="K326" s="170" t="s">
        <v>639</v>
      </c>
      <c r="L326" s="31" t="s">
        <v>639</v>
      </c>
      <c r="M326" s="31" t="s">
        <v>639</v>
      </c>
      <c r="N326" s="155" t="s">
        <v>639</v>
      </c>
    </row>
    <row r="327" spans="1:14" x14ac:dyDescent="0.2">
      <c r="C327" s="36" t="s">
        <v>707</v>
      </c>
      <c r="D327" s="31"/>
      <c r="E327" s="170"/>
      <c r="F327" s="170"/>
      <c r="G327" s="31"/>
      <c r="J327" s="170"/>
    </row>
    <row r="328" spans="1:14" x14ac:dyDescent="0.2">
      <c r="A328" s="127">
        <v>1</v>
      </c>
      <c r="B328" s="123">
        <v>381</v>
      </c>
      <c r="C328" s="52" t="s">
        <v>1052</v>
      </c>
      <c r="D328" s="257">
        <f t="shared" ref="D328:D339" si="69">G222</f>
        <v>13497095.550000001</v>
      </c>
      <c r="E328" s="382">
        <f>ROUND('Plant input detail '!E330*'WPB2.2 Plant detail-w slippage'!$P$2,0)</f>
        <v>58620</v>
      </c>
      <c r="F328" s="257">
        <f>ROUND('Plant input detail '!F330*'WPB2.2 Plant detail-w slippage'!$P$2,0)</f>
        <v>-7034</v>
      </c>
      <c r="G328" s="257">
        <f>SUM(D328:F328)</f>
        <v>13548681.550000001</v>
      </c>
      <c r="H328" s="38"/>
      <c r="I328" s="257">
        <f t="shared" ref="I328:I339" si="70">N222</f>
        <v>4725341.8899999997</v>
      </c>
      <c r="J328" s="1362">
        <f t="shared" ref="J328:J339" si="71">J222</f>
        <v>2.5899999999999999E-2</v>
      </c>
      <c r="K328" s="173">
        <f t="shared" ref="K328:K339" si="72">ROUND((G328+D328)/2*J328/12,0)</f>
        <v>29187</v>
      </c>
      <c r="L328" s="38">
        <f t="shared" ref="L328:L339" si="73">-F328</f>
        <v>7034</v>
      </c>
      <c r="M328" s="257">
        <f>ROUND('Plant input detail '!M330*'WPB2.2 Plant detail-w slippage'!$P$2,0)</f>
        <v>0</v>
      </c>
      <c r="N328" s="2227">
        <f t="shared" ref="N328:N339" si="74">I328+K328-L328+M328</f>
        <v>4747494.8899999997</v>
      </c>
    </row>
    <row r="329" spans="1:14" x14ac:dyDescent="0.2">
      <c r="A329" s="127">
        <f>A328+1</f>
        <v>2</v>
      </c>
      <c r="B329" s="123">
        <v>381.1</v>
      </c>
      <c r="C329" s="52" t="s">
        <v>1115</v>
      </c>
      <c r="D329" s="257">
        <f t="shared" si="69"/>
        <v>8754021.0600000005</v>
      </c>
      <c r="E329" s="382">
        <f>ROUND('Plant input detail '!E331*'WPB2.2 Plant detail-w slippage'!$P$2,0)</f>
        <v>998</v>
      </c>
      <c r="F329" s="257">
        <f>ROUND('Plant input detail '!F331*'WPB2.2 Plant detail-w slippage'!$P$2,0)</f>
        <v>-120</v>
      </c>
      <c r="G329" s="257">
        <f>SUM(D329:F329)</f>
        <v>8754899.0600000005</v>
      </c>
      <c r="H329" s="38"/>
      <c r="I329" s="257">
        <f t="shared" si="70"/>
        <v>404348.5</v>
      </c>
      <c r="J329" s="1362">
        <f t="shared" si="71"/>
        <v>2.5899999999999999E-2</v>
      </c>
      <c r="K329" s="173">
        <f t="shared" si="72"/>
        <v>18895</v>
      </c>
      <c r="L329" s="38">
        <f t="shared" si="73"/>
        <v>120</v>
      </c>
      <c r="M329" s="257">
        <f>ROUND('Plant input detail '!M331*'WPB2.2 Plant detail-w slippage'!$P$2,0)</f>
        <v>0</v>
      </c>
      <c r="N329" s="2227">
        <f t="shared" si="74"/>
        <v>423123.5</v>
      </c>
    </row>
    <row r="330" spans="1:14" x14ac:dyDescent="0.2">
      <c r="A330" s="127">
        <f t="shared" ref="A330:A340" si="75">A329+1</f>
        <v>3</v>
      </c>
      <c r="B330" s="123">
        <v>382</v>
      </c>
      <c r="C330" s="52" t="s">
        <v>1053</v>
      </c>
      <c r="D330" s="257">
        <f t="shared" si="69"/>
        <v>9033558.6500000004</v>
      </c>
      <c r="E330" s="382">
        <f>ROUND('Plant input detail '!E332*'WPB2.2 Plant detail-w slippage'!$P$2,0)</f>
        <v>14017</v>
      </c>
      <c r="F330" s="257">
        <f>ROUND('Plant input detail '!F332*'WPB2.2 Plant detail-w slippage'!$P$2,0)</f>
        <v>-1682</v>
      </c>
      <c r="G330" s="257">
        <f t="shared" ref="G330:G335" si="76">SUM(D330:F330)</f>
        <v>9045893.6500000004</v>
      </c>
      <c r="H330" s="38"/>
      <c r="I330" s="257">
        <f t="shared" si="70"/>
        <v>4514991.3</v>
      </c>
      <c r="J330" s="1362">
        <f t="shared" si="71"/>
        <v>2.3900000000000001E-2</v>
      </c>
      <c r="K330" s="173">
        <f t="shared" si="72"/>
        <v>18004</v>
      </c>
      <c r="L330" s="38">
        <f t="shared" si="73"/>
        <v>1682</v>
      </c>
      <c r="M330" s="257">
        <f>ROUND('Plant input detail '!M332*'WPB2.2 Plant detail-w slippage'!$P$2,0)</f>
        <v>-84</v>
      </c>
      <c r="N330" s="2227">
        <f t="shared" si="74"/>
        <v>4531229.3</v>
      </c>
    </row>
    <row r="331" spans="1:14" x14ac:dyDescent="0.2">
      <c r="A331" s="127">
        <f t="shared" si="75"/>
        <v>4</v>
      </c>
      <c r="B331" s="123">
        <v>383</v>
      </c>
      <c r="C331" s="52" t="s">
        <v>1054</v>
      </c>
      <c r="D331" s="257">
        <f t="shared" si="69"/>
        <v>5546037.7599999998</v>
      </c>
      <c r="E331" s="382">
        <f>ROUND('Plant input detail '!E333*'WPB2.2 Plant detail-w slippage'!$P$2,0)</f>
        <v>12505</v>
      </c>
      <c r="F331" s="257">
        <f>ROUND('Plant input detail '!F333*'WPB2.2 Plant detail-w slippage'!$P$2,0)</f>
        <v>-1501</v>
      </c>
      <c r="G331" s="257">
        <f t="shared" si="76"/>
        <v>5557041.7599999998</v>
      </c>
      <c r="H331" s="38"/>
      <c r="I331" s="257">
        <f t="shared" si="70"/>
        <v>1470387.41</v>
      </c>
      <c r="J331" s="1362">
        <f t="shared" si="71"/>
        <v>1.3899999999999999E-2</v>
      </c>
      <c r="K331" s="173">
        <f t="shared" si="72"/>
        <v>6431</v>
      </c>
      <c r="L331" s="38">
        <f t="shared" si="73"/>
        <v>1501</v>
      </c>
      <c r="M331" s="257">
        <f>ROUND('Plant input detail '!M333*'WPB2.2 Plant detail-w slippage'!$P$2,0)</f>
        <v>-75</v>
      </c>
      <c r="N331" s="2227">
        <f t="shared" si="74"/>
        <v>1475242.41</v>
      </c>
    </row>
    <row r="332" spans="1:14" x14ac:dyDescent="0.2">
      <c r="A332" s="127">
        <f t="shared" si="75"/>
        <v>5</v>
      </c>
      <c r="B332" s="123">
        <v>384</v>
      </c>
      <c r="C332" s="52" t="s">
        <v>1055</v>
      </c>
      <c r="D332" s="257">
        <f t="shared" si="69"/>
        <v>2257522</v>
      </c>
      <c r="E332" s="382">
        <f>ROUND('Plant input detail '!E334*'WPB2.2 Plant detail-w slippage'!$P$2,0)</f>
        <v>0</v>
      </c>
      <c r="F332" s="257">
        <f>ROUND('Plant input detail '!F334*'WPB2.2 Plant detail-w slippage'!$P$2,0)</f>
        <v>0</v>
      </c>
      <c r="G332" s="257">
        <f t="shared" si="76"/>
        <v>2257522</v>
      </c>
      <c r="H332" s="38"/>
      <c r="I332" s="257">
        <f t="shared" si="70"/>
        <v>1752776.73</v>
      </c>
      <c r="J332" s="1362">
        <f t="shared" si="71"/>
        <v>1.0999999999999999E-2</v>
      </c>
      <c r="K332" s="173">
        <f t="shared" si="72"/>
        <v>2069</v>
      </c>
      <c r="L332" s="38">
        <f t="shared" si="73"/>
        <v>0</v>
      </c>
      <c r="M332" s="257">
        <f>ROUND('Plant input detail '!M334*'WPB2.2 Plant detail-w slippage'!$P$2,0)</f>
        <v>0</v>
      </c>
      <c r="N332" s="2227">
        <f t="shared" si="74"/>
        <v>1754845.73</v>
      </c>
    </row>
    <row r="333" spans="1:14" x14ac:dyDescent="0.2">
      <c r="A333" s="127">
        <f t="shared" si="75"/>
        <v>6</v>
      </c>
      <c r="B333" s="123">
        <v>385</v>
      </c>
      <c r="C333" s="52" t="s">
        <v>1056</v>
      </c>
      <c r="D333" s="257">
        <f t="shared" si="69"/>
        <v>3098094.36</v>
      </c>
      <c r="E333" s="382">
        <f>ROUND('Plant input detail '!E335*'WPB2.2 Plant detail-w slippage'!$P$2,0)</f>
        <v>39022</v>
      </c>
      <c r="F333" s="257">
        <f>ROUND('Plant input detail '!F335*'WPB2.2 Plant detail-w slippage'!$P$2,0)</f>
        <v>-4683</v>
      </c>
      <c r="G333" s="257">
        <f t="shared" si="76"/>
        <v>3132433.36</v>
      </c>
      <c r="H333" s="38"/>
      <c r="I333" s="257">
        <f t="shared" si="70"/>
        <v>867980.55</v>
      </c>
      <c r="J333" s="1362">
        <f t="shared" si="71"/>
        <v>2.0899999999999998E-2</v>
      </c>
      <c r="K333" s="173">
        <f t="shared" si="72"/>
        <v>5426</v>
      </c>
      <c r="L333" s="38">
        <f t="shared" si="73"/>
        <v>4683</v>
      </c>
      <c r="M333" s="257">
        <f>ROUND('Plant input detail '!M335*'WPB2.2 Plant detail-w slippage'!$P$2,0)</f>
        <v>-234</v>
      </c>
      <c r="N333" s="2227">
        <f t="shared" si="74"/>
        <v>868489.55</v>
      </c>
    </row>
    <row r="334" spans="1:14" x14ac:dyDescent="0.2">
      <c r="A334" s="127">
        <f t="shared" si="75"/>
        <v>7</v>
      </c>
      <c r="B334" s="123">
        <v>387.2</v>
      </c>
      <c r="C334" s="52" t="s">
        <v>1057</v>
      </c>
      <c r="D334" s="257">
        <f t="shared" si="69"/>
        <v>0</v>
      </c>
      <c r="E334" s="382">
        <f>ROUND('Plant input detail '!E336*'WPB2.2 Plant detail-w slippage'!$P$2,0)</f>
        <v>0</v>
      </c>
      <c r="F334" s="257">
        <f>ROUND('Plant input detail '!F336*'WPB2.2 Plant detail-w slippage'!$P$2,0)</f>
        <v>0</v>
      </c>
      <c r="G334" s="257">
        <f t="shared" si="76"/>
        <v>0</v>
      </c>
      <c r="H334" s="38"/>
      <c r="I334" s="257">
        <f t="shared" si="70"/>
        <v>-59912.03</v>
      </c>
      <c r="J334" s="1362">
        <f t="shared" si="71"/>
        <v>2.3199999999999998E-2</v>
      </c>
      <c r="K334" s="173">
        <f t="shared" si="72"/>
        <v>0</v>
      </c>
      <c r="L334" s="38">
        <f t="shared" si="73"/>
        <v>0</v>
      </c>
      <c r="M334" s="257">
        <f>ROUND('Plant input detail '!M336*'WPB2.2 Plant detail-w slippage'!$P$2,0)</f>
        <v>0</v>
      </c>
      <c r="N334" s="2227">
        <f t="shared" si="74"/>
        <v>-59912.03</v>
      </c>
    </row>
    <row r="335" spans="1:14" x14ac:dyDescent="0.2">
      <c r="A335" s="127">
        <f t="shared" si="75"/>
        <v>8</v>
      </c>
      <c r="B335" s="123">
        <v>387.41</v>
      </c>
      <c r="C335" s="52" t="s">
        <v>1058</v>
      </c>
      <c r="D335" s="257">
        <f t="shared" si="69"/>
        <v>735770.76</v>
      </c>
      <c r="E335" s="382">
        <f>ROUND('Plant input detail '!E337*'WPB2.2 Plant detail-w slippage'!$P$2,0)</f>
        <v>0</v>
      </c>
      <c r="F335" s="257">
        <f>ROUND('Plant input detail '!F337*'WPB2.2 Plant detail-w slippage'!$P$2,0)</f>
        <v>0</v>
      </c>
      <c r="G335" s="257">
        <f t="shared" si="76"/>
        <v>735770.76</v>
      </c>
      <c r="H335" s="38"/>
      <c r="I335" s="257">
        <f t="shared" si="70"/>
        <v>374577.95</v>
      </c>
      <c r="J335" s="1362">
        <f t="shared" si="71"/>
        <v>2.3400000000000001E-2</v>
      </c>
      <c r="K335" s="173">
        <f t="shared" si="72"/>
        <v>1435</v>
      </c>
      <c r="L335" s="38">
        <f t="shared" si="73"/>
        <v>0</v>
      </c>
      <c r="M335" s="257">
        <f>ROUND('Plant input detail '!M337*'WPB2.2 Plant detail-w slippage'!$P$2,0)</f>
        <v>0</v>
      </c>
      <c r="N335" s="2227">
        <f t="shared" si="74"/>
        <v>376012.95</v>
      </c>
    </row>
    <row r="336" spans="1:14" x14ac:dyDescent="0.2">
      <c r="A336" s="127">
        <f t="shared" si="75"/>
        <v>9</v>
      </c>
      <c r="B336" s="123">
        <v>387.42</v>
      </c>
      <c r="C336" s="52" t="s">
        <v>1059</v>
      </c>
      <c r="D336" s="257">
        <f t="shared" si="69"/>
        <v>795186.58</v>
      </c>
      <c r="E336" s="382">
        <f>ROUND('Plant input detail '!E338*'WPB2.2 Plant detail-w slippage'!$P$2,0)</f>
        <v>0</v>
      </c>
      <c r="F336" s="257">
        <f>ROUND('Plant input detail '!F338*'WPB2.2 Plant detail-w slippage'!$P$2,0)</f>
        <v>0</v>
      </c>
      <c r="G336" s="257">
        <f>SUM(D336:F336)</f>
        <v>795186.58</v>
      </c>
      <c r="H336" s="38"/>
      <c r="I336" s="257">
        <f t="shared" si="70"/>
        <v>540137.94999999995</v>
      </c>
      <c r="J336" s="1362">
        <f t="shared" si="71"/>
        <v>2.3400000000000001E-2</v>
      </c>
      <c r="K336" s="173">
        <f t="shared" si="72"/>
        <v>1551</v>
      </c>
      <c r="L336" s="38">
        <f t="shared" si="73"/>
        <v>0</v>
      </c>
      <c r="M336" s="257">
        <f>ROUND('Plant input detail '!M338*'WPB2.2 Plant detail-w slippage'!$P$2,0)</f>
        <v>0</v>
      </c>
      <c r="N336" s="2227">
        <f t="shared" si="74"/>
        <v>541688.94999999995</v>
      </c>
    </row>
    <row r="337" spans="1:14" x14ac:dyDescent="0.2">
      <c r="A337" s="127">
        <f t="shared" si="75"/>
        <v>10</v>
      </c>
      <c r="B337" s="123">
        <v>387.44</v>
      </c>
      <c r="C337" s="52" t="s">
        <v>1060</v>
      </c>
      <c r="D337" s="257">
        <f t="shared" si="69"/>
        <v>133589.93</v>
      </c>
      <c r="E337" s="382">
        <f>ROUND('Plant input detail '!E339*'WPB2.2 Plant detail-w slippage'!$P$2,0)</f>
        <v>0</v>
      </c>
      <c r="F337" s="257">
        <f>ROUND('Plant input detail '!F339*'WPB2.2 Plant detail-w slippage'!$P$2,0)</f>
        <v>0</v>
      </c>
      <c r="G337" s="257">
        <f>SUM(D337:F337)</f>
        <v>133589.93</v>
      </c>
      <c r="H337" s="38"/>
      <c r="I337" s="257">
        <f t="shared" si="70"/>
        <v>46065.55</v>
      </c>
      <c r="J337" s="1362">
        <f t="shared" si="71"/>
        <v>2.3400000000000001E-2</v>
      </c>
      <c r="K337" s="173">
        <f t="shared" si="72"/>
        <v>261</v>
      </c>
      <c r="L337" s="38">
        <f t="shared" si="73"/>
        <v>0</v>
      </c>
      <c r="M337" s="257">
        <f>ROUND('Plant input detail '!M339*'WPB2.2 Plant detail-w slippage'!$P$2,0)</f>
        <v>0</v>
      </c>
      <c r="N337" s="2227">
        <f t="shared" si="74"/>
        <v>46326.55</v>
      </c>
    </row>
    <row r="338" spans="1:14" x14ac:dyDescent="0.2">
      <c r="A338" s="127">
        <f t="shared" si="75"/>
        <v>11</v>
      </c>
      <c r="B338" s="123">
        <v>387.45</v>
      </c>
      <c r="C338" s="52" t="s">
        <v>1061</v>
      </c>
      <c r="D338" s="257">
        <f t="shared" si="69"/>
        <v>2764385.66</v>
      </c>
      <c r="E338" s="382">
        <f>ROUND('Plant input detail '!E340*'WPB2.2 Plant detail-w slippage'!$P$2,0)</f>
        <v>83713</v>
      </c>
      <c r="F338" s="257">
        <f>ROUND('Plant input detail '!F340*'WPB2.2 Plant detail-w slippage'!$P$2,0)</f>
        <v>-10046</v>
      </c>
      <c r="G338" s="257">
        <f>SUM(D338:F338)</f>
        <v>2838052.66</v>
      </c>
      <c r="H338" s="38"/>
      <c r="I338" s="257">
        <f t="shared" si="70"/>
        <v>555157.06000000006</v>
      </c>
      <c r="J338" s="1362">
        <f t="shared" si="71"/>
        <v>2.3400000000000001E-2</v>
      </c>
      <c r="K338" s="173">
        <f t="shared" si="72"/>
        <v>5462</v>
      </c>
      <c r="L338" s="38">
        <f t="shared" si="73"/>
        <v>10046</v>
      </c>
      <c r="M338" s="257">
        <f>ROUND('Plant input detail '!M340*'WPB2.2 Plant detail-w slippage'!$P$2,0)</f>
        <v>0</v>
      </c>
      <c r="N338" s="2227">
        <f t="shared" si="74"/>
        <v>550573.06000000006</v>
      </c>
    </row>
    <row r="339" spans="1:14" x14ac:dyDescent="0.2">
      <c r="A339" s="127">
        <f t="shared" si="75"/>
        <v>12</v>
      </c>
      <c r="B339" s="123">
        <v>387.46</v>
      </c>
      <c r="C339" s="52" t="s">
        <v>1062</v>
      </c>
      <c r="D339" s="260">
        <f t="shared" si="69"/>
        <v>113644.47</v>
      </c>
      <c r="E339" s="265">
        <f>ROUND('Plant input detail '!E341*'WPB2.2 Plant detail-w slippage'!$P$2,0)</f>
        <v>0</v>
      </c>
      <c r="F339" s="265">
        <f>ROUND('Plant input detail '!F341*'WPB2.2 Plant detail-w slippage'!$P$2,0)</f>
        <v>0</v>
      </c>
      <c r="G339" s="265">
        <f>SUM(D339:F339)</f>
        <v>113644.47</v>
      </c>
      <c r="H339" s="264"/>
      <c r="I339" s="260">
        <f t="shared" si="70"/>
        <v>110456.83</v>
      </c>
      <c r="J339" s="1362">
        <f t="shared" si="71"/>
        <v>2.3400000000000001E-2</v>
      </c>
      <c r="K339" s="260">
        <f t="shared" si="72"/>
        <v>222</v>
      </c>
      <c r="L339" s="295">
        <f t="shared" si="73"/>
        <v>0</v>
      </c>
      <c r="M339" s="265">
        <f>ROUND('Plant input detail '!M341*'WPB2.2 Plant detail-w slippage'!$P$2,0)</f>
        <v>0</v>
      </c>
      <c r="N339" s="2228">
        <f t="shared" si="74"/>
        <v>110678.83</v>
      </c>
    </row>
    <row r="340" spans="1:14" x14ac:dyDescent="0.2">
      <c r="A340" s="127">
        <f t="shared" si="75"/>
        <v>13</v>
      </c>
      <c r="B340" s="252"/>
      <c r="C340" s="32" t="s">
        <v>1063</v>
      </c>
      <c r="D340" s="173">
        <f>SUM(D328:D339,D288:D309)</f>
        <v>393911351.37999994</v>
      </c>
      <c r="E340" s="173">
        <f>SUM(E328:E339,E288:E309)</f>
        <v>3147351</v>
      </c>
      <c r="F340" s="173">
        <f>SUM(F328:F339,F288:F309)</f>
        <v>-377683</v>
      </c>
      <c r="G340" s="173">
        <f>SUM(G328:G339,G288:G309)</f>
        <v>396681019.37999994</v>
      </c>
      <c r="H340" s="38"/>
      <c r="I340" s="173">
        <f>SUM(I328:I339,I288:I309)</f>
        <v>138604108.87894738</v>
      </c>
      <c r="J340" s="173"/>
      <c r="K340" s="173">
        <f>SUM(K328:K339,K288:K309)</f>
        <v>655363.04947368428</v>
      </c>
      <c r="L340" s="173">
        <f>SUM(L328:L339,L288:L309)</f>
        <v>377683</v>
      </c>
      <c r="M340" s="173">
        <f>SUM(M328:M339,M288:M309)</f>
        <v>-86922</v>
      </c>
      <c r="N340" s="1361">
        <f>SUM(N328:N339,N288:N309)</f>
        <v>138794866.92842105</v>
      </c>
    </row>
    <row r="341" spans="1:14" x14ac:dyDescent="0.2">
      <c r="B341" s="252"/>
      <c r="D341" s="38"/>
      <c r="E341" s="173"/>
      <c r="F341" s="173"/>
      <c r="G341" s="38"/>
      <c r="H341" s="38"/>
      <c r="I341" s="181"/>
      <c r="J341" s="173"/>
      <c r="K341" s="173"/>
      <c r="L341" s="38"/>
      <c r="M341" s="173"/>
    </row>
    <row r="342" spans="1:14" x14ac:dyDescent="0.2">
      <c r="A342" s="127">
        <f>A340+1</f>
        <v>14</v>
      </c>
      <c r="B342" s="252"/>
      <c r="C342" s="36" t="s">
        <v>737</v>
      </c>
      <c r="D342" s="38"/>
      <c r="E342" s="173"/>
      <c r="F342" s="173"/>
      <c r="G342" s="38"/>
      <c r="H342" s="38"/>
      <c r="I342" s="181"/>
      <c r="J342" s="173"/>
      <c r="K342" s="173"/>
      <c r="L342" s="38"/>
      <c r="M342" s="173"/>
    </row>
    <row r="343" spans="1:14" x14ac:dyDescent="0.2">
      <c r="A343" s="31">
        <f>A342+1</f>
        <v>15</v>
      </c>
      <c r="B343" s="123">
        <v>391.1</v>
      </c>
      <c r="C343" s="52" t="s">
        <v>1064</v>
      </c>
      <c r="D343" s="257">
        <f t="shared" ref="D343:D356" si="77">G237</f>
        <v>733508.71</v>
      </c>
      <c r="E343" s="382">
        <f>ROUND('Plant input detail '!E345*'WPB2.2 Plant detail-w slippage'!$P$2,0)</f>
        <v>56</v>
      </c>
      <c r="F343" s="257">
        <f>ROUND('Plant input detail '!F345*'WPB2.2 Plant detail-w slippage'!$P$2,0)</f>
        <v>-7</v>
      </c>
      <c r="G343" s="257">
        <f t="shared" ref="G343:G356" si="78">SUM(D343:F343)</f>
        <v>733557.71</v>
      </c>
      <c r="H343" s="38"/>
      <c r="I343" s="257">
        <f t="shared" ref="I343:I356" si="79">N237</f>
        <v>-77567.22</v>
      </c>
      <c r="J343" s="1362">
        <f t="shared" ref="J343:J356" si="80">J237</f>
        <v>0.05</v>
      </c>
      <c r="K343" s="173">
        <f>ROUND((G343+D343)/2*J343/12,0)</f>
        <v>3056</v>
      </c>
      <c r="L343" s="38">
        <f t="shared" ref="L343:L356" si="81">-F343</f>
        <v>7</v>
      </c>
      <c r="M343" s="257">
        <f>ROUND('Plant input detail '!M345*'WPB2.2 Plant detail-w slippage'!$P$2,0)</f>
        <v>0</v>
      </c>
      <c r="N343" s="2227">
        <f t="shared" ref="N343:N356" si="82">I343+K343-L343+M343</f>
        <v>-74518.22</v>
      </c>
    </row>
    <row r="344" spans="1:14" x14ac:dyDescent="0.2">
      <c r="A344" s="31">
        <f t="shared" ref="A344:A357" si="83">A343+1</f>
        <v>16</v>
      </c>
      <c r="B344" s="123">
        <v>391.11</v>
      </c>
      <c r="C344" s="52" t="s">
        <v>1065</v>
      </c>
      <c r="D344" s="257">
        <f t="shared" si="77"/>
        <v>18815.57</v>
      </c>
      <c r="E344" s="382">
        <f>ROUND('Plant input detail '!E346*'WPB2.2 Plant detail-w slippage'!$P$2,0)</f>
        <v>0</v>
      </c>
      <c r="F344" s="257">
        <f>ROUND('Plant input detail '!F346*'WPB2.2 Plant detail-w slippage'!$P$2,0)</f>
        <v>0</v>
      </c>
      <c r="G344" s="257">
        <f t="shared" si="78"/>
        <v>18815.57</v>
      </c>
      <c r="H344" s="38"/>
      <c r="I344" s="257">
        <f t="shared" si="79"/>
        <v>-12824.77</v>
      </c>
      <c r="J344" s="1362">
        <f t="shared" si="80"/>
        <v>6.6699999999999995E-2</v>
      </c>
      <c r="K344" s="173">
        <f>ROUND((G344+D344)/2*J344/12,0)</f>
        <v>105</v>
      </c>
      <c r="L344" s="38">
        <f t="shared" si="81"/>
        <v>0</v>
      </c>
      <c r="M344" s="257">
        <f>ROUND('Plant input detail '!M346*'WPB2.2 Plant detail-w slippage'!$P$2,0)</f>
        <v>0</v>
      </c>
      <c r="N344" s="2227">
        <f t="shared" si="82"/>
        <v>-12719.77</v>
      </c>
    </row>
    <row r="345" spans="1:14" x14ac:dyDescent="0.2">
      <c r="A345" s="31">
        <f t="shared" si="83"/>
        <v>17</v>
      </c>
      <c r="B345" s="123">
        <v>391.12</v>
      </c>
      <c r="C345" s="52" t="s">
        <v>1066</v>
      </c>
      <c r="D345" s="257">
        <f t="shared" si="77"/>
        <v>853483.41</v>
      </c>
      <c r="E345" s="382">
        <f>ROUND('Plant input detail '!E347*'WPB2.2 Plant detail-w slippage'!$P$2,0)</f>
        <v>0</v>
      </c>
      <c r="F345" s="257">
        <f>ROUND('Plant input detail '!F347*'WPB2.2 Plant detail-w slippage'!$P$2,0)</f>
        <v>0</v>
      </c>
      <c r="G345" s="257">
        <f t="shared" si="78"/>
        <v>853483.41</v>
      </c>
      <c r="H345" s="38"/>
      <c r="I345" s="257">
        <f t="shared" si="79"/>
        <v>575785.37</v>
      </c>
      <c r="J345" s="1362">
        <f t="shared" si="80"/>
        <v>0.2</v>
      </c>
      <c r="K345" s="173">
        <f>ROUND((G345+D345)/2*J345/12,0)</f>
        <v>14225</v>
      </c>
      <c r="L345" s="38">
        <f t="shared" si="81"/>
        <v>0</v>
      </c>
      <c r="M345" s="257">
        <f>ROUND('Plant input detail '!M347*'WPB2.2 Plant detail-w slippage'!$P$2,0)</f>
        <v>0</v>
      </c>
      <c r="N345" s="2227">
        <f t="shared" si="82"/>
        <v>590010.37</v>
      </c>
    </row>
    <row r="346" spans="1:14" x14ac:dyDescent="0.2">
      <c r="A346" s="31">
        <f t="shared" si="83"/>
        <v>18</v>
      </c>
      <c r="B346" s="123">
        <v>392.2</v>
      </c>
      <c r="C346" s="52" t="s">
        <v>1067</v>
      </c>
      <c r="D346" s="257">
        <f t="shared" si="77"/>
        <v>95778</v>
      </c>
      <c r="E346" s="382">
        <f>ROUND('Plant input detail '!E348*'WPB2.2 Plant detail-w slippage'!$P$2,0)</f>
        <v>0</v>
      </c>
      <c r="F346" s="257">
        <f>ROUND('Plant input detail '!F348*'WPB2.2 Plant detail-w slippage'!$P$2,0)</f>
        <v>0</v>
      </c>
      <c r="G346" s="257">
        <f t="shared" si="78"/>
        <v>95778</v>
      </c>
      <c r="H346" s="38"/>
      <c r="I346" s="257">
        <f t="shared" si="79"/>
        <v>20775.05</v>
      </c>
      <c r="J346" s="1362">
        <f t="shared" si="80"/>
        <v>2.9399999999999999E-2</v>
      </c>
      <c r="K346" s="173">
        <f>ROUND((G346+D346)/2*J346/12,0)</f>
        <v>235</v>
      </c>
      <c r="L346" s="38">
        <f t="shared" si="81"/>
        <v>0</v>
      </c>
      <c r="M346" s="257">
        <f>ROUND('Plant input detail '!M348*'WPB2.2 Plant detail-w slippage'!$P$2,0)</f>
        <v>0</v>
      </c>
      <c r="N346" s="2227">
        <f t="shared" si="82"/>
        <v>21010.05</v>
      </c>
    </row>
    <row r="347" spans="1:14" x14ac:dyDescent="0.2">
      <c r="A347" s="31">
        <f t="shared" si="83"/>
        <v>19</v>
      </c>
      <c r="B347" s="123">
        <v>392.21</v>
      </c>
      <c r="C347" s="52" t="s">
        <v>1068</v>
      </c>
      <c r="D347" s="257">
        <f t="shared" si="77"/>
        <v>24462.2</v>
      </c>
      <c r="E347" s="382">
        <f>ROUND('Plant input detail '!E349*'WPB2.2 Plant detail-w slippage'!$P$2,0)</f>
        <v>0</v>
      </c>
      <c r="F347" s="257">
        <f>ROUND('Plant input detail '!F349*'WPB2.2 Plant detail-w slippage'!$P$2,0)</f>
        <v>0</v>
      </c>
      <c r="G347" s="257">
        <f t="shared" si="78"/>
        <v>24462.2</v>
      </c>
      <c r="H347" s="38"/>
      <c r="I347" s="257">
        <f t="shared" si="79"/>
        <v>4707.3999999999996</v>
      </c>
      <c r="J347" s="1362">
        <f t="shared" si="80"/>
        <v>2.9399999999999999E-2</v>
      </c>
      <c r="K347" s="173">
        <f>ROUND((G347+D347)/2*J347/12,0)</f>
        <v>60</v>
      </c>
      <c r="L347" s="38">
        <f t="shared" si="81"/>
        <v>0</v>
      </c>
      <c r="M347" s="257">
        <f>ROUND('Plant input detail '!M349*'WPB2.2 Plant detail-w slippage'!$P$2,0)</f>
        <v>0</v>
      </c>
      <c r="N347" s="2227">
        <f t="shared" si="82"/>
        <v>4767.3999999999996</v>
      </c>
    </row>
    <row r="348" spans="1:14" x14ac:dyDescent="0.2">
      <c r="A348" s="31">
        <f t="shared" si="83"/>
        <v>20</v>
      </c>
      <c r="B348" s="123">
        <v>393</v>
      </c>
      <c r="C348" s="52" t="s">
        <v>1069</v>
      </c>
      <c r="D348" s="257">
        <f t="shared" si="77"/>
        <v>0</v>
      </c>
      <c r="E348" s="382">
        <f>ROUND('Plant input detail '!E350*'WPB2.2 Plant detail-w slippage'!$P$2,0)</f>
        <v>0</v>
      </c>
      <c r="F348" s="257">
        <f>ROUND('Plant input detail '!F350*'WPB2.2 Plant detail-w slippage'!$P$2,0)</f>
        <v>0</v>
      </c>
      <c r="G348" s="257">
        <f t="shared" si="78"/>
        <v>0</v>
      </c>
      <c r="H348" s="38"/>
      <c r="I348" s="257">
        <f t="shared" si="79"/>
        <v>0</v>
      </c>
      <c r="J348" s="1362" t="str">
        <f t="shared" si="80"/>
        <v>Amort.</v>
      </c>
      <c r="K348" s="259">
        <v>0</v>
      </c>
      <c r="L348" s="38">
        <f t="shared" si="81"/>
        <v>0</v>
      </c>
      <c r="M348" s="257">
        <f>ROUND('Plant input detail '!M350*'WPB2.2 Plant detail-w slippage'!$P$2,0)</f>
        <v>0</v>
      </c>
      <c r="N348" s="2227">
        <f t="shared" si="82"/>
        <v>0</v>
      </c>
    </row>
    <row r="349" spans="1:14" x14ac:dyDescent="0.2">
      <c r="A349" s="31">
        <f t="shared" si="83"/>
        <v>21</v>
      </c>
      <c r="B349" s="123">
        <v>394.1</v>
      </c>
      <c r="C349" s="52" t="s">
        <v>1070</v>
      </c>
      <c r="D349" s="257">
        <f t="shared" si="77"/>
        <v>24240.799999999999</v>
      </c>
      <c r="E349" s="382">
        <f>ROUND('Plant input detail '!E351*'WPB2.2 Plant detail-w slippage'!$P$2,0)</f>
        <v>0</v>
      </c>
      <c r="F349" s="257">
        <f>ROUND('Plant input detail '!F351*'WPB2.2 Plant detail-w slippage'!$P$2,0)</f>
        <v>0</v>
      </c>
      <c r="G349" s="257">
        <f t="shared" si="78"/>
        <v>24240.799999999999</v>
      </c>
      <c r="H349" s="38"/>
      <c r="I349" s="257">
        <f t="shared" si="79"/>
        <v>13960.82</v>
      </c>
      <c r="J349" s="1362">
        <f t="shared" si="80"/>
        <v>0.04</v>
      </c>
      <c r="K349" s="173">
        <f>ROUND((G349+D349)/2*J349/12,0)</f>
        <v>81</v>
      </c>
      <c r="L349" s="38">
        <f t="shared" si="81"/>
        <v>0</v>
      </c>
      <c r="M349" s="257">
        <f>ROUND('Plant input detail '!M351*'WPB2.2 Plant detail-w slippage'!$P$2,0)</f>
        <v>0</v>
      </c>
      <c r="N349" s="2227">
        <f t="shared" si="82"/>
        <v>14041.82</v>
      </c>
    </row>
    <row r="350" spans="1:14" x14ac:dyDescent="0.2">
      <c r="A350" s="31">
        <f t="shared" si="83"/>
        <v>22</v>
      </c>
      <c r="B350" s="123">
        <v>394.11</v>
      </c>
      <c r="C350" s="52" t="s">
        <v>1071</v>
      </c>
      <c r="D350" s="257">
        <f t="shared" si="77"/>
        <v>0</v>
      </c>
      <c r="E350" s="382">
        <f>ROUND('Plant input detail '!E352*'WPB2.2 Plant detail-w slippage'!$P$2,0)</f>
        <v>0</v>
      </c>
      <c r="F350" s="257">
        <f>ROUND('Plant input detail '!F352*'WPB2.2 Plant detail-w slippage'!$P$2,0)</f>
        <v>0</v>
      </c>
      <c r="G350" s="257">
        <f t="shared" si="78"/>
        <v>0</v>
      </c>
      <c r="H350" s="38"/>
      <c r="I350" s="257">
        <f t="shared" si="79"/>
        <v>0</v>
      </c>
      <c r="J350" s="1362">
        <f t="shared" si="80"/>
        <v>0.13769999999999999</v>
      </c>
      <c r="K350" s="259">
        <v>0</v>
      </c>
      <c r="L350" s="38">
        <f t="shared" si="81"/>
        <v>0</v>
      </c>
      <c r="M350" s="257">
        <f>ROUND('Plant input detail '!M352*'WPB2.2 Plant detail-w slippage'!$P$2,0)</f>
        <v>0</v>
      </c>
      <c r="N350" s="2227">
        <f t="shared" si="82"/>
        <v>0</v>
      </c>
    </row>
    <row r="351" spans="1:14" x14ac:dyDescent="0.2">
      <c r="A351" s="31">
        <f t="shared" si="83"/>
        <v>23</v>
      </c>
      <c r="B351" s="123">
        <v>394.13</v>
      </c>
      <c r="C351" s="251" t="s">
        <v>1072</v>
      </c>
      <c r="D351" s="257">
        <f t="shared" si="77"/>
        <v>0</v>
      </c>
      <c r="E351" s="382">
        <f>ROUND('Plant input detail '!E353*'WPB2.2 Plant detail-w slippage'!$P$2,0)</f>
        <v>0</v>
      </c>
      <c r="F351" s="257">
        <f>ROUND('Plant input detail '!F353*'WPB2.2 Plant detail-w slippage'!$P$2,0)</f>
        <v>0</v>
      </c>
      <c r="G351" s="257">
        <f t="shared" si="78"/>
        <v>0</v>
      </c>
      <c r="H351" s="38"/>
      <c r="I351" s="257">
        <f t="shared" si="79"/>
        <v>37937.360000000001</v>
      </c>
      <c r="J351" s="1362" t="str">
        <f t="shared" si="80"/>
        <v>Amort.</v>
      </c>
      <c r="K351" s="259">
        <v>0</v>
      </c>
      <c r="L351" s="38">
        <f t="shared" si="81"/>
        <v>0</v>
      </c>
      <c r="M351" s="257">
        <f>ROUND('Plant input detail '!M353*'WPB2.2 Plant detail-w slippage'!$P$2,0)</f>
        <v>0</v>
      </c>
      <c r="N351" s="2227">
        <f t="shared" si="82"/>
        <v>37937.360000000001</v>
      </c>
    </row>
    <row r="352" spans="1:14" x14ac:dyDescent="0.2">
      <c r="A352" s="31">
        <f t="shared" si="83"/>
        <v>24</v>
      </c>
      <c r="B352" s="123">
        <v>394.2</v>
      </c>
      <c r="C352" s="52" t="s">
        <v>1073</v>
      </c>
      <c r="D352" s="257">
        <f t="shared" si="77"/>
        <v>0</v>
      </c>
      <c r="E352" s="382">
        <f>ROUND('Plant input detail '!E354*'WPB2.2 Plant detail-w slippage'!$P$2,0)</f>
        <v>0</v>
      </c>
      <c r="F352" s="257">
        <f>ROUND('Plant input detail '!F354*'WPB2.2 Plant detail-w slippage'!$P$2,0)</f>
        <v>0</v>
      </c>
      <c r="G352" s="257">
        <f t="shared" si="78"/>
        <v>0</v>
      </c>
      <c r="H352" s="38"/>
      <c r="I352" s="257">
        <f t="shared" si="79"/>
        <v>185.21</v>
      </c>
      <c r="J352" s="1362">
        <f t="shared" si="80"/>
        <v>0.04</v>
      </c>
      <c r="K352" s="173">
        <f>ROUND((G352+D352)/2*J352/12,0)</f>
        <v>0</v>
      </c>
      <c r="L352" s="38">
        <f t="shared" si="81"/>
        <v>0</v>
      </c>
      <c r="M352" s="257">
        <f>ROUND('Plant input detail '!M354*'WPB2.2 Plant detail-w slippage'!$P$2,0)</f>
        <v>0</v>
      </c>
      <c r="N352" s="2227">
        <f t="shared" si="82"/>
        <v>185.21</v>
      </c>
    </row>
    <row r="353" spans="1:16" x14ac:dyDescent="0.2">
      <c r="A353" s="31">
        <f t="shared" si="83"/>
        <v>25</v>
      </c>
      <c r="B353" s="123">
        <v>394.3</v>
      </c>
      <c r="C353" s="52" t="s">
        <v>1074</v>
      </c>
      <c r="D353" s="257">
        <f t="shared" si="77"/>
        <v>2986817.16</v>
      </c>
      <c r="E353" s="382">
        <f>ROUND('Plant input detail '!E355*'WPB2.2 Plant detail-w slippage'!$P$2,0)</f>
        <v>24371</v>
      </c>
      <c r="F353" s="257">
        <f>ROUND('Plant input detail '!F355*'WPB2.2 Plant detail-w slippage'!$P$2,0)</f>
        <v>-2925</v>
      </c>
      <c r="G353" s="257">
        <f t="shared" si="78"/>
        <v>3008263.16</v>
      </c>
      <c r="H353" s="38"/>
      <c r="I353" s="257">
        <f t="shared" si="79"/>
        <v>1220134.1499999999</v>
      </c>
      <c r="J353" s="1362">
        <f t="shared" si="80"/>
        <v>0.04</v>
      </c>
      <c r="K353" s="173">
        <f>ROUND((G353+D353)/2*J353/12,0)</f>
        <v>9992</v>
      </c>
      <c r="L353" s="38">
        <f t="shared" si="81"/>
        <v>2925</v>
      </c>
      <c r="M353" s="257">
        <f>ROUND('Plant input detail '!M355*'WPB2.2 Plant detail-w slippage'!$P$2,0)</f>
        <v>0</v>
      </c>
      <c r="N353" s="2227">
        <f t="shared" si="82"/>
        <v>1227201.1499999999</v>
      </c>
    </row>
    <row r="354" spans="1:16" x14ac:dyDescent="0.2">
      <c r="A354" s="31">
        <f t="shared" si="83"/>
        <v>26</v>
      </c>
      <c r="B354" s="123">
        <v>395</v>
      </c>
      <c r="C354" s="52" t="s">
        <v>1075</v>
      </c>
      <c r="D354" s="257">
        <f t="shared" si="77"/>
        <v>9257.77</v>
      </c>
      <c r="E354" s="382">
        <f>ROUND('Plant input detail '!E356*'WPB2.2 Plant detail-w slippage'!$P$2,0)</f>
        <v>0</v>
      </c>
      <c r="F354" s="257">
        <f>ROUND('Plant input detail '!F356*'WPB2.2 Plant detail-w slippage'!$P$2,0)</f>
        <v>0</v>
      </c>
      <c r="G354" s="257">
        <f t="shared" si="78"/>
        <v>9257.77</v>
      </c>
      <c r="H354" s="38"/>
      <c r="I354" s="257">
        <f t="shared" si="79"/>
        <v>7217.59</v>
      </c>
      <c r="J354" s="1362">
        <f t="shared" si="80"/>
        <v>0.05</v>
      </c>
      <c r="K354" s="173">
        <f>ROUND((G354+D354)/2*J354/12,0)</f>
        <v>39</v>
      </c>
      <c r="L354" s="38">
        <f t="shared" si="81"/>
        <v>0</v>
      </c>
      <c r="M354" s="257">
        <f>ROUND('Plant input detail '!M356*'WPB2.2 Plant detail-w slippage'!$P$2,0)</f>
        <v>0</v>
      </c>
      <c r="N354" s="2227">
        <f t="shared" si="82"/>
        <v>7256.59</v>
      </c>
    </row>
    <row r="355" spans="1:16" x14ac:dyDescent="0.2">
      <c r="A355" s="31">
        <f t="shared" si="83"/>
        <v>27</v>
      </c>
      <c r="B355" s="123">
        <v>396</v>
      </c>
      <c r="C355" s="52" t="s">
        <v>1076</v>
      </c>
      <c r="D355" s="257">
        <f t="shared" si="77"/>
        <v>253134.72</v>
      </c>
      <c r="E355" s="382">
        <f>ROUND('Plant input detail '!E357*'WPB2.2 Plant detail-w slippage'!$P$2,0)</f>
        <v>0</v>
      </c>
      <c r="F355" s="257">
        <f>ROUND('Plant input detail '!F357*'WPB2.2 Plant detail-w slippage'!$P$2,0)</f>
        <v>0</v>
      </c>
      <c r="G355" s="257">
        <f t="shared" si="78"/>
        <v>253134.72</v>
      </c>
      <c r="H355" s="38"/>
      <c r="I355" s="257">
        <f t="shared" si="79"/>
        <v>199321.72</v>
      </c>
      <c r="J355" s="1362">
        <f t="shared" si="80"/>
        <v>0</v>
      </c>
      <c r="K355" s="173">
        <f>ROUND((G355+D355)/2*J355/12,0)</f>
        <v>0</v>
      </c>
      <c r="L355" s="38">
        <f t="shared" si="81"/>
        <v>0</v>
      </c>
      <c r="M355" s="257">
        <f>ROUND('Plant input detail '!M357*'WPB2.2 Plant detail-w slippage'!$P$2,0)</f>
        <v>0</v>
      </c>
      <c r="N355" s="2227">
        <f t="shared" si="82"/>
        <v>199321.72</v>
      </c>
    </row>
    <row r="356" spans="1:16" x14ac:dyDescent="0.2">
      <c r="A356" s="31">
        <f t="shared" si="83"/>
        <v>28</v>
      </c>
      <c r="B356" s="123">
        <v>398</v>
      </c>
      <c r="C356" s="52" t="s">
        <v>1077</v>
      </c>
      <c r="D356" s="260">
        <f t="shared" si="77"/>
        <v>91076.94</v>
      </c>
      <c r="E356" s="265">
        <f>ROUND('Plant input detail '!E358*'WPB2.2 Plant detail-w slippage'!$P$2,0)</f>
        <v>0</v>
      </c>
      <c r="F356" s="260">
        <f>ROUND('Plant input detail '!F358*'WPB2.2 Plant detail-w slippage'!$P$2,0)</f>
        <v>0</v>
      </c>
      <c r="G356" s="260">
        <f t="shared" si="78"/>
        <v>91076.94</v>
      </c>
      <c r="H356" s="264"/>
      <c r="I356" s="260">
        <f t="shared" si="79"/>
        <v>21223.59</v>
      </c>
      <c r="J356" s="1362">
        <f t="shared" si="80"/>
        <v>6.6699999999999995E-2</v>
      </c>
      <c r="K356" s="260">
        <f>ROUND((G356+D356)/2*J356/12,0)</f>
        <v>506</v>
      </c>
      <c r="L356" s="295">
        <f t="shared" si="81"/>
        <v>0</v>
      </c>
      <c r="M356" s="260">
        <f>ROUND('Plant input detail '!M358*'WPB2.2 Plant detail-w slippage'!$P$2,0)</f>
        <v>0</v>
      </c>
      <c r="N356" s="2228">
        <f t="shared" si="82"/>
        <v>21729.59</v>
      </c>
    </row>
    <row r="357" spans="1:16" x14ac:dyDescent="0.2">
      <c r="A357" s="31">
        <f t="shared" si="83"/>
        <v>29</v>
      </c>
      <c r="C357" s="32" t="s">
        <v>1078</v>
      </c>
      <c r="D357" s="264">
        <f>SUM(D343:D356)</f>
        <v>5090575.2799999993</v>
      </c>
      <c r="E357" s="176">
        <f>SUM(E343:E356)</f>
        <v>24427</v>
      </c>
      <c r="F357" s="176">
        <f>SUM(F343:F356)</f>
        <v>-2932</v>
      </c>
      <c r="G357" s="264">
        <f>SUM(G343:G356)</f>
        <v>5112070.2799999993</v>
      </c>
      <c r="H357" s="264"/>
      <c r="I357" s="264">
        <f>SUM(I343:I356)</f>
        <v>2010856.27</v>
      </c>
      <c r="J357" s="1359"/>
      <c r="K357" s="176">
        <f>SUM(K343:K356)</f>
        <v>28299</v>
      </c>
      <c r="L357" s="264">
        <f>SUM(L343:L356)</f>
        <v>2932</v>
      </c>
      <c r="M357" s="176">
        <f>SUM(M343:M356)</f>
        <v>0</v>
      </c>
      <c r="N357" s="1359">
        <f>SUM(N343:N356)</f>
        <v>2036223.2699999998</v>
      </c>
    </row>
    <row r="358" spans="1:16" x14ac:dyDescent="0.2">
      <c r="D358" s="38"/>
      <c r="E358" s="173"/>
      <c r="F358" s="173"/>
      <c r="G358" s="38"/>
      <c r="H358" s="38"/>
      <c r="I358" s="173"/>
      <c r="J358" s="1361"/>
      <c r="K358" s="173"/>
      <c r="L358" s="38"/>
      <c r="M358" s="173"/>
    </row>
    <row r="359" spans="1:16" x14ac:dyDescent="0.2">
      <c r="A359" s="1805">
        <f>A357+1</f>
        <v>30</v>
      </c>
      <c r="B359" s="252"/>
      <c r="C359" s="36" t="s">
        <v>2287</v>
      </c>
      <c r="D359" s="38"/>
      <c r="E359" s="173"/>
      <c r="F359" s="173"/>
      <c r="G359" s="38"/>
      <c r="H359" s="38"/>
      <c r="I359" s="181"/>
      <c r="J359" s="173"/>
      <c r="K359" s="173"/>
      <c r="L359" s="38"/>
      <c r="M359" s="173"/>
      <c r="P359" s="279"/>
    </row>
    <row r="360" spans="1:16" x14ac:dyDescent="0.2">
      <c r="A360" s="31">
        <f>A359+1</f>
        <v>31</v>
      </c>
      <c r="B360" s="123">
        <v>378.21</v>
      </c>
      <c r="C360" s="52" t="s">
        <v>2244</v>
      </c>
      <c r="D360" s="257">
        <f>G254</f>
        <v>-777092</v>
      </c>
      <c r="E360" s="382">
        <f>ROUND('Plant input detail '!E362*'WPB2.2 Plant detail-w slippage'!$P$2,0)</f>
        <v>0</v>
      </c>
      <c r="F360" s="257">
        <f>ROUND('Plant input detail '!F362*'WPB2.2 Plant detail-w slippage'!$P$2,0)</f>
        <v>0</v>
      </c>
      <c r="G360" s="257">
        <f t="shared" ref="G360" si="84">SUM(D360:F360)</f>
        <v>-777092</v>
      </c>
      <c r="H360" s="264"/>
      <c r="I360" s="257">
        <f>N254</f>
        <v>-25126.363333333331</v>
      </c>
      <c r="J360" s="296" t="s">
        <v>1094</v>
      </c>
      <c r="K360" s="1334">
        <v>-2158.5833333333321</v>
      </c>
      <c r="L360" s="38">
        <f t="shared" ref="L360" si="85">-F360</f>
        <v>0</v>
      </c>
      <c r="M360" s="257">
        <f>ROUND('Plant input detail '!M362*'WPB2.2 Plant detail-w slippage'!$P$2,0)</f>
        <v>0</v>
      </c>
      <c r="N360" s="2227">
        <f t="shared" ref="N360" si="86">I360+K360-L360+M360</f>
        <v>-27284.946666666663</v>
      </c>
      <c r="O360" s="292"/>
    </row>
    <row r="361" spans="1:16" x14ac:dyDescent="0.2">
      <c r="A361" s="1723"/>
      <c r="D361" s="38"/>
      <c r="E361" s="173"/>
      <c r="F361" s="173"/>
      <c r="G361" s="38"/>
      <c r="H361" s="38"/>
      <c r="I361" s="173"/>
      <c r="J361" s="1361"/>
      <c r="K361" s="173"/>
      <c r="L361" s="38"/>
      <c r="M361" s="173"/>
    </row>
    <row r="362" spans="1:16" x14ac:dyDescent="0.2">
      <c r="A362" s="31">
        <f>A360+1</f>
        <v>32</v>
      </c>
      <c r="C362" s="32" t="s">
        <v>774</v>
      </c>
      <c r="D362" s="40">
        <f>D357+D340+D285+D281+D360</f>
        <v>403748575.36999989</v>
      </c>
      <c r="E362" s="40">
        <f>E357+E340+E285+E281+E360</f>
        <v>3334044</v>
      </c>
      <c r="F362" s="40">
        <f>F357+F340+F285+F281+F360</f>
        <v>-380615</v>
      </c>
      <c r="G362" s="40">
        <f>G357+G340+G285+G281+G360</f>
        <v>406702004.36999989</v>
      </c>
      <c r="H362" s="38"/>
      <c r="I362" s="40">
        <f>I357+I340+I285+I281+I360</f>
        <v>142919106.04246196</v>
      </c>
      <c r="J362" s="1363"/>
      <c r="K362" s="40">
        <f>K357+K340+K285+K281+K360</f>
        <v>750849.17956430686</v>
      </c>
      <c r="L362" s="40">
        <f>L357+L340+L285+L281+L360</f>
        <v>380615</v>
      </c>
      <c r="M362" s="40">
        <f>M357+M340+M285+M281+M360</f>
        <v>-86922</v>
      </c>
      <c r="N362" s="1363">
        <f>N357+N340+N285+N281+N360</f>
        <v>143202418.22202626</v>
      </c>
    </row>
    <row r="363" spans="1:16" x14ac:dyDescent="0.2">
      <c r="A363" s="31"/>
      <c r="C363" s="32"/>
      <c r="D363" s="38"/>
      <c r="E363" s="173"/>
      <c r="F363" s="173"/>
      <c r="G363" s="38"/>
      <c r="H363" s="38"/>
      <c r="I363" s="173"/>
      <c r="J363" s="173"/>
      <c r="K363" s="173"/>
      <c r="L363" s="38"/>
    </row>
    <row r="364" spans="1:16" x14ac:dyDescent="0.2">
      <c r="A364" s="2079" t="str">
        <f>co</f>
        <v>COLUMBIA GAS OF KENTUCKY, INC.</v>
      </c>
      <c r="B364" s="2079"/>
      <c r="C364" s="2079"/>
      <c r="D364" s="2079"/>
      <c r="E364" s="2079"/>
      <c r="F364" s="2079"/>
      <c r="G364" s="2079"/>
      <c r="H364" s="2079"/>
      <c r="I364" s="2079"/>
      <c r="J364" s="2079"/>
      <c r="K364" s="2079"/>
      <c r="L364" s="2079"/>
      <c r="M364" s="2079"/>
      <c r="N364" s="2079"/>
    </row>
    <row r="365" spans="1:16" x14ac:dyDescent="0.2">
      <c r="A365" s="2079" t="str">
        <f>case</f>
        <v>CASE NO. 2016 - 00162</v>
      </c>
      <c r="B365" s="2079"/>
      <c r="C365" s="2079"/>
      <c r="D365" s="2079"/>
      <c r="E365" s="2079"/>
      <c r="F365" s="2079"/>
      <c r="G365" s="2079"/>
      <c r="H365" s="2079"/>
      <c r="I365" s="2079"/>
      <c r="J365" s="2079"/>
      <c r="K365" s="2079"/>
      <c r="L365" s="2079"/>
      <c r="M365" s="2079"/>
      <c r="N365" s="2079"/>
    </row>
    <row r="366" spans="1:16" x14ac:dyDescent="0.2">
      <c r="A366" s="2080" t="s">
        <v>1106</v>
      </c>
      <c r="B366" s="2079"/>
      <c r="C366" s="2079"/>
      <c r="D366" s="2079"/>
      <c r="E366" s="2079"/>
      <c r="F366" s="2079"/>
      <c r="G366" s="2079"/>
      <c r="H366" s="2079"/>
      <c r="I366" s="2079"/>
      <c r="J366" s="2079"/>
      <c r="K366" s="2079"/>
      <c r="L366" s="2079"/>
      <c r="M366" s="2079"/>
      <c r="N366" s="2079"/>
    </row>
    <row r="367" spans="1:16" x14ac:dyDescent="0.2">
      <c r="A367" s="2081" t="s">
        <v>2142</v>
      </c>
      <c r="B367" s="2085"/>
      <c r="C367" s="2085"/>
      <c r="D367" s="2085"/>
      <c r="E367" s="2085"/>
      <c r="F367" s="2085"/>
      <c r="G367" s="2085"/>
      <c r="H367" s="2085"/>
      <c r="I367" s="2085"/>
      <c r="J367" s="2085"/>
      <c r="K367" s="2085"/>
      <c r="L367" s="2085"/>
      <c r="M367" s="2085"/>
      <c r="N367" s="2085"/>
    </row>
    <row r="369" spans="1:14" x14ac:dyDescent="0.2">
      <c r="A369" s="285" t="str">
        <f>$A$6</f>
        <v>DATA:__X___BASE PERIOD__X___FORECASTED PERIOD</v>
      </c>
      <c r="C369" s="171"/>
      <c r="I369" s="32"/>
      <c r="N369" s="1258" t="str">
        <f>$N$6</f>
        <v>WPB-2.2</v>
      </c>
    </row>
    <row r="370" spans="1:14" x14ac:dyDescent="0.2">
      <c r="A370" s="4" t="str">
        <f>$A$7</f>
        <v>TYPE OF FILING:___X____ORIGINAL________UPDATED</v>
      </c>
      <c r="I370" s="32"/>
      <c r="N370" s="2223" t="s">
        <v>1720</v>
      </c>
    </row>
    <row r="371" spans="1:14" x14ac:dyDescent="0.2">
      <c r="A371" s="1261" t="str">
        <f>$A$8</f>
        <v xml:space="preserve">WORKPAPER REFERENCE NO(S).: </v>
      </c>
      <c r="B371" s="202"/>
      <c r="C371" s="202"/>
      <c r="D371" s="201"/>
      <c r="E371" s="202"/>
      <c r="F371" s="202"/>
      <c r="G371" s="201"/>
      <c r="H371" s="201"/>
      <c r="I371" s="203"/>
      <c r="L371" s="32"/>
      <c r="M371" s="32"/>
      <c r="N371" s="204" t="str">
        <f>SMK</f>
        <v>WITNESS:  S. M. KATKO</v>
      </c>
    </row>
    <row r="372" spans="1:14" x14ac:dyDescent="0.2">
      <c r="A372" s="200"/>
      <c r="B372" s="201"/>
      <c r="C372" s="201"/>
      <c r="D372" s="201"/>
      <c r="E372" s="202"/>
      <c r="F372" s="202"/>
      <c r="G372" s="201"/>
      <c r="H372" s="201"/>
      <c r="I372" s="203"/>
      <c r="J372" s="1357"/>
      <c r="L372" s="32"/>
      <c r="M372" s="32"/>
    </row>
    <row r="373" spans="1:14" x14ac:dyDescent="0.2">
      <c r="A373" s="200"/>
      <c r="B373" s="201"/>
      <c r="C373" s="201"/>
      <c r="D373" s="2082" t="s">
        <v>1088</v>
      </c>
      <c r="E373" s="2082"/>
      <c r="F373" s="2082"/>
      <c r="G373" s="2082"/>
      <c r="H373" s="201"/>
      <c r="I373" s="2083" t="s">
        <v>1093</v>
      </c>
      <c r="J373" s="2084"/>
      <c r="K373" s="2084"/>
      <c r="L373" s="2084"/>
      <c r="M373" s="2084"/>
      <c r="N373" s="2084"/>
    </row>
    <row r="374" spans="1:14" x14ac:dyDescent="0.2">
      <c r="A374" s="270"/>
      <c r="B374" s="201"/>
      <c r="C374" s="201"/>
      <c r="D374" s="271" t="s">
        <v>1084</v>
      </c>
      <c r="E374" s="202"/>
      <c r="F374" s="202"/>
      <c r="G374" s="269"/>
      <c r="H374" s="269"/>
      <c r="I374" s="261" t="s">
        <v>1089</v>
      </c>
      <c r="J374" s="1358"/>
      <c r="M374" s="32"/>
    </row>
    <row r="375" spans="1:14" x14ac:dyDescent="0.2">
      <c r="A375" s="30"/>
      <c r="D375" s="261" t="s">
        <v>865</v>
      </c>
      <c r="G375" s="261" t="s">
        <v>867</v>
      </c>
      <c r="H375" s="268"/>
      <c r="I375" s="261" t="s">
        <v>865</v>
      </c>
      <c r="J375" s="1308" t="s">
        <v>956</v>
      </c>
      <c r="M375" s="32"/>
      <c r="N375" s="2225" t="s">
        <v>867</v>
      </c>
    </row>
    <row r="376" spans="1:14" x14ac:dyDescent="0.2">
      <c r="A376" s="261" t="s">
        <v>1080</v>
      </c>
      <c r="B376" s="261" t="s">
        <v>1082</v>
      </c>
      <c r="D376" s="261" t="s">
        <v>867</v>
      </c>
      <c r="G376" s="262" t="s">
        <v>1087</v>
      </c>
      <c r="H376" s="268"/>
      <c r="I376" s="262" t="s">
        <v>867</v>
      </c>
      <c r="J376" s="1308" t="s">
        <v>1090</v>
      </c>
      <c r="K376" s="1308" t="s">
        <v>956</v>
      </c>
      <c r="M376" s="262" t="s">
        <v>1092</v>
      </c>
      <c r="N376" s="1259" t="s">
        <v>1087</v>
      </c>
    </row>
    <row r="377" spans="1:14" x14ac:dyDescent="0.2">
      <c r="A377" s="272" t="s">
        <v>1081</v>
      </c>
      <c r="B377" s="272" t="s">
        <v>1081</v>
      </c>
      <c r="C377" s="273" t="s">
        <v>1083</v>
      </c>
      <c r="D377" s="298" t="str">
        <f>"05/31/2016"</f>
        <v>05/31/2016</v>
      </c>
      <c r="E377" s="275" t="s">
        <v>1085</v>
      </c>
      <c r="F377" s="275" t="s">
        <v>1086</v>
      </c>
      <c r="G377" s="298" t="str">
        <f>"06/30/2016"</f>
        <v>06/30/2016</v>
      </c>
      <c r="H377" s="268"/>
      <c r="I377" s="274" t="str">
        <f>D377</f>
        <v>05/31/2016</v>
      </c>
      <c r="J377" s="275" t="s">
        <v>1091</v>
      </c>
      <c r="K377" s="1327" t="s">
        <v>1090</v>
      </c>
      <c r="L377" s="276" t="s">
        <v>1086</v>
      </c>
      <c r="M377" s="276" t="s">
        <v>955</v>
      </c>
      <c r="N377" s="2226" t="str">
        <f>G377</f>
        <v>06/30/2016</v>
      </c>
    </row>
    <row r="378" spans="1:14" x14ac:dyDescent="0.2">
      <c r="A378" s="267"/>
      <c r="B378" s="267"/>
      <c r="C378" s="267"/>
      <c r="D378" s="267" t="str">
        <f>"(1)"</f>
        <v>(1)</v>
      </c>
      <c r="E378" s="267" t="str">
        <f>"(2)"</f>
        <v>(2)</v>
      </c>
      <c r="F378" s="267" t="str">
        <f>"(3)"</f>
        <v>(3)</v>
      </c>
      <c r="G378" s="267" t="str">
        <f>"(4)=(1+2+3)"</f>
        <v>(4)=(1+2+3)</v>
      </c>
      <c r="H378" s="267"/>
      <c r="I378" s="267" t="str">
        <f>"(5)"</f>
        <v>(5)</v>
      </c>
      <c r="J378" s="1328" t="str">
        <f>"(6)"</f>
        <v>(6)</v>
      </c>
      <c r="K378" s="1328" t="str">
        <f>"(7)=((1+4)/2*6/12))"</f>
        <v>(7)=((1+4)/2*6/12))</v>
      </c>
      <c r="L378" s="267" t="str">
        <f>"(8)"</f>
        <v>(8)</v>
      </c>
      <c r="M378" s="267" t="str">
        <f>"(9)"</f>
        <v>(9)</v>
      </c>
      <c r="N378" s="204" t="str">
        <f>"(10)=(5+7-8+9)"</f>
        <v>(10)=(5+7-8+9)</v>
      </c>
    </row>
    <row r="379" spans="1:14" x14ac:dyDescent="0.2">
      <c r="D379" s="31" t="s">
        <v>639</v>
      </c>
      <c r="E379" s="170" t="s">
        <v>639</v>
      </c>
      <c r="F379" s="170" t="s">
        <v>639</v>
      </c>
      <c r="G379" s="31" t="s">
        <v>639</v>
      </c>
      <c r="H379" s="31"/>
      <c r="I379" s="31" t="s">
        <v>639</v>
      </c>
      <c r="J379" s="170" t="s">
        <v>639</v>
      </c>
      <c r="K379" s="170" t="s">
        <v>639</v>
      </c>
      <c r="L379" s="31" t="s">
        <v>639</v>
      </c>
      <c r="M379" s="31" t="s">
        <v>639</v>
      </c>
      <c r="N379" s="155" t="s">
        <v>639</v>
      </c>
    </row>
    <row r="380" spans="1:14" x14ac:dyDescent="0.2">
      <c r="A380" s="31">
        <v>1</v>
      </c>
      <c r="B380" s="36" t="s">
        <v>1025</v>
      </c>
      <c r="C380" s="34"/>
      <c r="M380" s="32"/>
    </row>
    <row r="381" spans="1:14" x14ac:dyDescent="0.2">
      <c r="A381" s="31">
        <f>A380+1</f>
        <v>2</v>
      </c>
      <c r="C381" s="36" t="s">
        <v>697</v>
      </c>
      <c r="M381" s="32"/>
    </row>
    <row r="382" spans="1:14" x14ac:dyDescent="0.2">
      <c r="A382" s="31">
        <f t="shared" ref="A382:A387" si="87">A381+1</f>
        <v>3</v>
      </c>
      <c r="B382" s="253">
        <v>301</v>
      </c>
      <c r="C382" s="52" t="s">
        <v>1026</v>
      </c>
      <c r="D382" s="257">
        <f>G276</f>
        <v>521.20000000000005</v>
      </c>
      <c r="E382" s="382">
        <f>ROUND('Plant input detail '!E384*'WPB2.2 Plant detail-w slippage'!$P$2,0)</f>
        <v>0</v>
      </c>
      <c r="F382" s="257">
        <f>ROUND('Plant input detail '!F384*'WPB2.2 Plant detail-w slippage'!$P$2,0)</f>
        <v>0</v>
      </c>
      <c r="G382" s="257">
        <f>SUM(D382:F382)</f>
        <v>521.20000000000005</v>
      </c>
      <c r="H382" s="38"/>
      <c r="I382" s="257">
        <f>N276</f>
        <v>0</v>
      </c>
      <c r="J382" s="296" t="s">
        <v>1094</v>
      </c>
      <c r="K382" s="258">
        <v>0</v>
      </c>
      <c r="L382" s="38">
        <f>-F382</f>
        <v>0</v>
      </c>
      <c r="M382" s="259">
        <v>0</v>
      </c>
      <c r="N382" s="2227">
        <f>I382+K382-L382+M382</f>
        <v>0</v>
      </c>
    </row>
    <row r="383" spans="1:14" x14ac:dyDescent="0.2">
      <c r="A383" s="31">
        <f t="shared" si="87"/>
        <v>4</v>
      </c>
      <c r="B383" s="253">
        <v>303</v>
      </c>
      <c r="C383" s="52" t="s">
        <v>1027</v>
      </c>
      <c r="D383" s="257">
        <f>G277</f>
        <v>74347.509999999995</v>
      </c>
      <c r="E383" s="382">
        <f>ROUND('Plant input detail '!E385*'WPB2.2 Plant detail-w slippage'!$P$2,0)</f>
        <v>0</v>
      </c>
      <c r="F383" s="257">
        <f>ROUND('Plant input detail '!F385*'WPB2.2 Plant detail-w slippage'!$P$2,0)</f>
        <v>0</v>
      </c>
      <c r="G383" s="257">
        <f>SUM(D383:F383)</f>
        <v>74347.509999999995</v>
      </c>
      <c r="H383" s="38"/>
      <c r="I383" s="257">
        <f>N277</f>
        <v>46418.989999999991</v>
      </c>
      <c r="J383" s="296" t="s">
        <v>1094</v>
      </c>
      <c r="K383" s="382">
        <f>'WPB2.2a Intan Amort. w slippage'!K$19</f>
        <v>206.52</v>
      </c>
      <c r="L383" s="38">
        <f>-F383</f>
        <v>0</v>
      </c>
      <c r="M383" s="259">
        <v>0</v>
      </c>
      <c r="N383" s="2227">
        <f>I383+K383-L383+M383</f>
        <v>46625.509999999987</v>
      </c>
    </row>
    <row r="384" spans="1:14" x14ac:dyDescent="0.2">
      <c r="A384" s="31">
        <f t="shared" si="87"/>
        <v>5</v>
      </c>
      <c r="B384" s="253">
        <v>303.10000000000002</v>
      </c>
      <c r="C384" s="52" t="s">
        <v>1028</v>
      </c>
      <c r="D384" s="257">
        <f>G278</f>
        <v>0</v>
      </c>
      <c r="E384" s="382">
        <f>ROUND('Plant input detail '!E386*'WPB2.2 Plant detail-w slippage'!$P$2,0)</f>
        <v>0</v>
      </c>
      <c r="F384" s="257">
        <f>ROUND('Plant input detail '!F386*'WPB2.2 Plant detail-w slippage'!$P$2,0)</f>
        <v>0</v>
      </c>
      <c r="G384" s="257">
        <f>SUM(D384:F384)</f>
        <v>0</v>
      </c>
      <c r="H384" s="38"/>
      <c r="I384" s="257">
        <f>N278</f>
        <v>0</v>
      </c>
      <c r="J384" s="296" t="s">
        <v>1094</v>
      </c>
      <c r="K384" s="258">
        <v>0</v>
      </c>
      <c r="L384" s="38">
        <f>-F384</f>
        <v>0</v>
      </c>
      <c r="M384" s="259">
        <v>0</v>
      </c>
      <c r="N384" s="2227">
        <f>I384+K384-L384+M384</f>
        <v>0</v>
      </c>
    </row>
    <row r="385" spans="1:14" x14ac:dyDescent="0.2">
      <c r="A385" s="31">
        <f t="shared" si="87"/>
        <v>6</v>
      </c>
      <c r="B385" s="253">
        <v>303.2</v>
      </c>
      <c r="C385" s="52" t="s">
        <v>1029</v>
      </c>
      <c r="D385" s="257">
        <f>G279</f>
        <v>0</v>
      </c>
      <c r="E385" s="382">
        <f>ROUND('Plant input detail '!E387*'WPB2.2 Plant detail-w slippage'!$P$2,0)</f>
        <v>0</v>
      </c>
      <c r="F385" s="257">
        <f>ROUND('Plant input detail '!F387*'WPB2.2 Plant detail-w slippage'!$P$2,0)</f>
        <v>0</v>
      </c>
      <c r="G385" s="257">
        <f>SUM(D385:F385)</f>
        <v>0</v>
      </c>
      <c r="H385" s="38"/>
      <c r="I385" s="257">
        <f>N279</f>
        <v>0</v>
      </c>
      <c r="J385" s="296" t="s">
        <v>1094</v>
      </c>
      <c r="K385" s="258">
        <v>0</v>
      </c>
      <c r="L385" s="38">
        <f>-F385</f>
        <v>0</v>
      </c>
      <c r="M385" s="259">
        <v>0</v>
      </c>
      <c r="N385" s="2227">
        <f>I385+K385-L385+M385</f>
        <v>0</v>
      </c>
    </row>
    <row r="386" spans="1:14" x14ac:dyDescent="0.2">
      <c r="A386" s="31">
        <f t="shared" si="87"/>
        <v>7</v>
      </c>
      <c r="B386" s="253">
        <v>303.3</v>
      </c>
      <c r="C386" s="52" t="s">
        <v>1030</v>
      </c>
      <c r="D386" s="260">
        <f>G280</f>
        <v>5611138</v>
      </c>
      <c r="E386" s="265">
        <f>ROUND('Plant input detail '!E388*'WPB2.2 Plant detail-w slippage'!$P$2,0)</f>
        <v>109735</v>
      </c>
      <c r="F386" s="265">
        <f>ROUND('Plant input detail '!F388*'WPB2.2 Plant detail-w slippage'!$P$2,0)</f>
        <v>0</v>
      </c>
      <c r="G386" s="260">
        <f>SUM(D386:F386)</f>
        <v>5720873</v>
      </c>
      <c r="H386" s="38"/>
      <c r="I386" s="260">
        <f>N280</f>
        <v>2352193.9802718684</v>
      </c>
      <c r="J386" s="296" t="s">
        <v>1094</v>
      </c>
      <c r="K386" s="265">
        <f>'WPB2.2a Intan Amort. w slippage'!K$104</f>
        <v>71405.193423955992</v>
      </c>
      <c r="L386" s="295">
        <f>-F386</f>
        <v>0</v>
      </c>
      <c r="M386" s="263">
        <v>0</v>
      </c>
      <c r="N386" s="2228">
        <f>I386+K386-L386+M386</f>
        <v>2423599.1736958246</v>
      </c>
    </row>
    <row r="387" spans="1:14" x14ac:dyDescent="0.2">
      <c r="A387" s="31">
        <f t="shared" si="87"/>
        <v>8</v>
      </c>
      <c r="B387" s="253"/>
      <c r="C387" s="52" t="s">
        <v>1031</v>
      </c>
      <c r="D387" s="38">
        <f>SUM(D382:D386)</f>
        <v>5686006.71</v>
      </c>
      <c r="E387" s="173">
        <f>SUM(E382:E386)</f>
        <v>109735</v>
      </c>
      <c r="F387" s="173">
        <f>SUM(F382:F386)</f>
        <v>0</v>
      </c>
      <c r="G387" s="38">
        <f>SUM(G382:G386)</f>
        <v>5795741.71</v>
      </c>
      <c r="H387" s="38"/>
      <c r="I387" s="38">
        <f>SUM(I382:I386)</f>
        <v>2398612.9702718686</v>
      </c>
      <c r="J387" s="1359"/>
      <c r="K387" s="173">
        <f>SUM(K382:K386)</f>
        <v>71611.713423955996</v>
      </c>
      <c r="L387" s="38">
        <f>SUM(L382:L386)</f>
        <v>0</v>
      </c>
      <c r="M387" s="173">
        <f>SUM(M382:M386)</f>
        <v>0</v>
      </c>
      <c r="N387" s="1361">
        <f>SUM(N382:N386)</f>
        <v>2470224.6836958244</v>
      </c>
    </row>
    <row r="388" spans="1:14" x14ac:dyDescent="0.2">
      <c r="B388" s="254"/>
      <c r="D388" s="38"/>
      <c r="E388" s="173"/>
      <c r="F388" s="173"/>
      <c r="G388" s="38"/>
      <c r="H388" s="38"/>
      <c r="I388" s="38"/>
      <c r="J388" s="1359"/>
      <c r="K388" s="173"/>
      <c r="L388" s="38"/>
      <c r="M388" s="173"/>
    </row>
    <row r="389" spans="1:14" x14ac:dyDescent="0.2">
      <c r="A389" s="31">
        <f>A387+1</f>
        <v>9</v>
      </c>
      <c r="B389" s="254"/>
      <c r="C389" s="36" t="s">
        <v>704</v>
      </c>
      <c r="D389" s="38"/>
      <c r="E389" s="173"/>
      <c r="F389" s="173"/>
      <c r="G389" s="38"/>
      <c r="H389" s="38"/>
      <c r="I389" s="38"/>
      <c r="J389" s="1359"/>
      <c r="K389" s="173"/>
      <c r="L389" s="38"/>
      <c r="M389" s="173"/>
    </row>
    <row r="390" spans="1:14" x14ac:dyDescent="0.2">
      <c r="A390" s="31">
        <f>A389+1</f>
        <v>10</v>
      </c>
      <c r="B390" s="255">
        <v>304.10000000000002</v>
      </c>
      <c r="C390" s="41" t="s">
        <v>1032</v>
      </c>
      <c r="D390" s="260">
        <f>G284</f>
        <v>0</v>
      </c>
      <c r="E390" s="265">
        <f>ROUND('Plant input detail '!E392*'WPB2.2 Plant detail-w slippage'!$P$2,0)</f>
        <v>0</v>
      </c>
      <c r="F390" s="265">
        <f>ROUND('Plant input detail '!F392*'WPB2.2 Plant detail-w slippage'!$P$2,0)</f>
        <v>0</v>
      </c>
      <c r="G390" s="260">
        <f>SUM(D390:F390)</f>
        <v>0</v>
      </c>
      <c r="H390" s="38"/>
      <c r="I390" s="260">
        <f>N284</f>
        <v>0</v>
      </c>
      <c r="J390" s="1360" t="s">
        <v>1102</v>
      </c>
      <c r="K390" s="266">
        <v>0</v>
      </c>
      <c r="L390" s="295">
        <f>-F390</f>
        <v>0</v>
      </c>
      <c r="M390" s="263">
        <v>0</v>
      </c>
      <c r="N390" s="2228">
        <f>I390+K390-L390+M390</f>
        <v>0</v>
      </c>
    </row>
    <row r="391" spans="1:14" x14ac:dyDescent="0.2">
      <c r="A391" s="31">
        <f>A390+1</f>
        <v>11</v>
      </c>
      <c r="B391" s="255"/>
      <c r="C391" s="256" t="s">
        <v>1079</v>
      </c>
      <c r="D391" s="38">
        <f>D390</f>
        <v>0</v>
      </c>
      <c r="E391" s="173">
        <f>E390</f>
        <v>0</v>
      </c>
      <c r="F391" s="173">
        <f>F390</f>
        <v>0</v>
      </c>
      <c r="G391" s="38">
        <f>G390</f>
        <v>0</v>
      </c>
      <c r="H391" s="38"/>
      <c r="I391" s="38">
        <f>I390</f>
        <v>0</v>
      </c>
      <c r="J391" s="1361"/>
      <c r="K391" s="173">
        <f>SUM(K390)</f>
        <v>0</v>
      </c>
      <c r="L391" s="38">
        <f>SUM(L390)</f>
        <v>0</v>
      </c>
      <c r="M391" s="173">
        <f>M390</f>
        <v>0</v>
      </c>
      <c r="N391" s="1361">
        <f>N390</f>
        <v>0</v>
      </c>
    </row>
    <row r="392" spans="1:14" x14ac:dyDescent="0.2">
      <c r="B392" s="254"/>
      <c r="D392" s="38"/>
      <c r="E392" s="173"/>
      <c r="F392" s="173"/>
      <c r="G392" s="38"/>
      <c r="H392" s="38"/>
      <c r="I392" s="38"/>
      <c r="J392" s="1361"/>
      <c r="K392" s="173"/>
      <c r="L392" s="38"/>
      <c r="M392" s="173"/>
    </row>
    <row r="393" spans="1:14" x14ac:dyDescent="0.2">
      <c r="A393" s="31">
        <f>A391+1</f>
        <v>12</v>
      </c>
      <c r="B393" s="254"/>
      <c r="C393" s="36" t="s">
        <v>707</v>
      </c>
      <c r="D393" s="38"/>
      <c r="E393" s="173"/>
      <c r="F393" s="173"/>
      <c r="G393" s="38"/>
      <c r="H393" s="38"/>
      <c r="I393" s="38"/>
      <c r="J393" s="1361"/>
      <c r="K393" s="173"/>
      <c r="L393" s="38"/>
      <c r="M393" s="173"/>
    </row>
    <row r="394" spans="1:14" x14ac:dyDescent="0.2">
      <c r="A394" s="31">
        <f>A393+1</f>
        <v>13</v>
      </c>
      <c r="B394" s="253">
        <v>374.1</v>
      </c>
      <c r="C394" s="52" t="s">
        <v>1035</v>
      </c>
      <c r="D394" s="257">
        <f t="shared" ref="D394:D404" si="88">G288</f>
        <v>206</v>
      </c>
      <c r="E394" s="382">
        <f>ROUND('Plant input detail '!E396*'WPB2.2 Plant detail-w slippage'!$P$2,0)</f>
        <v>0</v>
      </c>
      <c r="F394" s="257">
        <f>ROUND('Plant input detail '!F396*'WPB2.2 Plant detail-w slippage'!$P$2,0)</f>
        <v>0</v>
      </c>
      <c r="G394" s="257">
        <f>SUM(D394:F394)</f>
        <v>206</v>
      </c>
      <c r="H394" s="38"/>
      <c r="I394" s="257">
        <f t="shared" ref="I394:I404" si="89">N288</f>
        <v>0</v>
      </c>
      <c r="J394" s="1360" t="s">
        <v>1102</v>
      </c>
      <c r="K394" s="259">
        <v>0</v>
      </c>
      <c r="L394" s="38">
        <f t="shared" ref="L394:L404" si="90">-F394</f>
        <v>0</v>
      </c>
      <c r="M394" s="257">
        <f>ROUND('Plant input detail '!M396*'WPB2.2 Plant detail-w slippage'!$P$2,0)</f>
        <v>0</v>
      </c>
      <c r="N394" s="2227">
        <f t="shared" ref="N394:N404" si="91">I394+K394-L394+M394</f>
        <v>0</v>
      </c>
    </row>
    <row r="395" spans="1:14" x14ac:dyDescent="0.2">
      <c r="A395" s="31">
        <f t="shared" ref="A395:A415" si="92">A394+1</f>
        <v>14</v>
      </c>
      <c r="B395" s="253">
        <v>374.2</v>
      </c>
      <c r="C395" s="52" t="s">
        <v>1036</v>
      </c>
      <c r="D395" s="257">
        <f t="shared" si="88"/>
        <v>877756.18</v>
      </c>
      <c r="E395" s="382">
        <f>ROUND('Plant input detail '!E397*'WPB2.2 Plant detail-w slippage'!$P$2,0)</f>
        <v>0</v>
      </c>
      <c r="F395" s="257">
        <f>ROUND('Plant input detail '!F397*'WPB2.2 Plant detail-w slippage'!$P$2,0)</f>
        <v>0</v>
      </c>
      <c r="G395" s="257">
        <f t="shared" ref="G395:G404" si="93">SUM(D395:F395)</f>
        <v>877756.18</v>
      </c>
      <c r="H395" s="38"/>
      <c r="I395" s="257">
        <f t="shared" si="89"/>
        <v>-523.13</v>
      </c>
      <c r="J395" s="1360" t="s">
        <v>1102</v>
      </c>
      <c r="K395" s="259">
        <v>0</v>
      </c>
      <c r="L395" s="38">
        <f t="shared" si="90"/>
        <v>0</v>
      </c>
      <c r="M395" s="257">
        <f>ROUND('Plant input detail '!M397*'WPB2.2 Plant detail-w slippage'!$P$2,0)</f>
        <v>0</v>
      </c>
      <c r="N395" s="2227">
        <f t="shared" si="91"/>
        <v>-523.13</v>
      </c>
    </row>
    <row r="396" spans="1:14" x14ac:dyDescent="0.2">
      <c r="A396" s="31">
        <f t="shared" si="92"/>
        <v>15</v>
      </c>
      <c r="B396" s="253">
        <v>374.4</v>
      </c>
      <c r="C396" s="52" t="s">
        <v>1037</v>
      </c>
      <c r="D396" s="257">
        <f t="shared" si="88"/>
        <v>661305.66</v>
      </c>
      <c r="E396" s="382">
        <f>ROUND('Plant input detail '!E398*'WPB2.2 Plant detail-w slippage'!$P$2,0)</f>
        <v>0</v>
      </c>
      <c r="F396" s="257">
        <f>ROUND('Plant input detail '!F398*'WPB2.2 Plant detail-w slippage'!$P$2,0)</f>
        <v>0</v>
      </c>
      <c r="G396" s="257">
        <f t="shared" si="93"/>
        <v>661305.66</v>
      </c>
      <c r="H396" s="38"/>
      <c r="I396" s="257">
        <f t="shared" si="89"/>
        <v>172982.36</v>
      </c>
      <c r="J396" s="1362">
        <f t="shared" ref="J396:J402" si="94">J290</f>
        <v>1.5299999999999999E-2</v>
      </c>
      <c r="K396" s="173">
        <f>ROUND((G396+D396)/2*J396/12,0)</f>
        <v>843</v>
      </c>
      <c r="L396" s="38">
        <f t="shared" si="90"/>
        <v>0</v>
      </c>
      <c r="M396" s="257">
        <f>ROUND('Plant input detail '!M398*'WPB2.2 Plant detail-w slippage'!$P$2,0)</f>
        <v>0</v>
      </c>
      <c r="N396" s="2227">
        <f t="shared" si="91"/>
        <v>173825.36</v>
      </c>
    </row>
    <row r="397" spans="1:14" x14ac:dyDescent="0.2">
      <c r="A397" s="31">
        <f t="shared" si="92"/>
        <v>16</v>
      </c>
      <c r="B397" s="253">
        <v>374.5</v>
      </c>
      <c r="C397" s="52" t="s">
        <v>1038</v>
      </c>
      <c r="D397" s="257">
        <f t="shared" si="88"/>
        <v>2689952.55</v>
      </c>
      <c r="E397" s="382">
        <f>ROUND('Plant input detail '!E399*'WPB2.2 Plant detail-w slippage'!$P$2,0)</f>
        <v>1198</v>
      </c>
      <c r="F397" s="257">
        <f>ROUND('Plant input detail '!F399*'WPB2.2 Plant detail-w slippage'!$P$2,0)</f>
        <v>-144</v>
      </c>
      <c r="G397" s="257">
        <f t="shared" si="93"/>
        <v>2691006.55</v>
      </c>
      <c r="H397" s="38"/>
      <c r="I397" s="257">
        <f t="shared" si="89"/>
        <v>911512.23</v>
      </c>
      <c r="J397" s="1362">
        <f t="shared" si="94"/>
        <v>1.2200000000000001E-2</v>
      </c>
      <c r="K397" s="173">
        <f t="shared" ref="K397:K402" si="95">ROUND((G397+D397)/2*J397/12,0)</f>
        <v>2735</v>
      </c>
      <c r="L397" s="38">
        <f t="shared" si="90"/>
        <v>144</v>
      </c>
      <c r="M397" s="257">
        <f>ROUND('Plant input detail '!M399*'WPB2.2 Plant detail-w slippage'!$P$2,0)</f>
        <v>0</v>
      </c>
      <c r="N397" s="2227">
        <f t="shared" si="91"/>
        <v>914103.23</v>
      </c>
    </row>
    <row r="398" spans="1:14" x14ac:dyDescent="0.2">
      <c r="A398" s="31">
        <f t="shared" si="92"/>
        <v>17</v>
      </c>
      <c r="B398" s="253">
        <v>375.2</v>
      </c>
      <c r="C398" s="52" t="s">
        <v>1039</v>
      </c>
      <c r="D398" s="257">
        <f t="shared" si="88"/>
        <v>2124.98</v>
      </c>
      <c r="E398" s="382">
        <f>ROUND('Plant input detail '!E400*'WPB2.2 Plant detail-w slippage'!$P$2,0)</f>
        <v>0</v>
      </c>
      <c r="F398" s="257">
        <f>ROUND('Plant input detail '!F400*'WPB2.2 Plant detail-w slippage'!$P$2,0)</f>
        <v>0</v>
      </c>
      <c r="G398" s="257">
        <f t="shared" si="93"/>
        <v>2124.98</v>
      </c>
      <c r="H398" s="38"/>
      <c r="I398" s="257">
        <f t="shared" si="89"/>
        <v>2006.32</v>
      </c>
      <c r="J398" s="1362">
        <f t="shared" si="94"/>
        <v>1.9599999999999999E-2</v>
      </c>
      <c r="K398" s="173">
        <f t="shared" si="95"/>
        <v>3</v>
      </c>
      <c r="L398" s="38">
        <f t="shared" si="90"/>
        <v>0</v>
      </c>
      <c r="M398" s="257">
        <f>ROUND('Plant input detail '!M400*'WPB2.2 Plant detail-w slippage'!$P$2,0)</f>
        <v>0</v>
      </c>
      <c r="N398" s="2227">
        <f t="shared" si="91"/>
        <v>2009.32</v>
      </c>
    </row>
    <row r="399" spans="1:14" x14ac:dyDescent="0.2">
      <c r="A399" s="31">
        <f t="shared" si="92"/>
        <v>18</v>
      </c>
      <c r="B399" s="253">
        <v>375.3</v>
      </c>
      <c r="C399" s="52" t="s">
        <v>1040</v>
      </c>
      <c r="D399" s="257">
        <f t="shared" si="88"/>
        <v>0</v>
      </c>
      <c r="E399" s="382">
        <f>ROUND('Plant input detail '!E401*'WPB2.2 Plant detail-w slippage'!$P$2,0)</f>
        <v>0</v>
      </c>
      <c r="F399" s="257">
        <f>ROUND('Plant input detail '!F401*'WPB2.2 Plant detail-w slippage'!$P$2,0)</f>
        <v>0</v>
      </c>
      <c r="G399" s="257">
        <f t="shared" si="93"/>
        <v>0</v>
      </c>
      <c r="H399" s="38"/>
      <c r="I399" s="257">
        <f t="shared" si="89"/>
        <v>-77.66</v>
      </c>
      <c r="J399" s="1362">
        <f t="shared" si="94"/>
        <v>1.9599999999999999E-2</v>
      </c>
      <c r="K399" s="173">
        <f t="shared" si="95"/>
        <v>0</v>
      </c>
      <c r="L399" s="38">
        <f t="shared" si="90"/>
        <v>0</v>
      </c>
      <c r="M399" s="257">
        <f>ROUND('Plant input detail '!M401*'WPB2.2 Plant detail-w slippage'!$P$2,0)</f>
        <v>0</v>
      </c>
      <c r="N399" s="2227">
        <f t="shared" si="91"/>
        <v>-77.66</v>
      </c>
    </row>
    <row r="400" spans="1:14" x14ac:dyDescent="0.2">
      <c r="A400" s="31">
        <f t="shared" si="92"/>
        <v>19</v>
      </c>
      <c r="B400" s="253">
        <v>375.4</v>
      </c>
      <c r="C400" s="52" t="s">
        <v>1041</v>
      </c>
      <c r="D400" s="257">
        <f t="shared" si="88"/>
        <v>1871897.02</v>
      </c>
      <c r="E400" s="382">
        <f>ROUND('Plant input detail '!E402*'WPB2.2 Plant detail-w slippage'!$P$2,0)</f>
        <v>4117</v>
      </c>
      <c r="F400" s="257">
        <f>ROUND('Plant input detail '!F402*'WPB2.2 Plant detail-w slippage'!$P$2,0)</f>
        <v>-494</v>
      </c>
      <c r="G400" s="257">
        <f t="shared" si="93"/>
        <v>1875520.02</v>
      </c>
      <c r="H400" s="38"/>
      <c r="I400" s="257">
        <f t="shared" si="89"/>
        <v>495569.37</v>
      </c>
      <c r="J400" s="1362">
        <f t="shared" si="94"/>
        <v>1.9599999999999999E-2</v>
      </c>
      <c r="K400" s="173">
        <f t="shared" si="95"/>
        <v>3060</v>
      </c>
      <c r="L400" s="38">
        <f t="shared" si="90"/>
        <v>494</v>
      </c>
      <c r="M400" s="257">
        <f>ROUND('Plant input detail '!M402*'WPB2.2 Plant detail-w slippage'!$P$2,0)</f>
        <v>-49</v>
      </c>
      <c r="N400" s="2227">
        <f t="shared" si="91"/>
        <v>498086.37</v>
      </c>
    </row>
    <row r="401" spans="1:14" x14ac:dyDescent="0.2">
      <c r="A401" s="31">
        <f t="shared" si="92"/>
        <v>20</v>
      </c>
      <c r="B401" s="253">
        <v>375.6</v>
      </c>
      <c r="C401" s="52" t="s">
        <v>1042</v>
      </c>
      <c r="D401" s="257">
        <f t="shared" si="88"/>
        <v>0</v>
      </c>
      <c r="E401" s="382">
        <f>ROUND('Plant input detail '!E403*'WPB2.2 Plant detail-w slippage'!$P$2,0)</f>
        <v>0</v>
      </c>
      <c r="F401" s="257">
        <f>ROUND('Plant input detail '!F403*'WPB2.2 Plant detail-w slippage'!$P$2,0)</f>
        <v>0</v>
      </c>
      <c r="G401" s="257">
        <f t="shared" si="93"/>
        <v>0</v>
      </c>
      <c r="H401" s="38"/>
      <c r="I401" s="257">
        <f t="shared" si="89"/>
        <v>0.02</v>
      </c>
      <c r="J401" s="1362">
        <f t="shared" si="94"/>
        <v>1.9599999999999999E-2</v>
      </c>
      <c r="K401" s="173">
        <f t="shared" si="95"/>
        <v>0</v>
      </c>
      <c r="L401" s="38">
        <f t="shared" si="90"/>
        <v>0</v>
      </c>
      <c r="M401" s="257">
        <f>ROUND('Plant input detail '!M403*'WPB2.2 Plant detail-w slippage'!$P$2,0)</f>
        <v>0</v>
      </c>
      <c r="N401" s="2227">
        <f t="shared" si="91"/>
        <v>0.02</v>
      </c>
    </row>
    <row r="402" spans="1:14" x14ac:dyDescent="0.2">
      <c r="A402" s="31">
        <f t="shared" si="92"/>
        <v>21</v>
      </c>
      <c r="B402" s="253">
        <v>375.7</v>
      </c>
      <c r="C402" s="52" t="s">
        <v>1043</v>
      </c>
      <c r="D402" s="257">
        <f t="shared" si="88"/>
        <v>7980989.21</v>
      </c>
      <c r="E402" s="382">
        <f>ROUND('Plant input detail '!E404*'WPB2.2 Plant detail-w slippage'!$P$2,0)</f>
        <v>14041</v>
      </c>
      <c r="F402" s="257">
        <f>ROUND('Plant input detail '!F404*'WPB2.2 Plant detail-w slippage'!$P$2,0)</f>
        <v>-1685</v>
      </c>
      <c r="G402" s="257">
        <f t="shared" si="93"/>
        <v>7993345.21</v>
      </c>
      <c r="H402" s="38"/>
      <c r="I402" s="257">
        <f t="shared" si="89"/>
        <v>3259772.06</v>
      </c>
      <c r="J402" s="1362">
        <f t="shared" si="94"/>
        <v>1.9900000000000001E-2</v>
      </c>
      <c r="K402" s="173">
        <f t="shared" si="95"/>
        <v>13245</v>
      </c>
      <c r="L402" s="38">
        <f t="shared" si="90"/>
        <v>1685</v>
      </c>
      <c r="M402" s="257">
        <f>ROUND('Plant input detail '!M404*'WPB2.2 Plant detail-w slippage'!$P$2,0)</f>
        <v>0</v>
      </c>
      <c r="N402" s="2227">
        <f t="shared" si="91"/>
        <v>3271332.06</v>
      </c>
    </row>
    <row r="403" spans="1:14" x14ac:dyDescent="0.2">
      <c r="A403" s="31">
        <f t="shared" si="92"/>
        <v>22</v>
      </c>
      <c r="B403" s="253">
        <v>375.71</v>
      </c>
      <c r="C403" s="52" t="s">
        <v>1044</v>
      </c>
      <c r="D403" s="257">
        <f t="shared" si="88"/>
        <v>259808.94</v>
      </c>
      <c r="E403" s="382">
        <f>ROUND('Plant input detail '!E405*'WPB2.2 Plant detail-w slippage'!$P$2,0)</f>
        <v>0</v>
      </c>
      <c r="F403" s="257">
        <f>ROUND('Plant input detail '!F405*'WPB2.2 Plant detail-w slippage'!$P$2,0)</f>
        <v>0</v>
      </c>
      <c r="G403" s="257">
        <f t="shared" si="93"/>
        <v>259808.94</v>
      </c>
      <c r="H403" s="38"/>
      <c r="I403" s="257">
        <f t="shared" si="89"/>
        <v>163417.20842105267</v>
      </c>
      <c r="J403" s="296" t="s">
        <v>1094</v>
      </c>
      <c r="K403" s="258">
        <f>104653.88/38</f>
        <v>2754.0494736842106</v>
      </c>
      <c r="L403" s="38">
        <f t="shared" si="90"/>
        <v>0</v>
      </c>
      <c r="M403" s="257">
        <f>ROUND('Plant input detail '!M405*'WPB2.2 Plant detail-w slippage'!$P$2,0)</f>
        <v>0</v>
      </c>
      <c r="N403" s="2227">
        <f t="shared" si="91"/>
        <v>166171.25789473689</v>
      </c>
    </row>
    <row r="404" spans="1:14" x14ac:dyDescent="0.2">
      <c r="A404" s="31">
        <f t="shared" si="92"/>
        <v>23</v>
      </c>
      <c r="B404" s="253">
        <v>375.8</v>
      </c>
      <c r="C404" s="52" t="s">
        <v>1045</v>
      </c>
      <c r="D404" s="257">
        <f t="shared" si="88"/>
        <v>0</v>
      </c>
      <c r="E404" s="382">
        <f>ROUND('Plant input detail '!E406*'WPB2.2 Plant detail-w slippage'!$P$2,0)</f>
        <v>0</v>
      </c>
      <c r="F404" s="257">
        <f>ROUND('Plant input detail '!F406*'WPB2.2 Plant detail-w slippage'!$P$2,0)</f>
        <v>0</v>
      </c>
      <c r="G404" s="257">
        <f t="shared" si="93"/>
        <v>0</v>
      </c>
      <c r="H404" s="38"/>
      <c r="I404" s="257">
        <f t="shared" si="89"/>
        <v>0</v>
      </c>
      <c r="J404" s="1362">
        <f>J298</f>
        <v>5.3199999999999997E-2</v>
      </c>
      <c r="K404" s="259">
        <v>0</v>
      </c>
      <c r="L404" s="38">
        <f t="shared" si="90"/>
        <v>0</v>
      </c>
      <c r="M404" s="257">
        <f>ROUND('Plant input detail '!M406*'WPB2.2 Plant detail-w slippage'!$P$2,0)</f>
        <v>0</v>
      </c>
      <c r="N404" s="2227">
        <f t="shared" si="91"/>
        <v>0</v>
      </c>
    </row>
    <row r="405" spans="1:14" x14ac:dyDescent="0.2">
      <c r="A405" s="31">
        <f>A404+1</f>
        <v>24</v>
      </c>
      <c r="B405" s="253">
        <v>376</v>
      </c>
      <c r="C405" s="251" t="s">
        <v>1096</v>
      </c>
      <c r="D405" s="257"/>
      <c r="E405" s="258"/>
      <c r="F405" s="259"/>
      <c r="G405" s="257"/>
      <c r="H405" s="38"/>
      <c r="I405" s="181"/>
      <c r="J405" s="1361"/>
      <c r="K405" s="173"/>
      <c r="L405" s="38"/>
      <c r="M405" s="259"/>
    </row>
    <row r="406" spans="1:14" x14ac:dyDescent="0.2">
      <c r="A406" s="31"/>
      <c r="B406" s="253"/>
      <c r="C406" s="286" t="s">
        <v>1097</v>
      </c>
      <c r="D406" s="257"/>
      <c r="E406" s="258"/>
      <c r="F406" s="259"/>
      <c r="G406" s="257"/>
      <c r="H406" s="38"/>
      <c r="I406" s="257"/>
      <c r="J406" s="1362"/>
      <c r="K406" s="173"/>
      <c r="L406" s="38"/>
      <c r="M406" s="257"/>
      <c r="N406" s="2227"/>
    </row>
    <row r="407" spans="1:14" x14ac:dyDescent="0.2">
      <c r="A407" s="31"/>
      <c r="B407" s="253"/>
      <c r="C407" s="286" t="s">
        <v>1098</v>
      </c>
      <c r="D407" s="257"/>
      <c r="E407" s="258"/>
      <c r="F407" s="259"/>
      <c r="G407" s="257"/>
      <c r="H407" s="38"/>
      <c r="I407" s="257"/>
      <c r="J407" s="1362"/>
      <c r="K407" s="173"/>
      <c r="L407" s="38"/>
      <c r="M407" s="257"/>
      <c r="N407" s="2227"/>
    </row>
    <row r="408" spans="1:14" x14ac:dyDescent="0.2">
      <c r="A408" s="31"/>
      <c r="B408" s="253"/>
      <c r="C408" s="286" t="s">
        <v>1099</v>
      </c>
      <c r="D408" s="257"/>
      <c r="E408" s="258"/>
      <c r="F408" s="259"/>
      <c r="G408" s="257"/>
      <c r="H408" s="38"/>
      <c r="I408" s="257"/>
      <c r="J408" s="1362"/>
      <c r="K408" s="173"/>
      <c r="L408" s="38"/>
      <c r="M408" s="257"/>
      <c r="N408" s="2227"/>
    </row>
    <row r="409" spans="1:14" x14ac:dyDescent="0.2">
      <c r="A409" s="31"/>
      <c r="B409" s="253"/>
      <c r="C409" s="286" t="s">
        <v>1100</v>
      </c>
      <c r="D409" s="257"/>
      <c r="E409" s="258"/>
      <c r="F409" s="259"/>
      <c r="G409" s="257"/>
      <c r="H409" s="38"/>
      <c r="I409" s="257"/>
      <c r="J409" s="1362"/>
      <c r="K409" s="173"/>
      <c r="L409" s="38"/>
      <c r="M409" s="257"/>
      <c r="N409" s="2227"/>
    </row>
    <row r="410" spans="1:14" x14ac:dyDescent="0.2">
      <c r="A410" s="31"/>
      <c r="B410" s="253"/>
      <c r="C410" s="286" t="s">
        <v>1101</v>
      </c>
      <c r="D410" s="257">
        <f t="shared" ref="D410:D415" si="96">G304</f>
        <v>206595337.44</v>
      </c>
      <c r="E410" s="382">
        <f>ROUND('Plant input detail '!E412*'WPB2.2 Plant detail-w slippage'!$P$2,0)</f>
        <v>1596092</v>
      </c>
      <c r="F410" s="257">
        <f>ROUND('Plant input detail '!F412*'WPB2.2 Plant detail-w slippage'!$P$2,0)</f>
        <v>-191531</v>
      </c>
      <c r="G410" s="257">
        <f t="shared" ref="G410:G415" si="97">SUM(D410:F410)</f>
        <v>207999898.44</v>
      </c>
      <c r="H410" s="38"/>
      <c r="I410" s="257">
        <f t="shared" ref="I410:I415" si="98">N304</f>
        <v>56593243.609999999</v>
      </c>
      <c r="J410" s="1362">
        <f t="shared" ref="J410:J415" si="99">J304</f>
        <v>1.5699999999999999E-2</v>
      </c>
      <c r="K410" s="173">
        <f t="shared" ref="K410:K415" si="100">ROUND((G410+D410)/2*J410/12,0)</f>
        <v>271214</v>
      </c>
      <c r="L410" s="38">
        <f t="shared" ref="L410:L415" si="101">-F410</f>
        <v>191531</v>
      </c>
      <c r="M410" s="257">
        <f>ROUND('Plant input detail '!M412*'WPB2.2 Plant detail-w slippage'!$P$2,0)</f>
        <v>-28730</v>
      </c>
      <c r="N410" s="2227">
        <f t="shared" ref="N410:N415" si="102">I410+K410-L410+M410</f>
        <v>56644196.609999999</v>
      </c>
    </row>
    <row r="411" spans="1:14" x14ac:dyDescent="0.2">
      <c r="A411" s="31">
        <f>A405+1</f>
        <v>25</v>
      </c>
      <c r="B411" s="253">
        <v>378.1</v>
      </c>
      <c r="C411" s="52" t="s">
        <v>1047</v>
      </c>
      <c r="D411" s="257">
        <f t="shared" si="96"/>
        <v>518504.18</v>
      </c>
      <c r="E411" s="382">
        <f>ROUND('Plant input detail '!E413*'WPB2.2 Plant detail-w slippage'!$P$2,0)</f>
        <v>0</v>
      </c>
      <c r="F411" s="257">
        <f>ROUND('Plant input detail '!F413*'WPB2.2 Plant detail-w slippage'!$P$2,0)</f>
        <v>0</v>
      </c>
      <c r="G411" s="257">
        <f t="shared" si="97"/>
        <v>518504.18</v>
      </c>
      <c r="H411" s="38"/>
      <c r="I411" s="257">
        <f t="shared" si="98"/>
        <v>356356.81</v>
      </c>
      <c r="J411" s="1362">
        <f t="shared" si="99"/>
        <v>2.35E-2</v>
      </c>
      <c r="K411" s="173">
        <f t="shared" si="100"/>
        <v>1015</v>
      </c>
      <c r="L411" s="38">
        <f t="shared" si="101"/>
        <v>0</v>
      </c>
      <c r="M411" s="257">
        <f>ROUND('Plant input detail '!M413*'WPB2.2 Plant detail-w slippage'!$P$2,0)</f>
        <v>0</v>
      </c>
      <c r="N411" s="2227">
        <f t="shared" si="102"/>
        <v>357371.81</v>
      </c>
    </row>
    <row r="412" spans="1:14" x14ac:dyDescent="0.2">
      <c r="A412" s="31">
        <f t="shared" si="92"/>
        <v>26</v>
      </c>
      <c r="B412" s="253">
        <v>378.2</v>
      </c>
      <c r="C412" s="52" t="s">
        <v>1048</v>
      </c>
      <c r="D412" s="257">
        <f t="shared" si="96"/>
        <v>9526628</v>
      </c>
      <c r="E412" s="382">
        <f>ROUND('Plant input detail '!E414*'WPB2.2 Plant detail-w slippage'!$P$2,0)</f>
        <v>13732</v>
      </c>
      <c r="F412" s="257">
        <f>ROUND('Plant input detail '!F414*'WPB2.2 Plant detail-w slippage'!$P$2,0)</f>
        <v>-1648</v>
      </c>
      <c r="G412" s="257">
        <f t="shared" si="97"/>
        <v>9538712</v>
      </c>
      <c r="H412" s="38"/>
      <c r="I412" s="257">
        <f t="shared" si="98"/>
        <v>3273274.91</v>
      </c>
      <c r="J412" s="1362">
        <f t="shared" si="99"/>
        <v>2.35E-2</v>
      </c>
      <c r="K412" s="173">
        <f t="shared" si="100"/>
        <v>18668</v>
      </c>
      <c r="L412" s="38">
        <f t="shared" si="101"/>
        <v>1648</v>
      </c>
      <c r="M412" s="257">
        <f>ROUND('Plant input detail '!M414*'WPB2.2 Plant detail-w slippage'!$P$2,0)</f>
        <v>-82</v>
      </c>
      <c r="N412" s="2227">
        <f t="shared" si="102"/>
        <v>3290212.91</v>
      </c>
    </row>
    <row r="413" spans="1:14" x14ac:dyDescent="0.2">
      <c r="A413" s="31">
        <f t="shared" si="92"/>
        <v>27</v>
      </c>
      <c r="B413" s="253">
        <v>378.3</v>
      </c>
      <c r="C413" s="52" t="s">
        <v>1049</v>
      </c>
      <c r="D413" s="257">
        <f t="shared" si="96"/>
        <v>45443.08</v>
      </c>
      <c r="E413" s="382">
        <f>ROUND('Plant input detail '!E415*'WPB2.2 Plant detail-w slippage'!$P$2,0)</f>
        <v>0</v>
      </c>
      <c r="F413" s="257">
        <f>ROUND('Plant input detail '!F415*'WPB2.2 Plant detail-w slippage'!$P$2,0)</f>
        <v>0</v>
      </c>
      <c r="G413" s="257">
        <f t="shared" si="97"/>
        <v>45443.08</v>
      </c>
      <c r="H413" s="38"/>
      <c r="I413" s="257">
        <f t="shared" si="98"/>
        <v>35255.040000000001</v>
      </c>
      <c r="J413" s="1362">
        <f t="shared" si="99"/>
        <v>2.35E-2</v>
      </c>
      <c r="K413" s="173">
        <f t="shared" si="100"/>
        <v>89</v>
      </c>
      <c r="L413" s="38">
        <f t="shared" si="101"/>
        <v>0</v>
      </c>
      <c r="M413" s="257">
        <f>ROUND('Plant input detail '!M415*'WPB2.2 Plant detail-w slippage'!$P$2,0)</f>
        <v>0</v>
      </c>
      <c r="N413" s="2227">
        <f t="shared" si="102"/>
        <v>35344.04</v>
      </c>
    </row>
    <row r="414" spans="1:14" x14ac:dyDescent="0.2">
      <c r="A414" s="31">
        <f t="shared" si="92"/>
        <v>28</v>
      </c>
      <c r="B414" s="253">
        <v>379.1</v>
      </c>
      <c r="C414" s="52" t="s">
        <v>1050</v>
      </c>
      <c r="D414" s="257">
        <f t="shared" si="96"/>
        <v>254900.59</v>
      </c>
      <c r="E414" s="382">
        <f>ROUND('Plant input detail '!E416*'WPB2.2 Plant detail-w slippage'!$P$2,0)</f>
        <v>0</v>
      </c>
      <c r="F414" s="257">
        <f>ROUND('Plant input detail '!F416*'WPB2.2 Plant detail-w slippage'!$P$2,0)</f>
        <v>0</v>
      </c>
      <c r="G414" s="257">
        <f t="shared" si="97"/>
        <v>254900.59</v>
      </c>
      <c r="H414" s="38"/>
      <c r="I414" s="257">
        <f t="shared" si="98"/>
        <v>267730.57</v>
      </c>
      <c r="J414" s="1362">
        <f t="shared" si="99"/>
        <v>2.2700000000000001E-2</v>
      </c>
      <c r="K414" s="259">
        <v>0</v>
      </c>
      <c r="L414" s="38">
        <f t="shared" si="101"/>
        <v>0</v>
      </c>
      <c r="M414" s="257">
        <f>ROUND('Plant input detail '!M416*'WPB2.2 Plant detail-w slippage'!$P$2,0)</f>
        <v>0</v>
      </c>
      <c r="N414" s="2227">
        <f t="shared" si="102"/>
        <v>267730.57</v>
      </c>
    </row>
    <row r="415" spans="1:14" x14ac:dyDescent="0.2">
      <c r="A415" s="31">
        <f t="shared" si="92"/>
        <v>29</v>
      </c>
      <c r="B415" s="253">
        <v>380</v>
      </c>
      <c r="C415" s="52" t="s">
        <v>1051</v>
      </c>
      <c r="D415" s="257">
        <f t="shared" si="96"/>
        <v>118483449.77</v>
      </c>
      <c r="E415" s="382">
        <f>ROUND('Plant input detail '!E417*'WPB2.2 Plant detail-w slippage'!$P$2,0)</f>
        <v>1012138</v>
      </c>
      <c r="F415" s="257">
        <f>ROUND('Plant input detail '!F417*'WPB2.2 Plant detail-w slippage'!$P$2,0)</f>
        <v>-121457</v>
      </c>
      <c r="G415" s="257">
        <f t="shared" si="97"/>
        <v>119374130.77</v>
      </c>
      <c r="H415" s="38"/>
      <c r="I415" s="257">
        <f t="shared" si="98"/>
        <v>57898553.520000003</v>
      </c>
      <c r="J415" s="1362">
        <f t="shared" si="99"/>
        <v>2.5899999999999999E-2</v>
      </c>
      <c r="K415" s="173">
        <f t="shared" si="100"/>
        <v>256688</v>
      </c>
      <c r="L415" s="38">
        <f t="shared" si="101"/>
        <v>121457</v>
      </c>
      <c r="M415" s="257">
        <f>ROUND('Plant input detail '!M417*'WPB2.2 Plant detail-w slippage'!$P$2,0)</f>
        <v>-60728</v>
      </c>
      <c r="N415" s="2227">
        <f t="shared" si="102"/>
        <v>57973056.520000003</v>
      </c>
    </row>
    <row r="416" spans="1:14" x14ac:dyDescent="0.2">
      <c r="A416" s="170"/>
      <c r="B416" s="179"/>
      <c r="C416" s="178"/>
      <c r="D416" s="181"/>
      <c r="E416" s="173"/>
      <c r="F416" s="173"/>
      <c r="G416" s="181"/>
      <c r="H416" s="173"/>
      <c r="I416" s="173"/>
      <c r="J416" s="173"/>
      <c r="K416" s="173"/>
      <c r="L416" s="173"/>
      <c r="M416" s="171"/>
      <c r="N416" s="2229"/>
    </row>
    <row r="417" spans="1:14" x14ac:dyDescent="0.2">
      <c r="A417" s="2079" t="str">
        <f>co</f>
        <v>COLUMBIA GAS OF KENTUCKY, INC.</v>
      </c>
      <c r="B417" s="2079"/>
      <c r="C417" s="2079"/>
      <c r="D417" s="2079"/>
      <c r="E417" s="2079"/>
      <c r="F417" s="2079"/>
      <c r="G417" s="2079"/>
      <c r="H417" s="2079"/>
      <c r="I417" s="2079"/>
      <c r="J417" s="2079"/>
      <c r="K417" s="2079"/>
      <c r="L417" s="2079"/>
      <c r="M417" s="2079"/>
      <c r="N417" s="2079"/>
    </row>
    <row r="418" spans="1:14" x14ac:dyDescent="0.2">
      <c r="A418" s="2079" t="str">
        <f>case</f>
        <v>CASE NO. 2016 - 00162</v>
      </c>
      <c r="B418" s="2079"/>
      <c r="C418" s="2079"/>
      <c r="D418" s="2079"/>
      <c r="E418" s="2079"/>
      <c r="F418" s="2079"/>
      <c r="G418" s="2079"/>
      <c r="H418" s="2079"/>
      <c r="I418" s="2079"/>
      <c r="J418" s="2079"/>
      <c r="K418" s="2079"/>
      <c r="L418" s="2079"/>
      <c r="M418" s="2079"/>
      <c r="N418" s="2079"/>
    </row>
    <row r="419" spans="1:14" x14ac:dyDescent="0.2">
      <c r="A419" s="2080" t="s">
        <v>1106</v>
      </c>
      <c r="B419" s="2079"/>
      <c r="C419" s="2079"/>
      <c r="D419" s="2079"/>
      <c r="E419" s="2079"/>
      <c r="F419" s="2079"/>
      <c r="G419" s="2079"/>
      <c r="H419" s="2079"/>
      <c r="I419" s="2079"/>
      <c r="J419" s="2079"/>
      <c r="K419" s="2079"/>
      <c r="L419" s="2079"/>
      <c r="M419" s="2079"/>
      <c r="N419" s="2079"/>
    </row>
    <row r="420" spans="1:14" x14ac:dyDescent="0.2">
      <c r="A420" s="2081" t="s">
        <v>2142</v>
      </c>
      <c r="B420" s="2085"/>
      <c r="C420" s="2085"/>
      <c r="D420" s="2085"/>
      <c r="E420" s="2085"/>
      <c r="F420" s="2085"/>
      <c r="G420" s="2085"/>
      <c r="H420" s="2085"/>
      <c r="I420" s="2085"/>
      <c r="J420" s="2085"/>
      <c r="K420" s="2085"/>
      <c r="L420" s="2085"/>
      <c r="M420" s="2085"/>
      <c r="N420" s="2085"/>
    </row>
    <row r="422" spans="1:14" x14ac:dyDescent="0.2">
      <c r="A422" s="285" t="str">
        <f>$A$6</f>
        <v>DATA:__X___BASE PERIOD__X___FORECASTED PERIOD</v>
      </c>
      <c r="C422" s="171"/>
      <c r="M422" s="32"/>
      <c r="N422" s="1258" t="str">
        <f>$N$6</f>
        <v>WPB-2.2</v>
      </c>
    </row>
    <row r="423" spans="1:14" x14ac:dyDescent="0.2">
      <c r="A423" s="4" t="str">
        <f>$A$7</f>
        <v>TYPE OF FILING:___X____ORIGINAL________UPDATED</v>
      </c>
      <c r="M423" s="32"/>
      <c r="N423" s="2223" t="s">
        <v>1721</v>
      </c>
    </row>
    <row r="424" spans="1:14" x14ac:dyDescent="0.2">
      <c r="A424" s="1261" t="str">
        <f>$A$8</f>
        <v xml:space="preserve">WORKPAPER REFERENCE NO(S).: </v>
      </c>
      <c r="B424" s="202"/>
      <c r="C424" s="202"/>
      <c r="D424" s="201"/>
      <c r="E424" s="202"/>
      <c r="F424" s="202"/>
      <c r="G424" s="201"/>
      <c r="H424" s="201"/>
      <c r="M424" s="203"/>
      <c r="N424" s="204" t="str">
        <f>SMK</f>
        <v>WITNESS:  S. M. KATKO</v>
      </c>
    </row>
    <row r="425" spans="1:14" x14ac:dyDescent="0.2">
      <c r="A425" s="200"/>
      <c r="B425" s="201"/>
      <c r="C425" s="201"/>
      <c r="D425" s="201"/>
      <c r="E425" s="202"/>
      <c r="F425" s="202"/>
      <c r="G425" s="201"/>
      <c r="H425" s="201"/>
      <c r="I425" s="203"/>
      <c r="J425" s="1357"/>
      <c r="L425" s="32"/>
      <c r="M425" s="32"/>
    </row>
    <row r="426" spans="1:14" x14ac:dyDescent="0.2">
      <c r="A426" s="200"/>
      <c r="B426" s="201"/>
      <c r="C426" s="201"/>
      <c r="D426" s="2082" t="s">
        <v>1088</v>
      </c>
      <c r="E426" s="2082"/>
      <c r="F426" s="2082"/>
      <c r="G426" s="2082"/>
      <c r="H426" s="201"/>
      <c r="I426" s="2083" t="s">
        <v>1093</v>
      </c>
      <c r="J426" s="2084"/>
      <c r="K426" s="2084"/>
      <c r="L426" s="2084"/>
      <c r="M426" s="2084"/>
      <c r="N426" s="2084"/>
    </row>
    <row r="427" spans="1:14" x14ac:dyDescent="0.2">
      <c r="A427" s="270"/>
      <c r="B427" s="201"/>
      <c r="C427" s="201"/>
      <c r="D427" s="271" t="s">
        <v>1084</v>
      </c>
      <c r="E427" s="202"/>
      <c r="F427" s="202"/>
      <c r="G427" s="269"/>
      <c r="H427" s="269"/>
      <c r="I427" s="261" t="s">
        <v>1089</v>
      </c>
      <c r="J427" s="1358"/>
      <c r="M427" s="32"/>
    </row>
    <row r="428" spans="1:14" x14ac:dyDescent="0.2">
      <c r="A428" s="30"/>
      <c r="D428" s="261" t="s">
        <v>865</v>
      </c>
      <c r="G428" s="261" t="s">
        <v>867</v>
      </c>
      <c r="H428" s="268"/>
      <c r="I428" s="261" t="s">
        <v>865</v>
      </c>
      <c r="J428" s="1308" t="s">
        <v>956</v>
      </c>
      <c r="M428" s="32"/>
      <c r="N428" s="2225" t="s">
        <v>867</v>
      </c>
    </row>
    <row r="429" spans="1:14" x14ac:dyDescent="0.2">
      <c r="A429" s="261" t="s">
        <v>1080</v>
      </c>
      <c r="B429" s="261" t="s">
        <v>1082</v>
      </c>
      <c r="D429" s="261" t="s">
        <v>867</v>
      </c>
      <c r="G429" s="262" t="s">
        <v>1087</v>
      </c>
      <c r="H429" s="268"/>
      <c r="I429" s="262" t="s">
        <v>867</v>
      </c>
      <c r="J429" s="1308" t="s">
        <v>1090</v>
      </c>
      <c r="K429" s="1308" t="s">
        <v>956</v>
      </c>
      <c r="M429" s="262" t="s">
        <v>1092</v>
      </c>
      <c r="N429" s="1259" t="s">
        <v>1087</v>
      </c>
    </row>
    <row r="430" spans="1:14" x14ac:dyDescent="0.2">
      <c r="A430" s="272" t="s">
        <v>1081</v>
      </c>
      <c r="B430" s="272" t="s">
        <v>1081</v>
      </c>
      <c r="C430" s="273" t="s">
        <v>1083</v>
      </c>
      <c r="D430" s="274" t="str">
        <f>D377</f>
        <v>05/31/2016</v>
      </c>
      <c r="E430" s="275" t="s">
        <v>1085</v>
      </c>
      <c r="F430" s="275" t="s">
        <v>1086</v>
      </c>
      <c r="G430" s="274" t="str">
        <f>G377</f>
        <v>06/30/2016</v>
      </c>
      <c r="H430" s="268"/>
      <c r="I430" s="274" t="str">
        <f>D430</f>
        <v>05/31/2016</v>
      </c>
      <c r="J430" s="275" t="s">
        <v>1091</v>
      </c>
      <c r="K430" s="1327" t="s">
        <v>1090</v>
      </c>
      <c r="L430" s="276" t="s">
        <v>1086</v>
      </c>
      <c r="M430" s="276" t="s">
        <v>955</v>
      </c>
      <c r="N430" s="2226" t="str">
        <f>G430</f>
        <v>06/30/2016</v>
      </c>
    </row>
    <row r="431" spans="1:14" x14ac:dyDescent="0.2">
      <c r="A431" s="267"/>
      <c r="B431" s="267"/>
      <c r="C431" s="267"/>
      <c r="D431" s="267" t="str">
        <f>"(1)"</f>
        <v>(1)</v>
      </c>
      <c r="E431" s="267" t="str">
        <f>"(2)"</f>
        <v>(2)</v>
      </c>
      <c r="F431" s="267" t="str">
        <f>"(3)"</f>
        <v>(3)</v>
      </c>
      <c r="G431" s="267" t="str">
        <f>"(4)=(1+2+3)"</f>
        <v>(4)=(1+2+3)</v>
      </c>
      <c r="H431" s="267"/>
      <c r="I431" s="267" t="str">
        <f>"(5)"</f>
        <v>(5)</v>
      </c>
      <c r="J431" s="1328" t="str">
        <f>"(6)"</f>
        <v>(6)</v>
      </c>
      <c r="K431" s="1328" t="str">
        <f>"(7)=((1+4)/2*6/12))"</f>
        <v>(7)=((1+4)/2*6/12))</v>
      </c>
      <c r="L431" s="267" t="str">
        <f>"(8)"</f>
        <v>(8)</v>
      </c>
      <c r="M431" s="267" t="str">
        <f>"(9)"</f>
        <v>(9)</v>
      </c>
      <c r="N431" s="204" t="str">
        <f>"(10)=(5+7-8+9)"</f>
        <v>(10)=(5+7-8+9)</v>
      </c>
    </row>
    <row r="432" spans="1:14" x14ac:dyDescent="0.2">
      <c r="D432" s="31" t="s">
        <v>639</v>
      </c>
      <c r="E432" s="170" t="s">
        <v>639</v>
      </c>
      <c r="F432" s="170" t="s">
        <v>639</v>
      </c>
      <c r="G432" s="31" t="s">
        <v>639</v>
      </c>
      <c r="H432" s="31"/>
      <c r="I432" s="31" t="s">
        <v>639</v>
      </c>
      <c r="J432" s="170" t="s">
        <v>639</v>
      </c>
      <c r="K432" s="170" t="s">
        <v>639</v>
      </c>
      <c r="L432" s="31" t="s">
        <v>639</v>
      </c>
      <c r="M432" s="31" t="s">
        <v>639</v>
      </c>
      <c r="N432" s="155" t="s">
        <v>639</v>
      </c>
    </row>
    <row r="433" spans="1:14" x14ac:dyDescent="0.2">
      <c r="C433" s="36" t="s">
        <v>707</v>
      </c>
      <c r="D433" s="31"/>
      <c r="E433" s="170"/>
      <c r="F433" s="170"/>
      <c r="G433" s="31"/>
      <c r="J433" s="170"/>
    </row>
    <row r="434" spans="1:14" x14ac:dyDescent="0.2">
      <c r="A434" s="127">
        <v>1</v>
      </c>
      <c r="B434" s="123">
        <v>381</v>
      </c>
      <c r="C434" s="52" t="s">
        <v>1052</v>
      </c>
      <c r="D434" s="257">
        <f t="shared" ref="D434:D445" si="103">G328</f>
        <v>13548681.550000001</v>
      </c>
      <c r="E434" s="382">
        <f>ROUND('Plant input detail '!E436*'WPB2.2 Plant detail-w slippage'!$P$2,0)</f>
        <v>76247</v>
      </c>
      <c r="F434" s="257">
        <f>ROUND('Plant input detail '!F436*'WPB2.2 Plant detail-w slippage'!$P$2,0)</f>
        <v>-9150</v>
      </c>
      <c r="G434" s="257">
        <f>SUM(D434:F434)</f>
        <v>13615778.550000001</v>
      </c>
      <c r="H434" s="38"/>
      <c r="I434" s="257">
        <f t="shared" ref="I434:I445" si="104">N328</f>
        <v>4747494.8899999997</v>
      </c>
      <c r="J434" s="1362">
        <f t="shared" ref="J434:J445" si="105">J328</f>
        <v>2.5899999999999999E-2</v>
      </c>
      <c r="K434" s="173">
        <f t="shared" ref="K434:K445" si="106">ROUND((G434+D434)/2*J434/12,0)</f>
        <v>29315</v>
      </c>
      <c r="L434" s="38">
        <f t="shared" ref="L434:L445" si="107">-F434</f>
        <v>9150</v>
      </c>
      <c r="M434" s="257">
        <f>ROUND('Plant input detail '!M436*'WPB2.2 Plant detail-w slippage'!$P$2,0)</f>
        <v>0</v>
      </c>
      <c r="N434" s="2227">
        <f t="shared" ref="N434:N445" si="108">I434+K434-L434+M434</f>
        <v>4767659.8899999997</v>
      </c>
    </row>
    <row r="435" spans="1:14" x14ac:dyDescent="0.2">
      <c r="A435" s="127">
        <f>A434+1</f>
        <v>2</v>
      </c>
      <c r="B435" s="123">
        <v>381.1</v>
      </c>
      <c r="C435" s="52" t="s">
        <v>1115</v>
      </c>
      <c r="D435" s="257">
        <f t="shared" si="103"/>
        <v>8754899.0600000005</v>
      </c>
      <c r="E435" s="382">
        <f>ROUND('Plant input detail '!E437*'WPB2.2 Plant detail-w slippage'!$P$2,0)</f>
        <v>647</v>
      </c>
      <c r="F435" s="257">
        <f>ROUND('Plant input detail '!F437*'WPB2.2 Plant detail-w slippage'!$P$2,0)</f>
        <v>-78</v>
      </c>
      <c r="G435" s="257">
        <f>SUM(D435:F435)</f>
        <v>8755468.0600000005</v>
      </c>
      <c r="H435" s="38"/>
      <c r="I435" s="257">
        <f t="shared" si="104"/>
        <v>423123.5</v>
      </c>
      <c r="J435" s="1362">
        <f t="shared" si="105"/>
        <v>2.5899999999999999E-2</v>
      </c>
      <c r="K435" s="173">
        <f t="shared" si="106"/>
        <v>18897</v>
      </c>
      <c r="L435" s="38">
        <f t="shared" si="107"/>
        <v>78</v>
      </c>
      <c r="M435" s="257">
        <f>ROUND('Plant input detail '!M437*'WPB2.2 Plant detail-w slippage'!$P$2,0)</f>
        <v>0</v>
      </c>
      <c r="N435" s="2227">
        <f t="shared" si="108"/>
        <v>441942.5</v>
      </c>
    </row>
    <row r="436" spans="1:14" x14ac:dyDescent="0.2">
      <c r="A436" s="127">
        <f t="shared" ref="A436:A446" si="109">A435+1</f>
        <v>3</v>
      </c>
      <c r="B436" s="123">
        <v>382</v>
      </c>
      <c r="C436" s="52" t="s">
        <v>1053</v>
      </c>
      <c r="D436" s="257">
        <f t="shared" si="103"/>
        <v>9045893.6500000004</v>
      </c>
      <c r="E436" s="382">
        <f>ROUND('Plant input detail '!E438*'WPB2.2 Plant detail-w slippage'!$P$2,0)</f>
        <v>13929</v>
      </c>
      <c r="F436" s="257">
        <f>ROUND('Plant input detail '!F438*'WPB2.2 Plant detail-w slippage'!$P$2,0)</f>
        <v>-1671</v>
      </c>
      <c r="G436" s="257">
        <f t="shared" ref="G436:G441" si="110">SUM(D436:F436)</f>
        <v>9058151.6500000004</v>
      </c>
      <c r="H436" s="38"/>
      <c r="I436" s="257">
        <f t="shared" si="104"/>
        <v>4531229.3</v>
      </c>
      <c r="J436" s="1362">
        <f t="shared" si="105"/>
        <v>2.3900000000000001E-2</v>
      </c>
      <c r="K436" s="173">
        <f t="shared" si="106"/>
        <v>18029</v>
      </c>
      <c r="L436" s="38">
        <f t="shared" si="107"/>
        <v>1671</v>
      </c>
      <c r="M436" s="257">
        <f>ROUND('Plant input detail '!M438*'WPB2.2 Plant detail-w slippage'!$P$2,0)</f>
        <v>-84</v>
      </c>
      <c r="N436" s="2227">
        <f t="shared" si="108"/>
        <v>4547503.3</v>
      </c>
    </row>
    <row r="437" spans="1:14" x14ac:dyDescent="0.2">
      <c r="A437" s="127">
        <f t="shared" si="109"/>
        <v>4</v>
      </c>
      <c r="B437" s="123">
        <v>383</v>
      </c>
      <c r="C437" s="52" t="s">
        <v>1054</v>
      </c>
      <c r="D437" s="257">
        <f t="shared" si="103"/>
        <v>5557041.7599999998</v>
      </c>
      <c r="E437" s="382">
        <f>ROUND('Plant input detail '!E439*'WPB2.2 Plant detail-w slippage'!$P$2,0)</f>
        <v>9381</v>
      </c>
      <c r="F437" s="257">
        <f>ROUND('Plant input detail '!F439*'WPB2.2 Plant detail-w slippage'!$P$2,0)</f>
        <v>-1126</v>
      </c>
      <c r="G437" s="257">
        <f t="shared" si="110"/>
        <v>5565296.7599999998</v>
      </c>
      <c r="H437" s="38"/>
      <c r="I437" s="257">
        <f t="shared" si="104"/>
        <v>1475242.41</v>
      </c>
      <c r="J437" s="1362">
        <f t="shared" si="105"/>
        <v>1.3899999999999999E-2</v>
      </c>
      <c r="K437" s="173">
        <f t="shared" si="106"/>
        <v>6442</v>
      </c>
      <c r="L437" s="38">
        <f t="shared" si="107"/>
        <v>1126</v>
      </c>
      <c r="M437" s="257">
        <f>ROUND('Plant input detail '!M439*'WPB2.2 Plant detail-w slippage'!$P$2,0)</f>
        <v>-56</v>
      </c>
      <c r="N437" s="2227">
        <f t="shared" si="108"/>
        <v>1480502.41</v>
      </c>
    </row>
    <row r="438" spans="1:14" x14ac:dyDescent="0.2">
      <c r="A438" s="127">
        <f t="shared" si="109"/>
        <v>5</v>
      </c>
      <c r="B438" s="123">
        <v>384</v>
      </c>
      <c r="C438" s="52" t="s">
        <v>1055</v>
      </c>
      <c r="D438" s="257">
        <f t="shared" si="103"/>
        <v>2257522</v>
      </c>
      <c r="E438" s="382">
        <f>ROUND('Plant input detail '!E440*'WPB2.2 Plant detail-w slippage'!$P$2,0)</f>
        <v>0</v>
      </c>
      <c r="F438" s="257">
        <f>ROUND('Plant input detail '!F440*'WPB2.2 Plant detail-w slippage'!$P$2,0)</f>
        <v>0</v>
      </c>
      <c r="G438" s="257">
        <f t="shared" si="110"/>
        <v>2257522</v>
      </c>
      <c r="H438" s="38"/>
      <c r="I438" s="257">
        <f t="shared" si="104"/>
        <v>1754845.73</v>
      </c>
      <c r="J438" s="1362">
        <f t="shared" si="105"/>
        <v>1.0999999999999999E-2</v>
      </c>
      <c r="K438" s="173">
        <f t="shared" si="106"/>
        <v>2069</v>
      </c>
      <c r="L438" s="38">
        <f t="shared" si="107"/>
        <v>0</v>
      </c>
      <c r="M438" s="257">
        <f>ROUND('Plant input detail '!M440*'WPB2.2 Plant detail-w slippage'!$P$2,0)</f>
        <v>0</v>
      </c>
      <c r="N438" s="2227">
        <f t="shared" si="108"/>
        <v>1756914.73</v>
      </c>
    </row>
    <row r="439" spans="1:14" x14ac:dyDescent="0.2">
      <c r="A439" s="127">
        <f t="shared" si="109"/>
        <v>6</v>
      </c>
      <c r="B439" s="123">
        <v>385</v>
      </c>
      <c r="C439" s="52" t="s">
        <v>1056</v>
      </c>
      <c r="D439" s="257">
        <f t="shared" si="103"/>
        <v>3132433.36</v>
      </c>
      <c r="E439" s="382">
        <f>ROUND('Plant input detail '!E441*'WPB2.2 Plant detail-w slippage'!$P$2,0)</f>
        <v>13247</v>
      </c>
      <c r="F439" s="257">
        <f>ROUND('Plant input detail '!F441*'WPB2.2 Plant detail-w slippage'!$P$2,0)</f>
        <v>-1590</v>
      </c>
      <c r="G439" s="257">
        <f t="shared" si="110"/>
        <v>3144090.36</v>
      </c>
      <c r="H439" s="38"/>
      <c r="I439" s="257">
        <f t="shared" si="104"/>
        <v>868489.55</v>
      </c>
      <c r="J439" s="1362">
        <f t="shared" si="105"/>
        <v>2.0899999999999998E-2</v>
      </c>
      <c r="K439" s="173">
        <f t="shared" si="106"/>
        <v>5466</v>
      </c>
      <c r="L439" s="38">
        <f t="shared" si="107"/>
        <v>1590</v>
      </c>
      <c r="M439" s="257">
        <f>ROUND('Plant input detail '!M441*'WPB2.2 Plant detail-w slippage'!$P$2,0)</f>
        <v>-79</v>
      </c>
      <c r="N439" s="2227">
        <f t="shared" si="108"/>
        <v>872286.55</v>
      </c>
    </row>
    <row r="440" spans="1:14" x14ac:dyDescent="0.2">
      <c r="A440" s="127">
        <f t="shared" si="109"/>
        <v>7</v>
      </c>
      <c r="B440" s="123">
        <v>387.2</v>
      </c>
      <c r="C440" s="52" t="s">
        <v>1057</v>
      </c>
      <c r="D440" s="257">
        <f t="shared" si="103"/>
        <v>0</v>
      </c>
      <c r="E440" s="382">
        <f>ROUND('Plant input detail '!E442*'WPB2.2 Plant detail-w slippage'!$P$2,0)</f>
        <v>0</v>
      </c>
      <c r="F440" s="257">
        <f>ROUND('Plant input detail '!F442*'WPB2.2 Plant detail-w slippage'!$P$2,0)</f>
        <v>0</v>
      </c>
      <c r="G440" s="257">
        <f t="shared" si="110"/>
        <v>0</v>
      </c>
      <c r="H440" s="38"/>
      <c r="I440" s="257">
        <f t="shared" si="104"/>
        <v>-59912.03</v>
      </c>
      <c r="J440" s="1362">
        <f t="shared" si="105"/>
        <v>2.3199999999999998E-2</v>
      </c>
      <c r="K440" s="173">
        <f t="shared" si="106"/>
        <v>0</v>
      </c>
      <c r="L440" s="38">
        <f t="shared" si="107"/>
        <v>0</v>
      </c>
      <c r="M440" s="257">
        <f>ROUND('Plant input detail '!M442*'WPB2.2 Plant detail-w slippage'!$P$2,0)</f>
        <v>0</v>
      </c>
      <c r="N440" s="2227">
        <f t="shared" si="108"/>
        <v>-59912.03</v>
      </c>
    </row>
    <row r="441" spans="1:14" x14ac:dyDescent="0.2">
      <c r="A441" s="127">
        <f t="shared" si="109"/>
        <v>8</v>
      </c>
      <c r="B441" s="123">
        <v>387.41</v>
      </c>
      <c r="C441" s="52" t="s">
        <v>1058</v>
      </c>
      <c r="D441" s="257">
        <f t="shared" si="103"/>
        <v>735770.76</v>
      </c>
      <c r="E441" s="382">
        <f>ROUND('Plant input detail '!E443*'WPB2.2 Plant detail-w slippage'!$P$2,0)</f>
        <v>0</v>
      </c>
      <c r="F441" s="257">
        <f>ROUND('Plant input detail '!F443*'WPB2.2 Plant detail-w slippage'!$P$2,0)</f>
        <v>0</v>
      </c>
      <c r="G441" s="257">
        <f t="shared" si="110"/>
        <v>735770.76</v>
      </c>
      <c r="H441" s="38"/>
      <c r="I441" s="257">
        <f t="shared" si="104"/>
        <v>376012.95</v>
      </c>
      <c r="J441" s="1362">
        <f t="shared" si="105"/>
        <v>2.3400000000000001E-2</v>
      </c>
      <c r="K441" s="173">
        <f t="shared" si="106"/>
        <v>1435</v>
      </c>
      <c r="L441" s="38">
        <f t="shared" si="107"/>
        <v>0</v>
      </c>
      <c r="M441" s="257">
        <f>ROUND('Plant input detail '!M443*'WPB2.2 Plant detail-w slippage'!$P$2,0)</f>
        <v>0</v>
      </c>
      <c r="N441" s="2227">
        <f t="shared" si="108"/>
        <v>377447.95</v>
      </c>
    </row>
    <row r="442" spans="1:14" x14ac:dyDescent="0.2">
      <c r="A442" s="127">
        <f t="shared" si="109"/>
        <v>9</v>
      </c>
      <c r="B442" s="123">
        <v>387.42</v>
      </c>
      <c r="C442" s="52" t="s">
        <v>1059</v>
      </c>
      <c r="D442" s="257">
        <f t="shared" si="103"/>
        <v>795186.58</v>
      </c>
      <c r="E442" s="382">
        <f>ROUND('Plant input detail '!E444*'WPB2.2 Plant detail-w slippage'!$P$2,0)</f>
        <v>0</v>
      </c>
      <c r="F442" s="257">
        <f>ROUND('Plant input detail '!F444*'WPB2.2 Plant detail-w slippage'!$P$2,0)</f>
        <v>0</v>
      </c>
      <c r="G442" s="257">
        <f>SUM(D442:F442)</f>
        <v>795186.58</v>
      </c>
      <c r="H442" s="38"/>
      <c r="I442" s="257">
        <f t="shared" si="104"/>
        <v>541688.94999999995</v>
      </c>
      <c r="J442" s="1362">
        <f t="shared" si="105"/>
        <v>2.3400000000000001E-2</v>
      </c>
      <c r="K442" s="173">
        <f t="shared" si="106"/>
        <v>1551</v>
      </c>
      <c r="L442" s="38">
        <f t="shared" si="107"/>
        <v>0</v>
      </c>
      <c r="M442" s="257">
        <f>ROUND('Plant input detail '!M444*'WPB2.2 Plant detail-w slippage'!$P$2,0)</f>
        <v>0</v>
      </c>
      <c r="N442" s="2227">
        <f t="shared" si="108"/>
        <v>543239.94999999995</v>
      </c>
    </row>
    <row r="443" spans="1:14" x14ac:dyDescent="0.2">
      <c r="A443" s="127">
        <f t="shared" si="109"/>
        <v>10</v>
      </c>
      <c r="B443" s="123">
        <v>387.44</v>
      </c>
      <c r="C443" s="52" t="s">
        <v>1060</v>
      </c>
      <c r="D443" s="257">
        <f t="shared" si="103"/>
        <v>133589.93</v>
      </c>
      <c r="E443" s="382">
        <f>ROUND('Plant input detail '!E445*'WPB2.2 Plant detail-w slippage'!$P$2,0)</f>
        <v>11016</v>
      </c>
      <c r="F443" s="257">
        <f>ROUND('Plant input detail '!F445*'WPB2.2 Plant detail-w slippage'!$P$2,0)</f>
        <v>-1322</v>
      </c>
      <c r="G443" s="257">
        <f>SUM(D443:F443)</f>
        <v>143283.93</v>
      </c>
      <c r="H443" s="38"/>
      <c r="I443" s="257">
        <f t="shared" si="104"/>
        <v>46326.55</v>
      </c>
      <c r="J443" s="1362">
        <f t="shared" si="105"/>
        <v>2.3400000000000001E-2</v>
      </c>
      <c r="K443" s="173">
        <f t="shared" si="106"/>
        <v>270</v>
      </c>
      <c r="L443" s="38">
        <f t="shared" si="107"/>
        <v>1322</v>
      </c>
      <c r="M443" s="257">
        <f>ROUND('Plant input detail '!M445*'WPB2.2 Plant detail-w slippage'!$P$2,0)</f>
        <v>0</v>
      </c>
      <c r="N443" s="2227">
        <f t="shared" si="108"/>
        <v>45274.55</v>
      </c>
    </row>
    <row r="444" spans="1:14" x14ac:dyDescent="0.2">
      <c r="A444" s="127">
        <f t="shared" si="109"/>
        <v>11</v>
      </c>
      <c r="B444" s="123">
        <v>387.45</v>
      </c>
      <c r="C444" s="52" t="s">
        <v>1061</v>
      </c>
      <c r="D444" s="257">
        <f t="shared" si="103"/>
        <v>2838052.66</v>
      </c>
      <c r="E444" s="382">
        <f>ROUND('Plant input detail '!E446*'WPB2.2 Plant detail-w slippage'!$P$2,0)</f>
        <v>0</v>
      </c>
      <c r="F444" s="257">
        <f>ROUND('Plant input detail '!F446*'WPB2.2 Plant detail-w slippage'!$P$2,0)</f>
        <v>0</v>
      </c>
      <c r="G444" s="257">
        <f>SUM(D444:F444)</f>
        <v>2838052.66</v>
      </c>
      <c r="H444" s="38"/>
      <c r="I444" s="257">
        <f t="shared" si="104"/>
        <v>550573.06000000006</v>
      </c>
      <c r="J444" s="1362">
        <f t="shared" si="105"/>
        <v>2.3400000000000001E-2</v>
      </c>
      <c r="K444" s="173">
        <f t="shared" si="106"/>
        <v>5534</v>
      </c>
      <c r="L444" s="38">
        <f t="shared" si="107"/>
        <v>0</v>
      </c>
      <c r="M444" s="257">
        <f>ROUND('Plant input detail '!M446*'WPB2.2 Plant detail-w slippage'!$P$2,0)</f>
        <v>0</v>
      </c>
      <c r="N444" s="2227">
        <f t="shared" si="108"/>
        <v>556107.06000000006</v>
      </c>
    </row>
    <row r="445" spans="1:14" x14ac:dyDescent="0.2">
      <c r="A445" s="127">
        <f t="shared" si="109"/>
        <v>12</v>
      </c>
      <c r="B445" s="123">
        <v>387.46</v>
      </c>
      <c r="C445" s="52" t="s">
        <v>1062</v>
      </c>
      <c r="D445" s="260">
        <f t="shared" si="103"/>
        <v>113644.47</v>
      </c>
      <c r="E445" s="265">
        <f>ROUND('Plant input detail '!E447*'WPB2.2 Plant detail-w slippage'!$P$2,0)</f>
        <v>0</v>
      </c>
      <c r="F445" s="265">
        <f>ROUND('Plant input detail '!F447*'WPB2.2 Plant detail-w slippage'!$P$2,0)</f>
        <v>0</v>
      </c>
      <c r="G445" s="265">
        <f>SUM(D445:F445)</f>
        <v>113644.47</v>
      </c>
      <c r="H445" s="264"/>
      <c r="I445" s="260">
        <f t="shared" si="104"/>
        <v>110678.83</v>
      </c>
      <c r="J445" s="1362">
        <f t="shared" si="105"/>
        <v>2.3400000000000001E-2</v>
      </c>
      <c r="K445" s="260">
        <f t="shared" si="106"/>
        <v>222</v>
      </c>
      <c r="L445" s="295">
        <f t="shared" si="107"/>
        <v>0</v>
      </c>
      <c r="M445" s="265">
        <f>ROUND('Plant input detail '!M447*'WPB2.2 Plant detail-w slippage'!$P$2,0)</f>
        <v>0</v>
      </c>
      <c r="N445" s="2228">
        <f t="shared" si="108"/>
        <v>110900.83</v>
      </c>
    </row>
    <row r="446" spans="1:14" x14ac:dyDescent="0.2">
      <c r="A446" s="127">
        <f t="shared" si="109"/>
        <v>13</v>
      </c>
      <c r="B446" s="252"/>
      <c r="C446" s="32" t="s">
        <v>1063</v>
      </c>
      <c r="D446" s="173">
        <f>SUM(D434:D445,D394:D415)</f>
        <v>396681019.37999994</v>
      </c>
      <c r="E446" s="173">
        <f>SUM(E434:E445,E394:E415)</f>
        <v>2765785</v>
      </c>
      <c r="F446" s="173">
        <f>SUM(F434:F445,F394:F415)</f>
        <v>-331896</v>
      </c>
      <c r="G446" s="173">
        <f>SUM(G434:G445,G394:G415)</f>
        <v>399114908.37999994</v>
      </c>
      <c r="H446" s="38"/>
      <c r="I446" s="173">
        <f>SUM(I434:I445,I394:I415)</f>
        <v>138794866.92842105</v>
      </c>
      <c r="J446" s="173"/>
      <c r="K446" s="173">
        <f>SUM(K434:K445,K394:K415)</f>
        <v>659544.04947368428</v>
      </c>
      <c r="L446" s="173">
        <f>SUM(L434:L445,L394:L415)</f>
        <v>331896</v>
      </c>
      <c r="M446" s="173">
        <f>SUM(M434:M445,M394:M415)</f>
        <v>-89808</v>
      </c>
      <c r="N446" s="1361">
        <f>SUM(N434:N445,N394:N415)</f>
        <v>139032706.97789472</v>
      </c>
    </row>
    <row r="447" spans="1:14" x14ac:dyDescent="0.2">
      <c r="B447" s="252"/>
      <c r="D447" s="38"/>
      <c r="E447" s="173"/>
      <c r="F447" s="173"/>
      <c r="G447" s="38"/>
      <c r="H447" s="38"/>
      <c r="I447" s="181"/>
      <c r="J447" s="173"/>
      <c r="K447" s="173"/>
      <c r="L447" s="38"/>
      <c r="M447" s="173"/>
    </row>
    <row r="448" spans="1:14" x14ac:dyDescent="0.2">
      <c r="A448" s="127">
        <f>A446+1</f>
        <v>14</v>
      </c>
      <c r="B448" s="252"/>
      <c r="C448" s="36" t="s">
        <v>737</v>
      </c>
      <c r="D448" s="38"/>
      <c r="E448" s="173"/>
      <c r="F448" s="173"/>
      <c r="G448" s="38"/>
      <c r="H448" s="38"/>
      <c r="I448" s="181"/>
      <c r="J448" s="173"/>
      <c r="K448" s="173"/>
      <c r="L448" s="38"/>
      <c r="M448" s="173"/>
    </row>
    <row r="449" spans="1:14" x14ac:dyDescent="0.2">
      <c r="A449" s="31">
        <f>A448+1</f>
        <v>15</v>
      </c>
      <c r="B449" s="123">
        <v>391.1</v>
      </c>
      <c r="C449" s="52" t="s">
        <v>1064</v>
      </c>
      <c r="D449" s="257">
        <f t="shared" ref="D449:D462" si="111">G343</f>
        <v>733557.71</v>
      </c>
      <c r="E449" s="382">
        <f>ROUND('Plant input detail '!E451*'WPB2.2 Plant detail-w slippage'!$P$2,0)</f>
        <v>1125</v>
      </c>
      <c r="F449" s="257">
        <f>ROUND('Plant input detail '!F451*'WPB2.2 Plant detail-w slippage'!$P$2,0)</f>
        <v>-135</v>
      </c>
      <c r="G449" s="257">
        <f t="shared" ref="G449:G462" si="112">SUM(D449:F449)</f>
        <v>734547.71</v>
      </c>
      <c r="H449" s="38"/>
      <c r="I449" s="257">
        <f t="shared" ref="I449:I462" si="113">N343</f>
        <v>-74518.22</v>
      </c>
      <c r="J449" s="1362">
        <f t="shared" ref="J449:J462" si="114">J343</f>
        <v>0.05</v>
      </c>
      <c r="K449" s="173">
        <f>ROUND((G449+D449)/2*J449/12,0)</f>
        <v>3059</v>
      </c>
      <c r="L449" s="38">
        <f t="shared" ref="L449:L462" si="115">-F449</f>
        <v>135</v>
      </c>
      <c r="M449" s="257">
        <f>ROUND('Plant input detail '!M451*'WPB2.2 Plant detail-w slippage'!$P$2,0)</f>
        <v>0</v>
      </c>
      <c r="N449" s="2227">
        <f t="shared" ref="N449:N462" si="116">I449+K449-L449+M449</f>
        <v>-71594.22</v>
      </c>
    </row>
    <row r="450" spans="1:14" x14ac:dyDescent="0.2">
      <c r="A450" s="31">
        <f t="shared" ref="A450:A463" si="117">A449+1</f>
        <v>16</v>
      </c>
      <c r="B450" s="123">
        <v>391.11</v>
      </c>
      <c r="C450" s="52" t="s">
        <v>1065</v>
      </c>
      <c r="D450" s="257">
        <f t="shared" si="111"/>
        <v>18815.57</v>
      </c>
      <c r="E450" s="382">
        <f>ROUND('Plant input detail '!E452*'WPB2.2 Plant detail-w slippage'!$P$2,0)</f>
        <v>0</v>
      </c>
      <c r="F450" s="257">
        <f>ROUND('Plant input detail '!F452*'WPB2.2 Plant detail-w slippage'!$P$2,0)</f>
        <v>0</v>
      </c>
      <c r="G450" s="257">
        <f t="shared" si="112"/>
        <v>18815.57</v>
      </c>
      <c r="H450" s="38"/>
      <c r="I450" s="257">
        <f t="shared" si="113"/>
        <v>-12719.77</v>
      </c>
      <c r="J450" s="1362">
        <f t="shared" si="114"/>
        <v>6.6699999999999995E-2</v>
      </c>
      <c r="K450" s="173">
        <f>ROUND((G450+D450)/2*J450/12,0)</f>
        <v>105</v>
      </c>
      <c r="L450" s="38">
        <f t="shared" si="115"/>
        <v>0</v>
      </c>
      <c r="M450" s="257">
        <f>ROUND('Plant input detail '!M452*'WPB2.2 Plant detail-w slippage'!$P$2,0)</f>
        <v>0</v>
      </c>
      <c r="N450" s="2227">
        <f t="shared" si="116"/>
        <v>-12614.77</v>
      </c>
    </row>
    <row r="451" spans="1:14" x14ac:dyDescent="0.2">
      <c r="A451" s="31">
        <f t="shared" si="117"/>
        <v>17</v>
      </c>
      <c r="B451" s="123">
        <v>391.12</v>
      </c>
      <c r="C451" s="52" t="s">
        <v>1066</v>
      </c>
      <c r="D451" s="257">
        <f t="shared" si="111"/>
        <v>853483.41</v>
      </c>
      <c r="E451" s="382">
        <f>ROUND('Plant input detail '!E453*'WPB2.2 Plant detail-w slippage'!$P$2,0)</f>
        <v>0</v>
      </c>
      <c r="F451" s="257">
        <f>ROUND('Plant input detail '!F453*'WPB2.2 Plant detail-w slippage'!$P$2,0)</f>
        <v>0</v>
      </c>
      <c r="G451" s="257">
        <f t="shared" si="112"/>
        <v>853483.41</v>
      </c>
      <c r="H451" s="38"/>
      <c r="I451" s="257">
        <f t="shared" si="113"/>
        <v>590010.37</v>
      </c>
      <c r="J451" s="1362">
        <f t="shared" si="114"/>
        <v>0.2</v>
      </c>
      <c r="K451" s="173">
        <f>ROUND((G451+D451)/2*J451/12,0)</f>
        <v>14225</v>
      </c>
      <c r="L451" s="38">
        <f t="shared" si="115"/>
        <v>0</v>
      </c>
      <c r="M451" s="257">
        <f>ROUND('Plant input detail '!M453*'WPB2.2 Plant detail-w slippage'!$P$2,0)</f>
        <v>0</v>
      </c>
      <c r="N451" s="2227">
        <f t="shared" si="116"/>
        <v>604235.37</v>
      </c>
    </row>
    <row r="452" spans="1:14" x14ac:dyDescent="0.2">
      <c r="A452" s="31">
        <f t="shared" si="117"/>
        <v>18</v>
      </c>
      <c r="B452" s="123">
        <v>392.2</v>
      </c>
      <c r="C452" s="52" t="s">
        <v>1067</v>
      </c>
      <c r="D452" s="257">
        <f t="shared" si="111"/>
        <v>95778</v>
      </c>
      <c r="E452" s="382">
        <f>ROUND('Plant input detail '!E454*'WPB2.2 Plant detail-w slippage'!$P$2,0)</f>
        <v>0</v>
      </c>
      <c r="F452" s="257">
        <f>ROUND('Plant input detail '!F454*'WPB2.2 Plant detail-w slippage'!$P$2,0)</f>
        <v>0</v>
      </c>
      <c r="G452" s="257">
        <f t="shared" si="112"/>
        <v>95778</v>
      </c>
      <c r="H452" s="38"/>
      <c r="I452" s="257">
        <f t="shared" si="113"/>
        <v>21010.05</v>
      </c>
      <c r="J452" s="1362">
        <f t="shared" si="114"/>
        <v>2.9399999999999999E-2</v>
      </c>
      <c r="K452" s="173">
        <f>ROUND((G452+D452)/2*J452/12,0)</f>
        <v>235</v>
      </c>
      <c r="L452" s="38">
        <f t="shared" si="115"/>
        <v>0</v>
      </c>
      <c r="M452" s="257">
        <f>ROUND('Plant input detail '!M454*'WPB2.2 Plant detail-w slippage'!$P$2,0)</f>
        <v>0</v>
      </c>
      <c r="N452" s="2227">
        <f t="shared" si="116"/>
        <v>21245.05</v>
      </c>
    </row>
    <row r="453" spans="1:14" x14ac:dyDescent="0.2">
      <c r="A453" s="31">
        <f t="shared" si="117"/>
        <v>19</v>
      </c>
      <c r="B453" s="123">
        <v>392.21</v>
      </c>
      <c r="C453" s="52" t="s">
        <v>1068</v>
      </c>
      <c r="D453" s="257">
        <f t="shared" si="111"/>
        <v>24462.2</v>
      </c>
      <c r="E453" s="382">
        <f>ROUND('Plant input detail '!E455*'WPB2.2 Plant detail-w slippage'!$P$2,0)</f>
        <v>0</v>
      </c>
      <c r="F453" s="257">
        <f>ROUND('Plant input detail '!F455*'WPB2.2 Plant detail-w slippage'!$P$2,0)</f>
        <v>0</v>
      </c>
      <c r="G453" s="257">
        <f t="shared" si="112"/>
        <v>24462.2</v>
      </c>
      <c r="H453" s="38"/>
      <c r="I453" s="257">
        <f t="shared" si="113"/>
        <v>4767.3999999999996</v>
      </c>
      <c r="J453" s="1362">
        <f t="shared" si="114"/>
        <v>2.9399999999999999E-2</v>
      </c>
      <c r="K453" s="173">
        <f>ROUND((G453+D453)/2*J453/12,0)</f>
        <v>60</v>
      </c>
      <c r="L453" s="38">
        <f t="shared" si="115"/>
        <v>0</v>
      </c>
      <c r="M453" s="257">
        <f>ROUND('Plant input detail '!M455*'WPB2.2 Plant detail-w slippage'!$P$2,0)</f>
        <v>0</v>
      </c>
      <c r="N453" s="2227">
        <f t="shared" si="116"/>
        <v>4827.3999999999996</v>
      </c>
    </row>
    <row r="454" spans="1:14" x14ac:dyDescent="0.2">
      <c r="A454" s="31">
        <f t="shared" si="117"/>
        <v>20</v>
      </c>
      <c r="B454" s="123">
        <v>393</v>
      </c>
      <c r="C454" s="52" t="s">
        <v>1069</v>
      </c>
      <c r="D454" s="257">
        <f t="shared" si="111"/>
        <v>0</v>
      </c>
      <c r="E454" s="382">
        <f>ROUND('Plant input detail '!E456*'WPB2.2 Plant detail-w slippage'!$P$2,0)</f>
        <v>0</v>
      </c>
      <c r="F454" s="257">
        <f>ROUND('Plant input detail '!F456*'WPB2.2 Plant detail-w slippage'!$P$2,0)</f>
        <v>0</v>
      </c>
      <c r="G454" s="257">
        <f t="shared" si="112"/>
        <v>0</v>
      </c>
      <c r="H454" s="38"/>
      <c r="I454" s="257">
        <f t="shared" si="113"/>
        <v>0</v>
      </c>
      <c r="J454" s="1362" t="str">
        <f t="shared" si="114"/>
        <v>Amort.</v>
      </c>
      <c r="K454" s="259">
        <v>0</v>
      </c>
      <c r="L454" s="38">
        <f t="shared" si="115"/>
        <v>0</v>
      </c>
      <c r="M454" s="257">
        <f>ROUND('Plant input detail '!M456*'WPB2.2 Plant detail-w slippage'!$P$2,0)</f>
        <v>0</v>
      </c>
      <c r="N454" s="2227">
        <f t="shared" si="116"/>
        <v>0</v>
      </c>
    </row>
    <row r="455" spans="1:14" x14ac:dyDescent="0.2">
      <c r="A455" s="31">
        <f t="shared" si="117"/>
        <v>21</v>
      </c>
      <c r="B455" s="123">
        <v>394.1</v>
      </c>
      <c r="C455" s="52" t="s">
        <v>1070</v>
      </c>
      <c r="D455" s="257">
        <f t="shared" si="111"/>
        <v>24240.799999999999</v>
      </c>
      <c r="E455" s="382">
        <f>ROUND('Plant input detail '!E457*'WPB2.2 Plant detail-w slippage'!$P$2,0)</f>
        <v>0</v>
      </c>
      <c r="F455" s="257">
        <f>ROUND('Plant input detail '!F457*'WPB2.2 Plant detail-w slippage'!$P$2,0)</f>
        <v>0</v>
      </c>
      <c r="G455" s="257">
        <f t="shared" si="112"/>
        <v>24240.799999999999</v>
      </c>
      <c r="H455" s="38"/>
      <c r="I455" s="257">
        <f t="shared" si="113"/>
        <v>14041.82</v>
      </c>
      <c r="J455" s="1362">
        <f t="shared" si="114"/>
        <v>0.04</v>
      </c>
      <c r="K455" s="173">
        <f>ROUND((G455+D455)/2*J455/12,0)</f>
        <v>81</v>
      </c>
      <c r="L455" s="38">
        <f t="shared" si="115"/>
        <v>0</v>
      </c>
      <c r="M455" s="257">
        <f>ROUND('Plant input detail '!M457*'WPB2.2 Plant detail-w slippage'!$P$2,0)</f>
        <v>0</v>
      </c>
      <c r="N455" s="2227">
        <f t="shared" si="116"/>
        <v>14122.82</v>
      </c>
    </row>
    <row r="456" spans="1:14" x14ac:dyDescent="0.2">
      <c r="A456" s="31">
        <f t="shared" si="117"/>
        <v>22</v>
      </c>
      <c r="B456" s="123">
        <v>394.11</v>
      </c>
      <c r="C456" s="52" t="s">
        <v>1071</v>
      </c>
      <c r="D456" s="257">
        <f t="shared" si="111"/>
        <v>0</v>
      </c>
      <c r="E456" s="382">
        <f>ROUND('Plant input detail '!E458*'WPB2.2 Plant detail-w slippage'!$P$2,0)</f>
        <v>0</v>
      </c>
      <c r="F456" s="257">
        <f>ROUND('Plant input detail '!F458*'WPB2.2 Plant detail-w slippage'!$P$2,0)</f>
        <v>0</v>
      </c>
      <c r="G456" s="257">
        <f t="shared" si="112"/>
        <v>0</v>
      </c>
      <c r="H456" s="38"/>
      <c r="I456" s="257">
        <f t="shared" si="113"/>
        <v>0</v>
      </c>
      <c r="J456" s="1362">
        <f t="shared" si="114"/>
        <v>0.13769999999999999</v>
      </c>
      <c r="K456" s="259">
        <v>0</v>
      </c>
      <c r="L456" s="38">
        <f t="shared" si="115"/>
        <v>0</v>
      </c>
      <c r="M456" s="257">
        <f>ROUND('Plant input detail '!M458*'WPB2.2 Plant detail-w slippage'!$P$2,0)</f>
        <v>0</v>
      </c>
      <c r="N456" s="2227">
        <f t="shared" si="116"/>
        <v>0</v>
      </c>
    </row>
    <row r="457" spans="1:14" x14ac:dyDescent="0.2">
      <c r="A457" s="31">
        <f t="shared" si="117"/>
        <v>23</v>
      </c>
      <c r="B457" s="123">
        <v>394.13</v>
      </c>
      <c r="C457" s="251" t="s">
        <v>1072</v>
      </c>
      <c r="D457" s="257">
        <f t="shared" si="111"/>
        <v>0</v>
      </c>
      <c r="E457" s="382">
        <f>ROUND('Plant input detail '!E459*'WPB2.2 Plant detail-w slippage'!$P$2,0)</f>
        <v>0</v>
      </c>
      <c r="F457" s="257">
        <f>ROUND('Plant input detail '!F459*'WPB2.2 Plant detail-w slippage'!$P$2,0)</f>
        <v>0</v>
      </c>
      <c r="G457" s="257">
        <f t="shared" si="112"/>
        <v>0</v>
      </c>
      <c r="H457" s="38"/>
      <c r="I457" s="257">
        <f t="shared" si="113"/>
        <v>37937.360000000001</v>
      </c>
      <c r="J457" s="1362" t="str">
        <f t="shared" si="114"/>
        <v>Amort.</v>
      </c>
      <c r="K457" s="259">
        <v>0</v>
      </c>
      <c r="L457" s="38">
        <f t="shared" si="115"/>
        <v>0</v>
      </c>
      <c r="M457" s="257">
        <f>ROUND('Plant input detail '!M459*'WPB2.2 Plant detail-w slippage'!$P$2,0)</f>
        <v>0</v>
      </c>
      <c r="N457" s="2227">
        <f t="shared" si="116"/>
        <v>37937.360000000001</v>
      </c>
    </row>
    <row r="458" spans="1:14" x14ac:dyDescent="0.2">
      <c r="A458" s="31">
        <f t="shared" si="117"/>
        <v>24</v>
      </c>
      <c r="B458" s="123">
        <v>394.2</v>
      </c>
      <c r="C458" s="52" t="s">
        <v>1073</v>
      </c>
      <c r="D458" s="257">
        <f t="shared" si="111"/>
        <v>0</v>
      </c>
      <c r="E458" s="382">
        <f>ROUND('Plant input detail '!E460*'WPB2.2 Plant detail-w slippage'!$P$2,0)</f>
        <v>0</v>
      </c>
      <c r="F458" s="257">
        <f>ROUND('Plant input detail '!F460*'WPB2.2 Plant detail-w slippage'!$P$2,0)</f>
        <v>0</v>
      </c>
      <c r="G458" s="257">
        <f t="shared" si="112"/>
        <v>0</v>
      </c>
      <c r="H458" s="38"/>
      <c r="I458" s="257">
        <f t="shared" si="113"/>
        <v>185.21</v>
      </c>
      <c r="J458" s="1362">
        <f t="shared" si="114"/>
        <v>0.04</v>
      </c>
      <c r="K458" s="173">
        <f>ROUND((G458+D458)/2*J458/12,0)</f>
        <v>0</v>
      </c>
      <c r="L458" s="38">
        <f t="shared" si="115"/>
        <v>0</v>
      </c>
      <c r="M458" s="257">
        <f>ROUND('Plant input detail '!M460*'WPB2.2 Plant detail-w slippage'!$P$2,0)</f>
        <v>0</v>
      </c>
      <c r="N458" s="2227">
        <f t="shared" si="116"/>
        <v>185.21</v>
      </c>
    </row>
    <row r="459" spans="1:14" x14ac:dyDescent="0.2">
      <c r="A459" s="31">
        <f t="shared" si="117"/>
        <v>25</v>
      </c>
      <c r="B459" s="123">
        <v>394.3</v>
      </c>
      <c r="C459" s="52" t="s">
        <v>1074</v>
      </c>
      <c r="D459" s="257">
        <f t="shared" si="111"/>
        <v>3008263.16</v>
      </c>
      <c r="E459" s="382">
        <f>ROUND('Plant input detail '!E461*'WPB2.2 Plant detail-w slippage'!$P$2,0)</f>
        <v>33095</v>
      </c>
      <c r="F459" s="257">
        <f>ROUND('Plant input detail '!F461*'WPB2.2 Plant detail-w slippage'!$P$2,0)</f>
        <v>-3971</v>
      </c>
      <c r="G459" s="257">
        <f t="shared" si="112"/>
        <v>3037387.16</v>
      </c>
      <c r="H459" s="38"/>
      <c r="I459" s="257">
        <f t="shared" si="113"/>
        <v>1227201.1499999999</v>
      </c>
      <c r="J459" s="1362">
        <f t="shared" si="114"/>
        <v>0.04</v>
      </c>
      <c r="K459" s="173">
        <f>ROUND((G459+D459)/2*J459/12,0)</f>
        <v>10076</v>
      </c>
      <c r="L459" s="38">
        <f t="shared" si="115"/>
        <v>3971</v>
      </c>
      <c r="M459" s="257">
        <f>ROUND('Plant input detail '!M461*'WPB2.2 Plant detail-w slippage'!$P$2,0)</f>
        <v>0</v>
      </c>
      <c r="N459" s="2227">
        <f t="shared" si="116"/>
        <v>1233306.1499999999</v>
      </c>
    </row>
    <row r="460" spans="1:14" x14ac:dyDescent="0.2">
      <c r="A460" s="31">
        <f t="shared" si="117"/>
        <v>26</v>
      </c>
      <c r="B460" s="123">
        <v>395</v>
      </c>
      <c r="C460" s="52" t="s">
        <v>1075</v>
      </c>
      <c r="D460" s="257">
        <f t="shared" si="111"/>
        <v>9257.77</v>
      </c>
      <c r="E460" s="382">
        <f>ROUND('Plant input detail '!E462*'WPB2.2 Plant detail-w slippage'!$P$2,0)</f>
        <v>0</v>
      </c>
      <c r="F460" s="257">
        <f>ROUND('Plant input detail '!F462*'WPB2.2 Plant detail-w slippage'!$P$2,0)</f>
        <v>0</v>
      </c>
      <c r="G460" s="257">
        <f t="shared" si="112"/>
        <v>9257.77</v>
      </c>
      <c r="H460" s="38"/>
      <c r="I460" s="257">
        <f t="shared" si="113"/>
        <v>7256.59</v>
      </c>
      <c r="J460" s="1362">
        <f t="shared" si="114"/>
        <v>0.05</v>
      </c>
      <c r="K460" s="173">
        <f>ROUND((G460+D460)/2*J460/12,0)</f>
        <v>39</v>
      </c>
      <c r="L460" s="38">
        <f t="shared" si="115"/>
        <v>0</v>
      </c>
      <c r="M460" s="257">
        <f>ROUND('Plant input detail '!M462*'WPB2.2 Plant detail-w slippage'!$P$2,0)</f>
        <v>0</v>
      </c>
      <c r="N460" s="2227">
        <f t="shared" si="116"/>
        <v>7295.59</v>
      </c>
    </row>
    <row r="461" spans="1:14" x14ac:dyDescent="0.2">
      <c r="A461" s="31">
        <f t="shared" si="117"/>
        <v>27</v>
      </c>
      <c r="B461" s="123">
        <v>396</v>
      </c>
      <c r="C461" s="52" t="s">
        <v>1076</v>
      </c>
      <c r="D461" s="257">
        <f t="shared" si="111"/>
        <v>253134.72</v>
      </c>
      <c r="E461" s="382">
        <f>ROUND('Plant input detail '!E463*'WPB2.2 Plant detail-w slippage'!$P$2,0)</f>
        <v>0</v>
      </c>
      <c r="F461" s="257">
        <f>ROUND('Plant input detail '!F463*'WPB2.2 Plant detail-w slippage'!$P$2,0)</f>
        <v>0</v>
      </c>
      <c r="G461" s="257">
        <f t="shared" si="112"/>
        <v>253134.72</v>
      </c>
      <c r="H461" s="38"/>
      <c r="I461" s="257">
        <f t="shared" si="113"/>
        <v>199321.72</v>
      </c>
      <c r="J461" s="1362">
        <f t="shared" si="114"/>
        <v>0</v>
      </c>
      <c r="K461" s="173">
        <f>ROUND((G461+D461)/2*J461/12,0)</f>
        <v>0</v>
      </c>
      <c r="L461" s="38">
        <f t="shared" si="115"/>
        <v>0</v>
      </c>
      <c r="M461" s="257">
        <f>ROUND('Plant input detail '!M463*'WPB2.2 Plant detail-w slippage'!$P$2,0)</f>
        <v>0</v>
      </c>
      <c r="N461" s="2227">
        <f t="shared" si="116"/>
        <v>199321.72</v>
      </c>
    </row>
    <row r="462" spans="1:14" x14ac:dyDescent="0.2">
      <c r="A462" s="31">
        <f t="shared" si="117"/>
        <v>28</v>
      </c>
      <c r="B462" s="123">
        <v>398</v>
      </c>
      <c r="C462" s="52" t="s">
        <v>1077</v>
      </c>
      <c r="D462" s="260">
        <f t="shared" si="111"/>
        <v>91076.94</v>
      </c>
      <c r="E462" s="265">
        <f>ROUND('Plant input detail '!E464*'WPB2.2 Plant detail-w slippage'!$P$2,0)</f>
        <v>0</v>
      </c>
      <c r="F462" s="260">
        <f>ROUND('Plant input detail '!F464*'WPB2.2 Plant detail-w slippage'!$P$2,0)</f>
        <v>0</v>
      </c>
      <c r="G462" s="260">
        <f t="shared" si="112"/>
        <v>91076.94</v>
      </c>
      <c r="H462" s="264"/>
      <c r="I462" s="260">
        <f t="shared" si="113"/>
        <v>21729.59</v>
      </c>
      <c r="J462" s="1362">
        <f t="shared" si="114"/>
        <v>6.6699999999999995E-2</v>
      </c>
      <c r="K462" s="260">
        <f>ROUND((G462+D462)/2*J462/12,0)</f>
        <v>506</v>
      </c>
      <c r="L462" s="295">
        <f t="shared" si="115"/>
        <v>0</v>
      </c>
      <c r="M462" s="260">
        <f>ROUND('Plant input detail '!M464*'WPB2.2 Plant detail-w slippage'!$P$2,0)</f>
        <v>0</v>
      </c>
      <c r="N462" s="2228">
        <f t="shared" si="116"/>
        <v>22235.59</v>
      </c>
    </row>
    <row r="463" spans="1:14" x14ac:dyDescent="0.2">
      <c r="A463" s="31">
        <f t="shared" si="117"/>
        <v>29</v>
      </c>
      <c r="C463" s="32" t="s">
        <v>1078</v>
      </c>
      <c r="D463" s="264">
        <f>SUM(D449:D462)</f>
        <v>5112070.2799999993</v>
      </c>
      <c r="E463" s="176">
        <f>SUM(E449:E462)</f>
        <v>34220</v>
      </c>
      <c r="F463" s="176">
        <f>SUM(F449:F462)</f>
        <v>-4106</v>
      </c>
      <c r="G463" s="264">
        <f>SUM(G449:G462)</f>
        <v>5142184.2799999993</v>
      </c>
      <c r="H463" s="264"/>
      <c r="I463" s="264">
        <f>SUM(I449:I462)</f>
        <v>2036223.2699999998</v>
      </c>
      <c r="J463" s="1359"/>
      <c r="K463" s="176">
        <f>SUM(K449:K462)</f>
        <v>28386</v>
      </c>
      <c r="L463" s="264">
        <f>SUM(L449:L462)</f>
        <v>4106</v>
      </c>
      <c r="M463" s="176">
        <f>SUM(M449:M462)</f>
        <v>0</v>
      </c>
      <c r="N463" s="1359">
        <f>SUM(N449:N462)</f>
        <v>2060503.27</v>
      </c>
    </row>
    <row r="464" spans="1:14" x14ac:dyDescent="0.2">
      <c r="D464" s="38"/>
      <c r="E464" s="173"/>
      <c r="F464" s="173"/>
      <c r="G464" s="38"/>
      <c r="H464" s="38"/>
      <c r="I464" s="173"/>
      <c r="J464" s="1361"/>
      <c r="K464" s="173"/>
      <c r="L464" s="38"/>
      <c r="M464" s="173"/>
    </row>
    <row r="465" spans="1:16" x14ac:dyDescent="0.2">
      <c r="A465" s="1805">
        <f>A463+1</f>
        <v>30</v>
      </c>
      <c r="B465" s="252"/>
      <c r="C465" s="36" t="s">
        <v>2287</v>
      </c>
      <c r="D465" s="38"/>
      <c r="E465" s="173"/>
      <c r="F465" s="173"/>
      <c r="G465" s="38"/>
      <c r="H465" s="38"/>
      <c r="I465" s="181"/>
      <c r="J465" s="173"/>
      <c r="K465" s="173"/>
      <c r="L465" s="38"/>
      <c r="M465" s="173"/>
      <c r="P465" s="279"/>
    </row>
    <row r="466" spans="1:16" x14ac:dyDescent="0.2">
      <c r="A466" s="31">
        <f>A465+1</f>
        <v>31</v>
      </c>
      <c r="B466" s="123">
        <v>378.21</v>
      </c>
      <c r="C466" s="52" t="s">
        <v>2244</v>
      </c>
      <c r="D466" s="257">
        <f>G360</f>
        <v>-777092</v>
      </c>
      <c r="E466" s="382">
        <f>ROUND('Plant input detail '!E468*'WPB2.2 Plant detail-w slippage'!$P$2,0)</f>
        <v>0</v>
      </c>
      <c r="F466" s="257">
        <f>ROUND('Plant input detail '!F468*'WPB2.2 Plant detail-w slippage'!$P$2,0)</f>
        <v>0</v>
      </c>
      <c r="G466" s="257">
        <f t="shared" ref="G466" si="118">SUM(D466:F466)</f>
        <v>-777092</v>
      </c>
      <c r="H466" s="264"/>
      <c r="I466" s="257">
        <f>N360</f>
        <v>-27284.946666666663</v>
      </c>
      <c r="J466" s="296" t="s">
        <v>1094</v>
      </c>
      <c r="K466" s="1334">
        <v>-2158.5833333333321</v>
      </c>
      <c r="L466" s="38">
        <f t="shared" ref="L466" si="119">-F466</f>
        <v>0</v>
      </c>
      <c r="M466" s="257">
        <f>ROUND('Plant input detail '!M468*'WPB2.2 Plant detail-w slippage'!$P$2,0)</f>
        <v>0</v>
      </c>
      <c r="N466" s="2227">
        <f t="shared" ref="N466" si="120">I466+K466-L466+M466</f>
        <v>-29443.529999999995</v>
      </c>
      <c r="O466" s="292"/>
    </row>
    <row r="467" spans="1:16" x14ac:dyDescent="0.2">
      <c r="A467" s="1723"/>
      <c r="D467" s="38"/>
      <c r="E467" s="173"/>
      <c r="F467" s="173"/>
      <c r="G467" s="38"/>
      <c r="H467" s="38"/>
      <c r="I467" s="173"/>
      <c r="J467" s="1361"/>
      <c r="K467" s="173"/>
      <c r="L467" s="38"/>
      <c r="M467" s="173"/>
    </row>
    <row r="468" spans="1:16" x14ac:dyDescent="0.2">
      <c r="A468" s="31">
        <f>A466+1</f>
        <v>32</v>
      </c>
      <c r="C468" s="32" t="s">
        <v>774</v>
      </c>
      <c r="D468" s="40">
        <f>D463+D446+D391+D387+D466</f>
        <v>406702004.36999989</v>
      </c>
      <c r="E468" s="40">
        <f>E463+E446+E391+E387+E466</f>
        <v>2909740</v>
      </c>
      <c r="F468" s="40">
        <f>F463+F446+F391+F387+F466</f>
        <v>-336002</v>
      </c>
      <c r="G468" s="40">
        <f>G463+G446+G391+G387+G466</f>
        <v>409275742.36999989</v>
      </c>
      <c r="H468" s="38"/>
      <c r="I468" s="40">
        <f>I463+I446+I391+I387+I466</f>
        <v>143202418.22202626</v>
      </c>
      <c r="J468" s="1363"/>
      <c r="K468" s="40">
        <f>K463+K446+K391+K387+K466</f>
        <v>757383.17956430686</v>
      </c>
      <c r="L468" s="40">
        <f>L463+L446+L391+L387+L466</f>
        <v>336002</v>
      </c>
      <c r="M468" s="40">
        <f>M463+M446+M391+M387+M466</f>
        <v>-89808</v>
      </c>
      <c r="N468" s="1363">
        <f>N463+N446+N391+N387+N466</f>
        <v>143533991.40159056</v>
      </c>
    </row>
    <row r="469" spans="1:16" x14ac:dyDescent="0.2">
      <c r="A469" s="31"/>
      <c r="C469" s="32"/>
      <c r="D469" s="38"/>
      <c r="E469" s="173"/>
      <c r="F469" s="173"/>
      <c r="G469" s="38"/>
      <c r="H469" s="38"/>
      <c r="I469" s="173"/>
      <c r="J469" s="173"/>
      <c r="K469" s="173"/>
      <c r="L469" s="38"/>
    </row>
    <row r="470" spans="1:16" x14ac:dyDescent="0.2">
      <c r="A470" s="2079" t="str">
        <f>co</f>
        <v>COLUMBIA GAS OF KENTUCKY, INC.</v>
      </c>
      <c r="B470" s="2079"/>
      <c r="C470" s="2079"/>
      <c r="D470" s="2079"/>
      <c r="E470" s="2079"/>
      <c r="F470" s="2079"/>
      <c r="G470" s="2079"/>
      <c r="H470" s="2079"/>
      <c r="I470" s="2079"/>
      <c r="J470" s="2079"/>
      <c r="K470" s="2079"/>
      <c r="L470" s="2079"/>
      <c r="M470" s="2079"/>
      <c r="N470" s="2079"/>
    </row>
    <row r="471" spans="1:16" x14ac:dyDescent="0.2">
      <c r="A471" s="2079" t="str">
        <f>case</f>
        <v>CASE NO. 2016 - 00162</v>
      </c>
      <c r="B471" s="2079"/>
      <c r="C471" s="2079"/>
      <c r="D471" s="2079"/>
      <c r="E471" s="2079"/>
      <c r="F471" s="2079"/>
      <c r="G471" s="2079"/>
      <c r="H471" s="2079"/>
      <c r="I471" s="2079"/>
      <c r="J471" s="2079"/>
      <c r="K471" s="2079"/>
      <c r="L471" s="2079"/>
      <c r="M471" s="2079"/>
      <c r="N471" s="2079"/>
    </row>
    <row r="472" spans="1:16" x14ac:dyDescent="0.2">
      <c r="A472" s="2080" t="s">
        <v>1106</v>
      </c>
      <c r="B472" s="2079"/>
      <c r="C472" s="2079"/>
      <c r="D472" s="2079"/>
      <c r="E472" s="2079"/>
      <c r="F472" s="2079"/>
      <c r="G472" s="2079"/>
      <c r="H472" s="2079"/>
      <c r="I472" s="2079"/>
      <c r="J472" s="2079"/>
      <c r="K472" s="2079"/>
      <c r="L472" s="2079"/>
      <c r="M472" s="2079"/>
      <c r="N472" s="2079"/>
    </row>
    <row r="473" spans="1:16" x14ac:dyDescent="0.2">
      <c r="A473" s="2081" t="s">
        <v>2142</v>
      </c>
      <c r="B473" s="2085"/>
      <c r="C473" s="2085"/>
      <c r="D473" s="2085"/>
      <c r="E473" s="2085"/>
      <c r="F473" s="2085"/>
      <c r="G473" s="2085"/>
      <c r="H473" s="2085"/>
      <c r="I473" s="2085"/>
      <c r="J473" s="2085"/>
      <c r="K473" s="2085"/>
      <c r="L473" s="2085"/>
      <c r="M473" s="2085"/>
      <c r="N473" s="2085"/>
    </row>
    <row r="475" spans="1:16" x14ac:dyDescent="0.2">
      <c r="A475" s="285" t="str">
        <f>$A$6</f>
        <v>DATA:__X___BASE PERIOD__X___FORECASTED PERIOD</v>
      </c>
      <c r="C475" s="171"/>
      <c r="I475" s="32"/>
      <c r="N475" s="1258" t="str">
        <f>$N$6</f>
        <v>WPB-2.2</v>
      </c>
    </row>
    <row r="476" spans="1:16" x14ac:dyDescent="0.2">
      <c r="A476" s="4" t="str">
        <f>$A$7</f>
        <v>TYPE OF FILING:___X____ORIGINAL________UPDATED</v>
      </c>
      <c r="I476" s="32"/>
      <c r="N476" s="2223" t="s">
        <v>1722</v>
      </c>
    </row>
    <row r="477" spans="1:16" x14ac:dyDescent="0.2">
      <c r="A477" s="1261" t="str">
        <f>$A$8</f>
        <v xml:space="preserve">WORKPAPER REFERENCE NO(S).: </v>
      </c>
      <c r="B477" s="202"/>
      <c r="C477" s="202"/>
      <c r="D477" s="201"/>
      <c r="E477" s="202"/>
      <c r="F477" s="202"/>
      <c r="G477" s="201"/>
      <c r="H477" s="201"/>
      <c r="I477" s="203"/>
      <c r="L477" s="32"/>
      <c r="M477" s="32"/>
      <c r="N477" s="204" t="str">
        <f>SMK</f>
        <v>WITNESS:  S. M. KATKO</v>
      </c>
    </row>
    <row r="478" spans="1:16" x14ac:dyDescent="0.2">
      <c r="A478" s="200"/>
      <c r="B478" s="201"/>
      <c r="C478" s="201"/>
      <c r="D478" s="201"/>
      <c r="E478" s="202"/>
      <c r="F478" s="202"/>
      <c r="G478" s="201"/>
      <c r="H478" s="201"/>
      <c r="I478" s="203"/>
      <c r="J478" s="1357"/>
      <c r="L478" s="32"/>
      <c r="M478" s="32"/>
    </row>
    <row r="479" spans="1:16" x14ac:dyDescent="0.2">
      <c r="A479" s="200"/>
      <c r="B479" s="201"/>
      <c r="C479" s="201"/>
      <c r="D479" s="2082" t="s">
        <v>1088</v>
      </c>
      <c r="E479" s="2082"/>
      <c r="F479" s="2082"/>
      <c r="G479" s="2082"/>
      <c r="H479" s="201"/>
      <c r="I479" s="2083" t="s">
        <v>1093</v>
      </c>
      <c r="J479" s="2084"/>
      <c r="K479" s="2084"/>
      <c r="L479" s="2084"/>
      <c r="M479" s="2084"/>
      <c r="N479" s="2084"/>
    </row>
    <row r="480" spans="1:16" x14ac:dyDescent="0.2">
      <c r="A480" s="270"/>
      <c r="B480" s="201"/>
      <c r="C480" s="201"/>
      <c r="D480" s="271" t="s">
        <v>1084</v>
      </c>
      <c r="E480" s="202"/>
      <c r="F480" s="202"/>
      <c r="G480" s="269"/>
      <c r="H480" s="269"/>
      <c r="I480" s="261" t="s">
        <v>1089</v>
      </c>
      <c r="J480" s="1358"/>
      <c r="M480" s="32"/>
    </row>
    <row r="481" spans="1:14" x14ac:dyDescent="0.2">
      <c r="A481" s="30"/>
      <c r="D481" s="261" t="s">
        <v>865</v>
      </c>
      <c r="G481" s="261" t="s">
        <v>867</v>
      </c>
      <c r="H481" s="268"/>
      <c r="I481" s="261" t="s">
        <v>865</v>
      </c>
      <c r="J481" s="1308" t="s">
        <v>956</v>
      </c>
      <c r="M481" s="32"/>
      <c r="N481" s="2225" t="s">
        <v>867</v>
      </c>
    </row>
    <row r="482" spans="1:14" x14ac:dyDescent="0.2">
      <c r="A482" s="261" t="s">
        <v>1080</v>
      </c>
      <c r="B482" s="261" t="s">
        <v>1082</v>
      </c>
      <c r="D482" s="261" t="s">
        <v>867</v>
      </c>
      <c r="G482" s="262" t="s">
        <v>1087</v>
      </c>
      <c r="H482" s="268"/>
      <c r="I482" s="262" t="s">
        <v>867</v>
      </c>
      <c r="J482" s="1308" t="s">
        <v>1090</v>
      </c>
      <c r="K482" s="1308" t="s">
        <v>956</v>
      </c>
      <c r="M482" s="262" t="s">
        <v>1092</v>
      </c>
      <c r="N482" s="1259" t="s">
        <v>1087</v>
      </c>
    </row>
    <row r="483" spans="1:14" x14ac:dyDescent="0.2">
      <c r="A483" s="272" t="s">
        <v>1081</v>
      </c>
      <c r="B483" s="272" t="s">
        <v>1081</v>
      </c>
      <c r="C483" s="273" t="s">
        <v>1083</v>
      </c>
      <c r="D483" s="298" t="str">
        <f>"06/30/2016"</f>
        <v>06/30/2016</v>
      </c>
      <c r="E483" s="275" t="s">
        <v>1085</v>
      </c>
      <c r="F483" s="275" t="s">
        <v>1086</v>
      </c>
      <c r="G483" s="298" t="str">
        <f>"07/31/2016"</f>
        <v>07/31/2016</v>
      </c>
      <c r="H483" s="268"/>
      <c r="I483" s="274" t="str">
        <f>D483</f>
        <v>06/30/2016</v>
      </c>
      <c r="J483" s="275" t="s">
        <v>1091</v>
      </c>
      <c r="K483" s="1327" t="s">
        <v>1090</v>
      </c>
      <c r="L483" s="276" t="s">
        <v>1086</v>
      </c>
      <c r="M483" s="276" t="s">
        <v>955</v>
      </c>
      <c r="N483" s="2226" t="str">
        <f>G483</f>
        <v>07/31/2016</v>
      </c>
    </row>
    <row r="484" spans="1:14" x14ac:dyDescent="0.2">
      <c r="A484" s="267"/>
      <c r="B484" s="267"/>
      <c r="C484" s="267"/>
      <c r="D484" s="267" t="str">
        <f>"(1)"</f>
        <v>(1)</v>
      </c>
      <c r="E484" s="267" t="str">
        <f>"(2)"</f>
        <v>(2)</v>
      </c>
      <c r="F484" s="267" t="str">
        <f>"(3)"</f>
        <v>(3)</v>
      </c>
      <c r="G484" s="267" t="str">
        <f>"(4)=(1+2+3)"</f>
        <v>(4)=(1+2+3)</v>
      </c>
      <c r="H484" s="267"/>
      <c r="I484" s="267" t="str">
        <f>"(5)"</f>
        <v>(5)</v>
      </c>
      <c r="J484" s="1328" t="str">
        <f>"(6)"</f>
        <v>(6)</v>
      </c>
      <c r="K484" s="1328" t="str">
        <f>"(7)=((1+4)/2*6/12))"</f>
        <v>(7)=((1+4)/2*6/12))</v>
      </c>
      <c r="L484" s="267" t="str">
        <f>"(8)"</f>
        <v>(8)</v>
      </c>
      <c r="M484" s="267" t="str">
        <f>"(9)"</f>
        <v>(9)</v>
      </c>
      <c r="N484" s="204" t="str">
        <f>"(10)=(5+7-8+9)"</f>
        <v>(10)=(5+7-8+9)</v>
      </c>
    </row>
    <row r="485" spans="1:14" x14ac:dyDescent="0.2">
      <c r="D485" s="31" t="s">
        <v>639</v>
      </c>
      <c r="E485" s="170" t="s">
        <v>639</v>
      </c>
      <c r="F485" s="170" t="s">
        <v>639</v>
      </c>
      <c r="G485" s="31" t="s">
        <v>639</v>
      </c>
      <c r="H485" s="31"/>
      <c r="I485" s="31" t="s">
        <v>639</v>
      </c>
      <c r="J485" s="170" t="s">
        <v>639</v>
      </c>
      <c r="K485" s="170" t="s">
        <v>639</v>
      </c>
      <c r="L485" s="31" t="s">
        <v>639</v>
      </c>
      <c r="M485" s="31" t="s">
        <v>639</v>
      </c>
      <c r="N485" s="155" t="s">
        <v>639</v>
      </c>
    </row>
    <row r="486" spans="1:14" x14ac:dyDescent="0.2">
      <c r="A486" s="31">
        <v>1</v>
      </c>
      <c r="B486" s="36" t="s">
        <v>1025</v>
      </c>
      <c r="C486" s="34"/>
      <c r="M486" s="32"/>
    </row>
    <row r="487" spans="1:14" x14ac:dyDescent="0.2">
      <c r="A487" s="31">
        <f>A486+1</f>
        <v>2</v>
      </c>
      <c r="C487" s="36" t="s">
        <v>697</v>
      </c>
      <c r="M487" s="32"/>
    </row>
    <row r="488" spans="1:14" x14ac:dyDescent="0.2">
      <c r="A488" s="31">
        <f t="shared" ref="A488:A493" si="121">A487+1</f>
        <v>3</v>
      </c>
      <c r="B488" s="253">
        <v>301</v>
      </c>
      <c r="C488" s="52" t="s">
        <v>1026</v>
      </c>
      <c r="D488" s="257">
        <f>G382</f>
        <v>521.20000000000005</v>
      </c>
      <c r="E488" s="382">
        <f>ROUND('Plant input detail '!E490*'WPB2.2 Plant detail-w slippage'!$P$2,0)</f>
        <v>0</v>
      </c>
      <c r="F488" s="257">
        <f>ROUND('Plant input detail '!F490*'WPB2.2 Plant detail-w slippage'!$P$2,0)</f>
        <v>0</v>
      </c>
      <c r="G488" s="257">
        <f>SUM(D488:F488)</f>
        <v>521.20000000000005</v>
      </c>
      <c r="H488" s="38"/>
      <c r="I488" s="257">
        <f>N382</f>
        <v>0</v>
      </c>
      <c r="J488" s="296" t="s">
        <v>1094</v>
      </c>
      <c r="K488" s="258">
        <v>0</v>
      </c>
      <c r="L488" s="38">
        <f>-F488</f>
        <v>0</v>
      </c>
      <c r="M488" s="259">
        <v>0</v>
      </c>
      <c r="N488" s="2227">
        <f>I488+K488-L488+M488</f>
        <v>0</v>
      </c>
    </row>
    <row r="489" spans="1:14" x14ac:dyDescent="0.2">
      <c r="A489" s="31">
        <f t="shared" si="121"/>
        <v>4</v>
      </c>
      <c r="B489" s="253">
        <v>303</v>
      </c>
      <c r="C489" s="52" t="s">
        <v>1027</v>
      </c>
      <c r="D489" s="257">
        <f>G383</f>
        <v>74347.509999999995</v>
      </c>
      <c r="E489" s="382">
        <f>ROUND('Plant input detail '!E491*'WPB2.2 Plant detail-w slippage'!$P$2,0)</f>
        <v>0</v>
      </c>
      <c r="F489" s="257">
        <f>ROUND('Plant input detail '!F491*'WPB2.2 Plant detail-w slippage'!$P$2,0)</f>
        <v>0</v>
      </c>
      <c r="G489" s="257">
        <f>SUM(D489:F489)</f>
        <v>74347.509999999995</v>
      </c>
      <c r="H489" s="38"/>
      <c r="I489" s="257">
        <f>N383</f>
        <v>46625.509999999987</v>
      </c>
      <c r="J489" s="296" t="s">
        <v>1094</v>
      </c>
      <c r="K489" s="382">
        <f>'WPB2.2a Intan Amort. w slippage'!L$19</f>
        <v>206.52</v>
      </c>
      <c r="L489" s="38">
        <f>-F489</f>
        <v>0</v>
      </c>
      <c r="M489" s="259">
        <v>0</v>
      </c>
      <c r="N489" s="2227">
        <f>I489+K489-L489+M489</f>
        <v>46832.029999999984</v>
      </c>
    </row>
    <row r="490" spans="1:14" x14ac:dyDescent="0.2">
      <c r="A490" s="31">
        <f t="shared" si="121"/>
        <v>5</v>
      </c>
      <c r="B490" s="253">
        <v>303.10000000000002</v>
      </c>
      <c r="C490" s="52" t="s">
        <v>1028</v>
      </c>
      <c r="D490" s="257">
        <f>G384</f>
        <v>0</v>
      </c>
      <c r="E490" s="382">
        <f>ROUND('Plant input detail '!E492*'WPB2.2 Plant detail-w slippage'!$P$2,0)</f>
        <v>0</v>
      </c>
      <c r="F490" s="257">
        <f>ROUND('Plant input detail '!F492*'WPB2.2 Plant detail-w slippage'!$P$2,0)</f>
        <v>0</v>
      </c>
      <c r="G490" s="257">
        <f>SUM(D490:F490)</f>
        <v>0</v>
      </c>
      <c r="H490" s="38"/>
      <c r="I490" s="257">
        <f>N384</f>
        <v>0</v>
      </c>
      <c r="J490" s="296" t="s">
        <v>1094</v>
      </c>
      <c r="K490" s="258">
        <v>0</v>
      </c>
      <c r="L490" s="38">
        <f>-F490</f>
        <v>0</v>
      </c>
      <c r="M490" s="259">
        <v>0</v>
      </c>
      <c r="N490" s="2227">
        <f>I490+K490-L490+M490</f>
        <v>0</v>
      </c>
    </row>
    <row r="491" spans="1:14" x14ac:dyDescent="0.2">
      <c r="A491" s="31">
        <f t="shared" si="121"/>
        <v>6</v>
      </c>
      <c r="B491" s="253">
        <v>303.2</v>
      </c>
      <c r="C491" s="52" t="s">
        <v>1029</v>
      </c>
      <c r="D491" s="257">
        <f>G385</f>
        <v>0</v>
      </c>
      <c r="E491" s="382">
        <f>ROUND('Plant input detail '!E493*'WPB2.2 Plant detail-w slippage'!$P$2,0)</f>
        <v>0</v>
      </c>
      <c r="F491" s="257">
        <f>ROUND('Plant input detail '!F493*'WPB2.2 Plant detail-w slippage'!$P$2,0)</f>
        <v>0</v>
      </c>
      <c r="G491" s="257">
        <f>SUM(D491:F491)</f>
        <v>0</v>
      </c>
      <c r="H491" s="38"/>
      <c r="I491" s="257">
        <f>N385</f>
        <v>0</v>
      </c>
      <c r="J491" s="296" t="s">
        <v>1094</v>
      </c>
      <c r="K491" s="258">
        <v>0</v>
      </c>
      <c r="L491" s="38">
        <f>-F491</f>
        <v>0</v>
      </c>
      <c r="M491" s="259">
        <v>0</v>
      </c>
      <c r="N491" s="2227">
        <f>I491+K491-L491+M491</f>
        <v>0</v>
      </c>
    </row>
    <row r="492" spans="1:14" x14ac:dyDescent="0.2">
      <c r="A492" s="31">
        <f t="shared" si="121"/>
        <v>7</v>
      </c>
      <c r="B492" s="253">
        <v>303.3</v>
      </c>
      <c r="C492" s="52" t="s">
        <v>1030</v>
      </c>
      <c r="D492" s="260">
        <f>G386</f>
        <v>5720873</v>
      </c>
      <c r="E492" s="265">
        <f>ROUND('Plant input detail '!E494*'WPB2.2 Plant detail-w slippage'!$P$2,0)</f>
        <v>99219</v>
      </c>
      <c r="F492" s="265">
        <f>ROUND('Plant input detail '!F494*'WPB2.2 Plant detail-w slippage'!$P$2,0)</f>
        <v>0</v>
      </c>
      <c r="G492" s="260">
        <f>SUM(D492:F492)</f>
        <v>5820092</v>
      </c>
      <c r="H492" s="38"/>
      <c r="I492" s="260">
        <f>N386</f>
        <v>2423599.1736958246</v>
      </c>
      <c r="J492" s="296" t="s">
        <v>1094</v>
      </c>
      <c r="K492" s="265">
        <f>'WPB2.2a Intan Amort. w slippage'!L$104</f>
        <v>73147.193423955992</v>
      </c>
      <c r="L492" s="295">
        <f>-F492</f>
        <v>0</v>
      </c>
      <c r="M492" s="263">
        <v>0</v>
      </c>
      <c r="N492" s="2228">
        <f>I492+K492-L492+M492</f>
        <v>2496746.3671197807</v>
      </c>
    </row>
    <row r="493" spans="1:14" x14ac:dyDescent="0.2">
      <c r="A493" s="31">
        <f t="shared" si="121"/>
        <v>8</v>
      </c>
      <c r="B493" s="253"/>
      <c r="C493" s="52" t="s">
        <v>1031</v>
      </c>
      <c r="D493" s="38">
        <f>SUM(D488:D492)</f>
        <v>5795741.71</v>
      </c>
      <c r="E493" s="173">
        <f>SUM(E488:E492)</f>
        <v>99219</v>
      </c>
      <c r="F493" s="173">
        <f>SUM(F488:F492)</f>
        <v>0</v>
      </c>
      <c r="G493" s="38">
        <f>SUM(G488:G492)</f>
        <v>5894960.71</v>
      </c>
      <c r="H493" s="38"/>
      <c r="I493" s="38">
        <f>SUM(I488:I492)</f>
        <v>2470224.6836958244</v>
      </c>
      <c r="J493" s="1359"/>
      <c r="K493" s="173">
        <f>SUM(K488:K492)</f>
        <v>73353.713423955996</v>
      </c>
      <c r="L493" s="38">
        <f>SUM(L488:L492)</f>
        <v>0</v>
      </c>
      <c r="M493" s="173">
        <f>SUM(M488:M492)</f>
        <v>0</v>
      </c>
      <c r="N493" s="1361">
        <f>SUM(N488:N492)</f>
        <v>2543578.3971197805</v>
      </c>
    </row>
    <row r="494" spans="1:14" x14ac:dyDescent="0.2">
      <c r="B494" s="254"/>
      <c r="D494" s="38"/>
      <c r="E494" s="173"/>
      <c r="F494" s="173"/>
      <c r="G494" s="38"/>
      <c r="H494" s="38"/>
      <c r="I494" s="38"/>
      <c r="J494" s="1359"/>
      <c r="K494" s="173"/>
      <c r="L494" s="38"/>
      <c r="M494" s="173"/>
    </row>
    <row r="495" spans="1:14" x14ac:dyDescent="0.2">
      <c r="A495" s="31">
        <f>A493+1</f>
        <v>9</v>
      </c>
      <c r="B495" s="254"/>
      <c r="C495" s="36" t="s">
        <v>704</v>
      </c>
      <c r="D495" s="38"/>
      <c r="E495" s="173"/>
      <c r="F495" s="173"/>
      <c r="G495" s="38"/>
      <c r="H495" s="38"/>
      <c r="I495" s="38"/>
      <c r="J495" s="1359"/>
      <c r="K495" s="173"/>
      <c r="L495" s="38"/>
      <c r="M495" s="173"/>
    </row>
    <row r="496" spans="1:14" x14ac:dyDescent="0.2">
      <c r="A496" s="31">
        <f>A495+1</f>
        <v>10</v>
      </c>
      <c r="B496" s="255">
        <v>304.10000000000002</v>
      </c>
      <c r="C496" s="41" t="s">
        <v>1032</v>
      </c>
      <c r="D496" s="260">
        <f>G390</f>
        <v>0</v>
      </c>
      <c r="E496" s="265">
        <f>ROUND('Plant input detail '!E498*'WPB2.2 Plant detail-w slippage'!$P$2,0)</f>
        <v>0</v>
      </c>
      <c r="F496" s="265">
        <f>ROUND('Plant input detail '!F498*'WPB2.2 Plant detail-w slippage'!$P$2,0)</f>
        <v>0</v>
      </c>
      <c r="G496" s="260">
        <f>SUM(D496:F496)</f>
        <v>0</v>
      </c>
      <c r="H496" s="38"/>
      <c r="I496" s="260">
        <f>N390</f>
        <v>0</v>
      </c>
      <c r="J496" s="1360" t="s">
        <v>1102</v>
      </c>
      <c r="K496" s="266">
        <v>0</v>
      </c>
      <c r="L496" s="295">
        <f>-F496</f>
        <v>0</v>
      </c>
      <c r="M496" s="263">
        <v>0</v>
      </c>
      <c r="N496" s="2228">
        <f>I496+K496-L496+M496</f>
        <v>0</v>
      </c>
    </row>
    <row r="497" spans="1:14" x14ac:dyDescent="0.2">
      <c r="A497" s="31">
        <f>A496+1</f>
        <v>11</v>
      </c>
      <c r="B497" s="255"/>
      <c r="C497" s="256" t="s">
        <v>1079</v>
      </c>
      <c r="D497" s="38">
        <f>D496</f>
        <v>0</v>
      </c>
      <c r="E497" s="173">
        <f>E496</f>
        <v>0</v>
      </c>
      <c r="F497" s="173">
        <f>F496</f>
        <v>0</v>
      </c>
      <c r="G497" s="38">
        <f>G496</f>
        <v>0</v>
      </c>
      <c r="H497" s="38"/>
      <c r="I497" s="38">
        <f>I496</f>
        <v>0</v>
      </c>
      <c r="J497" s="1361"/>
      <c r="K497" s="173">
        <f>SUM(K496)</f>
        <v>0</v>
      </c>
      <c r="L497" s="38">
        <f>SUM(L496)</f>
        <v>0</v>
      </c>
      <c r="M497" s="173">
        <f>M496</f>
        <v>0</v>
      </c>
      <c r="N497" s="1361">
        <f>N496</f>
        <v>0</v>
      </c>
    </row>
    <row r="498" spans="1:14" x14ac:dyDescent="0.2">
      <c r="B498" s="254"/>
      <c r="D498" s="38"/>
      <c r="E498" s="173"/>
      <c r="F498" s="173"/>
      <c r="G498" s="38"/>
      <c r="H498" s="38"/>
      <c r="I498" s="38"/>
      <c r="J498" s="1361"/>
      <c r="K498" s="173"/>
      <c r="L498" s="38"/>
      <c r="M498" s="173"/>
    </row>
    <row r="499" spans="1:14" x14ac:dyDescent="0.2">
      <c r="A499" s="31">
        <f>A497+1</f>
        <v>12</v>
      </c>
      <c r="B499" s="254"/>
      <c r="C499" s="36" t="s">
        <v>707</v>
      </c>
      <c r="D499" s="38"/>
      <c r="E499" s="173"/>
      <c r="F499" s="173"/>
      <c r="G499" s="38"/>
      <c r="H499" s="38"/>
      <c r="I499" s="38"/>
      <c r="J499" s="1361"/>
      <c r="K499" s="173"/>
      <c r="L499" s="38"/>
      <c r="M499" s="173"/>
    </row>
    <row r="500" spans="1:14" x14ac:dyDescent="0.2">
      <c r="A500" s="31">
        <f>A499+1</f>
        <v>13</v>
      </c>
      <c r="B500" s="253">
        <v>374.1</v>
      </c>
      <c r="C500" s="52" t="s">
        <v>1035</v>
      </c>
      <c r="D500" s="257">
        <f t="shared" ref="D500:D510" si="122">G394</f>
        <v>206</v>
      </c>
      <c r="E500" s="382">
        <f>ROUND('Plant input detail '!E502*'WPB2.2 Plant detail-w slippage'!$P$2,0)</f>
        <v>0</v>
      </c>
      <c r="F500" s="257">
        <f>ROUND('Plant input detail '!F502*'WPB2.2 Plant detail-w slippage'!$P$2,0)</f>
        <v>0</v>
      </c>
      <c r="G500" s="257">
        <f>SUM(D500:F500)</f>
        <v>206</v>
      </c>
      <c r="H500" s="38"/>
      <c r="I500" s="257">
        <f t="shared" ref="I500:I510" si="123">N394</f>
        <v>0</v>
      </c>
      <c r="J500" s="1360" t="s">
        <v>1102</v>
      </c>
      <c r="K500" s="259">
        <v>0</v>
      </c>
      <c r="L500" s="38">
        <f t="shared" ref="L500:L510" si="124">-F500</f>
        <v>0</v>
      </c>
      <c r="M500" s="257">
        <f>ROUND('Plant input detail '!M502*'WPB2.2 Plant detail-w slippage'!$P$2,0)</f>
        <v>0</v>
      </c>
      <c r="N500" s="2227">
        <f t="shared" ref="N500:N510" si="125">I500+K500-L500+M500</f>
        <v>0</v>
      </c>
    </row>
    <row r="501" spans="1:14" x14ac:dyDescent="0.2">
      <c r="A501" s="31">
        <f t="shared" ref="A501:A521" si="126">A500+1</f>
        <v>14</v>
      </c>
      <c r="B501" s="253">
        <v>374.2</v>
      </c>
      <c r="C501" s="52" t="s">
        <v>1036</v>
      </c>
      <c r="D501" s="257">
        <f t="shared" si="122"/>
        <v>877756.18</v>
      </c>
      <c r="E501" s="382">
        <f>ROUND('Plant input detail '!E503*'WPB2.2 Plant detail-w slippage'!$P$2,0)</f>
        <v>0</v>
      </c>
      <c r="F501" s="257">
        <f>ROUND('Plant input detail '!F503*'WPB2.2 Plant detail-w slippage'!$P$2,0)</f>
        <v>0</v>
      </c>
      <c r="G501" s="257">
        <f t="shared" ref="G501:G510" si="127">SUM(D501:F501)</f>
        <v>877756.18</v>
      </c>
      <c r="H501" s="38"/>
      <c r="I501" s="257">
        <f t="shared" si="123"/>
        <v>-523.13</v>
      </c>
      <c r="J501" s="1360" t="s">
        <v>1102</v>
      </c>
      <c r="K501" s="259">
        <v>0</v>
      </c>
      <c r="L501" s="38">
        <f t="shared" si="124"/>
        <v>0</v>
      </c>
      <c r="M501" s="257">
        <f>ROUND('Plant input detail '!M503*'WPB2.2 Plant detail-w slippage'!$P$2,0)</f>
        <v>0</v>
      </c>
      <c r="N501" s="2227">
        <f t="shared" si="125"/>
        <v>-523.13</v>
      </c>
    </row>
    <row r="502" spans="1:14" x14ac:dyDescent="0.2">
      <c r="A502" s="31">
        <f t="shared" si="126"/>
        <v>15</v>
      </c>
      <c r="B502" s="253">
        <v>374.4</v>
      </c>
      <c r="C502" s="52" t="s">
        <v>1037</v>
      </c>
      <c r="D502" s="257">
        <f t="shared" si="122"/>
        <v>661305.66</v>
      </c>
      <c r="E502" s="382">
        <f>ROUND('Plant input detail '!E504*'WPB2.2 Plant detail-w slippage'!$P$2,0)</f>
        <v>0</v>
      </c>
      <c r="F502" s="257">
        <f>ROUND('Plant input detail '!F504*'WPB2.2 Plant detail-w slippage'!$P$2,0)</f>
        <v>0</v>
      </c>
      <c r="G502" s="257">
        <f t="shared" si="127"/>
        <v>661305.66</v>
      </c>
      <c r="H502" s="38"/>
      <c r="I502" s="257">
        <f t="shared" si="123"/>
        <v>173825.36</v>
      </c>
      <c r="J502" s="1362">
        <f t="shared" ref="J502:J508" si="128">J396</f>
        <v>1.5299999999999999E-2</v>
      </c>
      <c r="K502" s="173">
        <f>ROUND((G502+D502)/2*J502/12,0)</f>
        <v>843</v>
      </c>
      <c r="L502" s="38">
        <f t="shared" si="124"/>
        <v>0</v>
      </c>
      <c r="M502" s="257">
        <f>ROUND('Plant input detail '!M504*'WPB2.2 Plant detail-w slippage'!$P$2,0)</f>
        <v>0</v>
      </c>
      <c r="N502" s="2227">
        <f t="shared" si="125"/>
        <v>174668.36</v>
      </c>
    </row>
    <row r="503" spans="1:14" x14ac:dyDescent="0.2">
      <c r="A503" s="31">
        <f t="shared" si="126"/>
        <v>16</v>
      </c>
      <c r="B503" s="253">
        <v>374.5</v>
      </c>
      <c r="C503" s="52" t="s">
        <v>1038</v>
      </c>
      <c r="D503" s="257">
        <f t="shared" si="122"/>
        <v>2691006.55</v>
      </c>
      <c r="E503" s="382">
        <f>ROUND('Plant input detail '!E505*'WPB2.2 Plant detail-w slippage'!$P$2,0)</f>
        <v>6211</v>
      </c>
      <c r="F503" s="257">
        <f>ROUND('Plant input detail '!F505*'WPB2.2 Plant detail-w slippage'!$P$2,0)</f>
        <v>-745</v>
      </c>
      <c r="G503" s="257">
        <f t="shared" si="127"/>
        <v>2696472.55</v>
      </c>
      <c r="H503" s="38"/>
      <c r="I503" s="257">
        <f t="shared" si="123"/>
        <v>914103.23</v>
      </c>
      <c r="J503" s="1362">
        <f t="shared" si="128"/>
        <v>1.2200000000000001E-2</v>
      </c>
      <c r="K503" s="173">
        <f t="shared" ref="K503:K508" si="129">ROUND((G503+D503)/2*J503/12,0)</f>
        <v>2739</v>
      </c>
      <c r="L503" s="38">
        <f t="shared" si="124"/>
        <v>745</v>
      </c>
      <c r="M503" s="257">
        <f>ROUND('Plant input detail '!M505*'WPB2.2 Plant detail-w slippage'!$P$2,0)</f>
        <v>0</v>
      </c>
      <c r="N503" s="2227">
        <f t="shared" si="125"/>
        <v>916097.23</v>
      </c>
    </row>
    <row r="504" spans="1:14" x14ac:dyDescent="0.2">
      <c r="A504" s="31">
        <f t="shared" si="126"/>
        <v>17</v>
      </c>
      <c r="B504" s="253">
        <v>375.2</v>
      </c>
      <c r="C504" s="52" t="s">
        <v>1039</v>
      </c>
      <c r="D504" s="257">
        <f t="shared" si="122"/>
        <v>2124.98</v>
      </c>
      <c r="E504" s="382">
        <f>ROUND('Plant input detail '!E506*'WPB2.2 Plant detail-w slippage'!$P$2,0)</f>
        <v>0</v>
      </c>
      <c r="F504" s="257">
        <f>ROUND('Plant input detail '!F506*'WPB2.2 Plant detail-w slippage'!$P$2,0)</f>
        <v>0</v>
      </c>
      <c r="G504" s="257">
        <f t="shared" si="127"/>
        <v>2124.98</v>
      </c>
      <c r="H504" s="38"/>
      <c r="I504" s="257">
        <f t="shared" si="123"/>
        <v>2009.32</v>
      </c>
      <c r="J504" s="1362">
        <f t="shared" si="128"/>
        <v>1.9599999999999999E-2</v>
      </c>
      <c r="K504" s="173">
        <f t="shared" si="129"/>
        <v>3</v>
      </c>
      <c r="L504" s="38">
        <f t="shared" si="124"/>
        <v>0</v>
      </c>
      <c r="M504" s="257">
        <f>ROUND('Plant input detail '!M506*'WPB2.2 Plant detail-w slippage'!$P$2,0)</f>
        <v>0</v>
      </c>
      <c r="N504" s="2227">
        <f t="shared" si="125"/>
        <v>2012.32</v>
      </c>
    </row>
    <row r="505" spans="1:14" x14ac:dyDescent="0.2">
      <c r="A505" s="31">
        <f t="shared" si="126"/>
        <v>18</v>
      </c>
      <c r="B505" s="253">
        <v>375.3</v>
      </c>
      <c r="C505" s="52" t="s">
        <v>1040</v>
      </c>
      <c r="D505" s="257">
        <f t="shared" si="122"/>
        <v>0</v>
      </c>
      <c r="E505" s="382">
        <f>ROUND('Plant input detail '!E507*'WPB2.2 Plant detail-w slippage'!$P$2,0)</f>
        <v>0</v>
      </c>
      <c r="F505" s="257">
        <f>ROUND('Plant input detail '!F507*'WPB2.2 Plant detail-w slippage'!$P$2,0)</f>
        <v>0</v>
      </c>
      <c r="G505" s="257">
        <f t="shared" si="127"/>
        <v>0</v>
      </c>
      <c r="H505" s="38"/>
      <c r="I505" s="257">
        <f t="shared" si="123"/>
        <v>-77.66</v>
      </c>
      <c r="J505" s="1362">
        <f t="shared" si="128"/>
        <v>1.9599999999999999E-2</v>
      </c>
      <c r="K505" s="173">
        <f t="shared" si="129"/>
        <v>0</v>
      </c>
      <c r="L505" s="38">
        <f t="shared" si="124"/>
        <v>0</v>
      </c>
      <c r="M505" s="257">
        <f>ROUND('Plant input detail '!M507*'WPB2.2 Plant detail-w slippage'!$P$2,0)</f>
        <v>0</v>
      </c>
      <c r="N505" s="2227">
        <f t="shared" si="125"/>
        <v>-77.66</v>
      </c>
    </row>
    <row r="506" spans="1:14" x14ac:dyDescent="0.2">
      <c r="A506" s="31">
        <f t="shared" si="126"/>
        <v>19</v>
      </c>
      <c r="B506" s="253">
        <v>375.4</v>
      </c>
      <c r="C506" s="52" t="s">
        <v>1041</v>
      </c>
      <c r="D506" s="257">
        <f t="shared" si="122"/>
        <v>1875520.02</v>
      </c>
      <c r="E506" s="382">
        <f>ROUND('Plant input detail '!E508*'WPB2.2 Plant detail-w slippage'!$P$2,0)</f>
        <v>1898</v>
      </c>
      <c r="F506" s="257">
        <f>ROUND('Plant input detail '!F508*'WPB2.2 Plant detail-w slippage'!$P$2,0)</f>
        <v>-228</v>
      </c>
      <c r="G506" s="257">
        <f t="shared" si="127"/>
        <v>1877190.02</v>
      </c>
      <c r="H506" s="38"/>
      <c r="I506" s="257">
        <f t="shared" si="123"/>
        <v>498086.37</v>
      </c>
      <c r="J506" s="1362">
        <f t="shared" si="128"/>
        <v>1.9599999999999999E-2</v>
      </c>
      <c r="K506" s="173">
        <f t="shared" si="129"/>
        <v>3065</v>
      </c>
      <c r="L506" s="38">
        <f t="shared" si="124"/>
        <v>228</v>
      </c>
      <c r="M506" s="257">
        <f>ROUND('Plant input detail '!M508*'WPB2.2 Plant detail-w slippage'!$P$2,0)</f>
        <v>-23</v>
      </c>
      <c r="N506" s="2227">
        <f t="shared" si="125"/>
        <v>500900.37</v>
      </c>
    </row>
    <row r="507" spans="1:14" x14ac:dyDescent="0.2">
      <c r="A507" s="31">
        <f t="shared" si="126"/>
        <v>20</v>
      </c>
      <c r="B507" s="253">
        <v>375.6</v>
      </c>
      <c r="C507" s="52" t="s">
        <v>1042</v>
      </c>
      <c r="D507" s="257">
        <f t="shared" si="122"/>
        <v>0</v>
      </c>
      <c r="E507" s="382">
        <f>ROUND('Plant input detail '!E509*'WPB2.2 Plant detail-w slippage'!$P$2,0)</f>
        <v>0</v>
      </c>
      <c r="F507" s="257">
        <f>ROUND('Plant input detail '!F509*'WPB2.2 Plant detail-w slippage'!$P$2,0)</f>
        <v>0</v>
      </c>
      <c r="G507" s="257">
        <f t="shared" si="127"/>
        <v>0</v>
      </c>
      <c r="H507" s="38"/>
      <c r="I507" s="257">
        <f t="shared" si="123"/>
        <v>0.02</v>
      </c>
      <c r="J507" s="1362">
        <f t="shared" si="128"/>
        <v>1.9599999999999999E-2</v>
      </c>
      <c r="K507" s="173">
        <f t="shared" si="129"/>
        <v>0</v>
      </c>
      <c r="L507" s="38">
        <f t="shared" si="124"/>
        <v>0</v>
      </c>
      <c r="M507" s="257">
        <f>ROUND('Plant input detail '!M509*'WPB2.2 Plant detail-w slippage'!$P$2,0)</f>
        <v>0</v>
      </c>
      <c r="N507" s="2227">
        <f t="shared" si="125"/>
        <v>0.02</v>
      </c>
    </row>
    <row r="508" spans="1:14" x14ac:dyDescent="0.2">
      <c r="A508" s="31">
        <f t="shared" si="126"/>
        <v>21</v>
      </c>
      <c r="B508" s="253">
        <v>375.7</v>
      </c>
      <c r="C508" s="52" t="s">
        <v>1043</v>
      </c>
      <c r="D508" s="257">
        <f t="shared" si="122"/>
        <v>7993345.21</v>
      </c>
      <c r="E508" s="382">
        <f>ROUND('Plant input detail '!E510*'WPB2.2 Plant detail-w slippage'!$P$2,0)</f>
        <v>-45</v>
      </c>
      <c r="F508" s="257">
        <f>ROUND('Plant input detail '!F510*'WPB2.2 Plant detail-w slippage'!$P$2,0)</f>
        <v>5</v>
      </c>
      <c r="G508" s="257">
        <f t="shared" si="127"/>
        <v>7993305.21</v>
      </c>
      <c r="H508" s="38"/>
      <c r="I508" s="257">
        <f t="shared" si="123"/>
        <v>3271332.06</v>
      </c>
      <c r="J508" s="1362">
        <f t="shared" si="128"/>
        <v>1.9900000000000001E-2</v>
      </c>
      <c r="K508" s="173">
        <f t="shared" si="129"/>
        <v>13256</v>
      </c>
      <c r="L508" s="38">
        <f t="shared" si="124"/>
        <v>-5</v>
      </c>
      <c r="M508" s="257">
        <f>ROUND('Plant input detail '!M510*'WPB2.2 Plant detail-w slippage'!$P$2,0)</f>
        <v>0</v>
      </c>
      <c r="N508" s="2227">
        <f t="shared" si="125"/>
        <v>3284593.06</v>
      </c>
    </row>
    <row r="509" spans="1:14" x14ac:dyDescent="0.2">
      <c r="A509" s="31">
        <f t="shared" si="126"/>
        <v>22</v>
      </c>
      <c r="B509" s="253">
        <v>375.71</v>
      </c>
      <c r="C509" s="52" t="s">
        <v>1044</v>
      </c>
      <c r="D509" s="257">
        <f t="shared" si="122"/>
        <v>259808.94</v>
      </c>
      <c r="E509" s="382">
        <f>ROUND('Plant input detail '!E511*'WPB2.2 Plant detail-w slippage'!$P$2,0)</f>
        <v>0</v>
      </c>
      <c r="F509" s="257">
        <f>ROUND('Plant input detail '!F511*'WPB2.2 Plant detail-w slippage'!$P$2,0)</f>
        <v>0</v>
      </c>
      <c r="G509" s="257">
        <f t="shared" si="127"/>
        <v>259808.94</v>
      </c>
      <c r="H509" s="38"/>
      <c r="I509" s="257">
        <f t="shared" si="123"/>
        <v>166171.25789473689</v>
      </c>
      <c r="J509" s="296" t="s">
        <v>1094</v>
      </c>
      <c r="K509" s="258">
        <f>104653.88/38</f>
        <v>2754.0494736842106</v>
      </c>
      <c r="L509" s="38">
        <f t="shared" si="124"/>
        <v>0</v>
      </c>
      <c r="M509" s="257">
        <f>ROUND('Plant input detail '!M511*'WPB2.2 Plant detail-w slippage'!$P$2,0)</f>
        <v>0</v>
      </c>
      <c r="N509" s="2227">
        <f t="shared" si="125"/>
        <v>168925.30736842111</v>
      </c>
    </row>
    <row r="510" spans="1:14" x14ac:dyDescent="0.2">
      <c r="A510" s="31">
        <f t="shared" si="126"/>
        <v>23</v>
      </c>
      <c r="B510" s="253">
        <v>375.8</v>
      </c>
      <c r="C510" s="52" t="s">
        <v>1045</v>
      </c>
      <c r="D510" s="257">
        <f t="shared" si="122"/>
        <v>0</v>
      </c>
      <c r="E510" s="382">
        <f>ROUND('Plant input detail '!E512*'WPB2.2 Plant detail-w slippage'!$P$2,0)</f>
        <v>0</v>
      </c>
      <c r="F510" s="257">
        <f>ROUND('Plant input detail '!F512*'WPB2.2 Plant detail-w slippage'!$P$2,0)</f>
        <v>0</v>
      </c>
      <c r="G510" s="257">
        <f t="shared" si="127"/>
        <v>0</v>
      </c>
      <c r="H510" s="38"/>
      <c r="I510" s="257">
        <f t="shared" si="123"/>
        <v>0</v>
      </c>
      <c r="J510" s="1362">
        <f>J404</f>
        <v>5.3199999999999997E-2</v>
      </c>
      <c r="K510" s="259">
        <v>0</v>
      </c>
      <c r="L510" s="38">
        <f t="shared" si="124"/>
        <v>0</v>
      </c>
      <c r="M510" s="257">
        <f>ROUND('Plant input detail '!M512*'WPB2.2 Plant detail-w slippage'!$P$2,0)</f>
        <v>0</v>
      </c>
      <c r="N510" s="2227">
        <f t="shared" si="125"/>
        <v>0</v>
      </c>
    </row>
    <row r="511" spans="1:14" x14ac:dyDescent="0.2">
      <c r="A511" s="31">
        <f>A510+1</f>
        <v>24</v>
      </c>
      <c r="B511" s="253">
        <v>376</v>
      </c>
      <c r="C511" s="251" t="s">
        <v>1096</v>
      </c>
      <c r="D511" s="257"/>
      <c r="E511" s="258"/>
      <c r="F511" s="259"/>
      <c r="G511" s="257"/>
      <c r="H511" s="38"/>
      <c r="I511" s="181"/>
      <c r="J511" s="1361"/>
      <c r="K511" s="173"/>
      <c r="L511" s="38"/>
      <c r="M511" s="259"/>
    </row>
    <row r="512" spans="1:14" x14ac:dyDescent="0.2">
      <c r="A512" s="31"/>
      <c r="B512" s="253"/>
      <c r="C512" s="286" t="s">
        <v>1097</v>
      </c>
      <c r="D512" s="257"/>
      <c r="E512" s="258"/>
      <c r="F512" s="259"/>
      <c r="G512" s="257"/>
      <c r="H512" s="38"/>
      <c r="I512" s="257"/>
      <c r="J512" s="1362"/>
      <c r="K512" s="173"/>
      <c r="L512" s="38"/>
      <c r="M512" s="257"/>
      <c r="N512" s="2227"/>
    </row>
    <row r="513" spans="1:14" x14ac:dyDescent="0.2">
      <c r="A513" s="31"/>
      <c r="B513" s="253"/>
      <c r="C513" s="286" t="s">
        <v>1098</v>
      </c>
      <c r="D513" s="257"/>
      <c r="E513" s="258"/>
      <c r="F513" s="259"/>
      <c r="G513" s="257"/>
      <c r="H513" s="38"/>
      <c r="I513" s="257"/>
      <c r="J513" s="1362"/>
      <c r="K513" s="173"/>
      <c r="L513" s="38"/>
      <c r="M513" s="257"/>
      <c r="N513" s="2227"/>
    </row>
    <row r="514" spans="1:14" x14ac:dyDescent="0.2">
      <c r="A514" s="31"/>
      <c r="B514" s="253"/>
      <c r="C514" s="286" t="s">
        <v>1099</v>
      </c>
      <c r="D514" s="257"/>
      <c r="E514" s="258"/>
      <c r="F514" s="259"/>
      <c r="G514" s="257"/>
      <c r="H514" s="38"/>
      <c r="I514" s="257"/>
      <c r="J514" s="1362"/>
      <c r="K514" s="173"/>
      <c r="L514" s="38"/>
      <c r="M514" s="257"/>
      <c r="N514" s="2227"/>
    </row>
    <row r="515" spans="1:14" x14ac:dyDescent="0.2">
      <c r="A515" s="31"/>
      <c r="B515" s="253"/>
      <c r="C515" s="286" t="s">
        <v>1100</v>
      </c>
      <c r="D515" s="257"/>
      <c r="E515" s="258"/>
      <c r="F515" s="259"/>
      <c r="G515" s="257"/>
      <c r="H515" s="38"/>
      <c r="I515" s="257"/>
      <c r="J515" s="1362"/>
      <c r="K515" s="173"/>
      <c r="L515" s="38"/>
      <c r="M515" s="257"/>
      <c r="N515" s="2227"/>
    </row>
    <row r="516" spans="1:14" x14ac:dyDescent="0.2">
      <c r="A516" s="31"/>
      <c r="B516" s="253"/>
      <c r="C516" s="286" t="s">
        <v>1101</v>
      </c>
      <c r="D516" s="257">
        <f t="shared" ref="D516:D521" si="130">G410</f>
        <v>207999898.44</v>
      </c>
      <c r="E516" s="382">
        <f>ROUND('Plant input detail '!E518*'WPB2.2 Plant detail-w slippage'!$P$2,0)</f>
        <v>1071792</v>
      </c>
      <c r="F516" s="257">
        <f>ROUND('Plant input detail '!F518*'WPB2.2 Plant detail-w slippage'!$P$2,0)</f>
        <v>-128615</v>
      </c>
      <c r="G516" s="257">
        <f t="shared" ref="G516:G521" si="131">SUM(D516:F516)</f>
        <v>208943075.44</v>
      </c>
      <c r="H516" s="38"/>
      <c r="I516" s="257">
        <f t="shared" ref="I516:I521" si="132">N410</f>
        <v>56644196.609999999</v>
      </c>
      <c r="J516" s="1362">
        <f t="shared" ref="J516:J521" si="133">J410</f>
        <v>1.5699999999999999E-2</v>
      </c>
      <c r="K516" s="173">
        <f t="shared" ref="K516:K521" si="134">ROUND((G516+D516)/2*J516/12,0)</f>
        <v>272750</v>
      </c>
      <c r="L516" s="38">
        <f t="shared" ref="L516:L521" si="135">-F516</f>
        <v>128615</v>
      </c>
      <c r="M516" s="257">
        <f>ROUND('Plant input detail '!M518*'WPB2.2 Plant detail-w slippage'!$P$2,0)</f>
        <v>-19292</v>
      </c>
      <c r="N516" s="2227">
        <f t="shared" ref="N516:N521" si="136">I516+K516-L516+M516</f>
        <v>56769039.609999999</v>
      </c>
    </row>
    <row r="517" spans="1:14" x14ac:dyDescent="0.2">
      <c r="A517" s="31">
        <f>A511+1</f>
        <v>25</v>
      </c>
      <c r="B517" s="253">
        <v>378.1</v>
      </c>
      <c r="C517" s="52" t="s">
        <v>1047</v>
      </c>
      <c r="D517" s="257">
        <f t="shared" si="130"/>
        <v>518504.18</v>
      </c>
      <c r="E517" s="382">
        <f>ROUND('Plant input detail '!E519*'WPB2.2 Plant detail-w slippage'!$P$2,0)</f>
        <v>0</v>
      </c>
      <c r="F517" s="257">
        <f>ROUND('Plant input detail '!F519*'WPB2.2 Plant detail-w slippage'!$P$2,0)</f>
        <v>0</v>
      </c>
      <c r="G517" s="257">
        <f t="shared" si="131"/>
        <v>518504.18</v>
      </c>
      <c r="H517" s="38"/>
      <c r="I517" s="257">
        <f t="shared" si="132"/>
        <v>357371.81</v>
      </c>
      <c r="J517" s="1362">
        <f t="shared" si="133"/>
        <v>2.35E-2</v>
      </c>
      <c r="K517" s="173">
        <f t="shared" si="134"/>
        <v>1015</v>
      </c>
      <c r="L517" s="38">
        <f t="shared" si="135"/>
        <v>0</v>
      </c>
      <c r="M517" s="257">
        <f>ROUND('Plant input detail '!M519*'WPB2.2 Plant detail-w slippage'!$P$2,0)</f>
        <v>0</v>
      </c>
      <c r="N517" s="2227">
        <f t="shared" si="136"/>
        <v>358386.81</v>
      </c>
    </row>
    <row r="518" spans="1:14" x14ac:dyDescent="0.2">
      <c r="A518" s="31">
        <f t="shared" si="126"/>
        <v>26</v>
      </c>
      <c r="B518" s="253">
        <v>378.2</v>
      </c>
      <c r="C518" s="52" t="s">
        <v>1048</v>
      </c>
      <c r="D518" s="257">
        <f t="shared" si="130"/>
        <v>9538712</v>
      </c>
      <c r="E518" s="382">
        <f>ROUND('Plant input detail '!E520*'WPB2.2 Plant detail-w slippage'!$P$2,0)</f>
        <v>14525</v>
      </c>
      <c r="F518" s="257">
        <f>ROUND('Plant input detail '!F520*'WPB2.2 Plant detail-w slippage'!$P$2,0)</f>
        <v>-1743</v>
      </c>
      <c r="G518" s="257">
        <f t="shared" si="131"/>
        <v>9551494</v>
      </c>
      <c r="H518" s="38"/>
      <c r="I518" s="257">
        <f t="shared" si="132"/>
        <v>3290212.91</v>
      </c>
      <c r="J518" s="1362">
        <f t="shared" si="133"/>
        <v>2.35E-2</v>
      </c>
      <c r="K518" s="173">
        <f t="shared" si="134"/>
        <v>18692</v>
      </c>
      <c r="L518" s="38">
        <f t="shared" si="135"/>
        <v>1743</v>
      </c>
      <c r="M518" s="257">
        <f>ROUND('Plant input detail '!M520*'WPB2.2 Plant detail-w slippage'!$P$2,0)</f>
        <v>-87</v>
      </c>
      <c r="N518" s="2227">
        <f t="shared" si="136"/>
        <v>3307074.91</v>
      </c>
    </row>
    <row r="519" spans="1:14" x14ac:dyDescent="0.2">
      <c r="A519" s="31">
        <f t="shared" si="126"/>
        <v>27</v>
      </c>
      <c r="B519" s="253">
        <v>378.3</v>
      </c>
      <c r="C519" s="52" t="s">
        <v>1049</v>
      </c>
      <c r="D519" s="257">
        <f t="shared" si="130"/>
        <v>45443.08</v>
      </c>
      <c r="E519" s="382">
        <f>ROUND('Plant input detail '!E521*'WPB2.2 Plant detail-w slippage'!$P$2,0)</f>
        <v>0</v>
      </c>
      <c r="F519" s="257">
        <f>ROUND('Plant input detail '!F521*'WPB2.2 Plant detail-w slippage'!$P$2,0)</f>
        <v>0</v>
      </c>
      <c r="G519" s="257">
        <f t="shared" si="131"/>
        <v>45443.08</v>
      </c>
      <c r="H519" s="38"/>
      <c r="I519" s="257">
        <f t="shared" si="132"/>
        <v>35344.04</v>
      </c>
      <c r="J519" s="1362">
        <f t="shared" si="133"/>
        <v>2.35E-2</v>
      </c>
      <c r="K519" s="173">
        <f t="shared" si="134"/>
        <v>89</v>
      </c>
      <c r="L519" s="38">
        <f t="shared" si="135"/>
        <v>0</v>
      </c>
      <c r="M519" s="257">
        <f>ROUND('Plant input detail '!M521*'WPB2.2 Plant detail-w slippage'!$P$2,0)</f>
        <v>0</v>
      </c>
      <c r="N519" s="2227">
        <f t="shared" si="136"/>
        <v>35433.040000000001</v>
      </c>
    </row>
    <row r="520" spans="1:14" x14ac:dyDescent="0.2">
      <c r="A520" s="31">
        <f t="shared" si="126"/>
        <v>28</v>
      </c>
      <c r="B520" s="253">
        <v>379.1</v>
      </c>
      <c r="C520" s="52" t="s">
        <v>1050</v>
      </c>
      <c r="D520" s="257">
        <f t="shared" si="130"/>
        <v>254900.59</v>
      </c>
      <c r="E520" s="382">
        <f>ROUND('Plant input detail '!E522*'WPB2.2 Plant detail-w slippage'!$P$2,0)</f>
        <v>0</v>
      </c>
      <c r="F520" s="257">
        <f>ROUND('Plant input detail '!F522*'WPB2.2 Plant detail-w slippage'!$P$2,0)</f>
        <v>0</v>
      </c>
      <c r="G520" s="257">
        <f t="shared" si="131"/>
        <v>254900.59</v>
      </c>
      <c r="H520" s="38"/>
      <c r="I520" s="257">
        <f t="shared" si="132"/>
        <v>267730.57</v>
      </c>
      <c r="J520" s="1362">
        <f t="shared" si="133"/>
        <v>2.2700000000000001E-2</v>
      </c>
      <c r="K520" s="259">
        <v>0</v>
      </c>
      <c r="L520" s="38">
        <f t="shared" si="135"/>
        <v>0</v>
      </c>
      <c r="M520" s="257">
        <f>ROUND('Plant input detail '!M522*'WPB2.2 Plant detail-w slippage'!$P$2,0)</f>
        <v>0</v>
      </c>
      <c r="N520" s="2227">
        <f t="shared" si="136"/>
        <v>267730.57</v>
      </c>
    </row>
    <row r="521" spans="1:14" x14ac:dyDescent="0.2">
      <c r="A521" s="31">
        <f t="shared" si="126"/>
        <v>29</v>
      </c>
      <c r="B521" s="253">
        <v>380</v>
      </c>
      <c r="C521" s="52" t="s">
        <v>1051</v>
      </c>
      <c r="D521" s="257">
        <f t="shared" si="130"/>
        <v>119374130.77</v>
      </c>
      <c r="E521" s="382">
        <f>ROUND('Plant input detail '!E523*'WPB2.2 Plant detail-w slippage'!$P$2,0)</f>
        <v>739650</v>
      </c>
      <c r="F521" s="257">
        <f>ROUND('Plant input detail '!F523*'WPB2.2 Plant detail-w slippage'!$P$2,0)</f>
        <v>-88758</v>
      </c>
      <c r="G521" s="257">
        <f t="shared" si="131"/>
        <v>120025022.77</v>
      </c>
      <c r="H521" s="38"/>
      <c r="I521" s="257">
        <f t="shared" si="132"/>
        <v>57973056.520000003</v>
      </c>
      <c r="J521" s="1362">
        <f t="shared" si="133"/>
        <v>2.5899999999999999E-2</v>
      </c>
      <c r="K521" s="173">
        <f t="shared" si="134"/>
        <v>258352</v>
      </c>
      <c r="L521" s="38">
        <f t="shared" si="135"/>
        <v>88758</v>
      </c>
      <c r="M521" s="257">
        <f>ROUND('Plant input detail '!M523*'WPB2.2 Plant detail-w slippage'!$P$2,0)</f>
        <v>-44379</v>
      </c>
      <c r="N521" s="2227">
        <f t="shared" si="136"/>
        <v>58098271.520000003</v>
      </c>
    </row>
    <row r="522" spans="1:14" x14ac:dyDescent="0.2">
      <c r="A522" s="170"/>
      <c r="B522" s="179"/>
      <c r="C522" s="178"/>
      <c r="D522" s="181"/>
      <c r="E522" s="173"/>
      <c r="F522" s="173"/>
      <c r="G522" s="181"/>
      <c r="H522" s="173"/>
      <c r="I522" s="173"/>
      <c r="J522" s="173"/>
      <c r="K522" s="173"/>
      <c r="L522" s="173"/>
      <c r="M522" s="171"/>
      <c r="N522" s="2229"/>
    </row>
    <row r="523" spans="1:14" x14ac:dyDescent="0.2">
      <c r="A523" s="2079" t="str">
        <f>co</f>
        <v>COLUMBIA GAS OF KENTUCKY, INC.</v>
      </c>
      <c r="B523" s="2079"/>
      <c r="C523" s="2079"/>
      <c r="D523" s="2079"/>
      <c r="E523" s="2079"/>
      <c r="F523" s="2079"/>
      <c r="G523" s="2079"/>
      <c r="H523" s="2079"/>
      <c r="I523" s="2079"/>
      <c r="J523" s="2079"/>
      <c r="K523" s="2079"/>
      <c r="L523" s="2079"/>
      <c r="M523" s="2079"/>
      <c r="N523" s="2079"/>
    </row>
    <row r="524" spans="1:14" x14ac:dyDescent="0.2">
      <c r="A524" s="2079" t="str">
        <f>case</f>
        <v>CASE NO. 2016 - 00162</v>
      </c>
      <c r="B524" s="2079"/>
      <c r="C524" s="2079"/>
      <c r="D524" s="2079"/>
      <c r="E524" s="2079"/>
      <c r="F524" s="2079"/>
      <c r="G524" s="2079"/>
      <c r="H524" s="2079"/>
      <c r="I524" s="2079"/>
      <c r="J524" s="2079"/>
      <c r="K524" s="2079"/>
      <c r="L524" s="2079"/>
      <c r="M524" s="2079"/>
      <c r="N524" s="2079"/>
    </row>
    <row r="525" spans="1:14" x14ac:dyDescent="0.2">
      <c r="A525" s="2080" t="s">
        <v>1106</v>
      </c>
      <c r="B525" s="2079"/>
      <c r="C525" s="2079"/>
      <c r="D525" s="2079"/>
      <c r="E525" s="2079"/>
      <c r="F525" s="2079"/>
      <c r="G525" s="2079"/>
      <c r="H525" s="2079"/>
      <c r="I525" s="2079"/>
      <c r="J525" s="2079"/>
      <c r="K525" s="2079"/>
      <c r="L525" s="2079"/>
      <c r="M525" s="2079"/>
      <c r="N525" s="2079"/>
    </row>
    <row r="526" spans="1:14" x14ac:dyDescent="0.2">
      <c r="A526" s="2081" t="s">
        <v>2142</v>
      </c>
      <c r="B526" s="2085"/>
      <c r="C526" s="2085"/>
      <c r="D526" s="2085"/>
      <c r="E526" s="2085"/>
      <c r="F526" s="2085"/>
      <c r="G526" s="2085"/>
      <c r="H526" s="2085"/>
      <c r="I526" s="2085"/>
      <c r="J526" s="2085"/>
      <c r="K526" s="2085"/>
      <c r="L526" s="2085"/>
      <c r="M526" s="2085"/>
      <c r="N526" s="2085"/>
    </row>
    <row r="528" spans="1:14" x14ac:dyDescent="0.2">
      <c r="A528" s="285" t="str">
        <f>$A$6</f>
        <v>DATA:__X___BASE PERIOD__X___FORECASTED PERIOD</v>
      </c>
      <c r="C528" s="171"/>
      <c r="M528" s="32"/>
      <c r="N528" s="1258" t="str">
        <f>$N$6</f>
        <v>WPB-2.2</v>
      </c>
    </row>
    <row r="529" spans="1:14" x14ac:dyDescent="0.2">
      <c r="A529" s="4" t="str">
        <f>$A$7</f>
        <v>TYPE OF FILING:___X____ORIGINAL________UPDATED</v>
      </c>
      <c r="M529" s="32"/>
      <c r="N529" s="2223" t="s">
        <v>1723</v>
      </c>
    </row>
    <row r="530" spans="1:14" x14ac:dyDescent="0.2">
      <c r="A530" s="1261" t="str">
        <f>$A$8</f>
        <v xml:space="preserve">WORKPAPER REFERENCE NO(S).: </v>
      </c>
      <c r="B530" s="202"/>
      <c r="C530" s="202"/>
      <c r="D530" s="201"/>
      <c r="E530" s="202"/>
      <c r="F530" s="202"/>
      <c r="G530" s="201"/>
      <c r="H530" s="201"/>
      <c r="M530" s="203"/>
      <c r="N530" s="204" t="str">
        <f>SMK</f>
        <v>WITNESS:  S. M. KATKO</v>
      </c>
    </row>
    <row r="531" spans="1:14" x14ac:dyDescent="0.2">
      <c r="A531" s="200"/>
      <c r="B531" s="201"/>
      <c r="C531" s="201"/>
      <c r="D531" s="201"/>
      <c r="E531" s="202"/>
      <c r="F531" s="202"/>
      <c r="G531" s="201"/>
      <c r="H531" s="201"/>
      <c r="I531" s="203"/>
      <c r="J531" s="1357"/>
      <c r="L531" s="32"/>
      <c r="M531" s="32"/>
    </row>
    <row r="532" spans="1:14" x14ac:dyDescent="0.2">
      <c r="A532" s="200"/>
      <c r="B532" s="201"/>
      <c r="C532" s="201"/>
      <c r="D532" s="2082" t="s">
        <v>1088</v>
      </c>
      <c r="E532" s="2082"/>
      <c r="F532" s="2082"/>
      <c r="G532" s="2082"/>
      <c r="H532" s="201"/>
      <c r="I532" s="2083" t="s">
        <v>1093</v>
      </c>
      <c r="J532" s="2084"/>
      <c r="K532" s="2084"/>
      <c r="L532" s="2084"/>
      <c r="M532" s="2084"/>
      <c r="N532" s="2084"/>
    </row>
    <row r="533" spans="1:14" x14ac:dyDescent="0.2">
      <c r="A533" s="270"/>
      <c r="B533" s="201"/>
      <c r="C533" s="201"/>
      <c r="D533" s="271" t="s">
        <v>1084</v>
      </c>
      <c r="E533" s="202"/>
      <c r="F533" s="202"/>
      <c r="G533" s="269"/>
      <c r="H533" s="269"/>
      <c r="I533" s="261" t="s">
        <v>1089</v>
      </c>
      <c r="J533" s="1358"/>
      <c r="M533" s="32"/>
    </row>
    <row r="534" spans="1:14" x14ac:dyDescent="0.2">
      <c r="A534" s="30"/>
      <c r="D534" s="261" t="s">
        <v>865</v>
      </c>
      <c r="G534" s="261" t="s">
        <v>867</v>
      </c>
      <c r="H534" s="268"/>
      <c r="I534" s="261" t="s">
        <v>865</v>
      </c>
      <c r="J534" s="1308" t="s">
        <v>956</v>
      </c>
      <c r="M534" s="32"/>
      <c r="N534" s="2225" t="s">
        <v>867</v>
      </c>
    </row>
    <row r="535" spans="1:14" x14ac:dyDescent="0.2">
      <c r="A535" s="261" t="s">
        <v>1080</v>
      </c>
      <c r="B535" s="261" t="s">
        <v>1082</v>
      </c>
      <c r="D535" s="261" t="s">
        <v>867</v>
      </c>
      <c r="G535" s="262" t="s">
        <v>1087</v>
      </c>
      <c r="H535" s="268"/>
      <c r="I535" s="262" t="s">
        <v>867</v>
      </c>
      <c r="J535" s="1308" t="s">
        <v>1090</v>
      </c>
      <c r="K535" s="1308" t="s">
        <v>956</v>
      </c>
      <c r="M535" s="262" t="s">
        <v>1092</v>
      </c>
      <c r="N535" s="1259" t="s">
        <v>1087</v>
      </c>
    </row>
    <row r="536" spans="1:14" x14ac:dyDescent="0.2">
      <c r="A536" s="272" t="s">
        <v>1081</v>
      </c>
      <c r="B536" s="272" t="s">
        <v>1081</v>
      </c>
      <c r="C536" s="273" t="s">
        <v>1083</v>
      </c>
      <c r="D536" s="274" t="str">
        <f>D483</f>
        <v>06/30/2016</v>
      </c>
      <c r="E536" s="275" t="s">
        <v>1085</v>
      </c>
      <c r="F536" s="275" t="s">
        <v>1086</v>
      </c>
      <c r="G536" s="274" t="str">
        <f>G483</f>
        <v>07/31/2016</v>
      </c>
      <c r="H536" s="268"/>
      <c r="I536" s="274" t="str">
        <f>D536</f>
        <v>06/30/2016</v>
      </c>
      <c r="J536" s="275" t="s">
        <v>1091</v>
      </c>
      <c r="K536" s="1327" t="s">
        <v>1090</v>
      </c>
      <c r="L536" s="276" t="s">
        <v>1086</v>
      </c>
      <c r="M536" s="276" t="s">
        <v>955</v>
      </c>
      <c r="N536" s="2226" t="str">
        <f>G536</f>
        <v>07/31/2016</v>
      </c>
    </row>
    <row r="537" spans="1:14" x14ac:dyDescent="0.2">
      <c r="A537" s="267"/>
      <c r="B537" s="267"/>
      <c r="C537" s="267"/>
      <c r="D537" s="267" t="str">
        <f>"(1)"</f>
        <v>(1)</v>
      </c>
      <c r="E537" s="267" t="str">
        <f>"(2)"</f>
        <v>(2)</v>
      </c>
      <c r="F537" s="267" t="str">
        <f>"(3)"</f>
        <v>(3)</v>
      </c>
      <c r="G537" s="267" t="str">
        <f>"(4)=(1+2+3)"</f>
        <v>(4)=(1+2+3)</v>
      </c>
      <c r="H537" s="267"/>
      <c r="I537" s="267" t="str">
        <f>"(5)"</f>
        <v>(5)</v>
      </c>
      <c r="J537" s="1328" t="str">
        <f>"(6)"</f>
        <v>(6)</v>
      </c>
      <c r="K537" s="1328" t="str">
        <f>"(7)=((1+4)/2*6/12))"</f>
        <v>(7)=((1+4)/2*6/12))</v>
      </c>
      <c r="L537" s="267" t="str">
        <f>"(8)"</f>
        <v>(8)</v>
      </c>
      <c r="M537" s="267" t="str">
        <f>"(9)"</f>
        <v>(9)</v>
      </c>
      <c r="N537" s="204" t="str">
        <f>"(10)=(5+7-8+9)"</f>
        <v>(10)=(5+7-8+9)</v>
      </c>
    </row>
    <row r="538" spans="1:14" x14ac:dyDescent="0.2">
      <c r="D538" s="31" t="s">
        <v>639</v>
      </c>
      <c r="E538" s="170" t="s">
        <v>639</v>
      </c>
      <c r="F538" s="170" t="s">
        <v>639</v>
      </c>
      <c r="G538" s="31" t="s">
        <v>639</v>
      </c>
      <c r="H538" s="31"/>
      <c r="I538" s="31" t="s">
        <v>639</v>
      </c>
      <c r="J538" s="170" t="s">
        <v>639</v>
      </c>
      <c r="K538" s="170" t="s">
        <v>639</v>
      </c>
      <c r="L538" s="31" t="s">
        <v>639</v>
      </c>
      <c r="M538" s="31" t="s">
        <v>639</v>
      </c>
      <c r="N538" s="155" t="s">
        <v>639</v>
      </c>
    </row>
    <row r="539" spans="1:14" x14ac:dyDescent="0.2">
      <c r="C539" s="36" t="s">
        <v>707</v>
      </c>
      <c r="D539" s="31"/>
      <c r="E539" s="170"/>
      <c r="F539" s="170"/>
      <c r="G539" s="31"/>
      <c r="J539" s="170"/>
    </row>
    <row r="540" spans="1:14" x14ac:dyDescent="0.2">
      <c r="A540" s="127">
        <v>1</v>
      </c>
      <c r="B540" s="123">
        <v>381</v>
      </c>
      <c r="C540" s="52" t="s">
        <v>1052</v>
      </c>
      <c r="D540" s="257">
        <f t="shared" ref="D540:D551" si="137">G434</f>
        <v>13615778.550000001</v>
      </c>
      <c r="E540" s="382">
        <f>ROUND('Plant input detail '!E542*'WPB2.2 Plant detail-w slippage'!$P$2,0)</f>
        <v>6028</v>
      </c>
      <c r="F540" s="257">
        <f>ROUND('Plant input detail '!F542*'WPB2.2 Plant detail-w slippage'!$P$2,0)</f>
        <v>-723</v>
      </c>
      <c r="G540" s="257">
        <f>SUM(D540:F540)</f>
        <v>13621083.550000001</v>
      </c>
      <c r="H540" s="38"/>
      <c r="I540" s="257">
        <f t="shared" ref="I540:I551" si="138">N434</f>
        <v>4767659.8899999997</v>
      </c>
      <c r="J540" s="1362">
        <f t="shared" ref="J540:J551" si="139">J434</f>
        <v>2.5899999999999999E-2</v>
      </c>
      <c r="K540" s="173">
        <f t="shared" ref="K540:K551" si="140">ROUND((G540+D540)/2*J540/12,0)</f>
        <v>29393</v>
      </c>
      <c r="L540" s="38">
        <f t="shared" ref="L540:L551" si="141">-F540</f>
        <v>723</v>
      </c>
      <c r="M540" s="257">
        <f>ROUND('Plant input detail '!M542*'WPB2.2 Plant detail-w slippage'!$P$2,0)</f>
        <v>0</v>
      </c>
      <c r="N540" s="2227">
        <f t="shared" ref="N540:N551" si="142">I540+K540-L540+M540</f>
        <v>4796329.8899999997</v>
      </c>
    </row>
    <row r="541" spans="1:14" x14ac:dyDescent="0.2">
      <c r="A541" s="127">
        <f>A540+1</f>
        <v>2</v>
      </c>
      <c r="B541" s="123">
        <v>381.1</v>
      </c>
      <c r="C541" s="52" t="s">
        <v>1115</v>
      </c>
      <c r="D541" s="257">
        <f t="shared" si="137"/>
        <v>8755468.0600000005</v>
      </c>
      <c r="E541" s="382">
        <f>ROUND('Plant input detail '!E543*'WPB2.2 Plant detail-w slippage'!$P$2,0)</f>
        <v>7419</v>
      </c>
      <c r="F541" s="257">
        <f>ROUND('Plant input detail '!F543*'WPB2.2 Plant detail-w slippage'!$P$2,0)</f>
        <v>-890</v>
      </c>
      <c r="G541" s="257">
        <f>SUM(D541:F541)</f>
        <v>8761997.0600000005</v>
      </c>
      <c r="H541" s="38"/>
      <c r="I541" s="257">
        <f t="shared" si="138"/>
        <v>441942.5</v>
      </c>
      <c r="J541" s="1362">
        <f t="shared" si="139"/>
        <v>2.5899999999999999E-2</v>
      </c>
      <c r="K541" s="173">
        <f t="shared" si="140"/>
        <v>18904</v>
      </c>
      <c r="L541" s="38">
        <f t="shared" si="141"/>
        <v>890</v>
      </c>
      <c r="M541" s="257">
        <f>ROUND('Plant input detail '!M543*'WPB2.2 Plant detail-w slippage'!$P$2,0)</f>
        <v>0</v>
      </c>
      <c r="N541" s="2227">
        <f t="shared" si="142"/>
        <v>459956.5</v>
      </c>
    </row>
    <row r="542" spans="1:14" x14ac:dyDescent="0.2">
      <c r="A542" s="127">
        <f t="shared" ref="A542:A552" si="143">A541+1</f>
        <v>3</v>
      </c>
      <c r="B542" s="123">
        <v>382</v>
      </c>
      <c r="C542" s="52" t="s">
        <v>1053</v>
      </c>
      <c r="D542" s="257">
        <f t="shared" si="137"/>
        <v>9058151.6500000004</v>
      </c>
      <c r="E542" s="382">
        <f>ROUND('Plant input detail '!E544*'WPB2.2 Plant detail-w slippage'!$P$2,0)</f>
        <v>8319</v>
      </c>
      <c r="F542" s="257">
        <f>ROUND('Plant input detail '!F544*'WPB2.2 Plant detail-w slippage'!$P$2,0)</f>
        <v>-998</v>
      </c>
      <c r="G542" s="257">
        <f t="shared" ref="G542:G547" si="144">SUM(D542:F542)</f>
        <v>9065472.6500000004</v>
      </c>
      <c r="H542" s="38"/>
      <c r="I542" s="257">
        <f t="shared" si="138"/>
        <v>4547503.3</v>
      </c>
      <c r="J542" s="1362">
        <f t="shared" si="139"/>
        <v>2.3900000000000001E-2</v>
      </c>
      <c r="K542" s="173">
        <f t="shared" si="140"/>
        <v>18048</v>
      </c>
      <c r="L542" s="38">
        <f t="shared" si="141"/>
        <v>998</v>
      </c>
      <c r="M542" s="257">
        <f>ROUND('Plant input detail '!M544*'WPB2.2 Plant detail-w slippage'!$P$2,0)</f>
        <v>-50</v>
      </c>
      <c r="N542" s="2227">
        <f t="shared" si="142"/>
        <v>4564503.3</v>
      </c>
    </row>
    <row r="543" spans="1:14" x14ac:dyDescent="0.2">
      <c r="A543" s="127">
        <f t="shared" si="143"/>
        <v>4</v>
      </c>
      <c r="B543" s="123">
        <v>383</v>
      </c>
      <c r="C543" s="52" t="s">
        <v>1054</v>
      </c>
      <c r="D543" s="257">
        <f t="shared" si="137"/>
        <v>5565296.7599999998</v>
      </c>
      <c r="E543" s="382">
        <f>ROUND('Plant input detail '!E545*'WPB2.2 Plant detail-w slippage'!$P$2,0)</f>
        <v>7226</v>
      </c>
      <c r="F543" s="257">
        <f>ROUND('Plant input detail '!F545*'WPB2.2 Plant detail-w slippage'!$P$2,0)</f>
        <v>-867</v>
      </c>
      <c r="G543" s="257">
        <f t="shared" si="144"/>
        <v>5571655.7599999998</v>
      </c>
      <c r="H543" s="38"/>
      <c r="I543" s="257">
        <f t="shared" si="138"/>
        <v>1480502.41</v>
      </c>
      <c r="J543" s="1362">
        <f t="shared" si="139"/>
        <v>1.3899999999999999E-2</v>
      </c>
      <c r="K543" s="173">
        <f t="shared" si="140"/>
        <v>6450</v>
      </c>
      <c r="L543" s="38">
        <f t="shared" si="141"/>
        <v>867</v>
      </c>
      <c r="M543" s="257">
        <f>ROUND('Plant input detail '!M545*'WPB2.2 Plant detail-w slippage'!$P$2,0)</f>
        <v>-43</v>
      </c>
      <c r="N543" s="2227">
        <f t="shared" si="142"/>
        <v>1486042.41</v>
      </c>
    </row>
    <row r="544" spans="1:14" x14ac:dyDescent="0.2">
      <c r="A544" s="127">
        <f t="shared" si="143"/>
        <v>5</v>
      </c>
      <c r="B544" s="123">
        <v>384</v>
      </c>
      <c r="C544" s="52" t="s">
        <v>1055</v>
      </c>
      <c r="D544" s="257">
        <f t="shared" si="137"/>
        <v>2257522</v>
      </c>
      <c r="E544" s="382">
        <f>ROUND('Plant input detail '!E546*'WPB2.2 Plant detail-w slippage'!$P$2,0)</f>
        <v>0</v>
      </c>
      <c r="F544" s="257">
        <f>ROUND('Plant input detail '!F546*'WPB2.2 Plant detail-w slippage'!$P$2,0)</f>
        <v>0</v>
      </c>
      <c r="G544" s="257">
        <f t="shared" si="144"/>
        <v>2257522</v>
      </c>
      <c r="H544" s="38"/>
      <c r="I544" s="257">
        <f t="shared" si="138"/>
        <v>1756914.73</v>
      </c>
      <c r="J544" s="1362">
        <f t="shared" si="139"/>
        <v>1.0999999999999999E-2</v>
      </c>
      <c r="K544" s="173">
        <f t="shared" si="140"/>
        <v>2069</v>
      </c>
      <c r="L544" s="38">
        <f t="shared" si="141"/>
        <v>0</v>
      </c>
      <c r="M544" s="257">
        <f>ROUND('Plant input detail '!M546*'WPB2.2 Plant detail-w slippage'!$P$2,0)</f>
        <v>0</v>
      </c>
      <c r="N544" s="2227">
        <f t="shared" si="142"/>
        <v>1758983.73</v>
      </c>
    </row>
    <row r="545" spans="1:14" x14ac:dyDescent="0.2">
      <c r="A545" s="127">
        <f t="shared" si="143"/>
        <v>6</v>
      </c>
      <c r="B545" s="123">
        <v>385</v>
      </c>
      <c r="C545" s="52" t="s">
        <v>1056</v>
      </c>
      <c r="D545" s="257">
        <f t="shared" si="137"/>
        <v>3144090.36</v>
      </c>
      <c r="E545" s="382">
        <f>ROUND('Plant input detail '!E547*'WPB2.2 Plant detail-w slippage'!$P$2,0)</f>
        <v>14566</v>
      </c>
      <c r="F545" s="257">
        <f>ROUND('Plant input detail '!F547*'WPB2.2 Plant detail-w slippage'!$P$2,0)</f>
        <v>-1748</v>
      </c>
      <c r="G545" s="257">
        <f t="shared" si="144"/>
        <v>3156908.36</v>
      </c>
      <c r="H545" s="38"/>
      <c r="I545" s="257">
        <f t="shared" si="138"/>
        <v>872286.55</v>
      </c>
      <c r="J545" s="1362">
        <f t="shared" si="139"/>
        <v>2.0899999999999998E-2</v>
      </c>
      <c r="K545" s="173">
        <f t="shared" si="140"/>
        <v>5487</v>
      </c>
      <c r="L545" s="38">
        <f t="shared" si="141"/>
        <v>1748</v>
      </c>
      <c r="M545" s="257">
        <f>ROUND('Plant input detail '!M547*'WPB2.2 Plant detail-w slippage'!$P$2,0)</f>
        <v>-87</v>
      </c>
      <c r="N545" s="2227">
        <f t="shared" si="142"/>
        <v>875938.55</v>
      </c>
    </row>
    <row r="546" spans="1:14" x14ac:dyDescent="0.2">
      <c r="A546" s="127">
        <f t="shared" si="143"/>
        <v>7</v>
      </c>
      <c r="B546" s="123">
        <v>387.2</v>
      </c>
      <c r="C546" s="52" t="s">
        <v>1057</v>
      </c>
      <c r="D546" s="257">
        <f t="shared" si="137"/>
        <v>0</v>
      </c>
      <c r="E546" s="382">
        <f>ROUND('Plant input detail '!E548*'WPB2.2 Plant detail-w slippage'!$P$2,0)</f>
        <v>0</v>
      </c>
      <c r="F546" s="257">
        <f>ROUND('Plant input detail '!F548*'WPB2.2 Plant detail-w slippage'!$P$2,0)</f>
        <v>0</v>
      </c>
      <c r="G546" s="257">
        <f t="shared" si="144"/>
        <v>0</v>
      </c>
      <c r="H546" s="38"/>
      <c r="I546" s="257">
        <f t="shared" si="138"/>
        <v>-59912.03</v>
      </c>
      <c r="J546" s="1362">
        <f t="shared" si="139"/>
        <v>2.3199999999999998E-2</v>
      </c>
      <c r="K546" s="173">
        <f t="shared" si="140"/>
        <v>0</v>
      </c>
      <c r="L546" s="38">
        <f t="shared" si="141"/>
        <v>0</v>
      </c>
      <c r="M546" s="257">
        <f>ROUND('Plant input detail '!M548*'WPB2.2 Plant detail-w slippage'!$P$2,0)</f>
        <v>0</v>
      </c>
      <c r="N546" s="2227">
        <f t="shared" si="142"/>
        <v>-59912.03</v>
      </c>
    </row>
    <row r="547" spans="1:14" x14ac:dyDescent="0.2">
      <c r="A547" s="127">
        <f t="shared" si="143"/>
        <v>8</v>
      </c>
      <c r="B547" s="123">
        <v>387.41</v>
      </c>
      <c r="C547" s="52" t="s">
        <v>1058</v>
      </c>
      <c r="D547" s="257">
        <f t="shared" si="137"/>
        <v>735770.76</v>
      </c>
      <c r="E547" s="382">
        <f>ROUND('Plant input detail '!E549*'WPB2.2 Plant detail-w slippage'!$P$2,0)</f>
        <v>0</v>
      </c>
      <c r="F547" s="257">
        <f>ROUND('Plant input detail '!F549*'WPB2.2 Plant detail-w slippage'!$P$2,0)</f>
        <v>0</v>
      </c>
      <c r="G547" s="257">
        <f t="shared" si="144"/>
        <v>735770.76</v>
      </c>
      <c r="H547" s="38"/>
      <c r="I547" s="257">
        <f t="shared" si="138"/>
        <v>377447.95</v>
      </c>
      <c r="J547" s="1362">
        <f t="shared" si="139"/>
        <v>2.3400000000000001E-2</v>
      </c>
      <c r="K547" s="173">
        <f t="shared" si="140"/>
        <v>1435</v>
      </c>
      <c r="L547" s="38">
        <f t="shared" si="141"/>
        <v>0</v>
      </c>
      <c r="M547" s="257">
        <f>ROUND('Plant input detail '!M549*'WPB2.2 Plant detail-w slippage'!$P$2,0)</f>
        <v>0</v>
      </c>
      <c r="N547" s="2227">
        <f t="shared" si="142"/>
        <v>378882.95</v>
      </c>
    </row>
    <row r="548" spans="1:14" x14ac:dyDescent="0.2">
      <c r="A548" s="127">
        <f t="shared" si="143"/>
        <v>9</v>
      </c>
      <c r="B548" s="123">
        <v>387.42</v>
      </c>
      <c r="C548" s="52" t="s">
        <v>1059</v>
      </c>
      <c r="D548" s="257">
        <f t="shared" si="137"/>
        <v>795186.58</v>
      </c>
      <c r="E548" s="382">
        <f>ROUND('Plant input detail '!E550*'WPB2.2 Plant detail-w slippage'!$P$2,0)</f>
        <v>0</v>
      </c>
      <c r="F548" s="257">
        <f>ROUND('Plant input detail '!F550*'WPB2.2 Plant detail-w slippage'!$P$2,0)</f>
        <v>0</v>
      </c>
      <c r="G548" s="257">
        <f>SUM(D548:F548)</f>
        <v>795186.58</v>
      </c>
      <c r="H548" s="38"/>
      <c r="I548" s="257">
        <f t="shared" si="138"/>
        <v>543239.94999999995</v>
      </c>
      <c r="J548" s="1362">
        <f t="shared" si="139"/>
        <v>2.3400000000000001E-2</v>
      </c>
      <c r="K548" s="173">
        <f t="shared" si="140"/>
        <v>1551</v>
      </c>
      <c r="L548" s="38">
        <f t="shared" si="141"/>
        <v>0</v>
      </c>
      <c r="M548" s="257">
        <f>ROUND('Plant input detail '!M550*'WPB2.2 Plant detail-w slippage'!$P$2,0)</f>
        <v>0</v>
      </c>
      <c r="N548" s="2227">
        <f t="shared" si="142"/>
        <v>544790.94999999995</v>
      </c>
    </row>
    <row r="549" spans="1:14" x14ac:dyDescent="0.2">
      <c r="A549" s="127">
        <f t="shared" si="143"/>
        <v>10</v>
      </c>
      <c r="B549" s="123">
        <v>387.44</v>
      </c>
      <c r="C549" s="52" t="s">
        <v>1060</v>
      </c>
      <c r="D549" s="257">
        <f t="shared" si="137"/>
        <v>143283.93</v>
      </c>
      <c r="E549" s="382">
        <f>ROUND('Plant input detail '!E551*'WPB2.2 Plant detail-w slippage'!$P$2,0)</f>
        <v>0</v>
      </c>
      <c r="F549" s="257">
        <f>ROUND('Plant input detail '!F551*'WPB2.2 Plant detail-w slippage'!$P$2,0)</f>
        <v>0</v>
      </c>
      <c r="G549" s="257">
        <f>SUM(D549:F549)</f>
        <v>143283.93</v>
      </c>
      <c r="H549" s="38"/>
      <c r="I549" s="257">
        <f t="shared" si="138"/>
        <v>45274.55</v>
      </c>
      <c r="J549" s="1362">
        <f t="shared" si="139"/>
        <v>2.3400000000000001E-2</v>
      </c>
      <c r="K549" s="173">
        <f t="shared" si="140"/>
        <v>279</v>
      </c>
      <c r="L549" s="38">
        <f t="shared" si="141"/>
        <v>0</v>
      </c>
      <c r="M549" s="257">
        <f>ROUND('Plant input detail '!M551*'WPB2.2 Plant detail-w slippage'!$P$2,0)</f>
        <v>0</v>
      </c>
      <c r="N549" s="2227">
        <f t="shared" si="142"/>
        <v>45553.55</v>
      </c>
    </row>
    <row r="550" spans="1:14" x14ac:dyDescent="0.2">
      <c r="A550" s="127">
        <f t="shared" si="143"/>
        <v>11</v>
      </c>
      <c r="B550" s="123">
        <v>387.45</v>
      </c>
      <c r="C550" s="52" t="s">
        <v>1061</v>
      </c>
      <c r="D550" s="257">
        <f t="shared" si="137"/>
        <v>2838052.66</v>
      </c>
      <c r="E550" s="382">
        <f>ROUND('Plant input detail '!E552*'WPB2.2 Plant detail-w slippage'!$P$2,0)</f>
        <v>-20560</v>
      </c>
      <c r="F550" s="257">
        <f>ROUND('Plant input detail '!F552*'WPB2.2 Plant detail-w slippage'!$P$2,0)</f>
        <v>2467</v>
      </c>
      <c r="G550" s="257">
        <f>SUM(D550:F550)</f>
        <v>2819959.66</v>
      </c>
      <c r="H550" s="38"/>
      <c r="I550" s="257">
        <f t="shared" si="138"/>
        <v>556107.06000000006</v>
      </c>
      <c r="J550" s="1362">
        <f t="shared" si="139"/>
        <v>2.3400000000000001E-2</v>
      </c>
      <c r="K550" s="173">
        <f t="shared" si="140"/>
        <v>5517</v>
      </c>
      <c r="L550" s="38">
        <f t="shared" si="141"/>
        <v>-2467</v>
      </c>
      <c r="M550" s="257">
        <f>ROUND('Plant input detail '!M552*'WPB2.2 Plant detail-w slippage'!$P$2,0)</f>
        <v>0</v>
      </c>
      <c r="N550" s="2227">
        <f t="shared" si="142"/>
        <v>564091.06000000006</v>
      </c>
    </row>
    <row r="551" spans="1:14" x14ac:dyDescent="0.2">
      <c r="A551" s="127">
        <f t="shared" si="143"/>
        <v>12</v>
      </c>
      <c r="B551" s="123">
        <v>387.46</v>
      </c>
      <c r="C551" s="52" t="s">
        <v>1062</v>
      </c>
      <c r="D551" s="260">
        <f t="shared" si="137"/>
        <v>113644.47</v>
      </c>
      <c r="E551" s="265">
        <f>ROUND('Plant input detail '!E553*'WPB2.2 Plant detail-w slippage'!$P$2,0)</f>
        <v>0</v>
      </c>
      <c r="F551" s="265">
        <f>ROUND('Plant input detail '!F553*'WPB2.2 Plant detail-w slippage'!$P$2,0)</f>
        <v>0</v>
      </c>
      <c r="G551" s="265">
        <f>SUM(D551:F551)</f>
        <v>113644.47</v>
      </c>
      <c r="H551" s="264"/>
      <c r="I551" s="260">
        <f t="shared" si="138"/>
        <v>110900.83</v>
      </c>
      <c r="J551" s="1362">
        <f t="shared" si="139"/>
        <v>2.3400000000000001E-2</v>
      </c>
      <c r="K551" s="260">
        <f t="shared" si="140"/>
        <v>222</v>
      </c>
      <c r="L551" s="295">
        <f t="shared" si="141"/>
        <v>0</v>
      </c>
      <c r="M551" s="265">
        <f>ROUND('Plant input detail '!M553*'WPB2.2 Plant detail-w slippage'!$P$2,0)</f>
        <v>0</v>
      </c>
      <c r="N551" s="2228">
        <f t="shared" si="142"/>
        <v>111122.83</v>
      </c>
    </row>
    <row r="552" spans="1:14" x14ac:dyDescent="0.2">
      <c r="A552" s="127">
        <f t="shared" si="143"/>
        <v>13</v>
      </c>
      <c r="B552" s="252"/>
      <c r="C552" s="32" t="s">
        <v>1063</v>
      </c>
      <c r="D552" s="173">
        <f>SUM(D540:D551,D500:D521)</f>
        <v>399114908.37999994</v>
      </c>
      <c r="E552" s="173">
        <f>SUM(E540:E551,E500:E521)</f>
        <v>1857029</v>
      </c>
      <c r="F552" s="173">
        <f>SUM(F540:F551,F500:F521)</f>
        <v>-222843</v>
      </c>
      <c r="G552" s="173">
        <f>SUM(G540:G551,G500:G521)</f>
        <v>400749094.37999994</v>
      </c>
      <c r="H552" s="38"/>
      <c r="I552" s="173">
        <f>SUM(I540:I551,I500:I521)</f>
        <v>139032706.97789472</v>
      </c>
      <c r="J552" s="173"/>
      <c r="K552" s="173">
        <f>SUM(K540:K551,K500:K521)</f>
        <v>662913.04947368428</v>
      </c>
      <c r="L552" s="173">
        <f>SUM(L540:L551,L500:L521)</f>
        <v>222843</v>
      </c>
      <c r="M552" s="173">
        <f>SUM(M540:M551,M500:M521)</f>
        <v>-63961</v>
      </c>
      <c r="N552" s="1361">
        <f>SUM(N540:N551,N500:N521)</f>
        <v>139408816.02736843</v>
      </c>
    </row>
    <row r="553" spans="1:14" x14ac:dyDescent="0.2">
      <c r="B553" s="252"/>
      <c r="D553" s="38"/>
      <c r="E553" s="173"/>
      <c r="F553" s="173"/>
      <c r="G553" s="38"/>
      <c r="H553" s="38"/>
      <c r="I553" s="181"/>
      <c r="J553" s="173"/>
      <c r="K553" s="173"/>
      <c r="L553" s="38"/>
      <c r="M553" s="173"/>
    </row>
    <row r="554" spans="1:14" x14ac:dyDescent="0.2">
      <c r="A554" s="127">
        <f>A552+1</f>
        <v>14</v>
      </c>
      <c r="B554" s="252"/>
      <c r="C554" s="36" t="s">
        <v>737</v>
      </c>
      <c r="D554" s="38"/>
      <c r="E554" s="173"/>
      <c r="F554" s="173"/>
      <c r="G554" s="38"/>
      <c r="H554" s="38"/>
      <c r="I554" s="181"/>
      <c r="J554" s="173"/>
      <c r="K554" s="173"/>
      <c r="L554" s="38"/>
      <c r="M554" s="173"/>
    </row>
    <row r="555" spans="1:14" x14ac:dyDescent="0.2">
      <c r="A555" s="31">
        <f>A554+1</f>
        <v>15</v>
      </c>
      <c r="B555" s="123">
        <v>391.1</v>
      </c>
      <c r="C555" s="52" t="s">
        <v>1064</v>
      </c>
      <c r="D555" s="257">
        <f t="shared" ref="D555:D568" si="145">G449</f>
        <v>734547.71</v>
      </c>
      <c r="E555" s="382">
        <f>ROUND('Plant input detail '!E557*'WPB2.2 Plant detail-w slippage'!$P$2,0)</f>
        <v>60</v>
      </c>
      <c r="F555" s="257">
        <f>ROUND('Plant input detail '!F557*'WPB2.2 Plant detail-w slippage'!$P$2,0)</f>
        <v>-7</v>
      </c>
      <c r="G555" s="257">
        <f t="shared" ref="G555:G568" si="146">SUM(D555:F555)</f>
        <v>734600.71</v>
      </c>
      <c r="H555" s="38"/>
      <c r="I555" s="257">
        <f t="shared" ref="I555:I568" si="147">N449</f>
        <v>-71594.22</v>
      </c>
      <c r="J555" s="1362">
        <f t="shared" ref="J555:J568" si="148">J449</f>
        <v>0.05</v>
      </c>
      <c r="K555" s="173">
        <f>ROUND((G555+D555)/2*J555/12,0)</f>
        <v>3061</v>
      </c>
      <c r="L555" s="38">
        <f t="shared" ref="L555:L568" si="149">-F555</f>
        <v>7</v>
      </c>
      <c r="M555" s="257">
        <f>ROUND('Plant input detail '!M557*'WPB2.2 Plant detail-w slippage'!$P$2,0)</f>
        <v>0</v>
      </c>
      <c r="N555" s="2227">
        <f t="shared" ref="N555:N568" si="150">I555+K555-L555+M555</f>
        <v>-68540.22</v>
      </c>
    </row>
    <row r="556" spans="1:14" x14ac:dyDescent="0.2">
      <c r="A556" s="31">
        <f t="shared" ref="A556:A569" si="151">A555+1</f>
        <v>16</v>
      </c>
      <c r="B556" s="123">
        <v>391.11</v>
      </c>
      <c r="C556" s="52" t="s">
        <v>1065</v>
      </c>
      <c r="D556" s="257">
        <f t="shared" si="145"/>
        <v>18815.57</v>
      </c>
      <c r="E556" s="382">
        <f>ROUND('Plant input detail '!E558*'WPB2.2 Plant detail-w slippage'!$P$2,0)</f>
        <v>0</v>
      </c>
      <c r="F556" s="257">
        <f>ROUND('Plant input detail '!F558*'WPB2.2 Plant detail-w slippage'!$P$2,0)</f>
        <v>0</v>
      </c>
      <c r="G556" s="257">
        <f t="shared" si="146"/>
        <v>18815.57</v>
      </c>
      <c r="H556" s="38"/>
      <c r="I556" s="257">
        <f t="shared" si="147"/>
        <v>-12614.77</v>
      </c>
      <c r="J556" s="1362">
        <f t="shared" si="148"/>
        <v>6.6699999999999995E-2</v>
      </c>
      <c r="K556" s="173">
        <f>ROUND((G556+D556)/2*J556/12,0)</f>
        <v>105</v>
      </c>
      <c r="L556" s="38">
        <f t="shared" si="149"/>
        <v>0</v>
      </c>
      <c r="M556" s="257">
        <f>ROUND('Plant input detail '!M558*'WPB2.2 Plant detail-w slippage'!$P$2,0)</f>
        <v>0</v>
      </c>
      <c r="N556" s="2227">
        <f t="shared" si="150"/>
        <v>-12509.77</v>
      </c>
    </row>
    <row r="557" spans="1:14" x14ac:dyDescent="0.2">
      <c r="A557" s="31">
        <f t="shared" si="151"/>
        <v>17</v>
      </c>
      <c r="B557" s="123">
        <v>391.12</v>
      </c>
      <c r="C557" s="52" t="s">
        <v>1066</v>
      </c>
      <c r="D557" s="257">
        <f t="shared" si="145"/>
        <v>853483.41</v>
      </c>
      <c r="E557" s="382">
        <f>ROUND('Plant input detail '!E559*'WPB2.2 Plant detail-w slippage'!$P$2,0)</f>
        <v>0</v>
      </c>
      <c r="F557" s="257">
        <f>ROUND('Plant input detail '!F559*'WPB2.2 Plant detail-w slippage'!$P$2,0)</f>
        <v>0</v>
      </c>
      <c r="G557" s="257">
        <f t="shared" si="146"/>
        <v>853483.41</v>
      </c>
      <c r="H557" s="38"/>
      <c r="I557" s="257">
        <f t="shared" si="147"/>
        <v>604235.37</v>
      </c>
      <c r="J557" s="1362">
        <f t="shared" si="148"/>
        <v>0.2</v>
      </c>
      <c r="K557" s="173">
        <f>ROUND((G557+D557)/2*J557/12,0)</f>
        <v>14225</v>
      </c>
      <c r="L557" s="38">
        <f t="shared" si="149"/>
        <v>0</v>
      </c>
      <c r="M557" s="257">
        <f>ROUND('Plant input detail '!M559*'WPB2.2 Plant detail-w slippage'!$P$2,0)</f>
        <v>0</v>
      </c>
      <c r="N557" s="2227">
        <f t="shared" si="150"/>
        <v>618460.37</v>
      </c>
    </row>
    <row r="558" spans="1:14" x14ac:dyDescent="0.2">
      <c r="A558" s="31">
        <f t="shared" si="151"/>
        <v>18</v>
      </c>
      <c r="B558" s="123">
        <v>392.2</v>
      </c>
      <c r="C558" s="52" t="s">
        <v>1067</v>
      </c>
      <c r="D558" s="257">
        <f t="shared" si="145"/>
        <v>95778</v>
      </c>
      <c r="E558" s="382">
        <f>ROUND('Plant input detail '!E560*'WPB2.2 Plant detail-w slippage'!$P$2,0)</f>
        <v>0</v>
      </c>
      <c r="F558" s="257">
        <f>ROUND('Plant input detail '!F560*'WPB2.2 Plant detail-w slippage'!$P$2,0)</f>
        <v>0</v>
      </c>
      <c r="G558" s="257">
        <f t="shared" si="146"/>
        <v>95778</v>
      </c>
      <c r="H558" s="38"/>
      <c r="I558" s="257">
        <f t="shared" si="147"/>
        <v>21245.05</v>
      </c>
      <c r="J558" s="1362">
        <f t="shared" si="148"/>
        <v>2.9399999999999999E-2</v>
      </c>
      <c r="K558" s="173">
        <f>ROUND((G558+D558)/2*J558/12,0)</f>
        <v>235</v>
      </c>
      <c r="L558" s="38">
        <f t="shared" si="149"/>
        <v>0</v>
      </c>
      <c r="M558" s="257">
        <f>ROUND('Plant input detail '!M560*'WPB2.2 Plant detail-w slippage'!$P$2,0)</f>
        <v>0</v>
      </c>
      <c r="N558" s="2227">
        <f t="shared" si="150"/>
        <v>21480.05</v>
      </c>
    </row>
    <row r="559" spans="1:14" x14ac:dyDescent="0.2">
      <c r="A559" s="31">
        <f t="shared" si="151"/>
        <v>19</v>
      </c>
      <c r="B559" s="123">
        <v>392.21</v>
      </c>
      <c r="C559" s="52" t="s">
        <v>1068</v>
      </c>
      <c r="D559" s="257">
        <f t="shared" si="145"/>
        <v>24462.2</v>
      </c>
      <c r="E559" s="382">
        <f>ROUND('Plant input detail '!E561*'WPB2.2 Plant detail-w slippage'!$P$2,0)</f>
        <v>0</v>
      </c>
      <c r="F559" s="257">
        <f>ROUND('Plant input detail '!F561*'WPB2.2 Plant detail-w slippage'!$P$2,0)</f>
        <v>0</v>
      </c>
      <c r="G559" s="257">
        <f t="shared" si="146"/>
        <v>24462.2</v>
      </c>
      <c r="H559" s="38"/>
      <c r="I559" s="257">
        <f t="shared" si="147"/>
        <v>4827.3999999999996</v>
      </c>
      <c r="J559" s="1362">
        <f t="shared" si="148"/>
        <v>2.9399999999999999E-2</v>
      </c>
      <c r="K559" s="173">
        <f>ROUND((G559+D559)/2*J559/12,0)</f>
        <v>60</v>
      </c>
      <c r="L559" s="38">
        <f t="shared" si="149"/>
        <v>0</v>
      </c>
      <c r="M559" s="257">
        <f>ROUND('Plant input detail '!M561*'WPB2.2 Plant detail-w slippage'!$P$2,0)</f>
        <v>0</v>
      </c>
      <c r="N559" s="2227">
        <f t="shared" si="150"/>
        <v>4887.3999999999996</v>
      </c>
    </row>
    <row r="560" spans="1:14" x14ac:dyDescent="0.2">
      <c r="A560" s="31">
        <f t="shared" si="151"/>
        <v>20</v>
      </c>
      <c r="B560" s="123">
        <v>393</v>
      </c>
      <c r="C560" s="52" t="s">
        <v>1069</v>
      </c>
      <c r="D560" s="257">
        <f t="shared" si="145"/>
        <v>0</v>
      </c>
      <c r="E560" s="382">
        <f>ROUND('Plant input detail '!E562*'WPB2.2 Plant detail-w slippage'!$P$2,0)</f>
        <v>0</v>
      </c>
      <c r="F560" s="257">
        <f>ROUND('Plant input detail '!F562*'WPB2.2 Plant detail-w slippage'!$P$2,0)</f>
        <v>0</v>
      </c>
      <c r="G560" s="257">
        <f t="shared" si="146"/>
        <v>0</v>
      </c>
      <c r="H560" s="38"/>
      <c r="I560" s="257">
        <f t="shared" si="147"/>
        <v>0</v>
      </c>
      <c r="J560" s="1362" t="str">
        <f t="shared" si="148"/>
        <v>Amort.</v>
      </c>
      <c r="K560" s="259">
        <v>0</v>
      </c>
      <c r="L560" s="38">
        <f t="shared" si="149"/>
        <v>0</v>
      </c>
      <c r="M560" s="257">
        <f>ROUND('Plant input detail '!M562*'WPB2.2 Plant detail-w slippage'!$P$2,0)</f>
        <v>0</v>
      </c>
      <c r="N560" s="2227">
        <f t="shared" si="150"/>
        <v>0</v>
      </c>
    </row>
    <row r="561" spans="1:16" x14ac:dyDescent="0.2">
      <c r="A561" s="31">
        <f t="shared" si="151"/>
        <v>21</v>
      </c>
      <c r="B561" s="123">
        <v>394.1</v>
      </c>
      <c r="C561" s="52" t="s">
        <v>1070</v>
      </c>
      <c r="D561" s="257">
        <f t="shared" si="145"/>
        <v>24240.799999999999</v>
      </c>
      <c r="E561" s="382">
        <f>ROUND('Plant input detail '!E563*'WPB2.2 Plant detail-w slippage'!$P$2,0)</f>
        <v>0</v>
      </c>
      <c r="F561" s="257">
        <f>ROUND('Plant input detail '!F563*'WPB2.2 Plant detail-w slippage'!$P$2,0)</f>
        <v>0</v>
      </c>
      <c r="G561" s="257">
        <f t="shared" si="146"/>
        <v>24240.799999999999</v>
      </c>
      <c r="H561" s="38"/>
      <c r="I561" s="257">
        <f t="shared" si="147"/>
        <v>14122.82</v>
      </c>
      <c r="J561" s="1362">
        <f t="shared" si="148"/>
        <v>0.04</v>
      </c>
      <c r="K561" s="173">
        <f>ROUND((G561+D561)/2*J561/12,0)</f>
        <v>81</v>
      </c>
      <c r="L561" s="38">
        <f t="shared" si="149"/>
        <v>0</v>
      </c>
      <c r="M561" s="257">
        <f>ROUND('Plant input detail '!M563*'WPB2.2 Plant detail-w slippage'!$P$2,0)</f>
        <v>0</v>
      </c>
      <c r="N561" s="2227">
        <f t="shared" si="150"/>
        <v>14203.82</v>
      </c>
    </row>
    <row r="562" spans="1:16" x14ac:dyDescent="0.2">
      <c r="A562" s="31">
        <f t="shared" si="151"/>
        <v>22</v>
      </c>
      <c r="B562" s="123">
        <v>394.11</v>
      </c>
      <c r="C562" s="52" t="s">
        <v>1071</v>
      </c>
      <c r="D562" s="257">
        <f t="shared" si="145"/>
        <v>0</v>
      </c>
      <c r="E562" s="382">
        <f>ROUND('Plant input detail '!E564*'WPB2.2 Plant detail-w slippage'!$P$2,0)</f>
        <v>0</v>
      </c>
      <c r="F562" s="257">
        <f>ROUND('Plant input detail '!F564*'WPB2.2 Plant detail-w slippage'!$P$2,0)</f>
        <v>0</v>
      </c>
      <c r="G562" s="257">
        <f t="shared" si="146"/>
        <v>0</v>
      </c>
      <c r="H562" s="38"/>
      <c r="I562" s="257">
        <f t="shared" si="147"/>
        <v>0</v>
      </c>
      <c r="J562" s="1362">
        <f t="shared" si="148"/>
        <v>0.13769999999999999</v>
      </c>
      <c r="K562" s="259">
        <v>0</v>
      </c>
      <c r="L562" s="38">
        <f t="shared" si="149"/>
        <v>0</v>
      </c>
      <c r="M562" s="257">
        <f>ROUND('Plant input detail '!M564*'WPB2.2 Plant detail-w slippage'!$P$2,0)</f>
        <v>0</v>
      </c>
      <c r="N562" s="2227">
        <f t="shared" si="150"/>
        <v>0</v>
      </c>
    </row>
    <row r="563" spans="1:16" x14ac:dyDescent="0.2">
      <c r="A563" s="31">
        <f t="shared" si="151"/>
        <v>23</v>
      </c>
      <c r="B563" s="123">
        <v>394.13</v>
      </c>
      <c r="C563" s="251" t="s">
        <v>1072</v>
      </c>
      <c r="D563" s="257">
        <f t="shared" si="145"/>
        <v>0</v>
      </c>
      <c r="E563" s="382">
        <f>ROUND('Plant input detail '!E565*'WPB2.2 Plant detail-w slippage'!$P$2,0)</f>
        <v>0</v>
      </c>
      <c r="F563" s="257">
        <f>ROUND('Plant input detail '!F565*'WPB2.2 Plant detail-w slippage'!$P$2,0)</f>
        <v>0</v>
      </c>
      <c r="G563" s="257">
        <f t="shared" si="146"/>
        <v>0</v>
      </c>
      <c r="H563" s="38"/>
      <c r="I563" s="257">
        <f t="shared" si="147"/>
        <v>37937.360000000001</v>
      </c>
      <c r="J563" s="1362" t="str">
        <f t="shared" si="148"/>
        <v>Amort.</v>
      </c>
      <c r="K563" s="173">
        <f t="shared" ref="K563:K568" si="152">ROUND((G563+D563)/2*J563/12,0)</f>
        <v>0</v>
      </c>
      <c r="L563" s="38">
        <f t="shared" si="149"/>
        <v>0</v>
      </c>
      <c r="M563" s="257">
        <f>ROUND('Plant input detail '!M565*'WPB2.2 Plant detail-w slippage'!$P$2,0)</f>
        <v>0</v>
      </c>
      <c r="N563" s="2227">
        <f t="shared" si="150"/>
        <v>37937.360000000001</v>
      </c>
    </row>
    <row r="564" spans="1:16" x14ac:dyDescent="0.2">
      <c r="A564" s="31">
        <f t="shared" si="151"/>
        <v>24</v>
      </c>
      <c r="B564" s="123">
        <v>394.2</v>
      </c>
      <c r="C564" s="52" t="s">
        <v>1073</v>
      </c>
      <c r="D564" s="257">
        <f t="shared" si="145"/>
        <v>0</v>
      </c>
      <c r="E564" s="382">
        <f>ROUND('Plant input detail '!E566*'WPB2.2 Plant detail-w slippage'!$P$2,0)</f>
        <v>0</v>
      </c>
      <c r="F564" s="257">
        <f>ROUND('Plant input detail '!F566*'WPB2.2 Plant detail-w slippage'!$P$2,0)</f>
        <v>0</v>
      </c>
      <c r="G564" s="257">
        <f t="shared" si="146"/>
        <v>0</v>
      </c>
      <c r="H564" s="38"/>
      <c r="I564" s="257">
        <f t="shared" si="147"/>
        <v>185.21</v>
      </c>
      <c r="J564" s="1362">
        <f t="shared" si="148"/>
        <v>0.04</v>
      </c>
      <c r="K564" s="173">
        <f t="shared" si="152"/>
        <v>0</v>
      </c>
      <c r="L564" s="38">
        <f t="shared" si="149"/>
        <v>0</v>
      </c>
      <c r="M564" s="257">
        <f>ROUND('Plant input detail '!M566*'WPB2.2 Plant detail-w slippage'!$P$2,0)</f>
        <v>0</v>
      </c>
      <c r="N564" s="2227">
        <f t="shared" si="150"/>
        <v>185.21</v>
      </c>
    </row>
    <row r="565" spans="1:16" x14ac:dyDescent="0.2">
      <c r="A565" s="31">
        <f t="shared" si="151"/>
        <v>25</v>
      </c>
      <c r="B565" s="123">
        <v>394.3</v>
      </c>
      <c r="C565" s="52" t="s">
        <v>1074</v>
      </c>
      <c r="D565" s="257">
        <f t="shared" si="145"/>
        <v>3037387.16</v>
      </c>
      <c r="E565" s="382">
        <f>ROUND('Plant input detail '!E567*'WPB2.2 Plant detail-w slippage'!$P$2,0)</f>
        <v>85294</v>
      </c>
      <c r="F565" s="257">
        <f>ROUND('Plant input detail '!F567*'WPB2.2 Plant detail-w slippage'!$P$2,0)</f>
        <v>-10235</v>
      </c>
      <c r="G565" s="257">
        <f t="shared" si="146"/>
        <v>3112446.16</v>
      </c>
      <c r="H565" s="38"/>
      <c r="I565" s="257">
        <f t="shared" si="147"/>
        <v>1233306.1499999999</v>
      </c>
      <c r="J565" s="1362">
        <f t="shared" si="148"/>
        <v>0.04</v>
      </c>
      <c r="K565" s="173">
        <f t="shared" si="152"/>
        <v>10250</v>
      </c>
      <c r="L565" s="38">
        <f t="shared" si="149"/>
        <v>10235</v>
      </c>
      <c r="M565" s="257">
        <f>ROUND('Plant input detail '!M567*'WPB2.2 Plant detail-w slippage'!$P$2,0)</f>
        <v>0</v>
      </c>
      <c r="N565" s="2227">
        <f t="shared" si="150"/>
        <v>1233321.1499999999</v>
      </c>
    </row>
    <row r="566" spans="1:16" x14ac:dyDescent="0.2">
      <c r="A566" s="31">
        <f t="shared" si="151"/>
        <v>26</v>
      </c>
      <c r="B566" s="123">
        <v>395</v>
      </c>
      <c r="C566" s="52" t="s">
        <v>1075</v>
      </c>
      <c r="D566" s="257">
        <f t="shared" si="145"/>
        <v>9257.77</v>
      </c>
      <c r="E566" s="382">
        <f>ROUND('Plant input detail '!E568*'WPB2.2 Plant detail-w slippage'!$P$2,0)</f>
        <v>0</v>
      </c>
      <c r="F566" s="257">
        <f>ROUND('Plant input detail '!F568*'WPB2.2 Plant detail-w slippage'!$P$2,0)</f>
        <v>0</v>
      </c>
      <c r="G566" s="257">
        <f t="shared" si="146"/>
        <v>9257.77</v>
      </c>
      <c r="H566" s="38"/>
      <c r="I566" s="257">
        <f t="shared" si="147"/>
        <v>7295.59</v>
      </c>
      <c r="J566" s="1362">
        <f t="shared" si="148"/>
        <v>0.05</v>
      </c>
      <c r="K566" s="173">
        <f t="shared" si="152"/>
        <v>39</v>
      </c>
      <c r="L566" s="38">
        <f t="shared" si="149"/>
        <v>0</v>
      </c>
      <c r="M566" s="257">
        <f>ROUND('Plant input detail '!M568*'WPB2.2 Plant detail-w slippage'!$P$2,0)</f>
        <v>0</v>
      </c>
      <c r="N566" s="2227">
        <f t="shared" si="150"/>
        <v>7334.59</v>
      </c>
    </row>
    <row r="567" spans="1:16" x14ac:dyDescent="0.2">
      <c r="A567" s="31">
        <f t="shared" si="151"/>
        <v>27</v>
      </c>
      <c r="B567" s="123">
        <v>396</v>
      </c>
      <c r="C567" s="52" t="s">
        <v>1076</v>
      </c>
      <c r="D567" s="257">
        <f t="shared" si="145"/>
        <v>253134.72</v>
      </c>
      <c r="E567" s="382">
        <f>ROUND('Plant input detail '!E569*'WPB2.2 Plant detail-w slippage'!$P$2,0)</f>
        <v>0</v>
      </c>
      <c r="F567" s="257">
        <f>ROUND('Plant input detail '!F569*'WPB2.2 Plant detail-w slippage'!$P$2,0)</f>
        <v>0</v>
      </c>
      <c r="G567" s="257">
        <f t="shared" si="146"/>
        <v>253134.72</v>
      </c>
      <c r="H567" s="38"/>
      <c r="I567" s="257">
        <f t="shared" si="147"/>
        <v>199321.72</v>
      </c>
      <c r="J567" s="1362">
        <f t="shared" si="148"/>
        <v>0</v>
      </c>
      <c r="K567" s="173">
        <f t="shared" si="152"/>
        <v>0</v>
      </c>
      <c r="L567" s="38">
        <f t="shared" si="149"/>
        <v>0</v>
      </c>
      <c r="M567" s="257">
        <f>ROUND('Plant input detail '!M569*'WPB2.2 Plant detail-w slippage'!$P$2,0)</f>
        <v>0</v>
      </c>
      <c r="N567" s="2227">
        <f t="shared" si="150"/>
        <v>199321.72</v>
      </c>
    </row>
    <row r="568" spans="1:16" x14ac:dyDescent="0.2">
      <c r="A568" s="31">
        <f t="shared" si="151"/>
        <v>28</v>
      </c>
      <c r="B568" s="123">
        <v>398</v>
      </c>
      <c r="C568" s="52" t="s">
        <v>1077</v>
      </c>
      <c r="D568" s="260">
        <f t="shared" si="145"/>
        <v>91076.94</v>
      </c>
      <c r="E568" s="265">
        <f>ROUND('Plant input detail '!E570*'WPB2.2 Plant detail-w slippage'!$P$2,0)</f>
        <v>0</v>
      </c>
      <c r="F568" s="260">
        <f>ROUND('Plant input detail '!F570*'WPB2.2 Plant detail-w slippage'!$P$2,0)</f>
        <v>0</v>
      </c>
      <c r="G568" s="260">
        <f t="shared" si="146"/>
        <v>91076.94</v>
      </c>
      <c r="H568" s="264"/>
      <c r="I568" s="260">
        <f t="shared" si="147"/>
        <v>22235.59</v>
      </c>
      <c r="J568" s="1362">
        <f t="shared" si="148"/>
        <v>6.6699999999999995E-2</v>
      </c>
      <c r="K568" s="260">
        <f t="shared" si="152"/>
        <v>506</v>
      </c>
      <c r="L568" s="295">
        <f t="shared" si="149"/>
        <v>0</v>
      </c>
      <c r="M568" s="260">
        <f>ROUND('Plant input detail '!M570*'WPB2.2 Plant detail-w slippage'!$P$2,0)</f>
        <v>0</v>
      </c>
      <c r="N568" s="2228">
        <f t="shared" si="150"/>
        <v>22741.59</v>
      </c>
    </row>
    <row r="569" spans="1:16" x14ac:dyDescent="0.2">
      <c r="A569" s="31">
        <f t="shared" si="151"/>
        <v>29</v>
      </c>
      <c r="C569" s="32" t="s">
        <v>1078</v>
      </c>
      <c r="D569" s="264">
        <f>SUM(D555:D568)</f>
        <v>5142184.2799999993</v>
      </c>
      <c r="E569" s="176">
        <f>SUM(E555:E568)</f>
        <v>85354</v>
      </c>
      <c r="F569" s="176">
        <f>SUM(F555:F568)</f>
        <v>-10242</v>
      </c>
      <c r="G569" s="264">
        <f>SUM(G555:G568)</f>
        <v>5217296.2799999993</v>
      </c>
      <c r="H569" s="264"/>
      <c r="I569" s="264">
        <f>SUM(I555:I568)</f>
        <v>2060503.27</v>
      </c>
      <c r="J569" s="1359"/>
      <c r="K569" s="176">
        <f>SUM(K555:K568)</f>
        <v>28562</v>
      </c>
      <c r="L569" s="264">
        <f>SUM(L555:L568)</f>
        <v>10242</v>
      </c>
      <c r="M569" s="176">
        <f>SUM(M555:M568)</f>
        <v>0</v>
      </c>
      <c r="N569" s="1359">
        <f>SUM(N555:N568)</f>
        <v>2078823.27</v>
      </c>
    </row>
    <row r="570" spans="1:16" x14ac:dyDescent="0.2">
      <c r="D570" s="38"/>
      <c r="E570" s="173"/>
      <c r="F570" s="173"/>
      <c r="G570" s="38"/>
      <c r="H570" s="38"/>
      <c r="I570" s="173"/>
      <c r="J570" s="1361"/>
      <c r="K570" s="173"/>
      <c r="L570" s="38"/>
      <c r="M570" s="173"/>
    </row>
    <row r="571" spans="1:16" x14ac:dyDescent="0.2">
      <c r="A571" s="1805">
        <f>A569+1</f>
        <v>30</v>
      </c>
      <c r="B571" s="252"/>
      <c r="C571" s="36" t="s">
        <v>2287</v>
      </c>
      <c r="D571" s="38"/>
      <c r="E571" s="173"/>
      <c r="F571" s="173"/>
      <c r="G571" s="38"/>
      <c r="H571" s="38"/>
      <c r="I571" s="181"/>
      <c r="J571" s="173"/>
      <c r="K571" s="173"/>
      <c r="L571" s="38"/>
      <c r="M571" s="173"/>
      <c r="P571" s="279"/>
    </row>
    <row r="572" spans="1:16" x14ac:dyDescent="0.2">
      <c r="A572" s="31">
        <f>A571+1</f>
        <v>31</v>
      </c>
      <c r="B572" s="123">
        <v>378.21</v>
      </c>
      <c r="C572" s="52" t="s">
        <v>2244</v>
      </c>
      <c r="D572" s="257">
        <f>G466</f>
        <v>-777092</v>
      </c>
      <c r="E572" s="382">
        <f>ROUND('Plant input detail '!E574*'WPB2.2 Plant detail-w slippage'!$P$2,0)</f>
        <v>0</v>
      </c>
      <c r="F572" s="257">
        <f>ROUND('Plant input detail '!F574*'WPB2.2 Plant detail-w slippage'!$P$2,0)</f>
        <v>0</v>
      </c>
      <c r="G572" s="257">
        <f t="shared" ref="G572" si="153">SUM(D572:F572)</f>
        <v>-777092</v>
      </c>
      <c r="H572" s="264"/>
      <c r="I572" s="257">
        <f>N466</f>
        <v>-29443.529999999995</v>
      </c>
      <c r="J572" s="296" t="s">
        <v>1094</v>
      </c>
      <c r="K572" s="1334">
        <v>-2158.5833333333321</v>
      </c>
      <c r="L572" s="38">
        <f t="shared" ref="L572" si="154">-F572</f>
        <v>0</v>
      </c>
      <c r="M572" s="257">
        <f>ROUND('Plant input detail '!M574*'WPB2.2 Plant detail-w slippage'!$P$2,0)</f>
        <v>0</v>
      </c>
      <c r="N572" s="2227">
        <f t="shared" ref="N572" si="155">I572+K572-L572+M572</f>
        <v>-31602.113333333327</v>
      </c>
      <c r="O572" s="292"/>
    </row>
    <row r="573" spans="1:16" x14ac:dyDescent="0.2">
      <c r="A573" s="1723"/>
      <c r="D573" s="38"/>
      <c r="E573" s="173"/>
      <c r="F573" s="173"/>
      <c r="G573" s="38"/>
      <c r="H573" s="38"/>
      <c r="I573" s="173"/>
      <c r="J573" s="1361"/>
      <c r="K573" s="173"/>
      <c r="L573" s="38"/>
      <c r="M573" s="173"/>
    </row>
    <row r="574" spans="1:16" x14ac:dyDescent="0.2">
      <c r="A574" s="31">
        <f>A572+1</f>
        <v>32</v>
      </c>
      <c r="C574" s="32" t="s">
        <v>774</v>
      </c>
      <c r="D574" s="40">
        <f>D569+D552+D497+D493+D572</f>
        <v>409275742.36999989</v>
      </c>
      <c r="E574" s="40">
        <f>E569+E552+E497+E493+E572</f>
        <v>2041602</v>
      </c>
      <c r="F574" s="40">
        <f>F569+F552+F497+F493+F572</f>
        <v>-233085</v>
      </c>
      <c r="G574" s="40">
        <f>G569+G552+G497+G493+G572</f>
        <v>411084259.36999989</v>
      </c>
      <c r="H574" s="38"/>
      <c r="I574" s="40">
        <f>I569+I552+I497+I493+I572</f>
        <v>143533991.40159056</v>
      </c>
      <c r="J574" s="1363"/>
      <c r="K574" s="40">
        <f>K569+K552+K497+K493+K572</f>
        <v>762670.17956430686</v>
      </c>
      <c r="L574" s="40">
        <f>L569+L552+L497+L493+L572</f>
        <v>233085</v>
      </c>
      <c r="M574" s="40">
        <f>M569+M552+M497+M493+M572</f>
        <v>-63961</v>
      </c>
      <c r="N574" s="1363">
        <f>N569+N552+N497+N493+N572</f>
        <v>143999615.58115488</v>
      </c>
    </row>
    <row r="576" spans="1:16" x14ac:dyDescent="0.2">
      <c r="A576" s="2079" t="str">
        <f>co</f>
        <v>COLUMBIA GAS OF KENTUCKY, INC.</v>
      </c>
      <c r="B576" s="2079"/>
      <c r="C576" s="2079"/>
      <c r="D576" s="2079"/>
      <c r="E576" s="2079"/>
      <c r="F576" s="2079"/>
      <c r="G576" s="2079"/>
      <c r="H576" s="2079"/>
      <c r="I576" s="2079"/>
      <c r="J576" s="2079"/>
      <c r="K576" s="2079"/>
      <c r="L576" s="2079"/>
      <c r="M576" s="2079"/>
      <c r="N576" s="2079"/>
    </row>
    <row r="577" spans="1:14" x14ac:dyDescent="0.2">
      <c r="A577" s="2079" t="str">
        <f>case</f>
        <v>CASE NO. 2016 - 00162</v>
      </c>
      <c r="B577" s="2079"/>
      <c r="C577" s="2079"/>
      <c r="D577" s="2079"/>
      <c r="E577" s="2079"/>
      <c r="F577" s="2079"/>
      <c r="G577" s="2079"/>
      <c r="H577" s="2079"/>
      <c r="I577" s="2079"/>
      <c r="J577" s="2079"/>
      <c r="K577" s="2079"/>
      <c r="L577" s="2079"/>
      <c r="M577" s="2079"/>
      <c r="N577" s="2079"/>
    </row>
    <row r="578" spans="1:14" x14ac:dyDescent="0.2">
      <c r="A578" s="2080" t="s">
        <v>1106</v>
      </c>
      <c r="B578" s="2079"/>
      <c r="C578" s="2079"/>
      <c r="D578" s="2079"/>
      <c r="E578" s="2079"/>
      <c r="F578" s="2079"/>
      <c r="G578" s="2079"/>
      <c r="H578" s="2079"/>
      <c r="I578" s="2079"/>
      <c r="J578" s="2079"/>
      <c r="K578" s="2079"/>
      <c r="L578" s="2079"/>
      <c r="M578" s="2079"/>
      <c r="N578" s="2079"/>
    </row>
    <row r="579" spans="1:14" x14ac:dyDescent="0.2">
      <c r="A579" s="2081" t="s">
        <v>2142</v>
      </c>
      <c r="B579" s="2085"/>
      <c r="C579" s="2085"/>
      <c r="D579" s="2085"/>
      <c r="E579" s="2085"/>
      <c r="F579" s="2085"/>
      <c r="G579" s="2085"/>
      <c r="H579" s="2085"/>
      <c r="I579" s="2085"/>
      <c r="J579" s="2085"/>
      <c r="K579" s="2085"/>
      <c r="L579" s="2085"/>
      <c r="M579" s="2085"/>
      <c r="N579" s="2085"/>
    </row>
    <row r="581" spans="1:14" x14ac:dyDescent="0.2">
      <c r="A581" s="285" t="str">
        <f>$A$6</f>
        <v>DATA:__X___BASE PERIOD__X___FORECASTED PERIOD</v>
      </c>
      <c r="C581" s="171"/>
      <c r="I581" s="32"/>
      <c r="N581" s="1258" t="str">
        <f>$N$6</f>
        <v>WPB-2.2</v>
      </c>
    </row>
    <row r="582" spans="1:14" x14ac:dyDescent="0.2">
      <c r="A582" s="4" t="str">
        <f>$A$7</f>
        <v>TYPE OF FILING:___X____ORIGINAL________UPDATED</v>
      </c>
      <c r="I582" s="32"/>
      <c r="N582" s="2223" t="s">
        <v>1724</v>
      </c>
    </row>
    <row r="583" spans="1:14" x14ac:dyDescent="0.2">
      <c r="A583" s="1261" t="str">
        <f>$A$8</f>
        <v xml:space="preserve">WORKPAPER REFERENCE NO(S).: </v>
      </c>
      <c r="B583" s="202"/>
      <c r="C583" s="202"/>
      <c r="D583" s="201"/>
      <c r="E583" s="202"/>
      <c r="F583" s="202"/>
      <c r="G583" s="201"/>
      <c r="H583" s="201"/>
      <c r="I583" s="203"/>
      <c r="L583" s="32"/>
      <c r="M583" s="32"/>
      <c r="N583" s="204" t="str">
        <f>SMK</f>
        <v>WITNESS:  S. M. KATKO</v>
      </c>
    </row>
    <row r="584" spans="1:14" x14ac:dyDescent="0.2">
      <c r="A584" s="200"/>
      <c r="B584" s="201"/>
      <c r="C584" s="201"/>
      <c r="D584" s="201"/>
      <c r="E584" s="202"/>
      <c r="F584" s="202"/>
      <c r="G584" s="201"/>
      <c r="H584" s="201"/>
      <c r="I584" s="203"/>
      <c r="J584" s="1357"/>
      <c r="L584" s="32"/>
      <c r="M584" s="32"/>
    </row>
    <row r="585" spans="1:14" x14ac:dyDescent="0.2">
      <c r="A585" s="200"/>
      <c r="B585" s="201"/>
      <c r="C585" s="201"/>
      <c r="D585" s="2082" t="s">
        <v>1088</v>
      </c>
      <c r="E585" s="2082"/>
      <c r="F585" s="2082"/>
      <c r="G585" s="2082"/>
      <c r="H585" s="201"/>
      <c r="I585" s="2083" t="s">
        <v>1093</v>
      </c>
      <c r="J585" s="2084"/>
      <c r="K585" s="2084"/>
      <c r="L585" s="2084"/>
      <c r="M585" s="2084"/>
      <c r="N585" s="2084"/>
    </row>
    <row r="586" spans="1:14" x14ac:dyDescent="0.2">
      <c r="A586" s="270"/>
      <c r="B586" s="201"/>
      <c r="C586" s="201"/>
      <c r="D586" s="271" t="s">
        <v>1084</v>
      </c>
      <c r="E586" s="202"/>
      <c r="F586" s="202"/>
      <c r="G586" s="269"/>
      <c r="H586" s="269"/>
      <c r="I586" s="261" t="s">
        <v>1089</v>
      </c>
      <c r="J586" s="1358"/>
      <c r="M586" s="32"/>
    </row>
    <row r="587" spans="1:14" x14ac:dyDescent="0.2">
      <c r="A587" s="30"/>
      <c r="D587" s="261" t="s">
        <v>865</v>
      </c>
      <c r="G587" s="261" t="s">
        <v>867</v>
      </c>
      <c r="H587" s="268"/>
      <c r="I587" s="261" t="s">
        <v>865</v>
      </c>
      <c r="J587" s="1308" t="s">
        <v>956</v>
      </c>
      <c r="M587" s="32"/>
      <c r="N587" s="2225" t="s">
        <v>867</v>
      </c>
    </row>
    <row r="588" spans="1:14" x14ac:dyDescent="0.2">
      <c r="A588" s="261" t="s">
        <v>1080</v>
      </c>
      <c r="B588" s="261" t="s">
        <v>1082</v>
      </c>
      <c r="D588" s="261" t="s">
        <v>867</v>
      </c>
      <c r="G588" s="262" t="s">
        <v>1087</v>
      </c>
      <c r="H588" s="268"/>
      <c r="I588" s="262" t="s">
        <v>867</v>
      </c>
      <c r="J588" s="1308" t="s">
        <v>1090</v>
      </c>
      <c r="K588" s="1308" t="s">
        <v>956</v>
      </c>
      <c r="M588" s="262" t="s">
        <v>1092</v>
      </c>
      <c r="N588" s="1259" t="s">
        <v>1087</v>
      </c>
    </row>
    <row r="589" spans="1:14" x14ac:dyDescent="0.2">
      <c r="A589" s="272" t="s">
        <v>1081</v>
      </c>
      <c r="B589" s="272" t="s">
        <v>1081</v>
      </c>
      <c r="C589" s="273" t="s">
        <v>1083</v>
      </c>
      <c r="D589" s="298" t="str">
        <f>"07/31/2016"</f>
        <v>07/31/2016</v>
      </c>
      <c r="E589" s="275" t="s">
        <v>1085</v>
      </c>
      <c r="F589" s="275" t="s">
        <v>1086</v>
      </c>
      <c r="G589" s="298" t="str">
        <f>"08/31/2016"</f>
        <v>08/31/2016</v>
      </c>
      <c r="H589" s="268"/>
      <c r="I589" s="274" t="str">
        <f>D589</f>
        <v>07/31/2016</v>
      </c>
      <c r="J589" s="275" t="s">
        <v>1091</v>
      </c>
      <c r="K589" s="1327" t="s">
        <v>1090</v>
      </c>
      <c r="L589" s="276" t="s">
        <v>1086</v>
      </c>
      <c r="M589" s="276" t="s">
        <v>955</v>
      </c>
      <c r="N589" s="2226" t="str">
        <f>G589</f>
        <v>08/31/2016</v>
      </c>
    </row>
    <row r="590" spans="1:14" x14ac:dyDescent="0.2">
      <c r="A590" s="267"/>
      <c r="B590" s="267"/>
      <c r="C590" s="267"/>
      <c r="D590" s="267" t="str">
        <f>"(1)"</f>
        <v>(1)</v>
      </c>
      <c r="E590" s="267" t="str">
        <f>"(2)"</f>
        <v>(2)</v>
      </c>
      <c r="F590" s="267" t="str">
        <f>"(3)"</f>
        <v>(3)</v>
      </c>
      <c r="G590" s="267" t="str">
        <f>"(4)=(1+2+3)"</f>
        <v>(4)=(1+2+3)</v>
      </c>
      <c r="H590" s="267"/>
      <c r="I590" s="267" t="str">
        <f>"(5)"</f>
        <v>(5)</v>
      </c>
      <c r="J590" s="1328" t="str">
        <f>"(6)"</f>
        <v>(6)</v>
      </c>
      <c r="K590" s="1328" t="str">
        <f>"(7)=((1+4)/2*6/12))"</f>
        <v>(7)=((1+4)/2*6/12))</v>
      </c>
      <c r="L590" s="267" t="str">
        <f>"(8)"</f>
        <v>(8)</v>
      </c>
      <c r="M590" s="267" t="str">
        <f>"(9)"</f>
        <v>(9)</v>
      </c>
      <c r="N590" s="204" t="str">
        <f>"(10)=(5+7-8+9)"</f>
        <v>(10)=(5+7-8+9)</v>
      </c>
    </row>
    <row r="591" spans="1:14" x14ac:dyDescent="0.2">
      <c r="D591" s="31" t="s">
        <v>639</v>
      </c>
      <c r="E591" s="170" t="s">
        <v>639</v>
      </c>
      <c r="F591" s="170" t="s">
        <v>639</v>
      </c>
      <c r="G591" s="31" t="s">
        <v>639</v>
      </c>
      <c r="H591" s="31"/>
      <c r="I591" s="31" t="s">
        <v>639</v>
      </c>
      <c r="J591" s="170" t="s">
        <v>639</v>
      </c>
      <c r="K591" s="170" t="s">
        <v>639</v>
      </c>
      <c r="L591" s="31" t="s">
        <v>639</v>
      </c>
      <c r="M591" s="31" t="s">
        <v>639</v>
      </c>
      <c r="N591" s="155" t="s">
        <v>639</v>
      </c>
    </row>
    <row r="592" spans="1:14" x14ac:dyDescent="0.2">
      <c r="A592" s="31">
        <v>1</v>
      </c>
      <c r="B592" s="36" t="s">
        <v>1025</v>
      </c>
      <c r="C592" s="34"/>
      <c r="M592" s="32"/>
    </row>
    <row r="593" spans="1:14" x14ac:dyDescent="0.2">
      <c r="A593" s="31">
        <f>A592+1</f>
        <v>2</v>
      </c>
      <c r="C593" s="36" t="s">
        <v>697</v>
      </c>
      <c r="M593" s="32"/>
    </row>
    <row r="594" spans="1:14" x14ac:dyDescent="0.2">
      <c r="A594" s="31">
        <f t="shared" ref="A594:A599" si="156">A593+1</f>
        <v>3</v>
      </c>
      <c r="B594" s="253">
        <v>301</v>
      </c>
      <c r="C594" s="52" t="s">
        <v>1026</v>
      </c>
      <c r="D594" s="257">
        <f>G488</f>
        <v>521.20000000000005</v>
      </c>
      <c r="E594" s="382">
        <f>ROUND('Plant input detail '!E596*'WPB2.2 Plant detail-w slippage'!$P$2,0)</f>
        <v>0</v>
      </c>
      <c r="F594" s="257">
        <f>ROUND('Plant input detail '!F596*'WPB2.2 Plant detail-w slippage'!$P$2,0)</f>
        <v>0</v>
      </c>
      <c r="G594" s="257">
        <f>SUM(D594:F594)</f>
        <v>521.20000000000005</v>
      </c>
      <c r="H594" s="38"/>
      <c r="I594" s="257">
        <f>N488</f>
        <v>0</v>
      </c>
      <c r="J594" s="296" t="s">
        <v>1094</v>
      </c>
      <c r="K594" s="258">
        <v>0</v>
      </c>
      <c r="L594" s="38">
        <f>-F594</f>
        <v>0</v>
      </c>
      <c r="M594" s="259">
        <v>0</v>
      </c>
      <c r="N594" s="2227">
        <f>I594+K594-L594+M594</f>
        <v>0</v>
      </c>
    </row>
    <row r="595" spans="1:14" x14ac:dyDescent="0.2">
      <c r="A595" s="31">
        <f t="shared" si="156"/>
        <v>4</v>
      </c>
      <c r="B595" s="253">
        <v>303</v>
      </c>
      <c r="C595" s="52" t="s">
        <v>1027</v>
      </c>
      <c r="D595" s="257">
        <f>G489</f>
        <v>74347.509999999995</v>
      </c>
      <c r="E595" s="382">
        <f>ROUND('Plant input detail '!E597*'WPB2.2 Plant detail-w slippage'!$P$2,0)</f>
        <v>0</v>
      </c>
      <c r="F595" s="257">
        <f>ROUND('Plant input detail '!F597*'WPB2.2 Plant detail-w slippage'!$P$2,0)</f>
        <v>0</v>
      </c>
      <c r="G595" s="257">
        <f>SUM(D595:F595)</f>
        <v>74347.509999999995</v>
      </c>
      <c r="H595" s="38"/>
      <c r="I595" s="257">
        <f>N489</f>
        <v>46832.029999999984</v>
      </c>
      <c r="J595" s="296" t="s">
        <v>1094</v>
      </c>
      <c r="K595" s="382">
        <f>'WPB2.2a Intan Amort. w slippage'!M$19</f>
        <v>206.52</v>
      </c>
      <c r="L595" s="38">
        <f>-F595</f>
        <v>0</v>
      </c>
      <c r="M595" s="259">
        <v>0</v>
      </c>
      <c r="N595" s="2227">
        <f>I595+K595-L595+M595</f>
        <v>47038.549999999981</v>
      </c>
    </row>
    <row r="596" spans="1:14" x14ac:dyDescent="0.2">
      <c r="A596" s="31">
        <f t="shared" si="156"/>
        <v>5</v>
      </c>
      <c r="B596" s="253">
        <v>303.10000000000002</v>
      </c>
      <c r="C596" s="52" t="s">
        <v>1028</v>
      </c>
      <c r="D596" s="257">
        <f>G490</f>
        <v>0</v>
      </c>
      <c r="E596" s="382">
        <f>ROUND('Plant input detail '!E598*'WPB2.2 Plant detail-w slippage'!$P$2,0)</f>
        <v>0</v>
      </c>
      <c r="F596" s="257">
        <f>ROUND('Plant input detail '!F598*'WPB2.2 Plant detail-w slippage'!$P$2,0)</f>
        <v>0</v>
      </c>
      <c r="G596" s="257">
        <f>SUM(D596:F596)</f>
        <v>0</v>
      </c>
      <c r="H596" s="38"/>
      <c r="I596" s="257">
        <f>N490</f>
        <v>0</v>
      </c>
      <c r="J596" s="296" t="s">
        <v>1094</v>
      </c>
      <c r="K596" s="258">
        <v>0</v>
      </c>
      <c r="L596" s="38">
        <f>-F596</f>
        <v>0</v>
      </c>
      <c r="M596" s="259">
        <v>0</v>
      </c>
      <c r="N596" s="2227">
        <f>I596+K596-L596+M596</f>
        <v>0</v>
      </c>
    </row>
    <row r="597" spans="1:14" x14ac:dyDescent="0.2">
      <c r="A597" s="31">
        <f t="shared" si="156"/>
        <v>6</v>
      </c>
      <c r="B597" s="253">
        <v>303.2</v>
      </c>
      <c r="C597" s="52" t="s">
        <v>1029</v>
      </c>
      <c r="D597" s="257">
        <f>G491</f>
        <v>0</v>
      </c>
      <c r="E597" s="382">
        <f>ROUND('Plant input detail '!E599*'WPB2.2 Plant detail-w slippage'!$P$2,0)</f>
        <v>0</v>
      </c>
      <c r="F597" s="257">
        <f>ROUND('Plant input detail '!F599*'WPB2.2 Plant detail-w slippage'!$P$2,0)</f>
        <v>0</v>
      </c>
      <c r="G597" s="257">
        <f>SUM(D597:F597)</f>
        <v>0</v>
      </c>
      <c r="H597" s="38"/>
      <c r="I597" s="257">
        <f>N491</f>
        <v>0</v>
      </c>
      <c r="J597" s="296" t="s">
        <v>1094</v>
      </c>
      <c r="K597" s="258">
        <v>0</v>
      </c>
      <c r="L597" s="38">
        <f>-F597</f>
        <v>0</v>
      </c>
      <c r="M597" s="259">
        <v>0</v>
      </c>
      <c r="N597" s="2227">
        <f>I597+K597-L597+M597</f>
        <v>0</v>
      </c>
    </row>
    <row r="598" spans="1:14" x14ac:dyDescent="0.2">
      <c r="A598" s="31">
        <f t="shared" si="156"/>
        <v>7</v>
      </c>
      <c r="B598" s="253">
        <v>303.3</v>
      </c>
      <c r="C598" s="52" t="s">
        <v>1030</v>
      </c>
      <c r="D598" s="260">
        <f>G492</f>
        <v>5820092</v>
      </c>
      <c r="E598" s="265">
        <f>ROUND('Plant input detail '!E600*'WPB2.2 Plant detail-w slippage'!$P$2,0)</f>
        <v>202119</v>
      </c>
      <c r="F598" s="265">
        <f>ROUND('Plant input detail '!F600*'WPB2.2 Plant detail-w slippage'!$P$2,0)</f>
        <v>0</v>
      </c>
      <c r="G598" s="260">
        <f>SUM(D598:F598)</f>
        <v>6022211</v>
      </c>
      <c r="H598" s="38"/>
      <c r="I598" s="260">
        <f>N492</f>
        <v>2496746.3671197807</v>
      </c>
      <c r="J598" s="296" t="s">
        <v>1094</v>
      </c>
      <c r="K598" s="265">
        <f>'WPB2.2a Intan Amort. w slippage'!M$104</f>
        <v>75658.193423955992</v>
      </c>
      <c r="L598" s="295">
        <f>-F598</f>
        <v>0</v>
      </c>
      <c r="M598" s="263">
        <v>0</v>
      </c>
      <c r="N598" s="2228">
        <f>I598+K598-L598+M598</f>
        <v>2572404.5605437369</v>
      </c>
    </row>
    <row r="599" spans="1:14" x14ac:dyDescent="0.2">
      <c r="A599" s="31">
        <f t="shared" si="156"/>
        <v>8</v>
      </c>
      <c r="B599" s="253"/>
      <c r="C599" s="52" t="s">
        <v>1031</v>
      </c>
      <c r="D599" s="38">
        <f>SUM(D594:D598)</f>
        <v>5894960.71</v>
      </c>
      <c r="E599" s="173">
        <f>SUM(E594:E598)</f>
        <v>202119</v>
      </c>
      <c r="F599" s="173">
        <f>SUM(F594:F598)</f>
        <v>0</v>
      </c>
      <c r="G599" s="38">
        <f>SUM(G594:G598)</f>
        <v>6097079.71</v>
      </c>
      <c r="H599" s="38"/>
      <c r="I599" s="38">
        <f>SUM(I594:I598)</f>
        <v>2543578.3971197805</v>
      </c>
      <c r="J599" s="1359"/>
      <c r="K599" s="173">
        <f>SUM(K594:K598)</f>
        <v>75864.713423955996</v>
      </c>
      <c r="L599" s="38">
        <f>SUM(L594:L598)</f>
        <v>0</v>
      </c>
      <c r="M599" s="173">
        <f>SUM(M594:M598)</f>
        <v>0</v>
      </c>
      <c r="N599" s="1361">
        <f>SUM(N594:N598)</f>
        <v>2619443.1105437367</v>
      </c>
    </row>
    <row r="600" spans="1:14" x14ac:dyDescent="0.2">
      <c r="B600" s="254"/>
      <c r="D600" s="38"/>
      <c r="E600" s="173"/>
      <c r="F600" s="173"/>
      <c r="G600" s="38"/>
      <c r="H600" s="38"/>
      <c r="I600" s="38"/>
      <c r="J600" s="1359"/>
      <c r="K600" s="173"/>
      <c r="L600" s="38"/>
      <c r="M600" s="173"/>
    </row>
    <row r="601" spans="1:14" x14ac:dyDescent="0.2">
      <c r="A601" s="31">
        <f>A599+1</f>
        <v>9</v>
      </c>
      <c r="B601" s="254"/>
      <c r="C601" s="36" t="s">
        <v>704</v>
      </c>
      <c r="D601" s="38"/>
      <c r="E601" s="173"/>
      <c r="F601" s="173"/>
      <c r="G601" s="38"/>
      <c r="H601" s="38"/>
      <c r="I601" s="38"/>
      <c r="J601" s="1359"/>
      <c r="K601" s="173"/>
      <c r="L601" s="38"/>
      <c r="M601" s="173"/>
    </row>
    <row r="602" spans="1:14" x14ac:dyDescent="0.2">
      <c r="A602" s="31">
        <f>A601+1</f>
        <v>10</v>
      </c>
      <c r="B602" s="255">
        <v>304.10000000000002</v>
      </c>
      <c r="C602" s="41" t="s">
        <v>1032</v>
      </c>
      <c r="D602" s="260">
        <f>G496</f>
        <v>0</v>
      </c>
      <c r="E602" s="265">
        <f>ROUND('Plant input detail '!E604*'WPB2.2 Plant detail-w slippage'!$P$2,0)</f>
        <v>0</v>
      </c>
      <c r="F602" s="265">
        <f>ROUND('Plant input detail '!F604*'WPB2.2 Plant detail-w slippage'!$P$2,0)</f>
        <v>0</v>
      </c>
      <c r="G602" s="260">
        <f>SUM(D602:F602)</f>
        <v>0</v>
      </c>
      <c r="H602" s="38"/>
      <c r="I602" s="260">
        <f>N496</f>
        <v>0</v>
      </c>
      <c r="J602" s="1360" t="s">
        <v>1102</v>
      </c>
      <c r="K602" s="266">
        <v>0</v>
      </c>
      <c r="L602" s="295">
        <f>-F602</f>
        <v>0</v>
      </c>
      <c r="M602" s="263">
        <v>0</v>
      </c>
      <c r="N602" s="2228">
        <f>I602+K602-L602+M602</f>
        <v>0</v>
      </c>
    </row>
    <row r="603" spans="1:14" x14ac:dyDescent="0.2">
      <c r="A603" s="31">
        <f>A602+1</f>
        <v>11</v>
      </c>
      <c r="B603" s="255"/>
      <c r="C603" s="256" t="s">
        <v>1079</v>
      </c>
      <c r="D603" s="38">
        <f>D602</f>
        <v>0</v>
      </c>
      <c r="E603" s="173">
        <f>E602</f>
        <v>0</v>
      </c>
      <c r="F603" s="173">
        <f>F602</f>
        <v>0</v>
      </c>
      <c r="G603" s="38">
        <f>G602</f>
        <v>0</v>
      </c>
      <c r="H603" s="38"/>
      <c r="I603" s="38">
        <f>I602</f>
        <v>0</v>
      </c>
      <c r="J603" s="1361"/>
      <c r="K603" s="173">
        <f>SUM(K602)</f>
        <v>0</v>
      </c>
      <c r="L603" s="38">
        <f>SUM(L602)</f>
        <v>0</v>
      </c>
      <c r="M603" s="173">
        <f>M602</f>
        <v>0</v>
      </c>
      <c r="N603" s="1361">
        <f>N602</f>
        <v>0</v>
      </c>
    </row>
    <row r="604" spans="1:14" x14ac:dyDescent="0.2">
      <c r="B604" s="254"/>
      <c r="D604" s="38"/>
      <c r="E604" s="173"/>
      <c r="F604" s="173"/>
      <c r="G604" s="38"/>
      <c r="H604" s="38"/>
      <c r="I604" s="38"/>
      <c r="J604" s="1361"/>
      <c r="K604" s="173"/>
      <c r="L604" s="38"/>
      <c r="M604" s="173"/>
    </row>
    <row r="605" spans="1:14" x14ac:dyDescent="0.2">
      <c r="A605" s="31">
        <f>A603+1</f>
        <v>12</v>
      </c>
      <c r="B605" s="254"/>
      <c r="C605" s="36" t="s">
        <v>707</v>
      </c>
      <c r="D605" s="38"/>
      <c r="E605" s="173"/>
      <c r="F605" s="173"/>
      <c r="G605" s="38"/>
      <c r="H605" s="38"/>
      <c r="I605" s="38"/>
      <c r="J605" s="1361"/>
      <c r="K605" s="173"/>
      <c r="L605" s="38"/>
      <c r="M605" s="173"/>
    </row>
    <row r="606" spans="1:14" x14ac:dyDescent="0.2">
      <c r="A606" s="31">
        <f>A605+1</f>
        <v>13</v>
      </c>
      <c r="B606" s="253">
        <v>374.1</v>
      </c>
      <c r="C606" s="52" t="s">
        <v>1035</v>
      </c>
      <c r="D606" s="257">
        <f t="shared" ref="D606:D616" si="157">G500</f>
        <v>206</v>
      </c>
      <c r="E606" s="382">
        <f>ROUND('Plant input detail '!E608*'WPB2.2 Plant detail-w slippage'!$P$2,0)</f>
        <v>0</v>
      </c>
      <c r="F606" s="257">
        <f>ROUND('Plant input detail '!F608*'WPB2.2 Plant detail-w slippage'!$P$2,0)</f>
        <v>0</v>
      </c>
      <c r="G606" s="257">
        <f>SUM(D606:F606)</f>
        <v>206</v>
      </c>
      <c r="H606" s="38"/>
      <c r="I606" s="257">
        <f t="shared" ref="I606:I616" si="158">N500</f>
        <v>0</v>
      </c>
      <c r="J606" s="1362" t="str">
        <f t="shared" ref="J606:J616" si="159">J500</f>
        <v>Non-Dep.</v>
      </c>
      <c r="K606" s="259">
        <v>0</v>
      </c>
      <c r="L606" s="38">
        <f t="shared" ref="L606:L616" si="160">-F606</f>
        <v>0</v>
      </c>
      <c r="M606" s="257">
        <f>ROUND('Plant input detail '!M608*'WPB2.2 Plant detail-w slippage'!$P$2,0)</f>
        <v>0</v>
      </c>
      <c r="N606" s="2227">
        <f t="shared" ref="N606:N616" si="161">I606+K606-L606+M606</f>
        <v>0</v>
      </c>
    </row>
    <row r="607" spans="1:14" x14ac:dyDescent="0.2">
      <c r="A607" s="31">
        <f t="shared" ref="A607:A627" si="162">A606+1</f>
        <v>14</v>
      </c>
      <c r="B607" s="253">
        <v>374.2</v>
      </c>
      <c r="C607" s="52" t="s">
        <v>1036</v>
      </c>
      <c r="D607" s="257">
        <f t="shared" si="157"/>
        <v>877756.18</v>
      </c>
      <c r="E607" s="382">
        <f>ROUND('Plant input detail '!E609*'WPB2.2 Plant detail-w slippage'!$P$2,0)</f>
        <v>0</v>
      </c>
      <c r="F607" s="257">
        <f>ROUND('Plant input detail '!F609*'WPB2.2 Plant detail-w slippage'!$P$2,0)</f>
        <v>0</v>
      </c>
      <c r="G607" s="257">
        <f t="shared" ref="G607:G616" si="163">SUM(D607:F607)</f>
        <v>877756.18</v>
      </c>
      <c r="H607" s="38"/>
      <c r="I607" s="257">
        <f t="shared" si="158"/>
        <v>-523.13</v>
      </c>
      <c r="J607" s="1362" t="str">
        <f t="shared" si="159"/>
        <v>Non-Dep.</v>
      </c>
      <c r="K607" s="259">
        <v>0</v>
      </c>
      <c r="L607" s="38">
        <f t="shared" si="160"/>
        <v>0</v>
      </c>
      <c r="M607" s="257">
        <f>ROUND('Plant input detail '!M609*'WPB2.2 Plant detail-w slippage'!$P$2,0)</f>
        <v>0</v>
      </c>
      <c r="N607" s="2227">
        <f t="shared" si="161"/>
        <v>-523.13</v>
      </c>
    </row>
    <row r="608" spans="1:14" x14ac:dyDescent="0.2">
      <c r="A608" s="31">
        <f t="shared" si="162"/>
        <v>15</v>
      </c>
      <c r="B608" s="253">
        <v>374.4</v>
      </c>
      <c r="C608" s="52" t="s">
        <v>1037</v>
      </c>
      <c r="D608" s="257">
        <f t="shared" si="157"/>
        <v>661305.66</v>
      </c>
      <c r="E608" s="382">
        <f>ROUND('Plant input detail '!E610*'WPB2.2 Plant detail-w slippage'!$P$2,0)</f>
        <v>0</v>
      </c>
      <c r="F608" s="257">
        <f>ROUND('Plant input detail '!F610*'WPB2.2 Plant detail-w slippage'!$P$2,0)</f>
        <v>0</v>
      </c>
      <c r="G608" s="257">
        <f t="shared" si="163"/>
        <v>661305.66</v>
      </c>
      <c r="H608" s="38"/>
      <c r="I608" s="257">
        <f t="shared" si="158"/>
        <v>174668.36</v>
      </c>
      <c r="J608" s="1362">
        <f t="shared" si="159"/>
        <v>1.5299999999999999E-2</v>
      </c>
      <c r="K608" s="173">
        <f>ROUND((G608+D608)/2*J608/12,0)</f>
        <v>843</v>
      </c>
      <c r="L608" s="38">
        <f t="shared" si="160"/>
        <v>0</v>
      </c>
      <c r="M608" s="257">
        <f>ROUND('Plant input detail '!M610*'WPB2.2 Plant detail-w slippage'!$P$2,0)</f>
        <v>0</v>
      </c>
      <c r="N608" s="2227">
        <f t="shared" si="161"/>
        <v>175511.36</v>
      </c>
    </row>
    <row r="609" spans="1:14" x14ac:dyDescent="0.2">
      <c r="A609" s="31">
        <f t="shared" si="162"/>
        <v>16</v>
      </c>
      <c r="B609" s="253">
        <v>374.5</v>
      </c>
      <c r="C609" s="52" t="s">
        <v>1038</v>
      </c>
      <c r="D609" s="257">
        <f t="shared" si="157"/>
        <v>2696472.55</v>
      </c>
      <c r="E609" s="382">
        <f>ROUND('Plant input detail '!E611*'WPB2.2 Plant detail-w slippage'!$P$2,0)</f>
        <v>1659</v>
      </c>
      <c r="F609" s="257">
        <f>ROUND('Plant input detail '!F611*'WPB2.2 Plant detail-w slippage'!$P$2,0)</f>
        <v>-199</v>
      </c>
      <c r="G609" s="257">
        <f t="shared" si="163"/>
        <v>2697932.55</v>
      </c>
      <c r="H609" s="38"/>
      <c r="I609" s="257">
        <f t="shared" si="158"/>
        <v>916097.23</v>
      </c>
      <c r="J609" s="1362">
        <f t="shared" si="159"/>
        <v>1.2200000000000001E-2</v>
      </c>
      <c r="K609" s="173">
        <f t="shared" ref="K609:K614" si="164">ROUND((G609+D609)/2*J609/12,0)</f>
        <v>2742</v>
      </c>
      <c r="L609" s="38">
        <f t="shared" si="160"/>
        <v>199</v>
      </c>
      <c r="M609" s="257">
        <f>ROUND('Plant input detail '!M611*'WPB2.2 Plant detail-w slippage'!$P$2,0)</f>
        <v>0</v>
      </c>
      <c r="N609" s="2227">
        <f t="shared" si="161"/>
        <v>918640.23</v>
      </c>
    </row>
    <row r="610" spans="1:14" x14ac:dyDescent="0.2">
      <c r="A610" s="31">
        <f t="shared" si="162"/>
        <v>17</v>
      </c>
      <c r="B610" s="253">
        <v>375.2</v>
      </c>
      <c r="C610" s="52" t="s">
        <v>1039</v>
      </c>
      <c r="D610" s="257">
        <f t="shared" si="157"/>
        <v>2124.98</v>
      </c>
      <c r="E610" s="382">
        <f>ROUND('Plant input detail '!E612*'WPB2.2 Plant detail-w slippage'!$P$2,0)</f>
        <v>0</v>
      </c>
      <c r="F610" s="257">
        <f>ROUND('Plant input detail '!F612*'WPB2.2 Plant detail-w slippage'!$P$2,0)</f>
        <v>0</v>
      </c>
      <c r="G610" s="257">
        <f t="shared" si="163"/>
        <v>2124.98</v>
      </c>
      <c r="H610" s="38"/>
      <c r="I610" s="257">
        <f t="shared" si="158"/>
        <v>2012.32</v>
      </c>
      <c r="J610" s="1362">
        <f t="shared" si="159"/>
        <v>1.9599999999999999E-2</v>
      </c>
      <c r="K610" s="173">
        <f t="shared" si="164"/>
        <v>3</v>
      </c>
      <c r="L610" s="38">
        <f t="shared" si="160"/>
        <v>0</v>
      </c>
      <c r="M610" s="257">
        <f>ROUND('Plant input detail '!M612*'WPB2.2 Plant detail-w slippage'!$P$2,0)</f>
        <v>0</v>
      </c>
      <c r="N610" s="2227">
        <f t="shared" si="161"/>
        <v>2015.32</v>
      </c>
    </row>
    <row r="611" spans="1:14" x14ac:dyDescent="0.2">
      <c r="A611" s="31">
        <f t="shared" si="162"/>
        <v>18</v>
      </c>
      <c r="B611" s="253">
        <v>375.3</v>
      </c>
      <c r="C611" s="52" t="s">
        <v>1040</v>
      </c>
      <c r="D611" s="257">
        <f t="shared" si="157"/>
        <v>0</v>
      </c>
      <c r="E611" s="382">
        <f>ROUND('Plant input detail '!E613*'WPB2.2 Plant detail-w slippage'!$P$2,0)</f>
        <v>0</v>
      </c>
      <c r="F611" s="257">
        <f>ROUND('Plant input detail '!F613*'WPB2.2 Plant detail-w slippage'!$P$2,0)</f>
        <v>0</v>
      </c>
      <c r="G611" s="257">
        <f t="shared" si="163"/>
        <v>0</v>
      </c>
      <c r="H611" s="38"/>
      <c r="I611" s="257">
        <f t="shared" si="158"/>
        <v>-77.66</v>
      </c>
      <c r="J611" s="1362">
        <f t="shared" si="159"/>
        <v>1.9599999999999999E-2</v>
      </c>
      <c r="K611" s="173">
        <f t="shared" si="164"/>
        <v>0</v>
      </c>
      <c r="L611" s="38">
        <f t="shared" si="160"/>
        <v>0</v>
      </c>
      <c r="M611" s="257">
        <f>ROUND('Plant input detail '!M613*'WPB2.2 Plant detail-w slippage'!$P$2,0)</f>
        <v>0</v>
      </c>
      <c r="N611" s="2227">
        <f t="shared" si="161"/>
        <v>-77.66</v>
      </c>
    </row>
    <row r="612" spans="1:14" x14ac:dyDescent="0.2">
      <c r="A612" s="31">
        <f t="shared" si="162"/>
        <v>19</v>
      </c>
      <c r="B612" s="253">
        <v>375.4</v>
      </c>
      <c r="C612" s="52" t="s">
        <v>1041</v>
      </c>
      <c r="D612" s="257">
        <f t="shared" si="157"/>
        <v>1877190.02</v>
      </c>
      <c r="E612" s="382">
        <f>ROUND('Plant input detail '!E614*'WPB2.2 Plant detail-w slippage'!$P$2,0)</f>
        <v>50282</v>
      </c>
      <c r="F612" s="257">
        <f>ROUND('Plant input detail '!F614*'WPB2.2 Plant detail-w slippage'!$P$2,0)</f>
        <v>-6034</v>
      </c>
      <c r="G612" s="257">
        <f t="shared" si="163"/>
        <v>1921438.02</v>
      </c>
      <c r="H612" s="38"/>
      <c r="I612" s="257">
        <f t="shared" si="158"/>
        <v>500900.37</v>
      </c>
      <c r="J612" s="1362">
        <f t="shared" si="159"/>
        <v>1.9599999999999999E-2</v>
      </c>
      <c r="K612" s="173">
        <f t="shared" si="164"/>
        <v>3102</v>
      </c>
      <c r="L612" s="38">
        <f t="shared" si="160"/>
        <v>6034</v>
      </c>
      <c r="M612" s="257">
        <f>ROUND('Plant input detail '!M614*'WPB2.2 Plant detail-w slippage'!$P$2,0)</f>
        <v>-603</v>
      </c>
      <c r="N612" s="2227">
        <f t="shared" si="161"/>
        <v>497365.37</v>
      </c>
    </row>
    <row r="613" spans="1:14" x14ac:dyDescent="0.2">
      <c r="A613" s="31">
        <f t="shared" si="162"/>
        <v>20</v>
      </c>
      <c r="B613" s="253">
        <v>375.6</v>
      </c>
      <c r="C613" s="52" t="s">
        <v>1042</v>
      </c>
      <c r="D613" s="257">
        <f t="shared" si="157"/>
        <v>0</v>
      </c>
      <c r="E613" s="382">
        <f>ROUND('Plant input detail '!E615*'WPB2.2 Plant detail-w slippage'!$P$2,0)</f>
        <v>0</v>
      </c>
      <c r="F613" s="257">
        <f>ROUND('Plant input detail '!F615*'WPB2.2 Plant detail-w slippage'!$P$2,0)</f>
        <v>0</v>
      </c>
      <c r="G613" s="257">
        <f t="shared" si="163"/>
        <v>0</v>
      </c>
      <c r="H613" s="38"/>
      <c r="I613" s="257">
        <f t="shared" si="158"/>
        <v>0.02</v>
      </c>
      <c r="J613" s="1362">
        <f t="shared" si="159"/>
        <v>1.9599999999999999E-2</v>
      </c>
      <c r="K613" s="173">
        <f t="shared" si="164"/>
        <v>0</v>
      </c>
      <c r="L613" s="38">
        <f t="shared" si="160"/>
        <v>0</v>
      </c>
      <c r="M613" s="257">
        <f>ROUND('Plant input detail '!M615*'WPB2.2 Plant detail-w slippage'!$P$2,0)</f>
        <v>0</v>
      </c>
      <c r="N613" s="2227">
        <f t="shared" si="161"/>
        <v>0.02</v>
      </c>
    </row>
    <row r="614" spans="1:14" x14ac:dyDescent="0.2">
      <c r="A614" s="31">
        <f t="shared" si="162"/>
        <v>21</v>
      </c>
      <c r="B614" s="253">
        <v>375.7</v>
      </c>
      <c r="C614" s="52" t="s">
        <v>1043</v>
      </c>
      <c r="D614" s="257">
        <f t="shared" si="157"/>
        <v>7993305.21</v>
      </c>
      <c r="E614" s="382">
        <f>ROUND('Plant input detail '!E616*'WPB2.2 Plant detail-w slippage'!$P$2,0)</f>
        <v>59601</v>
      </c>
      <c r="F614" s="257">
        <f>ROUND('Plant input detail '!F616*'WPB2.2 Plant detail-w slippage'!$P$2,0)</f>
        <v>-7152</v>
      </c>
      <c r="G614" s="257">
        <f t="shared" si="163"/>
        <v>8045754.21</v>
      </c>
      <c r="H614" s="38"/>
      <c r="I614" s="257">
        <f t="shared" si="158"/>
        <v>3284593.06</v>
      </c>
      <c r="J614" s="1362">
        <f t="shared" si="159"/>
        <v>1.9900000000000001E-2</v>
      </c>
      <c r="K614" s="173">
        <f t="shared" si="164"/>
        <v>13299</v>
      </c>
      <c r="L614" s="38">
        <f t="shared" si="160"/>
        <v>7152</v>
      </c>
      <c r="M614" s="257">
        <f>ROUND('Plant input detail '!M616*'WPB2.2 Plant detail-w slippage'!$P$2,0)</f>
        <v>0</v>
      </c>
      <c r="N614" s="2227">
        <f t="shared" si="161"/>
        <v>3290740.06</v>
      </c>
    </row>
    <row r="615" spans="1:14" x14ac:dyDescent="0.2">
      <c r="A615" s="31">
        <f t="shared" si="162"/>
        <v>22</v>
      </c>
      <c r="B615" s="253">
        <v>375.71</v>
      </c>
      <c r="C615" s="52" t="s">
        <v>1044</v>
      </c>
      <c r="D615" s="257">
        <f t="shared" si="157"/>
        <v>259808.94</v>
      </c>
      <c r="E615" s="382">
        <f>ROUND('Plant input detail '!E617*'WPB2.2 Plant detail-w slippage'!$P$2,0)</f>
        <v>0</v>
      </c>
      <c r="F615" s="257">
        <f>ROUND('Plant input detail '!F617*'WPB2.2 Plant detail-w slippage'!$P$2,0)</f>
        <v>0</v>
      </c>
      <c r="G615" s="257">
        <f t="shared" si="163"/>
        <v>259808.94</v>
      </c>
      <c r="H615" s="38"/>
      <c r="I615" s="257">
        <f t="shared" si="158"/>
        <v>168925.30736842111</v>
      </c>
      <c r="J615" s="1362" t="str">
        <f t="shared" si="159"/>
        <v>Amort.</v>
      </c>
      <c r="K615" s="258">
        <f>104653.88/38</f>
        <v>2754.0494736842106</v>
      </c>
      <c r="L615" s="38">
        <f t="shared" si="160"/>
        <v>0</v>
      </c>
      <c r="M615" s="257">
        <f>ROUND('Plant input detail '!M617*'WPB2.2 Plant detail-w slippage'!$P$2,0)</f>
        <v>0</v>
      </c>
      <c r="N615" s="2227">
        <f t="shared" si="161"/>
        <v>171679.35684210534</v>
      </c>
    </row>
    <row r="616" spans="1:14" x14ac:dyDescent="0.2">
      <c r="A616" s="31">
        <f t="shared" si="162"/>
        <v>23</v>
      </c>
      <c r="B616" s="253">
        <v>375.8</v>
      </c>
      <c r="C616" s="52" t="s">
        <v>1045</v>
      </c>
      <c r="D616" s="257">
        <f t="shared" si="157"/>
        <v>0</v>
      </c>
      <c r="E616" s="382">
        <f>ROUND('Plant input detail '!E618*'WPB2.2 Plant detail-w slippage'!$P$2,0)</f>
        <v>0</v>
      </c>
      <c r="F616" s="257">
        <f>ROUND('Plant input detail '!F618*'WPB2.2 Plant detail-w slippage'!$P$2,0)</f>
        <v>0</v>
      </c>
      <c r="G616" s="257">
        <f t="shared" si="163"/>
        <v>0</v>
      </c>
      <c r="H616" s="38"/>
      <c r="I616" s="257">
        <f t="shared" si="158"/>
        <v>0</v>
      </c>
      <c r="J616" s="1362">
        <f t="shared" si="159"/>
        <v>5.3199999999999997E-2</v>
      </c>
      <c r="K616" s="259">
        <v>0</v>
      </c>
      <c r="L616" s="38">
        <f t="shared" si="160"/>
        <v>0</v>
      </c>
      <c r="M616" s="257">
        <f>ROUND('Plant input detail '!M618*'WPB2.2 Plant detail-w slippage'!$P$2,0)</f>
        <v>0</v>
      </c>
      <c r="N616" s="2227">
        <f t="shared" si="161"/>
        <v>0</v>
      </c>
    </row>
    <row r="617" spans="1:14" x14ac:dyDescent="0.2">
      <c r="A617" s="31">
        <f>A616+1</f>
        <v>24</v>
      </c>
      <c r="B617" s="253">
        <v>376</v>
      </c>
      <c r="C617" s="251" t="s">
        <v>1096</v>
      </c>
      <c r="D617" s="257"/>
      <c r="E617" s="258"/>
      <c r="F617" s="259"/>
      <c r="G617" s="257"/>
      <c r="H617" s="38"/>
      <c r="I617" s="181"/>
      <c r="J617" s="1361"/>
      <c r="K617" s="173"/>
      <c r="L617" s="38"/>
      <c r="M617" s="259"/>
    </row>
    <row r="618" spans="1:14" x14ac:dyDescent="0.2">
      <c r="A618" s="31"/>
      <c r="B618" s="253"/>
      <c r="C618" s="286" t="s">
        <v>1097</v>
      </c>
      <c r="D618" s="257"/>
      <c r="E618" s="258"/>
      <c r="F618" s="259"/>
      <c r="G618" s="257"/>
      <c r="H618" s="38"/>
      <c r="I618" s="257"/>
      <c r="J618" s="1362"/>
      <c r="K618" s="173"/>
      <c r="L618" s="38"/>
      <c r="M618" s="257"/>
      <c r="N618" s="2227"/>
    </row>
    <row r="619" spans="1:14" x14ac:dyDescent="0.2">
      <c r="A619" s="31"/>
      <c r="B619" s="253"/>
      <c r="C619" s="286" t="s">
        <v>1098</v>
      </c>
      <c r="D619" s="257"/>
      <c r="E619" s="258"/>
      <c r="F619" s="259"/>
      <c r="G619" s="257"/>
      <c r="H619" s="38"/>
      <c r="I619" s="257"/>
      <c r="J619" s="1362"/>
      <c r="K619" s="173"/>
      <c r="L619" s="38"/>
      <c r="M619" s="257"/>
      <c r="N619" s="2227"/>
    </row>
    <row r="620" spans="1:14" x14ac:dyDescent="0.2">
      <c r="A620" s="31"/>
      <c r="B620" s="253"/>
      <c r="C620" s="286" t="s">
        <v>1099</v>
      </c>
      <c r="D620" s="257"/>
      <c r="E620" s="258"/>
      <c r="F620" s="259"/>
      <c r="G620" s="257"/>
      <c r="H620" s="38"/>
      <c r="I620" s="257"/>
      <c r="J620" s="1362"/>
      <c r="K620" s="173"/>
      <c r="L620" s="38"/>
      <c r="M620" s="257"/>
      <c r="N620" s="2227"/>
    </row>
    <row r="621" spans="1:14" x14ac:dyDescent="0.2">
      <c r="A621" s="31"/>
      <c r="B621" s="253"/>
      <c r="C621" s="286" t="s">
        <v>1100</v>
      </c>
      <c r="D621" s="257"/>
      <c r="E621" s="258"/>
      <c r="F621" s="259"/>
      <c r="G621" s="257"/>
      <c r="H621" s="38"/>
      <c r="I621" s="257"/>
      <c r="J621" s="1362"/>
      <c r="K621" s="173"/>
      <c r="L621" s="38"/>
      <c r="M621" s="257"/>
      <c r="N621" s="2227"/>
    </row>
    <row r="622" spans="1:14" x14ac:dyDescent="0.2">
      <c r="A622" s="31"/>
      <c r="B622" s="253"/>
      <c r="C622" s="286" t="s">
        <v>1101</v>
      </c>
      <c r="D622" s="257">
        <f t="shared" ref="D622:D627" si="165">G516</f>
        <v>208943075.44</v>
      </c>
      <c r="E622" s="382">
        <f>ROUND('Plant input detail '!E624*'WPB2.2 Plant detail-w slippage'!$P$2,0)</f>
        <v>1008166</v>
      </c>
      <c r="F622" s="257">
        <f>ROUND('Plant input detail '!F624*'WPB2.2 Plant detail-w slippage'!$P$2,0)</f>
        <v>-120980</v>
      </c>
      <c r="G622" s="257">
        <f t="shared" ref="G622:G627" si="166">SUM(D622:F622)</f>
        <v>209830261.44</v>
      </c>
      <c r="H622" s="38"/>
      <c r="I622" s="257">
        <f t="shared" ref="I622:I627" si="167">N516</f>
        <v>56769039.609999999</v>
      </c>
      <c r="J622" s="1362">
        <f t="shared" ref="J622:J627" si="168">J516</f>
        <v>1.5699999999999999E-2</v>
      </c>
      <c r="K622" s="173">
        <f t="shared" ref="K622:K627" si="169">ROUND((G622+D622)/2*J622/12,0)</f>
        <v>273948</v>
      </c>
      <c r="L622" s="38">
        <f t="shared" ref="L622:L627" si="170">-F622</f>
        <v>120980</v>
      </c>
      <c r="M622" s="257">
        <f>ROUND('Plant input detail '!M624*'WPB2.2 Plant detail-w slippage'!$P$2,0)</f>
        <v>-18147</v>
      </c>
      <c r="N622" s="2227">
        <f t="shared" ref="N622:N627" si="171">I622+K622-L622+M622</f>
        <v>56903860.609999999</v>
      </c>
    </row>
    <row r="623" spans="1:14" x14ac:dyDescent="0.2">
      <c r="A623" s="31">
        <f>A617+1</f>
        <v>25</v>
      </c>
      <c r="B623" s="253">
        <v>378.1</v>
      </c>
      <c r="C623" s="52" t="s">
        <v>1047</v>
      </c>
      <c r="D623" s="257">
        <f t="shared" si="165"/>
        <v>518504.18</v>
      </c>
      <c r="E623" s="382">
        <f>ROUND('Plant input detail '!E625*'WPB2.2 Plant detail-w slippage'!$P$2,0)</f>
        <v>0</v>
      </c>
      <c r="F623" s="257">
        <f>ROUND('Plant input detail '!F625*'WPB2.2 Plant detail-w slippage'!$P$2,0)</f>
        <v>0</v>
      </c>
      <c r="G623" s="257">
        <f t="shared" si="166"/>
        <v>518504.18</v>
      </c>
      <c r="H623" s="38"/>
      <c r="I623" s="257">
        <f t="shared" si="167"/>
        <v>358386.81</v>
      </c>
      <c r="J623" s="1362">
        <f t="shared" si="168"/>
        <v>2.35E-2</v>
      </c>
      <c r="K623" s="173">
        <f t="shared" si="169"/>
        <v>1015</v>
      </c>
      <c r="L623" s="38">
        <f t="shared" si="170"/>
        <v>0</v>
      </c>
      <c r="M623" s="257">
        <f>ROUND('Plant input detail '!M625*'WPB2.2 Plant detail-w slippage'!$P$2,0)</f>
        <v>0</v>
      </c>
      <c r="N623" s="2227">
        <f t="shared" si="171"/>
        <v>359401.81</v>
      </c>
    </row>
    <row r="624" spans="1:14" x14ac:dyDescent="0.2">
      <c r="A624" s="31">
        <f t="shared" si="162"/>
        <v>26</v>
      </c>
      <c r="B624" s="253">
        <v>378.2</v>
      </c>
      <c r="C624" s="52" t="s">
        <v>1048</v>
      </c>
      <c r="D624" s="257">
        <f t="shared" si="165"/>
        <v>9551494</v>
      </c>
      <c r="E624" s="382">
        <f>ROUND('Plant input detail '!E626*'WPB2.2 Plant detail-w slippage'!$P$2,0)</f>
        <v>52825</v>
      </c>
      <c r="F624" s="257">
        <f>ROUND('Plant input detail '!F626*'WPB2.2 Plant detail-w slippage'!$P$2,0)</f>
        <v>-6339</v>
      </c>
      <c r="G624" s="257">
        <f t="shared" si="166"/>
        <v>9597980</v>
      </c>
      <c r="H624" s="38"/>
      <c r="I624" s="257">
        <f t="shared" si="167"/>
        <v>3307074.91</v>
      </c>
      <c r="J624" s="1362">
        <f t="shared" si="168"/>
        <v>2.35E-2</v>
      </c>
      <c r="K624" s="173">
        <f t="shared" si="169"/>
        <v>18751</v>
      </c>
      <c r="L624" s="38">
        <f t="shared" si="170"/>
        <v>6339</v>
      </c>
      <c r="M624" s="257">
        <f>ROUND('Plant input detail '!M626*'WPB2.2 Plant detail-w slippage'!$P$2,0)</f>
        <v>-317</v>
      </c>
      <c r="N624" s="2227">
        <f t="shared" si="171"/>
        <v>3319169.91</v>
      </c>
    </row>
    <row r="625" spans="1:14" x14ac:dyDescent="0.2">
      <c r="A625" s="31">
        <f t="shared" si="162"/>
        <v>27</v>
      </c>
      <c r="B625" s="253">
        <v>378.3</v>
      </c>
      <c r="C625" s="52" t="s">
        <v>1049</v>
      </c>
      <c r="D625" s="257">
        <f t="shared" si="165"/>
        <v>45443.08</v>
      </c>
      <c r="E625" s="382">
        <f>ROUND('Plant input detail '!E627*'WPB2.2 Plant detail-w slippage'!$P$2,0)</f>
        <v>0</v>
      </c>
      <c r="F625" s="257">
        <f>ROUND('Plant input detail '!F627*'WPB2.2 Plant detail-w slippage'!$P$2,0)</f>
        <v>0</v>
      </c>
      <c r="G625" s="257">
        <f t="shared" si="166"/>
        <v>45443.08</v>
      </c>
      <c r="H625" s="38"/>
      <c r="I625" s="257">
        <f t="shared" si="167"/>
        <v>35433.040000000001</v>
      </c>
      <c r="J625" s="1362">
        <f t="shared" si="168"/>
        <v>2.35E-2</v>
      </c>
      <c r="K625" s="173">
        <f t="shared" si="169"/>
        <v>89</v>
      </c>
      <c r="L625" s="38">
        <f t="shared" si="170"/>
        <v>0</v>
      </c>
      <c r="M625" s="257">
        <f>ROUND('Plant input detail '!M627*'WPB2.2 Plant detail-w slippage'!$P$2,0)</f>
        <v>0</v>
      </c>
      <c r="N625" s="2227">
        <f t="shared" si="171"/>
        <v>35522.04</v>
      </c>
    </row>
    <row r="626" spans="1:14" x14ac:dyDescent="0.2">
      <c r="A626" s="31">
        <f t="shared" si="162"/>
        <v>28</v>
      </c>
      <c r="B626" s="253">
        <v>379.1</v>
      </c>
      <c r="C626" s="52" t="s">
        <v>1050</v>
      </c>
      <c r="D626" s="257">
        <f t="shared" si="165"/>
        <v>254900.59</v>
      </c>
      <c r="E626" s="382">
        <f>ROUND('Plant input detail '!E628*'WPB2.2 Plant detail-w slippage'!$P$2,0)</f>
        <v>0</v>
      </c>
      <c r="F626" s="257">
        <f>ROUND('Plant input detail '!F628*'WPB2.2 Plant detail-w slippage'!$P$2,0)</f>
        <v>0</v>
      </c>
      <c r="G626" s="257">
        <f t="shared" si="166"/>
        <v>254900.59</v>
      </c>
      <c r="H626" s="38"/>
      <c r="I626" s="257">
        <f t="shared" si="167"/>
        <v>267730.57</v>
      </c>
      <c r="J626" s="1362">
        <f t="shared" si="168"/>
        <v>2.2700000000000001E-2</v>
      </c>
      <c r="K626" s="259">
        <v>0</v>
      </c>
      <c r="L626" s="38">
        <f t="shared" si="170"/>
        <v>0</v>
      </c>
      <c r="M626" s="257">
        <f>ROUND('Plant input detail '!M628*'WPB2.2 Plant detail-w slippage'!$P$2,0)</f>
        <v>0</v>
      </c>
      <c r="N626" s="2227">
        <f t="shared" si="171"/>
        <v>267730.57</v>
      </c>
    </row>
    <row r="627" spans="1:14" x14ac:dyDescent="0.2">
      <c r="A627" s="31">
        <f t="shared" si="162"/>
        <v>29</v>
      </c>
      <c r="B627" s="253">
        <v>380</v>
      </c>
      <c r="C627" s="52" t="s">
        <v>1051</v>
      </c>
      <c r="D627" s="257">
        <f t="shared" si="165"/>
        <v>120025022.77</v>
      </c>
      <c r="E627" s="382">
        <f>ROUND('Plant input detail '!E629*'WPB2.2 Plant detail-w slippage'!$P$2,0)</f>
        <v>689548</v>
      </c>
      <c r="F627" s="257">
        <f>ROUND('Plant input detail '!F629*'WPB2.2 Plant detail-w slippage'!$P$2,0)</f>
        <v>-82746</v>
      </c>
      <c r="G627" s="257">
        <f t="shared" si="166"/>
        <v>120631824.77</v>
      </c>
      <c r="H627" s="38"/>
      <c r="I627" s="257">
        <f t="shared" si="167"/>
        <v>58098271.520000003</v>
      </c>
      <c r="J627" s="1362">
        <f t="shared" si="168"/>
        <v>2.5899999999999999E-2</v>
      </c>
      <c r="K627" s="173">
        <f t="shared" si="169"/>
        <v>259709</v>
      </c>
      <c r="L627" s="38">
        <f t="shared" si="170"/>
        <v>82746</v>
      </c>
      <c r="M627" s="257">
        <f>ROUND('Plant input detail '!M629*'WPB2.2 Plant detail-w slippage'!$P$2,0)</f>
        <v>-41373</v>
      </c>
      <c r="N627" s="2227">
        <f t="shared" si="171"/>
        <v>58233861.520000003</v>
      </c>
    </row>
    <row r="628" spans="1:14" x14ac:dyDescent="0.2">
      <c r="A628" s="170"/>
      <c r="B628" s="179"/>
      <c r="C628" s="178"/>
      <c r="D628" s="181"/>
      <c r="E628" s="173"/>
      <c r="F628" s="173"/>
      <c r="G628" s="181"/>
      <c r="H628" s="173"/>
      <c r="I628" s="173"/>
      <c r="J628" s="173"/>
      <c r="K628" s="173"/>
      <c r="L628" s="173"/>
      <c r="M628" s="171"/>
      <c r="N628" s="2229"/>
    </row>
    <row r="629" spans="1:14" x14ac:dyDescent="0.2">
      <c r="A629" s="2079" t="str">
        <f>co</f>
        <v>COLUMBIA GAS OF KENTUCKY, INC.</v>
      </c>
      <c r="B629" s="2079"/>
      <c r="C629" s="2079"/>
      <c r="D629" s="2079"/>
      <c r="E629" s="2079"/>
      <c r="F629" s="2079"/>
      <c r="G629" s="2079"/>
      <c r="H629" s="2079"/>
      <c r="I629" s="2079"/>
      <c r="J629" s="2079"/>
      <c r="K629" s="2079"/>
      <c r="L629" s="2079"/>
      <c r="M629" s="2079"/>
      <c r="N629" s="2079"/>
    </row>
    <row r="630" spans="1:14" x14ac:dyDescent="0.2">
      <c r="A630" s="2079" t="str">
        <f>case</f>
        <v>CASE NO. 2016 - 00162</v>
      </c>
      <c r="B630" s="2079"/>
      <c r="C630" s="2079"/>
      <c r="D630" s="2079"/>
      <c r="E630" s="2079"/>
      <c r="F630" s="2079"/>
      <c r="G630" s="2079"/>
      <c r="H630" s="2079"/>
      <c r="I630" s="2079"/>
      <c r="J630" s="2079"/>
      <c r="K630" s="2079"/>
      <c r="L630" s="2079"/>
      <c r="M630" s="2079"/>
      <c r="N630" s="2079"/>
    </row>
    <row r="631" spans="1:14" x14ac:dyDescent="0.2">
      <c r="A631" s="2080" t="s">
        <v>1106</v>
      </c>
      <c r="B631" s="2079"/>
      <c r="C631" s="2079"/>
      <c r="D631" s="2079"/>
      <c r="E631" s="2079"/>
      <c r="F631" s="2079"/>
      <c r="G631" s="2079"/>
      <c r="H631" s="2079"/>
      <c r="I631" s="2079"/>
      <c r="J631" s="2079"/>
      <c r="K631" s="2079"/>
      <c r="L631" s="2079"/>
      <c r="M631" s="2079"/>
      <c r="N631" s="2079"/>
    </row>
    <row r="632" spans="1:14" x14ac:dyDescent="0.2">
      <c r="A632" s="2081" t="s">
        <v>2142</v>
      </c>
      <c r="B632" s="2085"/>
      <c r="C632" s="2085"/>
      <c r="D632" s="2085"/>
      <c r="E632" s="2085"/>
      <c r="F632" s="2085"/>
      <c r="G632" s="2085"/>
      <c r="H632" s="2085"/>
      <c r="I632" s="2085"/>
      <c r="J632" s="2085"/>
      <c r="K632" s="2085"/>
      <c r="L632" s="2085"/>
      <c r="M632" s="2085"/>
      <c r="N632" s="2085"/>
    </row>
    <row r="634" spans="1:14" x14ac:dyDescent="0.2">
      <c r="A634" s="285" t="str">
        <f>$A$6</f>
        <v>DATA:__X___BASE PERIOD__X___FORECASTED PERIOD</v>
      </c>
      <c r="C634" s="171"/>
      <c r="M634" s="32"/>
      <c r="N634" s="1258" t="str">
        <f>$N$6</f>
        <v>WPB-2.2</v>
      </c>
    </row>
    <row r="635" spans="1:14" x14ac:dyDescent="0.2">
      <c r="A635" s="4" t="str">
        <f>$A$7</f>
        <v>TYPE OF FILING:___X____ORIGINAL________UPDATED</v>
      </c>
      <c r="M635" s="32"/>
      <c r="N635" s="2223" t="s">
        <v>1725</v>
      </c>
    </row>
    <row r="636" spans="1:14" x14ac:dyDescent="0.2">
      <c r="A636" s="1261" t="str">
        <f>$A$8</f>
        <v xml:space="preserve">WORKPAPER REFERENCE NO(S).: </v>
      </c>
      <c r="B636" s="202"/>
      <c r="C636" s="202"/>
      <c r="D636" s="201"/>
      <c r="E636" s="202"/>
      <c r="F636" s="202"/>
      <c r="G636" s="201"/>
      <c r="H636" s="201"/>
      <c r="M636" s="203"/>
      <c r="N636" s="204" t="str">
        <f>SMK</f>
        <v>WITNESS:  S. M. KATKO</v>
      </c>
    </row>
    <row r="637" spans="1:14" x14ac:dyDescent="0.2">
      <c r="A637" s="200"/>
      <c r="B637" s="201"/>
      <c r="C637" s="201"/>
      <c r="D637" s="201"/>
      <c r="E637" s="202"/>
      <c r="F637" s="202"/>
      <c r="G637" s="201"/>
      <c r="H637" s="201"/>
      <c r="I637" s="203"/>
      <c r="J637" s="1357"/>
      <c r="L637" s="32"/>
      <c r="M637" s="32"/>
    </row>
    <row r="638" spans="1:14" x14ac:dyDescent="0.2">
      <c r="A638" s="200"/>
      <c r="B638" s="201"/>
      <c r="C638" s="201"/>
      <c r="D638" s="2082" t="s">
        <v>1088</v>
      </c>
      <c r="E638" s="2082"/>
      <c r="F638" s="2082"/>
      <c r="G638" s="2082"/>
      <c r="H638" s="201"/>
      <c r="I638" s="2083" t="s">
        <v>1093</v>
      </c>
      <c r="J638" s="2084"/>
      <c r="K638" s="2084"/>
      <c r="L638" s="2084"/>
      <c r="M638" s="2084"/>
      <c r="N638" s="2084"/>
    </row>
    <row r="639" spans="1:14" x14ac:dyDescent="0.2">
      <c r="A639" s="270"/>
      <c r="B639" s="201"/>
      <c r="C639" s="201"/>
      <c r="D639" s="271" t="s">
        <v>1084</v>
      </c>
      <c r="E639" s="202"/>
      <c r="F639" s="202"/>
      <c r="G639" s="269"/>
      <c r="H639" s="269"/>
      <c r="I639" s="261" t="s">
        <v>1089</v>
      </c>
      <c r="J639" s="1358"/>
      <c r="M639" s="32"/>
    </row>
    <row r="640" spans="1:14" x14ac:dyDescent="0.2">
      <c r="A640" s="30"/>
      <c r="D640" s="261" t="s">
        <v>865</v>
      </c>
      <c r="G640" s="261" t="s">
        <v>867</v>
      </c>
      <c r="H640" s="268"/>
      <c r="I640" s="261" t="s">
        <v>865</v>
      </c>
      <c r="J640" s="1308" t="s">
        <v>956</v>
      </c>
      <c r="M640" s="32"/>
      <c r="N640" s="2225" t="s">
        <v>867</v>
      </c>
    </row>
    <row r="641" spans="1:14" x14ac:dyDescent="0.2">
      <c r="A641" s="261" t="s">
        <v>1080</v>
      </c>
      <c r="B641" s="261" t="s">
        <v>1082</v>
      </c>
      <c r="D641" s="261" t="s">
        <v>867</v>
      </c>
      <c r="G641" s="262" t="s">
        <v>1087</v>
      </c>
      <c r="H641" s="268"/>
      <c r="I641" s="262" t="s">
        <v>867</v>
      </c>
      <c r="J641" s="1308" t="s">
        <v>1090</v>
      </c>
      <c r="K641" s="1308" t="s">
        <v>956</v>
      </c>
      <c r="M641" s="262" t="s">
        <v>1092</v>
      </c>
      <c r="N641" s="1259" t="s">
        <v>1087</v>
      </c>
    </row>
    <row r="642" spans="1:14" x14ac:dyDescent="0.2">
      <c r="A642" s="272" t="s">
        <v>1081</v>
      </c>
      <c r="B642" s="272" t="s">
        <v>1081</v>
      </c>
      <c r="C642" s="273" t="s">
        <v>1083</v>
      </c>
      <c r="D642" s="274" t="str">
        <f>D589</f>
        <v>07/31/2016</v>
      </c>
      <c r="E642" s="275" t="s">
        <v>1085</v>
      </c>
      <c r="F642" s="275" t="s">
        <v>1086</v>
      </c>
      <c r="G642" s="274" t="str">
        <f>G589</f>
        <v>08/31/2016</v>
      </c>
      <c r="H642" s="268"/>
      <c r="I642" s="274" t="str">
        <f>D642</f>
        <v>07/31/2016</v>
      </c>
      <c r="J642" s="275" t="s">
        <v>1091</v>
      </c>
      <c r="K642" s="1327" t="s">
        <v>1090</v>
      </c>
      <c r="L642" s="276" t="s">
        <v>1086</v>
      </c>
      <c r="M642" s="276" t="s">
        <v>955</v>
      </c>
      <c r="N642" s="2226" t="str">
        <f>G642</f>
        <v>08/31/2016</v>
      </c>
    </row>
    <row r="643" spans="1:14" x14ac:dyDescent="0.2">
      <c r="A643" s="267"/>
      <c r="B643" s="267"/>
      <c r="C643" s="267"/>
      <c r="D643" s="267" t="str">
        <f>"(1)"</f>
        <v>(1)</v>
      </c>
      <c r="E643" s="267" t="str">
        <f>"(2)"</f>
        <v>(2)</v>
      </c>
      <c r="F643" s="267" t="str">
        <f>"(3)"</f>
        <v>(3)</v>
      </c>
      <c r="G643" s="267" t="str">
        <f>"(4)=(1+2+3)"</f>
        <v>(4)=(1+2+3)</v>
      </c>
      <c r="H643" s="267"/>
      <c r="I643" s="267" t="str">
        <f>"(5)"</f>
        <v>(5)</v>
      </c>
      <c r="J643" s="1328" t="str">
        <f>"(6)"</f>
        <v>(6)</v>
      </c>
      <c r="K643" s="1328" t="str">
        <f>"(7)=((1+4)/2*6/12))"</f>
        <v>(7)=((1+4)/2*6/12))</v>
      </c>
      <c r="L643" s="267" t="str">
        <f>"(8)"</f>
        <v>(8)</v>
      </c>
      <c r="M643" s="267" t="str">
        <f>"(9)"</f>
        <v>(9)</v>
      </c>
      <c r="N643" s="204" t="str">
        <f>"(10)=(5+7-8+9)"</f>
        <v>(10)=(5+7-8+9)</v>
      </c>
    </row>
    <row r="644" spans="1:14" x14ac:dyDescent="0.2">
      <c r="D644" s="31" t="s">
        <v>639</v>
      </c>
      <c r="E644" s="170" t="s">
        <v>639</v>
      </c>
      <c r="F644" s="170" t="s">
        <v>639</v>
      </c>
      <c r="G644" s="31" t="s">
        <v>639</v>
      </c>
      <c r="H644" s="31"/>
      <c r="I644" s="31" t="s">
        <v>639</v>
      </c>
      <c r="J644" s="170" t="s">
        <v>639</v>
      </c>
      <c r="K644" s="170" t="s">
        <v>639</v>
      </c>
      <c r="L644" s="31" t="s">
        <v>639</v>
      </c>
      <c r="M644" s="31" t="s">
        <v>639</v>
      </c>
      <c r="N644" s="155" t="s">
        <v>639</v>
      </c>
    </row>
    <row r="645" spans="1:14" x14ac:dyDescent="0.2">
      <c r="C645" s="36" t="s">
        <v>707</v>
      </c>
      <c r="D645" s="31"/>
      <c r="E645" s="170"/>
      <c r="F645" s="170"/>
      <c r="G645" s="31"/>
      <c r="J645" s="170"/>
    </row>
    <row r="646" spans="1:14" x14ac:dyDescent="0.2">
      <c r="A646" s="127">
        <v>1</v>
      </c>
      <c r="B646" s="123">
        <v>381</v>
      </c>
      <c r="C646" s="52" t="s">
        <v>1052</v>
      </c>
      <c r="D646" s="257">
        <f t="shared" ref="D646:D657" si="172">G540</f>
        <v>13621083.550000001</v>
      </c>
      <c r="E646" s="382">
        <f>ROUND('Plant input detail '!E648*'WPB2.2 Plant detail-w slippage'!$P$2,0)</f>
        <v>22915</v>
      </c>
      <c r="F646" s="257">
        <f>ROUND('Plant input detail '!F648*'WPB2.2 Plant detail-w slippage'!$P$2,0)</f>
        <v>-2750</v>
      </c>
      <c r="G646" s="257">
        <f>SUM(D646:F646)</f>
        <v>13641248.550000001</v>
      </c>
      <c r="H646" s="38"/>
      <c r="I646" s="257">
        <f t="shared" ref="I646:I657" si="173">N540</f>
        <v>4796329.8899999997</v>
      </c>
      <c r="J646" s="1362">
        <f t="shared" ref="J646:J657" si="174">J540</f>
        <v>2.5899999999999999E-2</v>
      </c>
      <c r="K646" s="173">
        <f t="shared" ref="K646:K657" si="175">ROUND((G646+D646)/2*J646/12,0)</f>
        <v>29421</v>
      </c>
      <c r="L646" s="38">
        <f t="shared" ref="L646:L657" si="176">-F646</f>
        <v>2750</v>
      </c>
      <c r="M646" s="257">
        <f>ROUND('Plant input detail '!M648*'WPB2.2 Plant detail-w slippage'!$P$2,0)</f>
        <v>0</v>
      </c>
      <c r="N646" s="2227">
        <f t="shared" ref="N646:N657" si="177">I646+K646-L646+M646</f>
        <v>4823000.8899999997</v>
      </c>
    </row>
    <row r="647" spans="1:14" x14ac:dyDescent="0.2">
      <c r="A647" s="127">
        <f>A646+1</f>
        <v>2</v>
      </c>
      <c r="B647" s="123">
        <v>381.1</v>
      </c>
      <c r="C647" s="52" t="s">
        <v>1115</v>
      </c>
      <c r="D647" s="257">
        <f t="shared" si="172"/>
        <v>8761997.0600000005</v>
      </c>
      <c r="E647" s="382">
        <f>ROUND('Plant input detail '!E649*'WPB2.2 Plant detail-w slippage'!$P$2,0)</f>
        <v>3185</v>
      </c>
      <c r="F647" s="257">
        <f>ROUND('Plant input detail '!F649*'WPB2.2 Plant detail-w slippage'!$P$2,0)</f>
        <v>-382</v>
      </c>
      <c r="G647" s="257">
        <f>SUM(D647:F647)</f>
        <v>8764800.0600000005</v>
      </c>
      <c r="H647" s="38"/>
      <c r="I647" s="257">
        <f t="shared" si="173"/>
        <v>459956.5</v>
      </c>
      <c r="J647" s="1362">
        <f t="shared" si="174"/>
        <v>2.5899999999999999E-2</v>
      </c>
      <c r="K647" s="173">
        <f t="shared" si="175"/>
        <v>18914</v>
      </c>
      <c r="L647" s="38">
        <f t="shared" si="176"/>
        <v>382</v>
      </c>
      <c r="M647" s="257">
        <f>ROUND('Plant input detail '!M649*'WPB2.2 Plant detail-w slippage'!$P$2,0)</f>
        <v>0</v>
      </c>
      <c r="N647" s="2227">
        <f t="shared" si="177"/>
        <v>478488.5</v>
      </c>
    </row>
    <row r="648" spans="1:14" x14ac:dyDescent="0.2">
      <c r="A648" s="127">
        <f t="shared" ref="A648:A658" si="178">A647+1</f>
        <v>3</v>
      </c>
      <c r="B648" s="123">
        <v>382</v>
      </c>
      <c r="C648" s="52" t="s">
        <v>1053</v>
      </c>
      <c r="D648" s="257">
        <f t="shared" si="172"/>
        <v>9065472.6500000004</v>
      </c>
      <c r="E648" s="382">
        <f>ROUND('Plant input detail '!E650*'WPB2.2 Plant detail-w slippage'!$P$2,0)</f>
        <v>50482</v>
      </c>
      <c r="F648" s="257">
        <f>ROUND('Plant input detail '!F650*'WPB2.2 Plant detail-w slippage'!$P$2,0)</f>
        <v>-6058</v>
      </c>
      <c r="G648" s="257">
        <f t="shared" ref="G648:G653" si="179">SUM(D648:F648)</f>
        <v>9109896.6500000004</v>
      </c>
      <c r="H648" s="38"/>
      <c r="I648" s="257">
        <f t="shared" si="173"/>
        <v>4564503.3</v>
      </c>
      <c r="J648" s="1362">
        <f t="shared" si="174"/>
        <v>2.3900000000000001E-2</v>
      </c>
      <c r="K648" s="173">
        <f t="shared" si="175"/>
        <v>18100</v>
      </c>
      <c r="L648" s="38">
        <f t="shared" si="176"/>
        <v>6058</v>
      </c>
      <c r="M648" s="257">
        <f>ROUND('Plant input detail '!M650*'WPB2.2 Plant detail-w slippage'!$P$2,0)</f>
        <v>-303</v>
      </c>
      <c r="N648" s="2227">
        <f t="shared" si="177"/>
        <v>4576242.3</v>
      </c>
    </row>
    <row r="649" spans="1:14" x14ac:dyDescent="0.2">
      <c r="A649" s="127">
        <f t="shared" si="178"/>
        <v>4</v>
      </c>
      <c r="B649" s="123">
        <v>383</v>
      </c>
      <c r="C649" s="52" t="s">
        <v>1054</v>
      </c>
      <c r="D649" s="257">
        <f t="shared" si="172"/>
        <v>5571655.7599999998</v>
      </c>
      <c r="E649" s="382">
        <f>ROUND('Plant input detail '!E651*'WPB2.2 Plant detail-w slippage'!$P$2,0)</f>
        <v>21537</v>
      </c>
      <c r="F649" s="257">
        <f>ROUND('Plant input detail '!F651*'WPB2.2 Plant detail-w slippage'!$P$2,0)</f>
        <v>-2584</v>
      </c>
      <c r="G649" s="257">
        <f t="shared" si="179"/>
        <v>5590608.7599999998</v>
      </c>
      <c r="H649" s="38"/>
      <c r="I649" s="257">
        <f t="shared" si="173"/>
        <v>1486042.41</v>
      </c>
      <c r="J649" s="1362">
        <f t="shared" si="174"/>
        <v>1.3899999999999999E-2</v>
      </c>
      <c r="K649" s="173">
        <f t="shared" si="175"/>
        <v>6465</v>
      </c>
      <c r="L649" s="38">
        <f t="shared" si="176"/>
        <v>2584</v>
      </c>
      <c r="M649" s="257">
        <f>ROUND('Plant input detail '!M651*'WPB2.2 Plant detail-w slippage'!$P$2,0)</f>
        <v>-129</v>
      </c>
      <c r="N649" s="2227">
        <f t="shared" si="177"/>
        <v>1489794.41</v>
      </c>
    </row>
    <row r="650" spans="1:14" x14ac:dyDescent="0.2">
      <c r="A650" s="127">
        <f t="shared" si="178"/>
        <v>5</v>
      </c>
      <c r="B650" s="123">
        <v>384</v>
      </c>
      <c r="C650" s="52" t="s">
        <v>1055</v>
      </c>
      <c r="D650" s="257">
        <f t="shared" si="172"/>
        <v>2257522</v>
      </c>
      <c r="E650" s="382">
        <f>ROUND('Plant input detail '!E652*'WPB2.2 Plant detail-w slippage'!$P$2,0)</f>
        <v>0</v>
      </c>
      <c r="F650" s="257">
        <f>ROUND('Plant input detail '!F652*'WPB2.2 Plant detail-w slippage'!$P$2,0)</f>
        <v>0</v>
      </c>
      <c r="G650" s="257">
        <f t="shared" si="179"/>
        <v>2257522</v>
      </c>
      <c r="H650" s="38"/>
      <c r="I650" s="257">
        <f t="shared" si="173"/>
        <v>1758983.73</v>
      </c>
      <c r="J650" s="1362">
        <f t="shared" si="174"/>
        <v>1.0999999999999999E-2</v>
      </c>
      <c r="K650" s="173">
        <f t="shared" si="175"/>
        <v>2069</v>
      </c>
      <c r="L650" s="38">
        <f t="shared" si="176"/>
        <v>0</v>
      </c>
      <c r="M650" s="257">
        <f>ROUND('Plant input detail '!M652*'WPB2.2 Plant detail-w slippage'!$P$2,0)</f>
        <v>0</v>
      </c>
      <c r="N650" s="2227">
        <f t="shared" si="177"/>
        <v>1761052.73</v>
      </c>
    </row>
    <row r="651" spans="1:14" x14ac:dyDescent="0.2">
      <c r="A651" s="127">
        <f t="shared" si="178"/>
        <v>6</v>
      </c>
      <c r="B651" s="123">
        <v>385</v>
      </c>
      <c r="C651" s="52" t="s">
        <v>1056</v>
      </c>
      <c r="D651" s="257">
        <f t="shared" si="172"/>
        <v>3156908.36</v>
      </c>
      <c r="E651" s="382">
        <f>ROUND('Plant input detail '!E653*'WPB2.2 Plant detail-w slippage'!$P$2,0)</f>
        <v>21653</v>
      </c>
      <c r="F651" s="257">
        <f>ROUND('Plant input detail '!F653*'WPB2.2 Plant detail-w slippage'!$P$2,0)</f>
        <v>-2598</v>
      </c>
      <c r="G651" s="257">
        <f t="shared" si="179"/>
        <v>3175963.36</v>
      </c>
      <c r="H651" s="38"/>
      <c r="I651" s="257">
        <f t="shared" si="173"/>
        <v>875938.55</v>
      </c>
      <c r="J651" s="1362">
        <f t="shared" si="174"/>
        <v>2.0899999999999998E-2</v>
      </c>
      <c r="K651" s="173">
        <f t="shared" si="175"/>
        <v>5515</v>
      </c>
      <c r="L651" s="38">
        <f t="shared" si="176"/>
        <v>2598</v>
      </c>
      <c r="M651" s="257">
        <f>ROUND('Plant input detail '!M653*'WPB2.2 Plant detail-w slippage'!$P$2,0)</f>
        <v>-130</v>
      </c>
      <c r="N651" s="2227">
        <f t="shared" si="177"/>
        <v>878725.55</v>
      </c>
    </row>
    <row r="652" spans="1:14" x14ac:dyDescent="0.2">
      <c r="A652" s="127">
        <f t="shared" si="178"/>
        <v>7</v>
      </c>
      <c r="B652" s="123">
        <v>387.2</v>
      </c>
      <c r="C652" s="52" t="s">
        <v>1057</v>
      </c>
      <c r="D652" s="257">
        <f t="shared" si="172"/>
        <v>0</v>
      </c>
      <c r="E652" s="382">
        <f>ROUND('Plant input detail '!E654*'WPB2.2 Plant detail-w slippage'!$P$2,0)</f>
        <v>0</v>
      </c>
      <c r="F652" s="257">
        <f>ROUND('Plant input detail '!F654*'WPB2.2 Plant detail-w slippage'!$P$2,0)</f>
        <v>0</v>
      </c>
      <c r="G652" s="257">
        <f t="shared" si="179"/>
        <v>0</v>
      </c>
      <c r="H652" s="38"/>
      <c r="I652" s="257">
        <f t="shared" si="173"/>
        <v>-59912.03</v>
      </c>
      <c r="J652" s="1362">
        <f t="shared" si="174"/>
        <v>2.3199999999999998E-2</v>
      </c>
      <c r="K652" s="173">
        <f t="shared" si="175"/>
        <v>0</v>
      </c>
      <c r="L652" s="38">
        <f t="shared" si="176"/>
        <v>0</v>
      </c>
      <c r="M652" s="257">
        <f>ROUND('Plant input detail '!M654*'WPB2.2 Plant detail-w slippage'!$P$2,0)</f>
        <v>0</v>
      </c>
      <c r="N652" s="2227">
        <f t="shared" si="177"/>
        <v>-59912.03</v>
      </c>
    </row>
    <row r="653" spans="1:14" x14ac:dyDescent="0.2">
      <c r="A653" s="127">
        <f t="shared" si="178"/>
        <v>8</v>
      </c>
      <c r="B653" s="123">
        <v>387.41</v>
      </c>
      <c r="C653" s="52" t="s">
        <v>1058</v>
      </c>
      <c r="D653" s="257">
        <f t="shared" si="172"/>
        <v>735770.76</v>
      </c>
      <c r="E653" s="382">
        <f>ROUND('Plant input detail '!E655*'WPB2.2 Plant detail-w slippage'!$P$2,0)</f>
        <v>0</v>
      </c>
      <c r="F653" s="257">
        <f>ROUND('Plant input detail '!F655*'WPB2.2 Plant detail-w slippage'!$P$2,0)</f>
        <v>0</v>
      </c>
      <c r="G653" s="257">
        <f t="shared" si="179"/>
        <v>735770.76</v>
      </c>
      <c r="H653" s="38"/>
      <c r="I653" s="257">
        <f t="shared" si="173"/>
        <v>378882.95</v>
      </c>
      <c r="J653" s="1362">
        <f t="shared" si="174"/>
        <v>2.3400000000000001E-2</v>
      </c>
      <c r="K653" s="173">
        <f t="shared" si="175"/>
        <v>1435</v>
      </c>
      <c r="L653" s="38">
        <f t="shared" si="176"/>
        <v>0</v>
      </c>
      <c r="M653" s="257">
        <f>ROUND('Plant input detail '!M655*'WPB2.2 Plant detail-w slippage'!$P$2,0)</f>
        <v>0</v>
      </c>
      <c r="N653" s="2227">
        <f t="shared" si="177"/>
        <v>380317.95</v>
      </c>
    </row>
    <row r="654" spans="1:14" x14ac:dyDescent="0.2">
      <c r="A654" s="127">
        <f t="shared" si="178"/>
        <v>9</v>
      </c>
      <c r="B654" s="123">
        <v>387.42</v>
      </c>
      <c r="C654" s="52" t="s">
        <v>1059</v>
      </c>
      <c r="D654" s="257">
        <f t="shared" si="172"/>
        <v>795186.58</v>
      </c>
      <c r="E654" s="382">
        <f>ROUND('Plant input detail '!E656*'WPB2.2 Plant detail-w slippage'!$P$2,0)</f>
        <v>0</v>
      </c>
      <c r="F654" s="257">
        <f>ROUND('Plant input detail '!F656*'WPB2.2 Plant detail-w slippage'!$P$2,0)</f>
        <v>0</v>
      </c>
      <c r="G654" s="257">
        <f>SUM(D654:F654)</f>
        <v>795186.58</v>
      </c>
      <c r="H654" s="38"/>
      <c r="I654" s="257">
        <f t="shared" si="173"/>
        <v>544790.94999999995</v>
      </c>
      <c r="J654" s="1362">
        <f t="shared" si="174"/>
        <v>2.3400000000000001E-2</v>
      </c>
      <c r="K654" s="173">
        <f t="shared" si="175"/>
        <v>1551</v>
      </c>
      <c r="L654" s="38">
        <f t="shared" si="176"/>
        <v>0</v>
      </c>
      <c r="M654" s="257">
        <f>ROUND('Plant input detail '!M656*'WPB2.2 Plant detail-w slippage'!$P$2,0)</f>
        <v>0</v>
      </c>
      <c r="N654" s="2227">
        <f t="shared" si="177"/>
        <v>546341.94999999995</v>
      </c>
    </row>
    <row r="655" spans="1:14" x14ac:dyDescent="0.2">
      <c r="A655" s="127">
        <f t="shared" si="178"/>
        <v>10</v>
      </c>
      <c r="B655" s="123">
        <v>387.44</v>
      </c>
      <c r="C655" s="52" t="s">
        <v>1060</v>
      </c>
      <c r="D655" s="257">
        <f t="shared" si="172"/>
        <v>143283.93</v>
      </c>
      <c r="E655" s="382">
        <f>ROUND('Plant input detail '!E657*'WPB2.2 Plant detail-w slippage'!$P$2,0)</f>
        <v>0</v>
      </c>
      <c r="F655" s="257">
        <f>ROUND('Plant input detail '!F657*'WPB2.2 Plant detail-w slippage'!$P$2,0)</f>
        <v>0</v>
      </c>
      <c r="G655" s="257">
        <f>SUM(D655:F655)</f>
        <v>143283.93</v>
      </c>
      <c r="H655" s="38"/>
      <c r="I655" s="257">
        <f t="shared" si="173"/>
        <v>45553.55</v>
      </c>
      <c r="J655" s="1362">
        <f t="shared" si="174"/>
        <v>2.3400000000000001E-2</v>
      </c>
      <c r="K655" s="173">
        <f t="shared" si="175"/>
        <v>279</v>
      </c>
      <c r="L655" s="38">
        <f t="shared" si="176"/>
        <v>0</v>
      </c>
      <c r="M655" s="257">
        <f>ROUND('Plant input detail '!M657*'WPB2.2 Plant detail-w slippage'!$P$2,0)</f>
        <v>0</v>
      </c>
      <c r="N655" s="2227">
        <f t="shared" si="177"/>
        <v>45832.55</v>
      </c>
    </row>
    <row r="656" spans="1:14" x14ac:dyDescent="0.2">
      <c r="A656" s="127">
        <f t="shared" si="178"/>
        <v>11</v>
      </c>
      <c r="B656" s="123">
        <v>387.45</v>
      </c>
      <c r="C656" s="52" t="s">
        <v>1061</v>
      </c>
      <c r="D656" s="257">
        <f t="shared" si="172"/>
        <v>2819959.66</v>
      </c>
      <c r="E656" s="382">
        <f>ROUND('Plant input detail '!E658*'WPB2.2 Plant detail-w slippage'!$P$2,0)</f>
        <v>101260</v>
      </c>
      <c r="F656" s="257">
        <f>ROUND('Plant input detail '!F658*'WPB2.2 Plant detail-w slippage'!$P$2,0)</f>
        <v>-12151</v>
      </c>
      <c r="G656" s="257">
        <f>SUM(D656:F656)</f>
        <v>2909068.66</v>
      </c>
      <c r="H656" s="38"/>
      <c r="I656" s="257">
        <f t="shared" si="173"/>
        <v>564091.06000000006</v>
      </c>
      <c r="J656" s="1362">
        <f t="shared" si="174"/>
        <v>2.3400000000000001E-2</v>
      </c>
      <c r="K656" s="173">
        <f t="shared" si="175"/>
        <v>5586</v>
      </c>
      <c r="L656" s="38">
        <f t="shared" si="176"/>
        <v>12151</v>
      </c>
      <c r="M656" s="257">
        <f>ROUND('Plant input detail '!M658*'WPB2.2 Plant detail-w slippage'!$P$2,0)</f>
        <v>0</v>
      </c>
      <c r="N656" s="2227">
        <f t="shared" si="177"/>
        <v>557526.06000000006</v>
      </c>
    </row>
    <row r="657" spans="1:14" x14ac:dyDescent="0.2">
      <c r="A657" s="127">
        <f t="shared" si="178"/>
        <v>12</v>
      </c>
      <c r="B657" s="123">
        <v>387.46</v>
      </c>
      <c r="C657" s="52" t="s">
        <v>1062</v>
      </c>
      <c r="D657" s="260">
        <f t="shared" si="172"/>
        <v>113644.47</v>
      </c>
      <c r="E657" s="265">
        <f>ROUND('Plant input detail '!E659*'WPB2.2 Plant detail-w slippage'!$P$2,0)</f>
        <v>0</v>
      </c>
      <c r="F657" s="265">
        <f>ROUND('Plant input detail '!F659*'WPB2.2 Plant detail-w slippage'!$P$2,0)</f>
        <v>0</v>
      </c>
      <c r="G657" s="265">
        <f>SUM(D657:F657)</f>
        <v>113644.47</v>
      </c>
      <c r="H657" s="264"/>
      <c r="I657" s="260">
        <f t="shared" si="173"/>
        <v>111122.83</v>
      </c>
      <c r="J657" s="1362">
        <f t="shared" si="174"/>
        <v>2.3400000000000001E-2</v>
      </c>
      <c r="K657" s="260">
        <f t="shared" si="175"/>
        <v>222</v>
      </c>
      <c r="L657" s="295">
        <f t="shared" si="176"/>
        <v>0</v>
      </c>
      <c r="M657" s="265">
        <f>ROUND('Plant input detail '!M659*'WPB2.2 Plant detail-w slippage'!$P$2,0)</f>
        <v>0</v>
      </c>
      <c r="N657" s="2228">
        <f t="shared" si="177"/>
        <v>111344.83</v>
      </c>
    </row>
    <row r="658" spans="1:14" x14ac:dyDescent="0.2">
      <c r="A658" s="127">
        <f t="shared" si="178"/>
        <v>13</v>
      </c>
      <c r="B658" s="252"/>
      <c r="C658" s="32" t="s">
        <v>1063</v>
      </c>
      <c r="D658" s="173">
        <f>SUM(D646:D657,D606:D627)</f>
        <v>400749094.37999994</v>
      </c>
      <c r="E658" s="173">
        <f>SUM(E646:E657,E606:E627)</f>
        <v>2083113</v>
      </c>
      <c r="F658" s="173">
        <f>SUM(F646:F657,F606:F627)</f>
        <v>-249973</v>
      </c>
      <c r="G658" s="173">
        <f>SUM(G646:G657,G606:G627)</f>
        <v>402582234.37999994</v>
      </c>
      <c r="H658" s="38"/>
      <c r="I658" s="173">
        <f>SUM(I646:I657,I606:I627)</f>
        <v>139408816.02736843</v>
      </c>
      <c r="J658" s="173"/>
      <c r="K658" s="173">
        <f>SUM(K646:K657,K606:K627)</f>
        <v>665812.04947368428</v>
      </c>
      <c r="L658" s="173">
        <f>SUM(L646:L657,L606:L627)</f>
        <v>249973</v>
      </c>
      <c r="M658" s="173">
        <f>SUM(M646:M657,M606:M627)</f>
        <v>-61002</v>
      </c>
      <c r="N658" s="1361">
        <f>SUM(N646:N657,N606:N627)</f>
        <v>139763653.0768421</v>
      </c>
    </row>
    <row r="659" spans="1:14" x14ac:dyDescent="0.2">
      <c r="B659" s="252"/>
      <c r="D659" s="38"/>
      <c r="E659" s="173"/>
      <c r="F659" s="173"/>
      <c r="G659" s="38"/>
      <c r="H659" s="38"/>
      <c r="I659" s="181"/>
      <c r="J659" s="173"/>
      <c r="K659" s="173"/>
      <c r="L659" s="38"/>
      <c r="M659" s="173"/>
    </row>
    <row r="660" spans="1:14" x14ac:dyDescent="0.2">
      <c r="A660" s="127">
        <f>A658+1</f>
        <v>14</v>
      </c>
      <c r="B660" s="252"/>
      <c r="C660" s="36" t="s">
        <v>737</v>
      </c>
      <c r="D660" s="38"/>
      <c r="E660" s="173"/>
      <c r="F660" s="173"/>
      <c r="G660" s="38"/>
      <c r="H660" s="38"/>
      <c r="I660" s="181"/>
      <c r="J660" s="173"/>
      <c r="K660" s="173"/>
      <c r="L660" s="38"/>
      <c r="M660" s="173"/>
    </row>
    <row r="661" spans="1:14" x14ac:dyDescent="0.2">
      <c r="A661" s="31">
        <f>A660+1</f>
        <v>15</v>
      </c>
      <c r="B661" s="123">
        <v>391.1</v>
      </c>
      <c r="C661" s="52" t="s">
        <v>1064</v>
      </c>
      <c r="D661" s="257">
        <f t="shared" ref="D661:D674" si="180">G555</f>
        <v>734600.71</v>
      </c>
      <c r="E661" s="382">
        <f>ROUND('Plant input detail '!E663*'WPB2.2 Plant detail-w slippage'!$P$2,0)</f>
        <v>-4800</v>
      </c>
      <c r="F661" s="257">
        <f>ROUND('Plant input detail '!F663*'WPB2.2 Plant detail-w slippage'!$P$2,0)</f>
        <v>576</v>
      </c>
      <c r="G661" s="257">
        <f t="shared" ref="G661:G674" si="181">SUM(D661:F661)</f>
        <v>730376.71</v>
      </c>
      <c r="H661" s="38"/>
      <c r="I661" s="257">
        <f t="shared" ref="I661:I674" si="182">N555</f>
        <v>-68540.22</v>
      </c>
      <c r="J661" s="1362">
        <f t="shared" ref="J661:J674" si="183">J555</f>
        <v>0.05</v>
      </c>
      <c r="K661" s="173">
        <f>ROUND((G661+D661)/2*J661/12,0)</f>
        <v>3052</v>
      </c>
      <c r="L661" s="38">
        <f t="shared" ref="L661:L674" si="184">-F661</f>
        <v>-576</v>
      </c>
      <c r="M661" s="257">
        <f>ROUND('Plant input detail '!M663*'WPB2.2 Plant detail-w slippage'!$P$2,0)</f>
        <v>0</v>
      </c>
      <c r="N661" s="2227">
        <f t="shared" ref="N661:N674" si="185">I661+K661-L661+M661</f>
        <v>-64912.22</v>
      </c>
    </row>
    <row r="662" spans="1:14" x14ac:dyDescent="0.2">
      <c r="A662" s="31">
        <f t="shared" ref="A662:A675" si="186">A661+1</f>
        <v>16</v>
      </c>
      <c r="B662" s="123">
        <v>391.11</v>
      </c>
      <c r="C662" s="52" t="s">
        <v>1065</v>
      </c>
      <c r="D662" s="257">
        <f t="shared" si="180"/>
        <v>18815.57</v>
      </c>
      <c r="E662" s="382">
        <f>ROUND('Plant input detail '!E664*'WPB2.2 Plant detail-w slippage'!$P$2,0)</f>
        <v>0</v>
      </c>
      <c r="F662" s="257">
        <f>ROUND('Plant input detail '!F664*'WPB2.2 Plant detail-w slippage'!$P$2,0)</f>
        <v>0</v>
      </c>
      <c r="G662" s="257">
        <f t="shared" si="181"/>
        <v>18815.57</v>
      </c>
      <c r="H662" s="38"/>
      <c r="I662" s="257">
        <f t="shared" si="182"/>
        <v>-12509.77</v>
      </c>
      <c r="J662" s="1362">
        <f t="shared" si="183"/>
        <v>6.6699999999999995E-2</v>
      </c>
      <c r="K662" s="173">
        <f>ROUND((G662+D662)/2*J662/12,0)</f>
        <v>105</v>
      </c>
      <c r="L662" s="38">
        <f t="shared" si="184"/>
        <v>0</v>
      </c>
      <c r="M662" s="257">
        <f>ROUND('Plant input detail '!M664*'WPB2.2 Plant detail-w slippage'!$P$2,0)</f>
        <v>0</v>
      </c>
      <c r="N662" s="2227">
        <f t="shared" si="185"/>
        <v>-12404.77</v>
      </c>
    </row>
    <row r="663" spans="1:14" x14ac:dyDescent="0.2">
      <c r="A663" s="31">
        <f t="shared" si="186"/>
        <v>17</v>
      </c>
      <c r="B663" s="123">
        <v>391.12</v>
      </c>
      <c r="C663" s="52" t="s">
        <v>1066</v>
      </c>
      <c r="D663" s="257">
        <f t="shared" si="180"/>
        <v>853483.41</v>
      </c>
      <c r="E663" s="382">
        <f>ROUND('Plant input detail '!E665*'WPB2.2 Plant detail-w slippage'!$P$2,0)</f>
        <v>0</v>
      </c>
      <c r="F663" s="257">
        <f>ROUND('Plant input detail '!F665*'WPB2.2 Plant detail-w slippage'!$P$2,0)</f>
        <v>0</v>
      </c>
      <c r="G663" s="257">
        <f t="shared" si="181"/>
        <v>853483.41</v>
      </c>
      <c r="H663" s="38"/>
      <c r="I663" s="257">
        <f t="shared" si="182"/>
        <v>618460.37</v>
      </c>
      <c r="J663" s="1362">
        <f t="shared" si="183"/>
        <v>0.2</v>
      </c>
      <c r="K663" s="173">
        <f>ROUND((G663+D663)/2*J663/12,0)</f>
        <v>14225</v>
      </c>
      <c r="L663" s="38">
        <f t="shared" si="184"/>
        <v>0</v>
      </c>
      <c r="M663" s="257">
        <f>ROUND('Plant input detail '!M665*'WPB2.2 Plant detail-w slippage'!$P$2,0)</f>
        <v>0</v>
      </c>
      <c r="N663" s="2227">
        <f t="shared" si="185"/>
        <v>632685.37</v>
      </c>
    </row>
    <row r="664" spans="1:14" x14ac:dyDescent="0.2">
      <c r="A664" s="31">
        <f t="shared" si="186"/>
        <v>18</v>
      </c>
      <c r="B664" s="123">
        <v>392.2</v>
      </c>
      <c r="C664" s="52" t="s">
        <v>1067</v>
      </c>
      <c r="D664" s="257">
        <f t="shared" si="180"/>
        <v>95778</v>
      </c>
      <c r="E664" s="382">
        <f>ROUND('Plant input detail '!E666*'WPB2.2 Plant detail-w slippage'!$P$2,0)</f>
        <v>0</v>
      </c>
      <c r="F664" s="257">
        <f>ROUND('Plant input detail '!F666*'WPB2.2 Plant detail-w slippage'!$P$2,0)</f>
        <v>0</v>
      </c>
      <c r="G664" s="257">
        <f t="shared" si="181"/>
        <v>95778</v>
      </c>
      <c r="H664" s="38"/>
      <c r="I664" s="257">
        <f t="shared" si="182"/>
        <v>21480.05</v>
      </c>
      <c r="J664" s="1362">
        <f t="shared" si="183"/>
        <v>2.9399999999999999E-2</v>
      </c>
      <c r="K664" s="173">
        <f>ROUND((G664+D664)/2*J664/12,0)</f>
        <v>235</v>
      </c>
      <c r="L664" s="38">
        <f t="shared" si="184"/>
        <v>0</v>
      </c>
      <c r="M664" s="257">
        <f>ROUND('Plant input detail '!M666*'WPB2.2 Plant detail-w slippage'!$P$2,0)</f>
        <v>0</v>
      </c>
      <c r="N664" s="2227">
        <f t="shared" si="185"/>
        <v>21715.05</v>
      </c>
    </row>
    <row r="665" spans="1:14" x14ac:dyDescent="0.2">
      <c r="A665" s="31">
        <f t="shared" si="186"/>
        <v>19</v>
      </c>
      <c r="B665" s="123">
        <v>392.21</v>
      </c>
      <c r="C665" s="52" t="s">
        <v>1068</v>
      </c>
      <c r="D665" s="257">
        <f t="shared" si="180"/>
        <v>24462.2</v>
      </c>
      <c r="E665" s="382">
        <f>ROUND('Plant input detail '!E667*'WPB2.2 Plant detail-w slippage'!$P$2,0)</f>
        <v>0</v>
      </c>
      <c r="F665" s="257">
        <f>ROUND('Plant input detail '!F667*'WPB2.2 Plant detail-w slippage'!$P$2,0)</f>
        <v>0</v>
      </c>
      <c r="G665" s="257">
        <f t="shared" si="181"/>
        <v>24462.2</v>
      </c>
      <c r="H665" s="38"/>
      <c r="I665" s="257">
        <f t="shared" si="182"/>
        <v>4887.3999999999996</v>
      </c>
      <c r="J665" s="1362">
        <f t="shared" si="183"/>
        <v>2.9399999999999999E-2</v>
      </c>
      <c r="K665" s="173">
        <f t="shared" ref="K665:K674" si="187">ROUND((G665+D665)/2*J665/12,0)</f>
        <v>60</v>
      </c>
      <c r="L665" s="38">
        <f t="shared" si="184"/>
        <v>0</v>
      </c>
      <c r="M665" s="257">
        <f>ROUND('Plant input detail '!M667*'WPB2.2 Plant detail-w slippage'!$P$2,0)</f>
        <v>0</v>
      </c>
      <c r="N665" s="2227">
        <f t="shared" si="185"/>
        <v>4947.3999999999996</v>
      </c>
    </row>
    <row r="666" spans="1:14" x14ac:dyDescent="0.2">
      <c r="A666" s="31">
        <f t="shared" si="186"/>
        <v>20</v>
      </c>
      <c r="B666" s="123">
        <v>393</v>
      </c>
      <c r="C666" s="52" t="s">
        <v>1069</v>
      </c>
      <c r="D666" s="257">
        <f t="shared" si="180"/>
        <v>0</v>
      </c>
      <c r="E666" s="382">
        <f>ROUND('Plant input detail '!E668*'WPB2.2 Plant detail-w slippage'!$P$2,0)</f>
        <v>0</v>
      </c>
      <c r="F666" s="257">
        <f>ROUND('Plant input detail '!F668*'WPB2.2 Plant detail-w slippage'!$P$2,0)</f>
        <v>0</v>
      </c>
      <c r="G666" s="257">
        <f t="shared" si="181"/>
        <v>0</v>
      </c>
      <c r="H666" s="38"/>
      <c r="I666" s="257">
        <f t="shared" si="182"/>
        <v>0</v>
      </c>
      <c r="J666" s="1362" t="str">
        <f t="shared" si="183"/>
        <v>Amort.</v>
      </c>
      <c r="K666" s="259">
        <v>0</v>
      </c>
      <c r="L666" s="38">
        <f t="shared" si="184"/>
        <v>0</v>
      </c>
      <c r="M666" s="257">
        <f>ROUND('Plant input detail '!M668*'WPB2.2 Plant detail-w slippage'!$P$2,0)</f>
        <v>0</v>
      </c>
      <c r="N666" s="2227">
        <f t="shared" si="185"/>
        <v>0</v>
      </c>
    </row>
    <row r="667" spans="1:14" x14ac:dyDescent="0.2">
      <c r="A667" s="31">
        <f t="shared" si="186"/>
        <v>21</v>
      </c>
      <c r="B667" s="123">
        <v>394.1</v>
      </c>
      <c r="C667" s="52" t="s">
        <v>1070</v>
      </c>
      <c r="D667" s="257">
        <f t="shared" si="180"/>
        <v>24240.799999999999</v>
      </c>
      <c r="E667" s="382">
        <f>ROUND('Plant input detail '!E669*'WPB2.2 Plant detail-w slippage'!$P$2,0)</f>
        <v>0</v>
      </c>
      <c r="F667" s="257">
        <f>ROUND('Plant input detail '!F669*'WPB2.2 Plant detail-w slippage'!$P$2,0)</f>
        <v>0</v>
      </c>
      <c r="G667" s="257">
        <f t="shared" si="181"/>
        <v>24240.799999999999</v>
      </c>
      <c r="H667" s="38"/>
      <c r="I667" s="257">
        <f t="shared" si="182"/>
        <v>14203.82</v>
      </c>
      <c r="J667" s="1362">
        <f t="shared" si="183"/>
        <v>0.04</v>
      </c>
      <c r="K667" s="173">
        <f t="shared" si="187"/>
        <v>81</v>
      </c>
      <c r="L667" s="38">
        <f t="shared" si="184"/>
        <v>0</v>
      </c>
      <c r="M667" s="257">
        <f>ROUND('Plant input detail '!M669*'WPB2.2 Plant detail-w slippage'!$P$2,0)</f>
        <v>0</v>
      </c>
      <c r="N667" s="2227">
        <f t="shared" si="185"/>
        <v>14284.82</v>
      </c>
    </row>
    <row r="668" spans="1:14" x14ac:dyDescent="0.2">
      <c r="A668" s="31">
        <f t="shared" si="186"/>
        <v>22</v>
      </c>
      <c r="B668" s="123">
        <v>394.11</v>
      </c>
      <c r="C668" s="52" t="s">
        <v>1071</v>
      </c>
      <c r="D668" s="257">
        <f t="shared" si="180"/>
        <v>0</v>
      </c>
      <c r="E668" s="382">
        <f>ROUND('Plant input detail '!E670*'WPB2.2 Plant detail-w slippage'!$P$2,0)</f>
        <v>0</v>
      </c>
      <c r="F668" s="257">
        <f>ROUND('Plant input detail '!F670*'WPB2.2 Plant detail-w slippage'!$P$2,0)</f>
        <v>0</v>
      </c>
      <c r="G668" s="257">
        <f t="shared" si="181"/>
        <v>0</v>
      </c>
      <c r="H668" s="38"/>
      <c r="I668" s="257">
        <f t="shared" si="182"/>
        <v>0</v>
      </c>
      <c r="J668" s="1362">
        <f t="shared" si="183"/>
        <v>0.13769999999999999</v>
      </c>
      <c r="K668" s="259">
        <v>0</v>
      </c>
      <c r="L668" s="38">
        <f t="shared" si="184"/>
        <v>0</v>
      </c>
      <c r="M668" s="257">
        <f>ROUND('Plant input detail '!M670*'WPB2.2 Plant detail-w slippage'!$P$2,0)</f>
        <v>0</v>
      </c>
      <c r="N668" s="2227">
        <f t="shared" si="185"/>
        <v>0</v>
      </c>
    </row>
    <row r="669" spans="1:14" x14ac:dyDescent="0.2">
      <c r="A669" s="31">
        <f t="shared" si="186"/>
        <v>23</v>
      </c>
      <c r="B669" s="123">
        <v>394.13</v>
      </c>
      <c r="C669" s="251" t="s">
        <v>1072</v>
      </c>
      <c r="D669" s="257">
        <f t="shared" si="180"/>
        <v>0</v>
      </c>
      <c r="E669" s="382">
        <f>ROUND('Plant input detail '!E671*'WPB2.2 Plant detail-w slippage'!$P$2,0)</f>
        <v>0</v>
      </c>
      <c r="F669" s="257">
        <f>ROUND('Plant input detail '!F671*'WPB2.2 Plant detail-w slippage'!$P$2,0)</f>
        <v>0</v>
      </c>
      <c r="G669" s="257">
        <f t="shared" si="181"/>
        <v>0</v>
      </c>
      <c r="H669" s="38"/>
      <c r="I669" s="257">
        <f t="shared" si="182"/>
        <v>37937.360000000001</v>
      </c>
      <c r="J669" s="1362" t="str">
        <f t="shared" si="183"/>
        <v>Amort.</v>
      </c>
      <c r="K669" s="259">
        <v>0</v>
      </c>
      <c r="L669" s="38">
        <f t="shared" si="184"/>
        <v>0</v>
      </c>
      <c r="M669" s="257">
        <f>ROUND('Plant input detail '!M671*'WPB2.2 Plant detail-w slippage'!$P$2,0)</f>
        <v>0</v>
      </c>
      <c r="N669" s="2227">
        <f t="shared" si="185"/>
        <v>37937.360000000001</v>
      </c>
    </row>
    <row r="670" spans="1:14" x14ac:dyDescent="0.2">
      <c r="A670" s="31">
        <f t="shared" si="186"/>
        <v>24</v>
      </c>
      <c r="B670" s="123">
        <v>394.2</v>
      </c>
      <c r="C670" s="52" t="s">
        <v>1073</v>
      </c>
      <c r="D670" s="257">
        <f t="shared" si="180"/>
        <v>0</v>
      </c>
      <c r="E670" s="382">
        <f>ROUND('Plant input detail '!E672*'WPB2.2 Plant detail-w slippage'!$P$2,0)</f>
        <v>0</v>
      </c>
      <c r="F670" s="257">
        <f>ROUND('Plant input detail '!F672*'WPB2.2 Plant detail-w slippage'!$P$2,0)</f>
        <v>0</v>
      </c>
      <c r="G670" s="257">
        <f t="shared" si="181"/>
        <v>0</v>
      </c>
      <c r="H670" s="38"/>
      <c r="I670" s="257">
        <f t="shared" si="182"/>
        <v>185.21</v>
      </c>
      <c r="J670" s="1362">
        <f t="shared" si="183"/>
        <v>0.04</v>
      </c>
      <c r="K670" s="173">
        <f t="shared" si="187"/>
        <v>0</v>
      </c>
      <c r="L670" s="38">
        <f t="shared" si="184"/>
        <v>0</v>
      </c>
      <c r="M670" s="257">
        <f>ROUND('Plant input detail '!M672*'WPB2.2 Plant detail-w slippage'!$P$2,0)</f>
        <v>0</v>
      </c>
      <c r="N670" s="2227">
        <f t="shared" si="185"/>
        <v>185.21</v>
      </c>
    </row>
    <row r="671" spans="1:14" x14ac:dyDescent="0.2">
      <c r="A671" s="31">
        <f t="shared" si="186"/>
        <v>25</v>
      </c>
      <c r="B671" s="123">
        <v>394.3</v>
      </c>
      <c r="C671" s="52" t="s">
        <v>1074</v>
      </c>
      <c r="D671" s="257">
        <f t="shared" si="180"/>
        <v>3112446.16</v>
      </c>
      <c r="E671" s="382">
        <f>ROUND('Plant input detail '!E673*'WPB2.2 Plant detail-w slippage'!$P$2,0)</f>
        <v>-2119</v>
      </c>
      <c r="F671" s="257">
        <f>ROUND('Plant input detail '!F673*'WPB2.2 Plant detail-w slippage'!$P$2,0)</f>
        <v>254</v>
      </c>
      <c r="G671" s="257">
        <f t="shared" si="181"/>
        <v>3110581.16</v>
      </c>
      <c r="H671" s="38"/>
      <c r="I671" s="257">
        <f t="shared" si="182"/>
        <v>1233321.1499999999</v>
      </c>
      <c r="J671" s="1362">
        <f t="shared" si="183"/>
        <v>0.04</v>
      </c>
      <c r="K671" s="173">
        <f t="shared" si="187"/>
        <v>10372</v>
      </c>
      <c r="L671" s="38">
        <f t="shared" si="184"/>
        <v>-254</v>
      </c>
      <c r="M671" s="257">
        <f>ROUND('Plant input detail '!M673*'WPB2.2 Plant detail-w slippage'!$P$2,0)</f>
        <v>0</v>
      </c>
      <c r="N671" s="2227">
        <f t="shared" si="185"/>
        <v>1243947.1499999999</v>
      </c>
    </row>
    <row r="672" spans="1:14" x14ac:dyDescent="0.2">
      <c r="A672" s="31">
        <f t="shared" si="186"/>
        <v>26</v>
      </c>
      <c r="B672" s="123">
        <v>395</v>
      </c>
      <c r="C672" s="52" t="s">
        <v>1075</v>
      </c>
      <c r="D672" s="257">
        <f t="shared" si="180"/>
        <v>9257.77</v>
      </c>
      <c r="E672" s="382">
        <f>ROUND('Plant input detail '!E674*'WPB2.2 Plant detail-w slippage'!$P$2,0)</f>
        <v>0</v>
      </c>
      <c r="F672" s="257">
        <f>ROUND('Plant input detail '!F674*'WPB2.2 Plant detail-w slippage'!$P$2,0)</f>
        <v>0</v>
      </c>
      <c r="G672" s="257">
        <f t="shared" si="181"/>
        <v>9257.77</v>
      </c>
      <c r="H672" s="38"/>
      <c r="I672" s="257">
        <f t="shared" si="182"/>
        <v>7334.59</v>
      </c>
      <c r="J672" s="1362">
        <f t="shared" si="183"/>
        <v>0.05</v>
      </c>
      <c r="K672" s="173">
        <f t="shared" si="187"/>
        <v>39</v>
      </c>
      <c r="L672" s="38">
        <f t="shared" si="184"/>
        <v>0</v>
      </c>
      <c r="M672" s="257">
        <f>ROUND('Plant input detail '!M674*'WPB2.2 Plant detail-w slippage'!$P$2,0)</f>
        <v>0</v>
      </c>
      <c r="N672" s="2227">
        <f t="shared" si="185"/>
        <v>7373.59</v>
      </c>
    </row>
    <row r="673" spans="1:16" x14ac:dyDescent="0.2">
      <c r="A673" s="31">
        <f t="shared" si="186"/>
        <v>27</v>
      </c>
      <c r="B673" s="123">
        <v>396</v>
      </c>
      <c r="C673" s="52" t="s">
        <v>1076</v>
      </c>
      <c r="D673" s="257">
        <f t="shared" si="180"/>
        <v>253134.72</v>
      </c>
      <c r="E673" s="382">
        <f>ROUND('Plant input detail '!E675*'WPB2.2 Plant detail-w slippage'!$P$2,0)</f>
        <v>0</v>
      </c>
      <c r="F673" s="257">
        <f>ROUND('Plant input detail '!F675*'WPB2.2 Plant detail-w slippage'!$P$2,0)</f>
        <v>0</v>
      </c>
      <c r="G673" s="257">
        <f t="shared" si="181"/>
        <v>253134.72</v>
      </c>
      <c r="H673" s="38"/>
      <c r="I673" s="257">
        <f t="shared" si="182"/>
        <v>199321.72</v>
      </c>
      <c r="J673" s="1362">
        <f t="shared" si="183"/>
        <v>0</v>
      </c>
      <c r="K673" s="173">
        <f t="shared" si="187"/>
        <v>0</v>
      </c>
      <c r="L673" s="38">
        <f t="shared" si="184"/>
        <v>0</v>
      </c>
      <c r="M673" s="257">
        <f>ROUND('Plant input detail '!M675*'WPB2.2 Plant detail-w slippage'!$P$2,0)</f>
        <v>0</v>
      </c>
      <c r="N673" s="2227">
        <f t="shared" si="185"/>
        <v>199321.72</v>
      </c>
    </row>
    <row r="674" spans="1:16" x14ac:dyDescent="0.2">
      <c r="A674" s="31">
        <f t="shared" si="186"/>
        <v>28</v>
      </c>
      <c r="B674" s="123">
        <v>398</v>
      </c>
      <c r="C674" s="52" t="s">
        <v>1077</v>
      </c>
      <c r="D674" s="260">
        <f t="shared" si="180"/>
        <v>91076.94</v>
      </c>
      <c r="E674" s="265">
        <f>ROUND('Plant input detail '!E676*'WPB2.2 Plant detail-w slippage'!$P$2,0)</f>
        <v>38201</v>
      </c>
      <c r="F674" s="260">
        <f>ROUND('Plant input detail '!F676*'WPB2.2 Plant detail-w slippage'!$P$2,0)</f>
        <v>-4584</v>
      </c>
      <c r="G674" s="260">
        <f t="shared" si="181"/>
        <v>124693.94</v>
      </c>
      <c r="H674" s="264"/>
      <c r="I674" s="260">
        <f t="shared" si="182"/>
        <v>22741.59</v>
      </c>
      <c r="J674" s="1362">
        <f t="shared" si="183"/>
        <v>6.6699999999999995E-2</v>
      </c>
      <c r="K674" s="260">
        <f t="shared" si="187"/>
        <v>600</v>
      </c>
      <c r="L674" s="295">
        <f t="shared" si="184"/>
        <v>4584</v>
      </c>
      <c r="M674" s="260">
        <f>ROUND('Plant input detail '!M676*'WPB2.2 Plant detail-w slippage'!$P$2,0)</f>
        <v>0</v>
      </c>
      <c r="N674" s="2228">
        <f t="shared" si="185"/>
        <v>18757.59</v>
      </c>
    </row>
    <row r="675" spans="1:16" x14ac:dyDescent="0.2">
      <c r="A675" s="31">
        <f t="shared" si="186"/>
        <v>29</v>
      </c>
      <c r="C675" s="32" t="s">
        <v>1078</v>
      </c>
      <c r="D675" s="264">
        <f>SUM(D661:D674)</f>
        <v>5217296.2799999993</v>
      </c>
      <c r="E675" s="176">
        <f>SUM(E661:E674)</f>
        <v>31282</v>
      </c>
      <c r="F675" s="176">
        <f>SUM(F661:F674)</f>
        <v>-3754</v>
      </c>
      <c r="G675" s="264">
        <f>SUM(G661:G674)</f>
        <v>5244824.2799999993</v>
      </c>
      <c r="H675" s="264"/>
      <c r="I675" s="264">
        <f>SUM(I661:I674)</f>
        <v>2078823.27</v>
      </c>
      <c r="J675" s="1359"/>
      <c r="K675" s="176">
        <f>SUM(K661:K674)</f>
        <v>28769</v>
      </c>
      <c r="L675" s="264">
        <f>SUM(L661:L674)</f>
        <v>3754</v>
      </c>
      <c r="M675" s="176">
        <f>SUM(M661:M674)</f>
        <v>0</v>
      </c>
      <c r="N675" s="1359">
        <f>SUM(N661:N674)</f>
        <v>2103838.27</v>
      </c>
    </row>
    <row r="676" spans="1:16" x14ac:dyDescent="0.2">
      <c r="D676" s="38"/>
      <c r="E676" s="173"/>
      <c r="F676" s="173"/>
      <c r="G676" s="38"/>
      <c r="H676" s="38"/>
      <c r="I676" s="173"/>
      <c r="J676" s="1361"/>
      <c r="K676" s="173"/>
      <c r="L676" s="38"/>
      <c r="M676" s="173"/>
    </row>
    <row r="677" spans="1:16" x14ac:dyDescent="0.2">
      <c r="A677" s="1805">
        <f>A675+1</f>
        <v>30</v>
      </c>
      <c r="B677" s="252"/>
      <c r="C677" s="36" t="s">
        <v>2287</v>
      </c>
      <c r="D677" s="38"/>
      <c r="E677" s="173"/>
      <c r="F677" s="173"/>
      <c r="G677" s="38"/>
      <c r="H677" s="38"/>
      <c r="I677" s="181"/>
      <c r="J677" s="173"/>
      <c r="K677" s="173"/>
      <c r="L677" s="38"/>
      <c r="M677" s="173"/>
      <c r="P677" s="279"/>
    </row>
    <row r="678" spans="1:16" x14ac:dyDescent="0.2">
      <c r="A678" s="31">
        <f>A677+1</f>
        <v>31</v>
      </c>
      <c r="B678" s="123">
        <v>378.21</v>
      </c>
      <c r="C678" s="52" t="s">
        <v>2244</v>
      </c>
      <c r="D678" s="257">
        <f>G572</f>
        <v>-777092</v>
      </c>
      <c r="E678" s="382">
        <f>ROUND('Plant input detail '!E680*'WPB2.2 Plant detail-w slippage'!$P$2,0)</f>
        <v>0</v>
      </c>
      <c r="F678" s="257">
        <f>ROUND('Plant input detail '!F680*'WPB2.2 Plant detail-w slippage'!$P$2,0)</f>
        <v>0</v>
      </c>
      <c r="G678" s="257">
        <f t="shared" ref="G678" si="188">SUM(D678:F678)</f>
        <v>-777092</v>
      </c>
      <c r="H678" s="264"/>
      <c r="I678" s="257">
        <f>N572</f>
        <v>-31602.113333333327</v>
      </c>
      <c r="J678" s="296" t="s">
        <v>1094</v>
      </c>
      <c r="K678" s="1334">
        <v>-2158.5833333333321</v>
      </c>
      <c r="L678" s="38">
        <f t="shared" ref="L678" si="189">-F678</f>
        <v>0</v>
      </c>
      <c r="M678" s="257">
        <f>ROUND('Plant input detail '!M680*'WPB2.2 Plant detail-w slippage'!$P$2,0)</f>
        <v>0</v>
      </c>
      <c r="N678" s="2227">
        <f t="shared" ref="N678" si="190">I678+K678-L678+M678</f>
        <v>-33760.696666666656</v>
      </c>
      <c r="O678" s="292"/>
    </row>
    <row r="679" spans="1:16" x14ac:dyDescent="0.2">
      <c r="A679" s="1723"/>
      <c r="D679" s="38"/>
      <c r="E679" s="173"/>
      <c r="F679" s="173"/>
      <c r="G679" s="38"/>
      <c r="H679" s="38"/>
      <c r="I679" s="173"/>
      <c r="J679" s="1361"/>
      <c r="K679" s="173"/>
      <c r="L679" s="38"/>
      <c r="M679" s="173"/>
    </row>
    <row r="680" spans="1:16" x14ac:dyDescent="0.2">
      <c r="A680" s="31">
        <f>A678+1</f>
        <v>32</v>
      </c>
      <c r="C680" s="32" t="s">
        <v>774</v>
      </c>
      <c r="D680" s="40">
        <f>D675+D658+D603+D599+D678</f>
        <v>411084259.36999989</v>
      </c>
      <c r="E680" s="40">
        <f>E675+E658+E603+E599+E678</f>
        <v>2316514</v>
      </c>
      <c r="F680" s="40">
        <f>F675+F658+F603+F599+F678</f>
        <v>-253727</v>
      </c>
      <c r="G680" s="40">
        <f>G675+G658+G603+G599+G678</f>
        <v>413147046.36999989</v>
      </c>
      <c r="H680" s="38"/>
      <c r="I680" s="40">
        <f>I675+I658+I603+I599+I678</f>
        <v>143999615.58115488</v>
      </c>
      <c r="J680" s="1363"/>
      <c r="K680" s="40">
        <f>K675+K658+K603+K599+K678</f>
        <v>768287.17956430686</v>
      </c>
      <c r="L680" s="40">
        <f>L675+L658+L603+L599+L678</f>
        <v>253727</v>
      </c>
      <c r="M680" s="40">
        <f>M675+M658+M603+M599+M678</f>
        <v>-61002</v>
      </c>
      <c r="N680" s="1363">
        <f>N675+N658+N603+N599+N678</f>
        <v>144453173.76071918</v>
      </c>
    </row>
    <row r="682" spans="1:16" x14ac:dyDescent="0.2">
      <c r="A682" s="2079" t="str">
        <f>co</f>
        <v>COLUMBIA GAS OF KENTUCKY, INC.</v>
      </c>
      <c r="B682" s="2079"/>
      <c r="C682" s="2079"/>
      <c r="D682" s="2079"/>
      <c r="E682" s="2079"/>
      <c r="F682" s="2079"/>
      <c r="G682" s="2079"/>
      <c r="H682" s="2079"/>
      <c r="I682" s="2079"/>
      <c r="J682" s="2079"/>
      <c r="K682" s="2079"/>
      <c r="L682" s="2079"/>
      <c r="M682" s="2079"/>
      <c r="N682" s="2079"/>
    </row>
    <row r="683" spans="1:16" x14ac:dyDescent="0.2">
      <c r="A683" s="2079" t="str">
        <f>case</f>
        <v>CASE NO. 2016 - 00162</v>
      </c>
      <c r="B683" s="2079"/>
      <c r="C683" s="2079"/>
      <c r="D683" s="2079"/>
      <c r="E683" s="2079"/>
      <c r="F683" s="2079"/>
      <c r="G683" s="2079"/>
      <c r="H683" s="2079"/>
      <c r="I683" s="2079"/>
      <c r="J683" s="2079"/>
      <c r="K683" s="2079"/>
      <c r="L683" s="2079"/>
      <c r="M683" s="2079"/>
      <c r="N683" s="2079"/>
    </row>
    <row r="684" spans="1:16" x14ac:dyDescent="0.2">
      <c r="A684" s="2080" t="s">
        <v>1106</v>
      </c>
      <c r="B684" s="2079"/>
      <c r="C684" s="2079"/>
      <c r="D684" s="2079"/>
      <c r="E684" s="2079"/>
      <c r="F684" s="2079"/>
      <c r="G684" s="2079"/>
      <c r="H684" s="2079"/>
      <c r="I684" s="2079"/>
      <c r="J684" s="2079"/>
      <c r="K684" s="2079"/>
      <c r="L684" s="2079"/>
      <c r="M684" s="2079"/>
      <c r="N684" s="2079"/>
    </row>
    <row r="685" spans="1:16" x14ac:dyDescent="0.2">
      <c r="A685" s="2081" t="s">
        <v>2142</v>
      </c>
      <c r="B685" s="2085"/>
      <c r="C685" s="2085"/>
      <c r="D685" s="2085"/>
      <c r="E685" s="2085"/>
      <c r="F685" s="2085"/>
      <c r="G685" s="2085"/>
      <c r="H685" s="2085"/>
      <c r="I685" s="2085"/>
      <c r="J685" s="2085"/>
      <c r="K685" s="2085"/>
      <c r="L685" s="2085"/>
      <c r="M685" s="2085"/>
      <c r="N685" s="2085"/>
    </row>
    <row r="687" spans="1:16" x14ac:dyDescent="0.2">
      <c r="A687" s="285" t="str">
        <f>$A$6</f>
        <v>DATA:__X___BASE PERIOD__X___FORECASTED PERIOD</v>
      </c>
      <c r="C687" s="171"/>
      <c r="I687" s="32"/>
      <c r="N687" s="1258" t="str">
        <f>$N$6</f>
        <v>WPB-2.2</v>
      </c>
    </row>
    <row r="688" spans="1:16" x14ac:dyDescent="0.2">
      <c r="A688" s="4" t="str">
        <f>$A$7</f>
        <v>TYPE OF FILING:___X____ORIGINAL________UPDATED</v>
      </c>
      <c r="I688" s="32"/>
      <c r="N688" s="2223" t="s">
        <v>1726</v>
      </c>
    </row>
    <row r="689" spans="1:14" x14ac:dyDescent="0.2">
      <c r="A689" s="4" t="str">
        <f>$A$8</f>
        <v xml:space="preserve">WORKPAPER REFERENCE NO(S).: </v>
      </c>
      <c r="B689" s="1261"/>
      <c r="C689" s="202"/>
      <c r="D689" s="202"/>
      <c r="E689" s="202"/>
      <c r="F689" s="202"/>
      <c r="G689" s="201"/>
      <c r="H689" s="201"/>
      <c r="I689" s="203"/>
      <c r="L689" s="32"/>
      <c r="M689" s="32"/>
      <c r="N689" s="204" t="str">
        <f>SMK</f>
        <v>WITNESS:  S. M. KATKO</v>
      </c>
    </row>
    <row r="690" spans="1:14" x14ac:dyDescent="0.2">
      <c r="A690" s="200"/>
      <c r="B690" s="201"/>
      <c r="C690" s="201"/>
      <c r="D690" s="201"/>
      <c r="E690" s="202"/>
      <c r="F690" s="202"/>
      <c r="G690" s="201"/>
      <c r="H690" s="201"/>
      <c r="I690" s="203"/>
      <c r="J690" s="1357"/>
      <c r="L690" s="32"/>
      <c r="M690" s="32"/>
    </row>
    <row r="691" spans="1:14" x14ac:dyDescent="0.2">
      <c r="A691" s="200"/>
      <c r="B691" s="201"/>
      <c r="C691" s="201"/>
      <c r="D691" s="2082" t="s">
        <v>1088</v>
      </c>
      <c r="E691" s="2082"/>
      <c r="F691" s="2082"/>
      <c r="G691" s="2082"/>
      <c r="H691" s="201"/>
      <c r="I691" s="2083" t="s">
        <v>1093</v>
      </c>
      <c r="J691" s="2084"/>
      <c r="K691" s="2084"/>
      <c r="L691" s="2084"/>
      <c r="M691" s="2084"/>
      <c r="N691" s="2084"/>
    </row>
    <row r="692" spans="1:14" x14ac:dyDescent="0.2">
      <c r="A692" s="270"/>
      <c r="B692" s="201"/>
      <c r="C692" s="201"/>
      <c r="D692" s="271" t="s">
        <v>1084</v>
      </c>
      <c r="E692" s="202"/>
      <c r="F692" s="202"/>
      <c r="G692" s="269"/>
      <c r="H692" s="269"/>
      <c r="I692" s="261" t="s">
        <v>1089</v>
      </c>
      <c r="J692" s="1358"/>
      <c r="M692" s="32"/>
    </row>
    <row r="693" spans="1:14" x14ac:dyDescent="0.2">
      <c r="A693" s="30"/>
      <c r="D693" s="261" t="s">
        <v>865</v>
      </c>
      <c r="G693" s="261" t="s">
        <v>867</v>
      </c>
      <c r="H693" s="268"/>
      <c r="I693" s="261" t="s">
        <v>865</v>
      </c>
      <c r="J693" s="1308" t="s">
        <v>956</v>
      </c>
      <c r="M693" s="32"/>
      <c r="N693" s="2225" t="s">
        <v>867</v>
      </c>
    </row>
    <row r="694" spans="1:14" x14ac:dyDescent="0.2">
      <c r="A694" s="261" t="s">
        <v>1080</v>
      </c>
      <c r="B694" s="261" t="s">
        <v>1082</v>
      </c>
      <c r="D694" s="261" t="s">
        <v>867</v>
      </c>
      <c r="G694" s="262" t="s">
        <v>1087</v>
      </c>
      <c r="H694" s="268"/>
      <c r="I694" s="262" t="s">
        <v>867</v>
      </c>
      <c r="J694" s="1308" t="s">
        <v>1090</v>
      </c>
      <c r="K694" s="1308" t="s">
        <v>956</v>
      </c>
      <c r="M694" s="262" t="s">
        <v>1092</v>
      </c>
      <c r="N694" s="1259" t="s">
        <v>1087</v>
      </c>
    </row>
    <row r="695" spans="1:14" x14ac:dyDescent="0.2">
      <c r="A695" s="272" t="s">
        <v>1081</v>
      </c>
      <c r="B695" s="272" t="s">
        <v>1081</v>
      </c>
      <c r="C695" s="273" t="s">
        <v>1083</v>
      </c>
      <c r="D695" s="298" t="str">
        <f>"08/31/2016"</f>
        <v>08/31/2016</v>
      </c>
      <c r="E695" s="275" t="s">
        <v>1085</v>
      </c>
      <c r="F695" s="275" t="s">
        <v>1086</v>
      </c>
      <c r="G695" s="298" t="str">
        <f>"09/30/2016"</f>
        <v>09/30/2016</v>
      </c>
      <c r="H695" s="268"/>
      <c r="I695" s="274" t="str">
        <f>D695</f>
        <v>08/31/2016</v>
      </c>
      <c r="J695" s="275" t="s">
        <v>1091</v>
      </c>
      <c r="K695" s="1327" t="s">
        <v>1090</v>
      </c>
      <c r="L695" s="276" t="s">
        <v>1086</v>
      </c>
      <c r="M695" s="276" t="s">
        <v>955</v>
      </c>
      <c r="N695" s="2226" t="str">
        <f>G695</f>
        <v>09/30/2016</v>
      </c>
    </row>
    <row r="696" spans="1:14" x14ac:dyDescent="0.2">
      <c r="A696" s="267"/>
      <c r="B696" s="267"/>
      <c r="C696" s="267"/>
      <c r="D696" s="267" t="str">
        <f>"(1)"</f>
        <v>(1)</v>
      </c>
      <c r="E696" s="267" t="str">
        <f>"(2)"</f>
        <v>(2)</v>
      </c>
      <c r="F696" s="267" t="str">
        <f>"(3)"</f>
        <v>(3)</v>
      </c>
      <c r="G696" s="267" t="str">
        <f>"(4)=(1+2+3)"</f>
        <v>(4)=(1+2+3)</v>
      </c>
      <c r="H696" s="267"/>
      <c r="I696" s="267" t="str">
        <f>"(5)"</f>
        <v>(5)</v>
      </c>
      <c r="J696" s="1328" t="str">
        <f>"(6)"</f>
        <v>(6)</v>
      </c>
      <c r="K696" s="1328" t="str">
        <f>"(7)=((1+4)/2*6/12))"</f>
        <v>(7)=((1+4)/2*6/12))</v>
      </c>
      <c r="L696" s="267" t="str">
        <f>"(8)"</f>
        <v>(8)</v>
      </c>
      <c r="M696" s="267" t="str">
        <f>"(9)"</f>
        <v>(9)</v>
      </c>
      <c r="N696" s="204" t="str">
        <f>"(10)=(5+7-8+9)"</f>
        <v>(10)=(5+7-8+9)</v>
      </c>
    </row>
    <row r="697" spans="1:14" x14ac:dyDescent="0.2">
      <c r="D697" s="31" t="s">
        <v>639</v>
      </c>
      <c r="E697" s="170" t="s">
        <v>639</v>
      </c>
      <c r="F697" s="170" t="s">
        <v>639</v>
      </c>
      <c r="G697" s="31" t="s">
        <v>639</v>
      </c>
      <c r="H697" s="31"/>
      <c r="I697" s="31" t="s">
        <v>639</v>
      </c>
      <c r="J697" s="170" t="s">
        <v>639</v>
      </c>
      <c r="K697" s="170" t="s">
        <v>639</v>
      </c>
      <c r="L697" s="31" t="s">
        <v>639</v>
      </c>
      <c r="M697" s="31" t="s">
        <v>639</v>
      </c>
      <c r="N697" s="155" t="s">
        <v>639</v>
      </c>
    </row>
    <row r="698" spans="1:14" x14ac:dyDescent="0.2">
      <c r="A698" s="31">
        <v>1</v>
      </c>
      <c r="B698" s="36" t="s">
        <v>1025</v>
      </c>
      <c r="C698" s="34"/>
      <c r="M698" s="32"/>
    </row>
    <row r="699" spans="1:14" x14ac:dyDescent="0.2">
      <c r="A699" s="31">
        <f>A698+1</f>
        <v>2</v>
      </c>
      <c r="C699" s="36" t="s">
        <v>697</v>
      </c>
      <c r="M699" s="32"/>
    </row>
    <row r="700" spans="1:14" x14ac:dyDescent="0.2">
      <c r="A700" s="31">
        <f t="shared" ref="A700:A705" si="191">A699+1</f>
        <v>3</v>
      </c>
      <c r="B700" s="253">
        <v>301</v>
      </c>
      <c r="C700" s="52" t="s">
        <v>1026</v>
      </c>
      <c r="D700" s="257">
        <f>G594</f>
        <v>521.20000000000005</v>
      </c>
      <c r="E700" s="382">
        <f>ROUND('Plant input detail '!E702*'WPB2.2 Plant detail-w slippage'!$P$2,0)</f>
        <v>0</v>
      </c>
      <c r="F700" s="257">
        <f>ROUND('Plant input detail '!F702*'WPB2.2 Plant detail-w slippage'!$P$2,0)</f>
        <v>0</v>
      </c>
      <c r="G700" s="257">
        <f>SUM(D700:F700)</f>
        <v>521.20000000000005</v>
      </c>
      <c r="H700" s="38"/>
      <c r="I700" s="257">
        <f>N594</f>
        <v>0</v>
      </c>
      <c r="J700" s="296" t="s">
        <v>1094</v>
      </c>
      <c r="K700" s="258">
        <v>0</v>
      </c>
      <c r="L700" s="38">
        <f>-F700</f>
        <v>0</v>
      </c>
      <c r="M700" s="259">
        <v>0</v>
      </c>
      <c r="N700" s="2227">
        <f>I700+K700-L700+M700</f>
        <v>0</v>
      </c>
    </row>
    <row r="701" spans="1:14" x14ac:dyDescent="0.2">
      <c r="A701" s="31">
        <f t="shared" si="191"/>
        <v>4</v>
      </c>
      <c r="B701" s="253">
        <v>303</v>
      </c>
      <c r="C701" s="52" t="s">
        <v>1027</v>
      </c>
      <c r="D701" s="257">
        <f>G595</f>
        <v>74347.509999999995</v>
      </c>
      <c r="E701" s="382">
        <f>ROUND('Plant input detail '!E703*'WPB2.2 Plant detail-w slippage'!$P$2,0)</f>
        <v>0</v>
      </c>
      <c r="F701" s="257">
        <f>ROUND('Plant input detail '!F703*'WPB2.2 Plant detail-w slippage'!$P$2,0)</f>
        <v>0</v>
      </c>
      <c r="G701" s="257">
        <f>SUM(D701:F701)</f>
        <v>74347.509999999995</v>
      </c>
      <c r="H701" s="38"/>
      <c r="I701" s="257">
        <f>N595</f>
        <v>47038.549999999981</v>
      </c>
      <c r="J701" s="296" t="s">
        <v>1094</v>
      </c>
      <c r="K701" s="382">
        <f>'WPB2.2a Intan Amort. w slippage'!N$19</f>
        <v>206.52</v>
      </c>
      <c r="L701" s="38">
        <f>-F701</f>
        <v>0</v>
      </c>
      <c r="M701" s="259">
        <v>0</v>
      </c>
      <c r="N701" s="2227">
        <f>I701+K701-L701+M701</f>
        <v>47245.069999999978</v>
      </c>
    </row>
    <row r="702" spans="1:14" x14ac:dyDescent="0.2">
      <c r="A702" s="31">
        <f t="shared" si="191"/>
        <v>5</v>
      </c>
      <c r="B702" s="253">
        <v>303.10000000000002</v>
      </c>
      <c r="C702" s="52" t="s">
        <v>1028</v>
      </c>
      <c r="D702" s="257">
        <f>G596</f>
        <v>0</v>
      </c>
      <c r="E702" s="382">
        <f>ROUND('Plant input detail '!E704*'WPB2.2 Plant detail-w slippage'!$P$2,0)</f>
        <v>0</v>
      </c>
      <c r="F702" s="257">
        <f>ROUND('Plant input detail '!F704*'WPB2.2 Plant detail-w slippage'!$P$2,0)</f>
        <v>0</v>
      </c>
      <c r="G702" s="257">
        <f>SUM(D702:F702)</f>
        <v>0</v>
      </c>
      <c r="H702" s="38"/>
      <c r="I702" s="257">
        <f>N596</f>
        <v>0</v>
      </c>
      <c r="J702" s="296" t="s">
        <v>1094</v>
      </c>
      <c r="K702" s="258">
        <v>0</v>
      </c>
      <c r="L702" s="38">
        <f>-F702</f>
        <v>0</v>
      </c>
      <c r="M702" s="259">
        <v>0</v>
      </c>
      <c r="N702" s="2227">
        <f>I702+K702-L702+M702</f>
        <v>0</v>
      </c>
    </row>
    <row r="703" spans="1:14" x14ac:dyDescent="0.2">
      <c r="A703" s="31">
        <f t="shared" si="191"/>
        <v>6</v>
      </c>
      <c r="B703" s="253">
        <v>303.2</v>
      </c>
      <c r="C703" s="52" t="s">
        <v>1029</v>
      </c>
      <c r="D703" s="257">
        <f>G597</f>
        <v>0</v>
      </c>
      <c r="E703" s="382">
        <f>ROUND('Plant input detail '!E705*'WPB2.2 Plant detail-w slippage'!$P$2,0)</f>
        <v>0</v>
      </c>
      <c r="F703" s="257">
        <f>ROUND('Plant input detail '!F705*'WPB2.2 Plant detail-w slippage'!$P$2,0)</f>
        <v>0</v>
      </c>
      <c r="G703" s="257">
        <f>SUM(D703:F703)</f>
        <v>0</v>
      </c>
      <c r="H703" s="38"/>
      <c r="I703" s="257">
        <f>N597</f>
        <v>0</v>
      </c>
      <c r="J703" s="296" t="s">
        <v>1094</v>
      </c>
      <c r="K703" s="258">
        <v>0</v>
      </c>
      <c r="L703" s="38">
        <f>-F703</f>
        <v>0</v>
      </c>
      <c r="M703" s="259">
        <v>0</v>
      </c>
      <c r="N703" s="2227">
        <f>I703+K703-L703+M703</f>
        <v>0</v>
      </c>
    </row>
    <row r="704" spans="1:14" x14ac:dyDescent="0.2">
      <c r="A704" s="31">
        <f t="shared" si="191"/>
        <v>7</v>
      </c>
      <c r="B704" s="253">
        <v>303.3</v>
      </c>
      <c r="C704" s="52" t="s">
        <v>1030</v>
      </c>
      <c r="D704" s="260">
        <f>G598</f>
        <v>6022211</v>
      </c>
      <c r="E704" s="265">
        <f>ROUND('Plant input detail '!E706*'WPB2.2 Plant detail-w slippage'!$P$2,0)</f>
        <v>202119</v>
      </c>
      <c r="F704" s="265">
        <f>ROUND('Plant input detail '!F706*'WPB2.2 Plant detail-w slippage'!$P$2,0)</f>
        <v>0</v>
      </c>
      <c r="G704" s="260">
        <f>SUM(D704:F704)</f>
        <v>6224330</v>
      </c>
      <c r="H704" s="38"/>
      <c r="I704" s="260">
        <f>N598</f>
        <v>2572404.5605437369</v>
      </c>
      <c r="J704" s="296" t="s">
        <v>1094</v>
      </c>
      <c r="K704" s="265">
        <f>'WPB2.2a Intan Amort. w slippage'!N$104</f>
        <v>77246.647270109839</v>
      </c>
      <c r="L704" s="295">
        <f>-F704</f>
        <v>0</v>
      </c>
      <c r="M704" s="263">
        <v>0</v>
      </c>
      <c r="N704" s="2228">
        <f>I704+K704-L704+M704</f>
        <v>2649651.2078138469</v>
      </c>
    </row>
    <row r="705" spans="1:14" x14ac:dyDescent="0.2">
      <c r="A705" s="31">
        <f t="shared" si="191"/>
        <v>8</v>
      </c>
      <c r="B705" s="253"/>
      <c r="C705" s="52" t="s">
        <v>1031</v>
      </c>
      <c r="D705" s="38">
        <f>SUM(D700:D704)</f>
        <v>6097079.71</v>
      </c>
      <c r="E705" s="173">
        <f>SUM(E700:E704)</f>
        <v>202119</v>
      </c>
      <c r="F705" s="173">
        <f>SUM(F700:F704)</f>
        <v>0</v>
      </c>
      <c r="G705" s="38">
        <f>SUM(G700:G704)</f>
        <v>6299198.71</v>
      </c>
      <c r="H705" s="38"/>
      <c r="I705" s="38">
        <f>SUM(I700:I704)</f>
        <v>2619443.1105437367</v>
      </c>
      <c r="J705" s="1359"/>
      <c r="K705" s="173">
        <f>SUM(K700:K704)</f>
        <v>77453.167270109843</v>
      </c>
      <c r="L705" s="38">
        <f>SUM(L700:L704)</f>
        <v>0</v>
      </c>
      <c r="M705" s="173">
        <f>SUM(M700:M704)</f>
        <v>0</v>
      </c>
      <c r="N705" s="1361">
        <f>SUM(N700:N704)</f>
        <v>2696896.2778138467</v>
      </c>
    </row>
    <row r="706" spans="1:14" x14ac:dyDescent="0.2">
      <c r="B706" s="254"/>
      <c r="D706" s="38"/>
      <c r="E706" s="173"/>
      <c r="F706" s="173"/>
      <c r="G706" s="38"/>
      <c r="H706" s="38"/>
      <c r="I706" s="38"/>
      <c r="J706" s="1359"/>
      <c r="K706" s="173"/>
      <c r="L706" s="38"/>
      <c r="M706" s="173"/>
    </row>
    <row r="707" spans="1:14" x14ac:dyDescent="0.2">
      <c r="A707" s="31">
        <f>A705+1</f>
        <v>9</v>
      </c>
      <c r="B707" s="254"/>
      <c r="C707" s="36" t="s">
        <v>704</v>
      </c>
      <c r="D707" s="38"/>
      <c r="E707" s="173"/>
      <c r="F707" s="173"/>
      <c r="G707" s="38"/>
      <c r="H707" s="38"/>
      <c r="I707" s="38"/>
      <c r="J707" s="1359"/>
      <c r="K707" s="173"/>
      <c r="L707" s="38"/>
      <c r="M707" s="173"/>
    </row>
    <row r="708" spans="1:14" x14ac:dyDescent="0.2">
      <c r="A708" s="31">
        <f>A707+1</f>
        <v>10</v>
      </c>
      <c r="B708" s="255">
        <v>304.10000000000002</v>
      </c>
      <c r="C708" s="41" t="s">
        <v>1032</v>
      </c>
      <c r="D708" s="260">
        <f>G602</f>
        <v>0</v>
      </c>
      <c r="E708" s="265">
        <f>ROUND('Plant input detail '!E710*'WPB2.2 Plant detail-w slippage'!$P$2,0)</f>
        <v>0</v>
      </c>
      <c r="F708" s="265">
        <f>ROUND('Plant input detail '!F710*'WPB2.2 Plant detail-w slippage'!$P$2,0)</f>
        <v>0</v>
      </c>
      <c r="G708" s="260">
        <f>SUM(D708:F708)</f>
        <v>0</v>
      </c>
      <c r="H708" s="38"/>
      <c r="I708" s="260">
        <f>N602</f>
        <v>0</v>
      </c>
      <c r="J708" s="1360" t="s">
        <v>1102</v>
      </c>
      <c r="K708" s="266">
        <v>0</v>
      </c>
      <c r="L708" s="295">
        <f>-F708</f>
        <v>0</v>
      </c>
      <c r="M708" s="263">
        <v>0</v>
      </c>
      <c r="N708" s="2228">
        <f>I708+K708-L708+M708</f>
        <v>0</v>
      </c>
    </row>
    <row r="709" spans="1:14" x14ac:dyDescent="0.2">
      <c r="A709" s="31">
        <f>A708+1</f>
        <v>11</v>
      </c>
      <c r="B709" s="255"/>
      <c r="C709" s="256" t="s">
        <v>1079</v>
      </c>
      <c r="D709" s="38">
        <f>D708</f>
        <v>0</v>
      </c>
      <c r="E709" s="173">
        <f>E708</f>
        <v>0</v>
      </c>
      <c r="F709" s="173">
        <f>F708</f>
        <v>0</v>
      </c>
      <c r="G709" s="38">
        <f>G708</f>
        <v>0</v>
      </c>
      <c r="H709" s="38"/>
      <c r="I709" s="38">
        <f>I708</f>
        <v>0</v>
      </c>
      <c r="J709" s="1361"/>
      <c r="K709" s="173">
        <f>SUM(K708)</f>
        <v>0</v>
      </c>
      <c r="L709" s="38">
        <f>SUM(L708)</f>
        <v>0</v>
      </c>
      <c r="M709" s="173">
        <f>M708</f>
        <v>0</v>
      </c>
      <c r="N709" s="1361">
        <f>N708</f>
        <v>0</v>
      </c>
    </row>
    <row r="710" spans="1:14" x14ac:dyDescent="0.2">
      <c r="B710" s="254"/>
      <c r="D710" s="38"/>
      <c r="E710" s="173"/>
      <c r="F710" s="173"/>
      <c r="G710" s="38"/>
      <c r="H710" s="38"/>
      <c r="I710" s="38"/>
      <c r="J710" s="1361"/>
      <c r="K710" s="173"/>
      <c r="L710" s="38"/>
      <c r="M710" s="173"/>
    </row>
    <row r="711" spans="1:14" x14ac:dyDescent="0.2">
      <c r="A711" s="31">
        <f>A709+1</f>
        <v>12</v>
      </c>
      <c r="B711" s="254"/>
      <c r="C711" s="36" t="s">
        <v>707</v>
      </c>
      <c r="D711" s="38"/>
      <c r="E711" s="173"/>
      <c r="F711" s="173"/>
      <c r="G711" s="38"/>
      <c r="H711" s="38"/>
      <c r="I711" s="38"/>
      <c r="J711" s="1361"/>
      <c r="K711" s="173"/>
      <c r="L711" s="38"/>
      <c r="M711" s="173"/>
    </row>
    <row r="712" spans="1:14" x14ac:dyDescent="0.2">
      <c r="A712" s="31">
        <f>A711+1</f>
        <v>13</v>
      </c>
      <c r="B712" s="253">
        <v>374.1</v>
      </c>
      <c r="C712" s="52" t="s">
        <v>1035</v>
      </c>
      <c r="D712" s="257">
        <f t="shared" ref="D712:D722" si="192">G606</f>
        <v>206</v>
      </c>
      <c r="E712" s="382">
        <f>ROUND('Plant input detail '!E714*'WPB2.2 Plant detail-w slippage'!$P$2,0)</f>
        <v>0</v>
      </c>
      <c r="F712" s="257">
        <f>ROUND('Plant input detail '!F714*'WPB2.2 Plant detail-w slippage'!$P$2,0)</f>
        <v>0</v>
      </c>
      <c r="G712" s="257">
        <f>SUM(D712:F712)</f>
        <v>206</v>
      </c>
      <c r="H712" s="38"/>
      <c r="I712" s="257">
        <f t="shared" ref="I712:I722" si="193">N606</f>
        <v>0</v>
      </c>
      <c r="J712" s="1360" t="s">
        <v>1102</v>
      </c>
      <c r="K712" s="259">
        <v>0</v>
      </c>
      <c r="L712" s="38">
        <f t="shared" ref="L712:L722" si="194">-F712</f>
        <v>0</v>
      </c>
      <c r="M712" s="257">
        <f>ROUND('Plant input detail '!M714*'WPB2.2 Plant detail-w slippage'!$P$2,0)</f>
        <v>0</v>
      </c>
      <c r="N712" s="2227">
        <f t="shared" ref="N712:N722" si="195">I712+K712-L712+M712</f>
        <v>0</v>
      </c>
    </row>
    <row r="713" spans="1:14" x14ac:dyDescent="0.2">
      <c r="A713" s="31">
        <f t="shared" ref="A713:A733" si="196">A712+1</f>
        <v>14</v>
      </c>
      <c r="B713" s="253">
        <v>374.2</v>
      </c>
      <c r="C713" s="52" t="s">
        <v>1036</v>
      </c>
      <c r="D713" s="257">
        <f t="shared" si="192"/>
        <v>877756.18</v>
      </c>
      <c r="E713" s="382">
        <f>ROUND('Plant input detail '!E715*'WPB2.2 Plant detail-w slippage'!$P$2,0)</f>
        <v>0</v>
      </c>
      <c r="F713" s="257">
        <f>ROUND('Plant input detail '!F715*'WPB2.2 Plant detail-w slippage'!$P$2,0)</f>
        <v>0</v>
      </c>
      <c r="G713" s="257">
        <f t="shared" ref="G713:G722" si="197">SUM(D713:F713)</f>
        <v>877756.18</v>
      </c>
      <c r="H713" s="38"/>
      <c r="I713" s="257">
        <f t="shared" si="193"/>
        <v>-523.13</v>
      </c>
      <c r="J713" s="1360" t="s">
        <v>1102</v>
      </c>
      <c r="K713" s="259">
        <v>0</v>
      </c>
      <c r="L713" s="38">
        <f t="shared" si="194"/>
        <v>0</v>
      </c>
      <c r="M713" s="257">
        <f>ROUND('Plant input detail '!M715*'WPB2.2 Plant detail-w slippage'!$P$2,0)</f>
        <v>0</v>
      </c>
      <c r="N713" s="2227">
        <f t="shared" si="195"/>
        <v>-523.13</v>
      </c>
    </row>
    <row r="714" spans="1:14" x14ac:dyDescent="0.2">
      <c r="A714" s="31">
        <f t="shared" si="196"/>
        <v>15</v>
      </c>
      <c r="B714" s="253">
        <v>374.4</v>
      </c>
      <c r="C714" s="52" t="s">
        <v>1037</v>
      </c>
      <c r="D714" s="257">
        <f t="shared" si="192"/>
        <v>661305.66</v>
      </c>
      <c r="E714" s="382">
        <f>ROUND('Plant input detail '!E716*'WPB2.2 Plant detail-w slippage'!$P$2,0)</f>
        <v>0</v>
      </c>
      <c r="F714" s="257">
        <f>ROUND('Plant input detail '!F716*'WPB2.2 Plant detail-w slippage'!$P$2,0)</f>
        <v>0</v>
      </c>
      <c r="G714" s="257">
        <f t="shared" si="197"/>
        <v>661305.66</v>
      </c>
      <c r="H714" s="38"/>
      <c r="I714" s="257">
        <f t="shared" si="193"/>
        <v>175511.36</v>
      </c>
      <c r="J714" s="1362">
        <f t="shared" ref="J714:J720" si="198">J608</f>
        <v>1.5299999999999999E-2</v>
      </c>
      <c r="K714" s="173">
        <f>ROUND((G714+D714)/2*J714/12,0)</f>
        <v>843</v>
      </c>
      <c r="L714" s="38">
        <f t="shared" si="194"/>
        <v>0</v>
      </c>
      <c r="M714" s="257">
        <f>ROUND('Plant input detail '!M716*'WPB2.2 Plant detail-w slippage'!$P$2,0)</f>
        <v>0</v>
      </c>
      <c r="N714" s="2227">
        <f t="shared" si="195"/>
        <v>176354.36</v>
      </c>
    </row>
    <row r="715" spans="1:14" x14ac:dyDescent="0.2">
      <c r="A715" s="31">
        <f t="shared" si="196"/>
        <v>16</v>
      </c>
      <c r="B715" s="253">
        <v>374.5</v>
      </c>
      <c r="C715" s="52" t="s">
        <v>1038</v>
      </c>
      <c r="D715" s="257">
        <f t="shared" si="192"/>
        <v>2697932.55</v>
      </c>
      <c r="E715" s="382">
        <f>ROUND('Plant input detail '!E717*'WPB2.2 Plant detail-w slippage'!$P$2,0)</f>
        <v>1659</v>
      </c>
      <c r="F715" s="257">
        <f>ROUND('Plant input detail '!F717*'WPB2.2 Plant detail-w slippage'!$P$2,0)</f>
        <v>-199</v>
      </c>
      <c r="G715" s="257">
        <f t="shared" si="197"/>
        <v>2699392.55</v>
      </c>
      <c r="H715" s="38"/>
      <c r="I715" s="257">
        <f t="shared" si="193"/>
        <v>918640.23</v>
      </c>
      <c r="J715" s="1362">
        <f t="shared" si="198"/>
        <v>1.2200000000000001E-2</v>
      </c>
      <c r="K715" s="173">
        <f t="shared" ref="K715:K720" si="199">ROUND((G715+D715)/2*J715/12,0)</f>
        <v>2744</v>
      </c>
      <c r="L715" s="38">
        <f t="shared" si="194"/>
        <v>199</v>
      </c>
      <c r="M715" s="257">
        <f>ROUND('Plant input detail '!M717*'WPB2.2 Plant detail-w slippage'!$P$2,0)</f>
        <v>0</v>
      </c>
      <c r="N715" s="2227">
        <f t="shared" si="195"/>
        <v>921185.23</v>
      </c>
    </row>
    <row r="716" spans="1:14" x14ac:dyDescent="0.2">
      <c r="A716" s="31">
        <f t="shared" si="196"/>
        <v>17</v>
      </c>
      <c r="B716" s="253">
        <v>375.2</v>
      </c>
      <c r="C716" s="52" t="s">
        <v>1039</v>
      </c>
      <c r="D716" s="257">
        <f t="shared" si="192"/>
        <v>2124.98</v>
      </c>
      <c r="E716" s="382">
        <f>ROUND('Plant input detail '!E718*'WPB2.2 Plant detail-w slippage'!$P$2,0)</f>
        <v>0</v>
      </c>
      <c r="F716" s="257">
        <f>ROUND('Plant input detail '!F718*'WPB2.2 Plant detail-w slippage'!$P$2,0)</f>
        <v>0</v>
      </c>
      <c r="G716" s="257">
        <f t="shared" si="197"/>
        <v>2124.98</v>
      </c>
      <c r="H716" s="38"/>
      <c r="I716" s="257">
        <f t="shared" si="193"/>
        <v>2015.32</v>
      </c>
      <c r="J716" s="1362">
        <f t="shared" si="198"/>
        <v>1.9599999999999999E-2</v>
      </c>
      <c r="K716" s="173">
        <f t="shared" si="199"/>
        <v>3</v>
      </c>
      <c r="L716" s="38">
        <f t="shared" si="194"/>
        <v>0</v>
      </c>
      <c r="M716" s="257">
        <f>ROUND('Plant input detail '!M718*'WPB2.2 Plant detail-w slippage'!$P$2,0)</f>
        <v>0</v>
      </c>
      <c r="N716" s="2227">
        <f t="shared" si="195"/>
        <v>2018.32</v>
      </c>
    </row>
    <row r="717" spans="1:14" x14ac:dyDescent="0.2">
      <c r="A717" s="31">
        <f t="shared" si="196"/>
        <v>18</v>
      </c>
      <c r="B717" s="253">
        <v>375.3</v>
      </c>
      <c r="C717" s="52" t="s">
        <v>1040</v>
      </c>
      <c r="D717" s="257">
        <f t="shared" si="192"/>
        <v>0</v>
      </c>
      <c r="E717" s="382">
        <f>ROUND('Plant input detail '!E719*'WPB2.2 Plant detail-w slippage'!$P$2,0)</f>
        <v>0</v>
      </c>
      <c r="F717" s="257">
        <f>ROUND('Plant input detail '!F719*'WPB2.2 Plant detail-w slippage'!$P$2,0)</f>
        <v>0</v>
      </c>
      <c r="G717" s="257">
        <f t="shared" si="197"/>
        <v>0</v>
      </c>
      <c r="H717" s="38"/>
      <c r="I717" s="257">
        <f t="shared" si="193"/>
        <v>-77.66</v>
      </c>
      <c r="J717" s="1362">
        <f t="shared" si="198"/>
        <v>1.9599999999999999E-2</v>
      </c>
      <c r="K717" s="173">
        <f t="shared" si="199"/>
        <v>0</v>
      </c>
      <c r="L717" s="38">
        <f t="shared" si="194"/>
        <v>0</v>
      </c>
      <c r="M717" s="257">
        <f>ROUND('Plant input detail '!M719*'WPB2.2 Plant detail-w slippage'!$P$2,0)</f>
        <v>0</v>
      </c>
      <c r="N717" s="2227">
        <f t="shared" si="195"/>
        <v>-77.66</v>
      </c>
    </row>
    <row r="718" spans="1:14" x14ac:dyDescent="0.2">
      <c r="A718" s="31">
        <f t="shared" si="196"/>
        <v>19</v>
      </c>
      <c r="B718" s="253">
        <v>375.4</v>
      </c>
      <c r="C718" s="52" t="s">
        <v>1041</v>
      </c>
      <c r="D718" s="257">
        <f t="shared" si="192"/>
        <v>1921438.02</v>
      </c>
      <c r="E718" s="382">
        <f>ROUND('Plant input detail '!E720*'WPB2.2 Plant detail-w slippage'!$P$2,0)</f>
        <v>50282</v>
      </c>
      <c r="F718" s="257">
        <f>ROUND('Plant input detail '!F720*'WPB2.2 Plant detail-w slippage'!$P$2,0)</f>
        <v>-6034</v>
      </c>
      <c r="G718" s="257">
        <f t="shared" si="197"/>
        <v>1965686.02</v>
      </c>
      <c r="H718" s="38"/>
      <c r="I718" s="257">
        <f t="shared" si="193"/>
        <v>497365.37</v>
      </c>
      <c r="J718" s="1362">
        <f t="shared" si="198"/>
        <v>1.9599999999999999E-2</v>
      </c>
      <c r="K718" s="173">
        <f t="shared" si="199"/>
        <v>3174</v>
      </c>
      <c r="L718" s="38">
        <f t="shared" si="194"/>
        <v>6034</v>
      </c>
      <c r="M718" s="257">
        <f>ROUND('Plant input detail '!M720*'WPB2.2 Plant detail-w slippage'!$P$2,0)</f>
        <v>-603</v>
      </c>
      <c r="N718" s="2227">
        <f t="shared" si="195"/>
        <v>493902.37</v>
      </c>
    </row>
    <row r="719" spans="1:14" x14ac:dyDescent="0.2">
      <c r="A719" s="31">
        <f t="shared" si="196"/>
        <v>20</v>
      </c>
      <c r="B719" s="253">
        <v>375.6</v>
      </c>
      <c r="C719" s="52" t="s">
        <v>1042</v>
      </c>
      <c r="D719" s="257">
        <f t="shared" si="192"/>
        <v>0</v>
      </c>
      <c r="E719" s="382">
        <f>ROUND('Plant input detail '!E721*'WPB2.2 Plant detail-w slippage'!$P$2,0)</f>
        <v>0</v>
      </c>
      <c r="F719" s="257">
        <f>ROUND('Plant input detail '!F721*'WPB2.2 Plant detail-w slippage'!$P$2,0)</f>
        <v>0</v>
      </c>
      <c r="G719" s="257">
        <f t="shared" si="197"/>
        <v>0</v>
      </c>
      <c r="H719" s="38"/>
      <c r="I719" s="257">
        <f t="shared" si="193"/>
        <v>0.02</v>
      </c>
      <c r="J719" s="1362">
        <f t="shared" si="198"/>
        <v>1.9599999999999999E-2</v>
      </c>
      <c r="K719" s="173">
        <f t="shared" si="199"/>
        <v>0</v>
      </c>
      <c r="L719" s="38">
        <f t="shared" si="194"/>
        <v>0</v>
      </c>
      <c r="M719" s="257">
        <f>ROUND('Plant input detail '!M721*'WPB2.2 Plant detail-w slippage'!$P$2,0)</f>
        <v>0</v>
      </c>
      <c r="N719" s="2227">
        <f t="shared" si="195"/>
        <v>0.02</v>
      </c>
    </row>
    <row r="720" spans="1:14" x14ac:dyDescent="0.2">
      <c r="A720" s="31">
        <f t="shared" si="196"/>
        <v>21</v>
      </c>
      <c r="B720" s="253">
        <v>375.7</v>
      </c>
      <c r="C720" s="52" t="s">
        <v>1043</v>
      </c>
      <c r="D720" s="257">
        <f t="shared" si="192"/>
        <v>8045754.21</v>
      </c>
      <c r="E720" s="382">
        <f>ROUND('Plant input detail '!E722*'WPB2.2 Plant detail-w slippage'!$P$2,0)</f>
        <v>59601</v>
      </c>
      <c r="F720" s="257">
        <f>ROUND('Plant input detail '!F722*'WPB2.2 Plant detail-w slippage'!$P$2,0)</f>
        <v>-7152</v>
      </c>
      <c r="G720" s="257">
        <f t="shared" si="197"/>
        <v>8098203.21</v>
      </c>
      <c r="H720" s="38"/>
      <c r="I720" s="257">
        <f t="shared" si="193"/>
        <v>3290740.06</v>
      </c>
      <c r="J720" s="1362">
        <f t="shared" si="198"/>
        <v>1.9900000000000001E-2</v>
      </c>
      <c r="K720" s="173">
        <f t="shared" si="199"/>
        <v>13386</v>
      </c>
      <c r="L720" s="38">
        <f t="shared" si="194"/>
        <v>7152</v>
      </c>
      <c r="M720" s="257">
        <f>ROUND('Plant input detail '!M722*'WPB2.2 Plant detail-w slippage'!$P$2,0)</f>
        <v>0</v>
      </c>
      <c r="N720" s="2227">
        <f t="shared" si="195"/>
        <v>3296974.06</v>
      </c>
    </row>
    <row r="721" spans="1:14" x14ac:dyDescent="0.2">
      <c r="A721" s="31">
        <f t="shared" si="196"/>
        <v>22</v>
      </c>
      <c r="B721" s="253">
        <v>375.71</v>
      </c>
      <c r="C721" s="52" t="s">
        <v>1044</v>
      </c>
      <c r="D721" s="257">
        <f t="shared" si="192"/>
        <v>259808.94</v>
      </c>
      <c r="E721" s="382">
        <f>ROUND('Plant input detail '!E723*'WPB2.2 Plant detail-w slippage'!$P$2,0)</f>
        <v>0</v>
      </c>
      <c r="F721" s="257">
        <f>ROUND('Plant input detail '!F723*'WPB2.2 Plant detail-w slippage'!$P$2,0)</f>
        <v>0</v>
      </c>
      <c r="G721" s="257">
        <f t="shared" si="197"/>
        <v>259808.94</v>
      </c>
      <c r="H721" s="38"/>
      <c r="I721" s="257">
        <f t="shared" si="193"/>
        <v>171679.35684210534</v>
      </c>
      <c r="J721" s="296" t="s">
        <v>1094</v>
      </c>
      <c r="K721" s="258">
        <f>104653.88/38</f>
        <v>2754.0494736842106</v>
      </c>
      <c r="L721" s="38">
        <f t="shared" si="194"/>
        <v>0</v>
      </c>
      <c r="M721" s="257">
        <f>ROUND('Plant input detail '!M723*'WPB2.2 Plant detail-w slippage'!$P$2,0)</f>
        <v>0</v>
      </c>
      <c r="N721" s="2227">
        <f t="shared" si="195"/>
        <v>174433.40631578956</v>
      </c>
    </row>
    <row r="722" spans="1:14" x14ac:dyDescent="0.2">
      <c r="A722" s="31">
        <f t="shared" si="196"/>
        <v>23</v>
      </c>
      <c r="B722" s="253">
        <v>375.8</v>
      </c>
      <c r="C722" s="52" t="s">
        <v>1045</v>
      </c>
      <c r="D722" s="257">
        <f t="shared" si="192"/>
        <v>0</v>
      </c>
      <c r="E722" s="382">
        <f>ROUND('Plant input detail '!E724*'WPB2.2 Plant detail-w slippage'!$P$2,0)</f>
        <v>0</v>
      </c>
      <c r="F722" s="257">
        <f>ROUND('Plant input detail '!F724*'WPB2.2 Plant detail-w slippage'!$P$2,0)</f>
        <v>0</v>
      </c>
      <c r="G722" s="257">
        <f t="shared" si="197"/>
        <v>0</v>
      </c>
      <c r="H722" s="38"/>
      <c r="I722" s="257">
        <f t="shared" si="193"/>
        <v>0</v>
      </c>
      <c r="J722" s="1362">
        <f>J616</f>
        <v>5.3199999999999997E-2</v>
      </c>
      <c r="K722" s="259">
        <v>0</v>
      </c>
      <c r="L722" s="38">
        <f t="shared" si="194"/>
        <v>0</v>
      </c>
      <c r="M722" s="257">
        <f>ROUND('Plant input detail '!M724*'WPB2.2 Plant detail-w slippage'!$P$2,0)</f>
        <v>0</v>
      </c>
      <c r="N722" s="2227">
        <f t="shared" si="195"/>
        <v>0</v>
      </c>
    </row>
    <row r="723" spans="1:14" x14ac:dyDescent="0.2">
      <c r="A723" s="31">
        <f>A722+1</f>
        <v>24</v>
      </c>
      <c r="B723" s="253">
        <v>376</v>
      </c>
      <c r="C723" s="251" t="s">
        <v>1096</v>
      </c>
      <c r="D723" s="257"/>
      <c r="E723" s="258"/>
      <c r="F723" s="259"/>
      <c r="G723" s="257"/>
      <c r="H723" s="38"/>
      <c r="I723" s="181"/>
      <c r="J723" s="1361"/>
      <c r="K723" s="173"/>
      <c r="L723" s="38"/>
      <c r="M723" s="259"/>
    </row>
    <row r="724" spans="1:14" x14ac:dyDescent="0.2">
      <c r="A724" s="31"/>
      <c r="B724" s="253"/>
      <c r="C724" s="286" t="s">
        <v>1097</v>
      </c>
      <c r="D724" s="257"/>
      <c r="E724" s="258"/>
      <c r="F724" s="259"/>
      <c r="G724" s="257"/>
      <c r="H724" s="38"/>
      <c r="I724" s="257"/>
      <c r="J724" s="1362"/>
      <c r="K724" s="173"/>
      <c r="L724" s="38"/>
      <c r="M724" s="257"/>
      <c r="N724" s="2227"/>
    </row>
    <row r="725" spans="1:14" x14ac:dyDescent="0.2">
      <c r="A725" s="31"/>
      <c r="B725" s="253"/>
      <c r="C725" s="286" t="s">
        <v>1098</v>
      </c>
      <c r="D725" s="257"/>
      <c r="E725" s="258"/>
      <c r="F725" s="259"/>
      <c r="G725" s="257"/>
      <c r="H725" s="38"/>
      <c r="I725" s="257"/>
      <c r="J725" s="1362"/>
      <c r="K725" s="173"/>
      <c r="L725" s="38"/>
      <c r="M725" s="257"/>
      <c r="N725" s="2227"/>
    </row>
    <row r="726" spans="1:14" x14ac:dyDescent="0.2">
      <c r="A726" s="31"/>
      <c r="B726" s="253"/>
      <c r="C726" s="286" t="s">
        <v>1099</v>
      </c>
      <c r="D726" s="257"/>
      <c r="E726" s="258"/>
      <c r="F726" s="259"/>
      <c r="G726" s="257"/>
      <c r="H726" s="38"/>
      <c r="I726" s="257"/>
      <c r="J726" s="1362"/>
      <c r="K726" s="173"/>
      <c r="L726" s="38"/>
      <c r="M726" s="257"/>
      <c r="N726" s="2227"/>
    </row>
    <row r="727" spans="1:14" x14ac:dyDescent="0.2">
      <c r="A727" s="31"/>
      <c r="B727" s="253"/>
      <c r="C727" s="286" t="s">
        <v>1100</v>
      </c>
      <c r="D727" s="257"/>
      <c r="E727" s="258"/>
      <c r="F727" s="259"/>
      <c r="G727" s="257"/>
      <c r="H727" s="38"/>
      <c r="I727" s="257"/>
      <c r="J727" s="1362"/>
      <c r="K727" s="173"/>
      <c r="L727" s="38"/>
      <c r="M727" s="257"/>
      <c r="N727" s="2227"/>
    </row>
    <row r="728" spans="1:14" x14ac:dyDescent="0.2">
      <c r="A728" s="31"/>
      <c r="B728" s="253"/>
      <c r="C728" s="286" t="s">
        <v>1101</v>
      </c>
      <c r="D728" s="257">
        <f t="shared" ref="D728:D733" si="200">G622</f>
        <v>209830261.44</v>
      </c>
      <c r="E728" s="382">
        <f>ROUND('Plant input detail '!E730*'WPB2.2 Plant detail-w slippage'!$P$2,0)</f>
        <v>1008166</v>
      </c>
      <c r="F728" s="257">
        <f>ROUND('Plant input detail '!F730*'WPB2.2 Plant detail-w slippage'!$P$2,0)</f>
        <v>-120980</v>
      </c>
      <c r="G728" s="257">
        <f t="shared" ref="G728:G733" si="201">SUM(D728:F728)</f>
        <v>210717447.44</v>
      </c>
      <c r="H728" s="38"/>
      <c r="I728" s="257">
        <f t="shared" ref="I728:I733" si="202">N622</f>
        <v>56903860.609999999</v>
      </c>
      <c r="J728" s="1362">
        <f t="shared" ref="J728:J733" si="203">J622</f>
        <v>1.5699999999999999E-2</v>
      </c>
      <c r="K728" s="173">
        <f t="shared" ref="K728:K733" si="204">ROUND((G728+D728)/2*J728/12,0)</f>
        <v>275108</v>
      </c>
      <c r="L728" s="38">
        <f t="shared" ref="L728:L733" si="205">-F728</f>
        <v>120980</v>
      </c>
      <c r="M728" s="257">
        <f>ROUND('Plant input detail '!M730*'WPB2.2 Plant detail-w slippage'!$P$2,0)</f>
        <v>-18147</v>
      </c>
      <c r="N728" s="2227">
        <f t="shared" ref="N728:N733" si="206">I728+K728-L728+M728</f>
        <v>57039841.609999999</v>
      </c>
    </row>
    <row r="729" spans="1:14" x14ac:dyDescent="0.2">
      <c r="A729" s="31">
        <f>A723+1</f>
        <v>25</v>
      </c>
      <c r="B729" s="253">
        <v>378.1</v>
      </c>
      <c r="C729" s="52" t="s">
        <v>1047</v>
      </c>
      <c r="D729" s="257">
        <f t="shared" si="200"/>
        <v>518504.18</v>
      </c>
      <c r="E729" s="382">
        <f>ROUND('Plant input detail '!E731*'WPB2.2 Plant detail-w slippage'!$P$2,0)</f>
        <v>0</v>
      </c>
      <c r="F729" s="257">
        <f>ROUND('Plant input detail '!F731*'WPB2.2 Plant detail-w slippage'!$P$2,0)</f>
        <v>0</v>
      </c>
      <c r="G729" s="257">
        <f t="shared" si="201"/>
        <v>518504.18</v>
      </c>
      <c r="H729" s="38"/>
      <c r="I729" s="257">
        <f t="shared" si="202"/>
        <v>359401.81</v>
      </c>
      <c r="J729" s="1362">
        <f t="shared" si="203"/>
        <v>2.35E-2</v>
      </c>
      <c r="K729" s="173">
        <f t="shared" si="204"/>
        <v>1015</v>
      </c>
      <c r="L729" s="38">
        <f t="shared" si="205"/>
        <v>0</v>
      </c>
      <c r="M729" s="257">
        <f>ROUND('Plant input detail '!M731*'WPB2.2 Plant detail-w slippage'!$P$2,0)</f>
        <v>0</v>
      </c>
      <c r="N729" s="2227">
        <f t="shared" si="206"/>
        <v>360416.81</v>
      </c>
    </row>
    <row r="730" spans="1:14" x14ac:dyDescent="0.2">
      <c r="A730" s="31">
        <f t="shared" si="196"/>
        <v>26</v>
      </c>
      <c r="B730" s="253">
        <v>378.2</v>
      </c>
      <c r="C730" s="52" t="s">
        <v>1048</v>
      </c>
      <c r="D730" s="257">
        <f t="shared" si="200"/>
        <v>9597980</v>
      </c>
      <c r="E730" s="382">
        <f>ROUND('Plant input detail '!E732*'WPB2.2 Plant detail-w slippage'!$P$2,0)</f>
        <v>52825</v>
      </c>
      <c r="F730" s="257">
        <f>ROUND('Plant input detail '!F732*'WPB2.2 Plant detail-w slippage'!$P$2,0)</f>
        <v>-6339</v>
      </c>
      <c r="G730" s="257">
        <f t="shared" si="201"/>
        <v>9644466</v>
      </c>
      <c r="H730" s="38"/>
      <c r="I730" s="257">
        <f t="shared" si="202"/>
        <v>3319169.91</v>
      </c>
      <c r="J730" s="1362">
        <f t="shared" si="203"/>
        <v>2.35E-2</v>
      </c>
      <c r="K730" s="173">
        <f t="shared" si="204"/>
        <v>18842</v>
      </c>
      <c r="L730" s="38">
        <f t="shared" si="205"/>
        <v>6339</v>
      </c>
      <c r="M730" s="257">
        <f>ROUND('Plant input detail '!M732*'WPB2.2 Plant detail-w slippage'!$P$2,0)</f>
        <v>-317</v>
      </c>
      <c r="N730" s="2227">
        <f t="shared" si="206"/>
        <v>3331355.91</v>
      </c>
    </row>
    <row r="731" spans="1:14" x14ac:dyDescent="0.2">
      <c r="A731" s="31">
        <f t="shared" si="196"/>
        <v>27</v>
      </c>
      <c r="B731" s="253">
        <v>378.3</v>
      </c>
      <c r="C731" s="52" t="s">
        <v>1049</v>
      </c>
      <c r="D731" s="257">
        <f t="shared" si="200"/>
        <v>45443.08</v>
      </c>
      <c r="E731" s="382">
        <f>ROUND('Plant input detail '!E733*'WPB2.2 Plant detail-w slippage'!$P$2,0)</f>
        <v>0</v>
      </c>
      <c r="F731" s="257">
        <f>ROUND('Plant input detail '!F733*'WPB2.2 Plant detail-w slippage'!$P$2,0)</f>
        <v>0</v>
      </c>
      <c r="G731" s="257">
        <f t="shared" si="201"/>
        <v>45443.08</v>
      </c>
      <c r="H731" s="38"/>
      <c r="I731" s="257">
        <f t="shared" si="202"/>
        <v>35522.04</v>
      </c>
      <c r="J731" s="1362">
        <f t="shared" si="203"/>
        <v>2.35E-2</v>
      </c>
      <c r="K731" s="173">
        <f t="shared" si="204"/>
        <v>89</v>
      </c>
      <c r="L731" s="38">
        <f t="shared" si="205"/>
        <v>0</v>
      </c>
      <c r="M731" s="257">
        <f>ROUND('Plant input detail '!M733*'WPB2.2 Plant detail-w slippage'!$P$2,0)</f>
        <v>0</v>
      </c>
      <c r="N731" s="2227">
        <f t="shared" si="206"/>
        <v>35611.040000000001</v>
      </c>
    </row>
    <row r="732" spans="1:14" x14ac:dyDescent="0.2">
      <c r="A732" s="31">
        <f t="shared" si="196"/>
        <v>28</v>
      </c>
      <c r="B732" s="253">
        <v>379.1</v>
      </c>
      <c r="C732" s="52" t="s">
        <v>1050</v>
      </c>
      <c r="D732" s="257">
        <f t="shared" si="200"/>
        <v>254900.59</v>
      </c>
      <c r="E732" s="382">
        <f>ROUND('Plant input detail '!E734*'WPB2.2 Plant detail-w slippage'!$P$2,0)</f>
        <v>0</v>
      </c>
      <c r="F732" s="257">
        <f>ROUND('Plant input detail '!F734*'WPB2.2 Plant detail-w slippage'!$P$2,0)</f>
        <v>0</v>
      </c>
      <c r="G732" s="257">
        <f t="shared" si="201"/>
        <v>254900.59</v>
      </c>
      <c r="H732" s="38"/>
      <c r="I732" s="257">
        <f t="shared" si="202"/>
        <v>267730.57</v>
      </c>
      <c r="J732" s="1362">
        <f t="shared" si="203"/>
        <v>2.2700000000000001E-2</v>
      </c>
      <c r="K732" s="259">
        <v>0</v>
      </c>
      <c r="L732" s="38">
        <f t="shared" si="205"/>
        <v>0</v>
      </c>
      <c r="M732" s="257">
        <f>ROUND('Plant input detail '!M734*'WPB2.2 Plant detail-w slippage'!$P$2,0)</f>
        <v>0</v>
      </c>
      <c r="N732" s="2227">
        <f t="shared" si="206"/>
        <v>267730.57</v>
      </c>
    </row>
    <row r="733" spans="1:14" x14ac:dyDescent="0.2">
      <c r="A733" s="31">
        <f t="shared" si="196"/>
        <v>29</v>
      </c>
      <c r="B733" s="253">
        <v>380</v>
      </c>
      <c r="C733" s="52" t="s">
        <v>1051</v>
      </c>
      <c r="D733" s="257">
        <f t="shared" si="200"/>
        <v>120631824.77</v>
      </c>
      <c r="E733" s="382">
        <f>ROUND('Plant input detail '!E735*'WPB2.2 Plant detail-w slippage'!$P$2,0)</f>
        <v>689548</v>
      </c>
      <c r="F733" s="257">
        <f>ROUND('Plant input detail '!F735*'WPB2.2 Plant detail-w slippage'!$P$2,0)</f>
        <v>-82746</v>
      </c>
      <c r="G733" s="257">
        <f t="shared" si="201"/>
        <v>121238626.77</v>
      </c>
      <c r="H733" s="38"/>
      <c r="I733" s="257">
        <f t="shared" si="202"/>
        <v>58233861.520000003</v>
      </c>
      <c r="J733" s="1362">
        <f t="shared" si="203"/>
        <v>2.5899999999999999E-2</v>
      </c>
      <c r="K733" s="173">
        <f t="shared" si="204"/>
        <v>261019</v>
      </c>
      <c r="L733" s="38">
        <f t="shared" si="205"/>
        <v>82746</v>
      </c>
      <c r="M733" s="257">
        <f>ROUND('Plant input detail '!M735*'WPB2.2 Plant detail-w slippage'!$P$2,0)</f>
        <v>-41373</v>
      </c>
      <c r="N733" s="2227">
        <f t="shared" si="206"/>
        <v>58370761.520000003</v>
      </c>
    </row>
    <row r="734" spans="1:14" x14ac:dyDescent="0.2">
      <c r="A734" s="170"/>
      <c r="B734" s="179"/>
      <c r="C734" s="178"/>
      <c r="D734" s="181"/>
      <c r="E734" s="173"/>
      <c r="F734" s="173"/>
      <c r="G734" s="181"/>
      <c r="H734" s="173"/>
      <c r="I734" s="173"/>
      <c r="J734" s="173"/>
      <c r="K734" s="173"/>
      <c r="L734" s="173"/>
      <c r="M734" s="171"/>
      <c r="N734" s="2229"/>
    </row>
    <row r="735" spans="1:14" x14ac:dyDescent="0.2">
      <c r="A735" s="2079" t="str">
        <f>co</f>
        <v>COLUMBIA GAS OF KENTUCKY, INC.</v>
      </c>
      <c r="B735" s="2079"/>
      <c r="C735" s="2079"/>
      <c r="D735" s="2079"/>
      <c r="E735" s="2079"/>
      <c r="F735" s="2079"/>
      <c r="G735" s="2079"/>
      <c r="H735" s="2079"/>
      <c r="I735" s="2079"/>
      <c r="J735" s="2079"/>
      <c r="K735" s="2079"/>
      <c r="L735" s="2079"/>
      <c r="M735" s="2079"/>
      <c r="N735" s="2079"/>
    </row>
    <row r="736" spans="1:14" x14ac:dyDescent="0.2">
      <c r="A736" s="2079" t="str">
        <f>case</f>
        <v>CASE NO. 2016 - 00162</v>
      </c>
      <c r="B736" s="2079"/>
      <c r="C736" s="2079"/>
      <c r="D736" s="2079"/>
      <c r="E736" s="2079"/>
      <c r="F736" s="2079"/>
      <c r="G736" s="2079"/>
      <c r="H736" s="2079"/>
      <c r="I736" s="2079"/>
      <c r="J736" s="2079"/>
      <c r="K736" s="2079"/>
      <c r="L736" s="2079"/>
      <c r="M736" s="2079"/>
      <c r="N736" s="2079"/>
    </row>
    <row r="737" spans="1:14" x14ac:dyDescent="0.2">
      <c r="A737" s="2080" t="s">
        <v>1106</v>
      </c>
      <c r="B737" s="2079"/>
      <c r="C737" s="2079"/>
      <c r="D737" s="2079"/>
      <c r="E737" s="2079"/>
      <c r="F737" s="2079"/>
      <c r="G737" s="2079"/>
      <c r="H737" s="2079"/>
      <c r="I737" s="2079"/>
      <c r="J737" s="2079"/>
      <c r="K737" s="2079"/>
      <c r="L737" s="2079"/>
      <c r="M737" s="2079"/>
      <c r="N737" s="2079"/>
    </row>
    <row r="738" spans="1:14" x14ac:dyDescent="0.2">
      <c r="A738" s="2081" t="s">
        <v>2142</v>
      </c>
      <c r="B738" s="2085"/>
      <c r="C738" s="2085"/>
      <c r="D738" s="2085"/>
      <c r="E738" s="2085"/>
      <c r="F738" s="2085"/>
      <c r="G738" s="2085"/>
      <c r="H738" s="2085"/>
      <c r="I738" s="2085"/>
      <c r="J738" s="2085"/>
      <c r="K738" s="2085"/>
      <c r="L738" s="2085"/>
      <c r="M738" s="2085"/>
      <c r="N738" s="2085"/>
    </row>
    <row r="740" spans="1:14" x14ac:dyDescent="0.2">
      <c r="A740" s="285" t="str">
        <f>$A$6</f>
        <v>DATA:__X___BASE PERIOD__X___FORECASTED PERIOD</v>
      </c>
      <c r="C740" s="171"/>
      <c r="M740" s="32"/>
      <c r="N740" s="1258" t="str">
        <f>$N$6</f>
        <v>WPB-2.2</v>
      </c>
    </row>
    <row r="741" spans="1:14" x14ac:dyDescent="0.2">
      <c r="A741" s="4" t="str">
        <f>$A$7</f>
        <v>TYPE OF FILING:___X____ORIGINAL________UPDATED</v>
      </c>
      <c r="M741" s="32"/>
      <c r="N741" s="2223" t="s">
        <v>1727</v>
      </c>
    </row>
    <row r="742" spans="1:14" x14ac:dyDescent="0.2">
      <c r="A742" s="1261" t="str">
        <f>$A$8</f>
        <v xml:space="preserve">WORKPAPER REFERENCE NO(S).: </v>
      </c>
      <c r="B742" s="202"/>
      <c r="C742" s="202"/>
      <c r="D742" s="201"/>
      <c r="E742" s="202"/>
      <c r="F742" s="202"/>
      <c r="G742" s="201"/>
      <c r="H742" s="201"/>
      <c r="M742" s="203"/>
      <c r="N742" s="204" t="str">
        <f>SMK</f>
        <v>WITNESS:  S. M. KATKO</v>
      </c>
    </row>
    <row r="743" spans="1:14" x14ac:dyDescent="0.2">
      <c r="A743" s="200"/>
      <c r="B743" s="201"/>
      <c r="C743" s="201"/>
      <c r="D743" s="201"/>
      <c r="E743" s="202"/>
      <c r="F743" s="202"/>
      <c r="G743" s="201"/>
      <c r="H743" s="201"/>
      <c r="I743" s="203"/>
      <c r="J743" s="1357"/>
      <c r="L743" s="32"/>
      <c r="M743" s="32"/>
    </row>
    <row r="744" spans="1:14" x14ac:dyDescent="0.2">
      <c r="A744" s="200"/>
      <c r="B744" s="201"/>
      <c r="C744" s="201"/>
      <c r="D744" s="2082" t="s">
        <v>1088</v>
      </c>
      <c r="E744" s="2082"/>
      <c r="F744" s="2082"/>
      <c r="G744" s="2082"/>
      <c r="H744" s="201"/>
      <c r="I744" s="2083" t="s">
        <v>1093</v>
      </c>
      <c r="J744" s="2084"/>
      <c r="K744" s="2084"/>
      <c r="L744" s="2084"/>
      <c r="M744" s="2084"/>
      <c r="N744" s="2084"/>
    </row>
    <row r="745" spans="1:14" x14ac:dyDescent="0.2">
      <c r="A745" s="270"/>
      <c r="B745" s="201"/>
      <c r="C745" s="201"/>
      <c r="D745" s="271" t="s">
        <v>1084</v>
      </c>
      <c r="E745" s="202"/>
      <c r="F745" s="202"/>
      <c r="G745" s="269"/>
      <c r="H745" s="269"/>
      <c r="I745" s="261" t="s">
        <v>1089</v>
      </c>
      <c r="J745" s="1358"/>
      <c r="M745" s="32"/>
    </row>
    <row r="746" spans="1:14" x14ac:dyDescent="0.2">
      <c r="A746" s="30"/>
      <c r="D746" s="261" t="s">
        <v>865</v>
      </c>
      <c r="G746" s="261" t="s">
        <v>867</v>
      </c>
      <c r="H746" s="268"/>
      <c r="I746" s="261" t="s">
        <v>865</v>
      </c>
      <c r="J746" s="1308" t="s">
        <v>956</v>
      </c>
      <c r="M746" s="32"/>
      <c r="N746" s="2225" t="s">
        <v>867</v>
      </c>
    </row>
    <row r="747" spans="1:14" x14ac:dyDescent="0.2">
      <c r="A747" s="261" t="s">
        <v>1080</v>
      </c>
      <c r="B747" s="261" t="s">
        <v>1082</v>
      </c>
      <c r="D747" s="261" t="s">
        <v>867</v>
      </c>
      <c r="G747" s="262" t="s">
        <v>1087</v>
      </c>
      <c r="H747" s="268"/>
      <c r="I747" s="262" t="s">
        <v>867</v>
      </c>
      <c r="J747" s="1308" t="s">
        <v>1090</v>
      </c>
      <c r="K747" s="1308" t="s">
        <v>956</v>
      </c>
      <c r="M747" s="262" t="s">
        <v>1092</v>
      </c>
      <c r="N747" s="1259" t="s">
        <v>1087</v>
      </c>
    </row>
    <row r="748" spans="1:14" x14ac:dyDescent="0.2">
      <c r="A748" s="272" t="s">
        <v>1081</v>
      </c>
      <c r="B748" s="272" t="s">
        <v>1081</v>
      </c>
      <c r="C748" s="273" t="s">
        <v>1083</v>
      </c>
      <c r="D748" s="274" t="str">
        <f>D695</f>
        <v>08/31/2016</v>
      </c>
      <c r="E748" s="275" t="s">
        <v>1085</v>
      </c>
      <c r="F748" s="275" t="s">
        <v>1086</v>
      </c>
      <c r="G748" s="274" t="str">
        <f>G695</f>
        <v>09/30/2016</v>
      </c>
      <c r="H748" s="268"/>
      <c r="I748" s="274" t="str">
        <f>D748</f>
        <v>08/31/2016</v>
      </c>
      <c r="J748" s="275" t="s">
        <v>1091</v>
      </c>
      <c r="K748" s="1327" t="s">
        <v>1090</v>
      </c>
      <c r="L748" s="276" t="s">
        <v>1086</v>
      </c>
      <c r="M748" s="276" t="s">
        <v>955</v>
      </c>
      <c r="N748" s="2226" t="str">
        <f>G748</f>
        <v>09/30/2016</v>
      </c>
    </row>
    <row r="749" spans="1:14" x14ac:dyDescent="0.2">
      <c r="A749" s="267"/>
      <c r="B749" s="267"/>
      <c r="C749" s="267"/>
      <c r="D749" s="267" t="str">
        <f>"(1)"</f>
        <v>(1)</v>
      </c>
      <c r="E749" s="267" t="str">
        <f>"(2)"</f>
        <v>(2)</v>
      </c>
      <c r="F749" s="267" t="str">
        <f>"(3)"</f>
        <v>(3)</v>
      </c>
      <c r="G749" s="267" t="str">
        <f>"(4)=(1+2+3)"</f>
        <v>(4)=(1+2+3)</v>
      </c>
      <c r="H749" s="267"/>
      <c r="I749" s="267" t="str">
        <f>"(5)"</f>
        <v>(5)</v>
      </c>
      <c r="J749" s="1328" t="str">
        <f>"(6)"</f>
        <v>(6)</v>
      </c>
      <c r="K749" s="1328" t="str">
        <f>"(7)=((1+4)/2*6/12))"</f>
        <v>(7)=((1+4)/2*6/12))</v>
      </c>
      <c r="L749" s="267" t="str">
        <f>"(8)"</f>
        <v>(8)</v>
      </c>
      <c r="M749" s="267" t="str">
        <f>"(9)"</f>
        <v>(9)</v>
      </c>
      <c r="N749" s="204" t="str">
        <f>"(10)=(5+7-8+9)"</f>
        <v>(10)=(5+7-8+9)</v>
      </c>
    </row>
    <row r="750" spans="1:14" x14ac:dyDescent="0.2">
      <c r="D750" s="31" t="s">
        <v>639</v>
      </c>
      <c r="E750" s="170" t="s">
        <v>639</v>
      </c>
      <c r="F750" s="170" t="s">
        <v>639</v>
      </c>
      <c r="G750" s="31" t="s">
        <v>639</v>
      </c>
      <c r="H750" s="31"/>
      <c r="I750" s="31" t="s">
        <v>639</v>
      </c>
      <c r="J750" s="170" t="s">
        <v>639</v>
      </c>
      <c r="K750" s="170" t="s">
        <v>639</v>
      </c>
      <c r="L750" s="31" t="s">
        <v>639</v>
      </c>
      <c r="M750" s="31" t="s">
        <v>639</v>
      </c>
      <c r="N750" s="155" t="s">
        <v>639</v>
      </c>
    </row>
    <row r="751" spans="1:14" x14ac:dyDescent="0.2">
      <c r="C751" s="36" t="s">
        <v>707</v>
      </c>
      <c r="D751" s="31"/>
      <c r="E751" s="170"/>
      <c r="F751" s="170"/>
      <c r="G751" s="31"/>
      <c r="J751" s="170"/>
    </row>
    <row r="752" spans="1:14" x14ac:dyDescent="0.2">
      <c r="A752" s="127">
        <v>1</v>
      </c>
      <c r="B752" s="123">
        <v>381</v>
      </c>
      <c r="C752" s="52" t="s">
        <v>1052</v>
      </c>
      <c r="D752" s="257">
        <f t="shared" ref="D752:D763" si="207">G646</f>
        <v>13641248.550000001</v>
      </c>
      <c r="E752" s="382">
        <f>ROUND('Plant input detail '!E754*'WPB2.2 Plant detail-w slippage'!$P$2,0)</f>
        <v>22915</v>
      </c>
      <c r="F752" s="257">
        <f>ROUND('Plant input detail '!F754*'WPB2.2 Plant detail-w slippage'!$P$2,0)</f>
        <v>-2750</v>
      </c>
      <c r="G752" s="257">
        <f>SUM(D752:F752)</f>
        <v>13661413.550000001</v>
      </c>
      <c r="H752" s="38"/>
      <c r="I752" s="257">
        <f t="shared" ref="I752:I763" si="208">N646</f>
        <v>4823000.8899999997</v>
      </c>
      <c r="J752" s="1362">
        <f t="shared" ref="J752:J763" si="209">J646</f>
        <v>2.5899999999999999E-2</v>
      </c>
      <c r="K752" s="173">
        <f t="shared" ref="K752:K763" si="210">ROUND((G752+D752)/2*J752/12,0)</f>
        <v>29464</v>
      </c>
      <c r="L752" s="38">
        <f t="shared" ref="L752:L763" si="211">-F752</f>
        <v>2750</v>
      </c>
      <c r="M752" s="257">
        <f>ROUND('Plant input detail '!M754*'WPB2.2 Plant detail-w slippage'!$P$2,0)</f>
        <v>0</v>
      </c>
      <c r="N752" s="2227">
        <f t="shared" ref="N752:N763" si="212">I752+K752-L752+M752</f>
        <v>4849714.8899999997</v>
      </c>
    </row>
    <row r="753" spans="1:14" x14ac:dyDescent="0.2">
      <c r="A753" s="127">
        <f>A752+1</f>
        <v>2</v>
      </c>
      <c r="B753" s="123">
        <v>381.1</v>
      </c>
      <c r="C753" s="52" t="s">
        <v>1115</v>
      </c>
      <c r="D753" s="257">
        <f t="shared" si="207"/>
        <v>8764800.0600000005</v>
      </c>
      <c r="E753" s="382">
        <f>ROUND('Plant input detail '!E755*'WPB2.2 Plant detail-w slippage'!$P$2,0)</f>
        <v>3185</v>
      </c>
      <c r="F753" s="257">
        <f>ROUND('Plant input detail '!F755*'WPB2.2 Plant detail-w slippage'!$P$2,0)</f>
        <v>-382</v>
      </c>
      <c r="G753" s="257">
        <f>SUM(D753:F753)</f>
        <v>8767603.0600000005</v>
      </c>
      <c r="H753" s="38"/>
      <c r="I753" s="257">
        <f t="shared" si="208"/>
        <v>478488.5</v>
      </c>
      <c r="J753" s="1362">
        <f t="shared" si="209"/>
        <v>2.5899999999999999E-2</v>
      </c>
      <c r="K753" s="173">
        <f t="shared" si="210"/>
        <v>18920</v>
      </c>
      <c r="L753" s="38">
        <f t="shared" si="211"/>
        <v>382</v>
      </c>
      <c r="M753" s="257">
        <f>ROUND('Plant input detail '!M755*'WPB2.2 Plant detail-w slippage'!$P$2,0)</f>
        <v>0</v>
      </c>
      <c r="N753" s="2227">
        <f t="shared" si="212"/>
        <v>497026.5</v>
      </c>
    </row>
    <row r="754" spans="1:14" x14ac:dyDescent="0.2">
      <c r="A754" s="127">
        <f t="shared" ref="A754:A764" si="213">A753+1</f>
        <v>3</v>
      </c>
      <c r="B754" s="123">
        <v>382</v>
      </c>
      <c r="C754" s="52" t="s">
        <v>1053</v>
      </c>
      <c r="D754" s="257">
        <f t="shared" si="207"/>
        <v>9109896.6500000004</v>
      </c>
      <c r="E754" s="382">
        <f>ROUND('Plant input detail '!E756*'WPB2.2 Plant detail-w slippage'!$P$2,0)</f>
        <v>50482</v>
      </c>
      <c r="F754" s="257">
        <f>ROUND('Plant input detail '!F756*'WPB2.2 Plant detail-w slippage'!$P$2,0)</f>
        <v>-6058</v>
      </c>
      <c r="G754" s="257">
        <f t="shared" ref="G754:G759" si="214">SUM(D754:F754)</f>
        <v>9154320.6500000004</v>
      </c>
      <c r="H754" s="38"/>
      <c r="I754" s="257">
        <f t="shared" si="208"/>
        <v>4576242.3</v>
      </c>
      <c r="J754" s="1362">
        <f t="shared" si="209"/>
        <v>2.3900000000000001E-2</v>
      </c>
      <c r="K754" s="173">
        <f t="shared" si="210"/>
        <v>18188</v>
      </c>
      <c r="L754" s="38">
        <f t="shared" si="211"/>
        <v>6058</v>
      </c>
      <c r="M754" s="257">
        <f>ROUND('Plant input detail '!M756*'WPB2.2 Plant detail-w slippage'!$P$2,0)</f>
        <v>-303</v>
      </c>
      <c r="N754" s="2227">
        <f t="shared" si="212"/>
        <v>4588069.3</v>
      </c>
    </row>
    <row r="755" spans="1:14" x14ac:dyDescent="0.2">
      <c r="A755" s="127">
        <f t="shared" si="213"/>
        <v>4</v>
      </c>
      <c r="B755" s="123">
        <v>383</v>
      </c>
      <c r="C755" s="52" t="s">
        <v>1054</v>
      </c>
      <c r="D755" s="257">
        <f t="shared" si="207"/>
        <v>5590608.7599999998</v>
      </c>
      <c r="E755" s="382">
        <f>ROUND('Plant input detail '!E757*'WPB2.2 Plant detail-w slippage'!$P$2,0)</f>
        <v>21537</v>
      </c>
      <c r="F755" s="257">
        <f>ROUND('Plant input detail '!F757*'WPB2.2 Plant detail-w slippage'!$P$2,0)</f>
        <v>-2584</v>
      </c>
      <c r="G755" s="257">
        <f t="shared" si="214"/>
        <v>5609561.7599999998</v>
      </c>
      <c r="H755" s="38"/>
      <c r="I755" s="257">
        <f t="shared" si="208"/>
        <v>1489794.41</v>
      </c>
      <c r="J755" s="1362">
        <f t="shared" si="209"/>
        <v>1.3899999999999999E-2</v>
      </c>
      <c r="K755" s="173">
        <f t="shared" si="210"/>
        <v>6487</v>
      </c>
      <c r="L755" s="38">
        <f t="shared" si="211"/>
        <v>2584</v>
      </c>
      <c r="M755" s="257">
        <f>ROUND('Plant input detail '!M757*'WPB2.2 Plant detail-w slippage'!$P$2,0)</f>
        <v>-129</v>
      </c>
      <c r="N755" s="2227">
        <f t="shared" si="212"/>
        <v>1493568.41</v>
      </c>
    </row>
    <row r="756" spans="1:14" x14ac:dyDescent="0.2">
      <c r="A756" s="127">
        <f t="shared" si="213"/>
        <v>5</v>
      </c>
      <c r="B756" s="123">
        <v>384</v>
      </c>
      <c r="C756" s="52" t="s">
        <v>1055</v>
      </c>
      <c r="D756" s="257">
        <f t="shared" si="207"/>
        <v>2257522</v>
      </c>
      <c r="E756" s="382">
        <f>ROUND('Plant input detail '!E758*'WPB2.2 Plant detail-w slippage'!$P$2,0)</f>
        <v>0</v>
      </c>
      <c r="F756" s="257">
        <f>ROUND('Plant input detail '!F758*'WPB2.2 Plant detail-w slippage'!$P$2,0)</f>
        <v>0</v>
      </c>
      <c r="G756" s="257">
        <f t="shared" si="214"/>
        <v>2257522</v>
      </c>
      <c r="H756" s="38"/>
      <c r="I756" s="257">
        <f t="shared" si="208"/>
        <v>1761052.73</v>
      </c>
      <c r="J756" s="1362">
        <f t="shared" si="209"/>
        <v>1.0999999999999999E-2</v>
      </c>
      <c r="K756" s="173">
        <f t="shared" si="210"/>
        <v>2069</v>
      </c>
      <c r="L756" s="38">
        <f t="shared" si="211"/>
        <v>0</v>
      </c>
      <c r="M756" s="257">
        <f>ROUND('Plant input detail '!M758*'WPB2.2 Plant detail-w slippage'!$P$2,0)</f>
        <v>0</v>
      </c>
      <c r="N756" s="2227">
        <f t="shared" si="212"/>
        <v>1763121.73</v>
      </c>
    </row>
    <row r="757" spans="1:14" x14ac:dyDescent="0.2">
      <c r="A757" s="127">
        <f t="shared" si="213"/>
        <v>6</v>
      </c>
      <c r="B757" s="123">
        <v>385</v>
      </c>
      <c r="C757" s="52" t="s">
        <v>1056</v>
      </c>
      <c r="D757" s="257">
        <f t="shared" si="207"/>
        <v>3175963.36</v>
      </c>
      <c r="E757" s="382">
        <f>ROUND('Plant input detail '!E759*'WPB2.2 Plant detail-w slippage'!$P$2,0)</f>
        <v>21653</v>
      </c>
      <c r="F757" s="257">
        <f>ROUND('Plant input detail '!F759*'WPB2.2 Plant detail-w slippage'!$P$2,0)</f>
        <v>-2598</v>
      </c>
      <c r="G757" s="257">
        <f t="shared" si="214"/>
        <v>3195018.36</v>
      </c>
      <c r="H757" s="38"/>
      <c r="I757" s="257">
        <f t="shared" si="208"/>
        <v>878725.55</v>
      </c>
      <c r="J757" s="1362">
        <f t="shared" si="209"/>
        <v>2.0899999999999998E-2</v>
      </c>
      <c r="K757" s="173">
        <f t="shared" si="210"/>
        <v>5548</v>
      </c>
      <c r="L757" s="38">
        <f t="shared" si="211"/>
        <v>2598</v>
      </c>
      <c r="M757" s="257">
        <f>ROUND('Plant input detail '!M759*'WPB2.2 Plant detail-w slippage'!$P$2,0)</f>
        <v>-130</v>
      </c>
      <c r="N757" s="2227">
        <f t="shared" si="212"/>
        <v>881545.55</v>
      </c>
    </row>
    <row r="758" spans="1:14" x14ac:dyDescent="0.2">
      <c r="A758" s="127">
        <f t="shared" si="213"/>
        <v>7</v>
      </c>
      <c r="B758" s="123">
        <v>387.2</v>
      </c>
      <c r="C758" s="52" t="s">
        <v>1057</v>
      </c>
      <c r="D758" s="257">
        <f t="shared" si="207"/>
        <v>0</v>
      </c>
      <c r="E758" s="382">
        <f>ROUND('Plant input detail '!E760*'WPB2.2 Plant detail-w slippage'!$P$2,0)</f>
        <v>0</v>
      </c>
      <c r="F758" s="257">
        <f>ROUND('Plant input detail '!F760*'WPB2.2 Plant detail-w slippage'!$P$2,0)</f>
        <v>0</v>
      </c>
      <c r="G758" s="257">
        <f t="shared" si="214"/>
        <v>0</v>
      </c>
      <c r="H758" s="38"/>
      <c r="I758" s="257">
        <f t="shared" si="208"/>
        <v>-59912.03</v>
      </c>
      <c r="J758" s="1362">
        <f t="shared" si="209"/>
        <v>2.3199999999999998E-2</v>
      </c>
      <c r="K758" s="173">
        <f t="shared" si="210"/>
        <v>0</v>
      </c>
      <c r="L758" s="38">
        <f t="shared" si="211"/>
        <v>0</v>
      </c>
      <c r="M758" s="257">
        <f>ROUND('Plant input detail '!M760*'WPB2.2 Plant detail-w slippage'!$P$2,0)</f>
        <v>0</v>
      </c>
      <c r="N758" s="2227">
        <f t="shared" si="212"/>
        <v>-59912.03</v>
      </c>
    </row>
    <row r="759" spans="1:14" x14ac:dyDescent="0.2">
      <c r="A759" s="127">
        <f t="shared" si="213"/>
        <v>8</v>
      </c>
      <c r="B759" s="123">
        <v>387.41</v>
      </c>
      <c r="C759" s="52" t="s">
        <v>1058</v>
      </c>
      <c r="D759" s="257">
        <f t="shared" si="207"/>
        <v>735770.76</v>
      </c>
      <c r="E759" s="382">
        <f>ROUND('Plant input detail '!E761*'WPB2.2 Plant detail-w slippage'!$P$2,0)</f>
        <v>0</v>
      </c>
      <c r="F759" s="257">
        <f>ROUND('Plant input detail '!F761*'WPB2.2 Plant detail-w slippage'!$P$2,0)</f>
        <v>0</v>
      </c>
      <c r="G759" s="257">
        <f t="shared" si="214"/>
        <v>735770.76</v>
      </c>
      <c r="H759" s="38"/>
      <c r="I759" s="257">
        <f t="shared" si="208"/>
        <v>380317.95</v>
      </c>
      <c r="J759" s="1362">
        <f t="shared" si="209"/>
        <v>2.3400000000000001E-2</v>
      </c>
      <c r="K759" s="173">
        <f t="shared" si="210"/>
        <v>1435</v>
      </c>
      <c r="L759" s="38">
        <f t="shared" si="211"/>
        <v>0</v>
      </c>
      <c r="M759" s="257">
        <f>ROUND('Plant input detail '!M761*'WPB2.2 Plant detail-w slippage'!$P$2,0)</f>
        <v>0</v>
      </c>
      <c r="N759" s="2227">
        <f t="shared" si="212"/>
        <v>381752.95</v>
      </c>
    </row>
    <row r="760" spans="1:14" x14ac:dyDescent="0.2">
      <c r="A760" s="127">
        <f t="shared" si="213"/>
        <v>9</v>
      </c>
      <c r="B760" s="123">
        <v>387.42</v>
      </c>
      <c r="C760" s="52" t="s">
        <v>1059</v>
      </c>
      <c r="D760" s="257">
        <f t="shared" si="207"/>
        <v>795186.58</v>
      </c>
      <c r="E760" s="382">
        <f>ROUND('Plant input detail '!E762*'WPB2.2 Plant detail-w slippage'!$P$2,0)</f>
        <v>0</v>
      </c>
      <c r="F760" s="257">
        <f>ROUND('Plant input detail '!F762*'WPB2.2 Plant detail-w slippage'!$P$2,0)</f>
        <v>0</v>
      </c>
      <c r="G760" s="257">
        <f>SUM(D760:F760)</f>
        <v>795186.58</v>
      </c>
      <c r="H760" s="38"/>
      <c r="I760" s="257">
        <f t="shared" si="208"/>
        <v>546341.94999999995</v>
      </c>
      <c r="J760" s="1362">
        <f t="shared" si="209"/>
        <v>2.3400000000000001E-2</v>
      </c>
      <c r="K760" s="173">
        <f t="shared" si="210"/>
        <v>1551</v>
      </c>
      <c r="L760" s="38">
        <f t="shared" si="211"/>
        <v>0</v>
      </c>
      <c r="M760" s="257">
        <f>ROUND('Plant input detail '!M762*'WPB2.2 Plant detail-w slippage'!$P$2,0)</f>
        <v>0</v>
      </c>
      <c r="N760" s="2227">
        <f t="shared" si="212"/>
        <v>547892.94999999995</v>
      </c>
    </row>
    <row r="761" spans="1:14" x14ac:dyDescent="0.2">
      <c r="A761" s="127">
        <f t="shared" si="213"/>
        <v>10</v>
      </c>
      <c r="B761" s="123">
        <v>387.44</v>
      </c>
      <c r="C761" s="52" t="s">
        <v>1060</v>
      </c>
      <c r="D761" s="257">
        <f t="shared" si="207"/>
        <v>143283.93</v>
      </c>
      <c r="E761" s="382">
        <f>ROUND('Plant input detail '!E763*'WPB2.2 Plant detail-w slippage'!$P$2,0)</f>
        <v>0</v>
      </c>
      <c r="F761" s="257">
        <f>ROUND('Plant input detail '!F763*'WPB2.2 Plant detail-w slippage'!$P$2,0)</f>
        <v>0</v>
      </c>
      <c r="G761" s="257">
        <f>SUM(D761:F761)</f>
        <v>143283.93</v>
      </c>
      <c r="H761" s="38"/>
      <c r="I761" s="257">
        <f t="shared" si="208"/>
        <v>45832.55</v>
      </c>
      <c r="J761" s="1362">
        <f t="shared" si="209"/>
        <v>2.3400000000000001E-2</v>
      </c>
      <c r="K761" s="173">
        <f t="shared" si="210"/>
        <v>279</v>
      </c>
      <c r="L761" s="38">
        <f t="shared" si="211"/>
        <v>0</v>
      </c>
      <c r="M761" s="257">
        <f>ROUND('Plant input detail '!M763*'WPB2.2 Plant detail-w slippage'!$P$2,0)</f>
        <v>0</v>
      </c>
      <c r="N761" s="2227">
        <f t="shared" si="212"/>
        <v>46111.55</v>
      </c>
    </row>
    <row r="762" spans="1:14" x14ac:dyDescent="0.2">
      <c r="A762" s="127">
        <f t="shared" si="213"/>
        <v>11</v>
      </c>
      <c r="B762" s="123">
        <v>387.45</v>
      </c>
      <c r="C762" s="52" t="s">
        <v>1061</v>
      </c>
      <c r="D762" s="257">
        <f t="shared" si="207"/>
        <v>2909068.66</v>
      </c>
      <c r="E762" s="382">
        <f>ROUND('Plant input detail '!E764*'WPB2.2 Plant detail-w slippage'!$P$2,0)</f>
        <v>101260</v>
      </c>
      <c r="F762" s="257">
        <f>ROUND('Plant input detail '!F764*'WPB2.2 Plant detail-w slippage'!$P$2,0)</f>
        <v>-12151</v>
      </c>
      <c r="G762" s="257">
        <f>SUM(D762:F762)</f>
        <v>2998177.66</v>
      </c>
      <c r="H762" s="38"/>
      <c r="I762" s="257">
        <f t="shared" si="208"/>
        <v>557526.06000000006</v>
      </c>
      <c r="J762" s="1362">
        <f t="shared" si="209"/>
        <v>2.3400000000000001E-2</v>
      </c>
      <c r="K762" s="173">
        <f t="shared" si="210"/>
        <v>5760</v>
      </c>
      <c r="L762" s="38">
        <f t="shared" si="211"/>
        <v>12151</v>
      </c>
      <c r="M762" s="257">
        <f>ROUND('Plant input detail '!M764*'WPB2.2 Plant detail-w slippage'!$P$2,0)</f>
        <v>0</v>
      </c>
      <c r="N762" s="2227">
        <f t="shared" si="212"/>
        <v>551135.06000000006</v>
      </c>
    </row>
    <row r="763" spans="1:14" x14ac:dyDescent="0.2">
      <c r="A763" s="127">
        <f t="shared" si="213"/>
        <v>12</v>
      </c>
      <c r="B763" s="123">
        <v>387.46</v>
      </c>
      <c r="C763" s="52" t="s">
        <v>1062</v>
      </c>
      <c r="D763" s="260">
        <f t="shared" si="207"/>
        <v>113644.47</v>
      </c>
      <c r="E763" s="265">
        <f>ROUND('Plant input detail '!E765*'WPB2.2 Plant detail-w slippage'!$P$2,0)</f>
        <v>0</v>
      </c>
      <c r="F763" s="265">
        <f>ROUND('Plant input detail '!F765*'WPB2.2 Plant detail-w slippage'!$P$2,0)</f>
        <v>0</v>
      </c>
      <c r="G763" s="265">
        <f>SUM(D763:F763)</f>
        <v>113644.47</v>
      </c>
      <c r="H763" s="264"/>
      <c r="I763" s="260">
        <f t="shared" si="208"/>
        <v>111344.83</v>
      </c>
      <c r="J763" s="1362">
        <f t="shared" si="209"/>
        <v>2.3400000000000001E-2</v>
      </c>
      <c r="K763" s="260">
        <f t="shared" si="210"/>
        <v>222</v>
      </c>
      <c r="L763" s="295">
        <f t="shared" si="211"/>
        <v>0</v>
      </c>
      <c r="M763" s="265">
        <f>ROUND('Plant input detail '!M765*'WPB2.2 Plant detail-w slippage'!$P$2,0)</f>
        <v>0</v>
      </c>
      <c r="N763" s="2228">
        <f t="shared" si="212"/>
        <v>111566.83</v>
      </c>
    </row>
    <row r="764" spans="1:14" x14ac:dyDescent="0.2">
      <c r="A764" s="127">
        <f t="shared" si="213"/>
        <v>13</v>
      </c>
      <c r="B764" s="252"/>
      <c r="C764" s="32" t="s">
        <v>1063</v>
      </c>
      <c r="D764" s="173">
        <f>SUM(D752:D763,D712:D733)</f>
        <v>402582234.37999994</v>
      </c>
      <c r="E764" s="173">
        <f>SUM(E752:E763,E712:E733)</f>
        <v>2083113</v>
      </c>
      <c r="F764" s="173">
        <f>SUM(F752:F763,F712:F733)</f>
        <v>-249973</v>
      </c>
      <c r="G764" s="173">
        <f>SUM(G752:G763,G712:G733)</f>
        <v>404415374.37999994</v>
      </c>
      <c r="H764" s="38"/>
      <c r="I764" s="173">
        <f>SUM(I752:I763,I712:I733)</f>
        <v>139763653.0768421</v>
      </c>
      <c r="J764" s="173"/>
      <c r="K764" s="173">
        <f>SUM(K752:K763,K712:K733)</f>
        <v>668900.04947368428</v>
      </c>
      <c r="L764" s="173">
        <f>SUM(L752:L763,L712:L733)</f>
        <v>249973</v>
      </c>
      <c r="M764" s="173">
        <f>SUM(M752:M763,M712:M733)</f>
        <v>-61002</v>
      </c>
      <c r="N764" s="1361">
        <f>SUM(N752:N763,N712:N733)</f>
        <v>140121578.12631577</v>
      </c>
    </row>
    <row r="765" spans="1:14" x14ac:dyDescent="0.2">
      <c r="B765" s="252"/>
      <c r="D765" s="38"/>
      <c r="E765" s="173"/>
      <c r="F765" s="173"/>
      <c r="G765" s="38"/>
      <c r="H765" s="38"/>
      <c r="I765" s="181"/>
      <c r="J765" s="173"/>
      <c r="K765" s="173"/>
      <c r="L765" s="38"/>
      <c r="M765" s="173"/>
    </row>
    <row r="766" spans="1:14" x14ac:dyDescent="0.2">
      <c r="A766" s="127">
        <f>A764+1</f>
        <v>14</v>
      </c>
      <c r="B766" s="252"/>
      <c r="C766" s="36" t="s">
        <v>737</v>
      </c>
      <c r="D766" s="38"/>
      <c r="E766" s="173"/>
      <c r="F766" s="173"/>
      <c r="G766" s="38"/>
      <c r="H766" s="38"/>
      <c r="I766" s="181"/>
      <c r="J766" s="173"/>
      <c r="K766" s="173"/>
      <c r="L766" s="38"/>
      <c r="M766" s="173"/>
    </row>
    <row r="767" spans="1:14" x14ac:dyDescent="0.2">
      <c r="A767" s="31">
        <f>A766+1</f>
        <v>15</v>
      </c>
      <c r="B767" s="123">
        <v>391.1</v>
      </c>
      <c r="C767" s="52" t="s">
        <v>1064</v>
      </c>
      <c r="D767" s="257">
        <f t="shared" ref="D767:D780" si="215">G661</f>
        <v>730376.71</v>
      </c>
      <c r="E767" s="382">
        <f>ROUND('Plant input detail '!E769*'WPB2.2 Plant detail-w slippage'!$P$2,0)</f>
        <v>-4800</v>
      </c>
      <c r="F767" s="257">
        <f>ROUND('Plant input detail '!F769*'WPB2.2 Plant detail-w slippage'!$P$2,0)</f>
        <v>576</v>
      </c>
      <c r="G767" s="257">
        <f t="shared" ref="G767:G780" si="216">SUM(D767:F767)</f>
        <v>726152.71</v>
      </c>
      <c r="H767" s="38"/>
      <c r="I767" s="257">
        <f t="shared" ref="I767:I780" si="217">N661</f>
        <v>-64912.22</v>
      </c>
      <c r="J767" s="1362">
        <f t="shared" ref="J767:J780" si="218">J661</f>
        <v>0.05</v>
      </c>
      <c r="K767" s="173">
        <f>ROUND((G767+D767)/2*J767/12,0)</f>
        <v>3034</v>
      </c>
      <c r="L767" s="38">
        <f t="shared" ref="L767:L780" si="219">-F767</f>
        <v>-576</v>
      </c>
      <c r="M767" s="257">
        <f>ROUND('Plant input detail '!M769*'WPB2.2 Plant detail-w slippage'!$P$2,0)</f>
        <v>0</v>
      </c>
      <c r="N767" s="2227">
        <f t="shared" ref="N767:N780" si="220">I767+K767-L767+M767</f>
        <v>-61302.22</v>
      </c>
    </row>
    <row r="768" spans="1:14" x14ac:dyDescent="0.2">
      <c r="A768" s="31">
        <f t="shared" ref="A768:A781" si="221">A767+1</f>
        <v>16</v>
      </c>
      <c r="B768" s="123">
        <v>391.11</v>
      </c>
      <c r="C768" s="52" t="s">
        <v>1065</v>
      </c>
      <c r="D768" s="257">
        <f t="shared" si="215"/>
        <v>18815.57</v>
      </c>
      <c r="E768" s="382">
        <f>ROUND('Plant input detail '!E770*'WPB2.2 Plant detail-w slippage'!$P$2,0)</f>
        <v>0</v>
      </c>
      <c r="F768" s="257">
        <f>ROUND('Plant input detail '!F770*'WPB2.2 Plant detail-w slippage'!$P$2,0)</f>
        <v>0</v>
      </c>
      <c r="G768" s="257">
        <f t="shared" si="216"/>
        <v>18815.57</v>
      </c>
      <c r="H768" s="38"/>
      <c r="I768" s="257">
        <f t="shared" si="217"/>
        <v>-12404.77</v>
      </c>
      <c r="J768" s="1362">
        <f t="shared" si="218"/>
        <v>6.6699999999999995E-2</v>
      </c>
      <c r="K768" s="173">
        <f>ROUND((G768+D768)/2*J768/12,0)</f>
        <v>105</v>
      </c>
      <c r="L768" s="38">
        <f t="shared" si="219"/>
        <v>0</v>
      </c>
      <c r="M768" s="257">
        <f>ROUND('Plant input detail '!M770*'WPB2.2 Plant detail-w slippage'!$P$2,0)</f>
        <v>0</v>
      </c>
      <c r="N768" s="2227">
        <f t="shared" si="220"/>
        <v>-12299.77</v>
      </c>
    </row>
    <row r="769" spans="1:16" x14ac:dyDescent="0.2">
      <c r="A769" s="31">
        <f t="shared" si="221"/>
        <v>17</v>
      </c>
      <c r="B769" s="123">
        <v>391.12</v>
      </c>
      <c r="C769" s="52" t="s">
        <v>1066</v>
      </c>
      <c r="D769" s="257">
        <f t="shared" si="215"/>
        <v>853483.41</v>
      </c>
      <c r="E769" s="382">
        <f>ROUND('Plant input detail '!E771*'WPB2.2 Plant detail-w slippage'!$P$2,0)</f>
        <v>0</v>
      </c>
      <c r="F769" s="257">
        <f>ROUND('Plant input detail '!F771*'WPB2.2 Plant detail-w slippage'!$P$2,0)</f>
        <v>0</v>
      </c>
      <c r="G769" s="257">
        <f t="shared" si="216"/>
        <v>853483.41</v>
      </c>
      <c r="H769" s="38"/>
      <c r="I769" s="257">
        <f t="shared" si="217"/>
        <v>632685.37</v>
      </c>
      <c r="J769" s="1362">
        <f t="shared" si="218"/>
        <v>0.2</v>
      </c>
      <c r="K769" s="173">
        <f>ROUND((G769+D769)/2*J769/12,0)</f>
        <v>14225</v>
      </c>
      <c r="L769" s="38">
        <f t="shared" si="219"/>
        <v>0</v>
      </c>
      <c r="M769" s="257">
        <f>ROUND('Plant input detail '!M771*'WPB2.2 Plant detail-w slippage'!$P$2,0)</f>
        <v>0</v>
      </c>
      <c r="N769" s="2227">
        <f t="shared" si="220"/>
        <v>646910.37</v>
      </c>
    </row>
    <row r="770" spans="1:16" x14ac:dyDescent="0.2">
      <c r="A770" s="31">
        <f t="shared" si="221"/>
        <v>18</v>
      </c>
      <c r="B770" s="123">
        <v>392.2</v>
      </c>
      <c r="C770" s="52" t="s">
        <v>1067</v>
      </c>
      <c r="D770" s="257">
        <f t="shared" si="215"/>
        <v>95778</v>
      </c>
      <c r="E770" s="382">
        <f>ROUND('Plant input detail '!E772*'WPB2.2 Plant detail-w slippage'!$P$2,0)</f>
        <v>0</v>
      </c>
      <c r="F770" s="257">
        <f>ROUND('Plant input detail '!F772*'WPB2.2 Plant detail-w slippage'!$P$2,0)</f>
        <v>0</v>
      </c>
      <c r="G770" s="257">
        <f t="shared" si="216"/>
        <v>95778</v>
      </c>
      <c r="H770" s="38"/>
      <c r="I770" s="257">
        <f t="shared" si="217"/>
        <v>21715.05</v>
      </c>
      <c r="J770" s="1362">
        <f t="shared" si="218"/>
        <v>2.9399999999999999E-2</v>
      </c>
      <c r="K770" s="173">
        <f>ROUND((G770+D770)/2*J770/12,0)</f>
        <v>235</v>
      </c>
      <c r="L770" s="38">
        <f t="shared" si="219"/>
        <v>0</v>
      </c>
      <c r="M770" s="257">
        <f>ROUND('Plant input detail '!M772*'WPB2.2 Plant detail-w slippage'!$P$2,0)</f>
        <v>0</v>
      </c>
      <c r="N770" s="2227">
        <f t="shared" si="220"/>
        <v>21950.05</v>
      </c>
    </row>
    <row r="771" spans="1:16" x14ac:dyDescent="0.2">
      <c r="A771" s="31">
        <f t="shared" si="221"/>
        <v>19</v>
      </c>
      <c r="B771" s="123">
        <v>392.21</v>
      </c>
      <c r="C771" s="52" t="s">
        <v>1068</v>
      </c>
      <c r="D771" s="257">
        <f t="shared" si="215"/>
        <v>24462.2</v>
      </c>
      <c r="E771" s="382">
        <f>ROUND('Plant input detail '!E773*'WPB2.2 Plant detail-w slippage'!$P$2,0)</f>
        <v>0</v>
      </c>
      <c r="F771" s="257">
        <f>ROUND('Plant input detail '!F773*'WPB2.2 Plant detail-w slippage'!$P$2,0)</f>
        <v>0</v>
      </c>
      <c r="G771" s="257">
        <f t="shared" si="216"/>
        <v>24462.2</v>
      </c>
      <c r="H771" s="38"/>
      <c r="I771" s="257">
        <f t="shared" si="217"/>
        <v>4947.3999999999996</v>
      </c>
      <c r="J771" s="1362">
        <f t="shared" si="218"/>
        <v>2.9399999999999999E-2</v>
      </c>
      <c r="K771" s="173">
        <f t="shared" ref="K771:K780" si="222">ROUND((G771+D771)/2*J771/12,0)</f>
        <v>60</v>
      </c>
      <c r="L771" s="38">
        <f t="shared" si="219"/>
        <v>0</v>
      </c>
      <c r="M771" s="257">
        <f>ROUND('Plant input detail '!M773*'WPB2.2 Plant detail-w slippage'!$P$2,0)</f>
        <v>0</v>
      </c>
      <c r="N771" s="2227">
        <f t="shared" si="220"/>
        <v>5007.3999999999996</v>
      </c>
    </row>
    <row r="772" spans="1:16" x14ac:dyDescent="0.2">
      <c r="A772" s="31">
        <f t="shared" si="221"/>
        <v>20</v>
      </c>
      <c r="B772" s="123">
        <v>393</v>
      </c>
      <c r="C772" s="52" t="s">
        <v>1069</v>
      </c>
      <c r="D772" s="257">
        <f t="shared" si="215"/>
        <v>0</v>
      </c>
      <c r="E772" s="382">
        <f>ROUND('Plant input detail '!E774*'WPB2.2 Plant detail-w slippage'!$P$2,0)</f>
        <v>0</v>
      </c>
      <c r="F772" s="257">
        <f>ROUND('Plant input detail '!F774*'WPB2.2 Plant detail-w slippage'!$P$2,0)</f>
        <v>0</v>
      </c>
      <c r="G772" s="257">
        <f t="shared" si="216"/>
        <v>0</v>
      </c>
      <c r="H772" s="38"/>
      <c r="I772" s="257">
        <f t="shared" si="217"/>
        <v>0</v>
      </c>
      <c r="J772" s="1362" t="str">
        <f t="shared" si="218"/>
        <v>Amort.</v>
      </c>
      <c r="K772" s="259">
        <v>0</v>
      </c>
      <c r="L772" s="38">
        <f t="shared" si="219"/>
        <v>0</v>
      </c>
      <c r="M772" s="257">
        <f>ROUND('Plant input detail '!M774*'WPB2.2 Plant detail-w slippage'!$P$2,0)</f>
        <v>0</v>
      </c>
      <c r="N772" s="2227">
        <f t="shared" si="220"/>
        <v>0</v>
      </c>
    </row>
    <row r="773" spans="1:16" x14ac:dyDescent="0.2">
      <c r="A773" s="31">
        <f t="shared" si="221"/>
        <v>21</v>
      </c>
      <c r="B773" s="123">
        <v>394.1</v>
      </c>
      <c r="C773" s="52" t="s">
        <v>1070</v>
      </c>
      <c r="D773" s="257">
        <f t="shared" si="215"/>
        <v>24240.799999999999</v>
      </c>
      <c r="E773" s="382">
        <f>ROUND('Plant input detail '!E775*'WPB2.2 Plant detail-w slippage'!$P$2,0)</f>
        <v>0</v>
      </c>
      <c r="F773" s="257">
        <f>ROUND('Plant input detail '!F775*'WPB2.2 Plant detail-w slippage'!$P$2,0)</f>
        <v>0</v>
      </c>
      <c r="G773" s="257">
        <f t="shared" si="216"/>
        <v>24240.799999999999</v>
      </c>
      <c r="H773" s="38"/>
      <c r="I773" s="257">
        <f t="shared" si="217"/>
        <v>14284.82</v>
      </c>
      <c r="J773" s="1362">
        <f t="shared" si="218"/>
        <v>0.04</v>
      </c>
      <c r="K773" s="173">
        <f t="shared" si="222"/>
        <v>81</v>
      </c>
      <c r="L773" s="38">
        <f t="shared" si="219"/>
        <v>0</v>
      </c>
      <c r="M773" s="257">
        <f>ROUND('Plant input detail '!M775*'WPB2.2 Plant detail-w slippage'!$P$2,0)</f>
        <v>0</v>
      </c>
      <c r="N773" s="2227">
        <f t="shared" si="220"/>
        <v>14365.82</v>
      </c>
    </row>
    <row r="774" spans="1:16" x14ac:dyDescent="0.2">
      <c r="A774" s="31">
        <f t="shared" si="221"/>
        <v>22</v>
      </c>
      <c r="B774" s="123">
        <v>394.11</v>
      </c>
      <c r="C774" s="52" t="s">
        <v>1071</v>
      </c>
      <c r="D774" s="257">
        <f t="shared" si="215"/>
        <v>0</v>
      </c>
      <c r="E774" s="382">
        <f>ROUND('Plant input detail '!E776*'WPB2.2 Plant detail-w slippage'!$P$2,0)</f>
        <v>0</v>
      </c>
      <c r="F774" s="257">
        <f>ROUND('Plant input detail '!F776*'WPB2.2 Plant detail-w slippage'!$P$2,0)</f>
        <v>0</v>
      </c>
      <c r="G774" s="257">
        <f t="shared" si="216"/>
        <v>0</v>
      </c>
      <c r="H774" s="38"/>
      <c r="I774" s="257">
        <f t="shared" si="217"/>
        <v>0</v>
      </c>
      <c r="J774" s="1362">
        <f t="shared" si="218"/>
        <v>0.13769999999999999</v>
      </c>
      <c r="K774" s="259">
        <v>0</v>
      </c>
      <c r="L774" s="38">
        <f t="shared" si="219"/>
        <v>0</v>
      </c>
      <c r="M774" s="257">
        <f>ROUND('Plant input detail '!M776*'WPB2.2 Plant detail-w slippage'!$P$2,0)</f>
        <v>0</v>
      </c>
      <c r="N774" s="2227">
        <f t="shared" si="220"/>
        <v>0</v>
      </c>
    </row>
    <row r="775" spans="1:16" x14ac:dyDescent="0.2">
      <c r="A775" s="31">
        <f t="shared" si="221"/>
        <v>23</v>
      </c>
      <c r="B775" s="123">
        <v>394.13</v>
      </c>
      <c r="C775" s="251" t="s">
        <v>1072</v>
      </c>
      <c r="D775" s="257">
        <f t="shared" si="215"/>
        <v>0</v>
      </c>
      <c r="E775" s="382">
        <f>ROUND('Plant input detail '!E777*'WPB2.2 Plant detail-w slippage'!$P$2,0)</f>
        <v>0</v>
      </c>
      <c r="F775" s="257">
        <f>ROUND('Plant input detail '!F777*'WPB2.2 Plant detail-w slippage'!$P$2,0)</f>
        <v>0</v>
      </c>
      <c r="G775" s="257">
        <f t="shared" si="216"/>
        <v>0</v>
      </c>
      <c r="H775" s="38"/>
      <c r="I775" s="257">
        <f t="shared" si="217"/>
        <v>37937.360000000001</v>
      </c>
      <c r="J775" s="1362" t="str">
        <f t="shared" si="218"/>
        <v>Amort.</v>
      </c>
      <c r="K775" s="173">
        <f t="shared" si="222"/>
        <v>0</v>
      </c>
      <c r="L775" s="38">
        <f t="shared" si="219"/>
        <v>0</v>
      </c>
      <c r="M775" s="257">
        <f>ROUND('Plant input detail '!M777*'WPB2.2 Plant detail-w slippage'!$P$2,0)</f>
        <v>0</v>
      </c>
      <c r="N775" s="2227">
        <f t="shared" si="220"/>
        <v>37937.360000000001</v>
      </c>
    </row>
    <row r="776" spans="1:16" x14ac:dyDescent="0.2">
      <c r="A776" s="31">
        <f t="shared" si="221"/>
        <v>24</v>
      </c>
      <c r="B776" s="123">
        <v>394.2</v>
      </c>
      <c r="C776" s="52" t="s">
        <v>1073</v>
      </c>
      <c r="D776" s="257">
        <f t="shared" si="215"/>
        <v>0</v>
      </c>
      <c r="E776" s="382">
        <f>ROUND('Plant input detail '!E778*'WPB2.2 Plant detail-w slippage'!$P$2,0)</f>
        <v>0</v>
      </c>
      <c r="F776" s="257">
        <f>ROUND('Plant input detail '!F778*'WPB2.2 Plant detail-w slippage'!$P$2,0)</f>
        <v>0</v>
      </c>
      <c r="G776" s="257">
        <f t="shared" si="216"/>
        <v>0</v>
      </c>
      <c r="H776" s="38"/>
      <c r="I776" s="257">
        <f t="shared" si="217"/>
        <v>185.21</v>
      </c>
      <c r="J776" s="1362">
        <f t="shared" si="218"/>
        <v>0.04</v>
      </c>
      <c r="K776" s="173">
        <f t="shared" si="222"/>
        <v>0</v>
      </c>
      <c r="L776" s="38">
        <f t="shared" si="219"/>
        <v>0</v>
      </c>
      <c r="M776" s="257">
        <f>ROUND('Plant input detail '!M778*'WPB2.2 Plant detail-w slippage'!$P$2,0)</f>
        <v>0</v>
      </c>
      <c r="N776" s="2227">
        <f t="shared" si="220"/>
        <v>185.21</v>
      </c>
    </row>
    <row r="777" spans="1:16" x14ac:dyDescent="0.2">
      <c r="A777" s="31">
        <f t="shared" si="221"/>
        <v>25</v>
      </c>
      <c r="B777" s="123">
        <v>394.3</v>
      </c>
      <c r="C777" s="52" t="s">
        <v>1074</v>
      </c>
      <c r="D777" s="257">
        <f t="shared" si="215"/>
        <v>3110581.16</v>
      </c>
      <c r="E777" s="382">
        <f>ROUND('Plant input detail '!E779*'WPB2.2 Plant detail-w slippage'!$P$2,0)</f>
        <v>-2119</v>
      </c>
      <c r="F777" s="257">
        <f>ROUND('Plant input detail '!F779*'WPB2.2 Plant detail-w slippage'!$P$2,0)</f>
        <v>254</v>
      </c>
      <c r="G777" s="257">
        <f t="shared" si="216"/>
        <v>3108716.16</v>
      </c>
      <c r="H777" s="38"/>
      <c r="I777" s="257">
        <f t="shared" si="217"/>
        <v>1243947.1499999999</v>
      </c>
      <c r="J777" s="1362">
        <f t="shared" si="218"/>
        <v>0.04</v>
      </c>
      <c r="K777" s="173">
        <f t="shared" si="222"/>
        <v>10365</v>
      </c>
      <c r="L777" s="38">
        <f t="shared" si="219"/>
        <v>-254</v>
      </c>
      <c r="M777" s="257">
        <f>ROUND('Plant input detail '!M779*'WPB2.2 Plant detail-w slippage'!$P$2,0)</f>
        <v>0</v>
      </c>
      <c r="N777" s="2227">
        <f t="shared" si="220"/>
        <v>1254566.1499999999</v>
      </c>
    </row>
    <row r="778" spans="1:16" x14ac:dyDescent="0.2">
      <c r="A778" s="31">
        <f t="shared" si="221"/>
        <v>26</v>
      </c>
      <c r="B778" s="123">
        <v>395</v>
      </c>
      <c r="C778" s="52" t="s">
        <v>1075</v>
      </c>
      <c r="D778" s="257">
        <f t="shared" si="215"/>
        <v>9257.77</v>
      </c>
      <c r="E778" s="382">
        <f>ROUND('Plant input detail '!E780*'WPB2.2 Plant detail-w slippage'!$P$2,0)</f>
        <v>0</v>
      </c>
      <c r="F778" s="257">
        <f>ROUND('Plant input detail '!F780*'WPB2.2 Plant detail-w slippage'!$P$2,0)</f>
        <v>0</v>
      </c>
      <c r="G778" s="257">
        <f t="shared" si="216"/>
        <v>9257.77</v>
      </c>
      <c r="H778" s="38"/>
      <c r="I778" s="257">
        <f t="shared" si="217"/>
        <v>7373.59</v>
      </c>
      <c r="J778" s="1362">
        <f t="shared" si="218"/>
        <v>0.05</v>
      </c>
      <c r="K778" s="173">
        <f t="shared" si="222"/>
        <v>39</v>
      </c>
      <c r="L778" s="38">
        <f t="shared" si="219"/>
        <v>0</v>
      </c>
      <c r="M778" s="257">
        <f>ROUND('Plant input detail '!M780*'WPB2.2 Plant detail-w slippage'!$P$2,0)</f>
        <v>0</v>
      </c>
      <c r="N778" s="2227">
        <f t="shared" si="220"/>
        <v>7412.59</v>
      </c>
    </row>
    <row r="779" spans="1:16" x14ac:dyDescent="0.2">
      <c r="A779" s="31">
        <f t="shared" si="221"/>
        <v>27</v>
      </c>
      <c r="B779" s="123">
        <v>396</v>
      </c>
      <c r="C779" s="52" t="s">
        <v>1076</v>
      </c>
      <c r="D779" s="257">
        <f t="shared" si="215"/>
        <v>253134.72</v>
      </c>
      <c r="E779" s="382">
        <f>ROUND('Plant input detail '!E781*'WPB2.2 Plant detail-w slippage'!$P$2,0)</f>
        <v>0</v>
      </c>
      <c r="F779" s="257">
        <f>ROUND('Plant input detail '!F781*'WPB2.2 Plant detail-w slippage'!$P$2,0)</f>
        <v>0</v>
      </c>
      <c r="G779" s="257">
        <f t="shared" si="216"/>
        <v>253134.72</v>
      </c>
      <c r="H779" s="38"/>
      <c r="I779" s="257">
        <f t="shared" si="217"/>
        <v>199321.72</v>
      </c>
      <c r="J779" s="1362">
        <f t="shared" si="218"/>
        <v>0</v>
      </c>
      <c r="K779" s="173">
        <f t="shared" si="222"/>
        <v>0</v>
      </c>
      <c r="L779" s="38">
        <f t="shared" si="219"/>
        <v>0</v>
      </c>
      <c r="M779" s="257">
        <f>ROUND('Plant input detail '!M781*'WPB2.2 Plant detail-w slippage'!$P$2,0)</f>
        <v>0</v>
      </c>
      <c r="N779" s="2227">
        <f t="shared" si="220"/>
        <v>199321.72</v>
      </c>
    </row>
    <row r="780" spans="1:16" x14ac:dyDescent="0.2">
      <c r="A780" s="31">
        <f t="shared" si="221"/>
        <v>28</v>
      </c>
      <c r="B780" s="123">
        <v>398</v>
      </c>
      <c r="C780" s="52" t="s">
        <v>1077</v>
      </c>
      <c r="D780" s="260">
        <f t="shared" si="215"/>
        <v>124693.94</v>
      </c>
      <c r="E780" s="265">
        <f>ROUND('Plant input detail '!E782*'WPB2.2 Plant detail-w slippage'!$P$2,0)</f>
        <v>38201</v>
      </c>
      <c r="F780" s="260">
        <f>ROUND('Plant input detail '!F782*'WPB2.2 Plant detail-w slippage'!$P$2,0)</f>
        <v>-4584</v>
      </c>
      <c r="G780" s="260">
        <f t="shared" si="216"/>
        <v>158310.94</v>
      </c>
      <c r="H780" s="264"/>
      <c r="I780" s="260">
        <f t="shared" si="217"/>
        <v>18757.59</v>
      </c>
      <c r="J780" s="1362">
        <f t="shared" si="218"/>
        <v>6.6699999999999995E-2</v>
      </c>
      <c r="K780" s="260">
        <f t="shared" si="222"/>
        <v>787</v>
      </c>
      <c r="L780" s="295">
        <f t="shared" si="219"/>
        <v>4584</v>
      </c>
      <c r="M780" s="260">
        <f>ROUND('Plant input detail '!M782*'WPB2.2 Plant detail-w slippage'!$P$2,0)</f>
        <v>0</v>
      </c>
      <c r="N780" s="2228">
        <f t="shared" si="220"/>
        <v>14960.59</v>
      </c>
    </row>
    <row r="781" spans="1:16" x14ac:dyDescent="0.2">
      <c r="A781" s="31">
        <f t="shared" si="221"/>
        <v>29</v>
      </c>
      <c r="C781" s="32" t="s">
        <v>1078</v>
      </c>
      <c r="D781" s="264">
        <f>SUM(D767:D780)</f>
        <v>5244824.2799999993</v>
      </c>
      <c r="E781" s="176">
        <f>SUM(E767:E780)</f>
        <v>31282</v>
      </c>
      <c r="F781" s="176">
        <f>SUM(F767:F780)</f>
        <v>-3754</v>
      </c>
      <c r="G781" s="264">
        <f>SUM(G767:G780)</f>
        <v>5272352.2799999993</v>
      </c>
      <c r="H781" s="264"/>
      <c r="I781" s="264">
        <f>SUM(I767:I780)</f>
        <v>2103838.27</v>
      </c>
      <c r="J781" s="1359"/>
      <c r="K781" s="176">
        <f>SUM(K767:K780)</f>
        <v>28931</v>
      </c>
      <c r="L781" s="264">
        <f>SUM(L767:L780)</f>
        <v>3754</v>
      </c>
      <c r="M781" s="176">
        <f>SUM(M767:M780)</f>
        <v>0</v>
      </c>
      <c r="N781" s="1359">
        <f>SUM(N767:N780)</f>
        <v>2129015.27</v>
      </c>
    </row>
    <row r="782" spans="1:16" x14ac:dyDescent="0.2">
      <c r="D782" s="38"/>
      <c r="E782" s="173"/>
      <c r="F782" s="173"/>
      <c r="G782" s="38"/>
      <c r="H782" s="38"/>
      <c r="I782" s="173"/>
      <c r="J782" s="1361"/>
      <c r="K782" s="173"/>
      <c r="L782" s="38"/>
      <c r="M782" s="173"/>
    </row>
    <row r="783" spans="1:16" x14ac:dyDescent="0.2">
      <c r="A783" s="1805">
        <f>A781+1</f>
        <v>30</v>
      </c>
      <c r="B783" s="252"/>
      <c r="C783" s="36" t="s">
        <v>2287</v>
      </c>
      <c r="D783" s="38"/>
      <c r="E783" s="173"/>
      <c r="F783" s="173"/>
      <c r="G783" s="38"/>
      <c r="H783" s="38"/>
      <c r="I783" s="181"/>
      <c r="J783" s="173"/>
      <c r="K783" s="173"/>
      <c r="L783" s="38"/>
      <c r="M783" s="173"/>
      <c r="P783" s="279"/>
    </row>
    <row r="784" spans="1:16" x14ac:dyDescent="0.2">
      <c r="A784" s="31">
        <f>A783+1</f>
        <v>31</v>
      </c>
      <c r="B784" s="123">
        <v>378.21</v>
      </c>
      <c r="C784" s="52" t="s">
        <v>2244</v>
      </c>
      <c r="D784" s="257">
        <f>G678</f>
        <v>-777092</v>
      </c>
      <c r="E784" s="382">
        <f>ROUND('Plant input detail '!E786*'WPB2.2 Plant detail-w slippage'!$P$2,0)</f>
        <v>0</v>
      </c>
      <c r="F784" s="257">
        <f>ROUND('Plant input detail '!F786*'WPB2.2 Plant detail-w slippage'!$P$2,0)</f>
        <v>0</v>
      </c>
      <c r="G784" s="257">
        <f t="shared" ref="G784" si="223">SUM(D784:F784)</f>
        <v>-777092</v>
      </c>
      <c r="H784" s="264"/>
      <c r="I784" s="257">
        <f>N678</f>
        <v>-33760.696666666656</v>
      </c>
      <c r="J784" s="296" t="s">
        <v>1094</v>
      </c>
      <c r="K784" s="1334">
        <v>-2158.5833333333321</v>
      </c>
      <c r="L784" s="38">
        <f t="shared" ref="L784" si="224">-F784</f>
        <v>0</v>
      </c>
      <c r="M784" s="257">
        <f>ROUND('Plant input detail '!M786*'WPB2.2 Plant detail-w slippage'!$P$2,0)</f>
        <v>0</v>
      </c>
      <c r="N784" s="2227">
        <f t="shared" ref="N784" si="225">I784+K784-L784+M784</f>
        <v>-35919.279999999984</v>
      </c>
      <c r="O784" s="292"/>
    </row>
    <row r="785" spans="1:14" x14ac:dyDescent="0.2">
      <c r="A785" s="1723"/>
      <c r="D785" s="38"/>
      <c r="E785" s="173"/>
      <c r="F785" s="173"/>
      <c r="G785" s="38"/>
      <c r="H785" s="38"/>
      <c r="I785" s="173"/>
      <c r="J785" s="1361"/>
      <c r="K785" s="173"/>
      <c r="L785" s="38"/>
      <c r="M785" s="173"/>
    </row>
    <row r="786" spans="1:14" x14ac:dyDescent="0.2">
      <c r="A786" s="31">
        <f>A784+1</f>
        <v>32</v>
      </c>
      <c r="C786" s="32" t="s">
        <v>774</v>
      </c>
      <c r="D786" s="40">
        <f>D781+D764+D709+D705+D784</f>
        <v>413147046.36999989</v>
      </c>
      <c r="E786" s="40">
        <f>E781+E764+E709+E705+E784</f>
        <v>2316514</v>
      </c>
      <c r="F786" s="40">
        <f>F781+F764+F709+F705+F784</f>
        <v>-253727</v>
      </c>
      <c r="G786" s="40">
        <f>G781+G764+G709+G705+G784</f>
        <v>415209833.36999989</v>
      </c>
      <c r="H786" s="38"/>
      <c r="I786" s="40">
        <f>I781+I764+I709+I705+I784</f>
        <v>144453173.76071918</v>
      </c>
      <c r="J786" s="1363"/>
      <c r="K786" s="40">
        <f>K781+K764+K709+K705+K784</f>
        <v>773125.63341046078</v>
      </c>
      <c r="L786" s="40">
        <f>L781+L764+L709+L705+L784</f>
        <v>253727</v>
      </c>
      <c r="M786" s="40">
        <f>M781+M764+M709+M705+M784</f>
        <v>-61002</v>
      </c>
      <c r="N786" s="1363">
        <f>N781+N764+N709+N705+N784</f>
        <v>144911570.39412963</v>
      </c>
    </row>
    <row r="788" spans="1:14" x14ac:dyDescent="0.2">
      <c r="A788" s="2079" t="str">
        <f>co</f>
        <v>COLUMBIA GAS OF KENTUCKY, INC.</v>
      </c>
      <c r="B788" s="2079"/>
      <c r="C788" s="2079"/>
      <c r="D788" s="2079"/>
      <c r="E788" s="2079"/>
      <c r="F788" s="2079"/>
      <c r="G788" s="2079"/>
      <c r="H788" s="2079"/>
      <c r="I788" s="2079"/>
      <c r="J788" s="2079"/>
      <c r="K788" s="2079"/>
      <c r="L788" s="2079"/>
      <c r="M788" s="2079"/>
      <c r="N788" s="2079"/>
    </row>
    <row r="789" spans="1:14" x14ac:dyDescent="0.2">
      <c r="A789" s="2079" t="str">
        <f>case</f>
        <v>CASE NO. 2016 - 00162</v>
      </c>
      <c r="B789" s="2079"/>
      <c r="C789" s="2079"/>
      <c r="D789" s="2079"/>
      <c r="E789" s="2079"/>
      <c r="F789" s="2079"/>
      <c r="G789" s="2079"/>
      <c r="H789" s="2079"/>
      <c r="I789" s="2079"/>
      <c r="J789" s="2079"/>
      <c r="K789" s="2079"/>
      <c r="L789" s="2079"/>
      <c r="M789" s="2079"/>
      <c r="N789" s="2079"/>
    </row>
    <row r="790" spans="1:14" x14ac:dyDescent="0.2">
      <c r="A790" s="2080" t="s">
        <v>1106</v>
      </c>
      <c r="B790" s="2079"/>
      <c r="C790" s="2079"/>
      <c r="D790" s="2079"/>
      <c r="E790" s="2079"/>
      <c r="F790" s="2079"/>
      <c r="G790" s="2079"/>
      <c r="H790" s="2079"/>
      <c r="I790" s="2079"/>
      <c r="J790" s="2079"/>
      <c r="K790" s="2079"/>
      <c r="L790" s="2079"/>
      <c r="M790" s="2079"/>
      <c r="N790" s="2079"/>
    </row>
    <row r="791" spans="1:14" x14ac:dyDescent="0.2">
      <c r="A791" s="2081" t="s">
        <v>2142</v>
      </c>
      <c r="B791" s="2085"/>
      <c r="C791" s="2085"/>
      <c r="D791" s="2085"/>
      <c r="E791" s="2085"/>
      <c r="F791" s="2085"/>
      <c r="G791" s="2085"/>
      <c r="H791" s="2085"/>
      <c r="I791" s="2085"/>
      <c r="J791" s="2085"/>
      <c r="K791" s="2085"/>
      <c r="L791" s="2085"/>
      <c r="M791" s="2085"/>
      <c r="N791" s="2085"/>
    </row>
    <row r="793" spans="1:14" x14ac:dyDescent="0.2">
      <c r="A793" s="285" t="str">
        <f>$A$6</f>
        <v>DATA:__X___BASE PERIOD__X___FORECASTED PERIOD</v>
      </c>
      <c r="C793" s="171"/>
      <c r="I793" s="32"/>
      <c r="N793" s="1258" t="str">
        <f>$N$6</f>
        <v>WPB-2.2</v>
      </c>
    </row>
    <row r="794" spans="1:14" x14ac:dyDescent="0.2">
      <c r="A794" s="4" t="str">
        <f>$A$7</f>
        <v>TYPE OF FILING:___X____ORIGINAL________UPDATED</v>
      </c>
      <c r="I794" s="32"/>
      <c r="N794" s="2223" t="s">
        <v>1728</v>
      </c>
    </row>
    <row r="795" spans="1:14" x14ac:dyDescent="0.2">
      <c r="A795" s="1261" t="str">
        <f>$A$8</f>
        <v xml:space="preserve">WORKPAPER REFERENCE NO(S).: </v>
      </c>
      <c r="B795" s="202"/>
      <c r="C795" s="202"/>
      <c r="D795" s="201"/>
      <c r="E795" s="202"/>
      <c r="F795" s="202"/>
      <c r="G795" s="201"/>
      <c r="H795" s="201"/>
      <c r="I795" s="203"/>
      <c r="L795" s="32"/>
      <c r="M795" s="32"/>
      <c r="N795" s="204" t="str">
        <f>SMK</f>
        <v>WITNESS:  S. M. KATKO</v>
      </c>
    </row>
    <row r="796" spans="1:14" x14ac:dyDescent="0.2">
      <c r="A796" s="200"/>
      <c r="B796" s="201"/>
      <c r="C796" s="201"/>
      <c r="D796" s="201"/>
      <c r="E796" s="202"/>
      <c r="F796" s="202"/>
      <c r="G796" s="201"/>
      <c r="H796" s="201"/>
      <c r="I796" s="203"/>
      <c r="J796" s="1357"/>
      <c r="L796" s="32"/>
      <c r="M796" s="32"/>
    </row>
    <row r="797" spans="1:14" x14ac:dyDescent="0.2">
      <c r="A797" s="200"/>
      <c r="B797" s="201"/>
      <c r="C797" s="201"/>
      <c r="D797" s="2082" t="s">
        <v>1088</v>
      </c>
      <c r="E797" s="2082"/>
      <c r="F797" s="2082"/>
      <c r="G797" s="2082"/>
      <c r="H797" s="201"/>
      <c r="I797" s="2083" t="s">
        <v>1093</v>
      </c>
      <c r="J797" s="2084"/>
      <c r="K797" s="2084"/>
      <c r="L797" s="2084"/>
      <c r="M797" s="2084"/>
      <c r="N797" s="2084"/>
    </row>
    <row r="798" spans="1:14" x14ac:dyDescent="0.2">
      <c r="A798" s="270"/>
      <c r="B798" s="201"/>
      <c r="C798" s="201"/>
      <c r="D798" s="271" t="s">
        <v>1084</v>
      </c>
      <c r="E798" s="202"/>
      <c r="F798" s="202"/>
      <c r="G798" s="269"/>
      <c r="H798" s="269"/>
      <c r="I798" s="261" t="s">
        <v>1089</v>
      </c>
      <c r="J798" s="1358"/>
      <c r="M798" s="32"/>
    </row>
    <row r="799" spans="1:14" x14ac:dyDescent="0.2">
      <c r="A799" s="30"/>
      <c r="D799" s="261" t="s">
        <v>865</v>
      </c>
      <c r="G799" s="261" t="s">
        <v>867</v>
      </c>
      <c r="H799" s="268"/>
      <c r="I799" s="261" t="s">
        <v>865</v>
      </c>
      <c r="J799" s="1308" t="s">
        <v>956</v>
      </c>
      <c r="M799" s="32"/>
      <c r="N799" s="2225" t="s">
        <v>867</v>
      </c>
    </row>
    <row r="800" spans="1:14" x14ac:dyDescent="0.2">
      <c r="A800" s="261" t="s">
        <v>1080</v>
      </c>
      <c r="B800" s="261" t="s">
        <v>1082</v>
      </c>
      <c r="D800" s="261" t="s">
        <v>867</v>
      </c>
      <c r="G800" s="262" t="s">
        <v>1087</v>
      </c>
      <c r="H800" s="268"/>
      <c r="I800" s="262" t="s">
        <v>867</v>
      </c>
      <c r="J800" s="1308" t="s">
        <v>1090</v>
      </c>
      <c r="K800" s="1308" t="s">
        <v>956</v>
      </c>
      <c r="M800" s="262" t="s">
        <v>1092</v>
      </c>
      <c r="N800" s="1259" t="s">
        <v>1087</v>
      </c>
    </row>
    <row r="801" spans="1:14" x14ac:dyDescent="0.2">
      <c r="A801" s="272" t="s">
        <v>1081</v>
      </c>
      <c r="B801" s="272" t="s">
        <v>1081</v>
      </c>
      <c r="C801" s="273" t="s">
        <v>1083</v>
      </c>
      <c r="D801" s="298" t="str">
        <f>"09/30/2016"</f>
        <v>09/30/2016</v>
      </c>
      <c r="E801" s="275" t="s">
        <v>1085</v>
      </c>
      <c r="F801" s="275" t="s">
        <v>1086</v>
      </c>
      <c r="G801" s="298" t="str">
        <f>"10/31/2016"</f>
        <v>10/31/2016</v>
      </c>
      <c r="H801" s="268"/>
      <c r="I801" s="274" t="str">
        <f>D801</f>
        <v>09/30/2016</v>
      </c>
      <c r="J801" s="275" t="s">
        <v>1091</v>
      </c>
      <c r="K801" s="1327" t="s">
        <v>1090</v>
      </c>
      <c r="L801" s="276" t="s">
        <v>1086</v>
      </c>
      <c r="M801" s="276" t="s">
        <v>955</v>
      </c>
      <c r="N801" s="2226" t="str">
        <f>G801</f>
        <v>10/31/2016</v>
      </c>
    </row>
    <row r="802" spans="1:14" x14ac:dyDescent="0.2">
      <c r="A802" s="267"/>
      <c r="B802" s="267"/>
      <c r="C802" s="267"/>
      <c r="D802" s="267" t="str">
        <f>"(1)"</f>
        <v>(1)</v>
      </c>
      <c r="E802" s="267" t="str">
        <f>"(2)"</f>
        <v>(2)</v>
      </c>
      <c r="F802" s="267" t="str">
        <f>"(3)"</f>
        <v>(3)</v>
      </c>
      <c r="G802" s="267" t="str">
        <f>"(4)=(1+2+3)"</f>
        <v>(4)=(1+2+3)</v>
      </c>
      <c r="H802" s="267"/>
      <c r="I802" s="267" t="str">
        <f>"(5)"</f>
        <v>(5)</v>
      </c>
      <c r="J802" s="1328" t="str">
        <f>"(6)"</f>
        <v>(6)</v>
      </c>
      <c r="K802" s="1328" t="str">
        <f>"(7)=((1+4)/2*6/12))"</f>
        <v>(7)=((1+4)/2*6/12))</v>
      </c>
      <c r="L802" s="267" t="str">
        <f>"(8)"</f>
        <v>(8)</v>
      </c>
      <c r="M802" s="267" t="str">
        <f>"(9)"</f>
        <v>(9)</v>
      </c>
      <c r="N802" s="204" t="str">
        <f>"(10)=(5+7-8+9)"</f>
        <v>(10)=(5+7-8+9)</v>
      </c>
    </row>
    <row r="803" spans="1:14" x14ac:dyDescent="0.2">
      <c r="D803" s="31" t="s">
        <v>639</v>
      </c>
      <c r="E803" s="170" t="s">
        <v>639</v>
      </c>
      <c r="F803" s="170" t="s">
        <v>639</v>
      </c>
      <c r="G803" s="31" t="s">
        <v>639</v>
      </c>
      <c r="H803" s="31"/>
      <c r="I803" s="31" t="s">
        <v>639</v>
      </c>
      <c r="J803" s="170" t="s">
        <v>639</v>
      </c>
      <c r="K803" s="170" t="s">
        <v>639</v>
      </c>
      <c r="L803" s="31" t="s">
        <v>639</v>
      </c>
      <c r="M803" s="31" t="s">
        <v>639</v>
      </c>
      <c r="N803" s="155" t="s">
        <v>639</v>
      </c>
    </row>
    <row r="804" spans="1:14" x14ac:dyDescent="0.2">
      <c r="A804" s="31">
        <v>1</v>
      </c>
      <c r="B804" s="36" t="s">
        <v>1025</v>
      </c>
      <c r="C804" s="34"/>
      <c r="M804" s="32"/>
    </row>
    <row r="805" spans="1:14" x14ac:dyDescent="0.2">
      <c r="A805" s="31">
        <f>A804+1</f>
        <v>2</v>
      </c>
      <c r="C805" s="36" t="s">
        <v>697</v>
      </c>
      <c r="M805" s="32"/>
    </row>
    <row r="806" spans="1:14" x14ac:dyDescent="0.2">
      <c r="A806" s="31">
        <f t="shared" ref="A806:A811" si="226">A805+1</f>
        <v>3</v>
      </c>
      <c r="B806" s="253">
        <v>301</v>
      </c>
      <c r="C806" s="52" t="s">
        <v>1026</v>
      </c>
      <c r="D806" s="257">
        <f>G700</f>
        <v>521.20000000000005</v>
      </c>
      <c r="E806" s="382">
        <f>ROUND('Plant input detail '!E808*'WPB2.2 Plant detail-w slippage'!$P$2,0)</f>
        <v>0</v>
      </c>
      <c r="F806" s="257">
        <f>ROUND('Plant input detail '!F808*'WPB2.2 Plant detail-w slippage'!$P$2,0)</f>
        <v>0</v>
      </c>
      <c r="G806" s="257">
        <f>SUM(D806:F806)</f>
        <v>521.20000000000005</v>
      </c>
      <c r="H806" s="38"/>
      <c r="I806" s="257">
        <f>N700</f>
        <v>0</v>
      </c>
      <c r="J806" s="296" t="s">
        <v>1094</v>
      </c>
      <c r="K806" s="258">
        <v>0</v>
      </c>
      <c r="L806" s="38">
        <f>-F806</f>
        <v>0</v>
      </c>
      <c r="M806" s="259">
        <v>0</v>
      </c>
      <c r="N806" s="2227">
        <f>I806+K806-L806+M806</f>
        <v>0</v>
      </c>
    </row>
    <row r="807" spans="1:14" x14ac:dyDescent="0.2">
      <c r="A807" s="31">
        <f t="shared" si="226"/>
        <v>4</v>
      </c>
      <c r="B807" s="253">
        <v>303</v>
      </c>
      <c r="C807" s="52" t="s">
        <v>1027</v>
      </c>
      <c r="D807" s="257">
        <f>G701</f>
        <v>74347.509999999995</v>
      </c>
      <c r="E807" s="382">
        <f>ROUND('Plant input detail '!E809*'WPB2.2 Plant detail-w slippage'!$P$2,0)</f>
        <v>0</v>
      </c>
      <c r="F807" s="257">
        <f>ROUND('Plant input detail '!F809*'WPB2.2 Plant detail-w slippage'!$P$2,0)</f>
        <v>0</v>
      </c>
      <c r="G807" s="257">
        <f>SUM(D807:F807)</f>
        <v>74347.509999999995</v>
      </c>
      <c r="H807" s="38"/>
      <c r="I807" s="257">
        <f>N701</f>
        <v>47245.069999999978</v>
      </c>
      <c r="J807" s="296" t="s">
        <v>1094</v>
      </c>
      <c r="K807" s="382">
        <f>'WPB2.2a Intan Amort. w slippage'!O$19</f>
        <v>206.52</v>
      </c>
      <c r="L807" s="38">
        <f>-F807</f>
        <v>0</v>
      </c>
      <c r="M807" s="259">
        <v>0</v>
      </c>
      <c r="N807" s="2227">
        <f>I807+K807-L807+M807</f>
        <v>47451.589999999975</v>
      </c>
    </row>
    <row r="808" spans="1:14" x14ac:dyDescent="0.2">
      <c r="A808" s="31">
        <f t="shared" si="226"/>
        <v>5</v>
      </c>
      <c r="B808" s="253">
        <v>303.10000000000002</v>
      </c>
      <c r="C808" s="52" t="s">
        <v>1028</v>
      </c>
      <c r="D808" s="257">
        <f>G702</f>
        <v>0</v>
      </c>
      <c r="E808" s="382">
        <f>ROUND('Plant input detail '!E810*'WPB2.2 Plant detail-w slippage'!$P$2,0)</f>
        <v>0</v>
      </c>
      <c r="F808" s="257">
        <f>ROUND('Plant input detail '!F810*'WPB2.2 Plant detail-w slippage'!$P$2,0)</f>
        <v>0</v>
      </c>
      <c r="G808" s="257">
        <f>SUM(D808:F808)</f>
        <v>0</v>
      </c>
      <c r="H808" s="38"/>
      <c r="I808" s="257">
        <f>N702</f>
        <v>0</v>
      </c>
      <c r="J808" s="296" t="s">
        <v>1094</v>
      </c>
      <c r="K808" s="258">
        <v>0</v>
      </c>
      <c r="L808" s="38">
        <f>-F808</f>
        <v>0</v>
      </c>
      <c r="M808" s="259">
        <v>0</v>
      </c>
      <c r="N808" s="2227">
        <f>I808+K808-L808+M808</f>
        <v>0</v>
      </c>
    </row>
    <row r="809" spans="1:14" x14ac:dyDescent="0.2">
      <c r="A809" s="31">
        <f t="shared" si="226"/>
        <v>6</v>
      </c>
      <c r="B809" s="253">
        <v>303.2</v>
      </c>
      <c r="C809" s="52" t="s">
        <v>1029</v>
      </c>
      <c r="D809" s="257">
        <f>G703</f>
        <v>0</v>
      </c>
      <c r="E809" s="382">
        <f>ROUND('Plant input detail '!E811*'WPB2.2 Plant detail-w slippage'!$P$2,0)</f>
        <v>0</v>
      </c>
      <c r="F809" s="257">
        <f>ROUND('Plant input detail '!F811*'WPB2.2 Plant detail-w slippage'!$P$2,0)</f>
        <v>0</v>
      </c>
      <c r="G809" s="257">
        <f>SUM(D809:F809)</f>
        <v>0</v>
      </c>
      <c r="H809" s="38"/>
      <c r="I809" s="257">
        <f>N703</f>
        <v>0</v>
      </c>
      <c r="J809" s="296" t="s">
        <v>1094</v>
      </c>
      <c r="K809" s="258">
        <v>0</v>
      </c>
      <c r="L809" s="38">
        <f>-F809</f>
        <v>0</v>
      </c>
      <c r="M809" s="259">
        <v>0</v>
      </c>
      <c r="N809" s="2227">
        <f>I809+K809-L809+M809</f>
        <v>0</v>
      </c>
    </row>
    <row r="810" spans="1:14" x14ac:dyDescent="0.2">
      <c r="A810" s="31">
        <f t="shared" si="226"/>
        <v>7</v>
      </c>
      <c r="B810" s="253">
        <v>303.3</v>
      </c>
      <c r="C810" s="52" t="s">
        <v>1030</v>
      </c>
      <c r="D810" s="260">
        <f>G704</f>
        <v>6224330</v>
      </c>
      <c r="E810" s="265">
        <f>ROUND('Plant input detail '!E812*'WPB2.2 Plant detail-w slippage'!$P$2,0)</f>
        <v>202119</v>
      </c>
      <c r="F810" s="265">
        <f>ROUND('Plant input detail '!F812*'WPB2.2 Plant detail-w slippage'!$P$2,0)</f>
        <v>0</v>
      </c>
      <c r="G810" s="260">
        <f>SUM(D810:F810)</f>
        <v>6426449</v>
      </c>
      <c r="H810" s="38"/>
      <c r="I810" s="260">
        <f>N704</f>
        <v>2649651.2078138469</v>
      </c>
      <c r="J810" s="296" t="s">
        <v>1094</v>
      </c>
      <c r="K810" s="265">
        <f>'WPB2.2a Intan Amort. w slippage'!O$104</f>
        <v>78835.101116263686</v>
      </c>
      <c r="L810" s="295">
        <f>-F810</f>
        <v>0</v>
      </c>
      <c r="M810" s="263">
        <v>0</v>
      </c>
      <c r="N810" s="2228">
        <f>I810+K810-L810+M810</f>
        <v>2728486.3089301107</v>
      </c>
    </row>
    <row r="811" spans="1:14" x14ac:dyDescent="0.2">
      <c r="A811" s="31">
        <f t="shared" si="226"/>
        <v>8</v>
      </c>
      <c r="B811" s="253"/>
      <c r="C811" s="52" t="s">
        <v>1031</v>
      </c>
      <c r="D811" s="38">
        <f>SUM(D806:D810)</f>
        <v>6299198.71</v>
      </c>
      <c r="E811" s="173">
        <f>SUM(E806:E810)</f>
        <v>202119</v>
      </c>
      <c r="F811" s="173">
        <f>SUM(F806:F810)</f>
        <v>0</v>
      </c>
      <c r="G811" s="38">
        <f>SUM(G806:G810)</f>
        <v>6501317.71</v>
      </c>
      <c r="H811" s="38"/>
      <c r="I811" s="38">
        <f>SUM(I806:I810)</f>
        <v>2696896.2778138467</v>
      </c>
      <c r="J811" s="1359"/>
      <c r="K811" s="173">
        <f>SUM(K806:K810)</f>
        <v>79041.62111626369</v>
      </c>
      <c r="L811" s="38">
        <f>SUM(L806:L810)</f>
        <v>0</v>
      </c>
      <c r="M811" s="173">
        <f>SUM(M806:M810)</f>
        <v>0</v>
      </c>
      <c r="N811" s="1361">
        <f>SUM(N806:N810)</f>
        <v>2775937.8989301105</v>
      </c>
    </row>
    <row r="812" spans="1:14" x14ac:dyDescent="0.2">
      <c r="B812" s="254"/>
      <c r="D812" s="38"/>
      <c r="E812" s="173"/>
      <c r="F812" s="173"/>
      <c r="G812" s="38"/>
      <c r="H812" s="38"/>
      <c r="I812" s="38"/>
      <c r="J812" s="1359"/>
      <c r="K812" s="173"/>
      <c r="L812" s="38"/>
      <c r="M812" s="173"/>
    </row>
    <row r="813" spans="1:14" x14ac:dyDescent="0.2">
      <c r="A813" s="31">
        <f>A811+1</f>
        <v>9</v>
      </c>
      <c r="B813" s="254"/>
      <c r="C813" s="36" t="s">
        <v>704</v>
      </c>
      <c r="D813" s="38"/>
      <c r="E813" s="173"/>
      <c r="F813" s="173"/>
      <c r="G813" s="38"/>
      <c r="H813" s="38"/>
      <c r="I813" s="38"/>
      <c r="J813" s="1359"/>
      <c r="K813" s="173"/>
      <c r="L813" s="38"/>
      <c r="M813" s="173"/>
    </row>
    <row r="814" spans="1:14" x14ac:dyDescent="0.2">
      <c r="A814" s="31">
        <f>A813+1</f>
        <v>10</v>
      </c>
      <c r="B814" s="255">
        <v>304.10000000000002</v>
      </c>
      <c r="C814" s="41" t="s">
        <v>1032</v>
      </c>
      <c r="D814" s="260">
        <f>G708</f>
        <v>0</v>
      </c>
      <c r="E814" s="265">
        <f>ROUND('Plant input detail '!E816*'WPB2.2 Plant detail-w slippage'!$P$2,0)</f>
        <v>0</v>
      </c>
      <c r="F814" s="265">
        <f>ROUND('Plant input detail '!F816*'WPB2.2 Plant detail-w slippage'!$P$2,0)</f>
        <v>0</v>
      </c>
      <c r="G814" s="260">
        <f>SUM(D814:F814)</f>
        <v>0</v>
      </c>
      <c r="H814" s="38"/>
      <c r="I814" s="260">
        <f>N708</f>
        <v>0</v>
      </c>
      <c r="J814" s="1360" t="s">
        <v>1102</v>
      </c>
      <c r="K814" s="266">
        <v>0</v>
      </c>
      <c r="L814" s="295">
        <f>-F814</f>
        <v>0</v>
      </c>
      <c r="M814" s="263">
        <v>0</v>
      </c>
      <c r="N814" s="2228">
        <f>I814+K814-L814+M814</f>
        <v>0</v>
      </c>
    </row>
    <row r="815" spans="1:14" x14ac:dyDescent="0.2">
      <c r="A815" s="31">
        <f>A814+1</f>
        <v>11</v>
      </c>
      <c r="B815" s="255"/>
      <c r="C815" s="256" t="s">
        <v>1079</v>
      </c>
      <c r="D815" s="38">
        <f>D814</f>
        <v>0</v>
      </c>
      <c r="E815" s="173">
        <f>E814</f>
        <v>0</v>
      </c>
      <c r="F815" s="173">
        <f>F814</f>
        <v>0</v>
      </c>
      <c r="G815" s="38">
        <f>G814</f>
        <v>0</v>
      </c>
      <c r="H815" s="38"/>
      <c r="I815" s="38">
        <f>I814</f>
        <v>0</v>
      </c>
      <c r="J815" s="1361"/>
      <c r="K815" s="173">
        <f>SUM(K814)</f>
        <v>0</v>
      </c>
      <c r="L815" s="38">
        <f>SUM(L814)</f>
        <v>0</v>
      </c>
      <c r="M815" s="173">
        <f>M814</f>
        <v>0</v>
      </c>
      <c r="N815" s="1361">
        <f>N814</f>
        <v>0</v>
      </c>
    </row>
    <row r="816" spans="1:14" x14ac:dyDescent="0.2">
      <c r="B816" s="254"/>
      <c r="D816" s="38"/>
      <c r="E816" s="173"/>
      <c r="F816" s="173"/>
      <c r="G816" s="38"/>
      <c r="H816" s="38"/>
      <c r="I816" s="38"/>
      <c r="J816" s="1361"/>
      <c r="K816" s="173"/>
      <c r="L816" s="38"/>
      <c r="M816" s="173"/>
    </row>
    <row r="817" spans="1:14" x14ac:dyDescent="0.2">
      <c r="A817" s="31">
        <f>A815+1</f>
        <v>12</v>
      </c>
      <c r="B817" s="254"/>
      <c r="C817" s="36" t="s">
        <v>707</v>
      </c>
      <c r="D817" s="38"/>
      <c r="E817" s="173"/>
      <c r="F817" s="173"/>
      <c r="G817" s="38"/>
      <c r="H817" s="38"/>
      <c r="I817" s="38"/>
      <c r="J817" s="1361"/>
      <c r="K817" s="173"/>
      <c r="L817" s="38"/>
      <c r="M817" s="173"/>
    </row>
    <row r="818" spans="1:14" x14ac:dyDescent="0.2">
      <c r="A818" s="31">
        <f>A817+1</f>
        <v>13</v>
      </c>
      <c r="B818" s="253">
        <v>374.1</v>
      </c>
      <c r="C818" s="52" t="s">
        <v>1035</v>
      </c>
      <c r="D818" s="257">
        <f t="shared" ref="D818:D828" si="227">G712</f>
        <v>206</v>
      </c>
      <c r="E818" s="382">
        <f>ROUND('Plant input detail '!E820*'WPB2.2 Plant detail-w slippage'!$P$2,0)</f>
        <v>0</v>
      </c>
      <c r="F818" s="257">
        <f>ROUND('Plant input detail '!F820*'WPB2.2 Plant detail-w slippage'!$P$2,0)</f>
        <v>0</v>
      </c>
      <c r="G818" s="257">
        <f>SUM(D818:F818)</f>
        <v>206</v>
      </c>
      <c r="H818" s="38"/>
      <c r="I818" s="257">
        <f t="shared" ref="I818:I828" si="228">N712</f>
        <v>0</v>
      </c>
      <c r="J818" s="1360" t="s">
        <v>1102</v>
      </c>
      <c r="K818" s="259">
        <v>0</v>
      </c>
      <c r="L818" s="38">
        <f t="shared" ref="L818:L828" si="229">-F818</f>
        <v>0</v>
      </c>
      <c r="M818" s="257">
        <f>ROUND('Plant input detail '!M820*'WPB2.2 Plant detail-w slippage'!$P$2,0)</f>
        <v>0</v>
      </c>
      <c r="N818" s="2227">
        <f t="shared" ref="N818:N828" si="230">I818+K818-L818+M818</f>
        <v>0</v>
      </c>
    </row>
    <row r="819" spans="1:14" x14ac:dyDescent="0.2">
      <c r="A819" s="31">
        <f t="shared" ref="A819:A839" si="231">A818+1</f>
        <v>14</v>
      </c>
      <c r="B819" s="253">
        <v>374.2</v>
      </c>
      <c r="C819" s="52" t="s">
        <v>1036</v>
      </c>
      <c r="D819" s="257">
        <f t="shared" si="227"/>
        <v>877756.18</v>
      </c>
      <c r="E819" s="382">
        <f>ROUND('Plant input detail '!E821*'WPB2.2 Plant detail-w slippage'!$P$2,0)</f>
        <v>0</v>
      </c>
      <c r="F819" s="257">
        <f>ROUND('Plant input detail '!F821*'WPB2.2 Plant detail-w slippage'!$P$2,0)</f>
        <v>0</v>
      </c>
      <c r="G819" s="257">
        <f t="shared" ref="G819:G828" si="232">SUM(D819:F819)</f>
        <v>877756.18</v>
      </c>
      <c r="H819" s="38"/>
      <c r="I819" s="257">
        <f t="shared" si="228"/>
        <v>-523.13</v>
      </c>
      <c r="J819" s="1360" t="s">
        <v>1102</v>
      </c>
      <c r="K819" s="259">
        <v>0</v>
      </c>
      <c r="L819" s="38">
        <f t="shared" si="229"/>
        <v>0</v>
      </c>
      <c r="M819" s="257">
        <f>ROUND('Plant input detail '!M821*'WPB2.2 Plant detail-w slippage'!$P$2,0)</f>
        <v>0</v>
      </c>
      <c r="N819" s="2227">
        <f t="shared" si="230"/>
        <v>-523.13</v>
      </c>
    </row>
    <row r="820" spans="1:14" x14ac:dyDescent="0.2">
      <c r="A820" s="31">
        <f t="shared" si="231"/>
        <v>15</v>
      </c>
      <c r="B820" s="253">
        <v>374.4</v>
      </c>
      <c r="C820" s="52" t="s">
        <v>1037</v>
      </c>
      <c r="D820" s="257">
        <f t="shared" si="227"/>
        <v>661305.66</v>
      </c>
      <c r="E820" s="382">
        <f>ROUND('Plant input detail '!E822*'WPB2.2 Plant detail-w slippage'!$P$2,0)</f>
        <v>0</v>
      </c>
      <c r="F820" s="257">
        <f>ROUND('Plant input detail '!F822*'WPB2.2 Plant detail-w slippage'!$P$2,0)</f>
        <v>0</v>
      </c>
      <c r="G820" s="257">
        <f t="shared" si="232"/>
        <v>661305.66</v>
      </c>
      <c r="H820" s="38"/>
      <c r="I820" s="257">
        <f t="shared" si="228"/>
        <v>176354.36</v>
      </c>
      <c r="J820" s="1362">
        <f t="shared" ref="J820:J826" si="233">J714</f>
        <v>1.5299999999999999E-2</v>
      </c>
      <c r="K820" s="173">
        <f>ROUND((G820+D820)/2*J820/12,0)</f>
        <v>843</v>
      </c>
      <c r="L820" s="38">
        <f t="shared" si="229"/>
        <v>0</v>
      </c>
      <c r="M820" s="257">
        <f>ROUND('Plant input detail '!M822*'WPB2.2 Plant detail-w slippage'!$P$2,0)</f>
        <v>0</v>
      </c>
      <c r="N820" s="2227">
        <f t="shared" si="230"/>
        <v>177197.36</v>
      </c>
    </row>
    <row r="821" spans="1:14" x14ac:dyDescent="0.2">
      <c r="A821" s="31">
        <f t="shared" si="231"/>
        <v>16</v>
      </c>
      <c r="B821" s="253">
        <v>374.5</v>
      </c>
      <c r="C821" s="52" t="s">
        <v>1038</v>
      </c>
      <c r="D821" s="257">
        <f t="shared" si="227"/>
        <v>2699392.55</v>
      </c>
      <c r="E821" s="382">
        <f>ROUND('Plant input detail '!E823*'WPB2.2 Plant detail-w slippage'!$P$2,0)</f>
        <v>1659</v>
      </c>
      <c r="F821" s="257">
        <f>ROUND('Plant input detail '!F823*'WPB2.2 Plant detail-w slippage'!$P$2,0)</f>
        <v>-199</v>
      </c>
      <c r="G821" s="257">
        <f t="shared" si="232"/>
        <v>2700852.55</v>
      </c>
      <c r="H821" s="38"/>
      <c r="I821" s="257">
        <f t="shared" si="228"/>
        <v>921185.23</v>
      </c>
      <c r="J821" s="1362">
        <f t="shared" si="233"/>
        <v>1.2200000000000001E-2</v>
      </c>
      <c r="K821" s="173">
        <f t="shared" ref="K821:K826" si="234">ROUND((G821+D821)/2*J821/12,0)</f>
        <v>2745</v>
      </c>
      <c r="L821" s="38">
        <f t="shared" si="229"/>
        <v>199</v>
      </c>
      <c r="M821" s="257">
        <f>ROUND('Plant input detail '!M823*'WPB2.2 Plant detail-w slippage'!$P$2,0)</f>
        <v>0</v>
      </c>
      <c r="N821" s="2227">
        <f t="shared" si="230"/>
        <v>923731.23</v>
      </c>
    </row>
    <row r="822" spans="1:14" x14ac:dyDescent="0.2">
      <c r="A822" s="31">
        <f t="shared" si="231"/>
        <v>17</v>
      </c>
      <c r="B822" s="253">
        <v>375.2</v>
      </c>
      <c r="C822" s="52" t="s">
        <v>1039</v>
      </c>
      <c r="D822" s="257">
        <f t="shared" si="227"/>
        <v>2124.98</v>
      </c>
      <c r="E822" s="382">
        <f>ROUND('Plant input detail '!E824*'WPB2.2 Plant detail-w slippage'!$P$2,0)</f>
        <v>0</v>
      </c>
      <c r="F822" s="257">
        <f>ROUND('Plant input detail '!F824*'WPB2.2 Plant detail-w slippage'!$P$2,0)</f>
        <v>0</v>
      </c>
      <c r="G822" s="257">
        <f t="shared" si="232"/>
        <v>2124.98</v>
      </c>
      <c r="H822" s="38"/>
      <c r="I822" s="257">
        <f t="shared" si="228"/>
        <v>2018.32</v>
      </c>
      <c r="J822" s="1362">
        <f t="shared" si="233"/>
        <v>1.9599999999999999E-2</v>
      </c>
      <c r="K822" s="173">
        <f t="shared" si="234"/>
        <v>3</v>
      </c>
      <c r="L822" s="38">
        <f t="shared" si="229"/>
        <v>0</v>
      </c>
      <c r="M822" s="257">
        <f>ROUND('Plant input detail '!M824*'WPB2.2 Plant detail-w slippage'!$P$2,0)</f>
        <v>0</v>
      </c>
      <c r="N822" s="2227">
        <f t="shared" si="230"/>
        <v>2021.32</v>
      </c>
    </row>
    <row r="823" spans="1:14" x14ac:dyDescent="0.2">
      <c r="A823" s="31">
        <f t="shared" si="231"/>
        <v>18</v>
      </c>
      <c r="B823" s="253">
        <v>375.3</v>
      </c>
      <c r="C823" s="52" t="s">
        <v>1040</v>
      </c>
      <c r="D823" s="257">
        <f t="shared" si="227"/>
        <v>0</v>
      </c>
      <c r="E823" s="382">
        <f>ROUND('Plant input detail '!E825*'WPB2.2 Plant detail-w slippage'!$P$2,0)</f>
        <v>0</v>
      </c>
      <c r="F823" s="257">
        <f>ROUND('Plant input detail '!F825*'WPB2.2 Plant detail-w slippage'!$P$2,0)</f>
        <v>0</v>
      </c>
      <c r="G823" s="257">
        <f t="shared" si="232"/>
        <v>0</v>
      </c>
      <c r="H823" s="38"/>
      <c r="I823" s="257">
        <f t="shared" si="228"/>
        <v>-77.66</v>
      </c>
      <c r="J823" s="1362">
        <f t="shared" si="233"/>
        <v>1.9599999999999999E-2</v>
      </c>
      <c r="K823" s="173">
        <f t="shared" si="234"/>
        <v>0</v>
      </c>
      <c r="L823" s="38">
        <f t="shared" si="229"/>
        <v>0</v>
      </c>
      <c r="M823" s="257">
        <f>ROUND('Plant input detail '!M825*'WPB2.2 Plant detail-w slippage'!$P$2,0)</f>
        <v>0</v>
      </c>
      <c r="N823" s="2227">
        <f t="shared" si="230"/>
        <v>-77.66</v>
      </c>
    </row>
    <row r="824" spans="1:14" x14ac:dyDescent="0.2">
      <c r="A824" s="31">
        <f t="shared" si="231"/>
        <v>19</v>
      </c>
      <c r="B824" s="253">
        <v>375.4</v>
      </c>
      <c r="C824" s="52" t="s">
        <v>1041</v>
      </c>
      <c r="D824" s="257">
        <f t="shared" si="227"/>
        <v>1965686.02</v>
      </c>
      <c r="E824" s="382">
        <f>ROUND('Plant input detail '!E826*'WPB2.2 Plant detail-w slippage'!$P$2,0)</f>
        <v>50282</v>
      </c>
      <c r="F824" s="257">
        <f>ROUND('Plant input detail '!F826*'WPB2.2 Plant detail-w slippage'!$P$2,0)</f>
        <v>-6034</v>
      </c>
      <c r="G824" s="257">
        <f t="shared" si="232"/>
        <v>2009934.02</v>
      </c>
      <c r="H824" s="38"/>
      <c r="I824" s="257">
        <f t="shared" si="228"/>
        <v>493902.37</v>
      </c>
      <c r="J824" s="1362">
        <f t="shared" si="233"/>
        <v>1.9599999999999999E-2</v>
      </c>
      <c r="K824" s="173">
        <f t="shared" si="234"/>
        <v>3247</v>
      </c>
      <c r="L824" s="38">
        <f t="shared" si="229"/>
        <v>6034</v>
      </c>
      <c r="M824" s="257">
        <f>ROUND('Plant input detail '!M826*'WPB2.2 Plant detail-w slippage'!$P$2,0)</f>
        <v>-603</v>
      </c>
      <c r="N824" s="2227">
        <f t="shared" si="230"/>
        <v>490512.37</v>
      </c>
    </row>
    <row r="825" spans="1:14" x14ac:dyDescent="0.2">
      <c r="A825" s="31">
        <f t="shared" si="231"/>
        <v>20</v>
      </c>
      <c r="B825" s="253">
        <v>375.6</v>
      </c>
      <c r="C825" s="52" t="s">
        <v>1042</v>
      </c>
      <c r="D825" s="257">
        <f t="shared" si="227"/>
        <v>0</v>
      </c>
      <c r="E825" s="382">
        <f>ROUND('Plant input detail '!E827*'WPB2.2 Plant detail-w slippage'!$P$2,0)</f>
        <v>0</v>
      </c>
      <c r="F825" s="257">
        <f>ROUND('Plant input detail '!F827*'WPB2.2 Plant detail-w slippage'!$P$2,0)</f>
        <v>0</v>
      </c>
      <c r="G825" s="257">
        <f t="shared" si="232"/>
        <v>0</v>
      </c>
      <c r="H825" s="38"/>
      <c r="I825" s="257">
        <f t="shared" si="228"/>
        <v>0.02</v>
      </c>
      <c r="J825" s="1362">
        <f t="shared" si="233"/>
        <v>1.9599999999999999E-2</v>
      </c>
      <c r="K825" s="173">
        <f t="shared" si="234"/>
        <v>0</v>
      </c>
      <c r="L825" s="38">
        <f t="shared" si="229"/>
        <v>0</v>
      </c>
      <c r="M825" s="257">
        <f>ROUND('Plant input detail '!M827*'WPB2.2 Plant detail-w slippage'!$P$2,0)</f>
        <v>0</v>
      </c>
      <c r="N825" s="2227">
        <f t="shared" si="230"/>
        <v>0.02</v>
      </c>
    </row>
    <row r="826" spans="1:14" x14ac:dyDescent="0.2">
      <c r="A826" s="31">
        <f t="shared" si="231"/>
        <v>21</v>
      </c>
      <c r="B826" s="253">
        <v>375.7</v>
      </c>
      <c r="C826" s="52" t="s">
        <v>1043</v>
      </c>
      <c r="D826" s="257">
        <f t="shared" si="227"/>
        <v>8098203.21</v>
      </c>
      <c r="E826" s="382">
        <f>ROUND('Plant input detail '!E828*'WPB2.2 Plant detail-w slippage'!$P$2,0)</f>
        <v>59601</v>
      </c>
      <c r="F826" s="257">
        <f>ROUND('Plant input detail '!F828*'WPB2.2 Plant detail-w slippage'!$P$2,0)</f>
        <v>-7152</v>
      </c>
      <c r="G826" s="257">
        <f t="shared" si="232"/>
        <v>8150652.21</v>
      </c>
      <c r="H826" s="38"/>
      <c r="I826" s="257">
        <f t="shared" si="228"/>
        <v>3296974.06</v>
      </c>
      <c r="J826" s="1362">
        <f t="shared" si="233"/>
        <v>1.9900000000000001E-2</v>
      </c>
      <c r="K826" s="173">
        <f t="shared" si="234"/>
        <v>13473</v>
      </c>
      <c r="L826" s="38">
        <f t="shared" si="229"/>
        <v>7152</v>
      </c>
      <c r="M826" s="257">
        <f>ROUND('Plant input detail '!M828*'WPB2.2 Plant detail-w slippage'!$P$2,0)</f>
        <v>0</v>
      </c>
      <c r="N826" s="2227">
        <f t="shared" si="230"/>
        <v>3303295.06</v>
      </c>
    </row>
    <row r="827" spans="1:14" x14ac:dyDescent="0.2">
      <c r="A827" s="31">
        <f t="shared" si="231"/>
        <v>22</v>
      </c>
      <c r="B827" s="253">
        <v>375.71</v>
      </c>
      <c r="C827" s="52" t="s">
        <v>1044</v>
      </c>
      <c r="D827" s="257">
        <f t="shared" si="227"/>
        <v>259808.94</v>
      </c>
      <c r="E827" s="382">
        <f>ROUND('Plant input detail '!E829*'WPB2.2 Plant detail-w slippage'!$P$2,0)</f>
        <v>0</v>
      </c>
      <c r="F827" s="257">
        <f>ROUND('Plant input detail '!F829*'WPB2.2 Plant detail-w slippage'!$P$2,0)</f>
        <v>0</v>
      </c>
      <c r="G827" s="257">
        <f t="shared" si="232"/>
        <v>259808.94</v>
      </c>
      <c r="H827" s="38"/>
      <c r="I827" s="257">
        <f t="shared" si="228"/>
        <v>174433.40631578956</v>
      </c>
      <c r="J827" s="296" t="s">
        <v>1094</v>
      </c>
      <c r="K827" s="258">
        <f>104653.88/38</f>
        <v>2754.0494736842106</v>
      </c>
      <c r="L827" s="38">
        <f t="shared" si="229"/>
        <v>0</v>
      </c>
      <c r="M827" s="257">
        <f>ROUND('Plant input detail '!M829*'WPB2.2 Plant detail-w slippage'!$P$2,0)</f>
        <v>0</v>
      </c>
      <c r="N827" s="2227">
        <f t="shared" si="230"/>
        <v>177187.45578947378</v>
      </c>
    </row>
    <row r="828" spans="1:14" x14ac:dyDescent="0.2">
      <c r="A828" s="31">
        <f t="shared" si="231"/>
        <v>23</v>
      </c>
      <c r="B828" s="253">
        <v>375.8</v>
      </c>
      <c r="C828" s="52" t="s">
        <v>1045</v>
      </c>
      <c r="D828" s="257">
        <f t="shared" si="227"/>
        <v>0</v>
      </c>
      <c r="E828" s="382">
        <f>ROUND('Plant input detail '!E830*'WPB2.2 Plant detail-w slippage'!$P$2,0)</f>
        <v>0</v>
      </c>
      <c r="F828" s="257">
        <f>ROUND('Plant input detail '!F830*'WPB2.2 Plant detail-w slippage'!$P$2,0)</f>
        <v>0</v>
      </c>
      <c r="G828" s="257">
        <f t="shared" si="232"/>
        <v>0</v>
      </c>
      <c r="H828" s="38"/>
      <c r="I828" s="257">
        <f t="shared" si="228"/>
        <v>0</v>
      </c>
      <c r="J828" s="1362">
        <f>J722</f>
        <v>5.3199999999999997E-2</v>
      </c>
      <c r="K828" s="259">
        <v>0</v>
      </c>
      <c r="L828" s="38">
        <f t="shared" si="229"/>
        <v>0</v>
      </c>
      <c r="M828" s="257">
        <f>ROUND('Plant input detail '!M830*'WPB2.2 Plant detail-w slippage'!$P$2,0)</f>
        <v>0</v>
      </c>
      <c r="N828" s="2227">
        <f t="shared" si="230"/>
        <v>0</v>
      </c>
    </row>
    <row r="829" spans="1:14" x14ac:dyDescent="0.2">
      <c r="A829" s="31">
        <f>A828+1</f>
        <v>24</v>
      </c>
      <c r="B829" s="253">
        <v>376</v>
      </c>
      <c r="C829" s="251" t="s">
        <v>1096</v>
      </c>
      <c r="D829" s="257"/>
      <c r="E829" s="258"/>
      <c r="F829" s="259"/>
      <c r="G829" s="257"/>
      <c r="H829" s="38"/>
      <c r="I829" s="181"/>
      <c r="J829" s="1361"/>
      <c r="K829" s="173"/>
      <c r="L829" s="38"/>
      <c r="M829" s="259"/>
    </row>
    <row r="830" spans="1:14" x14ac:dyDescent="0.2">
      <c r="A830" s="31"/>
      <c r="B830" s="253"/>
      <c r="C830" s="286" t="s">
        <v>1097</v>
      </c>
      <c r="D830" s="257"/>
      <c r="E830" s="258"/>
      <c r="F830" s="259"/>
      <c r="G830" s="257"/>
      <c r="H830" s="38"/>
      <c r="I830" s="257"/>
      <c r="J830" s="1362"/>
      <c r="K830" s="173"/>
      <c r="L830" s="38"/>
      <c r="M830" s="257"/>
      <c r="N830" s="2227"/>
    </row>
    <row r="831" spans="1:14" x14ac:dyDescent="0.2">
      <c r="A831" s="31"/>
      <c r="B831" s="253"/>
      <c r="C831" s="286" t="s">
        <v>1098</v>
      </c>
      <c r="D831" s="257"/>
      <c r="E831" s="258"/>
      <c r="F831" s="259"/>
      <c r="G831" s="257"/>
      <c r="H831" s="38"/>
      <c r="I831" s="257"/>
      <c r="J831" s="1362"/>
      <c r="K831" s="173"/>
      <c r="L831" s="38"/>
      <c r="M831" s="257"/>
      <c r="N831" s="2227"/>
    </row>
    <row r="832" spans="1:14" x14ac:dyDescent="0.2">
      <c r="A832" s="31"/>
      <c r="B832" s="253"/>
      <c r="C832" s="286" t="s">
        <v>1099</v>
      </c>
      <c r="D832" s="257"/>
      <c r="E832" s="258"/>
      <c r="F832" s="259"/>
      <c r="G832" s="257"/>
      <c r="H832" s="38"/>
      <c r="I832" s="257"/>
      <c r="J832" s="1362"/>
      <c r="K832" s="173"/>
      <c r="L832" s="38"/>
      <c r="M832" s="257"/>
      <c r="N832" s="2227"/>
    </row>
    <row r="833" spans="1:14" x14ac:dyDescent="0.2">
      <c r="A833" s="31"/>
      <c r="B833" s="253"/>
      <c r="C833" s="286" t="s">
        <v>1100</v>
      </c>
      <c r="D833" s="257"/>
      <c r="E833" s="258"/>
      <c r="F833" s="259"/>
      <c r="G833" s="257"/>
      <c r="H833" s="38"/>
      <c r="I833" s="257"/>
      <c r="J833" s="1362"/>
      <c r="K833" s="173"/>
      <c r="L833" s="38"/>
      <c r="M833" s="257"/>
      <c r="N833" s="2227"/>
    </row>
    <row r="834" spans="1:14" x14ac:dyDescent="0.2">
      <c r="A834" s="31"/>
      <c r="B834" s="253"/>
      <c r="C834" s="286" t="s">
        <v>1101</v>
      </c>
      <c r="D834" s="257">
        <f t="shared" ref="D834:D839" si="235">G728</f>
        <v>210717447.44</v>
      </c>
      <c r="E834" s="382">
        <f>ROUND('Plant input detail '!E836*'WPB2.2 Plant detail-w slippage'!$P$2,0)</f>
        <v>1008166</v>
      </c>
      <c r="F834" s="257">
        <f>ROUND('Plant input detail '!F836*'WPB2.2 Plant detail-w slippage'!$P$2,0)</f>
        <v>-120980</v>
      </c>
      <c r="G834" s="257">
        <f t="shared" ref="G834:G839" si="236">SUM(D834:F834)</f>
        <v>211604633.44</v>
      </c>
      <c r="H834" s="38"/>
      <c r="I834" s="257">
        <f t="shared" ref="I834:I839" si="237">N728</f>
        <v>57039841.609999999</v>
      </c>
      <c r="J834" s="1362">
        <f t="shared" ref="J834:J839" si="238">J728</f>
        <v>1.5699999999999999E-2</v>
      </c>
      <c r="K834" s="173">
        <f t="shared" ref="K834:K839" si="239">ROUND((G834+D834)/2*J834/12,0)</f>
        <v>276269</v>
      </c>
      <c r="L834" s="38">
        <f t="shared" ref="L834:L839" si="240">-F834</f>
        <v>120980</v>
      </c>
      <c r="M834" s="257">
        <f>ROUND('Plant input detail '!M836*'WPB2.2 Plant detail-w slippage'!$P$2,0)</f>
        <v>-18147</v>
      </c>
      <c r="N834" s="2227">
        <f t="shared" ref="N834:N839" si="241">I834+K834-L834+M834</f>
        <v>57176983.609999999</v>
      </c>
    </row>
    <row r="835" spans="1:14" x14ac:dyDescent="0.2">
      <c r="A835" s="31">
        <f>A829+1</f>
        <v>25</v>
      </c>
      <c r="B835" s="253">
        <v>378.1</v>
      </c>
      <c r="C835" s="52" t="s">
        <v>1047</v>
      </c>
      <c r="D835" s="257">
        <f t="shared" si="235"/>
        <v>518504.18</v>
      </c>
      <c r="E835" s="382">
        <f>ROUND('Plant input detail '!E837*'WPB2.2 Plant detail-w slippage'!$P$2,0)</f>
        <v>0</v>
      </c>
      <c r="F835" s="257">
        <f>ROUND('Plant input detail '!F837*'WPB2.2 Plant detail-w slippage'!$P$2,0)</f>
        <v>0</v>
      </c>
      <c r="G835" s="257">
        <f t="shared" si="236"/>
        <v>518504.18</v>
      </c>
      <c r="H835" s="38"/>
      <c r="I835" s="257">
        <f t="shared" si="237"/>
        <v>360416.81</v>
      </c>
      <c r="J835" s="1362">
        <f t="shared" si="238"/>
        <v>2.35E-2</v>
      </c>
      <c r="K835" s="173">
        <f t="shared" si="239"/>
        <v>1015</v>
      </c>
      <c r="L835" s="38">
        <f t="shared" si="240"/>
        <v>0</v>
      </c>
      <c r="M835" s="257">
        <f>ROUND('Plant input detail '!M837*'WPB2.2 Plant detail-w slippage'!$P$2,0)</f>
        <v>0</v>
      </c>
      <c r="N835" s="2227">
        <f t="shared" si="241"/>
        <v>361431.81</v>
      </c>
    </row>
    <row r="836" spans="1:14" x14ac:dyDescent="0.2">
      <c r="A836" s="31">
        <f t="shared" si="231"/>
        <v>26</v>
      </c>
      <c r="B836" s="253">
        <v>378.2</v>
      </c>
      <c r="C836" s="52" t="s">
        <v>1048</v>
      </c>
      <c r="D836" s="257">
        <f t="shared" si="235"/>
        <v>9644466</v>
      </c>
      <c r="E836" s="382">
        <f>ROUND('Plant input detail '!E838*'WPB2.2 Plant detail-w slippage'!$P$2,0)</f>
        <v>52825</v>
      </c>
      <c r="F836" s="257">
        <f>ROUND('Plant input detail '!F838*'WPB2.2 Plant detail-w slippage'!$P$2,0)</f>
        <v>-6339</v>
      </c>
      <c r="G836" s="257">
        <f t="shared" si="236"/>
        <v>9690952</v>
      </c>
      <c r="H836" s="38"/>
      <c r="I836" s="257">
        <f t="shared" si="237"/>
        <v>3331355.91</v>
      </c>
      <c r="J836" s="1362">
        <f t="shared" si="238"/>
        <v>2.35E-2</v>
      </c>
      <c r="K836" s="173">
        <f t="shared" si="239"/>
        <v>18933</v>
      </c>
      <c r="L836" s="38">
        <f t="shared" si="240"/>
        <v>6339</v>
      </c>
      <c r="M836" s="257">
        <f>ROUND('Plant input detail '!M838*'WPB2.2 Plant detail-w slippage'!$P$2,0)</f>
        <v>-317</v>
      </c>
      <c r="N836" s="2227">
        <f t="shared" si="241"/>
        <v>3343632.91</v>
      </c>
    </row>
    <row r="837" spans="1:14" x14ac:dyDescent="0.2">
      <c r="A837" s="31">
        <f t="shared" si="231"/>
        <v>27</v>
      </c>
      <c r="B837" s="253">
        <v>378.3</v>
      </c>
      <c r="C837" s="52" t="s">
        <v>1049</v>
      </c>
      <c r="D837" s="257">
        <f t="shared" si="235"/>
        <v>45443.08</v>
      </c>
      <c r="E837" s="382">
        <f>ROUND('Plant input detail '!E839*'WPB2.2 Plant detail-w slippage'!$P$2,0)</f>
        <v>0</v>
      </c>
      <c r="F837" s="257">
        <f>ROUND('Plant input detail '!F839*'WPB2.2 Plant detail-w slippage'!$P$2,0)</f>
        <v>0</v>
      </c>
      <c r="G837" s="257">
        <f t="shared" si="236"/>
        <v>45443.08</v>
      </c>
      <c r="H837" s="38"/>
      <c r="I837" s="257">
        <f t="shared" si="237"/>
        <v>35611.040000000001</v>
      </c>
      <c r="J837" s="1362">
        <f t="shared" si="238"/>
        <v>2.35E-2</v>
      </c>
      <c r="K837" s="173">
        <f t="shared" si="239"/>
        <v>89</v>
      </c>
      <c r="L837" s="38">
        <f t="shared" si="240"/>
        <v>0</v>
      </c>
      <c r="M837" s="257">
        <f>ROUND('Plant input detail '!M839*'WPB2.2 Plant detail-w slippage'!$P$2,0)</f>
        <v>0</v>
      </c>
      <c r="N837" s="2227">
        <f t="shared" si="241"/>
        <v>35700.04</v>
      </c>
    </row>
    <row r="838" spans="1:14" x14ac:dyDescent="0.2">
      <c r="A838" s="31">
        <f t="shared" si="231"/>
        <v>28</v>
      </c>
      <c r="B838" s="253">
        <v>379.1</v>
      </c>
      <c r="C838" s="52" t="s">
        <v>1050</v>
      </c>
      <c r="D838" s="257">
        <f t="shared" si="235"/>
        <v>254900.59</v>
      </c>
      <c r="E838" s="382">
        <f>ROUND('Plant input detail '!E840*'WPB2.2 Plant detail-w slippage'!$P$2,0)</f>
        <v>0</v>
      </c>
      <c r="F838" s="257">
        <f>ROUND('Plant input detail '!F840*'WPB2.2 Plant detail-w slippage'!$P$2,0)</f>
        <v>0</v>
      </c>
      <c r="G838" s="257">
        <f t="shared" si="236"/>
        <v>254900.59</v>
      </c>
      <c r="H838" s="38"/>
      <c r="I838" s="257">
        <f t="shared" si="237"/>
        <v>267730.57</v>
      </c>
      <c r="J838" s="1362">
        <f t="shared" si="238"/>
        <v>2.2700000000000001E-2</v>
      </c>
      <c r="K838" s="259">
        <v>0</v>
      </c>
      <c r="L838" s="38">
        <f t="shared" si="240"/>
        <v>0</v>
      </c>
      <c r="M838" s="257">
        <f>ROUND('Plant input detail '!M840*'WPB2.2 Plant detail-w slippage'!$P$2,0)</f>
        <v>0</v>
      </c>
      <c r="N838" s="2227">
        <f t="shared" si="241"/>
        <v>267730.57</v>
      </c>
    </row>
    <row r="839" spans="1:14" x14ac:dyDescent="0.2">
      <c r="A839" s="31">
        <f t="shared" si="231"/>
        <v>29</v>
      </c>
      <c r="B839" s="253">
        <v>380</v>
      </c>
      <c r="C839" s="52" t="s">
        <v>1051</v>
      </c>
      <c r="D839" s="257">
        <f t="shared" si="235"/>
        <v>121238626.77</v>
      </c>
      <c r="E839" s="382">
        <f>ROUND('Plant input detail '!E841*'WPB2.2 Plant detail-w slippage'!$P$2,0)</f>
        <v>689548</v>
      </c>
      <c r="F839" s="257">
        <f>ROUND('Plant input detail '!F841*'WPB2.2 Plant detail-w slippage'!$P$2,0)</f>
        <v>-82746</v>
      </c>
      <c r="G839" s="257">
        <f t="shared" si="236"/>
        <v>121845428.77</v>
      </c>
      <c r="H839" s="38"/>
      <c r="I839" s="257">
        <f t="shared" si="237"/>
        <v>58370761.520000003</v>
      </c>
      <c r="J839" s="1362">
        <f t="shared" si="238"/>
        <v>2.5899999999999999E-2</v>
      </c>
      <c r="K839" s="173">
        <f t="shared" si="239"/>
        <v>262328</v>
      </c>
      <c r="L839" s="38">
        <f t="shared" si="240"/>
        <v>82746</v>
      </c>
      <c r="M839" s="257">
        <f>ROUND('Plant input detail '!M841*'WPB2.2 Plant detail-w slippage'!$P$2,0)</f>
        <v>-41373</v>
      </c>
      <c r="N839" s="2227">
        <f t="shared" si="241"/>
        <v>58508970.520000003</v>
      </c>
    </row>
    <row r="840" spans="1:14" x14ac:dyDescent="0.2">
      <c r="A840" s="170"/>
      <c r="B840" s="179"/>
      <c r="C840" s="178"/>
      <c r="D840" s="181"/>
      <c r="E840" s="173"/>
      <c r="F840" s="173"/>
      <c r="G840" s="181"/>
      <c r="H840" s="173"/>
      <c r="I840" s="173"/>
      <c r="J840" s="173"/>
      <c r="K840" s="173"/>
      <c r="L840" s="173"/>
      <c r="M840" s="171"/>
      <c r="N840" s="2229"/>
    </row>
    <row r="841" spans="1:14" x14ac:dyDescent="0.2">
      <c r="A841" s="2079" t="str">
        <f>co</f>
        <v>COLUMBIA GAS OF KENTUCKY, INC.</v>
      </c>
      <c r="B841" s="2079"/>
      <c r="C841" s="2079"/>
      <c r="D841" s="2079"/>
      <c r="E841" s="2079"/>
      <c r="F841" s="2079"/>
      <c r="G841" s="2079"/>
      <c r="H841" s="2079"/>
      <c r="I841" s="2079"/>
      <c r="J841" s="2079"/>
      <c r="K841" s="2079"/>
      <c r="L841" s="2079"/>
      <c r="M841" s="2079"/>
      <c r="N841" s="2079"/>
    </row>
    <row r="842" spans="1:14" x14ac:dyDescent="0.2">
      <c r="A842" s="2079" t="str">
        <f>case</f>
        <v>CASE NO. 2016 - 00162</v>
      </c>
      <c r="B842" s="2079"/>
      <c r="C842" s="2079"/>
      <c r="D842" s="2079"/>
      <c r="E842" s="2079"/>
      <c r="F842" s="2079"/>
      <c r="G842" s="2079"/>
      <c r="H842" s="2079"/>
      <c r="I842" s="2079"/>
      <c r="J842" s="2079"/>
      <c r="K842" s="2079"/>
      <c r="L842" s="2079"/>
      <c r="M842" s="2079"/>
      <c r="N842" s="2079"/>
    </row>
    <row r="843" spans="1:14" x14ac:dyDescent="0.2">
      <c r="A843" s="2080" t="s">
        <v>1106</v>
      </c>
      <c r="B843" s="2079"/>
      <c r="C843" s="2079"/>
      <c r="D843" s="2079"/>
      <c r="E843" s="2079"/>
      <c r="F843" s="2079"/>
      <c r="G843" s="2079"/>
      <c r="H843" s="2079"/>
      <c r="I843" s="2079"/>
      <c r="J843" s="2079"/>
      <c r="K843" s="2079"/>
      <c r="L843" s="2079"/>
      <c r="M843" s="2079"/>
      <c r="N843" s="2079"/>
    </row>
    <row r="844" spans="1:14" x14ac:dyDescent="0.2">
      <c r="A844" s="2081" t="s">
        <v>2142</v>
      </c>
      <c r="B844" s="2085"/>
      <c r="C844" s="2085"/>
      <c r="D844" s="2085"/>
      <c r="E844" s="2085"/>
      <c r="F844" s="2085"/>
      <c r="G844" s="2085"/>
      <c r="H844" s="2085"/>
      <c r="I844" s="2085"/>
      <c r="J844" s="2085"/>
      <c r="K844" s="2085"/>
      <c r="L844" s="2085"/>
      <c r="M844" s="2085"/>
      <c r="N844" s="2085"/>
    </row>
    <row r="846" spans="1:14" x14ac:dyDescent="0.2">
      <c r="A846" s="285" t="str">
        <f>$A$6</f>
        <v>DATA:__X___BASE PERIOD__X___FORECASTED PERIOD</v>
      </c>
      <c r="C846" s="171"/>
      <c r="M846" s="32"/>
      <c r="N846" s="1258" t="str">
        <f>$N$6</f>
        <v>WPB-2.2</v>
      </c>
    </row>
    <row r="847" spans="1:14" x14ac:dyDescent="0.2">
      <c r="A847" s="4" t="str">
        <f>$A$7</f>
        <v>TYPE OF FILING:___X____ORIGINAL________UPDATED</v>
      </c>
      <c r="M847" s="32"/>
      <c r="N847" s="2223" t="s">
        <v>1729</v>
      </c>
    </row>
    <row r="848" spans="1:14" x14ac:dyDescent="0.2">
      <c r="A848" s="1261" t="str">
        <f>$A$8</f>
        <v xml:space="preserve">WORKPAPER REFERENCE NO(S).: </v>
      </c>
      <c r="B848" s="202"/>
      <c r="C848" s="202"/>
      <c r="D848" s="201"/>
      <c r="E848" s="202"/>
      <c r="F848" s="202"/>
      <c r="G848" s="201"/>
      <c r="H848" s="201"/>
      <c r="M848" s="203"/>
      <c r="N848" s="204" t="str">
        <f>SMK</f>
        <v>WITNESS:  S. M. KATKO</v>
      </c>
    </row>
    <row r="849" spans="1:14" x14ac:dyDescent="0.2">
      <c r="A849" s="200"/>
      <c r="B849" s="201"/>
      <c r="C849" s="201"/>
      <c r="D849" s="201"/>
      <c r="E849" s="202"/>
      <c r="F849" s="202"/>
      <c r="G849" s="201"/>
      <c r="H849" s="201"/>
      <c r="I849" s="203"/>
      <c r="J849" s="1357"/>
      <c r="L849" s="32"/>
      <c r="M849" s="32"/>
    </row>
    <row r="850" spans="1:14" x14ac:dyDescent="0.2">
      <c r="A850" s="200"/>
      <c r="B850" s="201"/>
      <c r="C850" s="201"/>
      <c r="D850" s="2082" t="s">
        <v>1088</v>
      </c>
      <c r="E850" s="2082"/>
      <c r="F850" s="2082"/>
      <c r="G850" s="2082"/>
      <c r="H850" s="201"/>
      <c r="I850" s="2083" t="s">
        <v>1093</v>
      </c>
      <c r="J850" s="2084"/>
      <c r="K850" s="2084"/>
      <c r="L850" s="2084"/>
      <c r="M850" s="2084"/>
      <c r="N850" s="2084"/>
    </row>
    <row r="851" spans="1:14" x14ac:dyDescent="0.2">
      <c r="A851" s="270"/>
      <c r="B851" s="201"/>
      <c r="C851" s="201"/>
      <c r="D851" s="271" t="s">
        <v>1084</v>
      </c>
      <c r="E851" s="202"/>
      <c r="F851" s="202"/>
      <c r="G851" s="269"/>
      <c r="H851" s="269"/>
      <c r="I851" s="261" t="s">
        <v>1089</v>
      </c>
      <c r="J851" s="1358"/>
      <c r="M851" s="32"/>
    </row>
    <row r="852" spans="1:14" x14ac:dyDescent="0.2">
      <c r="A852" s="30"/>
      <c r="D852" s="261" t="s">
        <v>865</v>
      </c>
      <c r="G852" s="261" t="s">
        <v>867</v>
      </c>
      <c r="H852" s="268"/>
      <c r="I852" s="261" t="s">
        <v>865</v>
      </c>
      <c r="J852" s="1308" t="s">
        <v>956</v>
      </c>
      <c r="M852" s="32"/>
      <c r="N852" s="2225" t="s">
        <v>867</v>
      </c>
    </row>
    <row r="853" spans="1:14" x14ac:dyDescent="0.2">
      <c r="A853" s="261" t="s">
        <v>1080</v>
      </c>
      <c r="B853" s="261" t="s">
        <v>1082</v>
      </c>
      <c r="D853" s="261" t="s">
        <v>867</v>
      </c>
      <c r="G853" s="262" t="s">
        <v>1087</v>
      </c>
      <c r="H853" s="268"/>
      <c r="I853" s="262" t="s">
        <v>867</v>
      </c>
      <c r="J853" s="1308" t="s">
        <v>1090</v>
      </c>
      <c r="K853" s="1308" t="s">
        <v>956</v>
      </c>
      <c r="M853" s="262" t="s">
        <v>1092</v>
      </c>
      <c r="N853" s="1259" t="s">
        <v>1087</v>
      </c>
    </row>
    <row r="854" spans="1:14" x14ac:dyDescent="0.2">
      <c r="A854" s="272" t="s">
        <v>1081</v>
      </c>
      <c r="B854" s="272" t="s">
        <v>1081</v>
      </c>
      <c r="C854" s="273" t="s">
        <v>1083</v>
      </c>
      <c r="D854" s="274" t="str">
        <f>D801</f>
        <v>09/30/2016</v>
      </c>
      <c r="E854" s="275" t="s">
        <v>1085</v>
      </c>
      <c r="F854" s="275" t="s">
        <v>1086</v>
      </c>
      <c r="G854" s="274" t="str">
        <f>G801</f>
        <v>10/31/2016</v>
      </c>
      <c r="H854" s="268"/>
      <c r="I854" s="274" t="str">
        <f>D854</f>
        <v>09/30/2016</v>
      </c>
      <c r="J854" s="275" t="s">
        <v>1091</v>
      </c>
      <c r="K854" s="1327" t="s">
        <v>1090</v>
      </c>
      <c r="L854" s="276" t="s">
        <v>1086</v>
      </c>
      <c r="M854" s="276" t="s">
        <v>955</v>
      </c>
      <c r="N854" s="2226" t="str">
        <f>G854</f>
        <v>10/31/2016</v>
      </c>
    </row>
    <row r="855" spans="1:14" x14ac:dyDescent="0.2">
      <c r="A855" s="267"/>
      <c r="B855" s="267"/>
      <c r="C855" s="267"/>
      <c r="D855" s="267" t="str">
        <f>"(1)"</f>
        <v>(1)</v>
      </c>
      <c r="E855" s="267" t="str">
        <f>"(2)"</f>
        <v>(2)</v>
      </c>
      <c r="F855" s="267" t="str">
        <f>"(3)"</f>
        <v>(3)</v>
      </c>
      <c r="G855" s="267" t="str">
        <f>"(4)=(1+2+3)"</f>
        <v>(4)=(1+2+3)</v>
      </c>
      <c r="H855" s="267"/>
      <c r="I855" s="267" t="str">
        <f>"(5)"</f>
        <v>(5)</v>
      </c>
      <c r="J855" s="1328" t="str">
        <f>"(6)"</f>
        <v>(6)</v>
      </c>
      <c r="K855" s="1328" t="str">
        <f>"(7)=((1+4)/2*6/12))"</f>
        <v>(7)=((1+4)/2*6/12))</v>
      </c>
      <c r="L855" s="267" t="str">
        <f>"(8)"</f>
        <v>(8)</v>
      </c>
      <c r="M855" s="267" t="str">
        <f>"(9)"</f>
        <v>(9)</v>
      </c>
      <c r="N855" s="204" t="str">
        <f>"(10)=(5+7-8+9)"</f>
        <v>(10)=(5+7-8+9)</v>
      </c>
    </row>
    <row r="856" spans="1:14" x14ac:dyDescent="0.2">
      <c r="D856" s="31" t="s">
        <v>639</v>
      </c>
      <c r="E856" s="170" t="s">
        <v>639</v>
      </c>
      <c r="F856" s="170" t="s">
        <v>639</v>
      </c>
      <c r="G856" s="31" t="s">
        <v>639</v>
      </c>
      <c r="H856" s="31"/>
      <c r="I856" s="31" t="s">
        <v>639</v>
      </c>
      <c r="J856" s="170" t="s">
        <v>639</v>
      </c>
      <c r="K856" s="170" t="s">
        <v>639</v>
      </c>
      <c r="L856" s="31" t="s">
        <v>639</v>
      </c>
      <c r="M856" s="31" t="s">
        <v>639</v>
      </c>
      <c r="N856" s="155" t="s">
        <v>639</v>
      </c>
    </row>
    <row r="857" spans="1:14" x14ac:dyDescent="0.2">
      <c r="C857" s="36" t="s">
        <v>707</v>
      </c>
      <c r="D857" s="31"/>
      <c r="E857" s="170"/>
      <c r="F857" s="170"/>
      <c r="G857" s="31"/>
      <c r="J857" s="170"/>
    </row>
    <row r="858" spans="1:14" x14ac:dyDescent="0.2">
      <c r="A858" s="127">
        <v>1</v>
      </c>
      <c r="B858" s="123">
        <v>381</v>
      </c>
      <c r="C858" s="52" t="s">
        <v>1052</v>
      </c>
      <c r="D858" s="257">
        <f t="shared" ref="D858:D869" si="242">G752</f>
        <v>13661413.550000001</v>
      </c>
      <c r="E858" s="382">
        <f>ROUND('Plant input detail '!E860*'WPB2.2 Plant detail-w slippage'!$P$2,0)</f>
        <v>22915</v>
      </c>
      <c r="F858" s="257">
        <f>ROUND('Plant input detail '!F860*'WPB2.2 Plant detail-w slippage'!$P$2,0)</f>
        <v>-2750</v>
      </c>
      <c r="G858" s="257">
        <f>SUM(D858:F858)</f>
        <v>13681578.550000001</v>
      </c>
      <c r="H858" s="38"/>
      <c r="I858" s="257">
        <f t="shared" ref="I858:I869" si="243">N752</f>
        <v>4849714.8899999997</v>
      </c>
      <c r="J858" s="1362">
        <f t="shared" ref="J858:J869" si="244">J752</f>
        <v>2.5899999999999999E-2</v>
      </c>
      <c r="K858" s="173">
        <f t="shared" ref="K858:K869" si="245">ROUND((G858+D858)/2*J858/12,0)</f>
        <v>29508</v>
      </c>
      <c r="L858" s="38">
        <f t="shared" ref="L858:L869" si="246">-F858</f>
        <v>2750</v>
      </c>
      <c r="M858" s="257">
        <f>ROUND('Plant input detail '!M860*'WPB2.2 Plant detail-w slippage'!$P$2,0)</f>
        <v>0</v>
      </c>
      <c r="N858" s="2227">
        <f t="shared" ref="N858:N869" si="247">I858+K858-L858+M858</f>
        <v>4876472.8899999997</v>
      </c>
    </row>
    <row r="859" spans="1:14" x14ac:dyDescent="0.2">
      <c r="A859" s="127">
        <f>A858+1</f>
        <v>2</v>
      </c>
      <c r="B859" s="123">
        <v>381.1</v>
      </c>
      <c r="C859" s="52" t="s">
        <v>1115</v>
      </c>
      <c r="D859" s="257">
        <f t="shared" si="242"/>
        <v>8767603.0600000005</v>
      </c>
      <c r="E859" s="382">
        <f>ROUND('Plant input detail '!E861*'WPB2.2 Plant detail-w slippage'!$P$2,0)</f>
        <v>3185</v>
      </c>
      <c r="F859" s="257">
        <f>ROUND('Plant input detail '!F861*'WPB2.2 Plant detail-w slippage'!$P$2,0)</f>
        <v>-382</v>
      </c>
      <c r="G859" s="257">
        <f>SUM(D859:F859)</f>
        <v>8770406.0600000005</v>
      </c>
      <c r="H859" s="38"/>
      <c r="I859" s="257">
        <f t="shared" si="243"/>
        <v>497026.5</v>
      </c>
      <c r="J859" s="1362">
        <f t="shared" si="244"/>
        <v>2.5899999999999999E-2</v>
      </c>
      <c r="K859" s="173">
        <f t="shared" si="245"/>
        <v>18926</v>
      </c>
      <c r="L859" s="38">
        <f t="shared" si="246"/>
        <v>382</v>
      </c>
      <c r="M859" s="257">
        <f>ROUND('Plant input detail '!M861*'WPB2.2 Plant detail-w slippage'!$P$2,0)</f>
        <v>0</v>
      </c>
      <c r="N859" s="2227">
        <f t="shared" si="247"/>
        <v>515570.5</v>
      </c>
    </row>
    <row r="860" spans="1:14" x14ac:dyDescent="0.2">
      <c r="A860" s="127">
        <f t="shared" ref="A860:A870" si="248">A859+1</f>
        <v>3</v>
      </c>
      <c r="B860" s="123">
        <v>382</v>
      </c>
      <c r="C860" s="52" t="s">
        <v>1053</v>
      </c>
      <c r="D860" s="257">
        <f t="shared" si="242"/>
        <v>9154320.6500000004</v>
      </c>
      <c r="E860" s="382">
        <f>ROUND('Plant input detail '!E862*'WPB2.2 Plant detail-w slippage'!$P$2,0)</f>
        <v>50482</v>
      </c>
      <c r="F860" s="257">
        <f>ROUND('Plant input detail '!F862*'WPB2.2 Plant detail-w slippage'!$P$2,0)</f>
        <v>-6058</v>
      </c>
      <c r="G860" s="257">
        <f t="shared" ref="G860:G865" si="249">SUM(D860:F860)</f>
        <v>9198744.6500000004</v>
      </c>
      <c r="H860" s="38"/>
      <c r="I860" s="257">
        <f t="shared" si="243"/>
        <v>4588069.3</v>
      </c>
      <c r="J860" s="1362">
        <f t="shared" si="244"/>
        <v>2.3900000000000001E-2</v>
      </c>
      <c r="K860" s="173">
        <f t="shared" si="245"/>
        <v>18277</v>
      </c>
      <c r="L860" s="38">
        <f t="shared" si="246"/>
        <v>6058</v>
      </c>
      <c r="M860" s="257">
        <f>ROUND('Plant input detail '!M862*'WPB2.2 Plant detail-w slippage'!$P$2,0)</f>
        <v>-303</v>
      </c>
      <c r="N860" s="2227">
        <f t="shared" si="247"/>
        <v>4599985.3</v>
      </c>
    </row>
    <row r="861" spans="1:14" x14ac:dyDescent="0.2">
      <c r="A861" s="127">
        <f t="shared" si="248"/>
        <v>4</v>
      </c>
      <c r="B861" s="123">
        <v>383</v>
      </c>
      <c r="C861" s="52" t="s">
        <v>1054</v>
      </c>
      <c r="D861" s="257">
        <f t="shared" si="242"/>
        <v>5609561.7599999998</v>
      </c>
      <c r="E861" s="382">
        <f>ROUND('Plant input detail '!E863*'WPB2.2 Plant detail-w slippage'!$P$2,0)</f>
        <v>21537</v>
      </c>
      <c r="F861" s="257">
        <f>ROUND('Plant input detail '!F863*'WPB2.2 Plant detail-w slippage'!$P$2,0)</f>
        <v>-2584</v>
      </c>
      <c r="G861" s="257">
        <f t="shared" si="249"/>
        <v>5628514.7599999998</v>
      </c>
      <c r="H861" s="38"/>
      <c r="I861" s="257">
        <f t="shared" si="243"/>
        <v>1493568.41</v>
      </c>
      <c r="J861" s="1362">
        <f t="shared" si="244"/>
        <v>1.3899999999999999E-2</v>
      </c>
      <c r="K861" s="173">
        <f t="shared" si="245"/>
        <v>6509</v>
      </c>
      <c r="L861" s="38">
        <f t="shared" si="246"/>
        <v>2584</v>
      </c>
      <c r="M861" s="257">
        <f>ROUND('Plant input detail '!M863*'WPB2.2 Plant detail-w slippage'!$P$2,0)</f>
        <v>-129</v>
      </c>
      <c r="N861" s="2227">
        <f t="shared" si="247"/>
        <v>1497364.41</v>
      </c>
    </row>
    <row r="862" spans="1:14" x14ac:dyDescent="0.2">
      <c r="A862" s="127">
        <f t="shared" si="248"/>
        <v>5</v>
      </c>
      <c r="B862" s="123">
        <v>384</v>
      </c>
      <c r="C862" s="52" t="s">
        <v>1055</v>
      </c>
      <c r="D862" s="257">
        <f t="shared" si="242"/>
        <v>2257522</v>
      </c>
      <c r="E862" s="382">
        <f>ROUND('Plant input detail '!E864*'WPB2.2 Plant detail-w slippage'!$P$2,0)</f>
        <v>0</v>
      </c>
      <c r="F862" s="257">
        <f>ROUND('Plant input detail '!F864*'WPB2.2 Plant detail-w slippage'!$P$2,0)</f>
        <v>0</v>
      </c>
      <c r="G862" s="257">
        <f t="shared" si="249"/>
        <v>2257522</v>
      </c>
      <c r="H862" s="38"/>
      <c r="I862" s="257">
        <f t="shared" si="243"/>
        <v>1763121.73</v>
      </c>
      <c r="J862" s="1362">
        <f t="shared" si="244"/>
        <v>1.0999999999999999E-2</v>
      </c>
      <c r="K862" s="173">
        <f t="shared" si="245"/>
        <v>2069</v>
      </c>
      <c r="L862" s="38">
        <f t="shared" si="246"/>
        <v>0</v>
      </c>
      <c r="M862" s="257">
        <f>ROUND('Plant input detail '!M864*'WPB2.2 Plant detail-w slippage'!$P$2,0)</f>
        <v>0</v>
      </c>
      <c r="N862" s="2227">
        <f t="shared" si="247"/>
        <v>1765190.73</v>
      </c>
    </row>
    <row r="863" spans="1:14" x14ac:dyDescent="0.2">
      <c r="A863" s="127">
        <f t="shared" si="248"/>
        <v>6</v>
      </c>
      <c r="B863" s="123">
        <v>385</v>
      </c>
      <c r="C863" s="52" t="s">
        <v>1056</v>
      </c>
      <c r="D863" s="257">
        <f t="shared" si="242"/>
        <v>3195018.36</v>
      </c>
      <c r="E863" s="382">
        <f>ROUND('Plant input detail '!E865*'WPB2.2 Plant detail-w slippage'!$P$2,0)</f>
        <v>21653</v>
      </c>
      <c r="F863" s="257">
        <f>ROUND('Plant input detail '!F865*'WPB2.2 Plant detail-w slippage'!$P$2,0)</f>
        <v>-2598</v>
      </c>
      <c r="G863" s="257">
        <f t="shared" si="249"/>
        <v>3214073.36</v>
      </c>
      <c r="H863" s="38"/>
      <c r="I863" s="257">
        <f t="shared" si="243"/>
        <v>881545.55</v>
      </c>
      <c r="J863" s="1362">
        <f t="shared" si="244"/>
        <v>2.0899999999999998E-2</v>
      </c>
      <c r="K863" s="173">
        <f t="shared" si="245"/>
        <v>5581</v>
      </c>
      <c r="L863" s="38">
        <f t="shared" si="246"/>
        <v>2598</v>
      </c>
      <c r="M863" s="257">
        <f>ROUND('Plant input detail '!M865*'WPB2.2 Plant detail-w slippage'!$P$2,0)</f>
        <v>-130</v>
      </c>
      <c r="N863" s="2227">
        <f t="shared" si="247"/>
        <v>884398.55</v>
      </c>
    </row>
    <row r="864" spans="1:14" x14ac:dyDescent="0.2">
      <c r="A864" s="127">
        <f t="shared" si="248"/>
        <v>7</v>
      </c>
      <c r="B864" s="123">
        <v>387.2</v>
      </c>
      <c r="C864" s="52" t="s">
        <v>1057</v>
      </c>
      <c r="D864" s="257">
        <f t="shared" si="242"/>
        <v>0</v>
      </c>
      <c r="E864" s="382">
        <f>ROUND('Plant input detail '!E866*'WPB2.2 Plant detail-w slippage'!$P$2,0)</f>
        <v>0</v>
      </c>
      <c r="F864" s="257">
        <f>ROUND('Plant input detail '!F866*'WPB2.2 Plant detail-w slippage'!$P$2,0)</f>
        <v>0</v>
      </c>
      <c r="G864" s="257">
        <f t="shared" si="249"/>
        <v>0</v>
      </c>
      <c r="H864" s="38"/>
      <c r="I864" s="257">
        <f t="shared" si="243"/>
        <v>-59912.03</v>
      </c>
      <c r="J864" s="1362">
        <f t="shared" si="244"/>
        <v>2.3199999999999998E-2</v>
      </c>
      <c r="K864" s="173">
        <f t="shared" si="245"/>
        <v>0</v>
      </c>
      <c r="L864" s="38">
        <f t="shared" si="246"/>
        <v>0</v>
      </c>
      <c r="M864" s="257">
        <f>ROUND('Plant input detail '!M866*'WPB2.2 Plant detail-w slippage'!$P$2,0)</f>
        <v>0</v>
      </c>
      <c r="N864" s="2227">
        <f t="shared" si="247"/>
        <v>-59912.03</v>
      </c>
    </row>
    <row r="865" spans="1:14" x14ac:dyDescent="0.2">
      <c r="A865" s="127">
        <f t="shared" si="248"/>
        <v>8</v>
      </c>
      <c r="B865" s="123">
        <v>387.41</v>
      </c>
      <c r="C865" s="52" t="s">
        <v>1058</v>
      </c>
      <c r="D865" s="257">
        <f t="shared" si="242"/>
        <v>735770.76</v>
      </c>
      <c r="E865" s="382">
        <f>ROUND('Plant input detail '!E867*'WPB2.2 Plant detail-w slippage'!$P$2,0)</f>
        <v>0</v>
      </c>
      <c r="F865" s="257">
        <f>ROUND('Plant input detail '!F867*'WPB2.2 Plant detail-w slippage'!$P$2,0)</f>
        <v>0</v>
      </c>
      <c r="G865" s="257">
        <f t="shared" si="249"/>
        <v>735770.76</v>
      </c>
      <c r="H865" s="38"/>
      <c r="I865" s="257">
        <f t="shared" si="243"/>
        <v>381752.95</v>
      </c>
      <c r="J865" s="1362">
        <f t="shared" si="244"/>
        <v>2.3400000000000001E-2</v>
      </c>
      <c r="K865" s="173">
        <f t="shared" si="245"/>
        <v>1435</v>
      </c>
      <c r="L865" s="38">
        <f t="shared" si="246"/>
        <v>0</v>
      </c>
      <c r="M865" s="257">
        <f>ROUND('Plant input detail '!M867*'WPB2.2 Plant detail-w slippage'!$P$2,0)</f>
        <v>0</v>
      </c>
      <c r="N865" s="2227">
        <f t="shared" si="247"/>
        <v>383187.95</v>
      </c>
    </row>
    <row r="866" spans="1:14" x14ac:dyDescent="0.2">
      <c r="A866" s="127">
        <f t="shared" si="248"/>
        <v>9</v>
      </c>
      <c r="B866" s="123">
        <v>387.42</v>
      </c>
      <c r="C866" s="52" t="s">
        <v>1059</v>
      </c>
      <c r="D866" s="257">
        <f t="shared" si="242"/>
        <v>795186.58</v>
      </c>
      <c r="E866" s="382">
        <f>ROUND('Plant input detail '!E868*'WPB2.2 Plant detail-w slippage'!$P$2,0)</f>
        <v>0</v>
      </c>
      <c r="F866" s="257">
        <f>ROUND('Plant input detail '!F868*'WPB2.2 Plant detail-w slippage'!$P$2,0)</f>
        <v>0</v>
      </c>
      <c r="G866" s="257">
        <f>SUM(D866:F866)</f>
        <v>795186.58</v>
      </c>
      <c r="H866" s="38"/>
      <c r="I866" s="257">
        <f t="shared" si="243"/>
        <v>547892.94999999995</v>
      </c>
      <c r="J866" s="1362">
        <f t="shared" si="244"/>
        <v>2.3400000000000001E-2</v>
      </c>
      <c r="K866" s="173">
        <f t="shared" si="245"/>
        <v>1551</v>
      </c>
      <c r="L866" s="38">
        <f t="shared" si="246"/>
        <v>0</v>
      </c>
      <c r="M866" s="257">
        <f>ROUND('Plant input detail '!M868*'WPB2.2 Plant detail-w slippage'!$P$2,0)</f>
        <v>0</v>
      </c>
      <c r="N866" s="2227">
        <f t="shared" si="247"/>
        <v>549443.94999999995</v>
      </c>
    </row>
    <row r="867" spans="1:14" x14ac:dyDescent="0.2">
      <c r="A867" s="127">
        <f t="shared" si="248"/>
        <v>10</v>
      </c>
      <c r="B867" s="123">
        <v>387.44</v>
      </c>
      <c r="C867" s="52" t="s">
        <v>1060</v>
      </c>
      <c r="D867" s="257">
        <f t="shared" si="242"/>
        <v>143283.93</v>
      </c>
      <c r="E867" s="382">
        <f>ROUND('Plant input detail '!E869*'WPB2.2 Plant detail-w slippage'!$P$2,0)</f>
        <v>0</v>
      </c>
      <c r="F867" s="257">
        <f>ROUND('Plant input detail '!F869*'WPB2.2 Plant detail-w slippage'!$P$2,0)</f>
        <v>0</v>
      </c>
      <c r="G867" s="257">
        <f>SUM(D867:F867)</f>
        <v>143283.93</v>
      </c>
      <c r="H867" s="38"/>
      <c r="I867" s="257">
        <f t="shared" si="243"/>
        <v>46111.55</v>
      </c>
      <c r="J867" s="1362">
        <f t="shared" si="244"/>
        <v>2.3400000000000001E-2</v>
      </c>
      <c r="K867" s="173">
        <f t="shared" si="245"/>
        <v>279</v>
      </c>
      <c r="L867" s="38">
        <f t="shared" si="246"/>
        <v>0</v>
      </c>
      <c r="M867" s="257">
        <f>ROUND('Plant input detail '!M869*'WPB2.2 Plant detail-w slippage'!$P$2,0)</f>
        <v>0</v>
      </c>
      <c r="N867" s="2227">
        <f t="shared" si="247"/>
        <v>46390.55</v>
      </c>
    </row>
    <row r="868" spans="1:14" x14ac:dyDescent="0.2">
      <c r="A868" s="127">
        <f t="shared" si="248"/>
        <v>11</v>
      </c>
      <c r="B868" s="123">
        <v>387.45</v>
      </c>
      <c r="C868" s="52" t="s">
        <v>1061</v>
      </c>
      <c r="D868" s="257">
        <f t="shared" si="242"/>
        <v>2998177.66</v>
      </c>
      <c r="E868" s="382">
        <f>ROUND('Plant input detail '!E870*'WPB2.2 Plant detail-w slippage'!$P$2,0)</f>
        <v>101260</v>
      </c>
      <c r="F868" s="257">
        <f>ROUND('Plant input detail '!F870*'WPB2.2 Plant detail-w slippage'!$P$2,0)</f>
        <v>-12151</v>
      </c>
      <c r="G868" s="257">
        <f>SUM(D868:F868)</f>
        <v>3087286.66</v>
      </c>
      <c r="H868" s="38"/>
      <c r="I868" s="257">
        <f t="shared" si="243"/>
        <v>551135.06000000006</v>
      </c>
      <c r="J868" s="1362">
        <f t="shared" si="244"/>
        <v>2.3400000000000001E-2</v>
      </c>
      <c r="K868" s="173">
        <f t="shared" si="245"/>
        <v>5933</v>
      </c>
      <c r="L868" s="38">
        <f t="shared" si="246"/>
        <v>12151</v>
      </c>
      <c r="M868" s="257">
        <f>ROUND('Plant input detail '!M870*'WPB2.2 Plant detail-w slippage'!$P$2,0)</f>
        <v>0</v>
      </c>
      <c r="N868" s="2227">
        <f t="shared" si="247"/>
        <v>544917.06000000006</v>
      </c>
    </row>
    <row r="869" spans="1:14" x14ac:dyDescent="0.2">
      <c r="A869" s="127">
        <f t="shared" si="248"/>
        <v>12</v>
      </c>
      <c r="B869" s="123">
        <v>387.46</v>
      </c>
      <c r="C869" s="52" t="s">
        <v>1062</v>
      </c>
      <c r="D869" s="260">
        <f t="shared" si="242"/>
        <v>113644.47</v>
      </c>
      <c r="E869" s="265">
        <f>ROUND('Plant input detail '!E871*'WPB2.2 Plant detail-w slippage'!$P$2,0)</f>
        <v>0</v>
      </c>
      <c r="F869" s="265">
        <f>ROUND('Plant input detail '!F871*'WPB2.2 Plant detail-w slippage'!$P$2,0)</f>
        <v>0</v>
      </c>
      <c r="G869" s="265">
        <f>SUM(D869:F869)</f>
        <v>113644.47</v>
      </c>
      <c r="H869" s="264"/>
      <c r="I869" s="260">
        <f t="shared" si="243"/>
        <v>111566.83</v>
      </c>
      <c r="J869" s="1362">
        <f t="shared" si="244"/>
        <v>2.3400000000000001E-2</v>
      </c>
      <c r="K869" s="260">
        <f t="shared" si="245"/>
        <v>222</v>
      </c>
      <c r="L869" s="295">
        <f t="shared" si="246"/>
        <v>0</v>
      </c>
      <c r="M869" s="265">
        <f>ROUND('Plant input detail '!M871*'WPB2.2 Plant detail-w slippage'!$P$2,0)</f>
        <v>0</v>
      </c>
      <c r="N869" s="2228">
        <f t="shared" si="247"/>
        <v>111788.83</v>
      </c>
    </row>
    <row r="870" spans="1:14" x14ac:dyDescent="0.2">
      <c r="A870" s="127">
        <f t="shared" si="248"/>
        <v>13</v>
      </c>
      <c r="B870" s="252"/>
      <c r="C870" s="32" t="s">
        <v>1063</v>
      </c>
      <c r="D870" s="173">
        <f>SUM(D858:D869,D818:D839)</f>
        <v>404415374.37999994</v>
      </c>
      <c r="E870" s="173">
        <f>SUM(E858:E869,E818:E839)</f>
        <v>2083113</v>
      </c>
      <c r="F870" s="173">
        <f>SUM(F858:F869,F818:F839)</f>
        <v>-249973</v>
      </c>
      <c r="G870" s="173">
        <f>SUM(G858:G869,G818:G839)</f>
        <v>406248514.37999994</v>
      </c>
      <c r="H870" s="38"/>
      <c r="I870" s="173">
        <f>SUM(I858:I869,I818:I839)</f>
        <v>140121578.12631577</v>
      </c>
      <c r="J870" s="173"/>
      <c r="K870" s="173">
        <f>SUM(K858:K869,K818:K839)</f>
        <v>671989.04947368428</v>
      </c>
      <c r="L870" s="173">
        <f>SUM(L858:L869,L818:L839)</f>
        <v>249973</v>
      </c>
      <c r="M870" s="173">
        <f>SUM(M858:M869,M818:M839)</f>
        <v>-61002</v>
      </c>
      <c r="N870" s="1361">
        <f>SUM(N858:N869,N818:N839)</f>
        <v>140482592.17578948</v>
      </c>
    </row>
    <row r="871" spans="1:14" x14ac:dyDescent="0.2">
      <c r="B871" s="252"/>
      <c r="D871" s="38"/>
      <c r="E871" s="173"/>
      <c r="F871" s="173"/>
      <c r="G871" s="38"/>
      <c r="H871" s="38"/>
      <c r="I871" s="181"/>
      <c r="J871" s="173"/>
      <c r="K871" s="173"/>
      <c r="L871" s="38"/>
      <c r="M871" s="173"/>
    </row>
    <row r="872" spans="1:14" x14ac:dyDescent="0.2">
      <c r="A872" s="127">
        <f>A870+1</f>
        <v>14</v>
      </c>
      <c r="B872" s="252"/>
      <c r="C872" s="36" t="s">
        <v>737</v>
      </c>
      <c r="D872" s="38"/>
      <c r="E872" s="173"/>
      <c r="F872" s="173"/>
      <c r="G872" s="38"/>
      <c r="H872" s="38"/>
      <c r="I872" s="181"/>
      <c r="J872" s="173"/>
      <c r="K872" s="173"/>
      <c r="L872" s="38"/>
      <c r="M872" s="173"/>
    </row>
    <row r="873" spans="1:14" x14ac:dyDescent="0.2">
      <c r="A873" s="31">
        <f>A872+1</f>
        <v>15</v>
      </c>
      <c r="B873" s="123">
        <v>391.1</v>
      </c>
      <c r="C873" s="52" t="s">
        <v>1064</v>
      </c>
      <c r="D873" s="257">
        <f t="shared" ref="D873:D886" si="250">G767</f>
        <v>726152.71</v>
      </c>
      <c r="E873" s="382">
        <f>ROUND('Plant input detail '!E875*'WPB2.2 Plant detail-w slippage'!$P$2,0)</f>
        <v>-4800</v>
      </c>
      <c r="F873" s="257">
        <f>ROUND('Plant input detail '!F875*'WPB2.2 Plant detail-w slippage'!$P$2,0)</f>
        <v>576</v>
      </c>
      <c r="G873" s="257">
        <f t="shared" ref="G873:G886" si="251">SUM(D873:F873)</f>
        <v>721928.71</v>
      </c>
      <c r="H873" s="38"/>
      <c r="I873" s="257">
        <f t="shared" ref="I873:I886" si="252">N767</f>
        <v>-61302.22</v>
      </c>
      <c r="J873" s="1362">
        <f t="shared" ref="J873:J886" si="253">J767</f>
        <v>0.05</v>
      </c>
      <c r="K873" s="173">
        <f t="shared" ref="K873:K886" si="254">ROUND((G873+D873)/2*J873/12,0)</f>
        <v>3017</v>
      </c>
      <c r="L873" s="38">
        <f t="shared" ref="L873:L886" si="255">-F873</f>
        <v>-576</v>
      </c>
      <c r="M873" s="257">
        <f>ROUND('Plant input detail '!M875*'WPB2.2 Plant detail-w slippage'!$P$2,0)</f>
        <v>0</v>
      </c>
      <c r="N873" s="2227">
        <f t="shared" ref="N873:N886" si="256">I873+K873-L873+M873</f>
        <v>-57709.22</v>
      </c>
    </row>
    <row r="874" spans="1:14" x14ac:dyDescent="0.2">
      <c r="A874" s="31">
        <f t="shared" ref="A874:A887" si="257">A873+1</f>
        <v>16</v>
      </c>
      <c r="B874" s="123">
        <v>391.11</v>
      </c>
      <c r="C874" s="52" t="s">
        <v>1065</v>
      </c>
      <c r="D874" s="257">
        <f t="shared" si="250"/>
        <v>18815.57</v>
      </c>
      <c r="E874" s="382">
        <f>ROUND('Plant input detail '!E876*'WPB2.2 Plant detail-w slippage'!$P$2,0)</f>
        <v>0</v>
      </c>
      <c r="F874" s="257">
        <f>ROUND('Plant input detail '!F876*'WPB2.2 Plant detail-w slippage'!$P$2,0)</f>
        <v>0</v>
      </c>
      <c r="G874" s="257">
        <f t="shared" si="251"/>
        <v>18815.57</v>
      </c>
      <c r="H874" s="38"/>
      <c r="I874" s="257">
        <f t="shared" si="252"/>
        <v>-12299.77</v>
      </c>
      <c r="J874" s="1362">
        <f t="shared" si="253"/>
        <v>6.6699999999999995E-2</v>
      </c>
      <c r="K874" s="173">
        <f t="shared" si="254"/>
        <v>105</v>
      </c>
      <c r="L874" s="38">
        <f t="shared" si="255"/>
        <v>0</v>
      </c>
      <c r="M874" s="257">
        <f>ROUND('Plant input detail '!M876*'WPB2.2 Plant detail-w slippage'!$P$2,0)</f>
        <v>0</v>
      </c>
      <c r="N874" s="2227">
        <f t="shared" si="256"/>
        <v>-12194.77</v>
      </c>
    </row>
    <row r="875" spans="1:14" x14ac:dyDescent="0.2">
      <c r="A875" s="31">
        <f t="shared" si="257"/>
        <v>17</v>
      </c>
      <c r="B875" s="123">
        <v>391.12</v>
      </c>
      <c r="C875" s="52" t="s">
        <v>1066</v>
      </c>
      <c r="D875" s="257">
        <f t="shared" si="250"/>
        <v>853483.41</v>
      </c>
      <c r="E875" s="382">
        <f>ROUND('Plant input detail '!E877*'WPB2.2 Plant detail-w slippage'!$P$2,0)</f>
        <v>0</v>
      </c>
      <c r="F875" s="257">
        <f>ROUND('Plant input detail '!F877*'WPB2.2 Plant detail-w slippage'!$P$2,0)</f>
        <v>0</v>
      </c>
      <c r="G875" s="257">
        <f t="shared" si="251"/>
        <v>853483.41</v>
      </c>
      <c r="H875" s="38"/>
      <c r="I875" s="257">
        <f t="shared" si="252"/>
        <v>646910.37</v>
      </c>
      <c r="J875" s="1362">
        <f t="shared" si="253"/>
        <v>0.2</v>
      </c>
      <c r="K875" s="173">
        <f t="shared" si="254"/>
        <v>14225</v>
      </c>
      <c r="L875" s="38">
        <f t="shared" si="255"/>
        <v>0</v>
      </c>
      <c r="M875" s="257">
        <f>ROUND('Plant input detail '!M877*'WPB2.2 Plant detail-w slippage'!$P$2,0)</f>
        <v>0</v>
      </c>
      <c r="N875" s="2227">
        <f t="shared" si="256"/>
        <v>661135.37</v>
      </c>
    </row>
    <row r="876" spans="1:14" x14ac:dyDescent="0.2">
      <c r="A876" s="31">
        <f t="shared" si="257"/>
        <v>18</v>
      </c>
      <c r="B876" s="123">
        <v>392.2</v>
      </c>
      <c r="C876" s="52" t="s">
        <v>1067</v>
      </c>
      <c r="D876" s="257">
        <f t="shared" si="250"/>
        <v>95778</v>
      </c>
      <c r="E876" s="382">
        <f>ROUND('Plant input detail '!E878*'WPB2.2 Plant detail-w slippage'!$P$2,0)</f>
        <v>0</v>
      </c>
      <c r="F876" s="257">
        <f>ROUND('Plant input detail '!F878*'WPB2.2 Plant detail-w slippage'!$P$2,0)</f>
        <v>0</v>
      </c>
      <c r="G876" s="257">
        <f t="shared" si="251"/>
        <v>95778</v>
      </c>
      <c r="H876" s="38"/>
      <c r="I876" s="257">
        <f t="shared" si="252"/>
        <v>21950.05</v>
      </c>
      <c r="J876" s="1362">
        <f t="shared" si="253"/>
        <v>2.9399999999999999E-2</v>
      </c>
      <c r="K876" s="173">
        <f t="shared" si="254"/>
        <v>235</v>
      </c>
      <c r="L876" s="38">
        <f t="shared" si="255"/>
        <v>0</v>
      </c>
      <c r="M876" s="257">
        <f>ROUND('Plant input detail '!M878*'WPB2.2 Plant detail-w slippage'!$P$2,0)</f>
        <v>0</v>
      </c>
      <c r="N876" s="2227">
        <f t="shared" si="256"/>
        <v>22185.05</v>
      </c>
    </row>
    <row r="877" spans="1:14" x14ac:dyDescent="0.2">
      <c r="A877" s="31">
        <f t="shared" si="257"/>
        <v>19</v>
      </c>
      <c r="B877" s="123">
        <v>392.21</v>
      </c>
      <c r="C877" s="52" t="s">
        <v>1068</v>
      </c>
      <c r="D877" s="257">
        <f t="shared" si="250"/>
        <v>24462.2</v>
      </c>
      <c r="E877" s="382">
        <f>ROUND('Plant input detail '!E879*'WPB2.2 Plant detail-w slippage'!$P$2,0)</f>
        <v>0</v>
      </c>
      <c r="F877" s="257">
        <f>ROUND('Plant input detail '!F879*'WPB2.2 Plant detail-w slippage'!$P$2,0)</f>
        <v>0</v>
      </c>
      <c r="G877" s="257">
        <f t="shared" si="251"/>
        <v>24462.2</v>
      </c>
      <c r="H877" s="38"/>
      <c r="I877" s="257">
        <f t="shared" si="252"/>
        <v>5007.3999999999996</v>
      </c>
      <c r="J877" s="1362">
        <f t="shared" si="253"/>
        <v>2.9399999999999999E-2</v>
      </c>
      <c r="K877" s="173">
        <f t="shared" si="254"/>
        <v>60</v>
      </c>
      <c r="L877" s="38">
        <f t="shared" si="255"/>
        <v>0</v>
      </c>
      <c r="M877" s="257">
        <f>ROUND('Plant input detail '!M879*'WPB2.2 Plant detail-w slippage'!$P$2,0)</f>
        <v>0</v>
      </c>
      <c r="N877" s="2227">
        <f t="shared" si="256"/>
        <v>5067.3999999999996</v>
      </c>
    </row>
    <row r="878" spans="1:14" x14ac:dyDescent="0.2">
      <c r="A878" s="31">
        <f t="shared" si="257"/>
        <v>20</v>
      </c>
      <c r="B878" s="123">
        <v>393</v>
      </c>
      <c r="C878" s="52" t="s">
        <v>1069</v>
      </c>
      <c r="D878" s="257">
        <f t="shared" si="250"/>
        <v>0</v>
      </c>
      <c r="E878" s="382">
        <f>ROUND('Plant input detail '!E880*'WPB2.2 Plant detail-w slippage'!$P$2,0)</f>
        <v>0</v>
      </c>
      <c r="F878" s="257">
        <f>ROUND('Plant input detail '!F880*'WPB2.2 Plant detail-w slippage'!$P$2,0)</f>
        <v>0</v>
      </c>
      <c r="G878" s="257">
        <f t="shared" si="251"/>
        <v>0</v>
      </c>
      <c r="H878" s="38"/>
      <c r="I878" s="257">
        <f t="shared" si="252"/>
        <v>0</v>
      </c>
      <c r="J878" s="1362" t="str">
        <f t="shared" si="253"/>
        <v>Amort.</v>
      </c>
      <c r="K878" s="173">
        <f t="shared" si="254"/>
        <v>0</v>
      </c>
      <c r="L878" s="38">
        <f t="shared" si="255"/>
        <v>0</v>
      </c>
      <c r="M878" s="257">
        <f>ROUND('Plant input detail '!M880*'WPB2.2 Plant detail-w slippage'!$P$2,0)</f>
        <v>0</v>
      </c>
      <c r="N878" s="2227">
        <f t="shared" si="256"/>
        <v>0</v>
      </c>
    </row>
    <row r="879" spans="1:14" x14ac:dyDescent="0.2">
      <c r="A879" s="31">
        <f t="shared" si="257"/>
        <v>21</v>
      </c>
      <c r="B879" s="123">
        <v>394.1</v>
      </c>
      <c r="C879" s="52" t="s">
        <v>1070</v>
      </c>
      <c r="D879" s="257">
        <f t="shared" si="250"/>
        <v>24240.799999999999</v>
      </c>
      <c r="E879" s="382">
        <f>ROUND('Plant input detail '!E881*'WPB2.2 Plant detail-w slippage'!$P$2,0)</f>
        <v>0</v>
      </c>
      <c r="F879" s="257">
        <f>ROUND('Plant input detail '!F881*'WPB2.2 Plant detail-w slippage'!$P$2,0)</f>
        <v>0</v>
      </c>
      <c r="G879" s="257">
        <f t="shared" si="251"/>
        <v>24240.799999999999</v>
      </c>
      <c r="H879" s="38"/>
      <c r="I879" s="257">
        <f t="shared" si="252"/>
        <v>14365.82</v>
      </c>
      <c r="J879" s="1362">
        <f t="shared" si="253"/>
        <v>0.04</v>
      </c>
      <c r="K879" s="173">
        <f t="shared" si="254"/>
        <v>81</v>
      </c>
      <c r="L879" s="38">
        <f t="shared" si="255"/>
        <v>0</v>
      </c>
      <c r="M879" s="257">
        <f>ROUND('Plant input detail '!M881*'WPB2.2 Plant detail-w slippage'!$P$2,0)</f>
        <v>0</v>
      </c>
      <c r="N879" s="2227">
        <f t="shared" si="256"/>
        <v>14446.82</v>
      </c>
    </row>
    <row r="880" spans="1:14" x14ac:dyDescent="0.2">
      <c r="A880" s="31">
        <f t="shared" si="257"/>
        <v>22</v>
      </c>
      <c r="B880" s="123">
        <v>394.11</v>
      </c>
      <c r="C880" s="52" t="s">
        <v>1071</v>
      </c>
      <c r="D880" s="257">
        <f t="shared" si="250"/>
        <v>0</v>
      </c>
      <c r="E880" s="382">
        <f>ROUND('Plant input detail '!E882*'WPB2.2 Plant detail-w slippage'!$P$2,0)</f>
        <v>0</v>
      </c>
      <c r="F880" s="257">
        <f>ROUND('Plant input detail '!F882*'WPB2.2 Plant detail-w slippage'!$P$2,0)</f>
        <v>0</v>
      </c>
      <c r="G880" s="257">
        <f t="shared" si="251"/>
        <v>0</v>
      </c>
      <c r="H880" s="38"/>
      <c r="I880" s="257">
        <f t="shared" si="252"/>
        <v>0</v>
      </c>
      <c r="J880" s="1362">
        <f t="shared" si="253"/>
        <v>0.13769999999999999</v>
      </c>
      <c r="K880" s="259">
        <v>0</v>
      </c>
      <c r="L880" s="38">
        <f t="shared" si="255"/>
        <v>0</v>
      </c>
      <c r="M880" s="257">
        <f>ROUND('Plant input detail '!M882*'WPB2.2 Plant detail-w slippage'!$P$2,0)</f>
        <v>0</v>
      </c>
      <c r="N880" s="2227">
        <f t="shared" si="256"/>
        <v>0</v>
      </c>
    </row>
    <row r="881" spans="1:16" x14ac:dyDescent="0.2">
      <c r="A881" s="31">
        <f t="shared" si="257"/>
        <v>23</v>
      </c>
      <c r="B881" s="123">
        <v>394.13</v>
      </c>
      <c r="C881" s="251" t="s">
        <v>1072</v>
      </c>
      <c r="D881" s="257">
        <f t="shared" si="250"/>
        <v>0</v>
      </c>
      <c r="E881" s="382">
        <f>ROUND('Plant input detail '!E883*'WPB2.2 Plant detail-w slippage'!$P$2,0)</f>
        <v>0</v>
      </c>
      <c r="F881" s="257">
        <f>ROUND('Plant input detail '!F883*'WPB2.2 Plant detail-w slippage'!$P$2,0)</f>
        <v>0</v>
      </c>
      <c r="G881" s="257">
        <f t="shared" si="251"/>
        <v>0</v>
      </c>
      <c r="H881" s="38"/>
      <c r="I881" s="257">
        <f t="shared" si="252"/>
        <v>37937.360000000001</v>
      </c>
      <c r="J881" s="1362" t="str">
        <f t="shared" si="253"/>
        <v>Amort.</v>
      </c>
      <c r="K881" s="173">
        <f t="shared" si="254"/>
        <v>0</v>
      </c>
      <c r="L881" s="38">
        <f t="shared" si="255"/>
        <v>0</v>
      </c>
      <c r="M881" s="257">
        <f>ROUND('Plant input detail '!M883*'WPB2.2 Plant detail-w slippage'!$P$2,0)</f>
        <v>0</v>
      </c>
      <c r="N881" s="2227">
        <f t="shared" si="256"/>
        <v>37937.360000000001</v>
      </c>
    </row>
    <row r="882" spans="1:16" x14ac:dyDescent="0.2">
      <c r="A882" s="31">
        <f t="shared" si="257"/>
        <v>24</v>
      </c>
      <c r="B882" s="123">
        <v>394.2</v>
      </c>
      <c r="C882" s="52" t="s">
        <v>1073</v>
      </c>
      <c r="D882" s="257">
        <f t="shared" si="250"/>
        <v>0</v>
      </c>
      <c r="E882" s="382">
        <f>ROUND('Plant input detail '!E884*'WPB2.2 Plant detail-w slippage'!$P$2,0)</f>
        <v>0</v>
      </c>
      <c r="F882" s="257">
        <f>ROUND('Plant input detail '!F884*'WPB2.2 Plant detail-w slippage'!$P$2,0)</f>
        <v>0</v>
      </c>
      <c r="G882" s="257">
        <f t="shared" si="251"/>
        <v>0</v>
      </c>
      <c r="H882" s="38"/>
      <c r="I882" s="257">
        <f t="shared" si="252"/>
        <v>185.21</v>
      </c>
      <c r="J882" s="1362">
        <f t="shared" si="253"/>
        <v>0.04</v>
      </c>
      <c r="K882" s="173">
        <f t="shared" si="254"/>
        <v>0</v>
      </c>
      <c r="L882" s="38">
        <f t="shared" si="255"/>
        <v>0</v>
      </c>
      <c r="M882" s="257">
        <f>ROUND('Plant input detail '!M884*'WPB2.2 Plant detail-w slippage'!$P$2,0)</f>
        <v>0</v>
      </c>
      <c r="N882" s="2227">
        <f t="shared" si="256"/>
        <v>185.21</v>
      </c>
    </row>
    <row r="883" spans="1:16" x14ac:dyDescent="0.2">
      <c r="A883" s="31">
        <f t="shared" si="257"/>
        <v>25</v>
      </c>
      <c r="B883" s="123">
        <v>394.3</v>
      </c>
      <c r="C883" s="52" t="s">
        <v>1074</v>
      </c>
      <c r="D883" s="257">
        <f t="shared" si="250"/>
        <v>3108716.16</v>
      </c>
      <c r="E883" s="382">
        <f>ROUND('Plant input detail '!E885*'WPB2.2 Plant detail-w slippage'!$P$2,0)</f>
        <v>-2119</v>
      </c>
      <c r="F883" s="257">
        <f>ROUND('Plant input detail '!F885*'WPB2.2 Plant detail-w slippage'!$P$2,0)</f>
        <v>254</v>
      </c>
      <c r="G883" s="257">
        <f t="shared" si="251"/>
        <v>3106851.16</v>
      </c>
      <c r="H883" s="38"/>
      <c r="I883" s="257">
        <f t="shared" si="252"/>
        <v>1254566.1499999999</v>
      </c>
      <c r="J883" s="1362">
        <f t="shared" si="253"/>
        <v>0.04</v>
      </c>
      <c r="K883" s="173">
        <f t="shared" si="254"/>
        <v>10359</v>
      </c>
      <c r="L883" s="38">
        <f t="shared" si="255"/>
        <v>-254</v>
      </c>
      <c r="M883" s="257">
        <f>ROUND('Plant input detail '!M885*'WPB2.2 Plant detail-w slippage'!$P$2,0)</f>
        <v>0</v>
      </c>
      <c r="N883" s="2227">
        <f t="shared" si="256"/>
        <v>1265179.1499999999</v>
      </c>
    </row>
    <row r="884" spans="1:16" x14ac:dyDescent="0.2">
      <c r="A884" s="31">
        <f t="shared" si="257"/>
        <v>26</v>
      </c>
      <c r="B884" s="123">
        <v>395</v>
      </c>
      <c r="C884" s="52" t="s">
        <v>1075</v>
      </c>
      <c r="D884" s="257">
        <f t="shared" si="250"/>
        <v>9257.77</v>
      </c>
      <c r="E884" s="382">
        <f>ROUND('Plant input detail '!E886*'WPB2.2 Plant detail-w slippage'!$P$2,0)</f>
        <v>0</v>
      </c>
      <c r="F884" s="257">
        <f>ROUND('Plant input detail '!F886*'WPB2.2 Plant detail-w slippage'!$P$2,0)</f>
        <v>0</v>
      </c>
      <c r="G884" s="257">
        <f t="shared" si="251"/>
        <v>9257.77</v>
      </c>
      <c r="H884" s="38"/>
      <c r="I884" s="257">
        <f t="shared" si="252"/>
        <v>7412.59</v>
      </c>
      <c r="J884" s="1362">
        <f t="shared" si="253"/>
        <v>0.05</v>
      </c>
      <c r="K884" s="173">
        <f t="shared" si="254"/>
        <v>39</v>
      </c>
      <c r="L884" s="38">
        <f t="shared" si="255"/>
        <v>0</v>
      </c>
      <c r="M884" s="257">
        <f>ROUND('Plant input detail '!M886*'WPB2.2 Plant detail-w slippage'!$P$2,0)</f>
        <v>0</v>
      </c>
      <c r="N884" s="2227">
        <f t="shared" si="256"/>
        <v>7451.59</v>
      </c>
    </row>
    <row r="885" spans="1:16" x14ac:dyDescent="0.2">
      <c r="A885" s="31">
        <f t="shared" si="257"/>
        <v>27</v>
      </c>
      <c r="B885" s="123">
        <v>396</v>
      </c>
      <c r="C885" s="52" t="s">
        <v>1076</v>
      </c>
      <c r="D885" s="257">
        <f t="shared" si="250"/>
        <v>253134.72</v>
      </c>
      <c r="E885" s="382">
        <f>ROUND('Plant input detail '!E887*'WPB2.2 Plant detail-w slippage'!$P$2,0)</f>
        <v>0</v>
      </c>
      <c r="F885" s="257">
        <f>ROUND('Plant input detail '!F887*'WPB2.2 Plant detail-w slippage'!$P$2,0)</f>
        <v>0</v>
      </c>
      <c r="G885" s="257">
        <f t="shared" si="251"/>
        <v>253134.72</v>
      </c>
      <c r="H885" s="38"/>
      <c r="I885" s="257">
        <f t="shared" si="252"/>
        <v>199321.72</v>
      </c>
      <c r="J885" s="1362">
        <f t="shared" si="253"/>
        <v>0</v>
      </c>
      <c r="K885" s="173">
        <f t="shared" si="254"/>
        <v>0</v>
      </c>
      <c r="L885" s="38">
        <f t="shared" si="255"/>
        <v>0</v>
      </c>
      <c r="M885" s="257">
        <f>ROUND('Plant input detail '!M887*'WPB2.2 Plant detail-w slippage'!$P$2,0)</f>
        <v>0</v>
      </c>
      <c r="N885" s="2227">
        <f t="shared" si="256"/>
        <v>199321.72</v>
      </c>
    </row>
    <row r="886" spans="1:16" x14ac:dyDescent="0.2">
      <c r="A886" s="31">
        <f t="shared" si="257"/>
        <v>28</v>
      </c>
      <c r="B886" s="123">
        <v>398</v>
      </c>
      <c r="C886" s="52" t="s">
        <v>1077</v>
      </c>
      <c r="D886" s="260">
        <f t="shared" si="250"/>
        <v>158310.94</v>
      </c>
      <c r="E886" s="265">
        <f>ROUND('Plant input detail '!E888*'WPB2.2 Plant detail-w slippage'!$P$2,0)</f>
        <v>38201</v>
      </c>
      <c r="F886" s="260">
        <f>ROUND('Plant input detail '!F888*'WPB2.2 Plant detail-w slippage'!$P$2,0)</f>
        <v>-4584</v>
      </c>
      <c r="G886" s="260">
        <f t="shared" si="251"/>
        <v>191927.94</v>
      </c>
      <c r="H886" s="264"/>
      <c r="I886" s="260">
        <f t="shared" si="252"/>
        <v>14960.59</v>
      </c>
      <c r="J886" s="1362">
        <f t="shared" si="253"/>
        <v>6.6699999999999995E-2</v>
      </c>
      <c r="K886" s="260">
        <f t="shared" si="254"/>
        <v>973</v>
      </c>
      <c r="L886" s="295">
        <f t="shared" si="255"/>
        <v>4584</v>
      </c>
      <c r="M886" s="260">
        <f>ROUND('Plant input detail '!M888*'WPB2.2 Plant detail-w slippage'!$P$2,0)</f>
        <v>0</v>
      </c>
      <c r="N886" s="2228">
        <f t="shared" si="256"/>
        <v>11349.59</v>
      </c>
    </row>
    <row r="887" spans="1:16" x14ac:dyDescent="0.2">
      <c r="A887" s="31">
        <f t="shared" si="257"/>
        <v>29</v>
      </c>
      <c r="C887" s="32" t="s">
        <v>1078</v>
      </c>
      <c r="D887" s="264">
        <f>SUM(D873:D886)</f>
        <v>5272352.2799999993</v>
      </c>
      <c r="E887" s="176">
        <f>SUM(E873:E886)</f>
        <v>31282</v>
      </c>
      <c r="F887" s="176">
        <f>SUM(F873:F886)</f>
        <v>-3754</v>
      </c>
      <c r="G887" s="264">
        <f>SUM(G873:G886)</f>
        <v>5299880.2799999993</v>
      </c>
      <c r="H887" s="264"/>
      <c r="I887" s="264">
        <f>SUM(I873:I886)</f>
        <v>2129015.27</v>
      </c>
      <c r="J887" s="1359"/>
      <c r="K887" s="176">
        <f>SUM(K873:K886)</f>
        <v>29094</v>
      </c>
      <c r="L887" s="264">
        <f>SUM(L873:L886)</f>
        <v>3754</v>
      </c>
      <c r="M887" s="176">
        <f>SUM(M873:M886)</f>
        <v>0</v>
      </c>
      <c r="N887" s="1359">
        <f>SUM(N873:N886)</f>
        <v>2154355.27</v>
      </c>
    </row>
    <row r="888" spans="1:16" x14ac:dyDescent="0.2">
      <c r="D888" s="38"/>
      <c r="E888" s="173"/>
      <c r="F888" s="173"/>
      <c r="G888" s="38"/>
      <c r="H888" s="38"/>
      <c r="I888" s="173"/>
      <c r="J888" s="1361"/>
      <c r="K888" s="173"/>
      <c r="L888" s="38"/>
      <c r="M888" s="173"/>
    </row>
    <row r="889" spans="1:16" x14ac:dyDescent="0.2">
      <c r="A889" s="1805">
        <f>A887+1</f>
        <v>30</v>
      </c>
      <c r="B889" s="252"/>
      <c r="C889" s="36" t="s">
        <v>2287</v>
      </c>
      <c r="D889" s="38"/>
      <c r="E889" s="173"/>
      <c r="F889" s="173"/>
      <c r="G889" s="38"/>
      <c r="H889" s="38"/>
      <c r="I889" s="181"/>
      <c r="J889" s="173"/>
      <c r="K889" s="173"/>
      <c r="L889" s="38"/>
      <c r="M889" s="173"/>
      <c r="P889" s="279"/>
    </row>
    <row r="890" spans="1:16" x14ac:dyDescent="0.2">
      <c r="A890" s="31">
        <f>A889+1</f>
        <v>31</v>
      </c>
      <c r="B890" s="123">
        <v>378.21</v>
      </c>
      <c r="C890" s="52" t="s">
        <v>2244</v>
      </c>
      <c r="D890" s="257">
        <f>G784</f>
        <v>-777092</v>
      </c>
      <c r="E890" s="382">
        <f>ROUND('Plant input detail '!E892*'WPB2.2 Plant detail-w slippage'!$P$2,0)</f>
        <v>0</v>
      </c>
      <c r="F890" s="257">
        <f>ROUND('Plant input detail '!F892*'WPB2.2 Plant detail-w slippage'!$P$2,0)</f>
        <v>0</v>
      </c>
      <c r="G890" s="257">
        <f t="shared" ref="G890" si="258">SUM(D890:F890)</f>
        <v>-777092</v>
      </c>
      <c r="H890" s="264"/>
      <c r="I890" s="257">
        <f>N784</f>
        <v>-35919.279999999984</v>
      </c>
      <c r="J890" s="296" t="s">
        <v>1094</v>
      </c>
      <c r="K890" s="1334">
        <v>-2158.5833333333321</v>
      </c>
      <c r="L890" s="38">
        <f t="shared" ref="L890" si="259">-F890</f>
        <v>0</v>
      </c>
      <c r="M890" s="257">
        <f>ROUND('Plant input detail '!M892*'WPB2.2 Plant detail-w slippage'!$P$2,0)</f>
        <v>0</v>
      </c>
      <c r="N890" s="2227">
        <f t="shared" ref="N890" si="260">I890+K890-L890+M890</f>
        <v>-38077.863333333313</v>
      </c>
      <c r="O890" s="292"/>
    </row>
    <row r="891" spans="1:16" x14ac:dyDescent="0.2">
      <c r="A891" s="1723"/>
      <c r="D891" s="38"/>
      <c r="E891" s="173"/>
      <c r="F891" s="173"/>
      <c r="G891" s="38"/>
      <c r="H891" s="38"/>
      <c r="I891" s="173"/>
      <c r="J891" s="1361"/>
      <c r="K891" s="173"/>
      <c r="L891" s="38"/>
      <c r="M891" s="173"/>
    </row>
    <row r="892" spans="1:16" x14ac:dyDescent="0.2">
      <c r="A892" s="31">
        <f>A890+1</f>
        <v>32</v>
      </c>
      <c r="C892" s="32" t="s">
        <v>774</v>
      </c>
      <c r="D892" s="40">
        <f>D887+D870+D815+D811+D890</f>
        <v>415209833.36999989</v>
      </c>
      <c r="E892" s="40">
        <f>E887+E870+E815+E811+E890</f>
        <v>2316514</v>
      </c>
      <c r="F892" s="40">
        <f>F887+F870+F815+F811+F890</f>
        <v>-253727</v>
      </c>
      <c r="G892" s="40">
        <f>G887+G870+G815+G811+G890</f>
        <v>417272620.36999989</v>
      </c>
      <c r="H892" s="38"/>
      <c r="I892" s="40">
        <f>I887+I870+I815+I811+I890</f>
        <v>144911570.39412963</v>
      </c>
      <c r="J892" s="1363"/>
      <c r="K892" s="40">
        <f>K887+K870+K815+K811+K890</f>
        <v>777966.08725661458</v>
      </c>
      <c r="L892" s="40">
        <f>L887+L870+L815+L811+L890</f>
        <v>253727</v>
      </c>
      <c r="M892" s="40">
        <f>M887+M870+M815+M811+M890</f>
        <v>-61002</v>
      </c>
      <c r="N892" s="1363">
        <f>N887+N870+N815+N811+N890</f>
        <v>145374807.48138624</v>
      </c>
    </row>
    <row r="894" spans="1:16" x14ac:dyDescent="0.2">
      <c r="A894" s="2079" t="str">
        <f>co</f>
        <v>COLUMBIA GAS OF KENTUCKY, INC.</v>
      </c>
      <c r="B894" s="2079"/>
      <c r="C894" s="2079"/>
      <c r="D894" s="2079"/>
      <c r="E894" s="2079"/>
      <c r="F894" s="2079"/>
      <c r="G894" s="2079"/>
      <c r="H894" s="2079"/>
      <c r="I894" s="2079"/>
      <c r="J894" s="2079"/>
      <c r="K894" s="2079"/>
      <c r="L894" s="2079"/>
      <c r="M894" s="2079"/>
      <c r="N894" s="2079"/>
    </row>
    <row r="895" spans="1:16" x14ac:dyDescent="0.2">
      <c r="A895" s="2079" t="str">
        <f>case</f>
        <v>CASE NO. 2016 - 00162</v>
      </c>
      <c r="B895" s="2079"/>
      <c r="C895" s="2079"/>
      <c r="D895" s="2079"/>
      <c r="E895" s="2079"/>
      <c r="F895" s="2079"/>
      <c r="G895" s="2079"/>
      <c r="H895" s="2079"/>
      <c r="I895" s="2079"/>
      <c r="J895" s="2079"/>
      <c r="K895" s="2079"/>
      <c r="L895" s="2079"/>
      <c r="M895" s="2079"/>
      <c r="N895" s="2079"/>
    </row>
    <row r="896" spans="1:16" x14ac:dyDescent="0.2">
      <c r="A896" s="2080" t="s">
        <v>1106</v>
      </c>
      <c r="B896" s="2079"/>
      <c r="C896" s="2079"/>
      <c r="D896" s="2079"/>
      <c r="E896" s="2079"/>
      <c r="F896" s="2079"/>
      <c r="G896" s="2079"/>
      <c r="H896" s="2079"/>
      <c r="I896" s="2079"/>
      <c r="J896" s="2079"/>
      <c r="K896" s="2079"/>
      <c r="L896" s="2079"/>
      <c r="M896" s="2079"/>
      <c r="N896" s="2079"/>
    </row>
    <row r="897" spans="1:14" x14ac:dyDescent="0.2">
      <c r="A897" s="2081" t="s">
        <v>2142</v>
      </c>
      <c r="B897" s="2085"/>
      <c r="C897" s="2085"/>
      <c r="D897" s="2085"/>
      <c r="E897" s="2085"/>
      <c r="F897" s="2085"/>
      <c r="G897" s="2085"/>
      <c r="H897" s="2085"/>
      <c r="I897" s="2085"/>
      <c r="J897" s="2085"/>
      <c r="K897" s="2085"/>
      <c r="L897" s="2085"/>
      <c r="M897" s="2085"/>
      <c r="N897" s="2085"/>
    </row>
    <row r="899" spans="1:14" x14ac:dyDescent="0.2">
      <c r="A899" s="285" t="str">
        <f>$A$6</f>
        <v>DATA:__X___BASE PERIOD__X___FORECASTED PERIOD</v>
      </c>
      <c r="C899" s="171"/>
      <c r="I899" s="32"/>
      <c r="N899" s="1258" t="str">
        <f>$N$6</f>
        <v>WPB-2.2</v>
      </c>
    </row>
    <row r="900" spans="1:14" x14ac:dyDescent="0.2">
      <c r="A900" s="4" t="str">
        <f>$A$7</f>
        <v>TYPE OF FILING:___X____ORIGINAL________UPDATED</v>
      </c>
      <c r="I900" s="32"/>
      <c r="N900" s="2223" t="s">
        <v>1730</v>
      </c>
    </row>
    <row r="901" spans="1:14" x14ac:dyDescent="0.2">
      <c r="A901" s="1261" t="str">
        <f>$A$8</f>
        <v xml:space="preserve">WORKPAPER REFERENCE NO(S).: </v>
      </c>
      <c r="B901" s="202"/>
      <c r="C901" s="202"/>
      <c r="D901" s="201"/>
      <c r="E901" s="202"/>
      <c r="F901" s="202"/>
      <c r="G901" s="201"/>
      <c r="H901" s="201"/>
      <c r="I901" s="203"/>
      <c r="L901" s="32"/>
      <c r="M901" s="32"/>
      <c r="N901" s="204" t="str">
        <f>SMK</f>
        <v>WITNESS:  S. M. KATKO</v>
      </c>
    </row>
    <row r="902" spans="1:14" x14ac:dyDescent="0.2">
      <c r="A902" s="200"/>
      <c r="B902" s="201"/>
      <c r="C902" s="201"/>
      <c r="D902" s="201"/>
      <c r="E902" s="202"/>
      <c r="F902" s="202"/>
      <c r="G902" s="201"/>
      <c r="H902" s="201"/>
      <c r="I902" s="203"/>
      <c r="J902" s="1357"/>
      <c r="L902" s="32"/>
      <c r="M902" s="32"/>
    </row>
    <row r="903" spans="1:14" x14ac:dyDescent="0.2">
      <c r="A903" s="200"/>
      <c r="B903" s="201"/>
      <c r="C903" s="201"/>
      <c r="D903" s="2082" t="s">
        <v>1088</v>
      </c>
      <c r="E903" s="2082"/>
      <c r="F903" s="2082"/>
      <c r="G903" s="2082"/>
      <c r="H903" s="201"/>
      <c r="I903" s="2083" t="s">
        <v>1093</v>
      </c>
      <c r="J903" s="2084"/>
      <c r="K903" s="2084"/>
      <c r="L903" s="2084"/>
      <c r="M903" s="2084"/>
      <c r="N903" s="2084"/>
    </row>
    <row r="904" spans="1:14" x14ac:dyDescent="0.2">
      <c r="A904" s="270"/>
      <c r="B904" s="201"/>
      <c r="C904" s="201"/>
      <c r="D904" s="271" t="s">
        <v>1084</v>
      </c>
      <c r="E904" s="202"/>
      <c r="F904" s="202"/>
      <c r="G904" s="269"/>
      <c r="H904" s="269"/>
      <c r="I904" s="261" t="s">
        <v>1089</v>
      </c>
      <c r="J904" s="1358"/>
      <c r="M904" s="32"/>
    </row>
    <row r="905" spans="1:14" x14ac:dyDescent="0.2">
      <c r="A905" s="30"/>
      <c r="D905" s="261" t="s">
        <v>865</v>
      </c>
      <c r="G905" s="261" t="s">
        <v>867</v>
      </c>
      <c r="H905" s="268"/>
      <c r="I905" s="261" t="s">
        <v>865</v>
      </c>
      <c r="J905" s="1308" t="s">
        <v>956</v>
      </c>
      <c r="M905" s="32"/>
      <c r="N905" s="2225" t="s">
        <v>867</v>
      </c>
    </row>
    <row r="906" spans="1:14" x14ac:dyDescent="0.2">
      <c r="A906" s="261" t="s">
        <v>1080</v>
      </c>
      <c r="B906" s="261" t="s">
        <v>1082</v>
      </c>
      <c r="D906" s="261" t="s">
        <v>867</v>
      </c>
      <c r="G906" s="262" t="s">
        <v>1087</v>
      </c>
      <c r="H906" s="268"/>
      <c r="I906" s="262" t="s">
        <v>867</v>
      </c>
      <c r="J906" s="1308" t="s">
        <v>1090</v>
      </c>
      <c r="K906" s="1308" t="s">
        <v>956</v>
      </c>
      <c r="M906" s="262" t="s">
        <v>1092</v>
      </c>
      <c r="N906" s="1259" t="s">
        <v>1087</v>
      </c>
    </row>
    <row r="907" spans="1:14" x14ac:dyDescent="0.2">
      <c r="A907" s="272" t="s">
        <v>1081</v>
      </c>
      <c r="B907" s="272" t="s">
        <v>1081</v>
      </c>
      <c r="C907" s="273" t="s">
        <v>1083</v>
      </c>
      <c r="D907" s="298" t="str">
        <f>"10/31/2016"</f>
        <v>10/31/2016</v>
      </c>
      <c r="E907" s="275" t="s">
        <v>1085</v>
      </c>
      <c r="F907" s="275" t="s">
        <v>1086</v>
      </c>
      <c r="G907" s="298" t="str">
        <f>"11/30/2016"</f>
        <v>11/30/2016</v>
      </c>
      <c r="H907" s="268"/>
      <c r="I907" s="274" t="str">
        <f>D907</f>
        <v>10/31/2016</v>
      </c>
      <c r="J907" s="275" t="s">
        <v>1091</v>
      </c>
      <c r="K907" s="1327" t="s">
        <v>1090</v>
      </c>
      <c r="L907" s="276" t="s">
        <v>1086</v>
      </c>
      <c r="M907" s="276" t="s">
        <v>955</v>
      </c>
      <c r="N907" s="2226" t="str">
        <f>G907</f>
        <v>11/30/2016</v>
      </c>
    </row>
    <row r="908" spans="1:14" x14ac:dyDescent="0.2">
      <c r="A908" s="267"/>
      <c r="B908" s="267"/>
      <c r="C908" s="267"/>
      <c r="D908" s="267" t="str">
        <f>"(1)"</f>
        <v>(1)</v>
      </c>
      <c r="E908" s="267" t="str">
        <f>"(2)"</f>
        <v>(2)</v>
      </c>
      <c r="F908" s="267" t="str">
        <f>"(3)"</f>
        <v>(3)</v>
      </c>
      <c r="G908" s="267" t="str">
        <f>"(4)=(1+2+3)"</f>
        <v>(4)=(1+2+3)</v>
      </c>
      <c r="H908" s="267"/>
      <c r="I908" s="267" t="str">
        <f>"(5)"</f>
        <v>(5)</v>
      </c>
      <c r="J908" s="1328" t="str">
        <f>"(6)"</f>
        <v>(6)</v>
      </c>
      <c r="K908" s="1328" t="str">
        <f>"(7)=((1+4)/2*6/12))"</f>
        <v>(7)=((1+4)/2*6/12))</v>
      </c>
      <c r="L908" s="267" t="str">
        <f>"(8)"</f>
        <v>(8)</v>
      </c>
      <c r="M908" s="267" t="str">
        <f>"(9)"</f>
        <v>(9)</v>
      </c>
      <c r="N908" s="204" t="str">
        <f>"(10)=(5+7-8+9)"</f>
        <v>(10)=(5+7-8+9)</v>
      </c>
    </row>
    <row r="909" spans="1:14" x14ac:dyDescent="0.2">
      <c r="D909" s="31" t="s">
        <v>639</v>
      </c>
      <c r="E909" s="170" t="s">
        <v>639</v>
      </c>
      <c r="F909" s="170" t="s">
        <v>639</v>
      </c>
      <c r="G909" s="31" t="s">
        <v>639</v>
      </c>
      <c r="H909" s="31"/>
      <c r="I909" s="31" t="s">
        <v>639</v>
      </c>
      <c r="J909" s="170" t="s">
        <v>639</v>
      </c>
      <c r="K909" s="170" t="s">
        <v>639</v>
      </c>
      <c r="L909" s="31" t="s">
        <v>639</v>
      </c>
      <c r="M909" s="31" t="s">
        <v>639</v>
      </c>
      <c r="N909" s="155" t="s">
        <v>639</v>
      </c>
    </row>
    <row r="910" spans="1:14" x14ac:dyDescent="0.2">
      <c r="A910" s="31">
        <v>1</v>
      </c>
      <c r="B910" s="36" t="s">
        <v>1025</v>
      </c>
      <c r="C910" s="34"/>
      <c r="M910" s="32"/>
    </row>
    <row r="911" spans="1:14" x14ac:dyDescent="0.2">
      <c r="A911" s="31">
        <f>A910+1</f>
        <v>2</v>
      </c>
      <c r="C911" s="36" t="s">
        <v>697</v>
      </c>
      <c r="M911" s="32"/>
    </row>
    <row r="912" spans="1:14" x14ac:dyDescent="0.2">
      <c r="A912" s="31">
        <f t="shared" ref="A912:A917" si="261">A911+1</f>
        <v>3</v>
      </c>
      <c r="B912" s="253">
        <v>301</v>
      </c>
      <c r="C912" s="52" t="s">
        <v>1026</v>
      </c>
      <c r="D912" s="257">
        <f>G806</f>
        <v>521.20000000000005</v>
      </c>
      <c r="E912" s="382">
        <f>ROUND('Plant input detail '!E914*'WPB2.2 Plant detail-w slippage'!$P$2,0)</f>
        <v>0</v>
      </c>
      <c r="F912" s="257">
        <f>ROUND('Plant input detail '!F914*'WPB2.2 Plant detail-w slippage'!$P$2,0)</f>
        <v>0</v>
      </c>
      <c r="G912" s="257">
        <f>SUM(D912:F912)</f>
        <v>521.20000000000005</v>
      </c>
      <c r="H912" s="38"/>
      <c r="I912" s="257">
        <f>N806</f>
        <v>0</v>
      </c>
      <c r="J912" s="296" t="s">
        <v>1094</v>
      </c>
      <c r="K912" s="258">
        <v>0</v>
      </c>
      <c r="L912" s="38">
        <f>-F912</f>
        <v>0</v>
      </c>
      <c r="M912" s="259">
        <v>0</v>
      </c>
      <c r="N912" s="2227">
        <f>I912+K912-L912+M912</f>
        <v>0</v>
      </c>
    </row>
    <row r="913" spans="1:14" x14ac:dyDescent="0.2">
      <c r="A913" s="31">
        <f t="shared" si="261"/>
        <v>4</v>
      </c>
      <c r="B913" s="253">
        <v>303</v>
      </c>
      <c r="C913" s="52" t="s">
        <v>1027</v>
      </c>
      <c r="D913" s="257">
        <f>G807</f>
        <v>74347.509999999995</v>
      </c>
      <c r="E913" s="382">
        <f>ROUND('Plant input detail '!E915*'WPB2.2 Plant detail-w slippage'!$P$2,0)</f>
        <v>0</v>
      </c>
      <c r="F913" s="257">
        <f>ROUND('Plant input detail '!F915*'WPB2.2 Plant detail-w slippage'!$P$2,0)</f>
        <v>0</v>
      </c>
      <c r="G913" s="257">
        <f>SUM(D913:F913)</f>
        <v>74347.509999999995</v>
      </c>
      <c r="H913" s="38"/>
      <c r="I913" s="257">
        <f>N807</f>
        <v>47451.589999999975</v>
      </c>
      <c r="J913" s="296" t="s">
        <v>1094</v>
      </c>
      <c r="K913" s="382">
        <f>'WPB2.2a Intan Amort. w slippage'!P$19</f>
        <v>206.52</v>
      </c>
      <c r="L913" s="38">
        <f>-F913</f>
        <v>0</v>
      </c>
      <c r="M913" s="259">
        <v>0</v>
      </c>
      <c r="N913" s="2227">
        <f>I913+K913-L913+M913</f>
        <v>47658.109999999971</v>
      </c>
    </row>
    <row r="914" spans="1:14" x14ac:dyDescent="0.2">
      <c r="A914" s="31">
        <f t="shared" si="261"/>
        <v>5</v>
      </c>
      <c r="B914" s="253">
        <v>303.10000000000002</v>
      </c>
      <c r="C914" s="52" t="s">
        <v>1028</v>
      </c>
      <c r="D914" s="257">
        <f>G808</f>
        <v>0</v>
      </c>
      <c r="E914" s="382">
        <f>ROUND('Plant input detail '!E916*'WPB2.2 Plant detail-w slippage'!$P$2,0)</f>
        <v>0</v>
      </c>
      <c r="F914" s="257">
        <f>ROUND('Plant input detail '!F916*'WPB2.2 Plant detail-w slippage'!$P$2,0)</f>
        <v>0</v>
      </c>
      <c r="G914" s="257">
        <f>SUM(D914:F914)</f>
        <v>0</v>
      </c>
      <c r="H914" s="38"/>
      <c r="I914" s="257">
        <f>N808</f>
        <v>0</v>
      </c>
      <c r="J914" s="296" t="s">
        <v>1094</v>
      </c>
      <c r="K914" s="258">
        <v>0</v>
      </c>
      <c r="L914" s="38">
        <f>-F914</f>
        <v>0</v>
      </c>
      <c r="M914" s="259">
        <v>0</v>
      </c>
      <c r="N914" s="2227">
        <f>I914+K914-L914+M914</f>
        <v>0</v>
      </c>
    </row>
    <row r="915" spans="1:14" x14ac:dyDescent="0.2">
      <c r="A915" s="31">
        <f t="shared" si="261"/>
        <v>6</v>
      </c>
      <c r="B915" s="253">
        <v>303.2</v>
      </c>
      <c r="C915" s="52" t="s">
        <v>1029</v>
      </c>
      <c r="D915" s="257">
        <f>G809</f>
        <v>0</v>
      </c>
      <c r="E915" s="382">
        <f>ROUND('Plant input detail '!E917*'WPB2.2 Plant detail-w slippage'!$P$2,0)</f>
        <v>0</v>
      </c>
      <c r="F915" s="257">
        <f>ROUND('Plant input detail '!F917*'WPB2.2 Plant detail-w slippage'!$P$2,0)</f>
        <v>0</v>
      </c>
      <c r="G915" s="257">
        <f>SUM(D915:F915)</f>
        <v>0</v>
      </c>
      <c r="H915" s="38"/>
      <c r="I915" s="257">
        <f>N809</f>
        <v>0</v>
      </c>
      <c r="J915" s="296" t="s">
        <v>1094</v>
      </c>
      <c r="K915" s="258">
        <v>0</v>
      </c>
      <c r="L915" s="38">
        <f>-F915</f>
        <v>0</v>
      </c>
      <c r="M915" s="259">
        <v>0</v>
      </c>
      <c r="N915" s="2227">
        <f>I915+K915-L915+M915</f>
        <v>0</v>
      </c>
    </row>
    <row r="916" spans="1:14" x14ac:dyDescent="0.2">
      <c r="A916" s="31">
        <f t="shared" si="261"/>
        <v>7</v>
      </c>
      <c r="B916" s="253">
        <v>303.3</v>
      </c>
      <c r="C916" s="52" t="s">
        <v>1030</v>
      </c>
      <c r="D916" s="260">
        <f>G810</f>
        <v>6426449</v>
      </c>
      <c r="E916" s="265">
        <f>ROUND('Plant input detail '!E918*'WPB2.2 Plant detail-w slippage'!$P$2,0)</f>
        <v>202119</v>
      </c>
      <c r="F916" s="265">
        <f>ROUND('Plant input detail '!F918*'WPB2.2 Plant detail-w slippage'!$P$2,0)</f>
        <v>0</v>
      </c>
      <c r="G916" s="260">
        <f>SUM(D916:F916)</f>
        <v>6628568</v>
      </c>
      <c r="H916" s="38"/>
      <c r="I916" s="260">
        <f>N810</f>
        <v>2728486.3089301107</v>
      </c>
      <c r="J916" s="296" t="s">
        <v>1094</v>
      </c>
      <c r="K916" s="265">
        <f>'WPB2.2a Intan Amort. w slippage'!P$104</f>
        <v>82204.101116263686</v>
      </c>
      <c r="L916" s="295">
        <f>-F916</f>
        <v>0</v>
      </c>
      <c r="M916" s="263">
        <v>0</v>
      </c>
      <c r="N916" s="2228">
        <f>I916+K916-L916+M916</f>
        <v>2810690.4100463744</v>
      </c>
    </row>
    <row r="917" spans="1:14" x14ac:dyDescent="0.2">
      <c r="A917" s="31">
        <f t="shared" si="261"/>
        <v>8</v>
      </c>
      <c r="B917" s="253"/>
      <c r="C917" s="52" t="s">
        <v>1031</v>
      </c>
      <c r="D917" s="38">
        <f>SUM(D912:D916)</f>
        <v>6501317.71</v>
      </c>
      <c r="E917" s="173">
        <f>SUM(E912:E916)</f>
        <v>202119</v>
      </c>
      <c r="F917" s="173">
        <f>SUM(F912:F916)</f>
        <v>0</v>
      </c>
      <c r="G917" s="38">
        <f>SUM(G912:G916)</f>
        <v>6703436.71</v>
      </c>
      <c r="H917" s="38"/>
      <c r="I917" s="38">
        <f>SUM(I912:I916)</f>
        <v>2775937.8989301105</v>
      </c>
      <c r="J917" s="1359"/>
      <c r="K917" s="173">
        <f>SUM(K912:K916)</f>
        <v>82410.62111626369</v>
      </c>
      <c r="L917" s="38">
        <f>SUM(L912:L916)</f>
        <v>0</v>
      </c>
      <c r="M917" s="173">
        <f>SUM(M912:M916)</f>
        <v>0</v>
      </c>
      <c r="N917" s="1361">
        <f>SUM(N912:N916)</f>
        <v>2858348.5200463743</v>
      </c>
    </row>
    <row r="918" spans="1:14" x14ac:dyDescent="0.2">
      <c r="B918" s="254"/>
      <c r="D918" s="38"/>
      <c r="E918" s="173"/>
      <c r="F918" s="173"/>
      <c r="G918" s="38"/>
      <c r="H918" s="38"/>
      <c r="I918" s="38"/>
      <c r="J918" s="1359"/>
      <c r="K918" s="173"/>
      <c r="L918" s="38"/>
      <c r="M918" s="173"/>
    </row>
    <row r="919" spans="1:14" x14ac:dyDescent="0.2">
      <c r="A919" s="31">
        <f>A917+1</f>
        <v>9</v>
      </c>
      <c r="B919" s="254"/>
      <c r="C919" s="36" t="s">
        <v>704</v>
      </c>
      <c r="D919" s="38"/>
      <c r="E919" s="173"/>
      <c r="F919" s="173"/>
      <c r="G919" s="38"/>
      <c r="H919" s="38"/>
      <c r="I919" s="38"/>
      <c r="J919" s="1359"/>
      <c r="K919" s="173"/>
      <c r="L919" s="38"/>
      <c r="M919" s="173"/>
    </row>
    <row r="920" spans="1:14" x14ac:dyDescent="0.2">
      <c r="A920" s="31">
        <f>A919+1</f>
        <v>10</v>
      </c>
      <c r="B920" s="255">
        <v>304.10000000000002</v>
      </c>
      <c r="C920" s="41" t="s">
        <v>1032</v>
      </c>
      <c r="D920" s="260">
        <f>G814</f>
        <v>0</v>
      </c>
      <c r="E920" s="265">
        <f>ROUND('Plant input detail '!E922*'WPB2.2 Plant detail-w slippage'!$P$2,0)</f>
        <v>0</v>
      </c>
      <c r="F920" s="265">
        <f>ROUND('Plant input detail '!F922*'WPB2.2 Plant detail-w slippage'!$P$2,0)</f>
        <v>0</v>
      </c>
      <c r="G920" s="260">
        <f>SUM(D920:F920)</f>
        <v>0</v>
      </c>
      <c r="H920" s="38"/>
      <c r="I920" s="260">
        <f>N814</f>
        <v>0</v>
      </c>
      <c r="J920" s="1360" t="s">
        <v>1102</v>
      </c>
      <c r="K920" s="266">
        <v>0</v>
      </c>
      <c r="L920" s="295">
        <f>-F920</f>
        <v>0</v>
      </c>
      <c r="M920" s="263">
        <v>0</v>
      </c>
      <c r="N920" s="2228">
        <f>I920+K920-L920+M920</f>
        <v>0</v>
      </c>
    </row>
    <row r="921" spans="1:14" x14ac:dyDescent="0.2">
      <c r="A921" s="31">
        <f>A920+1</f>
        <v>11</v>
      </c>
      <c r="B921" s="255"/>
      <c r="C921" s="256" t="s">
        <v>1079</v>
      </c>
      <c r="D921" s="38">
        <f>D920</f>
        <v>0</v>
      </c>
      <c r="E921" s="173">
        <f>E920</f>
        <v>0</v>
      </c>
      <c r="F921" s="173">
        <f>F920</f>
        <v>0</v>
      </c>
      <c r="G921" s="38">
        <f>G920</f>
        <v>0</v>
      </c>
      <c r="H921" s="38"/>
      <c r="I921" s="38">
        <f>I920</f>
        <v>0</v>
      </c>
      <c r="J921" s="1361"/>
      <c r="K921" s="173">
        <f>SUM(K920)</f>
        <v>0</v>
      </c>
      <c r="L921" s="38">
        <f>SUM(L920)</f>
        <v>0</v>
      </c>
      <c r="M921" s="173">
        <f>M920</f>
        <v>0</v>
      </c>
      <c r="N921" s="1361">
        <f>N920</f>
        <v>0</v>
      </c>
    </row>
    <row r="922" spans="1:14" x14ac:dyDescent="0.2">
      <c r="B922" s="254"/>
      <c r="D922" s="38"/>
      <c r="E922" s="173"/>
      <c r="F922" s="173"/>
      <c r="G922" s="38"/>
      <c r="H922" s="38"/>
      <c r="I922" s="38"/>
      <c r="J922" s="1361"/>
      <c r="K922" s="173"/>
      <c r="L922" s="38"/>
      <c r="M922" s="173"/>
    </row>
    <row r="923" spans="1:14" x14ac:dyDescent="0.2">
      <c r="A923" s="31">
        <f>A921+1</f>
        <v>12</v>
      </c>
      <c r="B923" s="254"/>
      <c r="C923" s="36" t="s">
        <v>707</v>
      </c>
      <c r="D923" s="38"/>
      <c r="E923" s="173"/>
      <c r="F923" s="173"/>
      <c r="G923" s="38"/>
      <c r="H923" s="38"/>
      <c r="I923" s="38"/>
      <c r="J923" s="1361"/>
      <c r="K923" s="173"/>
      <c r="L923" s="38"/>
      <c r="M923" s="173"/>
    </row>
    <row r="924" spans="1:14" x14ac:dyDescent="0.2">
      <c r="A924" s="31">
        <f>A923+1</f>
        <v>13</v>
      </c>
      <c r="B924" s="253">
        <v>374.1</v>
      </c>
      <c r="C924" s="52" t="s">
        <v>1035</v>
      </c>
      <c r="D924" s="257">
        <f t="shared" ref="D924:D934" si="262">G818</f>
        <v>206</v>
      </c>
      <c r="E924" s="382">
        <f>ROUND('Plant input detail '!E926*'WPB2.2 Plant detail-w slippage'!$P$2,0)</f>
        <v>0</v>
      </c>
      <c r="F924" s="257">
        <f>ROUND('Plant input detail '!F926*'WPB2.2 Plant detail-w slippage'!$P$2,0)</f>
        <v>0</v>
      </c>
      <c r="G924" s="257">
        <f>SUM(D924:F924)</f>
        <v>206</v>
      </c>
      <c r="H924" s="38"/>
      <c r="I924" s="257">
        <f t="shared" ref="I924:I934" si="263">N818</f>
        <v>0</v>
      </c>
      <c r="J924" s="1360" t="s">
        <v>1102</v>
      </c>
      <c r="K924" s="259">
        <v>0</v>
      </c>
      <c r="L924" s="38">
        <f t="shared" ref="L924:L934" si="264">-F924</f>
        <v>0</v>
      </c>
      <c r="M924" s="257">
        <f>ROUND('Plant input detail '!M926*'WPB2.2 Plant detail-w slippage'!$P$2,0)</f>
        <v>0</v>
      </c>
      <c r="N924" s="2227">
        <f t="shared" ref="N924:N934" si="265">I924+K924-L924+M924</f>
        <v>0</v>
      </c>
    </row>
    <row r="925" spans="1:14" x14ac:dyDescent="0.2">
      <c r="A925" s="31">
        <f t="shared" ref="A925:A945" si="266">A924+1</f>
        <v>14</v>
      </c>
      <c r="B925" s="253">
        <v>374.2</v>
      </c>
      <c r="C925" s="52" t="s">
        <v>1036</v>
      </c>
      <c r="D925" s="257">
        <f t="shared" si="262"/>
        <v>877756.18</v>
      </c>
      <c r="E925" s="382">
        <f>ROUND('Plant input detail '!E927*'WPB2.2 Plant detail-w slippage'!$P$2,0)</f>
        <v>0</v>
      </c>
      <c r="F925" s="257">
        <f>ROUND('Plant input detail '!F927*'WPB2.2 Plant detail-w slippage'!$P$2,0)</f>
        <v>0</v>
      </c>
      <c r="G925" s="257">
        <f t="shared" ref="G925:G934" si="267">SUM(D925:F925)</f>
        <v>877756.18</v>
      </c>
      <c r="H925" s="38"/>
      <c r="I925" s="257">
        <f t="shared" si="263"/>
        <v>-523.13</v>
      </c>
      <c r="J925" s="1360" t="s">
        <v>1102</v>
      </c>
      <c r="K925" s="259">
        <v>0</v>
      </c>
      <c r="L925" s="38">
        <f t="shared" si="264"/>
        <v>0</v>
      </c>
      <c r="M925" s="257">
        <f>ROUND('Plant input detail '!M927*'WPB2.2 Plant detail-w slippage'!$P$2,0)</f>
        <v>0</v>
      </c>
      <c r="N925" s="2227">
        <f t="shared" si="265"/>
        <v>-523.13</v>
      </c>
    </row>
    <row r="926" spans="1:14" x14ac:dyDescent="0.2">
      <c r="A926" s="31">
        <f t="shared" si="266"/>
        <v>15</v>
      </c>
      <c r="B926" s="253">
        <v>374.4</v>
      </c>
      <c r="C926" s="52" t="s">
        <v>1037</v>
      </c>
      <c r="D926" s="257">
        <f t="shared" si="262"/>
        <v>661305.66</v>
      </c>
      <c r="E926" s="382">
        <f>ROUND('Plant input detail '!E928*'WPB2.2 Plant detail-w slippage'!$P$2,0)</f>
        <v>0</v>
      </c>
      <c r="F926" s="257">
        <f>ROUND('Plant input detail '!F928*'WPB2.2 Plant detail-w slippage'!$P$2,0)</f>
        <v>0</v>
      </c>
      <c r="G926" s="257">
        <f t="shared" si="267"/>
        <v>661305.66</v>
      </c>
      <c r="H926" s="38"/>
      <c r="I926" s="257">
        <f t="shared" si="263"/>
        <v>177197.36</v>
      </c>
      <c r="J926" s="1362">
        <f t="shared" ref="J926:J932" si="268">J820</f>
        <v>1.5299999999999999E-2</v>
      </c>
      <c r="K926" s="173">
        <f>ROUND((G926+D926)/2*J926/12,0)</f>
        <v>843</v>
      </c>
      <c r="L926" s="38">
        <f t="shared" si="264"/>
        <v>0</v>
      </c>
      <c r="M926" s="257">
        <f>ROUND('Plant input detail '!M928*'WPB2.2 Plant detail-w slippage'!$P$2,0)</f>
        <v>0</v>
      </c>
      <c r="N926" s="2227">
        <f t="shared" si="265"/>
        <v>178040.36</v>
      </c>
    </row>
    <row r="927" spans="1:14" x14ac:dyDescent="0.2">
      <c r="A927" s="31">
        <f t="shared" si="266"/>
        <v>16</v>
      </c>
      <c r="B927" s="253">
        <v>374.5</v>
      </c>
      <c r="C927" s="52" t="s">
        <v>1038</v>
      </c>
      <c r="D927" s="257">
        <f t="shared" si="262"/>
        <v>2700852.55</v>
      </c>
      <c r="E927" s="382">
        <f>ROUND('Plant input detail '!E929*'WPB2.2 Plant detail-w slippage'!$P$2,0)</f>
        <v>1659</v>
      </c>
      <c r="F927" s="257">
        <f>ROUND('Plant input detail '!F929*'WPB2.2 Plant detail-w slippage'!$P$2,0)</f>
        <v>-199</v>
      </c>
      <c r="G927" s="257">
        <f t="shared" si="267"/>
        <v>2702312.55</v>
      </c>
      <c r="H927" s="38"/>
      <c r="I927" s="257">
        <f t="shared" si="263"/>
        <v>923731.23</v>
      </c>
      <c r="J927" s="1362">
        <f t="shared" si="268"/>
        <v>1.2200000000000001E-2</v>
      </c>
      <c r="K927" s="173">
        <f t="shared" ref="K927:K932" si="269">ROUND((G927+D927)/2*J927/12,0)</f>
        <v>2747</v>
      </c>
      <c r="L927" s="38">
        <f t="shared" si="264"/>
        <v>199</v>
      </c>
      <c r="M927" s="257">
        <f>ROUND('Plant input detail '!M929*'WPB2.2 Plant detail-w slippage'!$P$2,0)</f>
        <v>0</v>
      </c>
      <c r="N927" s="2227">
        <f t="shared" si="265"/>
        <v>926279.23</v>
      </c>
    </row>
    <row r="928" spans="1:14" x14ac:dyDescent="0.2">
      <c r="A928" s="31">
        <f t="shared" si="266"/>
        <v>17</v>
      </c>
      <c r="B928" s="253">
        <v>375.2</v>
      </c>
      <c r="C928" s="52" t="s">
        <v>1039</v>
      </c>
      <c r="D928" s="257">
        <f t="shared" si="262"/>
        <v>2124.98</v>
      </c>
      <c r="E928" s="382">
        <f>ROUND('Plant input detail '!E930*'WPB2.2 Plant detail-w slippage'!$P$2,0)</f>
        <v>0</v>
      </c>
      <c r="F928" s="257">
        <f>ROUND('Plant input detail '!F930*'WPB2.2 Plant detail-w slippage'!$P$2,0)</f>
        <v>0</v>
      </c>
      <c r="G928" s="257">
        <f t="shared" si="267"/>
        <v>2124.98</v>
      </c>
      <c r="H928" s="38"/>
      <c r="I928" s="257">
        <f t="shared" si="263"/>
        <v>2021.32</v>
      </c>
      <c r="J928" s="1362">
        <f t="shared" si="268"/>
        <v>1.9599999999999999E-2</v>
      </c>
      <c r="K928" s="173">
        <f t="shared" si="269"/>
        <v>3</v>
      </c>
      <c r="L928" s="38">
        <f t="shared" si="264"/>
        <v>0</v>
      </c>
      <c r="M928" s="257">
        <f>ROUND('Plant input detail '!M930*'WPB2.2 Plant detail-w slippage'!$P$2,0)</f>
        <v>0</v>
      </c>
      <c r="N928" s="2227">
        <f t="shared" si="265"/>
        <v>2024.32</v>
      </c>
    </row>
    <row r="929" spans="1:14" x14ac:dyDescent="0.2">
      <c r="A929" s="31">
        <f t="shared" si="266"/>
        <v>18</v>
      </c>
      <c r="B929" s="253">
        <v>375.3</v>
      </c>
      <c r="C929" s="52" t="s">
        <v>1040</v>
      </c>
      <c r="D929" s="257">
        <f t="shared" si="262"/>
        <v>0</v>
      </c>
      <c r="E929" s="382">
        <f>ROUND('Plant input detail '!E931*'WPB2.2 Plant detail-w slippage'!$P$2,0)</f>
        <v>0</v>
      </c>
      <c r="F929" s="257">
        <f>ROUND('Plant input detail '!F931*'WPB2.2 Plant detail-w slippage'!$P$2,0)</f>
        <v>0</v>
      </c>
      <c r="G929" s="257">
        <f t="shared" si="267"/>
        <v>0</v>
      </c>
      <c r="H929" s="38"/>
      <c r="I929" s="257">
        <f t="shared" si="263"/>
        <v>-77.66</v>
      </c>
      <c r="J929" s="1362">
        <f t="shared" si="268"/>
        <v>1.9599999999999999E-2</v>
      </c>
      <c r="K929" s="173">
        <f t="shared" si="269"/>
        <v>0</v>
      </c>
      <c r="L929" s="38">
        <f t="shared" si="264"/>
        <v>0</v>
      </c>
      <c r="M929" s="257">
        <f>ROUND('Plant input detail '!M931*'WPB2.2 Plant detail-w slippage'!$P$2,0)</f>
        <v>0</v>
      </c>
      <c r="N929" s="2227">
        <f t="shared" si="265"/>
        <v>-77.66</v>
      </c>
    </row>
    <row r="930" spans="1:14" x14ac:dyDescent="0.2">
      <c r="A930" s="31">
        <f t="shared" si="266"/>
        <v>19</v>
      </c>
      <c r="B930" s="253">
        <v>375.4</v>
      </c>
      <c r="C930" s="52" t="s">
        <v>1041</v>
      </c>
      <c r="D930" s="257">
        <f t="shared" si="262"/>
        <v>2009934.02</v>
      </c>
      <c r="E930" s="382">
        <f>ROUND('Plant input detail '!E932*'WPB2.2 Plant detail-w slippage'!$P$2,0)</f>
        <v>50282</v>
      </c>
      <c r="F930" s="257">
        <f>ROUND('Plant input detail '!F932*'WPB2.2 Plant detail-w slippage'!$P$2,0)</f>
        <v>-6034</v>
      </c>
      <c r="G930" s="257">
        <f t="shared" si="267"/>
        <v>2054182.02</v>
      </c>
      <c r="H930" s="38"/>
      <c r="I930" s="257">
        <f t="shared" si="263"/>
        <v>490512.37</v>
      </c>
      <c r="J930" s="1362">
        <f t="shared" si="268"/>
        <v>1.9599999999999999E-2</v>
      </c>
      <c r="K930" s="173">
        <f t="shared" si="269"/>
        <v>3319</v>
      </c>
      <c r="L930" s="38">
        <f t="shared" si="264"/>
        <v>6034</v>
      </c>
      <c r="M930" s="257">
        <f>ROUND('Plant input detail '!M932*'WPB2.2 Plant detail-w slippage'!$P$2,0)</f>
        <v>-603</v>
      </c>
      <c r="N930" s="2227">
        <f t="shared" si="265"/>
        <v>487194.37</v>
      </c>
    </row>
    <row r="931" spans="1:14" x14ac:dyDescent="0.2">
      <c r="A931" s="31">
        <f t="shared" si="266"/>
        <v>20</v>
      </c>
      <c r="B931" s="253">
        <v>375.6</v>
      </c>
      <c r="C931" s="52" t="s">
        <v>1042</v>
      </c>
      <c r="D931" s="257">
        <f t="shared" si="262"/>
        <v>0</v>
      </c>
      <c r="E931" s="382">
        <f>ROUND('Plant input detail '!E933*'WPB2.2 Plant detail-w slippage'!$P$2,0)</f>
        <v>0</v>
      </c>
      <c r="F931" s="257">
        <f>ROUND('Plant input detail '!F933*'WPB2.2 Plant detail-w slippage'!$P$2,0)</f>
        <v>0</v>
      </c>
      <c r="G931" s="257">
        <f t="shared" si="267"/>
        <v>0</v>
      </c>
      <c r="H931" s="38"/>
      <c r="I931" s="257">
        <f t="shared" si="263"/>
        <v>0.02</v>
      </c>
      <c r="J931" s="1362">
        <f t="shared" si="268"/>
        <v>1.9599999999999999E-2</v>
      </c>
      <c r="K931" s="173">
        <f t="shared" si="269"/>
        <v>0</v>
      </c>
      <c r="L931" s="38">
        <f t="shared" si="264"/>
        <v>0</v>
      </c>
      <c r="M931" s="257">
        <f>ROUND('Plant input detail '!M933*'WPB2.2 Plant detail-w slippage'!$P$2,0)</f>
        <v>0</v>
      </c>
      <c r="N931" s="2227">
        <f t="shared" si="265"/>
        <v>0.02</v>
      </c>
    </row>
    <row r="932" spans="1:14" x14ac:dyDescent="0.2">
      <c r="A932" s="31">
        <f t="shared" si="266"/>
        <v>21</v>
      </c>
      <c r="B932" s="253">
        <v>375.7</v>
      </c>
      <c r="C932" s="52" t="s">
        <v>1043</v>
      </c>
      <c r="D932" s="257">
        <f t="shared" si="262"/>
        <v>8150652.21</v>
      </c>
      <c r="E932" s="382">
        <f>ROUND('Plant input detail '!E934*'WPB2.2 Plant detail-w slippage'!$P$2,0)</f>
        <v>59601</v>
      </c>
      <c r="F932" s="257">
        <f>ROUND('Plant input detail '!F934*'WPB2.2 Plant detail-w slippage'!$P$2,0)</f>
        <v>-7152</v>
      </c>
      <c r="G932" s="257">
        <f t="shared" si="267"/>
        <v>8203101.21</v>
      </c>
      <c r="H932" s="38"/>
      <c r="I932" s="257">
        <f t="shared" si="263"/>
        <v>3303295.06</v>
      </c>
      <c r="J932" s="1362">
        <f t="shared" si="268"/>
        <v>1.9900000000000001E-2</v>
      </c>
      <c r="K932" s="173">
        <f t="shared" si="269"/>
        <v>13560</v>
      </c>
      <c r="L932" s="38">
        <f t="shared" si="264"/>
        <v>7152</v>
      </c>
      <c r="M932" s="257">
        <f>ROUND('Plant input detail '!M934*'WPB2.2 Plant detail-w slippage'!$P$2,0)</f>
        <v>0</v>
      </c>
      <c r="N932" s="2227">
        <f t="shared" si="265"/>
        <v>3309703.06</v>
      </c>
    </row>
    <row r="933" spans="1:14" x14ac:dyDescent="0.2">
      <c r="A933" s="31">
        <f t="shared" si="266"/>
        <v>22</v>
      </c>
      <c r="B933" s="253">
        <v>375.71</v>
      </c>
      <c r="C933" s="52" t="s">
        <v>1044</v>
      </c>
      <c r="D933" s="257">
        <f t="shared" si="262"/>
        <v>259808.94</v>
      </c>
      <c r="E933" s="382">
        <f>ROUND('Plant input detail '!E935*'WPB2.2 Plant detail-w slippage'!$P$2,0)</f>
        <v>0</v>
      </c>
      <c r="F933" s="257">
        <f>ROUND('Plant input detail '!F935*'WPB2.2 Plant detail-w slippage'!$P$2,0)</f>
        <v>0</v>
      </c>
      <c r="G933" s="257">
        <f t="shared" si="267"/>
        <v>259808.94</v>
      </c>
      <c r="H933" s="38"/>
      <c r="I933" s="257">
        <f t="shared" si="263"/>
        <v>177187.45578947378</v>
      </c>
      <c r="J933" s="296" t="s">
        <v>1094</v>
      </c>
      <c r="K933" s="258">
        <f>104653.88/38</f>
        <v>2754.0494736842106</v>
      </c>
      <c r="L933" s="38">
        <f t="shared" si="264"/>
        <v>0</v>
      </c>
      <c r="M933" s="257">
        <f>ROUND('Plant input detail '!M935*'WPB2.2 Plant detail-w slippage'!$P$2,0)</f>
        <v>0</v>
      </c>
      <c r="N933" s="2227">
        <f t="shared" si="265"/>
        <v>179941.505263158</v>
      </c>
    </row>
    <row r="934" spans="1:14" x14ac:dyDescent="0.2">
      <c r="A934" s="31">
        <f t="shared" si="266"/>
        <v>23</v>
      </c>
      <c r="B934" s="253">
        <v>375.8</v>
      </c>
      <c r="C934" s="52" t="s">
        <v>1045</v>
      </c>
      <c r="D934" s="257">
        <f t="shared" si="262"/>
        <v>0</v>
      </c>
      <c r="E934" s="382">
        <f>ROUND('Plant input detail '!E936*'WPB2.2 Plant detail-w slippage'!$P$2,0)</f>
        <v>0</v>
      </c>
      <c r="F934" s="257">
        <f>ROUND('Plant input detail '!F936*'WPB2.2 Plant detail-w slippage'!$P$2,0)</f>
        <v>0</v>
      </c>
      <c r="G934" s="257">
        <f t="shared" si="267"/>
        <v>0</v>
      </c>
      <c r="H934" s="38"/>
      <c r="I934" s="257">
        <f t="shared" si="263"/>
        <v>0</v>
      </c>
      <c r="J934" s="1362">
        <f>J828</f>
        <v>5.3199999999999997E-2</v>
      </c>
      <c r="K934" s="259">
        <v>0</v>
      </c>
      <c r="L934" s="38">
        <f t="shared" si="264"/>
        <v>0</v>
      </c>
      <c r="M934" s="257">
        <f>ROUND('Plant input detail '!M936*'WPB2.2 Plant detail-w slippage'!$P$2,0)</f>
        <v>0</v>
      </c>
      <c r="N934" s="2227">
        <f t="shared" si="265"/>
        <v>0</v>
      </c>
    </row>
    <row r="935" spans="1:14" x14ac:dyDescent="0.2">
      <c r="A935" s="31">
        <f>A934+1</f>
        <v>24</v>
      </c>
      <c r="B935" s="253">
        <v>376</v>
      </c>
      <c r="C935" s="251" t="s">
        <v>1096</v>
      </c>
      <c r="D935" s="257"/>
      <c r="E935" s="258"/>
      <c r="F935" s="259"/>
      <c r="G935" s="257"/>
      <c r="H935" s="38"/>
      <c r="I935" s="181"/>
      <c r="J935" s="1361"/>
      <c r="K935" s="173"/>
      <c r="L935" s="38"/>
      <c r="M935" s="259"/>
    </row>
    <row r="936" spans="1:14" x14ac:dyDescent="0.2">
      <c r="A936" s="31"/>
      <c r="B936" s="253"/>
      <c r="C936" s="286" t="s">
        <v>1097</v>
      </c>
      <c r="D936" s="257"/>
      <c r="E936" s="258"/>
      <c r="F936" s="259"/>
      <c r="G936" s="257"/>
      <c r="H936" s="38"/>
      <c r="I936" s="257"/>
      <c r="J936" s="1362"/>
      <c r="K936" s="173"/>
      <c r="L936" s="38"/>
      <c r="M936" s="257"/>
      <c r="N936" s="2227"/>
    </row>
    <row r="937" spans="1:14" x14ac:dyDescent="0.2">
      <c r="A937" s="31"/>
      <c r="B937" s="253"/>
      <c r="C937" s="286" t="s">
        <v>1098</v>
      </c>
      <c r="D937" s="257"/>
      <c r="E937" s="258"/>
      <c r="F937" s="259"/>
      <c r="G937" s="257"/>
      <c r="H937" s="38"/>
      <c r="I937" s="257"/>
      <c r="J937" s="1362"/>
      <c r="K937" s="173"/>
      <c r="L937" s="38"/>
      <c r="M937" s="257"/>
      <c r="N937" s="2227"/>
    </row>
    <row r="938" spans="1:14" x14ac:dyDescent="0.2">
      <c r="A938" s="31"/>
      <c r="B938" s="253"/>
      <c r="C938" s="286" t="s">
        <v>1099</v>
      </c>
      <c r="D938" s="257"/>
      <c r="E938" s="258"/>
      <c r="F938" s="259"/>
      <c r="G938" s="257"/>
      <c r="H938" s="38"/>
      <c r="I938" s="257"/>
      <c r="J938" s="1362"/>
      <c r="K938" s="173"/>
      <c r="L938" s="38"/>
      <c r="M938" s="257"/>
      <c r="N938" s="2227"/>
    </row>
    <row r="939" spans="1:14" x14ac:dyDescent="0.2">
      <c r="A939" s="31"/>
      <c r="B939" s="253"/>
      <c r="C939" s="286" t="s">
        <v>1100</v>
      </c>
      <c r="D939" s="257"/>
      <c r="E939" s="258"/>
      <c r="F939" s="259"/>
      <c r="G939" s="257"/>
      <c r="H939" s="38"/>
      <c r="I939" s="257"/>
      <c r="J939" s="1362"/>
      <c r="K939" s="173"/>
      <c r="L939" s="38"/>
      <c r="M939" s="257"/>
      <c r="N939" s="2227"/>
    </row>
    <row r="940" spans="1:14" x14ac:dyDescent="0.2">
      <c r="A940" s="31"/>
      <c r="B940" s="253"/>
      <c r="C940" s="286" t="s">
        <v>1101</v>
      </c>
      <c r="D940" s="257">
        <f t="shared" ref="D940:D945" si="270">G834</f>
        <v>211604633.44</v>
      </c>
      <c r="E940" s="382">
        <f>ROUND('Plant input detail '!E942*'WPB2.2 Plant detail-w slippage'!$P$2,0)</f>
        <v>1008166</v>
      </c>
      <c r="F940" s="257">
        <f>ROUND('Plant input detail '!F942*'WPB2.2 Plant detail-w slippage'!$P$2,0)</f>
        <v>-120980</v>
      </c>
      <c r="G940" s="257">
        <f t="shared" ref="G940:G945" si="271">SUM(D940:F940)</f>
        <v>212491819.44</v>
      </c>
      <c r="H940" s="38"/>
      <c r="I940" s="257">
        <f t="shared" ref="I940:I945" si="272">N834</f>
        <v>57176983.609999999</v>
      </c>
      <c r="J940" s="1362">
        <f t="shared" ref="J940:J945" si="273">J834</f>
        <v>1.5699999999999999E-2</v>
      </c>
      <c r="K940" s="173">
        <f t="shared" ref="K940:K945" si="274">ROUND((G940+D940)/2*J940/12,0)</f>
        <v>277430</v>
      </c>
      <c r="L940" s="38">
        <f t="shared" ref="L940:L945" si="275">-F940</f>
        <v>120980</v>
      </c>
      <c r="M940" s="257">
        <f>ROUND('Plant input detail '!M942*'WPB2.2 Plant detail-w slippage'!$P$2,0)</f>
        <v>-18147</v>
      </c>
      <c r="N940" s="2227">
        <f t="shared" ref="N940:N945" si="276">I940+K940-L940+M940</f>
        <v>57315286.609999999</v>
      </c>
    </row>
    <row r="941" spans="1:14" x14ac:dyDescent="0.2">
      <c r="A941" s="31">
        <f>A935+1</f>
        <v>25</v>
      </c>
      <c r="B941" s="253">
        <v>378.1</v>
      </c>
      <c r="C941" s="52" t="s">
        <v>1047</v>
      </c>
      <c r="D941" s="257">
        <f t="shared" si="270"/>
        <v>518504.18</v>
      </c>
      <c r="E941" s="382">
        <f>ROUND('Plant input detail '!E943*'WPB2.2 Plant detail-w slippage'!$P$2,0)</f>
        <v>0</v>
      </c>
      <c r="F941" s="257">
        <f>ROUND('Plant input detail '!F943*'WPB2.2 Plant detail-w slippage'!$P$2,0)</f>
        <v>0</v>
      </c>
      <c r="G941" s="257">
        <f t="shared" si="271"/>
        <v>518504.18</v>
      </c>
      <c r="H941" s="38"/>
      <c r="I941" s="257">
        <f t="shared" si="272"/>
        <v>361431.81</v>
      </c>
      <c r="J941" s="1362">
        <f t="shared" si="273"/>
        <v>2.35E-2</v>
      </c>
      <c r="K941" s="173">
        <f t="shared" si="274"/>
        <v>1015</v>
      </c>
      <c r="L941" s="38">
        <f t="shared" si="275"/>
        <v>0</v>
      </c>
      <c r="M941" s="257">
        <f>ROUND('Plant input detail '!M943*'WPB2.2 Plant detail-w slippage'!$P$2,0)</f>
        <v>0</v>
      </c>
      <c r="N941" s="2227">
        <f t="shared" si="276"/>
        <v>362446.81</v>
      </c>
    </row>
    <row r="942" spans="1:14" x14ac:dyDescent="0.2">
      <c r="A942" s="31">
        <f t="shared" si="266"/>
        <v>26</v>
      </c>
      <c r="B942" s="253">
        <v>378.2</v>
      </c>
      <c r="C942" s="52" t="s">
        <v>1048</v>
      </c>
      <c r="D942" s="257">
        <f t="shared" si="270"/>
        <v>9690952</v>
      </c>
      <c r="E942" s="382">
        <f>ROUND('Plant input detail '!E944*'WPB2.2 Plant detail-w slippage'!$P$2,0)</f>
        <v>52825</v>
      </c>
      <c r="F942" s="257">
        <f>ROUND('Plant input detail '!F944*'WPB2.2 Plant detail-w slippage'!$P$2,0)</f>
        <v>-6339</v>
      </c>
      <c r="G942" s="257">
        <f t="shared" si="271"/>
        <v>9737438</v>
      </c>
      <c r="H942" s="38"/>
      <c r="I942" s="257">
        <f t="shared" si="272"/>
        <v>3343632.91</v>
      </c>
      <c r="J942" s="1362">
        <f t="shared" si="273"/>
        <v>2.35E-2</v>
      </c>
      <c r="K942" s="173">
        <f t="shared" si="274"/>
        <v>19024</v>
      </c>
      <c r="L942" s="38">
        <f t="shared" si="275"/>
        <v>6339</v>
      </c>
      <c r="M942" s="257">
        <f>ROUND('Plant input detail '!M944*'WPB2.2 Plant detail-w slippage'!$P$2,0)</f>
        <v>-317</v>
      </c>
      <c r="N942" s="2227">
        <f t="shared" si="276"/>
        <v>3356000.91</v>
      </c>
    </row>
    <row r="943" spans="1:14" x14ac:dyDescent="0.2">
      <c r="A943" s="31">
        <f t="shared" si="266"/>
        <v>27</v>
      </c>
      <c r="B943" s="253">
        <v>378.3</v>
      </c>
      <c r="C943" s="52" t="s">
        <v>1049</v>
      </c>
      <c r="D943" s="257">
        <f t="shared" si="270"/>
        <v>45443.08</v>
      </c>
      <c r="E943" s="382">
        <f>ROUND('Plant input detail '!E945*'WPB2.2 Plant detail-w slippage'!$P$2,0)</f>
        <v>0</v>
      </c>
      <c r="F943" s="257">
        <f>ROUND('Plant input detail '!F945*'WPB2.2 Plant detail-w slippage'!$P$2,0)</f>
        <v>0</v>
      </c>
      <c r="G943" s="257">
        <f t="shared" si="271"/>
        <v>45443.08</v>
      </c>
      <c r="H943" s="38"/>
      <c r="I943" s="257">
        <f t="shared" si="272"/>
        <v>35700.04</v>
      </c>
      <c r="J943" s="1362">
        <f t="shared" si="273"/>
        <v>2.35E-2</v>
      </c>
      <c r="K943" s="173">
        <f t="shared" si="274"/>
        <v>89</v>
      </c>
      <c r="L943" s="38">
        <f t="shared" si="275"/>
        <v>0</v>
      </c>
      <c r="M943" s="257">
        <f>ROUND('Plant input detail '!M945*'WPB2.2 Plant detail-w slippage'!$P$2,0)</f>
        <v>0</v>
      </c>
      <c r="N943" s="2227">
        <f t="shared" si="276"/>
        <v>35789.040000000001</v>
      </c>
    </row>
    <row r="944" spans="1:14" x14ac:dyDescent="0.2">
      <c r="A944" s="31">
        <f t="shared" si="266"/>
        <v>28</v>
      </c>
      <c r="B944" s="253">
        <v>379.1</v>
      </c>
      <c r="C944" s="52" t="s">
        <v>1050</v>
      </c>
      <c r="D944" s="257">
        <f t="shared" si="270"/>
        <v>254900.59</v>
      </c>
      <c r="E944" s="382">
        <f>ROUND('Plant input detail '!E946*'WPB2.2 Plant detail-w slippage'!$P$2,0)</f>
        <v>0</v>
      </c>
      <c r="F944" s="257">
        <f>ROUND('Plant input detail '!F946*'WPB2.2 Plant detail-w slippage'!$P$2,0)</f>
        <v>0</v>
      </c>
      <c r="G944" s="257">
        <f t="shared" si="271"/>
        <v>254900.59</v>
      </c>
      <c r="H944" s="38"/>
      <c r="I944" s="257">
        <f t="shared" si="272"/>
        <v>267730.57</v>
      </c>
      <c r="J944" s="1362">
        <f t="shared" si="273"/>
        <v>2.2700000000000001E-2</v>
      </c>
      <c r="K944" s="259">
        <v>0</v>
      </c>
      <c r="L944" s="38">
        <f t="shared" si="275"/>
        <v>0</v>
      </c>
      <c r="M944" s="257">
        <f>ROUND('Plant input detail '!M946*'WPB2.2 Plant detail-w slippage'!$P$2,0)</f>
        <v>0</v>
      </c>
      <c r="N944" s="2227">
        <f t="shared" si="276"/>
        <v>267730.57</v>
      </c>
    </row>
    <row r="945" spans="1:14" x14ac:dyDescent="0.2">
      <c r="A945" s="31">
        <f t="shared" si="266"/>
        <v>29</v>
      </c>
      <c r="B945" s="253">
        <v>380</v>
      </c>
      <c r="C945" s="52" t="s">
        <v>1051</v>
      </c>
      <c r="D945" s="257">
        <f t="shared" si="270"/>
        <v>121845428.77</v>
      </c>
      <c r="E945" s="382">
        <f>ROUND('Plant input detail '!E947*'WPB2.2 Plant detail-w slippage'!$P$2,0)</f>
        <v>689548</v>
      </c>
      <c r="F945" s="257">
        <f>ROUND('Plant input detail '!F947*'WPB2.2 Plant detail-w slippage'!$P$2,0)</f>
        <v>-82746</v>
      </c>
      <c r="G945" s="257">
        <f t="shared" si="271"/>
        <v>122452230.77</v>
      </c>
      <c r="H945" s="38"/>
      <c r="I945" s="257">
        <f t="shared" si="272"/>
        <v>58508970.520000003</v>
      </c>
      <c r="J945" s="1362">
        <f t="shared" si="273"/>
        <v>2.5899999999999999E-2</v>
      </c>
      <c r="K945" s="173">
        <f t="shared" si="274"/>
        <v>263638</v>
      </c>
      <c r="L945" s="38">
        <f t="shared" si="275"/>
        <v>82746</v>
      </c>
      <c r="M945" s="257">
        <f>ROUND('Plant input detail '!M947*'WPB2.2 Plant detail-w slippage'!$P$2,0)</f>
        <v>-41373</v>
      </c>
      <c r="N945" s="2227">
        <f t="shared" si="276"/>
        <v>58648489.520000003</v>
      </c>
    </row>
    <row r="946" spans="1:14" x14ac:dyDescent="0.2">
      <c r="A946" s="170"/>
      <c r="B946" s="179"/>
      <c r="C946" s="178"/>
      <c r="D946" s="181"/>
      <c r="E946" s="173"/>
      <c r="F946" s="173"/>
      <c r="G946" s="181"/>
      <c r="H946" s="173"/>
      <c r="I946" s="173"/>
      <c r="J946" s="173"/>
      <c r="K946" s="173"/>
      <c r="L946" s="173"/>
      <c r="M946" s="171"/>
      <c r="N946" s="2229"/>
    </row>
    <row r="947" spans="1:14" x14ac:dyDescent="0.2">
      <c r="A947" s="2079" t="str">
        <f>co</f>
        <v>COLUMBIA GAS OF KENTUCKY, INC.</v>
      </c>
      <c r="B947" s="2079"/>
      <c r="C947" s="2079"/>
      <c r="D947" s="2079"/>
      <c r="E947" s="2079"/>
      <c r="F947" s="2079"/>
      <c r="G947" s="2079"/>
      <c r="H947" s="2079"/>
      <c r="I947" s="2079"/>
      <c r="J947" s="2079"/>
      <c r="K947" s="2079"/>
      <c r="L947" s="2079"/>
      <c r="M947" s="2079"/>
      <c r="N947" s="2079"/>
    </row>
    <row r="948" spans="1:14" x14ac:dyDescent="0.2">
      <c r="A948" s="2079" t="str">
        <f>case</f>
        <v>CASE NO. 2016 - 00162</v>
      </c>
      <c r="B948" s="2079"/>
      <c r="C948" s="2079"/>
      <c r="D948" s="2079"/>
      <c r="E948" s="2079"/>
      <c r="F948" s="2079"/>
      <c r="G948" s="2079"/>
      <c r="H948" s="2079"/>
      <c r="I948" s="2079"/>
      <c r="J948" s="2079"/>
      <c r="K948" s="2079"/>
      <c r="L948" s="2079"/>
      <c r="M948" s="2079"/>
      <c r="N948" s="2079"/>
    </row>
    <row r="949" spans="1:14" x14ac:dyDescent="0.2">
      <c r="A949" s="2080" t="s">
        <v>1106</v>
      </c>
      <c r="B949" s="2079"/>
      <c r="C949" s="2079"/>
      <c r="D949" s="2079"/>
      <c r="E949" s="2079"/>
      <c r="F949" s="2079"/>
      <c r="G949" s="2079"/>
      <c r="H949" s="2079"/>
      <c r="I949" s="2079"/>
      <c r="J949" s="2079"/>
      <c r="K949" s="2079"/>
      <c r="L949" s="2079"/>
      <c r="M949" s="2079"/>
      <c r="N949" s="2079"/>
    </row>
    <row r="950" spans="1:14" x14ac:dyDescent="0.2">
      <c r="A950" s="2081" t="s">
        <v>2142</v>
      </c>
      <c r="B950" s="2085"/>
      <c r="C950" s="2085"/>
      <c r="D950" s="2085"/>
      <c r="E950" s="2085"/>
      <c r="F950" s="2085"/>
      <c r="G950" s="2085"/>
      <c r="H950" s="2085"/>
      <c r="I950" s="2085"/>
      <c r="J950" s="2085"/>
      <c r="K950" s="2085"/>
      <c r="L950" s="2085"/>
      <c r="M950" s="2085"/>
      <c r="N950" s="2085"/>
    </row>
    <row r="952" spans="1:14" x14ac:dyDescent="0.2">
      <c r="A952" s="285" t="str">
        <f>$A$6</f>
        <v>DATA:__X___BASE PERIOD__X___FORECASTED PERIOD</v>
      </c>
      <c r="C952" s="171"/>
      <c r="M952" s="32"/>
      <c r="N952" s="1258" t="str">
        <f>$N$6</f>
        <v>WPB-2.2</v>
      </c>
    </row>
    <row r="953" spans="1:14" x14ac:dyDescent="0.2">
      <c r="A953" s="4" t="str">
        <f>$A$7</f>
        <v>TYPE OF FILING:___X____ORIGINAL________UPDATED</v>
      </c>
      <c r="M953" s="32"/>
      <c r="N953" s="2223" t="s">
        <v>1731</v>
      </c>
    </row>
    <row r="954" spans="1:14" x14ac:dyDescent="0.2">
      <c r="A954" s="1261" t="str">
        <f>$A$8</f>
        <v xml:space="preserve">WORKPAPER REFERENCE NO(S).: </v>
      </c>
      <c r="B954" s="202"/>
      <c r="C954" s="202"/>
      <c r="D954" s="201"/>
      <c r="E954" s="202"/>
      <c r="F954" s="202"/>
      <c r="G954" s="201"/>
      <c r="H954" s="201"/>
      <c r="M954" s="203"/>
      <c r="N954" s="204" t="str">
        <f>SMK</f>
        <v>WITNESS:  S. M. KATKO</v>
      </c>
    </row>
    <row r="955" spans="1:14" x14ac:dyDescent="0.2">
      <c r="A955" s="200"/>
      <c r="B955" s="201"/>
      <c r="C955" s="201"/>
      <c r="D955" s="201"/>
      <c r="E955" s="202"/>
      <c r="F955" s="202"/>
      <c r="G955" s="201"/>
      <c r="H955" s="201"/>
      <c r="I955" s="203"/>
      <c r="J955" s="1357"/>
      <c r="L955" s="32"/>
      <c r="M955" s="32"/>
    </row>
    <row r="956" spans="1:14" x14ac:dyDescent="0.2">
      <c r="A956" s="200"/>
      <c r="B956" s="201"/>
      <c r="C956" s="201"/>
      <c r="D956" s="2082" t="s">
        <v>1088</v>
      </c>
      <c r="E956" s="2082"/>
      <c r="F956" s="2082"/>
      <c r="G956" s="2082"/>
      <c r="H956" s="201"/>
      <c r="I956" s="2083" t="s">
        <v>1093</v>
      </c>
      <c r="J956" s="2084"/>
      <c r="K956" s="2084"/>
      <c r="L956" s="2084"/>
      <c r="M956" s="2084"/>
      <c r="N956" s="2084"/>
    </row>
    <row r="957" spans="1:14" x14ac:dyDescent="0.2">
      <c r="A957" s="270"/>
      <c r="B957" s="201"/>
      <c r="C957" s="201"/>
      <c r="D957" s="271" t="s">
        <v>1084</v>
      </c>
      <c r="E957" s="202"/>
      <c r="F957" s="202"/>
      <c r="G957" s="269"/>
      <c r="H957" s="269"/>
      <c r="I957" s="261" t="s">
        <v>1089</v>
      </c>
      <c r="J957" s="1358"/>
      <c r="M957" s="32"/>
    </row>
    <row r="958" spans="1:14" x14ac:dyDescent="0.2">
      <c r="A958" s="30"/>
      <c r="D958" s="261" t="s">
        <v>865</v>
      </c>
      <c r="G958" s="261" t="s">
        <v>867</v>
      </c>
      <c r="H958" s="268"/>
      <c r="I958" s="261" t="s">
        <v>865</v>
      </c>
      <c r="J958" s="1308" t="s">
        <v>956</v>
      </c>
      <c r="M958" s="32"/>
      <c r="N958" s="2225" t="s">
        <v>867</v>
      </c>
    </row>
    <row r="959" spans="1:14" x14ac:dyDescent="0.2">
      <c r="A959" s="261" t="s">
        <v>1080</v>
      </c>
      <c r="B959" s="261" t="s">
        <v>1082</v>
      </c>
      <c r="D959" s="261" t="s">
        <v>867</v>
      </c>
      <c r="G959" s="262" t="s">
        <v>1087</v>
      </c>
      <c r="H959" s="268"/>
      <c r="I959" s="262" t="s">
        <v>867</v>
      </c>
      <c r="J959" s="1308" t="s">
        <v>1090</v>
      </c>
      <c r="K959" s="1308" t="s">
        <v>956</v>
      </c>
      <c r="M959" s="262" t="s">
        <v>1092</v>
      </c>
      <c r="N959" s="1259" t="s">
        <v>1087</v>
      </c>
    </row>
    <row r="960" spans="1:14" x14ac:dyDescent="0.2">
      <c r="A960" s="272" t="s">
        <v>1081</v>
      </c>
      <c r="B960" s="272" t="s">
        <v>1081</v>
      </c>
      <c r="C960" s="273" t="s">
        <v>1083</v>
      </c>
      <c r="D960" s="274" t="str">
        <f>D907</f>
        <v>10/31/2016</v>
      </c>
      <c r="E960" s="275" t="s">
        <v>1085</v>
      </c>
      <c r="F960" s="275" t="s">
        <v>1086</v>
      </c>
      <c r="G960" s="274" t="str">
        <f>G907</f>
        <v>11/30/2016</v>
      </c>
      <c r="H960" s="268"/>
      <c r="I960" s="274" t="str">
        <f>D960</f>
        <v>10/31/2016</v>
      </c>
      <c r="J960" s="275" t="s">
        <v>1091</v>
      </c>
      <c r="K960" s="1327" t="s">
        <v>1090</v>
      </c>
      <c r="L960" s="276" t="s">
        <v>1086</v>
      </c>
      <c r="M960" s="276" t="s">
        <v>955</v>
      </c>
      <c r="N960" s="2226" t="str">
        <f>G960</f>
        <v>11/30/2016</v>
      </c>
    </row>
    <row r="961" spans="1:14" x14ac:dyDescent="0.2">
      <c r="A961" s="267"/>
      <c r="B961" s="267"/>
      <c r="C961" s="267"/>
      <c r="D961" s="267" t="str">
        <f>"(1)"</f>
        <v>(1)</v>
      </c>
      <c r="E961" s="267" t="str">
        <f>"(2)"</f>
        <v>(2)</v>
      </c>
      <c r="F961" s="267" t="str">
        <f>"(3)"</f>
        <v>(3)</v>
      </c>
      <c r="G961" s="267" t="str">
        <f>"(4)=(1+2+3)"</f>
        <v>(4)=(1+2+3)</v>
      </c>
      <c r="H961" s="267"/>
      <c r="I961" s="267" t="str">
        <f>"(5)"</f>
        <v>(5)</v>
      </c>
      <c r="J961" s="1328" t="str">
        <f>"(6)"</f>
        <v>(6)</v>
      </c>
      <c r="K961" s="1328" t="str">
        <f>"(7)=((1+4)/2*6/12))"</f>
        <v>(7)=((1+4)/2*6/12))</v>
      </c>
      <c r="L961" s="267" t="str">
        <f>"(8)"</f>
        <v>(8)</v>
      </c>
      <c r="M961" s="267" t="str">
        <f>"(9)"</f>
        <v>(9)</v>
      </c>
      <c r="N961" s="204" t="str">
        <f>"(10)=(5+7-8+9)"</f>
        <v>(10)=(5+7-8+9)</v>
      </c>
    </row>
    <row r="962" spans="1:14" x14ac:dyDescent="0.2">
      <c r="D962" s="31" t="s">
        <v>639</v>
      </c>
      <c r="E962" s="170" t="s">
        <v>639</v>
      </c>
      <c r="F962" s="170" t="s">
        <v>639</v>
      </c>
      <c r="G962" s="31" t="s">
        <v>639</v>
      </c>
      <c r="H962" s="31"/>
      <c r="I962" s="31" t="s">
        <v>639</v>
      </c>
      <c r="J962" s="170" t="s">
        <v>639</v>
      </c>
      <c r="K962" s="170" t="s">
        <v>639</v>
      </c>
      <c r="L962" s="31" t="s">
        <v>639</v>
      </c>
      <c r="M962" s="31" t="s">
        <v>639</v>
      </c>
      <c r="N962" s="155" t="s">
        <v>639</v>
      </c>
    </row>
    <row r="963" spans="1:14" x14ac:dyDescent="0.2">
      <c r="C963" s="36" t="s">
        <v>707</v>
      </c>
      <c r="D963" s="31"/>
      <c r="E963" s="170"/>
      <c r="F963" s="170"/>
      <c r="G963" s="31"/>
      <c r="J963" s="170"/>
    </row>
    <row r="964" spans="1:14" x14ac:dyDescent="0.2">
      <c r="A964" s="127">
        <v>1</v>
      </c>
      <c r="B964" s="123">
        <v>381</v>
      </c>
      <c r="C964" s="52" t="s">
        <v>1052</v>
      </c>
      <c r="D964" s="257">
        <f t="shared" ref="D964:D975" si="277">G858</f>
        <v>13681578.550000001</v>
      </c>
      <c r="E964" s="382">
        <f>ROUND('Plant input detail '!E966*'WPB2.2 Plant detail-w slippage'!$P$2,0)</f>
        <v>22915</v>
      </c>
      <c r="F964" s="257">
        <f>ROUND('Plant input detail '!F966*'WPB2.2 Plant detail-w slippage'!$P$2,0)</f>
        <v>-2750</v>
      </c>
      <c r="G964" s="257">
        <f>SUM(D964:F964)</f>
        <v>13701743.550000001</v>
      </c>
      <c r="H964" s="38"/>
      <c r="I964" s="257">
        <f t="shared" ref="I964:I975" si="278">N858</f>
        <v>4876472.8899999997</v>
      </c>
      <c r="J964" s="1362">
        <f t="shared" ref="J964:J975" si="279">J858</f>
        <v>2.5899999999999999E-2</v>
      </c>
      <c r="K964" s="173">
        <f t="shared" ref="K964:K975" si="280">ROUND((G964+D964)/2*J964/12,0)</f>
        <v>29551</v>
      </c>
      <c r="L964" s="38">
        <f t="shared" ref="L964:L975" si="281">-F964</f>
        <v>2750</v>
      </c>
      <c r="M964" s="257">
        <f>ROUND('Plant input detail '!M966*'WPB2.2 Plant detail-w slippage'!$P$2,0)</f>
        <v>0</v>
      </c>
      <c r="N964" s="2227">
        <f t="shared" ref="N964:N975" si="282">I964+K964-L964+M964</f>
        <v>4903273.8899999997</v>
      </c>
    </row>
    <row r="965" spans="1:14" x14ac:dyDescent="0.2">
      <c r="A965" s="127">
        <f>A964+1</f>
        <v>2</v>
      </c>
      <c r="B965" s="123">
        <v>381.1</v>
      </c>
      <c r="C965" s="52" t="s">
        <v>1115</v>
      </c>
      <c r="D965" s="257">
        <f t="shared" si="277"/>
        <v>8770406.0600000005</v>
      </c>
      <c r="E965" s="382">
        <f>ROUND('Plant input detail '!E967*'WPB2.2 Plant detail-w slippage'!$P$2,0)</f>
        <v>3185</v>
      </c>
      <c r="F965" s="257">
        <f>ROUND('Plant input detail '!F967*'WPB2.2 Plant detail-w slippage'!$P$2,0)</f>
        <v>-382</v>
      </c>
      <c r="G965" s="257">
        <f>SUM(D965:F965)</f>
        <v>8773209.0600000005</v>
      </c>
      <c r="H965" s="38"/>
      <c r="I965" s="257">
        <f t="shared" si="278"/>
        <v>515570.5</v>
      </c>
      <c r="J965" s="1362">
        <f t="shared" si="279"/>
        <v>2.5899999999999999E-2</v>
      </c>
      <c r="K965" s="173">
        <f t="shared" si="280"/>
        <v>18932</v>
      </c>
      <c r="L965" s="38">
        <f t="shared" si="281"/>
        <v>382</v>
      </c>
      <c r="M965" s="257">
        <f>ROUND('Plant input detail '!M967*'WPB2.2 Plant detail-w slippage'!$P$2,0)</f>
        <v>0</v>
      </c>
      <c r="N965" s="2227">
        <f t="shared" si="282"/>
        <v>534120.5</v>
      </c>
    </row>
    <row r="966" spans="1:14" x14ac:dyDescent="0.2">
      <c r="A966" s="127">
        <f t="shared" ref="A966:A976" si="283">A965+1</f>
        <v>3</v>
      </c>
      <c r="B966" s="123">
        <v>382</v>
      </c>
      <c r="C966" s="52" t="s">
        <v>1053</v>
      </c>
      <c r="D966" s="257">
        <f t="shared" si="277"/>
        <v>9198744.6500000004</v>
      </c>
      <c r="E966" s="382">
        <f>ROUND('Plant input detail '!E968*'WPB2.2 Plant detail-w slippage'!$P$2,0)</f>
        <v>50482</v>
      </c>
      <c r="F966" s="257">
        <f>ROUND('Plant input detail '!F968*'WPB2.2 Plant detail-w slippage'!$P$2,0)</f>
        <v>-6058</v>
      </c>
      <c r="G966" s="257">
        <f t="shared" ref="G966:G971" si="284">SUM(D966:F966)</f>
        <v>9243168.6500000004</v>
      </c>
      <c r="H966" s="38"/>
      <c r="I966" s="257">
        <f t="shared" si="278"/>
        <v>4599985.3</v>
      </c>
      <c r="J966" s="1362">
        <f t="shared" si="279"/>
        <v>2.3900000000000001E-2</v>
      </c>
      <c r="K966" s="173">
        <f t="shared" si="280"/>
        <v>18365</v>
      </c>
      <c r="L966" s="38">
        <f t="shared" si="281"/>
        <v>6058</v>
      </c>
      <c r="M966" s="257">
        <f>ROUND('Plant input detail '!M968*'WPB2.2 Plant detail-w slippage'!$P$2,0)</f>
        <v>-303</v>
      </c>
      <c r="N966" s="2227">
        <f t="shared" si="282"/>
        <v>4611989.3</v>
      </c>
    </row>
    <row r="967" spans="1:14" x14ac:dyDescent="0.2">
      <c r="A967" s="127">
        <f t="shared" si="283"/>
        <v>4</v>
      </c>
      <c r="B967" s="123">
        <v>383</v>
      </c>
      <c r="C967" s="52" t="s">
        <v>1054</v>
      </c>
      <c r="D967" s="257">
        <f t="shared" si="277"/>
        <v>5628514.7599999998</v>
      </c>
      <c r="E967" s="382">
        <f>ROUND('Plant input detail '!E969*'WPB2.2 Plant detail-w slippage'!$P$2,0)</f>
        <v>21537</v>
      </c>
      <c r="F967" s="257">
        <f>ROUND('Plant input detail '!F969*'WPB2.2 Plant detail-w slippage'!$P$2,0)</f>
        <v>-2584</v>
      </c>
      <c r="G967" s="257">
        <f t="shared" si="284"/>
        <v>5647467.7599999998</v>
      </c>
      <c r="H967" s="38"/>
      <c r="I967" s="257">
        <f t="shared" si="278"/>
        <v>1497364.41</v>
      </c>
      <c r="J967" s="1362">
        <f t="shared" si="279"/>
        <v>1.3899999999999999E-2</v>
      </c>
      <c r="K967" s="173">
        <f t="shared" si="280"/>
        <v>6531</v>
      </c>
      <c r="L967" s="38">
        <f t="shared" si="281"/>
        <v>2584</v>
      </c>
      <c r="M967" s="257">
        <f>ROUND('Plant input detail '!M969*'WPB2.2 Plant detail-w slippage'!$P$2,0)</f>
        <v>-129</v>
      </c>
      <c r="N967" s="2227">
        <f t="shared" si="282"/>
        <v>1501182.41</v>
      </c>
    </row>
    <row r="968" spans="1:14" x14ac:dyDescent="0.2">
      <c r="A968" s="127">
        <f t="shared" si="283"/>
        <v>5</v>
      </c>
      <c r="B968" s="123">
        <v>384</v>
      </c>
      <c r="C968" s="52" t="s">
        <v>1055</v>
      </c>
      <c r="D968" s="257">
        <f t="shared" si="277"/>
        <v>2257522</v>
      </c>
      <c r="E968" s="382">
        <f>ROUND('Plant input detail '!E970*'WPB2.2 Plant detail-w slippage'!$P$2,0)</f>
        <v>0</v>
      </c>
      <c r="F968" s="257">
        <f>ROUND('Plant input detail '!F970*'WPB2.2 Plant detail-w slippage'!$P$2,0)</f>
        <v>0</v>
      </c>
      <c r="G968" s="257">
        <f t="shared" si="284"/>
        <v>2257522</v>
      </c>
      <c r="H968" s="38"/>
      <c r="I968" s="257">
        <f t="shared" si="278"/>
        <v>1765190.73</v>
      </c>
      <c r="J968" s="1362">
        <f t="shared" si="279"/>
        <v>1.0999999999999999E-2</v>
      </c>
      <c r="K968" s="173">
        <f t="shared" si="280"/>
        <v>2069</v>
      </c>
      <c r="L968" s="38">
        <f t="shared" si="281"/>
        <v>0</v>
      </c>
      <c r="M968" s="257">
        <f>ROUND('Plant input detail '!M970*'WPB2.2 Plant detail-w slippage'!$P$2,0)</f>
        <v>0</v>
      </c>
      <c r="N968" s="2227">
        <f t="shared" si="282"/>
        <v>1767259.73</v>
      </c>
    </row>
    <row r="969" spans="1:14" x14ac:dyDescent="0.2">
      <c r="A969" s="127">
        <f t="shared" si="283"/>
        <v>6</v>
      </c>
      <c r="B969" s="123">
        <v>385</v>
      </c>
      <c r="C969" s="52" t="s">
        <v>1056</v>
      </c>
      <c r="D969" s="257">
        <f t="shared" si="277"/>
        <v>3214073.36</v>
      </c>
      <c r="E969" s="382">
        <f>ROUND('Plant input detail '!E971*'WPB2.2 Plant detail-w slippage'!$P$2,0)</f>
        <v>21653</v>
      </c>
      <c r="F969" s="257">
        <f>ROUND('Plant input detail '!F971*'WPB2.2 Plant detail-w slippage'!$P$2,0)</f>
        <v>-2598</v>
      </c>
      <c r="G969" s="257">
        <f t="shared" si="284"/>
        <v>3233128.36</v>
      </c>
      <c r="H969" s="38"/>
      <c r="I969" s="257">
        <f t="shared" si="278"/>
        <v>884398.55</v>
      </c>
      <c r="J969" s="1362">
        <f t="shared" si="279"/>
        <v>2.0899999999999998E-2</v>
      </c>
      <c r="K969" s="173">
        <f t="shared" si="280"/>
        <v>5614</v>
      </c>
      <c r="L969" s="38">
        <f t="shared" si="281"/>
        <v>2598</v>
      </c>
      <c r="M969" s="257">
        <f>ROUND('Plant input detail '!M971*'WPB2.2 Plant detail-w slippage'!$P$2,0)</f>
        <v>-130</v>
      </c>
      <c r="N969" s="2227">
        <f t="shared" si="282"/>
        <v>887284.55</v>
      </c>
    </row>
    <row r="970" spans="1:14" x14ac:dyDescent="0.2">
      <c r="A970" s="127">
        <f t="shared" si="283"/>
        <v>7</v>
      </c>
      <c r="B970" s="123">
        <v>387.2</v>
      </c>
      <c r="C970" s="52" t="s">
        <v>1057</v>
      </c>
      <c r="D970" s="257">
        <f t="shared" si="277"/>
        <v>0</v>
      </c>
      <c r="E970" s="382">
        <f>ROUND('Plant input detail '!E972*'WPB2.2 Plant detail-w slippage'!$P$2,0)</f>
        <v>0</v>
      </c>
      <c r="F970" s="257">
        <f>ROUND('Plant input detail '!F972*'WPB2.2 Plant detail-w slippage'!$P$2,0)</f>
        <v>0</v>
      </c>
      <c r="G970" s="257">
        <f t="shared" si="284"/>
        <v>0</v>
      </c>
      <c r="H970" s="38"/>
      <c r="I970" s="257">
        <f t="shared" si="278"/>
        <v>-59912.03</v>
      </c>
      <c r="J970" s="1362">
        <f t="shared" si="279"/>
        <v>2.3199999999999998E-2</v>
      </c>
      <c r="K970" s="173">
        <f t="shared" si="280"/>
        <v>0</v>
      </c>
      <c r="L970" s="38">
        <f t="shared" si="281"/>
        <v>0</v>
      </c>
      <c r="M970" s="257">
        <f>ROUND('Plant input detail '!M972*'WPB2.2 Plant detail-w slippage'!$P$2,0)</f>
        <v>0</v>
      </c>
      <c r="N970" s="2227">
        <f t="shared" si="282"/>
        <v>-59912.03</v>
      </c>
    </row>
    <row r="971" spans="1:14" x14ac:dyDescent="0.2">
      <c r="A971" s="127">
        <f t="shared" si="283"/>
        <v>8</v>
      </c>
      <c r="B971" s="123">
        <v>387.41</v>
      </c>
      <c r="C971" s="52" t="s">
        <v>1058</v>
      </c>
      <c r="D971" s="257">
        <f t="shared" si="277"/>
        <v>735770.76</v>
      </c>
      <c r="E971" s="382">
        <f>ROUND('Plant input detail '!E973*'WPB2.2 Plant detail-w slippage'!$P$2,0)</f>
        <v>0</v>
      </c>
      <c r="F971" s="257">
        <f>ROUND('Plant input detail '!F973*'WPB2.2 Plant detail-w slippage'!$P$2,0)</f>
        <v>0</v>
      </c>
      <c r="G971" s="257">
        <f t="shared" si="284"/>
        <v>735770.76</v>
      </c>
      <c r="H971" s="38"/>
      <c r="I971" s="257">
        <f t="shared" si="278"/>
        <v>383187.95</v>
      </c>
      <c r="J971" s="1362">
        <f t="shared" si="279"/>
        <v>2.3400000000000001E-2</v>
      </c>
      <c r="K971" s="173">
        <f t="shared" si="280"/>
        <v>1435</v>
      </c>
      <c r="L971" s="38">
        <f t="shared" si="281"/>
        <v>0</v>
      </c>
      <c r="M971" s="257">
        <f>ROUND('Plant input detail '!M973*'WPB2.2 Plant detail-w slippage'!$P$2,0)</f>
        <v>0</v>
      </c>
      <c r="N971" s="2227">
        <f t="shared" si="282"/>
        <v>384622.95</v>
      </c>
    </row>
    <row r="972" spans="1:14" x14ac:dyDescent="0.2">
      <c r="A972" s="127">
        <f t="shared" si="283"/>
        <v>9</v>
      </c>
      <c r="B972" s="123">
        <v>387.42</v>
      </c>
      <c r="C972" s="52" t="s">
        <v>1059</v>
      </c>
      <c r="D972" s="257">
        <f t="shared" si="277"/>
        <v>795186.58</v>
      </c>
      <c r="E972" s="382">
        <f>ROUND('Plant input detail '!E974*'WPB2.2 Plant detail-w slippage'!$P$2,0)</f>
        <v>0</v>
      </c>
      <c r="F972" s="257">
        <f>ROUND('Plant input detail '!F974*'WPB2.2 Plant detail-w slippage'!$P$2,0)</f>
        <v>0</v>
      </c>
      <c r="G972" s="257">
        <f>SUM(D972:F972)</f>
        <v>795186.58</v>
      </c>
      <c r="H972" s="38"/>
      <c r="I972" s="257">
        <f t="shared" si="278"/>
        <v>549443.94999999995</v>
      </c>
      <c r="J972" s="1362">
        <f t="shared" si="279"/>
        <v>2.3400000000000001E-2</v>
      </c>
      <c r="K972" s="173">
        <f t="shared" si="280"/>
        <v>1551</v>
      </c>
      <c r="L972" s="38">
        <f t="shared" si="281"/>
        <v>0</v>
      </c>
      <c r="M972" s="257">
        <f>ROUND('Plant input detail '!M974*'WPB2.2 Plant detail-w slippage'!$P$2,0)</f>
        <v>0</v>
      </c>
      <c r="N972" s="2227">
        <f t="shared" si="282"/>
        <v>550994.94999999995</v>
      </c>
    </row>
    <row r="973" spans="1:14" x14ac:dyDescent="0.2">
      <c r="A973" s="127">
        <f t="shared" si="283"/>
        <v>10</v>
      </c>
      <c r="B973" s="123">
        <v>387.44</v>
      </c>
      <c r="C973" s="52" t="s">
        <v>1060</v>
      </c>
      <c r="D973" s="257">
        <f t="shared" si="277"/>
        <v>143283.93</v>
      </c>
      <c r="E973" s="382">
        <f>ROUND('Plant input detail '!E975*'WPB2.2 Plant detail-w slippage'!$P$2,0)</f>
        <v>0</v>
      </c>
      <c r="F973" s="257">
        <f>ROUND('Plant input detail '!F975*'WPB2.2 Plant detail-w slippage'!$P$2,0)</f>
        <v>0</v>
      </c>
      <c r="G973" s="257">
        <f>SUM(D973:F973)</f>
        <v>143283.93</v>
      </c>
      <c r="H973" s="38"/>
      <c r="I973" s="257">
        <f t="shared" si="278"/>
        <v>46390.55</v>
      </c>
      <c r="J973" s="1362">
        <f t="shared" si="279"/>
        <v>2.3400000000000001E-2</v>
      </c>
      <c r="K973" s="173">
        <f t="shared" si="280"/>
        <v>279</v>
      </c>
      <c r="L973" s="38">
        <f t="shared" si="281"/>
        <v>0</v>
      </c>
      <c r="M973" s="257">
        <f>ROUND('Plant input detail '!M975*'WPB2.2 Plant detail-w slippage'!$P$2,0)</f>
        <v>0</v>
      </c>
      <c r="N973" s="2227">
        <f t="shared" si="282"/>
        <v>46669.55</v>
      </c>
    </row>
    <row r="974" spans="1:14" x14ac:dyDescent="0.2">
      <c r="A974" s="127">
        <f t="shared" si="283"/>
        <v>11</v>
      </c>
      <c r="B974" s="123">
        <v>387.45</v>
      </c>
      <c r="C974" s="52" t="s">
        <v>1061</v>
      </c>
      <c r="D974" s="257">
        <f t="shared" si="277"/>
        <v>3087286.66</v>
      </c>
      <c r="E974" s="382">
        <f>ROUND('Plant input detail '!E976*'WPB2.2 Plant detail-w slippage'!$P$2,0)</f>
        <v>101260</v>
      </c>
      <c r="F974" s="257">
        <f>ROUND('Plant input detail '!F976*'WPB2.2 Plant detail-w slippage'!$P$2,0)</f>
        <v>-12151</v>
      </c>
      <c r="G974" s="257">
        <f>SUM(D974:F974)</f>
        <v>3176395.66</v>
      </c>
      <c r="H974" s="38"/>
      <c r="I974" s="257">
        <f t="shared" si="278"/>
        <v>544917.06000000006</v>
      </c>
      <c r="J974" s="1362">
        <f t="shared" si="279"/>
        <v>2.3400000000000001E-2</v>
      </c>
      <c r="K974" s="173">
        <f t="shared" si="280"/>
        <v>6107</v>
      </c>
      <c r="L974" s="38">
        <f t="shared" si="281"/>
        <v>12151</v>
      </c>
      <c r="M974" s="257">
        <f>ROUND('Plant input detail '!M976*'WPB2.2 Plant detail-w slippage'!$P$2,0)</f>
        <v>0</v>
      </c>
      <c r="N974" s="2227">
        <f t="shared" si="282"/>
        <v>538873.06000000006</v>
      </c>
    </row>
    <row r="975" spans="1:14" x14ac:dyDescent="0.2">
      <c r="A975" s="127">
        <f t="shared" si="283"/>
        <v>12</v>
      </c>
      <c r="B975" s="123">
        <v>387.46</v>
      </c>
      <c r="C975" s="52" t="s">
        <v>1062</v>
      </c>
      <c r="D975" s="260">
        <f t="shared" si="277"/>
        <v>113644.47</v>
      </c>
      <c r="E975" s="265">
        <f>ROUND('Plant input detail '!E977*'WPB2.2 Plant detail-w slippage'!$P$2,0)</f>
        <v>0</v>
      </c>
      <c r="F975" s="265">
        <f>ROUND('Plant input detail '!F977*'WPB2.2 Plant detail-w slippage'!$P$2,0)</f>
        <v>0</v>
      </c>
      <c r="G975" s="265">
        <f>SUM(D975:F975)</f>
        <v>113644.47</v>
      </c>
      <c r="H975" s="264"/>
      <c r="I975" s="260">
        <f t="shared" si="278"/>
        <v>111788.83</v>
      </c>
      <c r="J975" s="1362">
        <f t="shared" si="279"/>
        <v>2.3400000000000001E-2</v>
      </c>
      <c r="K975" s="260">
        <f t="shared" si="280"/>
        <v>222</v>
      </c>
      <c r="L975" s="295">
        <f t="shared" si="281"/>
        <v>0</v>
      </c>
      <c r="M975" s="265">
        <f>ROUND('Plant input detail '!M977*'WPB2.2 Plant detail-w slippage'!$P$2,0)</f>
        <v>0</v>
      </c>
      <c r="N975" s="2228">
        <f t="shared" si="282"/>
        <v>112010.83</v>
      </c>
    </row>
    <row r="976" spans="1:14" x14ac:dyDescent="0.2">
      <c r="A976" s="127">
        <f t="shared" si="283"/>
        <v>13</v>
      </c>
      <c r="B976" s="252"/>
      <c r="C976" s="32" t="s">
        <v>1063</v>
      </c>
      <c r="D976" s="173">
        <f>SUM(D964:D975,D924:D945)</f>
        <v>406248514.37999994</v>
      </c>
      <c r="E976" s="173">
        <f>SUM(E964:E975,E924:E945)</f>
        <v>2083113</v>
      </c>
      <c r="F976" s="173">
        <f>SUM(F964:F975,F924:F945)</f>
        <v>-249973</v>
      </c>
      <c r="G976" s="173">
        <f>SUM(G964:G975,G924:G945)</f>
        <v>408081654.37999994</v>
      </c>
      <c r="H976" s="38"/>
      <c r="I976" s="173">
        <f>SUM(I964:I975,I924:I945)</f>
        <v>140482592.17578948</v>
      </c>
      <c r="J976" s="173"/>
      <c r="K976" s="173">
        <f>SUM(K964:K975,K924:K945)</f>
        <v>675078.04947368428</v>
      </c>
      <c r="L976" s="173">
        <f>SUM(L964:L975,L924:L945)</f>
        <v>249973</v>
      </c>
      <c r="M976" s="173">
        <f>SUM(M964:M975,M924:M945)</f>
        <v>-61002</v>
      </c>
      <c r="N976" s="1361">
        <f>SUM(N964:N975,N924:N945)</f>
        <v>140846695.22526315</v>
      </c>
    </row>
    <row r="977" spans="1:14" x14ac:dyDescent="0.2">
      <c r="B977" s="252"/>
      <c r="D977" s="38"/>
      <c r="E977" s="173"/>
      <c r="F977" s="173"/>
      <c r="G977" s="38"/>
      <c r="H977" s="38"/>
      <c r="I977" s="181"/>
      <c r="J977" s="173"/>
      <c r="K977" s="173"/>
      <c r="L977" s="38"/>
      <c r="M977" s="173"/>
    </row>
    <row r="978" spans="1:14" x14ac:dyDescent="0.2">
      <c r="A978" s="127">
        <f>A976+1</f>
        <v>14</v>
      </c>
      <c r="B978" s="252"/>
      <c r="C978" s="36" t="s">
        <v>737</v>
      </c>
      <c r="D978" s="38"/>
      <c r="E978" s="173"/>
      <c r="F978" s="173"/>
      <c r="G978" s="38"/>
      <c r="H978" s="38"/>
      <c r="I978" s="181"/>
      <c r="J978" s="173"/>
      <c r="K978" s="173"/>
      <c r="L978" s="38"/>
      <c r="M978" s="173"/>
    </row>
    <row r="979" spans="1:14" x14ac:dyDescent="0.2">
      <c r="A979" s="31">
        <f>A978+1</f>
        <v>15</v>
      </c>
      <c r="B979" s="123">
        <v>391.1</v>
      </c>
      <c r="C979" s="52" t="s">
        <v>1064</v>
      </c>
      <c r="D979" s="257">
        <f t="shared" ref="D979:D992" si="285">G873</f>
        <v>721928.71</v>
      </c>
      <c r="E979" s="382">
        <f>ROUND('Plant input detail '!E981*'WPB2.2 Plant detail-w slippage'!$P$2,0)</f>
        <v>-4800</v>
      </c>
      <c r="F979" s="257">
        <f>ROUND('Plant input detail '!F981*'WPB2.2 Plant detail-w slippage'!$P$2,0)</f>
        <v>576</v>
      </c>
      <c r="G979" s="257">
        <f t="shared" ref="G979:G992" si="286">SUM(D979:F979)</f>
        <v>717704.71</v>
      </c>
      <c r="H979" s="38"/>
      <c r="I979" s="257">
        <f t="shared" ref="I979:I992" si="287">N873</f>
        <v>-57709.22</v>
      </c>
      <c r="J979" s="1362">
        <f t="shared" ref="J979:J992" si="288">J873</f>
        <v>0.05</v>
      </c>
      <c r="K979" s="173">
        <f>ROUND((G979+D979)/2*J979/12,0)</f>
        <v>2999</v>
      </c>
      <c r="L979" s="38">
        <f t="shared" ref="L979:L992" si="289">-F979</f>
        <v>-576</v>
      </c>
      <c r="M979" s="257">
        <f>ROUND('Plant input detail '!M981*'WPB2.2 Plant detail-w slippage'!$P$2,0)</f>
        <v>0</v>
      </c>
      <c r="N979" s="2227">
        <f t="shared" ref="N979:N992" si="290">I979+K979-L979+M979</f>
        <v>-54134.22</v>
      </c>
    </row>
    <row r="980" spans="1:14" x14ac:dyDescent="0.2">
      <c r="A980" s="31">
        <f t="shared" ref="A980:A993" si="291">A979+1</f>
        <v>16</v>
      </c>
      <c r="B980" s="123">
        <v>391.11</v>
      </c>
      <c r="C980" s="52" t="s">
        <v>1065</v>
      </c>
      <c r="D980" s="257">
        <f t="shared" si="285"/>
        <v>18815.57</v>
      </c>
      <c r="E980" s="382">
        <f>ROUND('Plant input detail '!E982*'WPB2.2 Plant detail-w slippage'!$P$2,0)</f>
        <v>0</v>
      </c>
      <c r="F980" s="257">
        <f>ROUND('Plant input detail '!F982*'WPB2.2 Plant detail-w slippage'!$P$2,0)</f>
        <v>0</v>
      </c>
      <c r="G980" s="257">
        <f t="shared" si="286"/>
        <v>18815.57</v>
      </c>
      <c r="H980" s="38"/>
      <c r="I980" s="257">
        <f t="shared" si="287"/>
        <v>-12194.77</v>
      </c>
      <c r="J980" s="1362">
        <f t="shared" si="288"/>
        <v>6.6699999999999995E-2</v>
      </c>
      <c r="K980" s="173">
        <f>ROUND((G980+D980)/2*J980/12,0)</f>
        <v>105</v>
      </c>
      <c r="L980" s="38">
        <f t="shared" si="289"/>
        <v>0</v>
      </c>
      <c r="M980" s="257">
        <f>ROUND('Plant input detail '!M982*'WPB2.2 Plant detail-w slippage'!$P$2,0)</f>
        <v>0</v>
      </c>
      <c r="N980" s="2227">
        <f t="shared" si="290"/>
        <v>-12089.77</v>
      </c>
    </row>
    <row r="981" spans="1:14" x14ac:dyDescent="0.2">
      <c r="A981" s="31">
        <f t="shared" si="291"/>
        <v>17</v>
      </c>
      <c r="B981" s="123">
        <v>391.12</v>
      </c>
      <c r="C981" s="52" t="s">
        <v>1066</v>
      </c>
      <c r="D981" s="257">
        <f t="shared" si="285"/>
        <v>853483.41</v>
      </c>
      <c r="E981" s="382">
        <f>ROUND('Plant input detail '!E983*'WPB2.2 Plant detail-w slippage'!$P$2,0)</f>
        <v>0</v>
      </c>
      <c r="F981" s="257">
        <f>ROUND('Plant input detail '!F983*'WPB2.2 Plant detail-w slippage'!$P$2,0)</f>
        <v>0</v>
      </c>
      <c r="G981" s="257">
        <f t="shared" si="286"/>
        <v>853483.41</v>
      </c>
      <c r="H981" s="38"/>
      <c r="I981" s="257">
        <f t="shared" si="287"/>
        <v>661135.37</v>
      </c>
      <c r="J981" s="1362">
        <f t="shared" si="288"/>
        <v>0.2</v>
      </c>
      <c r="K981" s="173">
        <f>ROUND((G981+D981)/2*J981/12,0)</f>
        <v>14225</v>
      </c>
      <c r="L981" s="38">
        <f t="shared" si="289"/>
        <v>0</v>
      </c>
      <c r="M981" s="257">
        <f>ROUND('Plant input detail '!M983*'WPB2.2 Plant detail-w slippage'!$P$2,0)</f>
        <v>0</v>
      </c>
      <c r="N981" s="2227">
        <f t="shared" si="290"/>
        <v>675360.37</v>
      </c>
    </row>
    <row r="982" spans="1:14" x14ac:dyDescent="0.2">
      <c r="A982" s="31">
        <f t="shared" si="291"/>
        <v>18</v>
      </c>
      <c r="B982" s="123">
        <v>392.2</v>
      </c>
      <c r="C982" s="52" t="s">
        <v>1067</v>
      </c>
      <c r="D982" s="257">
        <f t="shared" si="285"/>
        <v>95778</v>
      </c>
      <c r="E982" s="382">
        <f>ROUND('Plant input detail '!E984*'WPB2.2 Plant detail-w slippage'!$P$2,0)</f>
        <v>0</v>
      </c>
      <c r="F982" s="257">
        <f>ROUND('Plant input detail '!F984*'WPB2.2 Plant detail-w slippage'!$P$2,0)</f>
        <v>0</v>
      </c>
      <c r="G982" s="257">
        <f t="shared" si="286"/>
        <v>95778</v>
      </c>
      <c r="H982" s="38"/>
      <c r="I982" s="257">
        <f t="shared" si="287"/>
        <v>22185.05</v>
      </c>
      <c r="J982" s="1362">
        <f t="shared" si="288"/>
        <v>2.9399999999999999E-2</v>
      </c>
      <c r="K982" s="173">
        <f>ROUND((G982+D982)/2*J982/12,0)</f>
        <v>235</v>
      </c>
      <c r="L982" s="38">
        <f t="shared" si="289"/>
        <v>0</v>
      </c>
      <c r="M982" s="257">
        <f>ROUND('Plant input detail '!M984*'WPB2.2 Plant detail-w slippage'!$P$2,0)</f>
        <v>0</v>
      </c>
      <c r="N982" s="2227">
        <f t="shared" si="290"/>
        <v>22420.05</v>
      </c>
    </row>
    <row r="983" spans="1:14" x14ac:dyDescent="0.2">
      <c r="A983" s="31">
        <f t="shared" si="291"/>
        <v>19</v>
      </c>
      <c r="B983" s="123">
        <v>392.21</v>
      </c>
      <c r="C983" s="52" t="s">
        <v>1068</v>
      </c>
      <c r="D983" s="257">
        <f t="shared" si="285"/>
        <v>24462.2</v>
      </c>
      <c r="E983" s="382">
        <f>ROUND('Plant input detail '!E985*'WPB2.2 Plant detail-w slippage'!$P$2,0)</f>
        <v>0</v>
      </c>
      <c r="F983" s="257">
        <f>ROUND('Plant input detail '!F985*'WPB2.2 Plant detail-w slippage'!$P$2,0)</f>
        <v>0</v>
      </c>
      <c r="G983" s="257">
        <f t="shared" si="286"/>
        <v>24462.2</v>
      </c>
      <c r="H983" s="38"/>
      <c r="I983" s="257">
        <f t="shared" si="287"/>
        <v>5067.3999999999996</v>
      </c>
      <c r="J983" s="1362">
        <f t="shared" si="288"/>
        <v>2.9399999999999999E-2</v>
      </c>
      <c r="K983" s="173">
        <f t="shared" ref="K983:K992" si="292">ROUND((G983+D983)/2*J983/12,0)</f>
        <v>60</v>
      </c>
      <c r="L983" s="38">
        <f t="shared" si="289"/>
        <v>0</v>
      </c>
      <c r="M983" s="257">
        <f>ROUND('Plant input detail '!M985*'WPB2.2 Plant detail-w slippage'!$P$2,0)</f>
        <v>0</v>
      </c>
      <c r="N983" s="2227">
        <f t="shared" si="290"/>
        <v>5127.3999999999996</v>
      </c>
    </row>
    <row r="984" spans="1:14" x14ac:dyDescent="0.2">
      <c r="A984" s="31">
        <f t="shared" si="291"/>
        <v>20</v>
      </c>
      <c r="B984" s="123">
        <v>393</v>
      </c>
      <c r="C984" s="52" t="s">
        <v>1069</v>
      </c>
      <c r="D984" s="257">
        <f t="shared" si="285"/>
        <v>0</v>
      </c>
      <c r="E984" s="382">
        <f>ROUND('Plant input detail '!E986*'WPB2.2 Plant detail-w slippage'!$P$2,0)</f>
        <v>0</v>
      </c>
      <c r="F984" s="257">
        <f>ROUND('Plant input detail '!F986*'WPB2.2 Plant detail-w slippage'!$P$2,0)</f>
        <v>0</v>
      </c>
      <c r="G984" s="257">
        <f t="shared" si="286"/>
        <v>0</v>
      </c>
      <c r="H984" s="38"/>
      <c r="I984" s="257">
        <f t="shared" si="287"/>
        <v>0</v>
      </c>
      <c r="J984" s="1362" t="str">
        <f t="shared" si="288"/>
        <v>Amort.</v>
      </c>
      <c r="K984" s="259">
        <v>0</v>
      </c>
      <c r="L984" s="38">
        <f t="shared" si="289"/>
        <v>0</v>
      </c>
      <c r="M984" s="257">
        <f>ROUND('Plant input detail '!M986*'WPB2.2 Plant detail-w slippage'!$P$2,0)</f>
        <v>0</v>
      </c>
      <c r="N984" s="2227">
        <f t="shared" si="290"/>
        <v>0</v>
      </c>
    </row>
    <row r="985" spans="1:14" x14ac:dyDescent="0.2">
      <c r="A985" s="31">
        <f t="shared" si="291"/>
        <v>21</v>
      </c>
      <c r="B985" s="123">
        <v>394.1</v>
      </c>
      <c r="C985" s="52" t="s">
        <v>1070</v>
      </c>
      <c r="D985" s="257">
        <f t="shared" si="285"/>
        <v>24240.799999999999</v>
      </c>
      <c r="E985" s="382">
        <f>ROUND('Plant input detail '!E987*'WPB2.2 Plant detail-w slippage'!$P$2,0)</f>
        <v>0</v>
      </c>
      <c r="F985" s="257">
        <f>ROUND('Plant input detail '!F987*'WPB2.2 Plant detail-w slippage'!$P$2,0)</f>
        <v>0</v>
      </c>
      <c r="G985" s="257">
        <f t="shared" si="286"/>
        <v>24240.799999999999</v>
      </c>
      <c r="H985" s="38"/>
      <c r="I985" s="257">
        <f t="shared" si="287"/>
        <v>14446.82</v>
      </c>
      <c r="J985" s="1362">
        <f t="shared" si="288"/>
        <v>0.04</v>
      </c>
      <c r="K985" s="173">
        <f t="shared" si="292"/>
        <v>81</v>
      </c>
      <c r="L985" s="38">
        <f t="shared" si="289"/>
        <v>0</v>
      </c>
      <c r="M985" s="257">
        <f>ROUND('Plant input detail '!M987*'WPB2.2 Plant detail-w slippage'!$P$2,0)</f>
        <v>0</v>
      </c>
      <c r="N985" s="2227">
        <f t="shared" si="290"/>
        <v>14527.82</v>
      </c>
    </row>
    <row r="986" spans="1:14" x14ac:dyDescent="0.2">
      <c r="A986" s="31">
        <f t="shared" si="291"/>
        <v>22</v>
      </c>
      <c r="B986" s="123">
        <v>394.11</v>
      </c>
      <c r="C986" s="52" t="s">
        <v>1071</v>
      </c>
      <c r="D986" s="257">
        <f t="shared" si="285"/>
        <v>0</v>
      </c>
      <c r="E986" s="382">
        <f>ROUND('Plant input detail '!E988*'WPB2.2 Plant detail-w slippage'!$P$2,0)</f>
        <v>0</v>
      </c>
      <c r="F986" s="257">
        <f>ROUND('Plant input detail '!F988*'WPB2.2 Plant detail-w slippage'!$P$2,0)</f>
        <v>0</v>
      </c>
      <c r="G986" s="257">
        <f t="shared" si="286"/>
        <v>0</v>
      </c>
      <c r="H986" s="38"/>
      <c r="I986" s="257">
        <f t="shared" si="287"/>
        <v>0</v>
      </c>
      <c r="J986" s="1362">
        <f t="shared" si="288"/>
        <v>0.13769999999999999</v>
      </c>
      <c r="K986" s="259">
        <v>0</v>
      </c>
      <c r="L986" s="38">
        <f t="shared" si="289"/>
        <v>0</v>
      </c>
      <c r="M986" s="257">
        <f>ROUND('Plant input detail '!M988*'WPB2.2 Plant detail-w slippage'!$P$2,0)</f>
        <v>0</v>
      </c>
      <c r="N986" s="2227">
        <f t="shared" si="290"/>
        <v>0</v>
      </c>
    </row>
    <row r="987" spans="1:14" x14ac:dyDescent="0.2">
      <c r="A987" s="31">
        <f t="shared" si="291"/>
        <v>23</v>
      </c>
      <c r="B987" s="123">
        <v>394.13</v>
      </c>
      <c r="C987" s="251" t="s">
        <v>1072</v>
      </c>
      <c r="D987" s="257">
        <f t="shared" si="285"/>
        <v>0</v>
      </c>
      <c r="E987" s="382">
        <f>ROUND('Plant input detail '!E989*'WPB2.2 Plant detail-w slippage'!$P$2,0)</f>
        <v>0</v>
      </c>
      <c r="F987" s="257">
        <f>ROUND('Plant input detail '!F989*'WPB2.2 Plant detail-w slippage'!$P$2,0)</f>
        <v>0</v>
      </c>
      <c r="G987" s="257">
        <f t="shared" si="286"/>
        <v>0</v>
      </c>
      <c r="H987" s="38"/>
      <c r="I987" s="257">
        <f t="shared" si="287"/>
        <v>37937.360000000001</v>
      </c>
      <c r="J987" s="1362" t="str">
        <f t="shared" si="288"/>
        <v>Amort.</v>
      </c>
      <c r="K987" s="259">
        <v>0</v>
      </c>
      <c r="L987" s="38">
        <f t="shared" si="289"/>
        <v>0</v>
      </c>
      <c r="M987" s="257">
        <f>ROUND('Plant input detail '!M989*'WPB2.2 Plant detail-w slippage'!$P$2,0)</f>
        <v>0</v>
      </c>
      <c r="N987" s="2227">
        <f t="shared" si="290"/>
        <v>37937.360000000001</v>
      </c>
    </row>
    <row r="988" spans="1:14" x14ac:dyDescent="0.2">
      <c r="A988" s="31">
        <f t="shared" si="291"/>
        <v>24</v>
      </c>
      <c r="B988" s="123">
        <v>394.2</v>
      </c>
      <c r="C988" s="52" t="s">
        <v>1073</v>
      </c>
      <c r="D988" s="257">
        <f t="shared" si="285"/>
        <v>0</v>
      </c>
      <c r="E988" s="382">
        <f>ROUND('Plant input detail '!E990*'WPB2.2 Plant detail-w slippage'!$P$2,0)</f>
        <v>0</v>
      </c>
      <c r="F988" s="257">
        <f>ROUND('Plant input detail '!F990*'WPB2.2 Plant detail-w slippage'!$P$2,0)</f>
        <v>0</v>
      </c>
      <c r="G988" s="257">
        <f t="shared" si="286"/>
        <v>0</v>
      </c>
      <c r="H988" s="38"/>
      <c r="I988" s="257">
        <f t="shared" si="287"/>
        <v>185.21</v>
      </c>
      <c r="J988" s="1362">
        <f t="shared" si="288"/>
        <v>0.04</v>
      </c>
      <c r="K988" s="173">
        <f t="shared" si="292"/>
        <v>0</v>
      </c>
      <c r="L988" s="38">
        <f t="shared" si="289"/>
        <v>0</v>
      </c>
      <c r="M988" s="257">
        <f>ROUND('Plant input detail '!M990*'WPB2.2 Plant detail-w slippage'!$P$2,0)</f>
        <v>0</v>
      </c>
      <c r="N988" s="2227">
        <f t="shared" si="290"/>
        <v>185.21</v>
      </c>
    </row>
    <row r="989" spans="1:14" x14ac:dyDescent="0.2">
      <c r="A989" s="31">
        <f t="shared" si="291"/>
        <v>25</v>
      </c>
      <c r="B989" s="123">
        <v>394.3</v>
      </c>
      <c r="C989" s="52" t="s">
        <v>1074</v>
      </c>
      <c r="D989" s="257">
        <f t="shared" si="285"/>
        <v>3106851.16</v>
      </c>
      <c r="E989" s="382">
        <f>ROUND('Plant input detail '!E991*'WPB2.2 Plant detail-w slippage'!$P$2,0)</f>
        <v>-2119</v>
      </c>
      <c r="F989" s="257">
        <f>ROUND('Plant input detail '!F991*'WPB2.2 Plant detail-w slippage'!$P$2,0)</f>
        <v>254</v>
      </c>
      <c r="G989" s="257">
        <f t="shared" si="286"/>
        <v>3104986.16</v>
      </c>
      <c r="H989" s="38"/>
      <c r="I989" s="257">
        <f t="shared" si="287"/>
        <v>1265179.1499999999</v>
      </c>
      <c r="J989" s="1362">
        <f t="shared" si="288"/>
        <v>0.04</v>
      </c>
      <c r="K989" s="173">
        <f t="shared" si="292"/>
        <v>10353</v>
      </c>
      <c r="L989" s="38">
        <f t="shared" si="289"/>
        <v>-254</v>
      </c>
      <c r="M989" s="257">
        <f>ROUND('Plant input detail '!M991*'WPB2.2 Plant detail-w slippage'!$P$2,0)</f>
        <v>0</v>
      </c>
      <c r="N989" s="2227">
        <f t="shared" si="290"/>
        <v>1275786.1499999999</v>
      </c>
    </row>
    <row r="990" spans="1:14" x14ac:dyDescent="0.2">
      <c r="A990" s="31">
        <f t="shared" si="291"/>
        <v>26</v>
      </c>
      <c r="B990" s="123">
        <v>395</v>
      </c>
      <c r="C990" s="52" t="s">
        <v>1075</v>
      </c>
      <c r="D990" s="257">
        <f t="shared" si="285"/>
        <v>9257.77</v>
      </c>
      <c r="E990" s="382">
        <f>ROUND('Plant input detail '!E992*'WPB2.2 Plant detail-w slippage'!$P$2,0)</f>
        <v>0</v>
      </c>
      <c r="F990" s="257">
        <f>ROUND('Plant input detail '!F992*'WPB2.2 Plant detail-w slippage'!$P$2,0)</f>
        <v>0</v>
      </c>
      <c r="G990" s="257">
        <f t="shared" si="286"/>
        <v>9257.77</v>
      </c>
      <c r="H990" s="38"/>
      <c r="I990" s="257">
        <f t="shared" si="287"/>
        <v>7451.59</v>
      </c>
      <c r="J990" s="1362">
        <f t="shared" si="288"/>
        <v>0.05</v>
      </c>
      <c r="K990" s="173">
        <f t="shared" si="292"/>
        <v>39</v>
      </c>
      <c r="L990" s="38">
        <f t="shared" si="289"/>
        <v>0</v>
      </c>
      <c r="M990" s="257">
        <f>ROUND('Plant input detail '!M992*'WPB2.2 Plant detail-w slippage'!$P$2,0)</f>
        <v>0</v>
      </c>
      <c r="N990" s="2227">
        <f t="shared" si="290"/>
        <v>7490.59</v>
      </c>
    </row>
    <row r="991" spans="1:14" x14ac:dyDescent="0.2">
      <c r="A991" s="31">
        <f t="shared" si="291"/>
        <v>27</v>
      </c>
      <c r="B991" s="123">
        <v>396</v>
      </c>
      <c r="C991" s="52" t="s">
        <v>1076</v>
      </c>
      <c r="D991" s="257">
        <f t="shared" si="285"/>
        <v>253134.72</v>
      </c>
      <c r="E991" s="382">
        <f>ROUND('Plant input detail '!E993*'WPB2.2 Plant detail-w slippage'!$P$2,0)</f>
        <v>0</v>
      </c>
      <c r="F991" s="257">
        <f>ROUND('Plant input detail '!F993*'WPB2.2 Plant detail-w slippage'!$P$2,0)</f>
        <v>0</v>
      </c>
      <c r="G991" s="257">
        <f t="shared" si="286"/>
        <v>253134.72</v>
      </c>
      <c r="H991" s="38"/>
      <c r="I991" s="257">
        <f t="shared" si="287"/>
        <v>199321.72</v>
      </c>
      <c r="J991" s="1362">
        <f t="shared" si="288"/>
        <v>0</v>
      </c>
      <c r="K991" s="173">
        <f t="shared" si="292"/>
        <v>0</v>
      </c>
      <c r="L991" s="38">
        <f t="shared" si="289"/>
        <v>0</v>
      </c>
      <c r="M991" s="257">
        <f>ROUND('Plant input detail '!M993*'WPB2.2 Plant detail-w slippage'!$P$2,0)</f>
        <v>0</v>
      </c>
      <c r="N991" s="2227">
        <f t="shared" si="290"/>
        <v>199321.72</v>
      </c>
    </row>
    <row r="992" spans="1:14" x14ac:dyDescent="0.2">
      <c r="A992" s="31">
        <f t="shared" si="291"/>
        <v>28</v>
      </c>
      <c r="B992" s="123">
        <v>398</v>
      </c>
      <c r="C992" s="52" t="s">
        <v>1077</v>
      </c>
      <c r="D992" s="260">
        <f t="shared" si="285"/>
        <v>191927.94</v>
      </c>
      <c r="E992" s="265">
        <f>ROUND('Plant input detail '!E994*'WPB2.2 Plant detail-w slippage'!$P$2,0)</f>
        <v>38201</v>
      </c>
      <c r="F992" s="260">
        <f>ROUND('Plant input detail '!F994*'WPB2.2 Plant detail-w slippage'!$P$2,0)</f>
        <v>-4584</v>
      </c>
      <c r="G992" s="260">
        <f t="shared" si="286"/>
        <v>225544.94</v>
      </c>
      <c r="H992" s="264"/>
      <c r="I992" s="260">
        <f t="shared" si="287"/>
        <v>11349.59</v>
      </c>
      <c r="J992" s="1362">
        <f t="shared" si="288"/>
        <v>6.6699999999999995E-2</v>
      </c>
      <c r="K992" s="260">
        <f t="shared" si="292"/>
        <v>1160</v>
      </c>
      <c r="L992" s="295">
        <f t="shared" si="289"/>
        <v>4584</v>
      </c>
      <c r="M992" s="260">
        <f>ROUND('Plant input detail '!M994*'WPB2.2 Plant detail-w slippage'!$P$2,0)</f>
        <v>0</v>
      </c>
      <c r="N992" s="2228">
        <f t="shared" si="290"/>
        <v>7925.59</v>
      </c>
    </row>
    <row r="993" spans="1:16" x14ac:dyDescent="0.2">
      <c r="A993" s="31">
        <f t="shared" si="291"/>
        <v>29</v>
      </c>
      <c r="C993" s="32" t="s">
        <v>1078</v>
      </c>
      <c r="D993" s="264">
        <f>SUM(D979:D992)</f>
        <v>5299880.2799999993</v>
      </c>
      <c r="E993" s="176">
        <f>SUM(E979:E992)</f>
        <v>31282</v>
      </c>
      <c r="F993" s="176">
        <f>SUM(F979:F992)</f>
        <v>-3754</v>
      </c>
      <c r="G993" s="264">
        <f>SUM(G979:G992)</f>
        <v>5327408.2799999993</v>
      </c>
      <c r="H993" s="264"/>
      <c r="I993" s="264">
        <f>SUM(I979:I992)</f>
        <v>2154355.27</v>
      </c>
      <c r="J993" s="1359"/>
      <c r="K993" s="176">
        <f>SUM(K979:K992)</f>
        <v>29257</v>
      </c>
      <c r="L993" s="264">
        <f>SUM(L979:L992)</f>
        <v>3754</v>
      </c>
      <c r="M993" s="176">
        <f>SUM(M979:M992)</f>
        <v>0</v>
      </c>
      <c r="N993" s="1359">
        <f>SUM(N979:N992)</f>
        <v>2179858.27</v>
      </c>
    </row>
    <row r="994" spans="1:16" x14ac:dyDescent="0.2">
      <c r="D994" s="38"/>
      <c r="E994" s="173"/>
      <c r="F994" s="173"/>
      <c r="G994" s="38"/>
      <c r="H994" s="38"/>
      <c r="I994" s="173"/>
      <c r="J994" s="1361"/>
      <c r="K994" s="173"/>
      <c r="L994" s="38"/>
      <c r="M994" s="173"/>
    </row>
    <row r="995" spans="1:16" x14ac:dyDescent="0.2">
      <c r="A995" s="1805">
        <f>A993+1</f>
        <v>30</v>
      </c>
      <c r="B995" s="252"/>
      <c r="C995" s="36" t="s">
        <v>2287</v>
      </c>
      <c r="D995" s="38"/>
      <c r="E995" s="173"/>
      <c r="F995" s="173"/>
      <c r="G995" s="38"/>
      <c r="H995" s="38"/>
      <c r="I995" s="181"/>
      <c r="J995" s="173"/>
      <c r="K995" s="173"/>
      <c r="L995" s="38"/>
      <c r="M995" s="173"/>
      <c r="P995" s="279"/>
    </row>
    <row r="996" spans="1:16" x14ac:dyDescent="0.2">
      <c r="A996" s="31">
        <f>A995+1</f>
        <v>31</v>
      </c>
      <c r="B996" s="123">
        <v>378.21</v>
      </c>
      <c r="C996" s="52" t="s">
        <v>2244</v>
      </c>
      <c r="D996" s="257">
        <f>G890</f>
        <v>-777092</v>
      </c>
      <c r="E996" s="382">
        <f>ROUND('Plant input detail '!E998*'WPB2.2 Plant detail-w slippage'!$P$2,0)</f>
        <v>0</v>
      </c>
      <c r="F996" s="257">
        <f>ROUND('Plant input detail '!F998*'WPB2.2 Plant detail-w slippage'!$P$2,0)</f>
        <v>0</v>
      </c>
      <c r="G996" s="257">
        <f t="shared" ref="G996" si="293">SUM(D996:F996)</f>
        <v>-777092</v>
      </c>
      <c r="H996" s="264"/>
      <c r="I996" s="257">
        <f>N890</f>
        <v>-38077.863333333313</v>
      </c>
      <c r="J996" s="296" t="s">
        <v>1094</v>
      </c>
      <c r="K996" s="1334">
        <v>-2158.5833333333321</v>
      </c>
      <c r="L996" s="38">
        <f t="shared" ref="L996" si="294">-F996</f>
        <v>0</v>
      </c>
      <c r="M996" s="257">
        <f>ROUND('Plant input detail '!M998*'WPB2.2 Plant detail-w slippage'!$P$2,0)</f>
        <v>0</v>
      </c>
      <c r="N996" s="2227">
        <f t="shared" ref="N996" si="295">I996+K996-L996+M996</f>
        <v>-40236.446666666641</v>
      </c>
      <c r="O996" s="292"/>
    </row>
    <row r="997" spans="1:16" x14ac:dyDescent="0.2">
      <c r="A997" s="1723"/>
      <c r="D997" s="38"/>
      <c r="E997" s="173"/>
      <c r="F997" s="173"/>
      <c r="G997" s="38"/>
      <c r="H997" s="38"/>
      <c r="I997" s="173"/>
      <c r="J997" s="1361"/>
      <c r="K997" s="173"/>
      <c r="L997" s="38"/>
      <c r="M997" s="173"/>
    </row>
    <row r="998" spans="1:16" x14ac:dyDescent="0.2">
      <c r="A998" s="31">
        <f>A996+1</f>
        <v>32</v>
      </c>
      <c r="C998" s="32" t="s">
        <v>774</v>
      </c>
      <c r="D998" s="40">
        <f>D993+D976+D921+D917+D996</f>
        <v>417272620.36999989</v>
      </c>
      <c r="E998" s="40">
        <f>E993+E976+E921+E917+E996</f>
        <v>2316514</v>
      </c>
      <c r="F998" s="40">
        <f>F993+F976+F921+F917+F996</f>
        <v>-253727</v>
      </c>
      <c r="G998" s="40">
        <f>G993+G976+G921+G917+G996</f>
        <v>419335407.36999989</v>
      </c>
      <c r="H998" s="38"/>
      <c r="I998" s="40">
        <f>I993+I976+I921+I917+I996</f>
        <v>145374807.48138624</v>
      </c>
      <c r="J998" s="1363"/>
      <c r="K998" s="40">
        <f>K993+K976+K921+K917+K996</f>
        <v>784587.08725661458</v>
      </c>
      <c r="L998" s="40">
        <f>L993+L976+L921+L917+L996</f>
        <v>253727</v>
      </c>
      <c r="M998" s="40">
        <f>M993+M976+M921+M917+M996</f>
        <v>-61002</v>
      </c>
      <c r="N998" s="1363">
        <f>N993+N976+N921+N917+N996</f>
        <v>145844665.56864288</v>
      </c>
    </row>
    <row r="1000" spans="1:16" x14ac:dyDescent="0.2">
      <c r="A1000" s="2079" t="str">
        <f>co</f>
        <v>COLUMBIA GAS OF KENTUCKY, INC.</v>
      </c>
      <c r="B1000" s="2079"/>
      <c r="C1000" s="2079"/>
      <c r="D1000" s="2079"/>
      <c r="E1000" s="2079"/>
      <c r="F1000" s="2079"/>
      <c r="G1000" s="2079"/>
      <c r="H1000" s="2079"/>
      <c r="I1000" s="2079"/>
      <c r="J1000" s="2079"/>
      <c r="K1000" s="2079"/>
      <c r="L1000" s="2079"/>
      <c r="M1000" s="2079"/>
      <c r="N1000" s="2079"/>
    </row>
    <row r="1001" spans="1:16" x14ac:dyDescent="0.2">
      <c r="A1001" s="2079" t="str">
        <f>case</f>
        <v>CASE NO. 2016 - 00162</v>
      </c>
      <c r="B1001" s="2079"/>
      <c r="C1001" s="2079"/>
      <c r="D1001" s="2079"/>
      <c r="E1001" s="2079"/>
      <c r="F1001" s="2079"/>
      <c r="G1001" s="2079"/>
      <c r="H1001" s="2079"/>
      <c r="I1001" s="2079"/>
      <c r="J1001" s="2079"/>
      <c r="K1001" s="2079"/>
      <c r="L1001" s="2079"/>
      <c r="M1001" s="2079"/>
      <c r="N1001" s="2079"/>
    </row>
    <row r="1002" spans="1:16" x14ac:dyDescent="0.2">
      <c r="A1002" s="2080" t="s">
        <v>1106</v>
      </c>
      <c r="B1002" s="2079"/>
      <c r="C1002" s="2079"/>
      <c r="D1002" s="2079"/>
      <c r="E1002" s="2079"/>
      <c r="F1002" s="2079"/>
      <c r="G1002" s="2079"/>
      <c r="H1002" s="2079"/>
      <c r="I1002" s="2079"/>
      <c r="J1002" s="2079"/>
      <c r="K1002" s="2079"/>
      <c r="L1002" s="2079"/>
      <c r="M1002" s="2079"/>
      <c r="N1002" s="2079"/>
    </row>
    <row r="1003" spans="1:16" x14ac:dyDescent="0.2">
      <c r="A1003" s="2081" t="s">
        <v>2142</v>
      </c>
      <c r="B1003" s="2085"/>
      <c r="C1003" s="2085"/>
      <c r="D1003" s="2085"/>
      <c r="E1003" s="2085"/>
      <c r="F1003" s="2085"/>
      <c r="G1003" s="2085"/>
      <c r="H1003" s="2085"/>
      <c r="I1003" s="2085"/>
      <c r="J1003" s="2085"/>
      <c r="K1003" s="2085"/>
      <c r="L1003" s="2085"/>
      <c r="M1003" s="2085"/>
      <c r="N1003" s="2085"/>
    </row>
    <row r="1005" spans="1:16" x14ac:dyDescent="0.2">
      <c r="A1005" s="285" t="str">
        <f>$A$6</f>
        <v>DATA:__X___BASE PERIOD__X___FORECASTED PERIOD</v>
      </c>
      <c r="C1005" s="171"/>
      <c r="I1005" s="32"/>
      <c r="N1005" s="1258" t="str">
        <f>$N$6</f>
        <v>WPB-2.2</v>
      </c>
    </row>
    <row r="1006" spans="1:16" x14ac:dyDescent="0.2">
      <c r="A1006" s="4" t="str">
        <f>$A$7</f>
        <v>TYPE OF FILING:___X____ORIGINAL________UPDATED</v>
      </c>
      <c r="I1006" s="32"/>
      <c r="N1006" s="2223" t="s">
        <v>1732</v>
      </c>
    </row>
    <row r="1007" spans="1:16" x14ac:dyDescent="0.2">
      <c r="A1007" s="1261" t="str">
        <f>$A$8</f>
        <v xml:space="preserve">WORKPAPER REFERENCE NO(S).: </v>
      </c>
      <c r="B1007" s="202"/>
      <c r="C1007" s="202"/>
      <c r="D1007" s="201"/>
      <c r="E1007" s="202"/>
      <c r="F1007" s="202"/>
      <c r="G1007" s="201"/>
      <c r="H1007" s="201"/>
      <c r="I1007" s="203"/>
      <c r="L1007" s="32"/>
      <c r="M1007" s="32"/>
      <c r="N1007" s="204" t="str">
        <f>SMK</f>
        <v>WITNESS:  S. M. KATKO</v>
      </c>
    </row>
    <row r="1008" spans="1:16" x14ac:dyDescent="0.2">
      <c r="A1008" s="200"/>
      <c r="B1008" s="201"/>
      <c r="C1008" s="201"/>
      <c r="D1008" s="201"/>
      <c r="E1008" s="202"/>
      <c r="F1008" s="202"/>
      <c r="G1008" s="201"/>
      <c r="H1008" s="201"/>
      <c r="I1008" s="203"/>
      <c r="J1008" s="1357"/>
      <c r="L1008" s="32"/>
      <c r="M1008" s="32"/>
    </row>
    <row r="1009" spans="1:14" x14ac:dyDescent="0.2">
      <c r="A1009" s="200"/>
      <c r="B1009" s="201"/>
      <c r="C1009" s="201"/>
      <c r="D1009" s="2082" t="s">
        <v>1088</v>
      </c>
      <c r="E1009" s="2082"/>
      <c r="F1009" s="2082"/>
      <c r="G1009" s="2082"/>
      <c r="H1009" s="201"/>
      <c r="I1009" s="2083" t="s">
        <v>1093</v>
      </c>
      <c r="J1009" s="2084"/>
      <c r="K1009" s="2084"/>
      <c r="L1009" s="2084"/>
      <c r="M1009" s="2084"/>
      <c r="N1009" s="2084"/>
    </row>
    <row r="1010" spans="1:14" x14ac:dyDescent="0.2">
      <c r="A1010" s="270"/>
      <c r="B1010" s="201"/>
      <c r="C1010" s="201"/>
      <c r="D1010" s="271" t="s">
        <v>1084</v>
      </c>
      <c r="E1010" s="202"/>
      <c r="F1010" s="202"/>
      <c r="G1010" s="269"/>
      <c r="H1010" s="269"/>
      <c r="I1010" s="261" t="s">
        <v>1089</v>
      </c>
      <c r="J1010" s="1358"/>
      <c r="M1010" s="32"/>
    </row>
    <row r="1011" spans="1:14" x14ac:dyDescent="0.2">
      <c r="A1011" s="30"/>
      <c r="D1011" s="261" t="s">
        <v>865</v>
      </c>
      <c r="G1011" s="261" t="s">
        <v>867</v>
      </c>
      <c r="H1011" s="268"/>
      <c r="I1011" s="261" t="s">
        <v>865</v>
      </c>
      <c r="J1011" s="1308" t="s">
        <v>956</v>
      </c>
      <c r="M1011" s="32"/>
      <c r="N1011" s="2225" t="s">
        <v>867</v>
      </c>
    </row>
    <row r="1012" spans="1:14" x14ac:dyDescent="0.2">
      <c r="A1012" s="261" t="s">
        <v>1080</v>
      </c>
      <c r="B1012" s="261" t="s">
        <v>1082</v>
      </c>
      <c r="D1012" s="261" t="s">
        <v>867</v>
      </c>
      <c r="G1012" s="262" t="s">
        <v>1087</v>
      </c>
      <c r="H1012" s="268"/>
      <c r="I1012" s="262" t="s">
        <v>867</v>
      </c>
      <c r="J1012" s="1308" t="s">
        <v>1090</v>
      </c>
      <c r="K1012" s="1308" t="s">
        <v>956</v>
      </c>
      <c r="M1012" s="262" t="s">
        <v>1092</v>
      </c>
      <c r="N1012" s="1259" t="s">
        <v>1087</v>
      </c>
    </row>
    <row r="1013" spans="1:14" x14ac:dyDescent="0.2">
      <c r="A1013" s="272" t="s">
        <v>1081</v>
      </c>
      <c r="B1013" s="272" t="s">
        <v>1081</v>
      </c>
      <c r="C1013" s="273" t="s">
        <v>1083</v>
      </c>
      <c r="D1013" s="298" t="str">
        <f>"11/30/2016"</f>
        <v>11/30/2016</v>
      </c>
      <c r="E1013" s="275" t="s">
        <v>1085</v>
      </c>
      <c r="F1013" s="275" t="s">
        <v>1086</v>
      </c>
      <c r="G1013" s="298" t="str">
        <f>"12/31/2016"</f>
        <v>12/31/2016</v>
      </c>
      <c r="H1013" s="268"/>
      <c r="I1013" s="274" t="str">
        <f>D1013</f>
        <v>11/30/2016</v>
      </c>
      <c r="J1013" s="275" t="s">
        <v>1091</v>
      </c>
      <c r="K1013" s="1327" t="s">
        <v>1090</v>
      </c>
      <c r="L1013" s="276" t="s">
        <v>1086</v>
      </c>
      <c r="M1013" s="276" t="s">
        <v>955</v>
      </c>
      <c r="N1013" s="2226" t="str">
        <f>G1013</f>
        <v>12/31/2016</v>
      </c>
    </row>
    <row r="1014" spans="1:14" x14ac:dyDescent="0.2">
      <c r="A1014" s="267"/>
      <c r="B1014" s="267"/>
      <c r="C1014" s="267"/>
      <c r="D1014" s="267" t="str">
        <f>"(1)"</f>
        <v>(1)</v>
      </c>
      <c r="E1014" s="267" t="str">
        <f>"(2)"</f>
        <v>(2)</v>
      </c>
      <c r="F1014" s="267" t="str">
        <f>"(3)"</f>
        <v>(3)</v>
      </c>
      <c r="G1014" s="267" t="str">
        <f>"(4)=(1+2+3)"</f>
        <v>(4)=(1+2+3)</v>
      </c>
      <c r="H1014" s="267"/>
      <c r="I1014" s="267" t="str">
        <f>"(5)"</f>
        <v>(5)</v>
      </c>
      <c r="J1014" s="1328" t="str">
        <f>"(6)"</f>
        <v>(6)</v>
      </c>
      <c r="K1014" s="1328" t="str">
        <f>"(7)=((1+4)/2*6/12))"</f>
        <v>(7)=((1+4)/2*6/12))</v>
      </c>
      <c r="L1014" s="267" t="str">
        <f>"(8)"</f>
        <v>(8)</v>
      </c>
      <c r="M1014" s="267" t="str">
        <f>"(9)"</f>
        <v>(9)</v>
      </c>
      <c r="N1014" s="204" t="str">
        <f>"(10)=(5+7-8+9)"</f>
        <v>(10)=(5+7-8+9)</v>
      </c>
    </row>
    <row r="1015" spans="1:14" x14ac:dyDescent="0.2">
      <c r="D1015" s="31" t="s">
        <v>639</v>
      </c>
      <c r="E1015" s="170" t="s">
        <v>639</v>
      </c>
      <c r="F1015" s="170" t="s">
        <v>639</v>
      </c>
      <c r="G1015" s="31" t="s">
        <v>639</v>
      </c>
      <c r="H1015" s="31"/>
      <c r="I1015" s="31" t="s">
        <v>639</v>
      </c>
      <c r="J1015" s="170" t="s">
        <v>639</v>
      </c>
      <c r="K1015" s="170" t="s">
        <v>639</v>
      </c>
      <c r="L1015" s="31" t="s">
        <v>639</v>
      </c>
      <c r="M1015" s="31" t="s">
        <v>639</v>
      </c>
      <c r="N1015" s="155" t="s">
        <v>639</v>
      </c>
    </row>
    <row r="1016" spans="1:14" x14ac:dyDescent="0.2">
      <c r="A1016" s="31">
        <v>1</v>
      </c>
      <c r="B1016" s="36" t="s">
        <v>1025</v>
      </c>
      <c r="C1016" s="34"/>
      <c r="M1016" s="32"/>
    </row>
    <row r="1017" spans="1:14" x14ac:dyDescent="0.2">
      <c r="A1017" s="31">
        <f>A1016+1</f>
        <v>2</v>
      </c>
      <c r="C1017" s="36" t="s">
        <v>697</v>
      </c>
      <c r="M1017" s="32"/>
    </row>
    <row r="1018" spans="1:14" x14ac:dyDescent="0.2">
      <c r="A1018" s="31">
        <f t="shared" ref="A1018:A1023" si="296">A1017+1</f>
        <v>3</v>
      </c>
      <c r="B1018" s="253">
        <v>301</v>
      </c>
      <c r="C1018" s="52" t="s">
        <v>1026</v>
      </c>
      <c r="D1018" s="257">
        <f>G912</f>
        <v>521.20000000000005</v>
      </c>
      <c r="E1018" s="382">
        <f>ROUND('Plant input detail '!E1020*'WPB2.2 Plant detail-w slippage'!$P$2,0)</f>
        <v>0</v>
      </c>
      <c r="F1018" s="257">
        <f>ROUND('Plant input detail '!F1020*'WPB2.2 Plant detail-w slippage'!$P$2,0)</f>
        <v>0</v>
      </c>
      <c r="G1018" s="257">
        <f>SUM(D1018:F1018)</f>
        <v>521.20000000000005</v>
      </c>
      <c r="H1018" s="38"/>
      <c r="I1018" s="257">
        <f>N912</f>
        <v>0</v>
      </c>
      <c r="J1018" s="296" t="s">
        <v>1094</v>
      </c>
      <c r="K1018" s="258">
        <v>0</v>
      </c>
      <c r="L1018" s="38">
        <f>-F1018</f>
        <v>0</v>
      </c>
      <c r="M1018" s="259">
        <v>0</v>
      </c>
      <c r="N1018" s="2227">
        <f>I1018+K1018-L1018+M1018</f>
        <v>0</v>
      </c>
    </row>
    <row r="1019" spans="1:14" x14ac:dyDescent="0.2">
      <c r="A1019" s="31">
        <f t="shared" si="296"/>
        <v>4</v>
      </c>
      <c r="B1019" s="253">
        <v>303</v>
      </c>
      <c r="C1019" s="52" t="s">
        <v>1027</v>
      </c>
      <c r="D1019" s="257">
        <f>G913</f>
        <v>74347.509999999995</v>
      </c>
      <c r="E1019" s="382">
        <f>ROUND('Plant input detail '!E1021*'WPB2.2 Plant detail-w slippage'!$P$2,0)</f>
        <v>0</v>
      </c>
      <c r="F1019" s="257">
        <f>ROUND('Plant input detail '!F1021*'WPB2.2 Plant detail-w slippage'!$P$2,0)</f>
        <v>0</v>
      </c>
      <c r="G1019" s="257">
        <f>SUM(D1019:F1019)</f>
        <v>74347.509999999995</v>
      </c>
      <c r="H1019" s="38"/>
      <c r="I1019" s="257">
        <f>N913</f>
        <v>47658.109999999971</v>
      </c>
      <c r="J1019" s="296" t="s">
        <v>1094</v>
      </c>
      <c r="K1019" s="382">
        <f>'WPB2.2a Intan Amort. w slippage'!Q$19</f>
        <v>206.52</v>
      </c>
      <c r="L1019" s="38">
        <f>-F1019</f>
        <v>0</v>
      </c>
      <c r="M1019" s="259">
        <v>0</v>
      </c>
      <c r="N1019" s="2227">
        <f>I1019+K1019-L1019+M1019</f>
        <v>47864.629999999968</v>
      </c>
    </row>
    <row r="1020" spans="1:14" x14ac:dyDescent="0.2">
      <c r="A1020" s="31">
        <f t="shared" si="296"/>
        <v>5</v>
      </c>
      <c r="B1020" s="253">
        <v>303.10000000000002</v>
      </c>
      <c r="C1020" s="52" t="s">
        <v>1028</v>
      </c>
      <c r="D1020" s="257">
        <f>G914</f>
        <v>0</v>
      </c>
      <c r="E1020" s="382">
        <f>ROUND('Plant input detail '!E1022*'WPB2.2 Plant detail-w slippage'!$P$2,0)</f>
        <v>0</v>
      </c>
      <c r="F1020" s="257">
        <f>ROUND('Plant input detail '!F1022*'WPB2.2 Plant detail-w slippage'!$P$2,0)</f>
        <v>0</v>
      </c>
      <c r="G1020" s="257">
        <f>SUM(D1020:F1020)</f>
        <v>0</v>
      </c>
      <c r="H1020" s="38"/>
      <c r="I1020" s="257">
        <f>N914</f>
        <v>0</v>
      </c>
      <c r="J1020" s="296" t="s">
        <v>1094</v>
      </c>
      <c r="K1020" s="258">
        <v>0</v>
      </c>
      <c r="L1020" s="38">
        <f>-F1020</f>
        <v>0</v>
      </c>
      <c r="M1020" s="259">
        <v>0</v>
      </c>
      <c r="N1020" s="2227">
        <f>I1020+K1020-L1020+M1020</f>
        <v>0</v>
      </c>
    </row>
    <row r="1021" spans="1:14" x14ac:dyDescent="0.2">
      <c r="A1021" s="31">
        <f t="shared" si="296"/>
        <v>6</v>
      </c>
      <c r="B1021" s="253">
        <v>303.2</v>
      </c>
      <c r="C1021" s="52" t="s">
        <v>1029</v>
      </c>
      <c r="D1021" s="257">
        <f>G915</f>
        <v>0</v>
      </c>
      <c r="E1021" s="382">
        <f>ROUND('Plant input detail '!E1023*'WPB2.2 Plant detail-w slippage'!$P$2,0)</f>
        <v>0</v>
      </c>
      <c r="F1021" s="257">
        <f>ROUND('Plant input detail '!F1023*'WPB2.2 Plant detail-w slippage'!$P$2,0)</f>
        <v>0</v>
      </c>
      <c r="G1021" s="257">
        <f>SUM(D1021:F1021)</f>
        <v>0</v>
      </c>
      <c r="H1021" s="38"/>
      <c r="I1021" s="257">
        <f>N915</f>
        <v>0</v>
      </c>
      <c r="J1021" s="296" t="s">
        <v>1094</v>
      </c>
      <c r="K1021" s="258">
        <v>0</v>
      </c>
      <c r="L1021" s="38">
        <f>-F1021</f>
        <v>0</v>
      </c>
      <c r="M1021" s="259">
        <v>0</v>
      </c>
      <c r="N1021" s="2227">
        <f>I1021+K1021-L1021+M1021</f>
        <v>0</v>
      </c>
    </row>
    <row r="1022" spans="1:14" x14ac:dyDescent="0.2">
      <c r="A1022" s="31">
        <f t="shared" si="296"/>
        <v>7</v>
      </c>
      <c r="B1022" s="253">
        <v>303.3</v>
      </c>
      <c r="C1022" s="52" t="s">
        <v>1030</v>
      </c>
      <c r="D1022" s="260">
        <f>G916</f>
        <v>6628568</v>
      </c>
      <c r="E1022" s="265">
        <f>ROUND('Plant input detail '!E1024*'WPB2.2 Plant detail-w slippage'!$P$2,0)</f>
        <v>202118</v>
      </c>
      <c r="F1022" s="265">
        <f>ROUND('Plant input detail '!F1024*'WPB2.2 Plant detail-w slippage'!$P$2,0)</f>
        <v>0</v>
      </c>
      <c r="G1022" s="260">
        <f>SUM(D1022:F1022)</f>
        <v>6830686</v>
      </c>
      <c r="H1022" s="38"/>
      <c r="I1022" s="260">
        <f>N916</f>
        <v>2810690.4100463744</v>
      </c>
      <c r="J1022" s="296" t="s">
        <v>1094</v>
      </c>
      <c r="K1022" s="265">
        <f>'WPB2.2a Intan Amort. w slippage'!Q$104</f>
        <v>85507.874800474208</v>
      </c>
      <c r="L1022" s="295">
        <f>-F1022</f>
        <v>0</v>
      </c>
      <c r="M1022" s="263">
        <v>0</v>
      </c>
      <c r="N1022" s="2228">
        <f>I1022+K1022-L1022+M1022</f>
        <v>2896198.2848468488</v>
      </c>
    </row>
    <row r="1023" spans="1:14" x14ac:dyDescent="0.2">
      <c r="A1023" s="31">
        <f t="shared" si="296"/>
        <v>8</v>
      </c>
      <c r="B1023" s="253"/>
      <c r="C1023" s="52" t="s">
        <v>1031</v>
      </c>
      <c r="D1023" s="38">
        <f>SUM(D1018:D1022)</f>
        <v>6703436.71</v>
      </c>
      <c r="E1023" s="173">
        <f>SUM(E1018:E1022)</f>
        <v>202118</v>
      </c>
      <c r="F1023" s="173">
        <f>SUM(F1018:F1022)</f>
        <v>0</v>
      </c>
      <c r="G1023" s="38">
        <f>SUM(G1018:G1022)</f>
        <v>6905554.71</v>
      </c>
      <c r="H1023" s="38"/>
      <c r="I1023" s="38">
        <f>SUM(I1018:I1022)</f>
        <v>2858348.5200463743</v>
      </c>
      <c r="J1023" s="1359"/>
      <c r="K1023" s="173">
        <f>SUM(K1018:K1022)</f>
        <v>85714.394800474212</v>
      </c>
      <c r="L1023" s="38">
        <f>SUM(L1018:L1022)</f>
        <v>0</v>
      </c>
      <c r="M1023" s="173">
        <f>SUM(M1018:M1022)</f>
        <v>0</v>
      </c>
      <c r="N1023" s="1361">
        <f>SUM(N1018:N1022)</f>
        <v>2944062.9148468487</v>
      </c>
    </row>
    <row r="1024" spans="1:14" x14ac:dyDescent="0.2">
      <c r="B1024" s="254"/>
      <c r="D1024" s="38"/>
      <c r="E1024" s="173"/>
      <c r="F1024" s="173"/>
      <c r="G1024" s="38"/>
      <c r="H1024" s="38"/>
      <c r="I1024" s="38"/>
      <c r="J1024" s="1359"/>
      <c r="K1024" s="173"/>
      <c r="L1024" s="38"/>
      <c r="M1024" s="173"/>
    </row>
    <row r="1025" spans="1:14" x14ac:dyDescent="0.2">
      <c r="A1025" s="31">
        <f>A1023+1</f>
        <v>9</v>
      </c>
      <c r="B1025" s="254"/>
      <c r="C1025" s="36" t="s">
        <v>704</v>
      </c>
      <c r="D1025" s="38"/>
      <c r="E1025" s="173"/>
      <c r="F1025" s="173"/>
      <c r="G1025" s="38"/>
      <c r="H1025" s="38"/>
      <c r="I1025" s="38"/>
      <c r="J1025" s="1359"/>
      <c r="K1025" s="173"/>
      <c r="L1025" s="38"/>
      <c r="M1025" s="173"/>
    </row>
    <row r="1026" spans="1:14" x14ac:dyDescent="0.2">
      <c r="A1026" s="31">
        <f>A1025+1</f>
        <v>10</v>
      </c>
      <c r="B1026" s="255">
        <v>304.10000000000002</v>
      </c>
      <c r="C1026" s="41" t="s">
        <v>1032</v>
      </c>
      <c r="D1026" s="260">
        <f>G920</f>
        <v>0</v>
      </c>
      <c r="E1026" s="265">
        <f>ROUND('Plant input detail '!E1028*'WPB2.2 Plant detail-w slippage'!$P$2,0)</f>
        <v>0</v>
      </c>
      <c r="F1026" s="265">
        <f>ROUND('Plant input detail '!F1028*'WPB2.2 Plant detail-w slippage'!$P$2,0)</f>
        <v>0</v>
      </c>
      <c r="G1026" s="260">
        <f>SUM(D1026:F1026)</f>
        <v>0</v>
      </c>
      <c r="H1026" s="38"/>
      <c r="I1026" s="260">
        <f>N920</f>
        <v>0</v>
      </c>
      <c r="J1026" s="1360" t="s">
        <v>1102</v>
      </c>
      <c r="K1026" s="266">
        <v>0</v>
      </c>
      <c r="L1026" s="295">
        <f>-F1026</f>
        <v>0</v>
      </c>
      <c r="M1026" s="263">
        <v>0</v>
      </c>
      <c r="N1026" s="2228">
        <f>I1026+K1026-L1026+M1026</f>
        <v>0</v>
      </c>
    </row>
    <row r="1027" spans="1:14" x14ac:dyDescent="0.2">
      <c r="A1027" s="31">
        <f>A1026+1</f>
        <v>11</v>
      </c>
      <c r="B1027" s="255"/>
      <c r="C1027" s="256" t="s">
        <v>1079</v>
      </c>
      <c r="D1027" s="38">
        <f>D1026</f>
        <v>0</v>
      </c>
      <c r="E1027" s="173">
        <f>E1026</f>
        <v>0</v>
      </c>
      <c r="F1027" s="173">
        <f>F1026</f>
        <v>0</v>
      </c>
      <c r="G1027" s="38">
        <f>G1026</f>
        <v>0</v>
      </c>
      <c r="H1027" s="38"/>
      <c r="I1027" s="38">
        <f>I1026</f>
        <v>0</v>
      </c>
      <c r="J1027" s="1361"/>
      <c r="K1027" s="173">
        <f>SUM(K1026)</f>
        <v>0</v>
      </c>
      <c r="L1027" s="38">
        <f>SUM(L1026)</f>
        <v>0</v>
      </c>
      <c r="M1027" s="173">
        <f>M1026</f>
        <v>0</v>
      </c>
      <c r="N1027" s="1361">
        <f>N1026</f>
        <v>0</v>
      </c>
    </row>
    <row r="1028" spans="1:14" x14ac:dyDescent="0.2">
      <c r="B1028" s="254"/>
      <c r="D1028" s="38"/>
      <c r="E1028" s="173"/>
      <c r="F1028" s="173"/>
      <c r="G1028" s="38"/>
      <c r="H1028" s="38"/>
      <c r="I1028" s="38"/>
      <c r="J1028" s="1361"/>
      <c r="K1028" s="173"/>
      <c r="L1028" s="38"/>
      <c r="M1028" s="173"/>
    </row>
    <row r="1029" spans="1:14" x14ac:dyDescent="0.2">
      <c r="A1029" s="31">
        <f>A1027+1</f>
        <v>12</v>
      </c>
      <c r="B1029" s="254"/>
      <c r="C1029" s="36" t="s">
        <v>707</v>
      </c>
      <c r="D1029" s="38"/>
      <c r="E1029" s="173"/>
      <c r="F1029" s="173"/>
      <c r="G1029" s="38"/>
      <c r="H1029" s="38"/>
      <c r="I1029" s="38"/>
      <c r="J1029" s="1361"/>
      <c r="K1029" s="173"/>
      <c r="L1029" s="38"/>
      <c r="M1029" s="173"/>
    </row>
    <row r="1030" spans="1:14" x14ac:dyDescent="0.2">
      <c r="A1030" s="31">
        <f>A1029+1</f>
        <v>13</v>
      </c>
      <c r="B1030" s="253">
        <v>374.1</v>
      </c>
      <c r="C1030" s="52" t="s">
        <v>1035</v>
      </c>
      <c r="D1030" s="257">
        <f t="shared" ref="D1030:D1040" si="297">G924</f>
        <v>206</v>
      </c>
      <c r="E1030" s="382">
        <f>ROUND('Plant input detail '!E1032*'WPB2.2 Plant detail-w slippage'!$P$2,0)</f>
        <v>0</v>
      </c>
      <c r="F1030" s="257">
        <f>ROUND('Plant input detail '!F1032*'WPB2.2 Plant detail-w slippage'!$P$2,0)</f>
        <v>0</v>
      </c>
      <c r="G1030" s="257">
        <f>SUM(D1030:F1030)</f>
        <v>206</v>
      </c>
      <c r="H1030" s="38"/>
      <c r="I1030" s="257">
        <f t="shared" ref="I1030:I1040" si="298">N924</f>
        <v>0</v>
      </c>
      <c r="J1030" s="1360" t="s">
        <v>1102</v>
      </c>
      <c r="K1030" s="259">
        <v>0</v>
      </c>
      <c r="L1030" s="38">
        <f t="shared" ref="L1030:L1040" si="299">-F1030</f>
        <v>0</v>
      </c>
      <c r="M1030" s="257">
        <f>ROUND('Plant input detail '!M1032*'WPB2.2 Plant detail-w slippage'!$P$2,0)</f>
        <v>0</v>
      </c>
      <c r="N1030" s="2227">
        <f t="shared" ref="N1030:N1040" si="300">I1030+K1030-L1030+M1030</f>
        <v>0</v>
      </c>
    </row>
    <row r="1031" spans="1:14" x14ac:dyDescent="0.2">
      <c r="A1031" s="31">
        <f t="shared" ref="A1031:A1051" si="301">A1030+1</f>
        <v>14</v>
      </c>
      <c r="B1031" s="253">
        <v>374.2</v>
      </c>
      <c r="C1031" s="52" t="s">
        <v>1036</v>
      </c>
      <c r="D1031" s="257">
        <f t="shared" si="297"/>
        <v>877756.18</v>
      </c>
      <c r="E1031" s="382">
        <f>ROUND('Plant input detail '!E1033*'WPB2.2 Plant detail-w slippage'!$P$2,0)</f>
        <v>0</v>
      </c>
      <c r="F1031" s="257">
        <f>ROUND('Plant input detail '!F1033*'WPB2.2 Plant detail-w slippage'!$P$2,0)</f>
        <v>0</v>
      </c>
      <c r="G1031" s="257">
        <f t="shared" ref="G1031:G1040" si="302">SUM(D1031:F1031)</f>
        <v>877756.18</v>
      </c>
      <c r="H1031" s="38"/>
      <c r="I1031" s="257">
        <f t="shared" si="298"/>
        <v>-523.13</v>
      </c>
      <c r="J1031" s="1360" t="s">
        <v>1102</v>
      </c>
      <c r="K1031" s="259">
        <v>0</v>
      </c>
      <c r="L1031" s="38">
        <f t="shared" si="299"/>
        <v>0</v>
      </c>
      <c r="M1031" s="257">
        <f>ROUND('Plant input detail '!M1033*'WPB2.2 Plant detail-w slippage'!$P$2,0)</f>
        <v>0</v>
      </c>
      <c r="N1031" s="2227">
        <f t="shared" si="300"/>
        <v>-523.13</v>
      </c>
    </row>
    <row r="1032" spans="1:14" x14ac:dyDescent="0.2">
      <c r="A1032" s="31">
        <f t="shared" si="301"/>
        <v>15</v>
      </c>
      <c r="B1032" s="253">
        <v>374.4</v>
      </c>
      <c r="C1032" s="52" t="s">
        <v>1037</v>
      </c>
      <c r="D1032" s="257">
        <f t="shared" si="297"/>
        <v>661305.66</v>
      </c>
      <c r="E1032" s="382">
        <f>ROUND('Plant input detail '!E1034*'WPB2.2 Plant detail-w slippage'!$P$2,0)</f>
        <v>0</v>
      </c>
      <c r="F1032" s="257">
        <f>ROUND('Plant input detail '!F1034*'WPB2.2 Plant detail-w slippage'!$P$2,0)</f>
        <v>0</v>
      </c>
      <c r="G1032" s="257">
        <f t="shared" si="302"/>
        <v>661305.66</v>
      </c>
      <c r="H1032" s="38"/>
      <c r="I1032" s="257">
        <f t="shared" si="298"/>
        <v>178040.36</v>
      </c>
      <c r="J1032" s="1362">
        <f t="shared" ref="J1032:J1038" si="303">J926</f>
        <v>1.5299999999999999E-2</v>
      </c>
      <c r="K1032" s="173">
        <f>ROUND((G1032+D1032)/2*J1032/12,0)</f>
        <v>843</v>
      </c>
      <c r="L1032" s="38">
        <f t="shared" si="299"/>
        <v>0</v>
      </c>
      <c r="M1032" s="257">
        <f>ROUND('Plant input detail '!M1034*'WPB2.2 Plant detail-w slippage'!$P$2,0)</f>
        <v>0</v>
      </c>
      <c r="N1032" s="2227">
        <f t="shared" si="300"/>
        <v>178883.36</v>
      </c>
    </row>
    <row r="1033" spans="1:14" x14ac:dyDescent="0.2">
      <c r="A1033" s="31">
        <f t="shared" si="301"/>
        <v>16</v>
      </c>
      <c r="B1033" s="253">
        <v>374.5</v>
      </c>
      <c r="C1033" s="52" t="s">
        <v>1038</v>
      </c>
      <c r="D1033" s="257">
        <f t="shared" si="297"/>
        <v>2702312.55</v>
      </c>
      <c r="E1033" s="382">
        <f>ROUND('Plant input detail '!E1035*'WPB2.2 Plant detail-w slippage'!$P$2,0)</f>
        <v>1659</v>
      </c>
      <c r="F1033" s="257">
        <f>ROUND('Plant input detail '!F1035*'WPB2.2 Plant detail-w slippage'!$P$2,0)</f>
        <v>-199</v>
      </c>
      <c r="G1033" s="257">
        <f t="shared" si="302"/>
        <v>2703772.55</v>
      </c>
      <c r="H1033" s="38"/>
      <c r="I1033" s="257">
        <f t="shared" si="298"/>
        <v>926279.23</v>
      </c>
      <c r="J1033" s="1362">
        <f t="shared" si="303"/>
        <v>1.2200000000000001E-2</v>
      </c>
      <c r="K1033" s="173">
        <f t="shared" ref="K1033:K1038" si="304">ROUND((G1033+D1033)/2*J1033/12,0)</f>
        <v>2748</v>
      </c>
      <c r="L1033" s="38">
        <f t="shared" si="299"/>
        <v>199</v>
      </c>
      <c r="M1033" s="257">
        <f>ROUND('Plant input detail '!M1035*'WPB2.2 Plant detail-w slippage'!$P$2,0)</f>
        <v>0</v>
      </c>
      <c r="N1033" s="2227">
        <f t="shared" si="300"/>
        <v>928828.23</v>
      </c>
    </row>
    <row r="1034" spans="1:14" x14ac:dyDescent="0.2">
      <c r="A1034" s="31">
        <f t="shared" si="301"/>
        <v>17</v>
      </c>
      <c r="B1034" s="253">
        <v>375.2</v>
      </c>
      <c r="C1034" s="52" t="s">
        <v>1039</v>
      </c>
      <c r="D1034" s="257">
        <f t="shared" si="297"/>
        <v>2124.98</v>
      </c>
      <c r="E1034" s="382">
        <f>ROUND('Plant input detail '!E1036*'WPB2.2 Plant detail-w slippage'!$P$2,0)</f>
        <v>0</v>
      </c>
      <c r="F1034" s="257">
        <f>ROUND('Plant input detail '!F1036*'WPB2.2 Plant detail-w slippage'!$P$2,0)</f>
        <v>0</v>
      </c>
      <c r="G1034" s="257">
        <f t="shared" si="302"/>
        <v>2124.98</v>
      </c>
      <c r="H1034" s="38"/>
      <c r="I1034" s="257">
        <f t="shared" si="298"/>
        <v>2024.32</v>
      </c>
      <c r="J1034" s="1362">
        <f t="shared" si="303"/>
        <v>1.9599999999999999E-2</v>
      </c>
      <c r="K1034" s="173">
        <f t="shared" si="304"/>
        <v>3</v>
      </c>
      <c r="L1034" s="38">
        <f t="shared" si="299"/>
        <v>0</v>
      </c>
      <c r="M1034" s="257">
        <f>ROUND('Plant input detail '!M1036*'WPB2.2 Plant detail-w slippage'!$P$2,0)</f>
        <v>0</v>
      </c>
      <c r="N1034" s="2227">
        <f t="shared" si="300"/>
        <v>2027.32</v>
      </c>
    </row>
    <row r="1035" spans="1:14" x14ac:dyDescent="0.2">
      <c r="A1035" s="31">
        <f t="shared" si="301"/>
        <v>18</v>
      </c>
      <c r="B1035" s="253">
        <v>375.3</v>
      </c>
      <c r="C1035" s="52" t="s">
        <v>1040</v>
      </c>
      <c r="D1035" s="257">
        <f t="shared" si="297"/>
        <v>0</v>
      </c>
      <c r="E1035" s="382">
        <f>ROUND('Plant input detail '!E1037*'WPB2.2 Plant detail-w slippage'!$P$2,0)</f>
        <v>0</v>
      </c>
      <c r="F1035" s="257">
        <f>ROUND('Plant input detail '!F1037*'WPB2.2 Plant detail-w slippage'!$P$2,0)</f>
        <v>0</v>
      </c>
      <c r="G1035" s="257">
        <f t="shared" si="302"/>
        <v>0</v>
      </c>
      <c r="H1035" s="38"/>
      <c r="I1035" s="257">
        <f t="shared" si="298"/>
        <v>-77.66</v>
      </c>
      <c r="J1035" s="1362">
        <f t="shared" si="303"/>
        <v>1.9599999999999999E-2</v>
      </c>
      <c r="K1035" s="173">
        <f t="shared" si="304"/>
        <v>0</v>
      </c>
      <c r="L1035" s="38">
        <f t="shared" si="299"/>
        <v>0</v>
      </c>
      <c r="M1035" s="257">
        <f>ROUND('Plant input detail '!M1037*'WPB2.2 Plant detail-w slippage'!$P$2,0)</f>
        <v>0</v>
      </c>
      <c r="N1035" s="2227">
        <f t="shared" si="300"/>
        <v>-77.66</v>
      </c>
    </row>
    <row r="1036" spans="1:14" x14ac:dyDescent="0.2">
      <c r="A1036" s="31">
        <f t="shared" si="301"/>
        <v>19</v>
      </c>
      <c r="B1036" s="253">
        <v>375.4</v>
      </c>
      <c r="C1036" s="52" t="s">
        <v>1041</v>
      </c>
      <c r="D1036" s="257">
        <f t="shared" si="297"/>
        <v>2054182.02</v>
      </c>
      <c r="E1036" s="382">
        <f>ROUND('Plant input detail '!E1038*'WPB2.2 Plant detail-w slippage'!$P$2,0)</f>
        <v>50282</v>
      </c>
      <c r="F1036" s="257">
        <f>ROUND('Plant input detail '!F1038*'WPB2.2 Plant detail-w slippage'!$P$2,0)</f>
        <v>-6034</v>
      </c>
      <c r="G1036" s="257">
        <f t="shared" si="302"/>
        <v>2098430.02</v>
      </c>
      <c r="H1036" s="38"/>
      <c r="I1036" s="257">
        <f t="shared" si="298"/>
        <v>487194.37</v>
      </c>
      <c r="J1036" s="1362">
        <f t="shared" si="303"/>
        <v>1.9599999999999999E-2</v>
      </c>
      <c r="K1036" s="173">
        <f t="shared" si="304"/>
        <v>3391</v>
      </c>
      <c r="L1036" s="38">
        <f t="shared" si="299"/>
        <v>6034</v>
      </c>
      <c r="M1036" s="257">
        <f>ROUND('Plant input detail '!M1038*'WPB2.2 Plant detail-w slippage'!$P$2,0)</f>
        <v>-603</v>
      </c>
      <c r="N1036" s="2227">
        <f t="shared" si="300"/>
        <v>483948.37</v>
      </c>
    </row>
    <row r="1037" spans="1:14" x14ac:dyDescent="0.2">
      <c r="A1037" s="31">
        <f t="shared" si="301"/>
        <v>20</v>
      </c>
      <c r="B1037" s="253">
        <v>375.6</v>
      </c>
      <c r="C1037" s="52" t="s">
        <v>1042</v>
      </c>
      <c r="D1037" s="257">
        <f t="shared" si="297"/>
        <v>0</v>
      </c>
      <c r="E1037" s="382">
        <f>ROUND('Plant input detail '!E1039*'WPB2.2 Plant detail-w slippage'!$P$2,0)</f>
        <v>0</v>
      </c>
      <c r="F1037" s="257">
        <f>ROUND('Plant input detail '!F1039*'WPB2.2 Plant detail-w slippage'!$P$2,0)</f>
        <v>0</v>
      </c>
      <c r="G1037" s="257">
        <f t="shared" si="302"/>
        <v>0</v>
      </c>
      <c r="H1037" s="38"/>
      <c r="I1037" s="257">
        <f t="shared" si="298"/>
        <v>0.02</v>
      </c>
      <c r="J1037" s="1362">
        <f t="shared" si="303"/>
        <v>1.9599999999999999E-2</v>
      </c>
      <c r="K1037" s="173">
        <f t="shared" si="304"/>
        <v>0</v>
      </c>
      <c r="L1037" s="38">
        <f t="shared" si="299"/>
        <v>0</v>
      </c>
      <c r="M1037" s="257">
        <f>ROUND('Plant input detail '!M1039*'WPB2.2 Plant detail-w slippage'!$P$2,0)</f>
        <v>0</v>
      </c>
      <c r="N1037" s="2227">
        <f t="shared" si="300"/>
        <v>0.02</v>
      </c>
    </row>
    <row r="1038" spans="1:14" x14ac:dyDescent="0.2">
      <c r="A1038" s="31">
        <f t="shared" si="301"/>
        <v>21</v>
      </c>
      <c r="B1038" s="253">
        <v>375.7</v>
      </c>
      <c r="C1038" s="52" t="s">
        <v>1043</v>
      </c>
      <c r="D1038" s="257">
        <f t="shared" si="297"/>
        <v>8203101.21</v>
      </c>
      <c r="E1038" s="382">
        <f>ROUND('Plant input detail '!E1040*'WPB2.2 Plant detail-w slippage'!$P$2,0)</f>
        <v>59601</v>
      </c>
      <c r="F1038" s="257">
        <f>ROUND('Plant input detail '!F1040*'WPB2.2 Plant detail-w slippage'!$P$2,0)</f>
        <v>-7152</v>
      </c>
      <c r="G1038" s="257">
        <f t="shared" si="302"/>
        <v>8255550.21</v>
      </c>
      <c r="H1038" s="38"/>
      <c r="I1038" s="257">
        <f t="shared" si="298"/>
        <v>3309703.06</v>
      </c>
      <c r="J1038" s="1362">
        <f t="shared" si="303"/>
        <v>1.9900000000000001E-2</v>
      </c>
      <c r="K1038" s="173">
        <f t="shared" si="304"/>
        <v>13647</v>
      </c>
      <c r="L1038" s="38">
        <f t="shared" si="299"/>
        <v>7152</v>
      </c>
      <c r="M1038" s="257">
        <f>ROUND('Plant input detail '!M1040*'WPB2.2 Plant detail-w slippage'!$P$2,0)</f>
        <v>0</v>
      </c>
      <c r="N1038" s="2227">
        <f t="shared" si="300"/>
        <v>3316198.06</v>
      </c>
    </row>
    <row r="1039" spans="1:14" x14ac:dyDescent="0.2">
      <c r="A1039" s="31">
        <f t="shared" si="301"/>
        <v>22</v>
      </c>
      <c r="B1039" s="253">
        <v>375.71</v>
      </c>
      <c r="C1039" s="52" t="s">
        <v>1044</v>
      </c>
      <c r="D1039" s="257">
        <f t="shared" si="297"/>
        <v>259808.94</v>
      </c>
      <c r="E1039" s="382">
        <f>ROUND('Plant input detail '!E1041*'WPB2.2 Plant detail-w slippage'!$P$2,0)</f>
        <v>0</v>
      </c>
      <c r="F1039" s="257">
        <f>ROUND('Plant input detail '!F1041*'WPB2.2 Plant detail-w slippage'!$P$2,0)</f>
        <v>0</v>
      </c>
      <c r="G1039" s="257">
        <f t="shared" si="302"/>
        <v>259808.94</v>
      </c>
      <c r="H1039" s="38"/>
      <c r="I1039" s="257">
        <f t="shared" si="298"/>
        <v>179941.505263158</v>
      </c>
      <c r="J1039" s="296" t="s">
        <v>1094</v>
      </c>
      <c r="K1039" s="258">
        <f>104653.88/38</f>
        <v>2754.0494736842106</v>
      </c>
      <c r="L1039" s="38">
        <f t="shared" si="299"/>
        <v>0</v>
      </c>
      <c r="M1039" s="257">
        <f>ROUND('Plant input detail '!M1041*'WPB2.2 Plant detail-w slippage'!$P$2,0)</f>
        <v>0</v>
      </c>
      <c r="N1039" s="2227">
        <f t="shared" si="300"/>
        <v>182695.55473684223</v>
      </c>
    </row>
    <row r="1040" spans="1:14" x14ac:dyDescent="0.2">
      <c r="A1040" s="31">
        <f t="shared" si="301"/>
        <v>23</v>
      </c>
      <c r="B1040" s="253">
        <v>375.8</v>
      </c>
      <c r="C1040" s="52" t="s">
        <v>1045</v>
      </c>
      <c r="D1040" s="257">
        <f t="shared" si="297"/>
        <v>0</v>
      </c>
      <c r="E1040" s="382">
        <f>ROUND('Plant input detail '!E1042*'WPB2.2 Plant detail-w slippage'!$P$2,0)</f>
        <v>0</v>
      </c>
      <c r="F1040" s="257">
        <f>ROUND('Plant input detail '!F1042*'WPB2.2 Plant detail-w slippage'!$P$2,0)</f>
        <v>0</v>
      </c>
      <c r="G1040" s="257">
        <f t="shared" si="302"/>
        <v>0</v>
      </c>
      <c r="H1040" s="38"/>
      <c r="I1040" s="257">
        <f t="shared" si="298"/>
        <v>0</v>
      </c>
      <c r="J1040" s="1362">
        <f>J934</f>
        <v>5.3199999999999997E-2</v>
      </c>
      <c r="K1040" s="259">
        <v>0</v>
      </c>
      <c r="L1040" s="38">
        <f t="shared" si="299"/>
        <v>0</v>
      </c>
      <c r="M1040" s="257">
        <f>ROUND('Plant input detail '!M1042*'WPB2.2 Plant detail-w slippage'!$P$2,0)</f>
        <v>0</v>
      </c>
      <c r="N1040" s="2227">
        <f t="shared" si="300"/>
        <v>0</v>
      </c>
    </row>
    <row r="1041" spans="1:14" x14ac:dyDescent="0.2">
      <c r="A1041" s="31">
        <f>A1040+1</f>
        <v>24</v>
      </c>
      <c r="B1041" s="253">
        <v>376</v>
      </c>
      <c r="C1041" s="251" t="s">
        <v>1096</v>
      </c>
      <c r="D1041" s="257"/>
      <c r="E1041" s="258"/>
      <c r="F1041" s="259"/>
      <c r="G1041" s="257"/>
      <c r="H1041" s="38"/>
      <c r="I1041" s="181"/>
      <c r="J1041" s="1361"/>
      <c r="K1041" s="173"/>
      <c r="L1041" s="38"/>
      <c r="M1041" s="259"/>
    </row>
    <row r="1042" spans="1:14" x14ac:dyDescent="0.2">
      <c r="A1042" s="31"/>
      <c r="B1042" s="253"/>
      <c r="C1042" s="286" t="s">
        <v>1097</v>
      </c>
      <c r="D1042" s="257"/>
      <c r="E1042" s="258"/>
      <c r="F1042" s="259"/>
      <c r="G1042" s="257"/>
      <c r="H1042" s="38"/>
      <c r="I1042" s="257"/>
      <c r="J1042" s="1362"/>
      <c r="K1042" s="173"/>
      <c r="L1042" s="38"/>
      <c r="M1042" s="257"/>
      <c r="N1042" s="2227"/>
    </row>
    <row r="1043" spans="1:14" x14ac:dyDescent="0.2">
      <c r="A1043" s="31"/>
      <c r="B1043" s="253"/>
      <c r="C1043" s="286" t="s">
        <v>1098</v>
      </c>
      <c r="D1043" s="257"/>
      <c r="E1043" s="258"/>
      <c r="F1043" s="259"/>
      <c r="G1043" s="257"/>
      <c r="H1043" s="38"/>
      <c r="I1043" s="257"/>
      <c r="J1043" s="1362"/>
      <c r="K1043" s="173"/>
      <c r="L1043" s="38"/>
      <c r="M1043" s="257"/>
      <c r="N1043" s="2227"/>
    </row>
    <row r="1044" spans="1:14" x14ac:dyDescent="0.2">
      <c r="A1044" s="31"/>
      <c r="B1044" s="253"/>
      <c r="C1044" s="286" t="s">
        <v>1099</v>
      </c>
      <c r="D1044" s="257"/>
      <c r="E1044" s="258"/>
      <c r="F1044" s="259"/>
      <c r="G1044" s="257"/>
      <c r="H1044" s="38"/>
      <c r="I1044" s="257"/>
      <c r="J1044" s="1362"/>
      <c r="K1044" s="173"/>
      <c r="L1044" s="38"/>
      <c r="M1044" s="257"/>
      <c r="N1044" s="2227"/>
    </row>
    <row r="1045" spans="1:14" x14ac:dyDescent="0.2">
      <c r="A1045" s="31"/>
      <c r="B1045" s="253"/>
      <c r="C1045" s="286" t="s">
        <v>1100</v>
      </c>
      <c r="D1045" s="257"/>
      <c r="E1045" s="258"/>
      <c r="F1045" s="259"/>
      <c r="G1045" s="257"/>
      <c r="H1045" s="38"/>
      <c r="I1045" s="257"/>
      <c r="J1045" s="1362"/>
      <c r="K1045" s="173"/>
      <c r="L1045" s="38"/>
      <c r="M1045" s="257"/>
      <c r="N1045" s="2227"/>
    </row>
    <row r="1046" spans="1:14" x14ac:dyDescent="0.2">
      <c r="A1046" s="31"/>
      <c r="B1046" s="253"/>
      <c r="C1046" s="286" t="s">
        <v>1101</v>
      </c>
      <c r="D1046" s="257">
        <f t="shared" ref="D1046:D1051" si="305">G940</f>
        <v>212491819.44</v>
      </c>
      <c r="E1046" s="382">
        <f>ROUND('Plant input detail '!E1048*'WPB2.2 Plant detail-w slippage'!$P$2,0)</f>
        <v>1008166</v>
      </c>
      <c r="F1046" s="257">
        <f>ROUND('Plant input detail '!F1048*'WPB2.2 Plant detail-w slippage'!$P$2,0)</f>
        <v>-120980</v>
      </c>
      <c r="G1046" s="257">
        <f t="shared" ref="G1046:G1051" si="306">SUM(D1046:F1046)</f>
        <v>213379005.44</v>
      </c>
      <c r="H1046" s="38"/>
      <c r="I1046" s="257">
        <f t="shared" ref="I1046:I1051" si="307">N940</f>
        <v>57315286.609999999</v>
      </c>
      <c r="J1046" s="1362">
        <f t="shared" ref="J1046:J1051" si="308">J940</f>
        <v>1.5699999999999999E-2</v>
      </c>
      <c r="K1046" s="173">
        <f t="shared" ref="K1046:K1051" si="309">ROUND((G1046+D1046)/2*J1046/12,0)</f>
        <v>278590</v>
      </c>
      <c r="L1046" s="38">
        <f t="shared" ref="L1046:L1051" si="310">-F1046</f>
        <v>120980</v>
      </c>
      <c r="M1046" s="257">
        <f>ROUND('Plant input detail '!M1048*'WPB2.2 Plant detail-w slippage'!$P$2,0)</f>
        <v>-18147</v>
      </c>
      <c r="N1046" s="2227">
        <f t="shared" ref="N1046:N1051" si="311">I1046+K1046-L1046+M1046</f>
        <v>57454749.609999999</v>
      </c>
    </row>
    <row r="1047" spans="1:14" x14ac:dyDescent="0.2">
      <c r="A1047" s="31">
        <f>A1041+1</f>
        <v>25</v>
      </c>
      <c r="B1047" s="253">
        <v>378.1</v>
      </c>
      <c r="C1047" s="52" t="s">
        <v>1047</v>
      </c>
      <c r="D1047" s="257">
        <f t="shared" si="305"/>
        <v>518504.18</v>
      </c>
      <c r="E1047" s="382">
        <f>ROUND('Plant input detail '!E1049*'WPB2.2 Plant detail-w slippage'!$P$2,0)</f>
        <v>0</v>
      </c>
      <c r="F1047" s="257">
        <f>ROUND('Plant input detail '!F1049*'WPB2.2 Plant detail-w slippage'!$P$2,0)</f>
        <v>0</v>
      </c>
      <c r="G1047" s="257">
        <f t="shared" si="306"/>
        <v>518504.18</v>
      </c>
      <c r="H1047" s="38"/>
      <c r="I1047" s="257">
        <f t="shared" si="307"/>
        <v>362446.81</v>
      </c>
      <c r="J1047" s="1362">
        <f t="shared" si="308"/>
        <v>2.35E-2</v>
      </c>
      <c r="K1047" s="173">
        <f t="shared" si="309"/>
        <v>1015</v>
      </c>
      <c r="L1047" s="38">
        <f t="shared" si="310"/>
        <v>0</v>
      </c>
      <c r="M1047" s="257">
        <f>ROUND('Plant input detail '!M1049*'WPB2.2 Plant detail-w slippage'!$P$2,0)</f>
        <v>0</v>
      </c>
      <c r="N1047" s="2227">
        <f t="shared" si="311"/>
        <v>363461.81</v>
      </c>
    </row>
    <row r="1048" spans="1:14" x14ac:dyDescent="0.2">
      <c r="A1048" s="31">
        <f t="shared" si="301"/>
        <v>26</v>
      </c>
      <c r="B1048" s="253">
        <v>378.2</v>
      </c>
      <c r="C1048" s="52" t="s">
        <v>1048</v>
      </c>
      <c r="D1048" s="257">
        <f t="shared" si="305"/>
        <v>9737438</v>
      </c>
      <c r="E1048" s="382">
        <f>ROUND('Plant input detail '!E1050*'WPB2.2 Plant detail-w slippage'!$P$2,0)</f>
        <v>52825</v>
      </c>
      <c r="F1048" s="257">
        <f>ROUND('Plant input detail '!F1050*'WPB2.2 Plant detail-w slippage'!$P$2,0)</f>
        <v>-6339</v>
      </c>
      <c r="G1048" s="257">
        <f t="shared" si="306"/>
        <v>9783924</v>
      </c>
      <c r="H1048" s="38"/>
      <c r="I1048" s="257">
        <f t="shared" si="307"/>
        <v>3356000.91</v>
      </c>
      <c r="J1048" s="1362">
        <f t="shared" si="308"/>
        <v>2.35E-2</v>
      </c>
      <c r="K1048" s="173">
        <f t="shared" si="309"/>
        <v>19115</v>
      </c>
      <c r="L1048" s="38">
        <f t="shared" si="310"/>
        <v>6339</v>
      </c>
      <c r="M1048" s="257">
        <f>ROUND('Plant input detail '!M1050*'WPB2.2 Plant detail-w slippage'!$P$2,0)</f>
        <v>-317</v>
      </c>
      <c r="N1048" s="2227">
        <f t="shared" si="311"/>
        <v>3368459.91</v>
      </c>
    </row>
    <row r="1049" spans="1:14" x14ac:dyDescent="0.2">
      <c r="A1049" s="31">
        <f t="shared" si="301"/>
        <v>27</v>
      </c>
      <c r="B1049" s="253">
        <v>378.3</v>
      </c>
      <c r="C1049" s="52" t="s">
        <v>1049</v>
      </c>
      <c r="D1049" s="257">
        <f t="shared" si="305"/>
        <v>45443.08</v>
      </c>
      <c r="E1049" s="382">
        <f>ROUND('Plant input detail '!E1051*'WPB2.2 Plant detail-w slippage'!$P$2,0)</f>
        <v>0</v>
      </c>
      <c r="F1049" s="257">
        <f>ROUND('Plant input detail '!F1051*'WPB2.2 Plant detail-w slippage'!$P$2,0)</f>
        <v>0</v>
      </c>
      <c r="G1049" s="257">
        <f t="shared" si="306"/>
        <v>45443.08</v>
      </c>
      <c r="H1049" s="38"/>
      <c r="I1049" s="257">
        <f t="shared" si="307"/>
        <v>35789.040000000001</v>
      </c>
      <c r="J1049" s="1362">
        <f t="shared" si="308"/>
        <v>2.35E-2</v>
      </c>
      <c r="K1049" s="173">
        <f t="shared" si="309"/>
        <v>89</v>
      </c>
      <c r="L1049" s="38">
        <f t="shared" si="310"/>
        <v>0</v>
      </c>
      <c r="M1049" s="257">
        <f>ROUND('Plant input detail '!M1051*'WPB2.2 Plant detail-w slippage'!$P$2,0)</f>
        <v>0</v>
      </c>
      <c r="N1049" s="2227">
        <f t="shared" si="311"/>
        <v>35878.04</v>
      </c>
    </row>
    <row r="1050" spans="1:14" x14ac:dyDescent="0.2">
      <c r="A1050" s="31">
        <f t="shared" si="301"/>
        <v>28</v>
      </c>
      <c r="B1050" s="253">
        <v>379.1</v>
      </c>
      <c r="C1050" s="52" t="s">
        <v>1050</v>
      </c>
      <c r="D1050" s="257">
        <f t="shared" si="305"/>
        <v>254900.59</v>
      </c>
      <c r="E1050" s="382">
        <f>ROUND('Plant input detail '!E1052*'WPB2.2 Plant detail-w slippage'!$P$2,0)</f>
        <v>0</v>
      </c>
      <c r="F1050" s="257">
        <f>ROUND('Plant input detail '!F1052*'WPB2.2 Plant detail-w slippage'!$P$2,0)</f>
        <v>0</v>
      </c>
      <c r="G1050" s="257">
        <f t="shared" si="306"/>
        <v>254900.59</v>
      </c>
      <c r="H1050" s="38"/>
      <c r="I1050" s="257">
        <f t="shared" si="307"/>
        <v>267730.57</v>
      </c>
      <c r="J1050" s="1362">
        <f t="shared" si="308"/>
        <v>2.2700000000000001E-2</v>
      </c>
      <c r="K1050" s="259">
        <v>0</v>
      </c>
      <c r="L1050" s="38">
        <f t="shared" si="310"/>
        <v>0</v>
      </c>
      <c r="M1050" s="257">
        <f>ROUND('Plant input detail '!M1052*'WPB2.2 Plant detail-w slippage'!$P$2,0)</f>
        <v>0</v>
      </c>
      <c r="N1050" s="2227">
        <f t="shared" si="311"/>
        <v>267730.57</v>
      </c>
    </row>
    <row r="1051" spans="1:14" x14ac:dyDescent="0.2">
      <c r="A1051" s="31">
        <f t="shared" si="301"/>
        <v>29</v>
      </c>
      <c r="B1051" s="253">
        <v>380</v>
      </c>
      <c r="C1051" s="52" t="s">
        <v>1051</v>
      </c>
      <c r="D1051" s="257">
        <f t="shared" si="305"/>
        <v>122452230.77</v>
      </c>
      <c r="E1051" s="382">
        <f>ROUND('Plant input detail '!E1053*'WPB2.2 Plant detail-w slippage'!$P$2,0)</f>
        <v>689548</v>
      </c>
      <c r="F1051" s="257">
        <f>ROUND('Plant input detail '!F1053*'WPB2.2 Plant detail-w slippage'!$P$2,0)</f>
        <v>-82746</v>
      </c>
      <c r="G1051" s="257">
        <f t="shared" si="306"/>
        <v>123059032.77</v>
      </c>
      <c r="H1051" s="38"/>
      <c r="I1051" s="257">
        <f t="shared" si="307"/>
        <v>58648489.520000003</v>
      </c>
      <c r="J1051" s="1362">
        <f t="shared" si="308"/>
        <v>2.5899999999999999E-2</v>
      </c>
      <c r="K1051" s="173">
        <f t="shared" si="309"/>
        <v>264948</v>
      </c>
      <c r="L1051" s="38">
        <f t="shared" si="310"/>
        <v>82746</v>
      </c>
      <c r="M1051" s="257">
        <f>ROUND('Plant input detail '!M1053*'WPB2.2 Plant detail-w slippage'!$P$2,0)</f>
        <v>-41373</v>
      </c>
      <c r="N1051" s="2227">
        <f t="shared" si="311"/>
        <v>58789318.520000003</v>
      </c>
    </row>
    <row r="1052" spans="1:14" x14ac:dyDescent="0.2">
      <c r="A1052" s="170"/>
      <c r="B1052" s="179"/>
      <c r="C1052" s="178"/>
      <c r="D1052" s="181"/>
      <c r="E1052" s="173"/>
      <c r="F1052" s="173"/>
      <c r="G1052" s="181"/>
      <c r="H1052" s="173"/>
      <c r="I1052" s="173"/>
      <c r="J1052" s="173"/>
      <c r="K1052" s="173"/>
      <c r="L1052" s="173"/>
      <c r="M1052" s="171"/>
      <c r="N1052" s="2229"/>
    </row>
    <row r="1053" spans="1:14" x14ac:dyDescent="0.2">
      <c r="A1053" s="2079" t="str">
        <f>co</f>
        <v>COLUMBIA GAS OF KENTUCKY, INC.</v>
      </c>
      <c r="B1053" s="2079"/>
      <c r="C1053" s="2079"/>
      <c r="D1053" s="2079"/>
      <c r="E1053" s="2079"/>
      <c r="F1053" s="2079"/>
      <c r="G1053" s="2079"/>
      <c r="H1053" s="2079"/>
      <c r="I1053" s="2079"/>
      <c r="J1053" s="2079"/>
      <c r="K1053" s="2079"/>
      <c r="L1053" s="2079"/>
      <c r="M1053" s="2079"/>
      <c r="N1053" s="2079"/>
    </row>
    <row r="1054" spans="1:14" x14ac:dyDescent="0.2">
      <c r="A1054" s="2079" t="str">
        <f>case</f>
        <v>CASE NO. 2016 - 00162</v>
      </c>
      <c r="B1054" s="2079"/>
      <c r="C1054" s="2079"/>
      <c r="D1054" s="2079"/>
      <c r="E1054" s="2079"/>
      <c r="F1054" s="2079"/>
      <c r="G1054" s="2079"/>
      <c r="H1054" s="2079"/>
      <c r="I1054" s="2079"/>
      <c r="J1054" s="2079"/>
      <c r="K1054" s="2079"/>
      <c r="L1054" s="2079"/>
      <c r="M1054" s="2079"/>
      <c r="N1054" s="2079"/>
    </row>
    <row r="1055" spans="1:14" x14ac:dyDescent="0.2">
      <c r="A1055" s="2080" t="s">
        <v>1106</v>
      </c>
      <c r="B1055" s="2079"/>
      <c r="C1055" s="2079"/>
      <c r="D1055" s="2079"/>
      <c r="E1055" s="2079"/>
      <c r="F1055" s="2079"/>
      <c r="G1055" s="2079"/>
      <c r="H1055" s="2079"/>
      <c r="I1055" s="2079"/>
      <c r="J1055" s="2079"/>
      <c r="K1055" s="2079"/>
      <c r="L1055" s="2079"/>
      <c r="M1055" s="2079"/>
      <c r="N1055" s="2079"/>
    </row>
    <row r="1056" spans="1:14" x14ac:dyDescent="0.2">
      <c r="A1056" s="2081" t="s">
        <v>2142</v>
      </c>
      <c r="B1056" s="2085"/>
      <c r="C1056" s="2085"/>
      <c r="D1056" s="2085"/>
      <c r="E1056" s="2085"/>
      <c r="F1056" s="2085"/>
      <c r="G1056" s="2085"/>
      <c r="H1056" s="2085"/>
      <c r="I1056" s="2085"/>
      <c r="J1056" s="2085"/>
      <c r="K1056" s="2085"/>
      <c r="L1056" s="2085"/>
      <c r="M1056" s="2085"/>
      <c r="N1056" s="2085"/>
    </row>
    <row r="1058" spans="1:14" x14ac:dyDescent="0.2">
      <c r="A1058" s="285" t="str">
        <f>$A$6</f>
        <v>DATA:__X___BASE PERIOD__X___FORECASTED PERIOD</v>
      </c>
      <c r="C1058" s="171"/>
      <c r="M1058" s="32"/>
      <c r="N1058" s="1258" t="str">
        <f>$N$6</f>
        <v>WPB-2.2</v>
      </c>
    </row>
    <row r="1059" spans="1:14" x14ac:dyDescent="0.2">
      <c r="A1059" s="4" t="str">
        <f>$A$7</f>
        <v>TYPE OF FILING:___X____ORIGINAL________UPDATED</v>
      </c>
      <c r="M1059" s="32"/>
      <c r="N1059" s="2223" t="s">
        <v>1733</v>
      </c>
    </row>
    <row r="1060" spans="1:14" x14ac:dyDescent="0.2">
      <c r="A1060" s="1261" t="str">
        <f>$A$8</f>
        <v xml:space="preserve">WORKPAPER REFERENCE NO(S).: </v>
      </c>
      <c r="B1060" s="202"/>
      <c r="C1060" s="202"/>
      <c r="D1060" s="201"/>
      <c r="E1060" s="202"/>
      <c r="F1060" s="202"/>
      <c r="G1060" s="201"/>
      <c r="H1060" s="201"/>
      <c r="M1060" s="203"/>
      <c r="N1060" s="204" t="str">
        <f>SMK</f>
        <v>WITNESS:  S. M. KATKO</v>
      </c>
    </row>
    <row r="1061" spans="1:14" x14ac:dyDescent="0.2">
      <c r="A1061" s="200"/>
      <c r="B1061" s="201"/>
      <c r="C1061" s="201"/>
      <c r="D1061" s="201"/>
      <c r="E1061" s="202"/>
      <c r="F1061" s="202"/>
      <c r="G1061" s="201"/>
      <c r="H1061" s="201"/>
      <c r="I1061" s="203"/>
      <c r="J1061" s="1357"/>
      <c r="L1061" s="32"/>
      <c r="M1061" s="32"/>
    </row>
    <row r="1062" spans="1:14" x14ac:dyDescent="0.2">
      <c r="A1062" s="200"/>
      <c r="B1062" s="201"/>
      <c r="C1062" s="201"/>
      <c r="D1062" s="2082" t="s">
        <v>1088</v>
      </c>
      <c r="E1062" s="2082"/>
      <c r="F1062" s="2082"/>
      <c r="G1062" s="2082"/>
      <c r="H1062" s="201"/>
      <c r="I1062" s="2083" t="s">
        <v>1093</v>
      </c>
      <c r="J1062" s="2084"/>
      <c r="K1062" s="2084"/>
      <c r="L1062" s="2084"/>
      <c r="M1062" s="2084"/>
      <c r="N1062" s="2084"/>
    </row>
    <row r="1063" spans="1:14" x14ac:dyDescent="0.2">
      <c r="A1063" s="270"/>
      <c r="B1063" s="201"/>
      <c r="C1063" s="201"/>
      <c r="D1063" s="271" t="s">
        <v>1084</v>
      </c>
      <c r="E1063" s="202"/>
      <c r="F1063" s="202"/>
      <c r="G1063" s="269"/>
      <c r="H1063" s="269"/>
      <c r="I1063" s="261" t="s">
        <v>1089</v>
      </c>
      <c r="J1063" s="1358"/>
      <c r="M1063" s="32"/>
    </row>
    <row r="1064" spans="1:14" x14ac:dyDescent="0.2">
      <c r="A1064" s="30"/>
      <c r="D1064" s="261" t="s">
        <v>865</v>
      </c>
      <c r="G1064" s="261" t="s">
        <v>867</v>
      </c>
      <c r="H1064" s="268"/>
      <c r="I1064" s="261" t="s">
        <v>865</v>
      </c>
      <c r="J1064" s="1308" t="s">
        <v>956</v>
      </c>
      <c r="M1064" s="32"/>
      <c r="N1064" s="2225" t="s">
        <v>867</v>
      </c>
    </row>
    <row r="1065" spans="1:14" x14ac:dyDescent="0.2">
      <c r="A1065" s="261" t="s">
        <v>1080</v>
      </c>
      <c r="B1065" s="261" t="s">
        <v>1082</v>
      </c>
      <c r="D1065" s="261" t="s">
        <v>867</v>
      </c>
      <c r="G1065" s="262" t="s">
        <v>1087</v>
      </c>
      <c r="H1065" s="268"/>
      <c r="I1065" s="262" t="s">
        <v>867</v>
      </c>
      <c r="J1065" s="1308" t="s">
        <v>1090</v>
      </c>
      <c r="K1065" s="1308" t="s">
        <v>956</v>
      </c>
      <c r="M1065" s="262" t="s">
        <v>1092</v>
      </c>
      <c r="N1065" s="1259" t="s">
        <v>1087</v>
      </c>
    </row>
    <row r="1066" spans="1:14" x14ac:dyDescent="0.2">
      <c r="A1066" s="272" t="s">
        <v>1081</v>
      </c>
      <c r="B1066" s="272" t="s">
        <v>1081</v>
      </c>
      <c r="C1066" s="273" t="s">
        <v>1083</v>
      </c>
      <c r="D1066" s="274" t="str">
        <f>D1013</f>
        <v>11/30/2016</v>
      </c>
      <c r="E1066" s="275" t="s">
        <v>1085</v>
      </c>
      <c r="F1066" s="275" t="s">
        <v>1086</v>
      </c>
      <c r="G1066" s="274" t="str">
        <f>G1013</f>
        <v>12/31/2016</v>
      </c>
      <c r="H1066" s="268"/>
      <c r="I1066" s="274" t="str">
        <f>D1066</f>
        <v>11/30/2016</v>
      </c>
      <c r="J1066" s="275" t="s">
        <v>1091</v>
      </c>
      <c r="K1066" s="1327" t="s">
        <v>1090</v>
      </c>
      <c r="L1066" s="276" t="s">
        <v>1086</v>
      </c>
      <c r="M1066" s="276" t="s">
        <v>955</v>
      </c>
      <c r="N1066" s="2226" t="str">
        <f>G1066</f>
        <v>12/31/2016</v>
      </c>
    </row>
    <row r="1067" spans="1:14" x14ac:dyDescent="0.2">
      <c r="A1067" s="267"/>
      <c r="B1067" s="267"/>
      <c r="C1067" s="267"/>
      <c r="D1067" s="267" t="str">
        <f>"(1)"</f>
        <v>(1)</v>
      </c>
      <c r="E1067" s="267" t="str">
        <f>"(2)"</f>
        <v>(2)</v>
      </c>
      <c r="F1067" s="267" t="str">
        <f>"(3)"</f>
        <v>(3)</v>
      </c>
      <c r="G1067" s="267" t="str">
        <f>"(4)=(1+2+3)"</f>
        <v>(4)=(1+2+3)</v>
      </c>
      <c r="H1067" s="267"/>
      <c r="I1067" s="267" t="str">
        <f>"(5)"</f>
        <v>(5)</v>
      </c>
      <c r="J1067" s="1328" t="str">
        <f>"(6)"</f>
        <v>(6)</v>
      </c>
      <c r="K1067" s="1328" t="str">
        <f>"(7)=((1+4)/2*6/12))"</f>
        <v>(7)=((1+4)/2*6/12))</v>
      </c>
      <c r="L1067" s="267" t="str">
        <f>"(8)"</f>
        <v>(8)</v>
      </c>
      <c r="M1067" s="267" t="str">
        <f>"(9)"</f>
        <v>(9)</v>
      </c>
      <c r="N1067" s="204" t="str">
        <f>"(10)=(5+7-8+9)"</f>
        <v>(10)=(5+7-8+9)</v>
      </c>
    </row>
    <row r="1068" spans="1:14" x14ac:dyDescent="0.2">
      <c r="D1068" s="31" t="s">
        <v>639</v>
      </c>
      <c r="E1068" s="170" t="s">
        <v>639</v>
      </c>
      <c r="F1068" s="170" t="s">
        <v>639</v>
      </c>
      <c r="G1068" s="31" t="s">
        <v>639</v>
      </c>
      <c r="H1068" s="31"/>
      <c r="I1068" s="31" t="s">
        <v>639</v>
      </c>
      <c r="J1068" s="170" t="s">
        <v>639</v>
      </c>
      <c r="K1068" s="170" t="s">
        <v>639</v>
      </c>
      <c r="L1068" s="31" t="s">
        <v>639</v>
      </c>
      <c r="M1068" s="31" t="s">
        <v>639</v>
      </c>
      <c r="N1068" s="155" t="s">
        <v>639</v>
      </c>
    </row>
    <row r="1069" spans="1:14" x14ac:dyDescent="0.2">
      <c r="C1069" s="36" t="s">
        <v>707</v>
      </c>
      <c r="D1069" s="31"/>
      <c r="E1069" s="170"/>
      <c r="F1069" s="170"/>
      <c r="G1069" s="31"/>
      <c r="J1069" s="170"/>
    </row>
    <row r="1070" spans="1:14" x14ac:dyDescent="0.2">
      <c r="A1070" s="127">
        <v>1</v>
      </c>
      <c r="B1070" s="123">
        <v>381</v>
      </c>
      <c r="C1070" s="52" t="s">
        <v>1052</v>
      </c>
      <c r="D1070" s="257">
        <f t="shared" ref="D1070:D1081" si="312">G964</f>
        <v>13701743.550000001</v>
      </c>
      <c r="E1070" s="382">
        <f>ROUND('Plant input detail '!E1072*'WPB2.2 Plant detail-w slippage'!$P$2,0)</f>
        <v>22915</v>
      </c>
      <c r="F1070" s="257">
        <f>ROUND('Plant input detail '!F1072*'WPB2.2 Plant detail-w slippage'!$P$2,0)</f>
        <v>-2750</v>
      </c>
      <c r="G1070" s="257">
        <f>SUM(D1070:F1070)</f>
        <v>13721908.550000001</v>
      </c>
      <c r="H1070" s="38"/>
      <c r="I1070" s="257">
        <f t="shared" ref="I1070:I1081" si="313">N964</f>
        <v>4903273.8899999997</v>
      </c>
      <c r="J1070" s="1362">
        <f t="shared" ref="J1070:J1081" si="314">J964</f>
        <v>2.5899999999999999E-2</v>
      </c>
      <c r="K1070" s="173">
        <f t="shared" ref="K1070:K1081" si="315">ROUND((G1070+D1070)/2*J1070/12,0)</f>
        <v>29595</v>
      </c>
      <c r="L1070" s="38">
        <f t="shared" ref="L1070:L1081" si="316">-F1070</f>
        <v>2750</v>
      </c>
      <c r="M1070" s="257">
        <f>ROUND('Plant input detail '!M1072*'WPB2.2 Plant detail-w slippage'!$P$2,0)</f>
        <v>0</v>
      </c>
      <c r="N1070" s="2227">
        <f t="shared" ref="N1070:N1081" si="317">I1070+K1070-L1070+M1070</f>
        <v>4930118.8899999997</v>
      </c>
    </row>
    <row r="1071" spans="1:14" x14ac:dyDescent="0.2">
      <c r="A1071" s="127">
        <f>A1070+1</f>
        <v>2</v>
      </c>
      <c r="B1071" s="123">
        <v>381.1</v>
      </c>
      <c r="C1071" s="52" t="s">
        <v>1115</v>
      </c>
      <c r="D1071" s="257">
        <f t="shared" si="312"/>
        <v>8773209.0600000005</v>
      </c>
      <c r="E1071" s="382">
        <f>ROUND('Plant input detail '!E1073*'WPB2.2 Plant detail-w slippage'!$P$2,0)</f>
        <v>3185</v>
      </c>
      <c r="F1071" s="257">
        <f>ROUND('Plant input detail '!F1073*'WPB2.2 Plant detail-w slippage'!$P$2,0)</f>
        <v>-382</v>
      </c>
      <c r="G1071" s="257">
        <f>SUM(D1071:F1071)</f>
        <v>8776012.0600000005</v>
      </c>
      <c r="H1071" s="38"/>
      <c r="I1071" s="257">
        <f t="shared" si="313"/>
        <v>534120.5</v>
      </c>
      <c r="J1071" s="1362">
        <f t="shared" si="314"/>
        <v>2.5899999999999999E-2</v>
      </c>
      <c r="K1071" s="173">
        <f t="shared" si="315"/>
        <v>18939</v>
      </c>
      <c r="L1071" s="38">
        <f t="shared" si="316"/>
        <v>382</v>
      </c>
      <c r="M1071" s="257">
        <f>ROUND('Plant input detail '!M1073*'WPB2.2 Plant detail-w slippage'!$P$2,0)</f>
        <v>0</v>
      </c>
      <c r="N1071" s="2227">
        <f t="shared" si="317"/>
        <v>552677.5</v>
      </c>
    </row>
    <row r="1072" spans="1:14" x14ac:dyDescent="0.2">
      <c r="A1072" s="127">
        <f t="shared" ref="A1072:A1082" si="318">A1071+1</f>
        <v>3</v>
      </c>
      <c r="B1072" s="123">
        <v>382</v>
      </c>
      <c r="C1072" s="52" t="s">
        <v>1053</v>
      </c>
      <c r="D1072" s="257">
        <f t="shared" si="312"/>
        <v>9243168.6500000004</v>
      </c>
      <c r="E1072" s="382">
        <f>ROUND('Plant input detail '!E1074*'WPB2.2 Plant detail-w slippage'!$P$2,0)</f>
        <v>50482</v>
      </c>
      <c r="F1072" s="257">
        <f>ROUND('Plant input detail '!F1074*'WPB2.2 Plant detail-w slippage'!$P$2,0)</f>
        <v>-6058</v>
      </c>
      <c r="G1072" s="257">
        <f t="shared" ref="G1072:G1077" si="319">SUM(D1072:F1072)</f>
        <v>9287592.6500000004</v>
      </c>
      <c r="H1072" s="38"/>
      <c r="I1072" s="257">
        <f t="shared" si="313"/>
        <v>4611989.3</v>
      </c>
      <c r="J1072" s="1362">
        <f t="shared" si="314"/>
        <v>2.3900000000000001E-2</v>
      </c>
      <c r="K1072" s="173">
        <f t="shared" si="315"/>
        <v>18454</v>
      </c>
      <c r="L1072" s="38">
        <f t="shared" si="316"/>
        <v>6058</v>
      </c>
      <c r="M1072" s="257">
        <f>ROUND('Plant input detail '!M1074*'WPB2.2 Plant detail-w slippage'!$P$2,0)</f>
        <v>-303</v>
      </c>
      <c r="N1072" s="2227">
        <f t="shared" si="317"/>
        <v>4624082.3</v>
      </c>
    </row>
    <row r="1073" spans="1:14" x14ac:dyDescent="0.2">
      <c r="A1073" s="127">
        <f t="shared" si="318"/>
        <v>4</v>
      </c>
      <c r="B1073" s="123">
        <v>383</v>
      </c>
      <c r="C1073" s="52" t="s">
        <v>1054</v>
      </c>
      <c r="D1073" s="257">
        <f t="shared" si="312"/>
        <v>5647467.7599999998</v>
      </c>
      <c r="E1073" s="382">
        <f>ROUND('Plant input detail '!E1075*'WPB2.2 Plant detail-w slippage'!$P$2,0)</f>
        <v>21537</v>
      </c>
      <c r="F1073" s="257">
        <f>ROUND('Plant input detail '!F1075*'WPB2.2 Plant detail-w slippage'!$P$2,0)</f>
        <v>-2584</v>
      </c>
      <c r="G1073" s="257">
        <f t="shared" si="319"/>
        <v>5666420.7599999998</v>
      </c>
      <c r="H1073" s="38"/>
      <c r="I1073" s="257">
        <f t="shared" si="313"/>
        <v>1501182.41</v>
      </c>
      <c r="J1073" s="1362">
        <f t="shared" si="314"/>
        <v>1.3899999999999999E-2</v>
      </c>
      <c r="K1073" s="173">
        <f t="shared" si="315"/>
        <v>6553</v>
      </c>
      <c r="L1073" s="38">
        <f t="shared" si="316"/>
        <v>2584</v>
      </c>
      <c r="M1073" s="257">
        <f>ROUND('Plant input detail '!M1075*'WPB2.2 Plant detail-w slippage'!$P$2,0)</f>
        <v>-129</v>
      </c>
      <c r="N1073" s="2227">
        <f t="shared" si="317"/>
        <v>1505022.41</v>
      </c>
    </row>
    <row r="1074" spans="1:14" x14ac:dyDescent="0.2">
      <c r="A1074" s="127">
        <f t="shared" si="318"/>
        <v>5</v>
      </c>
      <c r="B1074" s="123">
        <v>384</v>
      </c>
      <c r="C1074" s="52" t="s">
        <v>1055</v>
      </c>
      <c r="D1074" s="257">
        <f t="shared" si="312"/>
        <v>2257522</v>
      </c>
      <c r="E1074" s="382">
        <f>ROUND('Plant input detail '!E1076*'WPB2.2 Plant detail-w slippage'!$P$2,0)</f>
        <v>0</v>
      </c>
      <c r="F1074" s="257">
        <f>ROUND('Plant input detail '!F1076*'WPB2.2 Plant detail-w slippage'!$P$2,0)</f>
        <v>0</v>
      </c>
      <c r="G1074" s="257">
        <f t="shared" si="319"/>
        <v>2257522</v>
      </c>
      <c r="H1074" s="38"/>
      <c r="I1074" s="257">
        <f t="shared" si="313"/>
        <v>1767259.73</v>
      </c>
      <c r="J1074" s="1362">
        <f t="shared" si="314"/>
        <v>1.0999999999999999E-2</v>
      </c>
      <c r="K1074" s="173">
        <f t="shared" si="315"/>
        <v>2069</v>
      </c>
      <c r="L1074" s="38">
        <f t="shared" si="316"/>
        <v>0</v>
      </c>
      <c r="M1074" s="257">
        <f>ROUND('Plant input detail '!M1076*'WPB2.2 Plant detail-w slippage'!$P$2,0)</f>
        <v>0</v>
      </c>
      <c r="N1074" s="2227">
        <f t="shared" si="317"/>
        <v>1769328.73</v>
      </c>
    </row>
    <row r="1075" spans="1:14" x14ac:dyDescent="0.2">
      <c r="A1075" s="127">
        <f t="shared" si="318"/>
        <v>6</v>
      </c>
      <c r="B1075" s="123">
        <v>385</v>
      </c>
      <c r="C1075" s="52" t="s">
        <v>1056</v>
      </c>
      <c r="D1075" s="257">
        <f t="shared" si="312"/>
        <v>3233128.36</v>
      </c>
      <c r="E1075" s="382">
        <f>ROUND('Plant input detail '!E1077*'WPB2.2 Plant detail-w slippage'!$P$2,0)</f>
        <v>21653</v>
      </c>
      <c r="F1075" s="257">
        <f>ROUND('Plant input detail '!F1077*'WPB2.2 Plant detail-w slippage'!$P$2,0)</f>
        <v>-2598</v>
      </c>
      <c r="G1075" s="257">
        <f t="shared" si="319"/>
        <v>3252183.36</v>
      </c>
      <c r="H1075" s="38"/>
      <c r="I1075" s="257">
        <f t="shared" si="313"/>
        <v>887284.55</v>
      </c>
      <c r="J1075" s="1362">
        <f t="shared" si="314"/>
        <v>2.0899999999999998E-2</v>
      </c>
      <c r="K1075" s="173">
        <f t="shared" si="315"/>
        <v>5648</v>
      </c>
      <c r="L1075" s="38">
        <f t="shared" si="316"/>
        <v>2598</v>
      </c>
      <c r="M1075" s="257">
        <f>ROUND('Plant input detail '!M1077*'WPB2.2 Plant detail-w slippage'!$P$2,0)</f>
        <v>-130</v>
      </c>
      <c r="N1075" s="2227">
        <f t="shared" si="317"/>
        <v>890204.55</v>
      </c>
    </row>
    <row r="1076" spans="1:14" x14ac:dyDescent="0.2">
      <c r="A1076" s="127">
        <f t="shared" si="318"/>
        <v>7</v>
      </c>
      <c r="B1076" s="123">
        <v>387.2</v>
      </c>
      <c r="C1076" s="52" t="s">
        <v>1057</v>
      </c>
      <c r="D1076" s="257">
        <f t="shared" si="312"/>
        <v>0</v>
      </c>
      <c r="E1076" s="382">
        <f>ROUND('Plant input detail '!E1078*'WPB2.2 Plant detail-w slippage'!$P$2,0)</f>
        <v>0</v>
      </c>
      <c r="F1076" s="257">
        <f>ROUND('Plant input detail '!F1078*'WPB2.2 Plant detail-w slippage'!$P$2,0)</f>
        <v>0</v>
      </c>
      <c r="G1076" s="257">
        <f t="shared" si="319"/>
        <v>0</v>
      </c>
      <c r="H1076" s="38"/>
      <c r="I1076" s="257">
        <f t="shared" si="313"/>
        <v>-59912.03</v>
      </c>
      <c r="J1076" s="1362">
        <f t="shared" si="314"/>
        <v>2.3199999999999998E-2</v>
      </c>
      <c r="K1076" s="173">
        <f t="shared" si="315"/>
        <v>0</v>
      </c>
      <c r="L1076" s="38">
        <f t="shared" si="316"/>
        <v>0</v>
      </c>
      <c r="M1076" s="257">
        <f>ROUND('Plant input detail '!M1078*'WPB2.2 Plant detail-w slippage'!$P$2,0)</f>
        <v>0</v>
      </c>
      <c r="N1076" s="2227">
        <f t="shared" si="317"/>
        <v>-59912.03</v>
      </c>
    </row>
    <row r="1077" spans="1:14" x14ac:dyDescent="0.2">
      <c r="A1077" s="127">
        <f t="shared" si="318"/>
        <v>8</v>
      </c>
      <c r="B1077" s="123">
        <v>387.41</v>
      </c>
      <c r="C1077" s="52" t="s">
        <v>1058</v>
      </c>
      <c r="D1077" s="257">
        <f t="shared" si="312"/>
        <v>735770.76</v>
      </c>
      <c r="E1077" s="382">
        <f>ROUND('Plant input detail '!E1079*'WPB2.2 Plant detail-w slippage'!$P$2,0)</f>
        <v>0</v>
      </c>
      <c r="F1077" s="257">
        <f>ROUND('Plant input detail '!F1079*'WPB2.2 Plant detail-w slippage'!$P$2,0)</f>
        <v>0</v>
      </c>
      <c r="G1077" s="257">
        <f t="shared" si="319"/>
        <v>735770.76</v>
      </c>
      <c r="H1077" s="38"/>
      <c r="I1077" s="257">
        <f t="shared" si="313"/>
        <v>384622.95</v>
      </c>
      <c r="J1077" s="1362">
        <f t="shared" si="314"/>
        <v>2.3400000000000001E-2</v>
      </c>
      <c r="K1077" s="173">
        <f t="shared" si="315"/>
        <v>1435</v>
      </c>
      <c r="L1077" s="38">
        <f t="shared" si="316"/>
        <v>0</v>
      </c>
      <c r="M1077" s="257">
        <f>ROUND('Plant input detail '!M1079*'WPB2.2 Plant detail-w slippage'!$P$2,0)</f>
        <v>0</v>
      </c>
      <c r="N1077" s="2227">
        <f t="shared" si="317"/>
        <v>386057.95</v>
      </c>
    </row>
    <row r="1078" spans="1:14" x14ac:dyDescent="0.2">
      <c r="A1078" s="127">
        <f t="shared" si="318"/>
        <v>9</v>
      </c>
      <c r="B1078" s="123">
        <v>387.42</v>
      </c>
      <c r="C1078" s="52" t="s">
        <v>1059</v>
      </c>
      <c r="D1078" s="257">
        <f t="shared" si="312"/>
        <v>795186.58</v>
      </c>
      <c r="E1078" s="382">
        <f>ROUND('Plant input detail '!E1080*'WPB2.2 Plant detail-w slippage'!$P$2,0)</f>
        <v>0</v>
      </c>
      <c r="F1078" s="257">
        <f>ROUND('Plant input detail '!F1080*'WPB2.2 Plant detail-w slippage'!$P$2,0)</f>
        <v>0</v>
      </c>
      <c r="G1078" s="257">
        <f>SUM(D1078:F1078)</f>
        <v>795186.58</v>
      </c>
      <c r="H1078" s="38"/>
      <c r="I1078" s="257">
        <f t="shared" si="313"/>
        <v>550994.94999999995</v>
      </c>
      <c r="J1078" s="1362">
        <f t="shared" si="314"/>
        <v>2.3400000000000001E-2</v>
      </c>
      <c r="K1078" s="173">
        <f t="shared" si="315"/>
        <v>1551</v>
      </c>
      <c r="L1078" s="38">
        <f t="shared" si="316"/>
        <v>0</v>
      </c>
      <c r="M1078" s="257">
        <f>ROUND('Plant input detail '!M1080*'WPB2.2 Plant detail-w slippage'!$P$2,0)</f>
        <v>0</v>
      </c>
      <c r="N1078" s="2227">
        <f t="shared" si="317"/>
        <v>552545.94999999995</v>
      </c>
    </row>
    <row r="1079" spans="1:14" x14ac:dyDescent="0.2">
      <c r="A1079" s="127">
        <f t="shared" si="318"/>
        <v>10</v>
      </c>
      <c r="B1079" s="123">
        <v>387.44</v>
      </c>
      <c r="C1079" s="52" t="s">
        <v>1060</v>
      </c>
      <c r="D1079" s="257">
        <f t="shared" si="312"/>
        <v>143283.93</v>
      </c>
      <c r="E1079" s="382">
        <f>ROUND('Plant input detail '!E1081*'WPB2.2 Plant detail-w slippage'!$P$2,0)</f>
        <v>0</v>
      </c>
      <c r="F1079" s="257">
        <f>ROUND('Plant input detail '!F1081*'WPB2.2 Plant detail-w slippage'!$P$2,0)</f>
        <v>0</v>
      </c>
      <c r="G1079" s="257">
        <f>SUM(D1079:F1079)</f>
        <v>143283.93</v>
      </c>
      <c r="H1079" s="38"/>
      <c r="I1079" s="257">
        <f t="shared" si="313"/>
        <v>46669.55</v>
      </c>
      <c r="J1079" s="1362">
        <f t="shared" si="314"/>
        <v>2.3400000000000001E-2</v>
      </c>
      <c r="K1079" s="173">
        <f t="shared" si="315"/>
        <v>279</v>
      </c>
      <c r="L1079" s="38">
        <f t="shared" si="316"/>
        <v>0</v>
      </c>
      <c r="M1079" s="257">
        <f>ROUND('Plant input detail '!M1081*'WPB2.2 Plant detail-w slippage'!$P$2,0)</f>
        <v>0</v>
      </c>
      <c r="N1079" s="2227">
        <f t="shared" si="317"/>
        <v>46948.55</v>
      </c>
    </row>
    <row r="1080" spans="1:14" x14ac:dyDescent="0.2">
      <c r="A1080" s="127">
        <f t="shared" si="318"/>
        <v>11</v>
      </c>
      <c r="B1080" s="123">
        <v>387.45</v>
      </c>
      <c r="C1080" s="52" t="s">
        <v>1061</v>
      </c>
      <c r="D1080" s="257">
        <f t="shared" si="312"/>
        <v>3176395.66</v>
      </c>
      <c r="E1080" s="382">
        <f>ROUND('Plant input detail '!E1082*'WPB2.2 Plant detail-w slippage'!$P$2,0)</f>
        <v>101260</v>
      </c>
      <c r="F1080" s="257">
        <f>ROUND('Plant input detail '!F1082*'WPB2.2 Plant detail-w slippage'!$P$2,0)</f>
        <v>-12151</v>
      </c>
      <c r="G1080" s="257">
        <f>SUM(D1080:F1080)</f>
        <v>3265504.66</v>
      </c>
      <c r="H1080" s="38"/>
      <c r="I1080" s="257">
        <f t="shared" si="313"/>
        <v>538873.06000000006</v>
      </c>
      <c r="J1080" s="1362">
        <f t="shared" si="314"/>
        <v>2.3400000000000001E-2</v>
      </c>
      <c r="K1080" s="173">
        <f t="shared" si="315"/>
        <v>6281</v>
      </c>
      <c r="L1080" s="38">
        <f t="shared" si="316"/>
        <v>12151</v>
      </c>
      <c r="M1080" s="257">
        <f>ROUND('Plant input detail '!M1082*'WPB2.2 Plant detail-w slippage'!$P$2,0)</f>
        <v>0</v>
      </c>
      <c r="N1080" s="2227">
        <f t="shared" si="317"/>
        <v>533003.06000000006</v>
      </c>
    </row>
    <row r="1081" spans="1:14" x14ac:dyDescent="0.2">
      <c r="A1081" s="127">
        <f t="shared" si="318"/>
        <v>12</v>
      </c>
      <c r="B1081" s="123">
        <v>387.46</v>
      </c>
      <c r="C1081" s="52" t="s">
        <v>1062</v>
      </c>
      <c r="D1081" s="260">
        <f t="shared" si="312"/>
        <v>113644.47</v>
      </c>
      <c r="E1081" s="265">
        <f>ROUND('Plant input detail '!E1083*'WPB2.2 Plant detail-w slippage'!$P$2,0)</f>
        <v>0</v>
      </c>
      <c r="F1081" s="265">
        <f>ROUND('Plant input detail '!F1083*'WPB2.2 Plant detail-w slippage'!$P$2,0)</f>
        <v>0</v>
      </c>
      <c r="G1081" s="265">
        <f>SUM(D1081:F1081)</f>
        <v>113644.47</v>
      </c>
      <c r="H1081" s="264"/>
      <c r="I1081" s="260">
        <f t="shared" si="313"/>
        <v>112010.83</v>
      </c>
      <c r="J1081" s="1362">
        <f t="shared" si="314"/>
        <v>2.3400000000000001E-2</v>
      </c>
      <c r="K1081" s="260">
        <f t="shared" si="315"/>
        <v>222</v>
      </c>
      <c r="L1081" s="295">
        <f t="shared" si="316"/>
        <v>0</v>
      </c>
      <c r="M1081" s="265">
        <f>ROUND('Plant input detail '!M1083*'WPB2.2 Plant detail-w slippage'!$P$2,0)</f>
        <v>0</v>
      </c>
      <c r="N1081" s="2228">
        <f t="shared" si="317"/>
        <v>112232.83</v>
      </c>
    </row>
    <row r="1082" spans="1:14" x14ac:dyDescent="0.2">
      <c r="A1082" s="127">
        <f t="shared" si="318"/>
        <v>13</v>
      </c>
      <c r="B1082" s="252"/>
      <c r="C1082" s="32" t="s">
        <v>1063</v>
      </c>
      <c r="D1082" s="173">
        <f>SUM(D1070:D1081,D1030:D1051)</f>
        <v>408081654.37999994</v>
      </c>
      <c r="E1082" s="173">
        <f>SUM(E1070:E1081,E1030:E1051)</f>
        <v>2083113</v>
      </c>
      <c r="F1082" s="173">
        <f>SUM(F1070:F1081,F1030:F1051)</f>
        <v>-249973</v>
      </c>
      <c r="G1082" s="173">
        <f>SUM(G1070:G1081,G1030:G1051)</f>
        <v>409914794.37999994</v>
      </c>
      <c r="H1082" s="38"/>
      <c r="I1082" s="173">
        <f>SUM(I1070:I1081,I1030:I1051)</f>
        <v>140846695.22526315</v>
      </c>
      <c r="J1082" s="173"/>
      <c r="K1082" s="173">
        <f>SUM(K1070:K1081,K1030:K1051)</f>
        <v>678169.04947368428</v>
      </c>
      <c r="L1082" s="173">
        <f>SUM(L1070:L1081,L1030:L1051)</f>
        <v>249973</v>
      </c>
      <c r="M1082" s="173">
        <f>SUM(M1070:M1081,M1030:M1051)</f>
        <v>-61002</v>
      </c>
      <c r="N1082" s="1361">
        <f>SUM(N1070:N1081,N1030:N1051)</f>
        <v>141213889.27473685</v>
      </c>
    </row>
    <row r="1083" spans="1:14" x14ac:dyDescent="0.2">
      <c r="B1083" s="252"/>
      <c r="D1083" s="38"/>
      <c r="E1083" s="173"/>
      <c r="F1083" s="173"/>
      <c r="G1083" s="38"/>
      <c r="H1083" s="38"/>
      <c r="I1083" s="181"/>
      <c r="J1083" s="173"/>
      <c r="K1083" s="173"/>
      <c r="L1083" s="38"/>
      <c r="M1083" s="173"/>
    </row>
    <row r="1084" spans="1:14" x14ac:dyDescent="0.2">
      <c r="A1084" s="127">
        <f>A1082+1</f>
        <v>14</v>
      </c>
      <c r="B1084" s="252"/>
      <c r="C1084" s="36" t="s">
        <v>737</v>
      </c>
      <c r="D1084" s="38"/>
      <c r="E1084" s="173"/>
      <c r="F1084" s="173"/>
      <c r="G1084" s="38"/>
      <c r="H1084" s="38"/>
      <c r="I1084" s="181"/>
      <c r="J1084" s="173"/>
      <c r="K1084" s="173"/>
      <c r="L1084" s="38"/>
      <c r="M1084" s="173"/>
    </row>
    <row r="1085" spans="1:14" x14ac:dyDescent="0.2">
      <c r="A1085" s="31">
        <f>A1084+1</f>
        <v>15</v>
      </c>
      <c r="B1085" s="123">
        <v>391.1</v>
      </c>
      <c r="C1085" s="52" t="s">
        <v>1064</v>
      </c>
      <c r="D1085" s="257">
        <f t="shared" ref="D1085:D1098" si="320">G979</f>
        <v>717704.71</v>
      </c>
      <c r="E1085" s="382">
        <f>ROUND('Plant input detail '!E1087*'WPB2.2 Plant detail-w slippage'!$P$2,0)</f>
        <v>-4800</v>
      </c>
      <c r="F1085" s="257">
        <f>ROUND('Plant input detail '!F1087*'WPB2.2 Plant detail-w slippage'!$P$2,0)</f>
        <v>576</v>
      </c>
      <c r="G1085" s="257">
        <f t="shared" ref="G1085:G1098" si="321">SUM(D1085:F1085)</f>
        <v>713480.71</v>
      </c>
      <c r="H1085" s="38"/>
      <c r="I1085" s="257">
        <f t="shared" ref="I1085:I1098" si="322">N979</f>
        <v>-54134.22</v>
      </c>
      <c r="J1085" s="1362">
        <f t="shared" ref="J1085:J1098" si="323">J979</f>
        <v>0.05</v>
      </c>
      <c r="K1085" s="173">
        <f t="shared" ref="K1085:K1098" si="324">ROUND((G1085+D1085)/2*J1085/12,0)</f>
        <v>2982</v>
      </c>
      <c r="L1085" s="38">
        <f t="shared" ref="L1085:L1098" si="325">-F1085</f>
        <v>-576</v>
      </c>
      <c r="M1085" s="257">
        <f>ROUND('Plant input detail '!M1087*'WPB2.2 Plant detail-w slippage'!$P$2,0)</f>
        <v>0</v>
      </c>
      <c r="N1085" s="2227">
        <f t="shared" ref="N1085:N1098" si="326">I1085+K1085-L1085+M1085</f>
        <v>-50576.22</v>
      </c>
    </row>
    <row r="1086" spans="1:14" x14ac:dyDescent="0.2">
      <c r="A1086" s="31">
        <f t="shared" ref="A1086:A1099" si="327">A1085+1</f>
        <v>16</v>
      </c>
      <c r="B1086" s="123">
        <v>391.11</v>
      </c>
      <c r="C1086" s="52" t="s">
        <v>1065</v>
      </c>
      <c r="D1086" s="257">
        <f t="shared" si="320"/>
        <v>18815.57</v>
      </c>
      <c r="E1086" s="382">
        <f>ROUND('Plant input detail '!E1088*'WPB2.2 Plant detail-w slippage'!$P$2,0)</f>
        <v>0</v>
      </c>
      <c r="F1086" s="257">
        <f>ROUND('Plant input detail '!F1088*'WPB2.2 Plant detail-w slippage'!$P$2,0)</f>
        <v>0</v>
      </c>
      <c r="G1086" s="257">
        <f t="shared" si="321"/>
        <v>18815.57</v>
      </c>
      <c r="H1086" s="38"/>
      <c r="I1086" s="257">
        <f t="shared" si="322"/>
        <v>-12089.77</v>
      </c>
      <c r="J1086" s="1362">
        <f t="shared" si="323"/>
        <v>6.6699999999999995E-2</v>
      </c>
      <c r="K1086" s="173">
        <f t="shared" si="324"/>
        <v>105</v>
      </c>
      <c r="L1086" s="38">
        <f t="shared" si="325"/>
        <v>0</v>
      </c>
      <c r="M1086" s="257">
        <f>ROUND('Plant input detail '!M1088*'WPB2.2 Plant detail-w slippage'!$P$2,0)</f>
        <v>0</v>
      </c>
      <c r="N1086" s="2227">
        <f t="shared" si="326"/>
        <v>-11984.77</v>
      </c>
    </row>
    <row r="1087" spans="1:14" x14ac:dyDescent="0.2">
      <c r="A1087" s="31">
        <f t="shared" si="327"/>
        <v>17</v>
      </c>
      <c r="B1087" s="123">
        <v>391.12</v>
      </c>
      <c r="C1087" s="52" t="s">
        <v>1066</v>
      </c>
      <c r="D1087" s="257">
        <f t="shared" si="320"/>
        <v>853483.41</v>
      </c>
      <c r="E1087" s="382">
        <f>ROUND('Plant input detail '!E1089*'WPB2.2 Plant detail-w slippage'!$P$2,0)</f>
        <v>0</v>
      </c>
      <c r="F1087" s="257">
        <f>ROUND('Plant input detail '!F1089*'WPB2.2 Plant detail-w slippage'!$P$2,0)</f>
        <v>0</v>
      </c>
      <c r="G1087" s="257">
        <f t="shared" si="321"/>
        <v>853483.41</v>
      </c>
      <c r="H1087" s="38"/>
      <c r="I1087" s="257">
        <f t="shared" si="322"/>
        <v>675360.37</v>
      </c>
      <c r="J1087" s="1362">
        <f t="shared" si="323"/>
        <v>0.2</v>
      </c>
      <c r="K1087" s="173">
        <f t="shared" si="324"/>
        <v>14225</v>
      </c>
      <c r="L1087" s="38">
        <f t="shared" si="325"/>
        <v>0</v>
      </c>
      <c r="M1087" s="257">
        <f>ROUND('Plant input detail '!M1089*'WPB2.2 Plant detail-w slippage'!$P$2,0)</f>
        <v>0</v>
      </c>
      <c r="N1087" s="2227">
        <f t="shared" si="326"/>
        <v>689585.37</v>
      </c>
    </row>
    <row r="1088" spans="1:14" x14ac:dyDescent="0.2">
      <c r="A1088" s="31">
        <f t="shared" si="327"/>
        <v>18</v>
      </c>
      <c r="B1088" s="123">
        <v>392.2</v>
      </c>
      <c r="C1088" s="52" t="s">
        <v>1067</v>
      </c>
      <c r="D1088" s="257">
        <f t="shared" si="320"/>
        <v>95778</v>
      </c>
      <c r="E1088" s="382">
        <f>ROUND('Plant input detail '!E1090*'WPB2.2 Plant detail-w slippage'!$P$2,0)</f>
        <v>0</v>
      </c>
      <c r="F1088" s="257">
        <f>ROUND('Plant input detail '!F1090*'WPB2.2 Plant detail-w slippage'!$P$2,0)</f>
        <v>0</v>
      </c>
      <c r="G1088" s="257">
        <f t="shared" si="321"/>
        <v>95778</v>
      </c>
      <c r="H1088" s="38"/>
      <c r="I1088" s="257">
        <f t="shared" si="322"/>
        <v>22420.05</v>
      </c>
      <c r="J1088" s="1362">
        <f t="shared" si="323"/>
        <v>2.9399999999999999E-2</v>
      </c>
      <c r="K1088" s="173">
        <f t="shared" si="324"/>
        <v>235</v>
      </c>
      <c r="L1088" s="38">
        <f t="shared" si="325"/>
        <v>0</v>
      </c>
      <c r="M1088" s="257">
        <f>ROUND('Plant input detail '!M1090*'WPB2.2 Plant detail-w slippage'!$P$2,0)</f>
        <v>0</v>
      </c>
      <c r="N1088" s="2227">
        <f t="shared" si="326"/>
        <v>22655.05</v>
      </c>
    </row>
    <row r="1089" spans="1:16" x14ac:dyDescent="0.2">
      <c r="A1089" s="31">
        <f t="shared" si="327"/>
        <v>19</v>
      </c>
      <c r="B1089" s="123">
        <v>392.21</v>
      </c>
      <c r="C1089" s="52" t="s">
        <v>1068</v>
      </c>
      <c r="D1089" s="257">
        <f t="shared" si="320"/>
        <v>24462.2</v>
      </c>
      <c r="E1089" s="382">
        <f>ROUND('Plant input detail '!E1091*'WPB2.2 Plant detail-w slippage'!$P$2,0)</f>
        <v>0</v>
      </c>
      <c r="F1089" s="257">
        <f>ROUND('Plant input detail '!F1091*'WPB2.2 Plant detail-w slippage'!$P$2,0)</f>
        <v>0</v>
      </c>
      <c r="G1089" s="257">
        <f t="shared" si="321"/>
        <v>24462.2</v>
      </c>
      <c r="H1089" s="38"/>
      <c r="I1089" s="257">
        <f t="shared" si="322"/>
        <v>5127.3999999999996</v>
      </c>
      <c r="J1089" s="1362">
        <f t="shared" si="323"/>
        <v>2.9399999999999999E-2</v>
      </c>
      <c r="K1089" s="173">
        <f t="shared" si="324"/>
        <v>60</v>
      </c>
      <c r="L1089" s="38">
        <f t="shared" si="325"/>
        <v>0</v>
      </c>
      <c r="M1089" s="257">
        <f>ROUND('Plant input detail '!M1091*'WPB2.2 Plant detail-w slippage'!$P$2,0)</f>
        <v>0</v>
      </c>
      <c r="N1089" s="2227">
        <f t="shared" si="326"/>
        <v>5187.3999999999996</v>
      </c>
    </row>
    <row r="1090" spans="1:16" x14ac:dyDescent="0.2">
      <c r="A1090" s="31">
        <f t="shared" si="327"/>
        <v>20</v>
      </c>
      <c r="B1090" s="123">
        <v>393</v>
      </c>
      <c r="C1090" s="52" t="s">
        <v>1069</v>
      </c>
      <c r="D1090" s="257">
        <f t="shared" si="320"/>
        <v>0</v>
      </c>
      <c r="E1090" s="382">
        <f>ROUND('Plant input detail '!E1092*'WPB2.2 Plant detail-w slippage'!$P$2,0)</f>
        <v>0</v>
      </c>
      <c r="F1090" s="257">
        <f>ROUND('Plant input detail '!F1092*'WPB2.2 Plant detail-w slippage'!$P$2,0)</f>
        <v>0</v>
      </c>
      <c r="G1090" s="257">
        <f t="shared" si="321"/>
        <v>0</v>
      </c>
      <c r="H1090" s="38"/>
      <c r="I1090" s="257">
        <f t="shared" si="322"/>
        <v>0</v>
      </c>
      <c r="J1090" s="1362" t="str">
        <f t="shared" si="323"/>
        <v>Amort.</v>
      </c>
      <c r="K1090" s="259">
        <v>0</v>
      </c>
      <c r="L1090" s="38">
        <f t="shared" si="325"/>
        <v>0</v>
      </c>
      <c r="M1090" s="257">
        <f>ROUND('Plant input detail '!M1092*'WPB2.2 Plant detail-w slippage'!$P$2,0)</f>
        <v>0</v>
      </c>
      <c r="N1090" s="2227">
        <f t="shared" si="326"/>
        <v>0</v>
      </c>
    </row>
    <row r="1091" spans="1:16" x14ac:dyDescent="0.2">
      <c r="A1091" s="31">
        <f t="shared" si="327"/>
        <v>21</v>
      </c>
      <c r="B1091" s="123">
        <v>394.1</v>
      </c>
      <c r="C1091" s="52" t="s">
        <v>1070</v>
      </c>
      <c r="D1091" s="257">
        <f t="shared" si="320"/>
        <v>24240.799999999999</v>
      </c>
      <c r="E1091" s="382">
        <f>ROUND('Plant input detail '!E1093*'WPB2.2 Plant detail-w slippage'!$P$2,0)</f>
        <v>0</v>
      </c>
      <c r="F1091" s="257">
        <f>ROUND('Plant input detail '!F1093*'WPB2.2 Plant detail-w slippage'!$P$2,0)</f>
        <v>0</v>
      </c>
      <c r="G1091" s="257">
        <f t="shared" si="321"/>
        <v>24240.799999999999</v>
      </c>
      <c r="H1091" s="38"/>
      <c r="I1091" s="257">
        <f t="shared" si="322"/>
        <v>14527.82</v>
      </c>
      <c r="J1091" s="1362">
        <f t="shared" si="323"/>
        <v>0.04</v>
      </c>
      <c r="K1091" s="173">
        <f t="shared" si="324"/>
        <v>81</v>
      </c>
      <c r="L1091" s="38">
        <f t="shared" si="325"/>
        <v>0</v>
      </c>
      <c r="M1091" s="257">
        <f>ROUND('Plant input detail '!M1093*'WPB2.2 Plant detail-w slippage'!$P$2,0)</f>
        <v>0</v>
      </c>
      <c r="N1091" s="2227">
        <f t="shared" si="326"/>
        <v>14608.82</v>
      </c>
    </row>
    <row r="1092" spans="1:16" x14ac:dyDescent="0.2">
      <c r="A1092" s="31">
        <f t="shared" si="327"/>
        <v>22</v>
      </c>
      <c r="B1092" s="123">
        <v>394.11</v>
      </c>
      <c r="C1092" s="52" t="s">
        <v>1071</v>
      </c>
      <c r="D1092" s="257">
        <f t="shared" si="320"/>
        <v>0</v>
      </c>
      <c r="E1092" s="382">
        <f>ROUND('Plant input detail '!E1094*'WPB2.2 Plant detail-w slippage'!$P$2,0)</f>
        <v>0</v>
      </c>
      <c r="F1092" s="257">
        <f>ROUND('Plant input detail '!F1094*'WPB2.2 Plant detail-w slippage'!$P$2,0)</f>
        <v>0</v>
      </c>
      <c r="G1092" s="257">
        <f t="shared" si="321"/>
        <v>0</v>
      </c>
      <c r="H1092" s="38"/>
      <c r="I1092" s="257">
        <f t="shared" si="322"/>
        <v>0</v>
      </c>
      <c r="J1092" s="1362">
        <f t="shared" si="323"/>
        <v>0.13769999999999999</v>
      </c>
      <c r="K1092" s="259">
        <v>0</v>
      </c>
      <c r="L1092" s="38">
        <f t="shared" si="325"/>
        <v>0</v>
      </c>
      <c r="M1092" s="257">
        <f>ROUND('Plant input detail '!M1094*'WPB2.2 Plant detail-w slippage'!$P$2,0)</f>
        <v>0</v>
      </c>
      <c r="N1092" s="2227">
        <f t="shared" si="326"/>
        <v>0</v>
      </c>
    </row>
    <row r="1093" spans="1:16" x14ac:dyDescent="0.2">
      <c r="A1093" s="31">
        <f t="shared" si="327"/>
        <v>23</v>
      </c>
      <c r="B1093" s="123">
        <v>394.13</v>
      </c>
      <c r="C1093" s="251" t="s">
        <v>1072</v>
      </c>
      <c r="D1093" s="257">
        <f t="shared" si="320"/>
        <v>0</v>
      </c>
      <c r="E1093" s="382">
        <f>ROUND('Plant input detail '!E1095*'WPB2.2 Plant detail-w slippage'!$P$2,0)</f>
        <v>0</v>
      </c>
      <c r="F1093" s="257">
        <f>ROUND('Plant input detail '!F1095*'WPB2.2 Plant detail-w slippage'!$P$2,0)</f>
        <v>0</v>
      </c>
      <c r="G1093" s="257">
        <f t="shared" si="321"/>
        <v>0</v>
      </c>
      <c r="H1093" s="38"/>
      <c r="I1093" s="257">
        <f t="shared" si="322"/>
        <v>37937.360000000001</v>
      </c>
      <c r="J1093" s="1362" t="str">
        <f t="shared" si="323"/>
        <v>Amort.</v>
      </c>
      <c r="K1093" s="259">
        <v>0</v>
      </c>
      <c r="L1093" s="38">
        <f t="shared" si="325"/>
        <v>0</v>
      </c>
      <c r="M1093" s="257">
        <f>ROUND('Plant input detail '!M1095*'WPB2.2 Plant detail-w slippage'!$P$2,0)</f>
        <v>0</v>
      </c>
      <c r="N1093" s="2227">
        <f t="shared" si="326"/>
        <v>37937.360000000001</v>
      </c>
    </row>
    <row r="1094" spans="1:16" x14ac:dyDescent="0.2">
      <c r="A1094" s="31">
        <f t="shared" si="327"/>
        <v>24</v>
      </c>
      <c r="B1094" s="123">
        <v>394.2</v>
      </c>
      <c r="C1094" s="52" t="s">
        <v>1073</v>
      </c>
      <c r="D1094" s="257">
        <f t="shared" si="320"/>
        <v>0</v>
      </c>
      <c r="E1094" s="382">
        <f>ROUND('Plant input detail '!E1096*'WPB2.2 Plant detail-w slippage'!$P$2,0)</f>
        <v>0</v>
      </c>
      <c r="F1094" s="257">
        <f>ROUND('Plant input detail '!F1096*'WPB2.2 Plant detail-w slippage'!$P$2,0)</f>
        <v>0</v>
      </c>
      <c r="G1094" s="257">
        <f t="shared" si="321"/>
        <v>0</v>
      </c>
      <c r="H1094" s="38"/>
      <c r="I1094" s="257">
        <f t="shared" si="322"/>
        <v>185.21</v>
      </c>
      <c r="J1094" s="1362">
        <f t="shared" si="323"/>
        <v>0.04</v>
      </c>
      <c r="K1094" s="173">
        <f t="shared" si="324"/>
        <v>0</v>
      </c>
      <c r="L1094" s="38">
        <f t="shared" si="325"/>
        <v>0</v>
      </c>
      <c r="M1094" s="257">
        <f>ROUND('Plant input detail '!M1096*'WPB2.2 Plant detail-w slippage'!$P$2,0)</f>
        <v>0</v>
      </c>
      <c r="N1094" s="2227">
        <f t="shared" si="326"/>
        <v>185.21</v>
      </c>
    </row>
    <row r="1095" spans="1:16" x14ac:dyDescent="0.2">
      <c r="A1095" s="31">
        <f t="shared" si="327"/>
        <v>25</v>
      </c>
      <c r="B1095" s="123">
        <v>394.3</v>
      </c>
      <c r="C1095" s="52" t="s">
        <v>1074</v>
      </c>
      <c r="D1095" s="257">
        <f t="shared" si="320"/>
        <v>3104986.16</v>
      </c>
      <c r="E1095" s="382">
        <f>ROUND('Plant input detail '!E1097*'WPB2.2 Plant detail-w slippage'!$P$2,0)</f>
        <v>-2119</v>
      </c>
      <c r="F1095" s="257">
        <f>ROUND('Plant input detail '!F1097*'WPB2.2 Plant detail-w slippage'!$P$2,0)</f>
        <v>254</v>
      </c>
      <c r="G1095" s="257">
        <f t="shared" si="321"/>
        <v>3103121.16</v>
      </c>
      <c r="H1095" s="38"/>
      <c r="I1095" s="257">
        <f t="shared" si="322"/>
        <v>1275786.1499999999</v>
      </c>
      <c r="J1095" s="1362">
        <f t="shared" si="323"/>
        <v>0.04</v>
      </c>
      <c r="K1095" s="173">
        <f t="shared" si="324"/>
        <v>10347</v>
      </c>
      <c r="L1095" s="38">
        <f t="shared" si="325"/>
        <v>-254</v>
      </c>
      <c r="M1095" s="257">
        <f>ROUND('Plant input detail '!M1097*'WPB2.2 Plant detail-w slippage'!$P$2,0)</f>
        <v>0</v>
      </c>
      <c r="N1095" s="2227">
        <f t="shared" si="326"/>
        <v>1286387.1499999999</v>
      </c>
    </row>
    <row r="1096" spans="1:16" x14ac:dyDescent="0.2">
      <c r="A1096" s="31">
        <f t="shared" si="327"/>
        <v>26</v>
      </c>
      <c r="B1096" s="123">
        <v>395</v>
      </c>
      <c r="C1096" s="52" t="s">
        <v>1075</v>
      </c>
      <c r="D1096" s="257">
        <f t="shared" si="320"/>
        <v>9257.77</v>
      </c>
      <c r="E1096" s="382">
        <f>ROUND('Plant input detail '!E1098*'WPB2.2 Plant detail-w slippage'!$P$2,0)</f>
        <v>0</v>
      </c>
      <c r="F1096" s="257">
        <f>ROUND('Plant input detail '!F1098*'WPB2.2 Plant detail-w slippage'!$P$2,0)</f>
        <v>0</v>
      </c>
      <c r="G1096" s="257">
        <f t="shared" si="321"/>
        <v>9257.77</v>
      </c>
      <c r="H1096" s="38"/>
      <c r="I1096" s="257">
        <f t="shared" si="322"/>
        <v>7490.59</v>
      </c>
      <c r="J1096" s="1362">
        <f t="shared" si="323"/>
        <v>0.05</v>
      </c>
      <c r="K1096" s="173">
        <f t="shared" si="324"/>
        <v>39</v>
      </c>
      <c r="L1096" s="38">
        <f t="shared" si="325"/>
        <v>0</v>
      </c>
      <c r="M1096" s="257">
        <f>ROUND('Plant input detail '!M1098*'WPB2.2 Plant detail-w slippage'!$P$2,0)</f>
        <v>0</v>
      </c>
      <c r="N1096" s="2227">
        <f t="shared" si="326"/>
        <v>7529.59</v>
      </c>
    </row>
    <row r="1097" spans="1:16" x14ac:dyDescent="0.2">
      <c r="A1097" s="31">
        <f t="shared" si="327"/>
        <v>27</v>
      </c>
      <c r="B1097" s="123">
        <v>396</v>
      </c>
      <c r="C1097" s="52" t="s">
        <v>1076</v>
      </c>
      <c r="D1097" s="257">
        <f t="shared" si="320"/>
        <v>253134.72</v>
      </c>
      <c r="E1097" s="382">
        <f>ROUND('Plant input detail '!E1099*'WPB2.2 Plant detail-w slippage'!$P$2,0)</f>
        <v>0</v>
      </c>
      <c r="F1097" s="257">
        <f>ROUND('Plant input detail '!F1099*'WPB2.2 Plant detail-w slippage'!$P$2,0)</f>
        <v>0</v>
      </c>
      <c r="G1097" s="257">
        <f t="shared" si="321"/>
        <v>253134.72</v>
      </c>
      <c r="H1097" s="38"/>
      <c r="I1097" s="257">
        <f t="shared" si="322"/>
        <v>199321.72</v>
      </c>
      <c r="J1097" s="1362">
        <f t="shared" si="323"/>
        <v>0</v>
      </c>
      <c r="K1097" s="173">
        <f t="shared" si="324"/>
        <v>0</v>
      </c>
      <c r="L1097" s="38">
        <f t="shared" si="325"/>
        <v>0</v>
      </c>
      <c r="M1097" s="257">
        <f>ROUND('Plant input detail '!M1099*'WPB2.2 Plant detail-w slippage'!$P$2,0)</f>
        <v>0</v>
      </c>
      <c r="N1097" s="2227">
        <f t="shared" si="326"/>
        <v>199321.72</v>
      </c>
    </row>
    <row r="1098" spans="1:16" x14ac:dyDescent="0.2">
      <c r="A1098" s="31">
        <f t="shared" si="327"/>
        <v>28</v>
      </c>
      <c r="B1098" s="123">
        <v>398</v>
      </c>
      <c r="C1098" s="52" t="s">
        <v>1077</v>
      </c>
      <c r="D1098" s="260">
        <f t="shared" si="320"/>
        <v>225544.94</v>
      </c>
      <c r="E1098" s="265">
        <f>ROUND('Plant input detail '!E1100*'WPB2.2 Plant detail-w slippage'!$P$2,0)</f>
        <v>38201</v>
      </c>
      <c r="F1098" s="260">
        <f>ROUND('Plant input detail '!F1100*'WPB2.2 Plant detail-w slippage'!$P$2,0)</f>
        <v>-4584</v>
      </c>
      <c r="G1098" s="260">
        <f t="shared" si="321"/>
        <v>259161.94</v>
      </c>
      <c r="H1098" s="264"/>
      <c r="I1098" s="260">
        <f t="shared" si="322"/>
        <v>7925.59</v>
      </c>
      <c r="J1098" s="1362">
        <f t="shared" si="323"/>
        <v>6.6699999999999995E-2</v>
      </c>
      <c r="K1098" s="260">
        <f t="shared" si="324"/>
        <v>1347</v>
      </c>
      <c r="L1098" s="295">
        <f t="shared" si="325"/>
        <v>4584</v>
      </c>
      <c r="M1098" s="260">
        <f>ROUND('Plant input detail '!M1100*'WPB2.2 Plant detail-w slippage'!$P$2,0)</f>
        <v>0</v>
      </c>
      <c r="N1098" s="2228">
        <f t="shared" si="326"/>
        <v>4688.59</v>
      </c>
    </row>
    <row r="1099" spans="1:16" x14ac:dyDescent="0.2">
      <c r="A1099" s="31">
        <f t="shared" si="327"/>
        <v>29</v>
      </c>
      <c r="C1099" s="32" t="s">
        <v>1078</v>
      </c>
      <c r="D1099" s="264">
        <f>SUM(D1085:D1098)</f>
        <v>5327408.2799999993</v>
      </c>
      <c r="E1099" s="176">
        <f>SUM(E1085:E1098)</f>
        <v>31282</v>
      </c>
      <c r="F1099" s="176">
        <f>SUM(F1085:F1098)</f>
        <v>-3754</v>
      </c>
      <c r="G1099" s="264">
        <f>SUM(G1085:G1098)</f>
        <v>5354936.2799999993</v>
      </c>
      <c r="H1099" s="264"/>
      <c r="I1099" s="264">
        <f>SUM(I1085:I1098)</f>
        <v>2179858.27</v>
      </c>
      <c r="J1099" s="1359"/>
      <c r="K1099" s="176">
        <f>SUM(K1085:K1098)</f>
        <v>29421</v>
      </c>
      <c r="L1099" s="264">
        <f>SUM(L1085:L1098)</f>
        <v>3754</v>
      </c>
      <c r="M1099" s="176">
        <f>SUM(M1085:M1098)</f>
        <v>0</v>
      </c>
      <c r="N1099" s="1359">
        <f>SUM(N1085:N1098)</f>
        <v>2205525.27</v>
      </c>
    </row>
    <row r="1100" spans="1:16" x14ac:dyDescent="0.2">
      <c r="D1100" s="38"/>
      <c r="E1100" s="173"/>
      <c r="F1100" s="173"/>
      <c r="G1100" s="38"/>
      <c r="H1100" s="38"/>
      <c r="I1100" s="173"/>
      <c r="J1100" s="1361"/>
      <c r="K1100" s="173"/>
      <c r="L1100" s="38"/>
      <c r="M1100" s="173"/>
    </row>
    <row r="1101" spans="1:16" x14ac:dyDescent="0.2">
      <c r="A1101" s="1805">
        <f>A1099+1</f>
        <v>30</v>
      </c>
      <c r="B1101" s="252"/>
      <c r="C1101" s="36" t="s">
        <v>2287</v>
      </c>
      <c r="D1101" s="38"/>
      <c r="E1101" s="173"/>
      <c r="F1101" s="173"/>
      <c r="G1101" s="38"/>
      <c r="H1101" s="38"/>
      <c r="I1101" s="181"/>
      <c r="J1101" s="173"/>
      <c r="K1101" s="173"/>
      <c r="L1101" s="38"/>
      <c r="M1101" s="173"/>
      <c r="P1101" s="279"/>
    </row>
    <row r="1102" spans="1:16" x14ac:dyDescent="0.2">
      <c r="A1102" s="31">
        <f>A1101+1</f>
        <v>31</v>
      </c>
      <c r="B1102" s="123">
        <v>378.21</v>
      </c>
      <c r="C1102" s="52" t="s">
        <v>2244</v>
      </c>
      <c r="D1102" s="257">
        <f>G996</f>
        <v>-777092</v>
      </c>
      <c r="E1102" s="382">
        <f>ROUND('Plant input detail '!E1104*'WPB2.2 Plant detail-w slippage'!$P$2,0)</f>
        <v>0</v>
      </c>
      <c r="F1102" s="257">
        <f>ROUND('Plant input detail '!F1104*'WPB2.2 Plant detail-w slippage'!$P$2,0)</f>
        <v>0</v>
      </c>
      <c r="G1102" s="257">
        <f t="shared" ref="G1102" si="328">SUM(D1102:F1102)</f>
        <v>-777092</v>
      </c>
      <c r="H1102" s="264"/>
      <c r="I1102" s="257">
        <f>N996</f>
        <v>-40236.446666666641</v>
      </c>
      <c r="J1102" s="296" t="s">
        <v>1094</v>
      </c>
      <c r="K1102" s="1334">
        <v>-2158.5833333333321</v>
      </c>
      <c r="L1102" s="38">
        <f t="shared" ref="L1102" si="329">-F1102</f>
        <v>0</v>
      </c>
      <c r="M1102" s="257">
        <f>ROUND('Plant input detail '!M1104*'WPB2.2 Plant detail-w slippage'!$P$2,0)</f>
        <v>0</v>
      </c>
      <c r="N1102" s="2227">
        <f t="shared" ref="N1102" si="330">I1102+K1102-L1102+M1102</f>
        <v>-42395.02999999997</v>
      </c>
      <c r="O1102" s="292"/>
    </row>
    <row r="1103" spans="1:16" x14ac:dyDescent="0.2">
      <c r="A1103" s="1723"/>
      <c r="D1103" s="38"/>
      <c r="E1103" s="173"/>
      <c r="F1103" s="173"/>
      <c r="G1103" s="38"/>
      <c r="H1103" s="38"/>
      <c r="I1103" s="173"/>
      <c r="J1103" s="1361"/>
      <c r="K1103" s="173"/>
      <c r="L1103" s="38"/>
      <c r="M1103" s="173"/>
    </row>
    <row r="1104" spans="1:16" x14ac:dyDescent="0.2">
      <c r="A1104" s="31">
        <f>A1102+1</f>
        <v>32</v>
      </c>
      <c r="C1104" s="32" t="s">
        <v>774</v>
      </c>
      <c r="D1104" s="40">
        <f>D1099+D1082+D1027+D1023+D1102</f>
        <v>419335407.36999989</v>
      </c>
      <c r="E1104" s="40">
        <f>E1099+E1082+E1027+E1023+E1102</f>
        <v>2316513</v>
      </c>
      <c r="F1104" s="40">
        <f>F1099+F1082+F1027+F1023+F1102</f>
        <v>-253727</v>
      </c>
      <c r="G1104" s="40">
        <f>G1099+G1082+G1027+G1023+G1102</f>
        <v>421398193.36999989</v>
      </c>
      <c r="H1104" s="38"/>
      <c r="I1104" s="40">
        <f>I1099+I1082+I1027+I1023+I1102</f>
        <v>145844665.56864288</v>
      </c>
      <c r="J1104" s="1363"/>
      <c r="K1104" s="40">
        <f>K1099+K1082+K1027+K1023+K1102</f>
        <v>791145.86094082508</v>
      </c>
      <c r="L1104" s="40">
        <f>L1099+L1082+L1027+L1023+L1102</f>
        <v>253727</v>
      </c>
      <c r="M1104" s="40">
        <f>M1099+M1082+M1027+M1023+M1102</f>
        <v>-61002</v>
      </c>
      <c r="N1104" s="1363">
        <f>N1099+N1082+N1027+N1023+N1102</f>
        <v>146321082.4295837</v>
      </c>
    </row>
    <row r="1106" spans="1:14" x14ac:dyDescent="0.2">
      <c r="A1106" s="2079" t="str">
        <f>co</f>
        <v>COLUMBIA GAS OF KENTUCKY, INC.</v>
      </c>
      <c r="B1106" s="2079"/>
      <c r="C1106" s="2079"/>
      <c r="D1106" s="2079"/>
      <c r="E1106" s="2079"/>
      <c r="F1106" s="2079"/>
      <c r="G1106" s="2079"/>
      <c r="H1106" s="2079"/>
      <c r="I1106" s="2079"/>
      <c r="J1106" s="2079"/>
      <c r="K1106" s="2079"/>
      <c r="L1106" s="2079"/>
      <c r="M1106" s="2079"/>
      <c r="N1106" s="2079"/>
    </row>
    <row r="1107" spans="1:14" x14ac:dyDescent="0.2">
      <c r="A1107" s="2079" t="str">
        <f>case</f>
        <v>CASE NO. 2016 - 00162</v>
      </c>
      <c r="B1107" s="2079"/>
      <c r="C1107" s="2079"/>
      <c r="D1107" s="2079"/>
      <c r="E1107" s="2079"/>
      <c r="F1107" s="2079"/>
      <c r="G1107" s="2079"/>
      <c r="H1107" s="2079"/>
      <c r="I1107" s="2079"/>
      <c r="J1107" s="2079"/>
      <c r="K1107" s="2079"/>
      <c r="L1107" s="2079"/>
      <c r="M1107" s="2079"/>
      <c r="N1107" s="2079"/>
    </row>
    <row r="1108" spans="1:14" x14ac:dyDescent="0.2">
      <c r="A1108" s="2080" t="s">
        <v>1106</v>
      </c>
      <c r="B1108" s="2079"/>
      <c r="C1108" s="2079"/>
      <c r="D1108" s="2079"/>
      <c r="E1108" s="2079"/>
      <c r="F1108" s="2079"/>
      <c r="G1108" s="2079"/>
      <c r="H1108" s="2079"/>
      <c r="I1108" s="2079"/>
      <c r="J1108" s="2079"/>
      <c r="K1108" s="2079"/>
      <c r="L1108" s="2079"/>
      <c r="M1108" s="2079"/>
      <c r="N1108" s="2079"/>
    </row>
    <row r="1109" spans="1:14" x14ac:dyDescent="0.2">
      <c r="A1109" s="2081" t="s">
        <v>2142</v>
      </c>
      <c r="B1109" s="2085"/>
      <c r="C1109" s="2085"/>
      <c r="D1109" s="2085"/>
      <c r="E1109" s="2085"/>
      <c r="F1109" s="2085"/>
      <c r="G1109" s="2085"/>
      <c r="H1109" s="2085"/>
      <c r="I1109" s="2085"/>
      <c r="J1109" s="2085"/>
      <c r="K1109" s="2085"/>
      <c r="L1109" s="2085"/>
      <c r="M1109" s="2085"/>
      <c r="N1109" s="2085"/>
    </row>
    <row r="1111" spans="1:14" x14ac:dyDescent="0.2">
      <c r="A1111" s="285" t="str">
        <f>$A$6</f>
        <v>DATA:__X___BASE PERIOD__X___FORECASTED PERIOD</v>
      </c>
      <c r="C1111" s="171"/>
      <c r="I1111" s="32"/>
      <c r="N1111" s="1258" t="str">
        <f>$N$6</f>
        <v>WPB-2.2</v>
      </c>
    </row>
    <row r="1112" spans="1:14" x14ac:dyDescent="0.2">
      <c r="A1112" s="4" t="str">
        <f>$A$7</f>
        <v>TYPE OF FILING:___X____ORIGINAL________UPDATED</v>
      </c>
      <c r="I1112" s="32"/>
      <c r="N1112" s="2223" t="s">
        <v>1734</v>
      </c>
    </row>
    <row r="1113" spans="1:14" x14ac:dyDescent="0.2">
      <c r="A1113" s="1261" t="str">
        <f>$A$8</f>
        <v xml:space="preserve">WORKPAPER REFERENCE NO(S).: </v>
      </c>
      <c r="B1113" s="202"/>
      <c r="C1113" s="202"/>
      <c r="D1113" s="201"/>
      <c r="E1113" s="202"/>
      <c r="F1113" s="202"/>
      <c r="G1113" s="201"/>
      <c r="H1113" s="201"/>
      <c r="I1113" s="203"/>
      <c r="L1113" s="32"/>
      <c r="M1113" s="32"/>
      <c r="N1113" s="204" t="str">
        <f>SMK</f>
        <v>WITNESS:  S. M. KATKO</v>
      </c>
    </row>
    <row r="1114" spans="1:14" x14ac:dyDescent="0.2">
      <c r="A1114" s="200"/>
      <c r="B1114" s="201"/>
      <c r="C1114" s="201"/>
      <c r="D1114" s="201"/>
      <c r="E1114" s="202"/>
      <c r="F1114" s="202"/>
      <c r="G1114" s="201"/>
      <c r="H1114" s="201"/>
      <c r="I1114" s="203"/>
      <c r="J1114" s="1357"/>
      <c r="L1114" s="32"/>
      <c r="M1114" s="32"/>
    </row>
    <row r="1115" spans="1:14" x14ac:dyDescent="0.2">
      <c r="A1115" s="200"/>
      <c r="B1115" s="201"/>
      <c r="C1115" s="201"/>
      <c r="D1115" s="2082" t="s">
        <v>1088</v>
      </c>
      <c r="E1115" s="2082"/>
      <c r="F1115" s="2082"/>
      <c r="G1115" s="2082"/>
      <c r="H1115" s="201"/>
      <c r="I1115" s="2083" t="s">
        <v>1093</v>
      </c>
      <c r="J1115" s="2084"/>
      <c r="K1115" s="2084"/>
      <c r="L1115" s="2084"/>
      <c r="M1115" s="2084"/>
      <c r="N1115" s="2084"/>
    </row>
    <row r="1116" spans="1:14" x14ac:dyDescent="0.2">
      <c r="A1116" s="270"/>
      <c r="B1116" s="201"/>
      <c r="C1116" s="201"/>
      <c r="D1116" s="271" t="s">
        <v>1084</v>
      </c>
      <c r="E1116" s="202"/>
      <c r="F1116" s="202"/>
      <c r="G1116" s="269"/>
      <c r="H1116" s="269"/>
      <c r="I1116" s="261" t="s">
        <v>1089</v>
      </c>
      <c r="J1116" s="1358"/>
      <c r="M1116" s="32"/>
    </row>
    <row r="1117" spans="1:14" x14ac:dyDescent="0.2">
      <c r="A1117" s="30"/>
      <c r="D1117" s="261" t="s">
        <v>865</v>
      </c>
      <c r="G1117" s="261" t="s">
        <v>867</v>
      </c>
      <c r="H1117" s="268"/>
      <c r="I1117" s="261" t="s">
        <v>865</v>
      </c>
      <c r="J1117" s="1308" t="s">
        <v>956</v>
      </c>
      <c r="M1117" s="32"/>
      <c r="N1117" s="2225" t="s">
        <v>867</v>
      </c>
    </row>
    <row r="1118" spans="1:14" x14ac:dyDescent="0.2">
      <c r="A1118" s="261" t="s">
        <v>1080</v>
      </c>
      <c r="B1118" s="261" t="s">
        <v>1082</v>
      </c>
      <c r="D1118" s="261" t="s">
        <v>867</v>
      </c>
      <c r="G1118" s="262" t="s">
        <v>1087</v>
      </c>
      <c r="H1118" s="268"/>
      <c r="I1118" s="262" t="s">
        <v>867</v>
      </c>
      <c r="J1118" s="1308" t="s">
        <v>1090</v>
      </c>
      <c r="K1118" s="1308" t="s">
        <v>956</v>
      </c>
      <c r="M1118" s="262" t="s">
        <v>1092</v>
      </c>
      <c r="N1118" s="1259" t="s">
        <v>1087</v>
      </c>
    </row>
    <row r="1119" spans="1:14" x14ac:dyDescent="0.2">
      <c r="A1119" s="272" t="s">
        <v>1081</v>
      </c>
      <c r="B1119" s="272" t="s">
        <v>1081</v>
      </c>
      <c r="C1119" s="273" t="s">
        <v>1083</v>
      </c>
      <c r="D1119" s="298" t="str">
        <f>"12/31/2016"</f>
        <v>12/31/2016</v>
      </c>
      <c r="E1119" s="275" t="s">
        <v>1085</v>
      </c>
      <c r="F1119" s="275" t="s">
        <v>1086</v>
      </c>
      <c r="G1119" s="298" t="str">
        <f>"01/31/2017"</f>
        <v>01/31/2017</v>
      </c>
      <c r="H1119" s="268"/>
      <c r="I1119" s="274" t="str">
        <f>D1119</f>
        <v>12/31/2016</v>
      </c>
      <c r="J1119" s="275" t="s">
        <v>1091</v>
      </c>
      <c r="K1119" s="1327" t="s">
        <v>1090</v>
      </c>
      <c r="L1119" s="276" t="s">
        <v>1086</v>
      </c>
      <c r="M1119" s="276" t="s">
        <v>955</v>
      </c>
      <c r="N1119" s="2226" t="str">
        <f>G1119</f>
        <v>01/31/2017</v>
      </c>
    </row>
    <row r="1120" spans="1:14" x14ac:dyDescent="0.2">
      <c r="A1120" s="267"/>
      <c r="B1120" s="267"/>
      <c r="C1120" s="267"/>
      <c r="D1120" s="267" t="str">
        <f>"(1)"</f>
        <v>(1)</v>
      </c>
      <c r="E1120" s="267" t="str">
        <f>"(2)"</f>
        <v>(2)</v>
      </c>
      <c r="F1120" s="267" t="str">
        <f>"(3)"</f>
        <v>(3)</v>
      </c>
      <c r="G1120" s="267" t="str">
        <f>"(4)=(1+2+3)"</f>
        <v>(4)=(1+2+3)</v>
      </c>
      <c r="H1120" s="267"/>
      <c r="I1120" s="267" t="str">
        <f>"(5)"</f>
        <v>(5)</v>
      </c>
      <c r="J1120" s="1328" t="str">
        <f>"(6)"</f>
        <v>(6)</v>
      </c>
      <c r="K1120" s="1328" t="str">
        <f>"(7)=((1+4)/2*6/12))"</f>
        <v>(7)=((1+4)/2*6/12))</v>
      </c>
      <c r="L1120" s="267" t="str">
        <f>"(8)"</f>
        <v>(8)</v>
      </c>
      <c r="M1120" s="267" t="str">
        <f>"(9)"</f>
        <v>(9)</v>
      </c>
      <c r="N1120" s="204" t="str">
        <f>"(10)=(5+7-8+9)"</f>
        <v>(10)=(5+7-8+9)</v>
      </c>
    </row>
    <row r="1121" spans="1:14" x14ac:dyDescent="0.2">
      <c r="D1121" s="31" t="s">
        <v>639</v>
      </c>
      <c r="E1121" s="170" t="s">
        <v>639</v>
      </c>
      <c r="F1121" s="170" t="s">
        <v>639</v>
      </c>
      <c r="G1121" s="31" t="s">
        <v>639</v>
      </c>
      <c r="H1121" s="31"/>
      <c r="I1121" s="31" t="s">
        <v>639</v>
      </c>
      <c r="J1121" s="170" t="s">
        <v>639</v>
      </c>
      <c r="K1121" s="170" t="s">
        <v>639</v>
      </c>
      <c r="L1121" s="31" t="s">
        <v>639</v>
      </c>
      <c r="M1121" s="31" t="s">
        <v>639</v>
      </c>
      <c r="N1121" s="155" t="s">
        <v>639</v>
      </c>
    </row>
    <row r="1122" spans="1:14" x14ac:dyDescent="0.2">
      <c r="A1122" s="31">
        <v>1</v>
      </c>
      <c r="B1122" s="36" t="s">
        <v>1025</v>
      </c>
      <c r="C1122" s="34"/>
      <c r="M1122" s="32"/>
    </row>
    <row r="1123" spans="1:14" x14ac:dyDescent="0.2">
      <c r="A1123" s="31">
        <f>A1122+1</f>
        <v>2</v>
      </c>
      <c r="C1123" s="36" t="s">
        <v>697</v>
      </c>
      <c r="M1123" s="32"/>
    </row>
    <row r="1124" spans="1:14" x14ac:dyDescent="0.2">
      <c r="A1124" s="31">
        <f t="shared" ref="A1124:A1129" si="331">A1123+1</f>
        <v>3</v>
      </c>
      <c r="B1124" s="253">
        <v>301</v>
      </c>
      <c r="C1124" s="52" t="s">
        <v>1026</v>
      </c>
      <c r="D1124" s="257">
        <f>G1018</f>
        <v>521.20000000000005</v>
      </c>
      <c r="E1124" s="382">
        <f>ROUND('Plant input detail '!E1126*'WPB2.2 Plant detail-w slippage'!$P$2,0)</f>
        <v>0</v>
      </c>
      <c r="F1124" s="257">
        <f>ROUND('Plant input detail '!F1126*'WPB2.2 Plant detail-w slippage'!$P$2,0)</f>
        <v>0</v>
      </c>
      <c r="G1124" s="257">
        <f>SUM(D1124:F1124)</f>
        <v>521.20000000000005</v>
      </c>
      <c r="H1124" s="38"/>
      <c r="I1124" s="257">
        <f>N1018</f>
        <v>0</v>
      </c>
      <c r="J1124" s="296" t="s">
        <v>1094</v>
      </c>
      <c r="K1124" s="259">
        <v>0</v>
      </c>
      <c r="L1124" s="38">
        <f>-F1124</f>
        <v>0</v>
      </c>
      <c r="M1124" s="259">
        <v>0</v>
      </c>
      <c r="N1124" s="2227">
        <f>I1124+K1124-L1124+M1124</f>
        <v>0</v>
      </c>
    </row>
    <row r="1125" spans="1:14" x14ac:dyDescent="0.2">
      <c r="A1125" s="31">
        <f t="shared" si="331"/>
        <v>4</v>
      </c>
      <c r="B1125" s="253">
        <v>303</v>
      </c>
      <c r="C1125" s="52" t="s">
        <v>1027</v>
      </c>
      <c r="D1125" s="257">
        <f>G1019</f>
        <v>74347.509999999995</v>
      </c>
      <c r="E1125" s="382">
        <f>ROUND('Plant input detail '!E1127*'WPB2.2 Plant detail-w slippage'!$P$2,0)</f>
        <v>0</v>
      </c>
      <c r="F1125" s="257">
        <f>ROUND('Plant input detail '!F1127*'WPB2.2 Plant detail-w slippage'!$P$2,0)</f>
        <v>0</v>
      </c>
      <c r="G1125" s="257">
        <f>SUM(D1125:F1125)</f>
        <v>74347.509999999995</v>
      </c>
      <c r="H1125" s="38"/>
      <c r="I1125" s="257">
        <f>N1019</f>
        <v>47864.629999999968</v>
      </c>
      <c r="J1125" s="296" t="s">
        <v>1094</v>
      </c>
      <c r="K1125" s="257">
        <f>'WPB2.2a Intan Amort. w slippage'!G$127</f>
        <v>206.52</v>
      </c>
      <c r="L1125" s="38">
        <f>-F1125</f>
        <v>0</v>
      </c>
      <c r="M1125" s="259">
        <v>0</v>
      </c>
      <c r="N1125" s="2227">
        <f>I1125+K1125-L1125+M1125</f>
        <v>48071.149999999965</v>
      </c>
    </row>
    <row r="1126" spans="1:14" x14ac:dyDescent="0.2">
      <c r="A1126" s="31">
        <f t="shared" si="331"/>
        <v>5</v>
      </c>
      <c r="B1126" s="253">
        <v>303.10000000000002</v>
      </c>
      <c r="C1126" s="52" t="s">
        <v>1028</v>
      </c>
      <c r="D1126" s="257">
        <f>G1020</f>
        <v>0</v>
      </c>
      <c r="E1126" s="382">
        <f>ROUND('Plant input detail '!E1128*'WPB2.2 Plant detail-w slippage'!$P$2,0)</f>
        <v>0</v>
      </c>
      <c r="F1126" s="257">
        <f>ROUND('Plant input detail '!F1128*'WPB2.2 Plant detail-w slippage'!$P$2,0)</f>
        <v>0</v>
      </c>
      <c r="G1126" s="257">
        <f>SUM(D1126:F1126)</f>
        <v>0</v>
      </c>
      <c r="H1126" s="38"/>
      <c r="I1126" s="257">
        <f>N1020</f>
        <v>0</v>
      </c>
      <c r="J1126" s="296" t="s">
        <v>1094</v>
      </c>
      <c r="K1126" s="259">
        <v>0</v>
      </c>
      <c r="L1126" s="38">
        <f>-F1126</f>
        <v>0</v>
      </c>
      <c r="M1126" s="259">
        <v>0</v>
      </c>
      <c r="N1126" s="2227">
        <f>I1126+K1126-L1126+M1126</f>
        <v>0</v>
      </c>
    </row>
    <row r="1127" spans="1:14" x14ac:dyDescent="0.2">
      <c r="A1127" s="31">
        <f t="shared" si="331"/>
        <v>6</v>
      </c>
      <c r="B1127" s="253">
        <v>303.2</v>
      </c>
      <c r="C1127" s="52" t="s">
        <v>1029</v>
      </c>
      <c r="D1127" s="257">
        <f>G1021</f>
        <v>0</v>
      </c>
      <c r="E1127" s="382">
        <f>ROUND('Plant input detail '!E1129*'WPB2.2 Plant detail-w slippage'!$P$2,0)</f>
        <v>0</v>
      </c>
      <c r="F1127" s="257">
        <f>ROUND('Plant input detail '!F1129*'WPB2.2 Plant detail-w slippage'!$P$2,0)</f>
        <v>0</v>
      </c>
      <c r="G1127" s="257">
        <f>SUM(D1127:F1127)</f>
        <v>0</v>
      </c>
      <c r="H1127" s="38"/>
      <c r="I1127" s="257">
        <f>N1021</f>
        <v>0</v>
      </c>
      <c r="J1127" s="296" t="s">
        <v>1094</v>
      </c>
      <c r="K1127" s="259">
        <v>0</v>
      </c>
      <c r="L1127" s="38">
        <f>-F1127</f>
        <v>0</v>
      </c>
      <c r="M1127" s="259">
        <v>0</v>
      </c>
      <c r="N1127" s="2227">
        <f>I1127+K1127-L1127+M1127</f>
        <v>0</v>
      </c>
    </row>
    <row r="1128" spans="1:14" x14ac:dyDescent="0.2">
      <c r="A1128" s="31">
        <f t="shared" si="331"/>
        <v>7</v>
      </c>
      <c r="B1128" s="253">
        <v>303.3</v>
      </c>
      <c r="C1128" s="52" t="s">
        <v>1030</v>
      </c>
      <c r="D1128" s="260">
        <f>G1022</f>
        <v>6830686</v>
      </c>
      <c r="E1128" s="265">
        <f>ROUND('Plant input detail '!E1130*'WPB2.2 Plant detail-w slippage'!$P$2,0)</f>
        <v>0</v>
      </c>
      <c r="F1128" s="265">
        <f>ROUND('Plant input detail '!F1130*'WPB2.2 Plant detail-w slippage'!$P$2,0)</f>
        <v>0</v>
      </c>
      <c r="G1128" s="260">
        <f>SUM(D1128:F1128)</f>
        <v>6830686</v>
      </c>
      <c r="H1128" s="38"/>
      <c r="I1128" s="260">
        <f>N1022</f>
        <v>2896198.2848468488</v>
      </c>
      <c r="J1128" s="296" t="s">
        <v>1094</v>
      </c>
      <c r="K1128" s="260">
        <f>'WPB2.2a Intan Amort. w slippage'!G$216</f>
        <v>84501.362770399035</v>
      </c>
      <c r="L1128" s="295">
        <f>-F1128</f>
        <v>0</v>
      </c>
      <c r="M1128" s="263">
        <v>0</v>
      </c>
      <c r="N1128" s="2228">
        <f>I1128+K1128-L1128+M1128</f>
        <v>2980699.6476172479</v>
      </c>
    </row>
    <row r="1129" spans="1:14" x14ac:dyDescent="0.2">
      <c r="A1129" s="31">
        <f t="shared" si="331"/>
        <v>8</v>
      </c>
      <c r="B1129" s="253"/>
      <c r="C1129" s="52" t="s">
        <v>1031</v>
      </c>
      <c r="D1129" s="38">
        <f>SUM(D1124:D1128)</f>
        <v>6905554.71</v>
      </c>
      <c r="E1129" s="173">
        <f>SUM(E1124:E1128)</f>
        <v>0</v>
      </c>
      <c r="F1129" s="173">
        <f>SUM(F1124:F1128)</f>
        <v>0</v>
      </c>
      <c r="G1129" s="38">
        <f>SUM(G1124:G1128)</f>
        <v>6905554.71</v>
      </c>
      <c r="H1129" s="38"/>
      <c r="I1129" s="38">
        <f>SUM(I1124:I1128)</f>
        <v>2944062.9148468487</v>
      </c>
      <c r="J1129" s="1359"/>
      <c r="K1129" s="173">
        <f>SUM(K1124:K1128)</f>
        <v>84707.882770399039</v>
      </c>
      <c r="L1129" s="38">
        <f>SUM(L1124:L1128)</f>
        <v>0</v>
      </c>
      <c r="M1129" s="173">
        <f>SUM(M1124:M1128)</f>
        <v>0</v>
      </c>
      <c r="N1129" s="1361">
        <f>SUM(N1124:N1128)</f>
        <v>3028770.7976172478</v>
      </c>
    </row>
    <row r="1130" spans="1:14" x14ac:dyDescent="0.2">
      <c r="B1130" s="254"/>
      <c r="D1130" s="38"/>
      <c r="E1130" s="173"/>
      <c r="F1130" s="173"/>
      <c r="G1130" s="38"/>
      <c r="H1130" s="38"/>
      <c r="I1130" s="38"/>
      <c r="J1130" s="1359"/>
      <c r="K1130" s="173"/>
      <c r="L1130" s="38"/>
      <c r="M1130" s="173"/>
    </row>
    <row r="1131" spans="1:14" x14ac:dyDescent="0.2">
      <c r="A1131" s="31">
        <f>A1129+1</f>
        <v>9</v>
      </c>
      <c r="B1131" s="254"/>
      <c r="C1131" s="36" t="s">
        <v>704</v>
      </c>
      <c r="D1131" s="38"/>
      <c r="E1131" s="173"/>
      <c r="F1131" s="173"/>
      <c r="G1131" s="38"/>
      <c r="H1131" s="38"/>
      <c r="I1131" s="38"/>
      <c r="J1131" s="1359"/>
      <c r="K1131" s="173"/>
      <c r="L1131" s="38"/>
      <c r="M1131" s="173"/>
    </row>
    <row r="1132" spans="1:14" x14ac:dyDescent="0.2">
      <c r="A1132" s="31">
        <f>A1131+1</f>
        <v>10</v>
      </c>
      <c r="B1132" s="255">
        <v>304.10000000000002</v>
      </c>
      <c r="C1132" s="41" t="s">
        <v>1032</v>
      </c>
      <c r="D1132" s="260">
        <f>G1026</f>
        <v>0</v>
      </c>
      <c r="E1132" s="265">
        <f>ROUND('Plant input detail '!E1134*'WPB2.2 Plant detail-w slippage'!$P$2,0)</f>
        <v>0</v>
      </c>
      <c r="F1132" s="265">
        <f>ROUND('Plant input detail '!F1134*'WPB2.2 Plant detail-w slippage'!$P$2,0)</f>
        <v>0</v>
      </c>
      <c r="G1132" s="260">
        <f>SUM(D1132:F1132)</f>
        <v>0</v>
      </c>
      <c r="H1132" s="38"/>
      <c r="I1132" s="260">
        <f>N1026</f>
        <v>0</v>
      </c>
      <c r="J1132" s="1360" t="s">
        <v>1102</v>
      </c>
      <c r="K1132" s="266">
        <v>0</v>
      </c>
      <c r="L1132" s="295">
        <f>-F1132</f>
        <v>0</v>
      </c>
      <c r="M1132" s="263">
        <v>0</v>
      </c>
      <c r="N1132" s="2228">
        <f>I1132+K1132-L1132+M1132</f>
        <v>0</v>
      </c>
    </row>
    <row r="1133" spans="1:14" x14ac:dyDescent="0.2">
      <c r="A1133" s="31">
        <f>A1132+1</f>
        <v>11</v>
      </c>
      <c r="B1133" s="255"/>
      <c r="C1133" s="256" t="s">
        <v>1079</v>
      </c>
      <c r="D1133" s="38">
        <f>D1132</f>
        <v>0</v>
      </c>
      <c r="E1133" s="173">
        <f>E1132</f>
        <v>0</v>
      </c>
      <c r="F1133" s="173">
        <f>F1132</f>
        <v>0</v>
      </c>
      <c r="G1133" s="38">
        <f>G1132</f>
        <v>0</v>
      </c>
      <c r="H1133" s="38"/>
      <c r="I1133" s="38">
        <f>I1132</f>
        <v>0</v>
      </c>
      <c r="J1133" s="1361"/>
      <c r="K1133" s="173">
        <f>SUM(K1132)</f>
        <v>0</v>
      </c>
      <c r="L1133" s="38">
        <f>SUM(L1132)</f>
        <v>0</v>
      </c>
      <c r="M1133" s="173">
        <f>M1132</f>
        <v>0</v>
      </c>
      <c r="N1133" s="1361">
        <f>N1132</f>
        <v>0</v>
      </c>
    </row>
    <row r="1134" spans="1:14" x14ac:dyDescent="0.2">
      <c r="B1134" s="254"/>
      <c r="D1134" s="38"/>
      <c r="E1134" s="173"/>
      <c r="F1134" s="173"/>
      <c r="G1134" s="38"/>
      <c r="H1134" s="38"/>
      <c r="I1134" s="38"/>
      <c r="J1134" s="1361"/>
      <c r="K1134" s="173"/>
      <c r="L1134" s="38"/>
      <c r="M1134" s="173"/>
    </row>
    <row r="1135" spans="1:14" x14ac:dyDescent="0.2">
      <c r="A1135" s="31">
        <f>A1133+1</f>
        <v>12</v>
      </c>
      <c r="B1135" s="254"/>
      <c r="C1135" s="36" t="s">
        <v>707</v>
      </c>
      <c r="D1135" s="38"/>
      <c r="E1135" s="173"/>
      <c r="F1135" s="173"/>
      <c r="G1135" s="38"/>
      <c r="H1135" s="38"/>
      <c r="I1135" s="38"/>
      <c r="J1135" s="1361"/>
      <c r="K1135" s="173"/>
      <c r="L1135" s="38"/>
      <c r="M1135" s="173"/>
    </row>
    <row r="1136" spans="1:14" x14ac:dyDescent="0.2">
      <c r="A1136" s="31">
        <f>A1135+1</f>
        <v>13</v>
      </c>
      <c r="B1136" s="253">
        <v>374.1</v>
      </c>
      <c r="C1136" s="52" t="s">
        <v>1035</v>
      </c>
      <c r="D1136" s="257">
        <f t="shared" ref="D1136:D1146" si="332">G1030</f>
        <v>206</v>
      </c>
      <c r="E1136" s="382">
        <f>ROUND('Plant input detail '!E1138*'WPB2.2 Plant detail-w slippage'!$P$2,0)</f>
        <v>0</v>
      </c>
      <c r="F1136" s="257">
        <f>ROUND('Plant input detail '!F1138*'WPB2.2 Plant detail-w slippage'!$P$2,0)</f>
        <v>0</v>
      </c>
      <c r="G1136" s="257">
        <f>SUM(D1136:F1136)</f>
        <v>206</v>
      </c>
      <c r="H1136" s="38"/>
      <c r="I1136" s="257">
        <f t="shared" ref="I1136:I1146" si="333">N1030</f>
        <v>0</v>
      </c>
      <c r="J1136" s="1360" t="s">
        <v>1102</v>
      </c>
      <c r="K1136" s="259">
        <v>0</v>
      </c>
      <c r="L1136" s="38">
        <f t="shared" ref="L1136:L1146" si="334">-F1136</f>
        <v>0</v>
      </c>
      <c r="M1136" s="257">
        <f>ROUND('Plant input detail '!M1138*'WPB2.2 Plant detail-w slippage'!$P$2,0)</f>
        <v>0</v>
      </c>
      <c r="N1136" s="2227">
        <f t="shared" ref="N1136:N1146" si="335">I1136+K1136-L1136+M1136</f>
        <v>0</v>
      </c>
    </row>
    <row r="1137" spans="1:16" x14ac:dyDescent="0.2">
      <c r="A1137" s="31">
        <f t="shared" ref="A1137:A1157" si="336">A1136+1</f>
        <v>14</v>
      </c>
      <c r="B1137" s="253">
        <v>374.2</v>
      </c>
      <c r="C1137" s="52" t="s">
        <v>1036</v>
      </c>
      <c r="D1137" s="257">
        <f t="shared" si="332"/>
        <v>877756.18</v>
      </c>
      <c r="E1137" s="382">
        <f>ROUND('Plant input detail '!E1139*'WPB2.2 Plant detail-w slippage'!$P$2,0)</f>
        <v>0</v>
      </c>
      <c r="F1137" s="257">
        <f>ROUND('Plant input detail '!F1139*'WPB2.2 Plant detail-w slippage'!$P$2,0)</f>
        <v>0</v>
      </c>
      <c r="G1137" s="257">
        <f t="shared" ref="G1137:G1146" si="337">SUM(D1137:F1137)</f>
        <v>877756.18</v>
      </c>
      <c r="H1137" s="38"/>
      <c r="I1137" s="257">
        <f t="shared" si="333"/>
        <v>-523.13</v>
      </c>
      <c r="J1137" s="1360" t="s">
        <v>1102</v>
      </c>
      <c r="K1137" s="259">
        <v>0</v>
      </c>
      <c r="L1137" s="38">
        <f t="shared" si="334"/>
        <v>0</v>
      </c>
      <c r="M1137" s="257">
        <f>ROUND('Plant input detail '!M1139*'WPB2.2 Plant detail-w slippage'!$P$2,0)</f>
        <v>0</v>
      </c>
      <c r="N1137" s="2227">
        <f t="shared" si="335"/>
        <v>-523.13</v>
      </c>
    </row>
    <row r="1138" spans="1:16" x14ac:dyDescent="0.2">
      <c r="A1138" s="31">
        <f t="shared" si="336"/>
        <v>15</v>
      </c>
      <c r="B1138" s="253">
        <v>374.4</v>
      </c>
      <c r="C1138" s="52" t="s">
        <v>1037</v>
      </c>
      <c r="D1138" s="257">
        <f t="shared" si="332"/>
        <v>661305.66</v>
      </c>
      <c r="E1138" s="382">
        <f>ROUND('Plant input detail '!E1140*'WPB2.2 Plant detail-w slippage'!$P$2,0)</f>
        <v>0</v>
      </c>
      <c r="F1138" s="257">
        <f>ROUND('Plant input detail '!F1140*'WPB2.2 Plant detail-w slippage'!$P$2,0)</f>
        <v>0</v>
      </c>
      <c r="G1138" s="257">
        <f t="shared" si="337"/>
        <v>661305.66</v>
      </c>
      <c r="H1138" s="38"/>
      <c r="I1138" s="257">
        <f t="shared" si="333"/>
        <v>178883.36</v>
      </c>
      <c r="J1138" s="361">
        <v>1.7399999999999999E-2</v>
      </c>
      <c r="K1138" s="173">
        <f>ROUND((G1138+D1138)/2*J1138/12,0)</f>
        <v>959</v>
      </c>
      <c r="L1138" s="38">
        <f t="shared" si="334"/>
        <v>0</v>
      </c>
      <c r="M1138" s="257">
        <f>ROUND('Plant input detail '!M1140*'WPB2.2 Plant detail-w slippage'!$P$2,0)</f>
        <v>0</v>
      </c>
      <c r="N1138" s="2227">
        <f t="shared" si="335"/>
        <v>179842.36</v>
      </c>
      <c r="P1138" s="279"/>
    </row>
    <row r="1139" spans="1:16" x14ac:dyDescent="0.2">
      <c r="A1139" s="31">
        <f t="shared" si="336"/>
        <v>16</v>
      </c>
      <c r="B1139" s="253">
        <v>374.5</v>
      </c>
      <c r="C1139" s="52" t="s">
        <v>1038</v>
      </c>
      <c r="D1139" s="257">
        <f t="shared" si="332"/>
        <v>2703772.55</v>
      </c>
      <c r="E1139" s="382">
        <f>ROUND('Plant input detail '!E1141*'WPB2.2 Plant detail-w slippage'!$P$2,0)</f>
        <v>2400</v>
      </c>
      <c r="F1139" s="257">
        <f>ROUND('Plant input detail '!F1141*'WPB2.2 Plant detail-w slippage'!$P$2,0)</f>
        <v>-300</v>
      </c>
      <c r="G1139" s="257">
        <f t="shared" si="337"/>
        <v>2705872.55</v>
      </c>
      <c r="H1139" s="38"/>
      <c r="I1139" s="257">
        <f t="shared" si="333"/>
        <v>928828.23</v>
      </c>
      <c r="J1139" s="361">
        <v>1.29E-2</v>
      </c>
      <c r="K1139" s="173">
        <f t="shared" ref="K1139:K1144" si="338">ROUND((G1139+D1139)/2*J1139/12,0)</f>
        <v>2908</v>
      </c>
      <c r="L1139" s="38">
        <f t="shared" si="334"/>
        <v>300</v>
      </c>
      <c r="M1139" s="257">
        <f>ROUND('Plant input detail '!M1141*'WPB2.2 Plant detail-w slippage'!$P$2,0)</f>
        <v>0</v>
      </c>
      <c r="N1139" s="2227">
        <f t="shared" si="335"/>
        <v>931436.23</v>
      </c>
      <c r="P1139" s="279"/>
    </row>
    <row r="1140" spans="1:16" x14ac:dyDescent="0.2">
      <c r="A1140" s="31">
        <f t="shared" si="336"/>
        <v>17</v>
      </c>
      <c r="B1140" s="253">
        <v>375.2</v>
      </c>
      <c r="C1140" s="52" t="s">
        <v>1039</v>
      </c>
      <c r="D1140" s="257">
        <f t="shared" si="332"/>
        <v>2124.98</v>
      </c>
      <c r="E1140" s="382">
        <f>ROUND('Plant input detail '!E1142*'WPB2.2 Plant detail-w slippage'!$P$2,0)</f>
        <v>0</v>
      </c>
      <c r="F1140" s="257">
        <f>ROUND('Plant input detail '!F1142*'WPB2.2 Plant detail-w slippage'!$P$2,0)</f>
        <v>0</v>
      </c>
      <c r="G1140" s="257">
        <f t="shared" si="337"/>
        <v>2124.98</v>
      </c>
      <c r="H1140" s="38"/>
      <c r="I1140" s="257">
        <f t="shared" si="333"/>
        <v>2027.32</v>
      </c>
      <c r="J1140" s="361">
        <v>3.1800000000000002E-2</v>
      </c>
      <c r="K1140" s="173">
        <f t="shared" si="338"/>
        <v>6</v>
      </c>
      <c r="L1140" s="38">
        <f t="shared" si="334"/>
        <v>0</v>
      </c>
      <c r="M1140" s="257">
        <f>ROUND('Plant input detail '!M1142*'WPB2.2 Plant detail-w slippage'!$P$2,0)</f>
        <v>0</v>
      </c>
      <c r="N1140" s="2227">
        <f t="shared" si="335"/>
        <v>2033.32</v>
      </c>
      <c r="P1140" s="279"/>
    </row>
    <row r="1141" spans="1:16" x14ac:dyDescent="0.2">
      <c r="A1141" s="31">
        <f t="shared" si="336"/>
        <v>18</v>
      </c>
      <c r="B1141" s="253">
        <v>375.3</v>
      </c>
      <c r="C1141" s="52" t="s">
        <v>1040</v>
      </c>
      <c r="D1141" s="257">
        <f t="shared" si="332"/>
        <v>0</v>
      </c>
      <c r="E1141" s="382">
        <f>ROUND('Plant input detail '!E1143*'WPB2.2 Plant detail-w slippage'!$P$2,0)</f>
        <v>0</v>
      </c>
      <c r="F1141" s="257">
        <f>ROUND('Plant input detail '!F1143*'WPB2.2 Plant detail-w slippage'!$P$2,0)</f>
        <v>0</v>
      </c>
      <c r="G1141" s="257">
        <f t="shared" si="337"/>
        <v>0</v>
      </c>
      <c r="H1141" s="38"/>
      <c r="I1141" s="257">
        <f t="shared" si="333"/>
        <v>-77.66</v>
      </c>
      <c r="J1141" s="361">
        <v>3.1800000000000002E-2</v>
      </c>
      <c r="K1141" s="173">
        <f t="shared" si="338"/>
        <v>0</v>
      </c>
      <c r="L1141" s="38">
        <f t="shared" si="334"/>
        <v>0</v>
      </c>
      <c r="M1141" s="257">
        <f>ROUND('Plant input detail '!M1143*'WPB2.2 Plant detail-w slippage'!$P$2,0)</f>
        <v>0</v>
      </c>
      <c r="N1141" s="2227">
        <f t="shared" si="335"/>
        <v>-77.66</v>
      </c>
      <c r="P1141" s="279"/>
    </row>
    <row r="1142" spans="1:16" x14ac:dyDescent="0.2">
      <c r="A1142" s="31">
        <f t="shared" si="336"/>
        <v>19</v>
      </c>
      <c r="B1142" s="253">
        <v>375.4</v>
      </c>
      <c r="C1142" s="52" t="s">
        <v>1041</v>
      </c>
      <c r="D1142" s="257">
        <f t="shared" si="332"/>
        <v>2098430.02</v>
      </c>
      <c r="E1142" s="382">
        <f>ROUND('Plant input detail '!E1144*'WPB2.2 Plant detail-w slippage'!$P$2,0)</f>
        <v>11900</v>
      </c>
      <c r="F1142" s="257">
        <f>ROUND('Plant input detail '!F1144*'WPB2.2 Plant detail-w slippage'!$P$2,0)</f>
        <v>-1400</v>
      </c>
      <c r="G1142" s="257">
        <f t="shared" si="337"/>
        <v>2108930.02</v>
      </c>
      <c r="H1142" s="38"/>
      <c r="I1142" s="257">
        <f t="shared" si="333"/>
        <v>483948.37</v>
      </c>
      <c r="J1142" s="361">
        <v>3.1800000000000002E-2</v>
      </c>
      <c r="K1142" s="173">
        <f t="shared" si="338"/>
        <v>5575</v>
      </c>
      <c r="L1142" s="38">
        <f t="shared" si="334"/>
        <v>1400</v>
      </c>
      <c r="M1142" s="257">
        <f>ROUND('Plant input detail '!M1144*'WPB2.2 Plant detail-w slippage'!$P$2,0)</f>
        <v>-100</v>
      </c>
      <c r="N1142" s="2227">
        <f t="shared" si="335"/>
        <v>488023.37</v>
      </c>
      <c r="P1142" s="279"/>
    </row>
    <row r="1143" spans="1:16" x14ac:dyDescent="0.2">
      <c r="A1143" s="31">
        <f t="shared" si="336"/>
        <v>20</v>
      </c>
      <c r="B1143" s="253">
        <v>375.6</v>
      </c>
      <c r="C1143" s="52" t="s">
        <v>1042</v>
      </c>
      <c r="D1143" s="257">
        <f t="shared" si="332"/>
        <v>0</v>
      </c>
      <c r="E1143" s="382">
        <f>ROUND('Plant input detail '!E1145*'WPB2.2 Plant detail-w slippage'!$P$2,0)</f>
        <v>0</v>
      </c>
      <c r="F1143" s="257">
        <f>ROUND('Plant input detail '!F1145*'WPB2.2 Plant detail-w slippage'!$P$2,0)</f>
        <v>0</v>
      </c>
      <c r="G1143" s="257">
        <f t="shared" si="337"/>
        <v>0</v>
      </c>
      <c r="H1143" s="38"/>
      <c r="I1143" s="257">
        <f t="shared" si="333"/>
        <v>0.02</v>
      </c>
      <c r="J1143" s="361">
        <v>3.1800000000000002E-2</v>
      </c>
      <c r="K1143" s="173">
        <f t="shared" si="338"/>
        <v>0</v>
      </c>
      <c r="L1143" s="38">
        <f t="shared" si="334"/>
        <v>0</v>
      </c>
      <c r="M1143" s="257">
        <f>ROUND('Plant input detail '!M1145*'WPB2.2 Plant detail-w slippage'!$P$2,0)</f>
        <v>0</v>
      </c>
      <c r="N1143" s="2227">
        <f t="shared" si="335"/>
        <v>0.02</v>
      </c>
      <c r="P1143" s="279"/>
    </row>
    <row r="1144" spans="1:16" x14ac:dyDescent="0.2">
      <c r="A1144" s="31">
        <f t="shared" si="336"/>
        <v>21</v>
      </c>
      <c r="B1144" s="253">
        <v>375.7</v>
      </c>
      <c r="C1144" s="52" t="s">
        <v>1043</v>
      </c>
      <c r="D1144" s="257">
        <f t="shared" si="332"/>
        <v>8255550.21</v>
      </c>
      <c r="E1144" s="382">
        <f>ROUND('Plant input detail '!E1146*'WPB2.2 Plant detail-w slippage'!$P$2,0)</f>
        <v>48300</v>
      </c>
      <c r="F1144" s="257">
        <f>ROUND('Plant input detail '!F1146*'WPB2.2 Plant detail-w slippage'!$P$2,0)</f>
        <v>-5800</v>
      </c>
      <c r="G1144" s="257">
        <f t="shared" si="337"/>
        <v>8298050.21</v>
      </c>
      <c r="H1144" s="38"/>
      <c r="I1144" s="257">
        <f t="shared" si="333"/>
        <v>3316198.06</v>
      </c>
      <c r="J1144" s="361">
        <v>2.1299999999999999E-2</v>
      </c>
      <c r="K1144" s="173">
        <f t="shared" si="338"/>
        <v>14691</v>
      </c>
      <c r="L1144" s="38">
        <f t="shared" si="334"/>
        <v>5800</v>
      </c>
      <c r="M1144" s="257">
        <f>ROUND('Plant input detail '!M1146*'WPB2.2 Plant detail-w slippage'!$P$2,0)</f>
        <v>0</v>
      </c>
      <c r="N1144" s="2227">
        <f t="shared" si="335"/>
        <v>3325089.06</v>
      </c>
      <c r="P1144" s="279"/>
    </row>
    <row r="1145" spans="1:16" x14ac:dyDescent="0.2">
      <c r="A1145" s="31">
        <f t="shared" si="336"/>
        <v>22</v>
      </c>
      <c r="B1145" s="253">
        <v>375.71</v>
      </c>
      <c r="C1145" s="52" t="s">
        <v>1044</v>
      </c>
      <c r="D1145" s="257">
        <f t="shared" si="332"/>
        <v>259808.94</v>
      </c>
      <c r="E1145" s="382">
        <f>ROUND('Plant input detail '!E1147*'WPB2.2 Plant detail-w slippage'!$P$2,0)</f>
        <v>0</v>
      </c>
      <c r="F1145" s="257">
        <f>ROUND('Plant input detail '!F1147*'WPB2.2 Plant detail-w slippage'!$P$2,0)</f>
        <v>0</v>
      </c>
      <c r="G1145" s="257">
        <f t="shared" si="337"/>
        <v>259808.94</v>
      </c>
      <c r="H1145" s="38"/>
      <c r="I1145" s="257">
        <f t="shared" si="333"/>
        <v>182695.55473684223</v>
      </c>
      <c r="J1145" s="296" t="s">
        <v>1094</v>
      </c>
      <c r="K1145" s="258">
        <f>104653.88/38</f>
        <v>2754.0494736842106</v>
      </c>
      <c r="L1145" s="38">
        <f t="shared" si="334"/>
        <v>0</v>
      </c>
      <c r="M1145" s="257">
        <f>ROUND('Plant input detail '!M1147*'WPB2.2 Plant detail-w slippage'!$P$2,0)</f>
        <v>0</v>
      </c>
      <c r="N1145" s="2227">
        <f t="shared" si="335"/>
        <v>185449.60421052645</v>
      </c>
      <c r="P1145" s="279"/>
    </row>
    <row r="1146" spans="1:16" x14ac:dyDescent="0.2">
      <c r="A1146" s="31">
        <f t="shared" si="336"/>
        <v>23</v>
      </c>
      <c r="B1146" s="253">
        <v>375.8</v>
      </c>
      <c r="C1146" s="52" t="s">
        <v>1045</v>
      </c>
      <c r="D1146" s="257">
        <f t="shared" si="332"/>
        <v>0</v>
      </c>
      <c r="E1146" s="382">
        <f>ROUND('Plant input detail '!E1148*'WPB2.2 Plant detail-w slippage'!$P$2,0)</f>
        <v>0</v>
      </c>
      <c r="F1146" s="257">
        <f>ROUND('Plant input detail '!F1148*'WPB2.2 Plant detail-w slippage'!$P$2,0)</f>
        <v>0</v>
      </c>
      <c r="G1146" s="257">
        <f t="shared" si="337"/>
        <v>0</v>
      </c>
      <c r="H1146" s="38"/>
      <c r="I1146" s="257">
        <f t="shared" si="333"/>
        <v>0</v>
      </c>
      <c r="J1146" s="361">
        <v>0</v>
      </c>
      <c r="K1146" s="259">
        <v>0</v>
      </c>
      <c r="L1146" s="38">
        <f t="shared" si="334"/>
        <v>0</v>
      </c>
      <c r="M1146" s="257">
        <f>ROUND('Plant input detail '!M1148*'WPB2.2 Plant detail-w slippage'!$P$2,0)</f>
        <v>0</v>
      </c>
      <c r="N1146" s="2227">
        <f t="shared" si="335"/>
        <v>0</v>
      </c>
      <c r="P1146" s="279"/>
    </row>
    <row r="1147" spans="1:16" x14ac:dyDescent="0.2">
      <c r="A1147" s="31">
        <f>A1146+1</f>
        <v>24</v>
      </c>
      <c r="B1147" s="253">
        <v>376</v>
      </c>
      <c r="C1147" s="251" t="s">
        <v>1096</v>
      </c>
      <c r="D1147" s="257"/>
      <c r="E1147" s="258"/>
      <c r="F1147" s="259"/>
      <c r="G1147" s="257"/>
      <c r="H1147" s="38"/>
      <c r="I1147" s="181"/>
      <c r="J1147" s="1364"/>
      <c r="K1147" s="173"/>
      <c r="L1147" s="38"/>
      <c r="M1147" s="259"/>
      <c r="P1147" s="279"/>
    </row>
    <row r="1148" spans="1:16" x14ac:dyDescent="0.2">
      <c r="A1148" s="31"/>
      <c r="B1148" s="253"/>
      <c r="C1148" s="286" t="s">
        <v>1097</v>
      </c>
      <c r="D1148" s="257"/>
      <c r="E1148" s="258"/>
      <c r="F1148" s="259"/>
      <c r="G1148" s="257"/>
      <c r="H1148" s="38"/>
      <c r="I1148" s="257"/>
      <c r="J1148" s="361"/>
      <c r="K1148" s="173"/>
      <c r="L1148" s="38"/>
      <c r="M1148" s="257"/>
      <c r="N1148" s="2227"/>
      <c r="P1148" s="279"/>
    </row>
    <row r="1149" spans="1:16" x14ac:dyDescent="0.2">
      <c r="A1149" s="31"/>
      <c r="B1149" s="253"/>
      <c r="C1149" s="286" t="s">
        <v>1098</v>
      </c>
      <c r="D1149" s="257"/>
      <c r="E1149" s="258"/>
      <c r="F1149" s="259"/>
      <c r="G1149" s="257"/>
      <c r="H1149" s="38"/>
      <c r="I1149" s="257"/>
      <c r="J1149" s="361"/>
      <c r="K1149" s="173"/>
      <c r="L1149" s="38"/>
      <c r="M1149" s="257"/>
      <c r="N1149" s="2227"/>
      <c r="P1149" s="279"/>
    </row>
    <row r="1150" spans="1:16" x14ac:dyDescent="0.2">
      <c r="A1150" s="31"/>
      <c r="B1150" s="253"/>
      <c r="C1150" s="286" t="s">
        <v>1099</v>
      </c>
      <c r="D1150" s="257"/>
      <c r="E1150" s="258"/>
      <c r="F1150" s="259"/>
      <c r="G1150" s="257"/>
      <c r="H1150" s="38"/>
      <c r="I1150" s="257"/>
      <c r="J1150" s="361"/>
      <c r="K1150" s="173"/>
      <c r="L1150" s="38"/>
      <c r="M1150" s="257"/>
      <c r="N1150" s="2227"/>
      <c r="P1150" s="279"/>
    </row>
    <row r="1151" spans="1:16" x14ac:dyDescent="0.2">
      <c r="A1151" s="31"/>
      <c r="B1151" s="253"/>
      <c r="C1151" s="286" t="s">
        <v>1100</v>
      </c>
      <c r="D1151" s="257"/>
      <c r="E1151" s="258"/>
      <c r="F1151" s="259"/>
      <c r="G1151" s="257"/>
      <c r="H1151" s="38"/>
      <c r="I1151" s="257"/>
      <c r="J1151" s="361"/>
      <c r="K1151" s="173"/>
      <c r="L1151" s="38"/>
      <c r="M1151" s="257"/>
      <c r="N1151" s="2227"/>
      <c r="P1151" s="279"/>
    </row>
    <row r="1152" spans="1:16" x14ac:dyDescent="0.2">
      <c r="A1152" s="31"/>
      <c r="B1152" s="253"/>
      <c r="C1152" s="286" t="s">
        <v>1101</v>
      </c>
      <c r="D1152" s="257">
        <f t="shared" ref="D1152:D1157" si="339">G1046</f>
        <v>213379005.44</v>
      </c>
      <c r="E1152" s="382">
        <f>ROUND('Plant input detail '!E1154*'WPB2.2 Plant detail-w slippage'!$P$2,0)</f>
        <v>558720</v>
      </c>
      <c r="F1152" s="257">
        <f>ROUND('Plant input detail '!F1154*'WPB2.2 Plant detail-w slippage'!$P$2,0)</f>
        <v>-67000</v>
      </c>
      <c r="G1152" s="257">
        <f t="shared" ref="G1152:G1157" si="340">SUM(D1152:F1152)</f>
        <v>213870725.44</v>
      </c>
      <c r="H1152" s="38"/>
      <c r="I1152" s="257">
        <f t="shared" ref="I1152:I1157" si="341">N1046</f>
        <v>57454749.609999999</v>
      </c>
      <c r="J1152" s="361">
        <v>2.3E-2</v>
      </c>
      <c r="K1152" s="173">
        <f t="shared" ref="K1152:K1157" si="342">ROUND((G1152+D1152)/2*J1152/12,0)</f>
        <v>409448</v>
      </c>
      <c r="L1152" s="38">
        <f t="shared" ref="L1152:L1157" si="343">-F1152</f>
        <v>67000</v>
      </c>
      <c r="M1152" s="257">
        <f>ROUND('Plant input detail '!M1154*'WPB2.2 Plant detail-w slippage'!$P$2,0)</f>
        <v>-10100</v>
      </c>
      <c r="N1152" s="2227">
        <f t="shared" ref="N1152:N1157" si="344">I1152+K1152-L1152+M1152</f>
        <v>57787097.609999999</v>
      </c>
      <c r="P1152" s="279"/>
    </row>
    <row r="1153" spans="1:16" x14ac:dyDescent="0.2">
      <c r="A1153" s="31">
        <f>A1147+1</f>
        <v>25</v>
      </c>
      <c r="B1153" s="253">
        <v>378.1</v>
      </c>
      <c r="C1153" s="52" t="s">
        <v>1047</v>
      </c>
      <c r="D1153" s="257">
        <f t="shared" si="339"/>
        <v>518504.18</v>
      </c>
      <c r="E1153" s="382">
        <f>ROUND('Plant input detail '!E1155*'WPB2.2 Plant detail-w slippage'!$P$2,0)</f>
        <v>0</v>
      </c>
      <c r="F1153" s="257">
        <f>ROUND('Plant input detail '!F1155*'WPB2.2 Plant detail-w slippage'!$P$2,0)</f>
        <v>0</v>
      </c>
      <c r="G1153" s="257">
        <f t="shared" si="340"/>
        <v>518504.18</v>
      </c>
      <c r="H1153" s="38"/>
      <c r="I1153" s="257">
        <f t="shared" si="341"/>
        <v>363461.81</v>
      </c>
      <c r="J1153" s="361">
        <v>3.32E-2</v>
      </c>
      <c r="K1153" s="173">
        <f t="shared" si="342"/>
        <v>1435</v>
      </c>
      <c r="L1153" s="38">
        <f t="shared" si="343"/>
        <v>0</v>
      </c>
      <c r="M1153" s="257">
        <f>ROUND('Plant input detail '!M1155*'WPB2.2 Plant detail-w slippage'!$P$2,0)</f>
        <v>0</v>
      </c>
      <c r="N1153" s="2227">
        <f t="shared" si="344"/>
        <v>364896.81</v>
      </c>
      <c r="P1153" s="279"/>
    </row>
    <row r="1154" spans="1:16" x14ac:dyDescent="0.2">
      <c r="A1154" s="31">
        <f t="shared" si="336"/>
        <v>26</v>
      </c>
      <c r="B1154" s="253">
        <v>378.2</v>
      </c>
      <c r="C1154" s="52" t="s">
        <v>1048</v>
      </c>
      <c r="D1154" s="257">
        <f t="shared" si="339"/>
        <v>9783924</v>
      </c>
      <c r="E1154" s="382">
        <f>ROUND('Plant input detail '!E1156*'WPB2.2 Plant detail-w slippage'!$P$2,0)</f>
        <v>16700</v>
      </c>
      <c r="F1154" s="257">
        <f>ROUND('Plant input detail '!F1156*'WPB2.2 Plant detail-w slippage'!$P$2,0)</f>
        <v>-2000</v>
      </c>
      <c r="G1154" s="257">
        <f t="shared" si="340"/>
        <v>9798624</v>
      </c>
      <c r="H1154" s="38"/>
      <c r="I1154" s="257">
        <f t="shared" si="341"/>
        <v>3368459.91</v>
      </c>
      <c r="J1154" s="361">
        <v>3.32E-2</v>
      </c>
      <c r="K1154" s="173">
        <f t="shared" si="342"/>
        <v>27089</v>
      </c>
      <c r="L1154" s="38">
        <f t="shared" si="343"/>
        <v>2000</v>
      </c>
      <c r="M1154" s="257">
        <f>ROUND('Plant input detail '!M1156*'WPB2.2 Plant detail-w slippage'!$P$2,0)</f>
        <v>-100</v>
      </c>
      <c r="N1154" s="2227">
        <f t="shared" si="344"/>
        <v>3393448.91</v>
      </c>
      <c r="P1154" s="279"/>
    </row>
    <row r="1155" spans="1:16" x14ac:dyDescent="0.2">
      <c r="A1155" s="31">
        <f t="shared" si="336"/>
        <v>27</v>
      </c>
      <c r="B1155" s="253">
        <v>378.3</v>
      </c>
      <c r="C1155" s="52" t="s">
        <v>1049</v>
      </c>
      <c r="D1155" s="257">
        <f t="shared" si="339"/>
        <v>45443.08</v>
      </c>
      <c r="E1155" s="382">
        <f>ROUND('Plant input detail '!E1157*'WPB2.2 Plant detail-w slippage'!$P$2,0)</f>
        <v>0</v>
      </c>
      <c r="F1155" s="257">
        <f>ROUND('Plant input detail '!F1157*'WPB2.2 Plant detail-w slippage'!$P$2,0)</f>
        <v>0</v>
      </c>
      <c r="G1155" s="257">
        <f t="shared" si="340"/>
        <v>45443.08</v>
      </c>
      <c r="H1155" s="38"/>
      <c r="I1155" s="257">
        <f t="shared" si="341"/>
        <v>35878.04</v>
      </c>
      <c r="J1155" s="361">
        <v>3.32E-2</v>
      </c>
      <c r="K1155" s="173">
        <f t="shared" si="342"/>
        <v>126</v>
      </c>
      <c r="L1155" s="38">
        <f t="shared" si="343"/>
        <v>0</v>
      </c>
      <c r="M1155" s="257">
        <f>ROUND('Plant input detail '!M1157*'WPB2.2 Plant detail-w slippage'!$P$2,0)</f>
        <v>0</v>
      </c>
      <c r="N1155" s="2227">
        <f t="shared" si="344"/>
        <v>36004.04</v>
      </c>
      <c r="P1155" s="279"/>
    </row>
    <row r="1156" spans="1:16" x14ac:dyDescent="0.2">
      <c r="A1156" s="31">
        <f t="shared" si="336"/>
        <v>28</v>
      </c>
      <c r="B1156" s="253">
        <v>379.1</v>
      </c>
      <c r="C1156" s="52" t="s">
        <v>1050</v>
      </c>
      <c r="D1156" s="257">
        <f t="shared" si="339"/>
        <v>254900.59</v>
      </c>
      <c r="E1156" s="382">
        <f>ROUND('Plant input detail '!E1158*'WPB2.2 Plant detail-w slippage'!$P$2,0)</f>
        <v>0</v>
      </c>
      <c r="F1156" s="257">
        <f>ROUND('Plant input detail '!F1158*'WPB2.2 Plant detail-w slippage'!$P$2,0)</f>
        <v>0</v>
      </c>
      <c r="G1156" s="257">
        <f t="shared" si="340"/>
        <v>254900.59</v>
      </c>
      <c r="H1156" s="38"/>
      <c r="I1156" s="257">
        <f t="shared" si="341"/>
        <v>267730.57</v>
      </c>
      <c r="J1156" s="361">
        <v>6.0000000000000001E-3</v>
      </c>
      <c r="K1156" s="259">
        <v>0</v>
      </c>
      <c r="L1156" s="38">
        <f t="shared" si="343"/>
        <v>0</v>
      </c>
      <c r="M1156" s="257">
        <f>ROUND('Plant input detail '!M1158*'WPB2.2 Plant detail-w slippage'!$P$2,0)</f>
        <v>0</v>
      </c>
      <c r="N1156" s="2227">
        <f t="shared" si="344"/>
        <v>267730.57</v>
      </c>
      <c r="P1156" s="279"/>
    </row>
    <row r="1157" spans="1:16" x14ac:dyDescent="0.2">
      <c r="A1157" s="31">
        <f t="shared" si="336"/>
        <v>29</v>
      </c>
      <c r="B1157" s="253">
        <v>380</v>
      </c>
      <c r="C1157" s="52" t="s">
        <v>1051</v>
      </c>
      <c r="D1157" s="257">
        <f t="shared" si="339"/>
        <v>123059032.77</v>
      </c>
      <c r="E1157" s="382">
        <f>ROUND('Plant input detail '!E1159*'WPB2.2 Plant detail-w slippage'!$P$2,0)</f>
        <v>444846</v>
      </c>
      <c r="F1157" s="257">
        <f>ROUND('Plant input detail '!F1159*'WPB2.2 Plant detail-w slippage'!$P$2,0)</f>
        <v>-53400</v>
      </c>
      <c r="G1157" s="257">
        <f t="shared" si="340"/>
        <v>123450478.77</v>
      </c>
      <c r="H1157" s="38"/>
      <c r="I1157" s="257">
        <f t="shared" si="341"/>
        <v>58789318.520000003</v>
      </c>
      <c r="J1157" s="361">
        <v>5.0999999999999997E-2</v>
      </c>
      <c r="K1157" s="173">
        <f t="shared" si="342"/>
        <v>523833</v>
      </c>
      <c r="L1157" s="38">
        <f t="shared" si="343"/>
        <v>53400</v>
      </c>
      <c r="M1157" s="257">
        <f>ROUND('Plant input detail '!M1159*'WPB2.2 Plant detail-w slippage'!$P$2,0)</f>
        <v>-26700</v>
      </c>
      <c r="N1157" s="2227">
        <f t="shared" si="344"/>
        <v>59233051.520000003</v>
      </c>
      <c r="P1157" s="279"/>
    </row>
    <row r="1158" spans="1:16" x14ac:dyDescent="0.2">
      <c r="A1158" s="170"/>
      <c r="B1158" s="179"/>
      <c r="C1158" s="178"/>
      <c r="D1158" s="181"/>
      <c r="E1158" s="173"/>
      <c r="F1158" s="173"/>
      <c r="G1158" s="181"/>
      <c r="H1158" s="173"/>
      <c r="I1158" s="173"/>
      <c r="J1158" s="173"/>
      <c r="K1158" s="173"/>
      <c r="L1158" s="173"/>
      <c r="M1158" s="171"/>
      <c r="N1158" s="2229"/>
    </row>
    <row r="1159" spans="1:16" x14ac:dyDescent="0.2">
      <c r="A1159" s="2079" t="str">
        <f>co</f>
        <v>COLUMBIA GAS OF KENTUCKY, INC.</v>
      </c>
      <c r="B1159" s="2079"/>
      <c r="C1159" s="2079"/>
      <c r="D1159" s="2079"/>
      <c r="E1159" s="2079"/>
      <c r="F1159" s="2079"/>
      <c r="G1159" s="2079"/>
      <c r="H1159" s="2079"/>
      <c r="I1159" s="2079"/>
      <c r="J1159" s="2079"/>
      <c r="K1159" s="2079"/>
      <c r="L1159" s="2079"/>
      <c r="M1159" s="2079"/>
      <c r="N1159" s="2079"/>
    </row>
    <row r="1160" spans="1:16" x14ac:dyDescent="0.2">
      <c r="A1160" s="2079" t="str">
        <f>case</f>
        <v>CASE NO. 2016 - 00162</v>
      </c>
      <c r="B1160" s="2079"/>
      <c r="C1160" s="2079"/>
      <c r="D1160" s="2079"/>
      <c r="E1160" s="2079"/>
      <c r="F1160" s="2079"/>
      <c r="G1160" s="2079"/>
      <c r="H1160" s="2079"/>
      <c r="I1160" s="2079"/>
      <c r="J1160" s="2079"/>
      <c r="K1160" s="2079"/>
      <c r="L1160" s="2079"/>
      <c r="M1160" s="2079"/>
      <c r="N1160" s="2079"/>
    </row>
    <row r="1161" spans="1:16" x14ac:dyDescent="0.2">
      <c r="A1161" s="2080" t="s">
        <v>1106</v>
      </c>
      <c r="B1161" s="2079"/>
      <c r="C1161" s="2079"/>
      <c r="D1161" s="2079"/>
      <c r="E1161" s="2079"/>
      <c r="F1161" s="2079"/>
      <c r="G1161" s="2079"/>
      <c r="H1161" s="2079"/>
      <c r="I1161" s="2079"/>
      <c r="J1161" s="2079"/>
      <c r="K1161" s="2079"/>
      <c r="L1161" s="2079"/>
      <c r="M1161" s="2079"/>
      <c r="N1161" s="2079"/>
    </row>
    <row r="1162" spans="1:16" x14ac:dyDescent="0.2">
      <c r="A1162" s="2081" t="s">
        <v>2142</v>
      </c>
      <c r="B1162" s="2085"/>
      <c r="C1162" s="2085"/>
      <c r="D1162" s="2085"/>
      <c r="E1162" s="2085"/>
      <c r="F1162" s="2085"/>
      <c r="G1162" s="2085"/>
      <c r="H1162" s="2085"/>
      <c r="I1162" s="2085"/>
      <c r="J1162" s="2085"/>
      <c r="K1162" s="2085"/>
      <c r="L1162" s="2085"/>
      <c r="M1162" s="2085"/>
      <c r="N1162" s="2085"/>
    </row>
    <row r="1164" spans="1:16" x14ac:dyDescent="0.2">
      <c r="A1164" s="285" t="str">
        <f>$A$6</f>
        <v>DATA:__X___BASE PERIOD__X___FORECASTED PERIOD</v>
      </c>
      <c r="C1164" s="171"/>
      <c r="M1164" s="32"/>
      <c r="N1164" s="1258" t="str">
        <f>$N$6</f>
        <v>WPB-2.2</v>
      </c>
    </row>
    <row r="1165" spans="1:16" x14ac:dyDescent="0.2">
      <c r="A1165" s="4" t="str">
        <f>$A$7</f>
        <v>TYPE OF FILING:___X____ORIGINAL________UPDATED</v>
      </c>
      <c r="M1165" s="32"/>
      <c r="N1165" s="2223" t="s">
        <v>1735</v>
      </c>
    </row>
    <row r="1166" spans="1:16" x14ac:dyDescent="0.2">
      <c r="A1166" s="1261" t="str">
        <f>$A$8</f>
        <v xml:space="preserve">WORKPAPER REFERENCE NO(S).: </v>
      </c>
      <c r="B1166" s="202"/>
      <c r="C1166" s="202"/>
      <c r="D1166" s="201"/>
      <c r="E1166" s="202"/>
      <c r="F1166" s="202"/>
      <c r="G1166" s="201"/>
      <c r="H1166" s="201"/>
      <c r="M1166" s="203"/>
      <c r="N1166" s="204" t="str">
        <f>SMK</f>
        <v>WITNESS:  S. M. KATKO</v>
      </c>
    </row>
    <row r="1167" spans="1:16" x14ac:dyDescent="0.2">
      <c r="A1167" s="200"/>
      <c r="B1167" s="201"/>
      <c r="C1167" s="201"/>
      <c r="D1167" s="201"/>
      <c r="E1167" s="202"/>
      <c r="F1167" s="202"/>
      <c r="G1167" s="201"/>
      <c r="H1167" s="201"/>
      <c r="I1167" s="203"/>
      <c r="J1167" s="1357"/>
      <c r="L1167" s="32"/>
      <c r="M1167" s="32"/>
    </row>
    <row r="1168" spans="1:16" x14ac:dyDescent="0.2">
      <c r="A1168" s="200"/>
      <c r="B1168" s="201"/>
      <c r="C1168" s="201"/>
      <c r="D1168" s="2082" t="s">
        <v>1088</v>
      </c>
      <c r="E1168" s="2082"/>
      <c r="F1168" s="2082"/>
      <c r="G1168" s="2082"/>
      <c r="H1168" s="201"/>
      <c r="I1168" s="2083" t="s">
        <v>1093</v>
      </c>
      <c r="J1168" s="2084"/>
      <c r="K1168" s="2084"/>
      <c r="L1168" s="2084"/>
      <c r="M1168" s="2084"/>
      <c r="N1168" s="2084"/>
    </row>
    <row r="1169" spans="1:16" x14ac:dyDescent="0.2">
      <c r="A1169" s="270"/>
      <c r="B1169" s="201"/>
      <c r="C1169" s="201"/>
      <c r="D1169" s="271" t="s">
        <v>1084</v>
      </c>
      <c r="E1169" s="202"/>
      <c r="F1169" s="202"/>
      <c r="G1169" s="269"/>
      <c r="H1169" s="269"/>
      <c r="I1169" s="261" t="s">
        <v>1089</v>
      </c>
      <c r="J1169" s="1358"/>
      <c r="M1169" s="32"/>
    </row>
    <row r="1170" spans="1:16" x14ac:dyDescent="0.2">
      <c r="A1170" s="30"/>
      <c r="D1170" s="261" t="s">
        <v>865</v>
      </c>
      <c r="G1170" s="261" t="s">
        <v>867</v>
      </c>
      <c r="H1170" s="268"/>
      <c r="I1170" s="261" t="s">
        <v>865</v>
      </c>
      <c r="J1170" s="1308" t="s">
        <v>956</v>
      </c>
      <c r="M1170" s="32"/>
      <c r="N1170" s="2225" t="s">
        <v>867</v>
      </c>
    </row>
    <row r="1171" spans="1:16" x14ac:dyDescent="0.2">
      <c r="A1171" s="261" t="s">
        <v>1080</v>
      </c>
      <c r="B1171" s="261" t="s">
        <v>1082</v>
      </c>
      <c r="D1171" s="261" t="s">
        <v>867</v>
      </c>
      <c r="G1171" s="262" t="s">
        <v>1087</v>
      </c>
      <c r="H1171" s="268"/>
      <c r="I1171" s="262" t="s">
        <v>867</v>
      </c>
      <c r="J1171" s="1308" t="s">
        <v>1090</v>
      </c>
      <c r="K1171" s="1308" t="s">
        <v>956</v>
      </c>
      <c r="M1171" s="262" t="s">
        <v>1092</v>
      </c>
      <c r="N1171" s="1259" t="s">
        <v>1087</v>
      </c>
    </row>
    <row r="1172" spans="1:16" x14ac:dyDescent="0.2">
      <c r="A1172" s="272" t="s">
        <v>1081</v>
      </c>
      <c r="B1172" s="272" t="s">
        <v>1081</v>
      </c>
      <c r="C1172" s="273" t="s">
        <v>1083</v>
      </c>
      <c r="D1172" s="274" t="str">
        <f>D1119</f>
        <v>12/31/2016</v>
      </c>
      <c r="E1172" s="275" t="s">
        <v>1085</v>
      </c>
      <c r="F1172" s="275" t="s">
        <v>1086</v>
      </c>
      <c r="G1172" s="274" t="str">
        <f>G1119</f>
        <v>01/31/2017</v>
      </c>
      <c r="H1172" s="268"/>
      <c r="I1172" s="274" t="str">
        <f>D1172</f>
        <v>12/31/2016</v>
      </c>
      <c r="J1172" s="275" t="s">
        <v>1091</v>
      </c>
      <c r="K1172" s="1327" t="s">
        <v>1090</v>
      </c>
      <c r="L1172" s="276" t="s">
        <v>1086</v>
      </c>
      <c r="M1172" s="276" t="s">
        <v>955</v>
      </c>
      <c r="N1172" s="2226" t="str">
        <f>G1172</f>
        <v>01/31/2017</v>
      </c>
    </row>
    <row r="1173" spans="1:16" x14ac:dyDescent="0.2">
      <c r="A1173" s="267"/>
      <c r="B1173" s="267"/>
      <c r="C1173" s="267"/>
      <c r="D1173" s="267" t="str">
        <f>"(1)"</f>
        <v>(1)</v>
      </c>
      <c r="E1173" s="267" t="str">
        <f>"(2)"</f>
        <v>(2)</v>
      </c>
      <c r="F1173" s="267" t="str">
        <f>"(3)"</f>
        <v>(3)</v>
      </c>
      <c r="G1173" s="267" t="str">
        <f>"(4)=(1+2+3)"</f>
        <v>(4)=(1+2+3)</v>
      </c>
      <c r="H1173" s="267"/>
      <c r="I1173" s="267" t="str">
        <f>"(5)"</f>
        <v>(5)</v>
      </c>
      <c r="J1173" s="1328" t="str">
        <f>"(6)"</f>
        <v>(6)</v>
      </c>
      <c r="K1173" s="1328" t="str">
        <f>"(7)=((1+4)/2*6/12))"</f>
        <v>(7)=((1+4)/2*6/12))</v>
      </c>
      <c r="L1173" s="267" t="str">
        <f>"(8)"</f>
        <v>(8)</v>
      </c>
      <c r="M1173" s="267" t="str">
        <f>"(9)"</f>
        <v>(9)</v>
      </c>
      <c r="N1173" s="204" t="str">
        <f>"(10)=(5+7-8+9)"</f>
        <v>(10)=(5+7-8+9)</v>
      </c>
    </row>
    <row r="1174" spans="1:16" x14ac:dyDescent="0.2">
      <c r="D1174" s="31" t="s">
        <v>639</v>
      </c>
      <c r="E1174" s="170" t="s">
        <v>639</v>
      </c>
      <c r="F1174" s="170" t="s">
        <v>639</v>
      </c>
      <c r="G1174" s="31" t="s">
        <v>639</v>
      </c>
      <c r="H1174" s="31"/>
      <c r="I1174" s="31" t="s">
        <v>639</v>
      </c>
      <c r="J1174" s="170" t="s">
        <v>639</v>
      </c>
      <c r="K1174" s="170" t="s">
        <v>639</v>
      </c>
      <c r="L1174" s="31" t="s">
        <v>639</v>
      </c>
      <c r="M1174" s="31" t="s">
        <v>639</v>
      </c>
      <c r="N1174" s="155" t="s">
        <v>639</v>
      </c>
    </row>
    <row r="1175" spans="1:16" x14ac:dyDescent="0.2">
      <c r="C1175" s="36" t="s">
        <v>707</v>
      </c>
      <c r="D1175" s="31"/>
      <c r="E1175" s="170"/>
      <c r="F1175" s="170"/>
      <c r="G1175" s="31"/>
      <c r="J1175" s="170"/>
    </row>
    <row r="1176" spans="1:16" x14ac:dyDescent="0.2">
      <c r="A1176" s="127">
        <v>1</v>
      </c>
      <c r="B1176" s="123">
        <v>381</v>
      </c>
      <c r="C1176" s="52" t="s">
        <v>1052</v>
      </c>
      <c r="D1176" s="257">
        <f t="shared" ref="D1176:D1187" si="345">G1070</f>
        <v>13721908.550000001</v>
      </c>
      <c r="E1176" s="382">
        <f>ROUND('Plant input detail '!E1178*'WPB2.2 Plant detail-w slippage'!$P$2,0)</f>
        <v>23900</v>
      </c>
      <c r="F1176" s="257">
        <f>ROUND('Plant input detail '!F1178*'WPB2.2 Plant detail-w slippage'!$P$2,0)</f>
        <v>-2900</v>
      </c>
      <c r="G1176" s="257">
        <f>SUM(D1176:F1176)</f>
        <v>13742908.550000001</v>
      </c>
      <c r="H1176" s="38"/>
      <c r="I1176" s="257">
        <f t="shared" ref="I1176:I1187" si="346">N1070</f>
        <v>4930118.8899999997</v>
      </c>
      <c r="J1176" s="361">
        <v>3.3000000000000002E-2</v>
      </c>
      <c r="K1176" s="173">
        <f t="shared" ref="K1176:K1187" si="347">ROUND((G1176+D1176)/2*J1176/12,0)</f>
        <v>37764</v>
      </c>
      <c r="L1176" s="38">
        <f t="shared" ref="L1176:L1187" si="348">-F1176</f>
        <v>2900</v>
      </c>
      <c r="M1176" s="257">
        <f>ROUND('Plant input detail '!M1178*'WPB2.2 Plant detail-w slippage'!$P$2,0)</f>
        <v>0</v>
      </c>
      <c r="N1176" s="2227">
        <f t="shared" ref="N1176:N1187" si="349">I1176+K1176-L1176+M1176</f>
        <v>4964982.8899999997</v>
      </c>
      <c r="P1176" s="279"/>
    </row>
    <row r="1177" spans="1:16" x14ac:dyDescent="0.2">
      <c r="A1177" s="127">
        <f>A1176+1</f>
        <v>2</v>
      </c>
      <c r="B1177" s="123">
        <v>381.1</v>
      </c>
      <c r="C1177" s="52" t="s">
        <v>1115</v>
      </c>
      <c r="D1177" s="257">
        <f t="shared" si="345"/>
        <v>8776012.0600000005</v>
      </c>
      <c r="E1177" s="382">
        <f>ROUND('Plant input detail '!E1179*'WPB2.2 Plant detail-w slippage'!$P$2,0)</f>
        <v>26500</v>
      </c>
      <c r="F1177" s="257">
        <f>ROUND('Plant input detail '!F1179*'WPB2.2 Plant detail-w slippage'!$P$2,0)</f>
        <v>-3200</v>
      </c>
      <c r="G1177" s="257">
        <f>SUM(D1177:F1177)</f>
        <v>8799312.0600000005</v>
      </c>
      <c r="H1177" s="38"/>
      <c r="I1177" s="257">
        <f t="shared" si="346"/>
        <v>552677.5</v>
      </c>
      <c r="J1177" s="361">
        <v>8.0600000000000005E-2</v>
      </c>
      <c r="K1177" s="173">
        <f t="shared" si="347"/>
        <v>59024</v>
      </c>
      <c r="L1177" s="38">
        <f t="shared" si="348"/>
        <v>3200</v>
      </c>
      <c r="M1177" s="257">
        <f>ROUND('Plant input detail '!M1179*'WPB2.2 Plant detail-w slippage'!$P$2,0)</f>
        <v>0</v>
      </c>
      <c r="N1177" s="2227">
        <f t="shared" si="349"/>
        <v>608501.5</v>
      </c>
      <c r="P1177" s="279"/>
    </row>
    <row r="1178" spans="1:16" x14ac:dyDescent="0.2">
      <c r="A1178" s="127">
        <f t="shared" ref="A1178:A1188" si="350">A1177+1</f>
        <v>3</v>
      </c>
      <c r="B1178" s="123">
        <v>382</v>
      </c>
      <c r="C1178" s="52" t="s">
        <v>1053</v>
      </c>
      <c r="D1178" s="257">
        <f t="shared" si="345"/>
        <v>9287592.6500000004</v>
      </c>
      <c r="E1178" s="382">
        <f>ROUND('Plant input detail '!E1180*'WPB2.2 Plant detail-w slippage'!$P$2,0)</f>
        <v>16600</v>
      </c>
      <c r="F1178" s="257">
        <f>ROUND('Plant input detail '!F1180*'WPB2.2 Plant detail-w slippage'!$P$2,0)</f>
        <v>-2000</v>
      </c>
      <c r="G1178" s="257">
        <f t="shared" ref="G1178:G1183" si="351">SUM(D1178:F1178)</f>
        <v>9302192.6500000004</v>
      </c>
      <c r="H1178" s="38"/>
      <c r="I1178" s="257">
        <f t="shared" si="346"/>
        <v>4624082.3</v>
      </c>
      <c r="J1178" s="361">
        <v>2.4400000000000002E-2</v>
      </c>
      <c r="K1178" s="173">
        <f t="shared" si="347"/>
        <v>18900</v>
      </c>
      <c r="L1178" s="38">
        <f t="shared" si="348"/>
        <v>2000</v>
      </c>
      <c r="M1178" s="257">
        <f>ROUND('Plant input detail '!M1180*'WPB2.2 Plant detail-w slippage'!$P$2,0)</f>
        <v>-100</v>
      </c>
      <c r="N1178" s="2227">
        <f t="shared" si="349"/>
        <v>4640882.3</v>
      </c>
      <c r="P1178" s="279"/>
    </row>
    <row r="1179" spans="1:16" x14ac:dyDescent="0.2">
      <c r="A1179" s="127">
        <f t="shared" si="350"/>
        <v>4</v>
      </c>
      <c r="B1179" s="123">
        <v>383</v>
      </c>
      <c r="C1179" s="52" t="s">
        <v>1054</v>
      </c>
      <c r="D1179" s="257">
        <f t="shared" si="345"/>
        <v>5666420.7599999998</v>
      </c>
      <c r="E1179" s="382">
        <f>ROUND('Plant input detail '!E1181*'WPB2.2 Plant detail-w slippage'!$P$2,0)</f>
        <v>9500</v>
      </c>
      <c r="F1179" s="257">
        <f>ROUND('Plant input detail '!F1181*'WPB2.2 Plant detail-w slippage'!$P$2,0)</f>
        <v>-1100</v>
      </c>
      <c r="G1179" s="257">
        <f t="shared" si="351"/>
        <v>5674820.7599999998</v>
      </c>
      <c r="H1179" s="38"/>
      <c r="I1179" s="257">
        <f t="shared" si="346"/>
        <v>1505022.41</v>
      </c>
      <c r="J1179" s="361">
        <v>2.7300000000000001E-2</v>
      </c>
      <c r="K1179" s="173">
        <f t="shared" si="347"/>
        <v>12901</v>
      </c>
      <c r="L1179" s="38">
        <f t="shared" si="348"/>
        <v>1100</v>
      </c>
      <c r="M1179" s="257">
        <f>ROUND('Plant input detail '!M1181*'WPB2.2 Plant detail-w slippage'!$P$2,0)</f>
        <v>-100</v>
      </c>
      <c r="N1179" s="2227">
        <f t="shared" si="349"/>
        <v>1516723.41</v>
      </c>
      <c r="P1179" s="279"/>
    </row>
    <row r="1180" spans="1:16" x14ac:dyDescent="0.2">
      <c r="A1180" s="127">
        <f t="shared" si="350"/>
        <v>5</v>
      </c>
      <c r="B1180" s="123">
        <v>384</v>
      </c>
      <c r="C1180" s="52" t="s">
        <v>1055</v>
      </c>
      <c r="D1180" s="257">
        <f t="shared" si="345"/>
        <v>2257522</v>
      </c>
      <c r="E1180" s="382">
        <f>ROUND('Plant input detail '!E1182*'WPB2.2 Plant detail-w slippage'!$P$2,0)</f>
        <v>0</v>
      </c>
      <c r="F1180" s="257">
        <f>ROUND('Plant input detail '!F1182*'WPB2.2 Plant detail-w slippage'!$P$2,0)</f>
        <v>0</v>
      </c>
      <c r="G1180" s="257">
        <f t="shared" si="351"/>
        <v>2257522</v>
      </c>
      <c r="H1180" s="38"/>
      <c r="I1180" s="257">
        <f t="shared" si="346"/>
        <v>1769328.73</v>
      </c>
      <c r="J1180" s="361">
        <v>1.01E-2</v>
      </c>
      <c r="K1180" s="173">
        <f t="shared" si="347"/>
        <v>1900</v>
      </c>
      <c r="L1180" s="38">
        <f t="shared" si="348"/>
        <v>0</v>
      </c>
      <c r="M1180" s="257">
        <f>ROUND('Plant input detail '!M1182*'WPB2.2 Plant detail-w slippage'!$P$2,0)</f>
        <v>0</v>
      </c>
      <c r="N1180" s="2227">
        <f t="shared" si="349"/>
        <v>1771228.73</v>
      </c>
      <c r="P1180" s="279"/>
    </row>
    <row r="1181" spans="1:16" x14ac:dyDescent="0.2">
      <c r="A1181" s="127">
        <f t="shared" si="350"/>
        <v>6</v>
      </c>
      <c r="B1181" s="123">
        <v>385</v>
      </c>
      <c r="C1181" s="52" t="s">
        <v>1056</v>
      </c>
      <c r="D1181" s="257">
        <f t="shared" si="345"/>
        <v>3252183.36</v>
      </c>
      <c r="E1181" s="382">
        <f>ROUND('Plant input detail '!E1183*'WPB2.2 Plant detail-w slippage'!$P$2,0)</f>
        <v>11900</v>
      </c>
      <c r="F1181" s="257">
        <f>ROUND('Plant input detail '!F1183*'WPB2.2 Plant detail-w slippage'!$P$2,0)</f>
        <v>-1400</v>
      </c>
      <c r="G1181" s="257">
        <f t="shared" si="351"/>
        <v>3262683.36</v>
      </c>
      <c r="H1181" s="38"/>
      <c r="I1181" s="257">
        <f t="shared" si="346"/>
        <v>890204.55</v>
      </c>
      <c r="J1181" s="361">
        <v>5.0799999999999998E-2</v>
      </c>
      <c r="K1181" s="173">
        <f t="shared" si="347"/>
        <v>13790</v>
      </c>
      <c r="L1181" s="38">
        <f t="shared" si="348"/>
        <v>1400</v>
      </c>
      <c r="M1181" s="257">
        <f>ROUND('Plant input detail '!M1183*'WPB2.2 Plant detail-w slippage'!$P$2,0)</f>
        <v>-100</v>
      </c>
      <c r="N1181" s="2227">
        <f t="shared" si="349"/>
        <v>902494.55</v>
      </c>
      <c r="P1181" s="279"/>
    </row>
    <row r="1182" spans="1:16" x14ac:dyDescent="0.2">
      <c r="A1182" s="127">
        <f t="shared" si="350"/>
        <v>7</v>
      </c>
      <c r="B1182" s="123">
        <v>387.2</v>
      </c>
      <c r="C1182" s="52" t="s">
        <v>1057</v>
      </c>
      <c r="D1182" s="257">
        <f t="shared" si="345"/>
        <v>0</v>
      </c>
      <c r="E1182" s="382">
        <f>ROUND('Plant input detail '!E1184*'WPB2.2 Plant detail-w slippage'!$P$2,0)</f>
        <v>0</v>
      </c>
      <c r="F1182" s="257">
        <f>ROUND('Plant input detail '!F1184*'WPB2.2 Plant detail-w slippage'!$P$2,0)</f>
        <v>0</v>
      </c>
      <c r="G1182" s="257">
        <f t="shared" si="351"/>
        <v>0</v>
      </c>
      <c r="H1182" s="38"/>
      <c r="I1182" s="257">
        <f t="shared" si="346"/>
        <v>-59912.03</v>
      </c>
      <c r="J1182" s="361">
        <v>0</v>
      </c>
      <c r="K1182" s="173">
        <f t="shared" si="347"/>
        <v>0</v>
      </c>
      <c r="L1182" s="38">
        <f t="shared" si="348"/>
        <v>0</v>
      </c>
      <c r="M1182" s="257">
        <f>ROUND('Plant input detail '!M1184*'WPB2.2 Plant detail-w slippage'!$P$2,0)</f>
        <v>0</v>
      </c>
      <c r="N1182" s="2227">
        <f t="shared" si="349"/>
        <v>-59912.03</v>
      </c>
      <c r="P1182" s="279"/>
    </row>
    <row r="1183" spans="1:16" x14ac:dyDescent="0.2">
      <c r="A1183" s="127">
        <f t="shared" si="350"/>
        <v>8</v>
      </c>
      <c r="B1183" s="123">
        <v>387.41</v>
      </c>
      <c r="C1183" s="52" t="s">
        <v>1058</v>
      </c>
      <c r="D1183" s="257">
        <f t="shared" si="345"/>
        <v>735770.76</v>
      </c>
      <c r="E1183" s="382">
        <f>ROUND('Plant input detail '!E1185*'WPB2.2 Plant detail-w slippage'!$P$2,0)</f>
        <v>0</v>
      </c>
      <c r="F1183" s="257">
        <f>ROUND('Plant input detail '!F1185*'WPB2.2 Plant detail-w slippage'!$P$2,0)</f>
        <v>0</v>
      </c>
      <c r="G1183" s="257">
        <f t="shared" si="351"/>
        <v>735770.76</v>
      </c>
      <c r="H1183" s="38"/>
      <c r="I1183" s="257">
        <f t="shared" si="346"/>
        <v>386057.95</v>
      </c>
      <c r="J1183" s="361">
        <v>3.7400000000000003E-2</v>
      </c>
      <c r="K1183" s="173">
        <f t="shared" si="347"/>
        <v>2293</v>
      </c>
      <c r="L1183" s="38">
        <f t="shared" si="348"/>
        <v>0</v>
      </c>
      <c r="M1183" s="257">
        <f>ROUND('Plant input detail '!M1185*'WPB2.2 Plant detail-w slippage'!$P$2,0)</f>
        <v>0</v>
      </c>
      <c r="N1183" s="2227">
        <f t="shared" si="349"/>
        <v>388350.95</v>
      </c>
      <c r="P1183" s="279"/>
    </row>
    <row r="1184" spans="1:16" x14ac:dyDescent="0.2">
      <c r="A1184" s="127">
        <f t="shared" si="350"/>
        <v>9</v>
      </c>
      <c r="B1184" s="123">
        <v>387.42</v>
      </c>
      <c r="C1184" s="52" t="s">
        <v>1059</v>
      </c>
      <c r="D1184" s="257">
        <f t="shared" si="345"/>
        <v>795186.58</v>
      </c>
      <c r="E1184" s="382">
        <f>ROUND('Plant input detail '!E1186*'WPB2.2 Plant detail-w slippage'!$P$2,0)</f>
        <v>0</v>
      </c>
      <c r="F1184" s="257">
        <f>ROUND('Plant input detail '!F1186*'WPB2.2 Plant detail-w slippage'!$P$2,0)</f>
        <v>0</v>
      </c>
      <c r="G1184" s="257">
        <f>SUM(D1184:F1184)</f>
        <v>795186.58</v>
      </c>
      <c r="H1184" s="38"/>
      <c r="I1184" s="257">
        <f t="shared" si="346"/>
        <v>552545.94999999995</v>
      </c>
      <c r="J1184" s="361">
        <v>3.7400000000000003E-2</v>
      </c>
      <c r="K1184" s="173">
        <f t="shared" si="347"/>
        <v>2478</v>
      </c>
      <c r="L1184" s="38">
        <f t="shared" si="348"/>
        <v>0</v>
      </c>
      <c r="M1184" s="257">
        <f>ROUND('Plant input detail '!M1186*'WPB2.2 Plant detail-w slippage'!$P$2,0)</f>
        <v>0</v>
      </c>
      <c r="N1184" s="2227">
        <f t="shared" si="349"/>
        <v>555023.94999999995</v>
      </c>
      <c r="P1184" s="279"/>
    </row>
    <row r="1185" spans="1:16" x14ac:dyDescent="0.2">
      <c r="A1185" s="127">
        <f t="shared" si="350"/>
        <v>10</v>
      </c>
      <c r="B1185" s="123">
        <v>387.44</v>
      </c>
      <c r="C1185" s="52" t="s">
        <v>1060</v>
      </c>
      <c r="D1185" s="257">
        <f t="shared" si="345"/>
        <v>143283.93</v>
      </c>
      <c r="E1185" s="382">
        <f>ROUND('Plant input detail '!E1187*'WPB2.2 Plant detail-w slippage'!$P$2,0)</f>
        <v>0</v>
      </c>
      <c r="F1185" s="257">
        <f>ROUND('Plant input detail '!F1187*'WPB2.2 Plant detail-w slippage'!$P$2,0)</f>
        <v>0</v>
      </c>
      <c r="G1185" s="257">
        <f>SUM(D1185:F1185)</f>
        <v>143283.93</v>
      </c>
      <c r="H1185" s="38"/>
      <c r="I1185" s="257">
        <f t="shared" si="346"/>
        <v>46948.55</v>
      </c>
      <c r="J1185" s="361">
        <v>3.7400000000000003E-2</v>
      </c>
      <c r="K1185" s="173">
        <f t="shared" si="347"/>
        <v>447</v>
      </c>
      <c r="L1185" s="38">
        <f t="shared" si="348"/>
        <v>0</v>
      </c>
      <c r="M1185" s="257">
        <f>ROUND('Plant input detail '!M1187*'WPB2.2 Plant detail-w slippage'!$P$2,0)</f>
        <v>0</v>
      </c>
      <c r="N1185" s="2227">
        <f t="shared" si="349"/>
        <v>47395.55</v>
      </c>
      <c r="P1185" s="279"/>
    </row>
    <row r="1186" spans="1:16" x14ac:dyDescent="0.2">
      <c r="A1186" s="127">
        <f t="shared" si="350"/>
        <v>11</v>
      </c>
      <c r="B1186" s="123">
        <v>387.45</v>
      </c>
      <c r="C1186" s="52" t="s">
        <v>1061</v>
      </c>
      <c r="D1186" s="257">
        <f t="shared" si="345"/>
        <v>3265504.66</v>
      </c>
      <c r="E1186" s="382">
        <f>ROUND('Plant input detail '!E1188*'WPB2.2 Plant detail-w slippage'!$P$2,0)</f>
        <v>-20000</v>
      </c>
      <c r="F1186" s="257">
        <f>ROUND('Plant input detail '!F1188*'WPB2.2 Plant detail-w slippage'!$P$2,0)</f>
        <v>2400</v>
      </c>
      <c r="G1186" s="257">
        <f>SUM(D1186:F1186)</f>
        <v>3247904.66</v>
      </c>
      <c r="H1186" s="38"/>
      <c r="I1186" s="257">
        <f t="shared" si="346"/>
        <v>533003.06000000006</v>
      </c>
      <c r="J1186" s="361">
        <v>3.7400000000000003E-2</v>
      </c>
      <c r="K1186" s="173">
        <f t="shared" si="347"/>
        <v>10150</v>
      </c>
      <c r="L1186" s="38">
        <f t="shared" si="348"/>
        <v>-2400</v>
      </c>
      <c r="M1186" s="257">
        <f>ROUND('Plant input detail '!M1188*'WPB2.2 Plant detail-w slippage'!$P$2,0)</f>
        <v>0</v>
      </c>
      <c r="N1186" s="2227">
        <f t="shared" si="349"/>
        <v>545553.06000000006</v>
      </c>
      <c r="P1186" s="279"/>
    </row>
    <row r="1187" spans="1:16" x14ac:dyDescent="0.2">
      <c r="A1187" s="127">
        <f t="shared" si="350"/>
        <v>12</v>
      </c>
      <c r="B1187" s="123">
        <v>387.46</v>
      </c>
      <c r="C1187" s="52" t="s">
        <v>1062</v>
      </c>
      <c r="D1187" s="260">
        <f t="shared" si="345"/>
        <v>113644.47</v>
      </c>
      <c r="E1187" s="265">
        <f>ROUND('Plant input detail '!E1189*'WPB2.2 Plant detail-w slippage'!$P$2,0)</f>
        <v>0</v>
      </c>
      <c r="F1187" s="265">
        <f>ROUND('Plant input detail '!F1189*'WPB2.2 Plant detail-w slippage'!$P$2,0)</f>
        <v>0</v>
      </c>
      <c r="G1187" s="265">
        <f>SUM(D1187:F1187)</f>
        <v>113644.47</v>
      </c>
      <c r="H1187" s="264"/>
      <c r="I1187" s="260">
        <f t="shared" si="346"/>
        <v>112232.83</v>
      </c>
      <c r="J1187" s="361">
        <v>3.7400000000000003E-2</v>
      </c>
      <c r="K1187" s="260">
        <f t="shared" si="347"/>
        <v>354</v>
      </c>
      <c r="L1187" s="295">
        <f t="shared" si="348"/>
        <v>0</v>
      </c>
      <c r="M1187" s="265">
        <f>ROUND('Plant input detail '!M1189*'WPB2.2 Plant detail-w slippage'!$P$2,0)</f>
        <v>0</v>
      </c>
      <c r="N1187" s="2228">
        <f t="shared" si="349"/>
        <v>112586.83</v>
      </c>
      <c r="P1187" s="279"/>
    </row>
    <row r="1188" spans="1:16" x14ac:dyDescent="0.2">
      <c r="A1188" s="127">
        <f t="shared" si="350"/>
        <v>13</v>
      </c>
      <c r="B1188" s="252"/>
      <c r="C1188" s="32" t="s">
        <v>1063</v>
      </c>
      <c r="D1188" s="173">
        <f>SUM(D1176:D1187,D1136:D1157)</f>
        <v>409914794.37999994</v>
      </c>
      <c r="E1188" s="173">
        <f>SUM(E1176:E1187,E1136:E1157)</f>
        <v>1151266</v>
      </c>
      <c r="F1188" s="173">
        <f>SUM(F1176:F1187,F1136:F1157)</f>
        <v>-138100</v>
      </c>
      <c r="G1188" s="173">
        <f>SUM(G1176:G1187,G1136:G1157)</f>
        <v>410927960.37999994</v>
      </c>
      <c r="H1188" s="38"/>
      <c r="I1188" s="173">
        <f>SUM(I1176:I1187,I1136:I1157)</f>
        <v>141213889.27473685</v>
      </c>
      <c r="J1188" s="173"/>
      <c r="K1188" s="173">
        <f>SUM(K1176:K1187,K1136:K1157)</f>
        <v>1148825.0494736843</v>
      </c>
      <c r="L1188" s="173">
        <f>SUM(L1176:L1187,L1136:L1157)</f>
        <v>138100</v>
      </c>
      <c r="M1188" s="173">
        <f>SUM(M1176:M1187,M1136:M1157)</f>
        <v>-37300</v>
      </c>
      <c r="N1188" s="1361">
        <f>SUM(N1176:N1187,N1136:N1157)</f>
        <v>142187314.32421052</v>
      </c>
      <c r="P1188" s="279"/>
    </row>
    <row r="1189" spans="1:16" x14ac:dyDescent="0.2">
      <c r="B1189" s="252"/>
      <c r="D1189" s="38"/>
      <c r="E1189" s="173"/>
      <c r="F1189" s="173"/>
      <c r="G1189" s="38"/>
      <c r="H1189" s="38"/>
      <c r="I1189" s="181"/>
      <c r="J1189" s="173"/>
      <c r="K1189" s="173"/>
      <c r="L1189" s="38"/>
      <c r="M1189" s="173"/>
      <c r="P1189" s="279"/>
    </row>
    <row r="1190" spans="1:16" x14ac:dyDescent="0.2">
      <c r="A1190" s="127">
        <f>A1188+1</f>
        <v>14</v>
      </c>
      <c r="B1190" s="252"/>
      <c r="C1190" s="36" t="s">
        <v>737</v>
      </c>
      <c r="D1190" s="38"/>
      <c r="E1190" s="173"/>
      <c r="F1190" s="173"/>
      <c r="G1190" s="38"/>
      <c r="H1190" s="38"/>
      <c r="I1190" s="181"/>
      <c r="J1190" s="173"/>
      <c r="K1190" s="173"/>
      <c r="L1190" s="38"/>
      <c r="M1190" s="173"/>
      <c r="P1190" s="279"/>
    </row>
    <row r="1191" spans="1:16" x14ac:dyDescent="0.2">
      <c r="A1191" s="31">
        <f>A1190+1</f>
        <v>15</v>
      </c>
      <c r="B1191" s="123">
        <v>391.1</v>
      </c>
      <c r="C1191" s="52" t="s">
        <v>1064</v>
      </c>
      <c r="D1191" s="257">
        <f t="shared" ref="D1191:D1204" si="352">G1085</f>
        <v>713480.71</v>
      </c>
      <c r="E1191" s="382">
        <f>ROUND('Plant input detail '!E1193*'WPB2.2 Plant detail-w slippage'!$P$2,0)</f>
        <v>0</v>
      </c>
      <c r="F1191" s="257">
        <f>ROUND('Plant input detail '!F1193*'WPB2.2 Plant detail-w slippage'!$P$2,0)</f>
        <v>0</v>
      </c>
      <c r="G1191" s="257">
        <f t="shared" ref="G1191:G1204" si="353">SUM(D1191:F1191)</f>
        <v>713480.71</v>
      </c>
      <c r="H1191" s="38"/>
      <c r="I1191" s="257">
        <f t="shared" ref="I1191:I1204" si="354">N1085</f>
        <v>-50576.22</v>
      </c>
      <c r="J1191" s="361">
        <v>0.05</v>
      </c>
      <c r="K1191" s="173">
        <f>ROUND((G1191+D1191)/2*J1191/12,0)</f>
        <v>2973</v>
      </c>
      <c r="L1191" s="38">
        <f t="shared" ref="L1191:L1204" si="355">-F1191</f>
        <v>0</v>
      </c>
      <c r="M1191" s="257">
        <f>ROUND('Plant input detail '!M1193*'WPB2.2 Plant detail-w slippage'!$P$2,0)</f>
        <v>0</v>
      </c>
      <c r="N1191" s="2227">
        <f t="shared" ref="N1191:N1204" si="356">I1191+K1191-L1191+M1191</f>
        <v>-47603.22</v>
      </c>
      <c r="P1191" s="279"/>
    </row>
    <row r="1192" spans="1:16" x14ac:dyDescent="0.2">
      <c r="A1192" s="31">
        <f t="shared" ref="A1192:A1205" si="357">A1191+1</f>
        <v>16</v>
      </c>
      <c r="B1192" s="123">
        <v>391.11</v>
      </c>
      <c r="C1192" s="52" t="s">
        <v>1065</v>
      </c>
      <c r="D1192" s="257">
        <f t="shared" si="352"/>
        <v>18815.57</v>
      </c>
      <c r="E1192" s="382">
        <f>ROUND('Plant input detail '!E1194*'WPB2.2 Plant detail-w slippage'!$P$2,0)</f>
        <v>0</v>
      </c>
      <c r="F1192" s="257">
        <f>ROUND('Plant input detail '!F1194*'WPB2.2 Plant detail-w slippage'!$P$2,0)</f>
        <v>0</v>
      </c>
      <c r="G1192" s="257">
        <f t="shared" si="353"/>
        <v>18815.57</v>
      </c>
      <c r="H1192" s="38"/>
      <c r="I1192" s="257">
        <f t="shared" si="354"/>
        <v>-11984.77</v>
      </c>
      <c r="J1192" s="361">
        <v>6.6699999999999995E-2</v>
      </c>
      <c r="K1192" s="173">
        <f>ROUND((G1192+D1192)/2*J1192/12,0)</f>
        <v>105</v>
      </c>
      <c r="L1192" s="38">
        <f t="shared" si="355"/>
        <v>0</v>
      </c>
      <c r="M1192" s="257">
        <f>ROUND('Plant input detail '!M1194*'WPB2.2 Plant detail-w slippage'!$P$2,0)</f>
        <v>0</v>
      </c>
      <c r="N1192" s="2227">
        <f t="shared" si="356"/>
        <v>-11879.77</v>
      </c>
      <c r="P1192" s="279"/>
    </row>
    <row r="1193" spans="1:16" x14ac:dyDescent="0.2">
      <c r="A1193" s="31">
        <f t="shared" si="357"/>
        <v>17</v>
      </c>
      <c r="B1193" s="123">
        <v>391.12</v>
      </c>
      <c r="C1193" s="52" t="s">
        <v>1066</v>
      </c>
      <c r="D1193" s="257">
        <f t="shared" si="352"/>
        <v>853483.41</v>
      </c>
      <c r="E1193" s="382">
        <f>ROUND('Plant input detail '!E1195*'WPB2.2 Plant detail-w slippage'!$P$2,0)</f>
        <v>0</v>
      </c>
      <c r="F1193" s="257">
        <f>ROUND('Plant input detail '!F1195*'WPB2.2 Plant detail-w slippage'!$P$2,0)</f>
        <v>0</v>
      </c>
      <c r="G1193" s="257">
        <f t="shared" si="353"/>
        <v>853483.41</v>
      </c>
      <c r="H1193" s="38"/>
      <c r="I1193" s="257">
        <f t="shared" si="354"/>
        <v>689585.37</v>
      </c>
      <c r="J1193" s="361">
        <v>0.2</v>
      </c>
      <c r="K1193" s="173">
        <f>ROUND((G1193+D1193)/2*J1193/12,0)</f>
        <v>14225</v>
      </c>
      <c r="L1193" s="38">
        <f t="shared" si="355"/>
        <v>0</v>
      </c>
      <c r="M1193" s="257">
        <f>ROUND('Plant input detail '!M1195*'WPB2.2 Plant detail-w slippage'!$P$2,0)</f>
        <v>0</v>
      </c>
      <c r="N1193" s="2227">
        <f t="shared" si="356"/>
        <v>703810.37</v>
      </c>
      <c r="P1193" s="279"/>
    </row>
    <row r="1194" spans="1:16" x14ac:dyDescent="0.2">
      <c r="A1194" s="31">
        <f t="shared" si="357"/>
        <v>18</v>
      </c>
      <c r="B1194" s="123">
        <v>392.2</v>
      </c>
      <c r="C1194" s="52" t="s">
        <v>1067</v>
      </c>
      <c r="D1194" s="257">
        <f t="shared" si="352"/>
        <v>95778</v>
      </c>
      <c r="E1194" s="382">
        <f>ROUND('Plant input detail '!E1196*'WPB2.2 Plant detail-w slippage'!$P$2,0)</f>
        <v>0</v>
      </c>
      <c r="F1194" s="257">
        <f>ROUND('Plant input detail '!F1196*'WPB2.2 Plant detail-w slippage'!$P$2,0)</f>
        <v>0</v>
      </c>
      <c r="G1194" s="257">
        <f t="shared" si="353"/>
        <v>95778</v>
      </c>
      <c r="H1194" s="38"/>
      <c r="I1194" s="257">
        <f t="shared" si="354"/>
        <v>22655.05</v>
      </c>
      <c r="J1194" s="361">
        <v>9.1499999999999998E-2</v>
      </c>
      <c r="K1194" s="173">
        <f>ROUND((G1194+D1194)/2*J1194/12,0)</f>
        <v>730</v>
      </c>
      <c r="L1194" s="38">
        <f t="shared" si="355"/>
        <v>0</v>
      </c>
      <c r="M1194" s="257">
        <f>ROUND('Plant input detail '!M1196*'WPB2.2 Plant detail-w slippage'!$P$2,0)</f>
        <v>0</v>
      </c>
      <c r="N1194" s="2227">
        <f t="shared" si="356"/>
        <v>23385.05</v>
      </c>
      <c r="P1194" s="279"/>
    </row>
    <row r="1195" spans="1:16" x14ac:dyDescent="0.2">
      <c r="A1195" s="31">
        <f t="shared" si="357"/>
        <v>19</v>
      </c>
      <c r="B1195" s="123">
        <v>392.21</v>
      </c>
      <c r="C1195" s="52" t="s">
        <v>1068</v>
      </c>
      <c r="D1195" s="257">
        <f t="shared" si="352"/>
        <v>24462.2</v>
      </c>
      <c r="E1195" s="382">
        <f>ROUND('Plant input detail '!E1197*'WPB2.2 Plant detail-w slippage'!$P$2,0)</f>
        <v>0</v>
      </c>
      <c r="F1195" s="257">
        <f>ROUND('Plant input detail '!F1197*'WPB2.2 Plant detail-w slippage'!$P$2,0)</f>
        <v>0</v>
      </c>
      <c r="G1195" s="257">
        <f t="shared" si="353"/>
        <v>24462.2</v>
      </c>
      <c r="H1195" s="38"/>
      <c r="I1195" s="257">
        <f t="shared" si="354"/>
        <v>5187.3999999999996</v>
      </c>
      <c r="J1195" s="361">
        <v>9.1499999999999998E-2</v>
      </c>
      <c r="K1195" s="173">
        <f>ROUND((G1195+D1195)/2*J1195/12,0)</f>
        <v>187</v>
      </c>
      <c r="L1195" s="38">
        <f t="shared" si="355"/>
        <v>0</v>
      </c>
      <c r="M1195" s="257">
        <f>ROUND('Plant input detail '!M1197*'WPB2.2 Plant detail-w slippage'!$P$2,0)</f>
        <v>0</v>
      </c>
      <c r="N1195" s="2227">
        <f t="shared" si="356"/>
        <v>5374.4</v>
      </c>
      <c r="P1195" s="279"/>
    </row>
    <row r="1196" spans="1:16" x14ac:dyDescent="0.2">
      <c r="A1196" s="31">
        <f t="shared" si="357"/>
        <v>20</v>
      </c>
      <c r="B1196" s="123">
        <v>393</v>
      </c>
      <c r="C1196" s="52" t="s">
        <v>1069</v>
      </c>
      <c r="D1196" s="257">
        <f t="shared" si="352"/>
        <v>0</v>
      </c>
      <c r="E1196" s="382">
        <f>ROUND('Plant input detail '!E1198*'WPB2.2 Plant detail-w slippage'!$P$2,0)</f>
        <v>0</v>
      </c>
      <c r="F1196" s="257">
        <f>ROUND('Plant input detail '!F1198*'WPB2.2 Plant detail-w slippage'!$P$2,0)</f>
        <v>0</v>
      </c>
      <c r="G1196" s="257">
        <f t="shared" si="353"/>
        <v>0</v>
      </c>
      <c r="H1196" s="38"/>
      <c r="I1196" s="257">
        <f t="shared" si="354"/>
        <v>0</v>
      </c>
      <c r="J1196" s="296" t="s">
        <v>1094</v>
      </c>
      <c r="K1196" s="259">
        <v>0</v>
      </c>
      <c r="L1196" s="38">
        <f t="shared" si="355"/>
        <v>0</v>
      </c>
      <c r="M1196" s="257">
        <f>ROUND('Plant input detail '!M1198*'WPB2.2 Plant detail-w slippage'!$P$2,0)</f>
        <v>0</v>
      </c>
      <c r="N1196" s="2227">
        <f t="shared" si="356"/>
        <v>0</v>
      </c>
      <c r="P1196" s="279"/>
    </row>
    <row r="1197" spans="1:16" x14ac:dyDescent="0.2">
      <c r="A1197" s="31">
        <f t="shared" si="357"/>
        <v>21</v>
      </c>
      <c r="B1197" s="123">
        <v>394.1</v>
      </c>
      <c r="C1197" s="52" t="s">
        <v>1070</v>
      </c>
      <c r="D1197" s="257">
        <f t="shared" si="352"/>
        <v>24240.799999999999</v>
      </c>
      <c r="E1197" s="382">
        <f>ROUND('Plant input detail '!E1199*'WPB2.2 Plant detail-w slippage'!$P$2,0)</f>
        <v>0</v>
      </c>
      <c r="F1197" s="257">
        <f>ROUND('Plant input detail '!F1199*'WPB2.2 Plant detail-w slippage'!$P$2,0)</f>
        <v>0</v>
      </c>
      <c r="G1197" s="257">
        <f t="shared" si="353"/>
        <v>24240.799999999999</v>
      </c>
      <c r="H1197" s="38"/>
      <c r="I1197" s="257">
        <f t="shared" si="354"/>
        <v>14608.82</v>
      </c>
      <c r="J1197" s="361">
        <v>0.04</v>
      </c>
      <c r="K1197" s="173">
        <f>ROUND((G1197+D1197)/2*J1197/12,0)</f>
        <v>81</v>
      </c>
      <c r="L1197" s="38">
        <f t="shared" si="355"/>
        <v>0</v>
      </c>
      <c r="M1197" s="257">
        <f>ROUND('Plant input detail '!M1199*'WPB2.2 Plant detail-w slippage'!$P$2,0)</f>
        <v>0</v>
      </c>
      <c r="N1197" s="2227">
        <f t="shared" si="356"/>
        <v>14689.82</v>
      </c>
      <c r="P1197" s="279"/>
    </row>
    <row r="1198" spans="1:16" x14ac:dyDescent="0.2">
      <c r="A1198" s="31">
        <f t="shared" si="357"/>
        <v>22</v>
      </c>
      <c r="B1198" s="123">
        <v>394.11</v>
      </c>
      <c r="C1198" s="52" t="s">
        <v>1071</v>
      </c>
      <c r="D1198" s="257">
        <f t="shared" si="352"/>
        <v>0</v>
      </c>
      <c r="E1198" s="382">
        <f>ROUND('Plant input detail '!E1200*'WPB2.2 Plant detail-w slippage'!$P$2,0)</f>
        <v>0</v>
      </c>
      <c r="F1198" s="257">
        <f>ROUND('Plant input detail '!F1200*'WPB2.2 Plant detail-w slippage'!$P$2,0)</f>
        <v>0</v>
      </c>
      <c r="G1198" s="257">
        <f t="shared" si="353"/>
        <v>0</v>
      </c>
      <c r="H1198" s="38"/>
      <c r="I1198" s="257">
        <f t="shared" si="354"/>
        <v>0</v>
      </c>
      <c r="J1198" s="361">
        <v>0</v>
      </c>
      <c r="K1198" s="259">
        <v>0</v>
      </c>
      <c r="L1198" s="38">
        <f t="shared" si="355"/>
        <v>0</v>
      </c>
      <c r="M1198" s="257">
        <f>ROUND('Plant input detail '!M1200*'WPB2.2 Plant detail-w slippage'!$P$2,0)</f>
        <v>0</v>
      </c>
      <c r="N1198" s="2227">
        <f t="shared" si="356"/>
        <v>0</v>
      </c>
      <c r="P1198" s="279"/>
    </row>
    <row r="1199" spans="1:16" x14ac:dyDescent="0.2">
      <c r="A1199" s="31">
        <f t="shared" si="357"/>
        <v>23</v>
      </c>
      <c r="B1199" s="123">
        <v>394.13</v>
      </c>
      <c r="C1199" s="251" t="s">
        <v>1072</v>
      </c>
      <c r="D1199" s="257">
        <f t="shared" si="352"/>
        <v>0</v>
      </c>
      <c r="E1199" s="382">
        <f>ROUND('Plant input detail '!E1201*'WPB2.2 Plant detail-w slippage'!$P$2,0)</f>
        <v>0</v>
      </c>
      <c r="F1199" s="257">
        <f>ROUND('Plant input detail '!F1201*'WPB2.2 Plant detail-w slippage'!$P$2,0)</f>
        <v>0</v>
      </c>
      <c r="G1199" s="257">
        <f t="shared" si="353"/>
        <v>0</v>
      </c>
      <c r="H1199" s="38"/>
      <c r="I1199" s="257">
        <f t="shared" si="354"/>
        <v>37937.360000000001</v>
      </c>
      <c r="J1199" s="296" t="s">
        <v>1094</v>
      </c>
      <c r="K1199" s="259">
        <v>0</v>
      </c>
      <c r="L1199" s="38">
        <f t="shared" si="355"/>
        <v>0</v>
      </c>
      <c r="M1199" s="257">
        <f>ROUND('Plant input detail '!M1201*'WPB2.2 Plant detail-w slippage'!$P$2,0)</f>
        <v>0</v>
      </c>
      <c r="N1199" s="2227">
        <f t="shared" si="356"/>
        <v>37937.360000000001</v>
      </c>
      <c r="P1199" s="279"/>
    </row>
    <row r="1200" spans="1:16" x14ac:dyDescent="0.2">
      <c r="A1200" s="31">
        <f t="shared" si="357"/>
        <v>24</v>
      </c>
      <c r="B1200" s="123">
        <v>394.2</v>
      </c>
      <c r="C1200" s="52" t="s">
        <v>1073</v>
      </c>
      <c r="D1200" s="257">
        <f t="shared" si="352"/>
        <v>0</v>
      </c>
      <c r="E1200" s="382">
        <f>ROUND('Plant input detail '!E1202*'WPB2.2 Plant detail-w slippage'!$P$2,0)</f>
        <v>0</v>
      </c>
      <c r="F1200" s="257">
        <f>ROUND('Plant input detail '!F1202*'WPB2.2 Plant detail-w slippage'!$P$2,0)</f>
        <v>0</v>
      </c>
      <c r="G1200" s="257">
        <f t="shared" si="353"/>
        <v>0</v>
      </c>
      <c r="H1200" s="38"/>
      <c r="I1200" s="257">
        <f t="shared" si="354"/>
        <v>185.21</v>
      </c>
      <c r="J1200" s="361">
        <v>0.04</v>
      </c>
      <c r="K1200" s="173">
        <f>ROUND((G1200+D1200)/2*J1200/12,0)</f>
        <v>0</v>
      </c>
      <c r="L1200" s="38">
        <f t="shared" si="355"/>
        <v>0</v>
      </c>
      <c r="M1200" s="257">
        <f>ROUND('Plant input detail '!M1202*'WPB2.2 Plant detail-w slippage'!$P$2,0)</f>
        <v>0</v>
      </c>
      <c r="N1200" s="2227">
        <f t="shared" si="356"/>
        <v>185.21</v>
      </c>
      <c r="P1200" s="279"/>
    </row>
    <row r="1201" spans="1:16" x14ac:dyDescent="0.2">
      <c r="A1201" s="31">
        <f t="shared" si="357"/>
        <v>25</v>
      </c>
      <c r="B1201" s="123">
        <v>394.3</v>
      </c>
      <c r="C1201" s="52" t="s">
        <v>1074</v>
      </c>
      <c r="D1201" s="257">
        <f t="shared" si="352"/>
        <v>3103121.16</v>
      </c>
      <c r="E1201" s="382">
        <f>ROUND('Plant input detail '!E1203*'WPB2.2 Plant detail-w slippage'!$P$2,0)</f>
        <v>-9800</v>
      </c>
      <c r="F1201" s="257">
        <f>ROUND('Plant input detail '!F1203*'WPB2.2 Plant detail-w slippage'!$P$2,0)</f>
        <v>1200</v>
      </c>
      <c r="G1201" s="257">
        <f t="shared" si="353"/>
        <v>3094521.16</v>
      </c>
      <c r="H1201" s="38"/>
      <c r="I1201" s="257">
        <f t="shared" si="354"/>
        <v>1286387.1499999999</v>
      </c>
      <c r="J1201" s="361">
        <v>0.04</v>
      </c>
      <c r="K1201" s="173">
        <f>ROUND((G1201+D1201)/2*J1201/12,0)</f>
        <v>10329</v>
      </c>
      <c r="L1201" s="38">
        <f t="shared" si="355"/>
        <v>-1200</v>
      </c>
      <c r="M1201" s="257">
        <f>ROUND('Plant input detail '!M1203*'WPB2.2 Plant detail-w slippage'!$P$2,0)</f>
        <v>0</v>
      </c>
      <c r="N1201" s="2227">
        <f t="shared" si="356"/>
        <v>1297916.1499999999</v>
      </c>
      <c r="P1201" s="279"/>
    </row>
    <row r="1202" spans="1:16" x14ac:dyDescent="0.2">
      <c r="A1202" s="31">
        <f t="shared" si="357"/>
        <v>26</v>
      </c>
      <c r="B1202" s="123">
        <v>395</v>
      </c>
      <c r="C1202" s="52" t="s">
        <v>1075</v>
      </c>
      <c r="D1202" s="257">
        <f t="shared" si="352"/>
        <v>9257.77</v>
      </c>
      <c r="E1202" s="382">
        <f>ROUND('Plant input detail '!E1204*'WPB2.2 Plant detail-w slippage'!$P$2,0)</f>
        <v>0</v>
      </c>
      <c r="F1202" s="257">
        <f>ROUND('Plant input detail '!F1204*'WPB2.2 Plant detail-w slippage'!$P$2,0)</f>
        <v>0</v>
      </c>
      <c r="G1202" s="257">
        <f t="shared" si="353"/>
        <v>9257.77</v>
      </c>
      <c r="H1202" s="38"/>
      <c r="I1202" s="257">
        <f t="shared" si="354"/>
        <v>7529.59</v>
      </c>
      <c r="J1202" s="361">
        <v>0.05</v>
      </c>
      <c r="K1202" s="173">
        <f>ROUND((G1202+D1202)/2*J1202/12,0)</f>
        <v>39</v>
      </c>
      <c r="L1202" s="38">
        <f t="shared" si="355"/>
        <v>0</v>
      </c>
      <c r="M1202" s="257">
        <f>ROUND('Plant input detail '!M1204*'WPB2.2 Plant detail-w slippage'!$P$2,0)</f>
        <v>0</v>
      </c>
      <c r="N1202" s="2227">
        <f t="shared" si="356"/>
        <v>7568.59</v>
      </c>
      <c r="P1202" s="279"/>
    </row>
    <row r="1203" spans="1:16" x14ac:dyDescent="0.2">
      <c r="A1203" s="31">
        <f t="shared" si="357"/>
        <v>27</v>
      </c>
      <c r="B1203" s="123">
        <v>396</v>
      </c>
      <c r="C1203" s="52" t="s">
        <v>1076</v>
      </c>
      <c r="D1203" s="257">
        <f t="shared" si="352"/>
        <v>253134.72</v>
      </c>
      <c r="E1203" s="382">
        <f>ROUND('Plant input detail '!E1205*'WPB2.2 Plant detail-w slippage'!$P$2,0)</f>
        <v>0</v>
      </c>
      <c r="F1203" s="257">
        <f>ROUND('Plant input detail '!F1205*'WPB2.2 Plant detail-w slippage'!$P$2,0)</f>
        <v>0</v>
      </c>
      <c r="G1203" s="257">
        <f t="shared" si="353"/>
        <v>253134.72</v>
      </c>
      <c r="H1203" s="38"/>
      <c r="I1203" s="257">
        <f t="shared" si="354"/>
        <v>199321.72</v>
      </c>
      <c r="J1203" s="361">
        <v>2.5899999999999999E-2</v>
      </c>
      <c r="K1203" s="173">
        <f>ROUND((G1203+D1203)/2*J1203/12,0)</f>
        <v>546</v>
      </c>
      <c r="L1203" s="38">
        <f t="shared" si="355"/>
        <v>0</v>
      </c>
      <c r="M1203" s="257">
        <f>ROUND('Plant input detail '!M1205*'WPB2.2 Plant detail-w slippage'!$P$2,0)</f>
        <v>0</v>
      </c>
      <c r="N1203" s="2227">
        <f t="shared" si="356"/>
        <v>199867.72</v>
      </c>
      <c r="P1203" s="279"/>
    </row>
    <row r="1204" spans="1:16" x14ac:dyDescent="0.2">
      <c r="A1204" s="31">
        <f t="shared" si="357"/>
        <v>28</v>
      </c>
      <c r="B1204" s="123">
        <v>398</v>
      </c>
      <c r="C1204" s="52" t="s">
        <v>1077</v>
      </c>
      <c r="D1204" s="260">
        <f t="shared" si="352"/>
        <v>259161.94</v>
      </c>
      <c r="E1204" s="265">
        <f>ROUND('Plant input detail '!E1206*'WPB2.2 Plant detail-w slippage'!$P$2,0)</f>
        <v>4600</v>
      </c>
      <c r="F1204" s="260">
        <f>ROUND('Plant input detail '!F1206*'WPB2.2 Plant detail-w slippage'!$P$2,0)</f>
        <v>-600</v>
      </c>
      <c r="G1204" s="260">
        <f t="shared" si="353"/>
        <v>263161.94</v>
      </c>
      <c r="H1204" s="264"/>
      <c r="I1204" s="260">
        <f t="shared" si="354"/>
        <v>4688.59</v>
      </c>
      <c r="J1204" s="361">
        <v>6.6699999999999995E-2</v>
      </c>
      <c r="K1204" s="260">
        <f>ROUND((G1204+D1204)/2*J1204/12,0)</f>
        <v>1452</v>
      </c>
      <c r="L1204" s="295">
        <f t="shared" si="355"/>
        <v>600</v>
      </c>
      <c r="M1204" s="260">
        <f>ROUND('Plant input detail '!M1206*'WPB2.2 Plant detail-w slippage'!$P$2,0)</f>
        <v>0</v>
      </c>
      <c r="N1204" s="2228">
        <f t="shared" si="356"/>
        <v>5540.59</v>
      </c>
      <c r="P1204" s="279"/>
    </row>
    <row r="1205" spans="1:16" x14ac:dyDescent="0.2">
      <c r="A1205" s="31">
        <f t="shared" si="357"/>
        <v>29</v>
      </c>
      <c r="C1205" s="32" t="s">
        <v>1078</v>
      </c>
      <c r="D1205" s="264">
        <f>SUM(D1191:D1204)</f>
        <v>5354936.2799999993</v>
      </c>
      <c r="E1205" s="176">
        <f>SUM(E1191:E1204)</f>
        <v>-5200</v>
      </c>
      <c r="F1205" s="176">
        <f>SUM(F1191:F1204)</f>
        <v>600</v>
      </c>
      <c r="G1205" s="264">
        <f>SUM(G1191:G1204)</f>
        <v>5350336.2799999993</v>
      </c>
      <c r="H1205" s="264"/>
      <c r="I1205" s="264">
        <f>SUM(I1191:I1204)</f>
        <v>2205525.27</v>
      </c>
      <c r="J1205" s="1359"/>
      <c r="K1205" s="176">
        <f>SUM(K1191:K1204)</f>
        <v>30667</v>
      </c>
      <c r="L1205" s="264">
        <f>SUM(L1191:L1204)</f>
        <v>-600</v>
      </c>
      <c r="M1205" s="176">
        <f>SUM(M1191:M1204)</f>
        <v>0</v>
      </c>
      <c r="N1205" s="1359">
        <f>SUM(N1191:N1204)</f>
        <v>2236792.27</v>
      </c>
    </row>
    <row r="1206" spans="1:16" x14ac:dyDescent="0.2">
      <c r="D1206" s="38"/>
      <c r="E1206" s="173"/>
      <c r="F1206" s="173"/>
      <c r="G1206" s="38"/>
      <c r="H1206" s="38"/>
      <c r="I1206" s="173"/>
      <c r="J1206" s="1361"/>
      <c r="K1206" s="173"/>
      <c r="L1206" s="38"/>
      <c r="M1206" s="173"/>
    </row>
    <row r="1207" spans="1:16" x14ac:dyDescent="0.2">
      <c r="A1207" s="1805">
        <f>A1205+1</f>
        <v>30</v>
      </c>
      <c r="B1207" s="252"/>
      <c r="C1207" s="36" t="s">
        <v>2287</v>
      </c>
      <c r="D1207" s="38"/>
      <c r="E1207" s="173"/>
      <c r="F1207" s="173"/>
      <c r="G1207" s="38"/>
      <c r="H1207" s="38"/>
      <c r="I1207" s="181"/>
      <c r="J1207" s="173"/>
      <c r="K1207" s="173"/>
      <c r="L1207" s="38"/>
      <c r="M1207" s="173"/>
      <c r="P1207" s="279"/>
    </row>
    <row r="1208" spans="1:16" x14ac:dyDescent="0.2">
      <c r="A1208" s="31">
        <f>A1207+1</f>
        <v>31</v>
      </c>
      <c r="B1208" s="123">
        <v>378.21</v>
      </c>
      <c r="C1208" s="52" t="s">
        <v>2244</v>
      </c>
      <c r="D1208" s="257">
        <f>G1102</f>
        <v>-777092</v>
      </c>
      <c r="E1208" s="382">
        <f>ROUND('Plant input detail '!E1210*'WPB2.2 Plant detail-w slippage'!$P$2,0)</f>
        <v>0</v>
      </c>
      <c r="F1208" s="257">
        <f>ROUND('Plant input detail '!F1210*'WPB2.2 Plant detail-w slippage'!$P$2,0)</f>
        <v>0</v>
      </c>
      <c r="G1208" s="257">
        <f t="shared" ref="G1208" si="358">SUM(D1208:F1208)</f>
        <v>-777092</v>
      </c>
      <c r="H1208" s="264"/>
      <c r="I1208" s="257">
        <f>N1102</f>
        <v>-42395.02999999997</v>
      </c>
      <c r="J1208" s="296" t="s">
        <v>1094</v>
      </c>
      <c r="K1208" s="1334">
        <v>-2158.5833333333321</v>
      </c>
      <c r="L1208" s="38">
        <f t="shared" ref="L1208" si="359">-F1208</f>
        <v>0</v>
      </c>
      <c r="M1208" s="257">
        <f>ROUND('Plant input detail '!M1210*'WPB2.2 Plant detail-w slippage'!$P$2,0)</f>
        <v>0</v>
      </c>
      <c r="N1208" s="2227">
        <f t="shared" ref="N1208" si="360">I1208+K1208-L1208+M1208</f>
        <v>-44553.613333333298</v>
      </c>
      <c r="O1208" s="292"/>
    </row>
    <row r="1209" spans="1:16" x14ac:dyDescent="0.2">
      <c r="A1209" s="1723"/>
      <c r="D1209" s="38"/>
      <c r="E1209" s="173"/>
      <c r="F1209" s="173"/>
      <c r="G1209" s="38"/>
      <c r="H1209" s="38"/>
      <c r="I1209" s="173"/>
      <c r="J1209" s="1361"/>
      <c r="K1209" s="173"/>
      <c r="L1209" s="38"/>
      <c r="M1209" s="173"/>
    </row>
    <row r="1210" spans="1:16" x14ac:dyDescent="0.2">
      <c r="A1210" s="31">
        <f>A1208+1</f>
        <v>32</v>
      </c>
      <c r="C1210" s="32" t="s">
        <v>774</v>
      </c>
      <c r="D1210" s="40">
        <f>D1205+D1188+D1133+D1129+D1208</f>
        <v>421398193.36999989</v>
      </c>
      <c r="E1210" s="40">
        <f>E1205+E1188+E1133+E1129+E1208</f>
        <v>1146066</v>
      </c>
      <c r="F1210" s="40">
        <f>F1205+F1188+F1133+F1129+F1208</f>
        <v>-137500</v>
      </c>
      <c r="G1210" s="40">
        <f>G1205+G1188+G1133+G1129+G1208</f>
        <v>422406759.36999989</v>
      </c>
      <c r="H1210" s="38"/>
      <c r="I1210" s="40">
        <f>I1205+I1188+I1133+I1129+I1208</f>
        <v>146321082.4295837</v>
      </c>
      <c r="J1210" s="1363"/>
      <c r="K1210" s="40">
        <f>K1205+K1188+K1133+K1129+K1208</f>
        <v>1262041.3489107501</v>
      </c>
      <c r="L1210" s="40">
        <f>L1205+L1188+L1133+L1129+L1208</f>
        <v>137500</v>
      </c>
      <c r="M1210" s="40">
        <f>M1205+M1188+M1133+M1129+M1208</f>
        <v>-37300</v>
      </c>
      <c r="N1210" s="1363">
        <f>N1205+N1188+N1133+N1129+N1208</f>
        <v>147408323.77849445</v>
      </c>
    </row>
    <row r="1212" spans="1:16" x14ac:dyDescent="0.2">
      <c r="A1212" s="2079" t="str">
        <f>co</f>
        <v>COLUMBIA GAS OF KENTUCKY, INC.</v>
      </c>
      <c r="B1212" s="2079"/>
      <c r="C1212" s="2079"/>
      <c r="D1212" s="2079"/>
      <c r="E1212" s="2079"/>
      <c r="F1212" s="2079"/>
      <c r="G1212" s="2079"/>
      <c r="H1212" s="2079"/>
      <c r="I1212" s="2079"/>
      <c r="J1212" s="2079"/>
      <c r="K1212" s="2079"/>
      <c r="L1212" s="2079"/>
      <c r="M1212" s="2079"/>
      <c r="N1212" s="2079"/>
    </row>
    <row r="1213" spans="1:16" x14ac:dyDescent="0.2">
      <c r="A1213" s="2079" t="str">
        <f>case</f>
        <v>CASE NO. 2016 - 00162</v>
      </c>
      <c r="B1213" s="2079"/>
      <c r="C1213" s="2079"/>
      <c r="D1213" s="2079"/>
      <c r="E1213" s="2079"/>
      <c r="F1213" s="2079"/>
      <c r="G1213" s="2079"/>
      <c r="H1213" s="2079"/>
      <c r="I1213" s="2079"/>
      <c r="J1213" s="2079"/>
      <c r="K1213" s="2079"/>
      <c r="L1213" s="2079"/>
      <c r="M1213" s="2079"/>
      <c r="N1213" s="2079"/>
    </row>
    <row r="1214" spans="1:16" x14ac:dyDescent="0.2">
      <c r="A1214" s="2080" t="s">
        <v>1106</v>
      </c>
      <c r="B1214" s="2079"/>
      <c r="C1214" s="2079"/>
      <c r="D1214" s="2079"/>
      <c r="E1214" s="2079"/>
      <c r="F1214" s="2079"/>
      <c r="G1214" s="2079"/>
      <c r="H1214" s="2079"/>
      <c r="I1214" s="2079"/>
      <c r="J1214" s="2079"/>
      <c r="K1214" s="2079"/>
      <c r="L1214" s="2079"/>
      <c r="M1214" s="2079"/>
      <c r="N1214" s="2079"/>
    </row>
    <row r="1215" spans="1:16" x14ac:dyDescent="0.2">
      <c r="A1215" s="2081" t="s">
        <v>2142</v>
      </c>
      <c r="B1215" s="2085"/>
      <c r="C1215" s="2085"/>
      <c r="D1215" s="2085"/>
      <c r="E1215" s="2085"/>
      <c r="F1215" s="2085"/>
      <c r="G1215" s="2085"/>
      <c r="H1215" s="2085"/>
      <c r="I1215" s="2085"/>
      <c r="J1215" s="2085"/>
      <c r="K1215" s="2085"/>
      <c r="L1215" s="2085"/>
      <c r="M1215" s="2085"/>
      <c r="N1215" s="2085"/>
    </row>
    <row r="1217" spans="1:14" x14ac:dyDescent="0.2">
      <c r="A1217" s="285" t="str">
        <f>$A$6</f>
        <v>DATA:__X___BASE PERIOD__X___FORECASTED PERIOD</v>
      </c>
      <c r="C1217" s="171"/>
      <c r="I1217" s="32"/>
      <c r="N1217" s="1258" t="str">
        <f>$N$6</f>
        <v>WPB-2.2</v>
      </c>
    </row>
    <row r="1218" spans="1:14" x14ac:dyDescent="0.2">
      <c r="A1218" s="4" t="str">
        <f>$A$7</f>
        <v>TYPE OF FILING:___X____ORIGINAL________UPDATED</v>
      </c>
      <c r="I1218" s="32"/>
      <c r="N1218" s="2223" t="s">
        <v>1736</v>
      </c>
    </row>
    <row r="1219" spans="1:14" x14ac:dyDescent="0.2">
      <c r="A1219" s="1261" t="str">
        <f>$A$8</f>
        <v xml:space="preserve">WORKPAPER REFERENCE NO(S).: </v>
      </c>
      <c r="B1219" s="202"/>
      <c r="C1219" s="202"/>
      <c r="D1219" s="201"/>
      <c r="E1219" s="202"/>
      <c r="F1219" s="202"/>
      <c r="G1219" s="201"/>
      <c r="H1219" s="201"/>
      <c r="I1219" s="203"/>
      <c r="L1219" s="32"/>
      <c r="M1219" s="32"/>
      <c r="N1219" s="204" t="str">
        <f>SMK</f>
        <v>WITNESS:  S. M. KATKO</v>
      </c>
    </row>
    <row r="1220" spans="1:14" x14ac:dyDescent="0.2">
      <c r="A1220" s="200"/>
      <c r="B1220" s="201"/>
      <c r="C1220" s="201"/>
      <c r="D1220" s="201"/>
      <c r="E1220" s="202"/>
      <c r="F1220" s="202"/>
      <c r="G1220" s="201"/>
      <c r="H1220" s="201"/>
      <c r="I1220" s="203"/>
      <c r="J1220" s="1357"/>
      <c r="L1220" s="32"/>
      <c r="M1220" s="32"/>
    </row>
    <row r="1221" spans="1:14" x14ac:dyDescent="0.2">
      <c r="A1221" s="200"/>
      <c r="B1221" s="201"/>
      <c r="C1221" s="201"/>
      <c r="D1221" s="2082" t="s">
        <v>1088</v>
      </c>
      <c r="E1221" s="2082"/>
      <c r="F1221" s="2082"/>
      <c r="G1221" s="2082"/>
      <c r="H1221" s="201"/>
      <c r="I1221" s="2083" t="s">
        <v>1093</v>
      </c>
      <c r="J1221" s="2084"/>
      <c r="K1221" s="2084"/>
      <c r="L1221" s="2084"/>
      <c r="M1221" s="2084"/>
      <c r="N1221" s="2084"/>
    </row>
    <row r="1222" spans="1:14" x14ac:dyDescent="0.2">
      <c r="A1222" s="270"/>
      <c r="B1222" s="201"/>
      <c r="C1222" s="201"/>
      <c r="D1222" s="271" t="s">
        <v>1084</v>
      </c>
      <c r="E1222" s="202"/>
      <c r="F1222" s="202"/>
      <c r="G1222" s="269"/>
      <c r="H1222" s="269"/>
      <c r="I1222" s="261" t="s">
        <v>1089</v>
      </c>
      <c r="J1222" s="1358"/>
      <c r="M1222" s="32"/>
    </row>
    <row r="1223" spans="1:14" x14ac:dyDescent="0.2">
      <c r="A1223" s="30"/>
      <c r="D1223" s="261" t="s">
        <v>865</v>
      </c>
      <c r="G1223" s="261" t="s">
        <v>867</v>
      </c>
      <c r="H1223" s="268"/>
      <c r="I1223" s="261" t="s">
        <v>865</v>
      </c>
      <c r="J1223" s="1308" t="s">
        <v>956</v>
      </c>
      <c r="M1223" s="32"/>
      <c r="N1223" s="2225" t="s">
        <v>867</v>
      </c>
    </row>
    <row r="1224" spans="1:14" x14ac:dyDescent="0.2">
      <c r="A1224" s="261" t="s">
        <v>1080</v>
      </c>
      <c r="B1224" s="261" t="s">
        <v>1082</v>
      </c>
      <c r="D1224" s="261" t="s">
        <v>867</v>
      </c>
      <c r="G1224" s="262" t="s">
        <v>1087</v>
      </c>
      <c r="H1224" s="268"/>
      <c r="I1224" s="262" t="s">
        <v>867</v>
      </c>
      <c r="J1224" s="1308" t="s">
        <v>1090</v>
      </c>
      <c r="K1224" s="1308" t="s">
        <v>956</v>
      </c>
      <c r="M1224" s="262" t="s">
        <v>1092</v>
      </c>
      <c r="N1224" s="1259" t="s">
        <v>1087</v>
      </c>
    </row>
    <row r="1225" spans="1:14" x14ac:dyDescent="0.2">
      <c r="A1225" s="272" t="s">
        <v>1081</v>
      </c>
      <c r="B1225" s="272" t="s">
        <v>1081</v>
      </c>
      <c r="C1225" s="273" t="s">
        <v>1083</v>
      </c>
      <c r="D1225" s="298" t="str">
        <f>"01/31/2017"</f>
        <v>01/31/2017</v>
      </c>
      <c r="E1225" s="275" t="s">
        <v>1085</v>
      </c>
      <c r="F1225" s="275" t="s">
        <v>1086</v>
      </c>
      <c r="G1225" s="298" t="str">
        <f>"02/28/2017"</f>
        <v>02/28/2017</v>
      </c>
      <c r="H1225" s="268"/>
      <c r="I1225" s="274" t="str">
        <f>D1225</f>
        <v>01/31/2017</v>
      </c>
      <c r="J1225" s="275" t="s">
        <v>1091</v>
      </c>
      <c r="K1225" s="1327" t="s">
        <v>1090</v>
      </c>
      <c r="L1225" s="276" t="s">
        <v>1086</v>
      </c>
      <c r="M1225" s="276" t="s">
        <v>955</v>
      </c>
      <c r="N1225" s="2226" t="str">
        <f>G1225</f>
        <v>02/28/2017</v>
      </c>
    </row>
    <row r="1226" spans="1:14" x14ac:dyDescent="0.2">
      <c r="A1226" s="267"/>
      <c r="B1226" s="267"/>
      <c r="C1226" s="267"/>
      <c r="D1226" s="267" t="str">
        <f>"(1)"</f>
        <v>(1)</v>
      </c>
      <c r="E1226" s="267" t="str">
        <f>"(2)"</f>
        <v>(2)</v>
      </c>
      <c r="F1226" s="267" t="str">
        <f>"(3)"</f>
        <v>(3)</v>
      </c>
      <c r="G1226" s="267" t="str">
        <f>"(4)=(1+2+3)"</f>
        <v>(4)=(1+2+3)</v>
      </c>
      <c r="H1226" s="267"/>
      <c r="I1226" s="267" t="str">
        <f>"(5)"</f>
        <v>(5)</v>
      </c>
      <c r="J1226" s="1328" t="str">
        <f>"(6)"</f>
        <v>(6)</v>
      </c>
      <c r="K1226" s="1328" t="str">
        <f>"(7)=((1+4)/2*6/12))"</f>
        <v>(7)=((1+4)/2*6/12))</v>
      </c>
      <c r="L1226" s="267" t="str">
        <f>"(8)"</f>
        <v>(8)</v>
      </c>
      <c r="M1226" s="267" t="str">
        <f>"(9)"</f>
        <v>(9)</v>
      </c>
      <c r="N1226" s="204" t="str">
        <f>"(10)=(5+7-8+9)"</f>
        <v>(10)=(5+7-8+9)</v>
      </c>
    </row>
    <row r="1227" spans="1:14" x14ac:dyDescent="0.2">
      <c r="D1227" s="31" t="s">
        <v>639</v>
      </c>
      <c r="E1227" s="170" t="s">
        <v>639</v>
      </c>
      <c r="F1227" s="170" t="s">
        <v>639</v>
      </c>
      <c r="G1227" s="31" t="s">
        <v>639</v>
      </c>
      <c r="H1227" s="31"/>
      <c r="I1227" s="31" t="s">
        <v>639</v>
      </c>
      <c r="J1227" s="170" t="s">
        <v>639</v>
      </c>
      <c r="K1227" s="170" t="s">
        <v>639</v>
      </c>
      <c r="L1227" s="31" t="s">
        <v>639</v>
      </c>
      <c r="M1227" s="31" t="s">
        <v>639</v>
      </c>
      <c r="N1227" s="155" t="s">
        <v>639</v>
      </c>
    </row>
    <row r="1228" spans="1:14" x14ac:dyDescent="0.2">
      <c r="A1228" s="31">
        <v>1</v>
      </c>
      <c r="B1228" s="36" t="s">
        <v>1025</v>
      </c>
      <c r="C1228" s="34"/>
      <c r="M1228" s="32"/>
    </row>
    <row r="1229" spans="1:14" x14ac:dyDescent="0.2">
      <c r="A1229" s="31">
        <f>A1228+1</f>
        <v>2</v>
      </c>
      <c r="C1229" s="36" t="s">
        <v>697</v>
      </c>
      <c r="M1229" s="32"/>
    </row>
    <row r="1230" spans="1:14" x14ac:dyDescent="0.2">
      <c r="A1230" s="31">
        <f t="shared" ref="A1230:A1235" si="361">A1229+1</f>
        <v>3</v>
      </c>
      <c r="B1230" s="253">
        <v>301</v>
      </c>
      <c r="C1230" s="52" t="s">
        <v>1026</v>
      </c>
      <c r="D1230" s="257">
        <f>G1124</f>
        <v>521.20000000000005</v>
      </c>
      <c r="E1230" s="382">
        <f>ROUND('Plant input detail '!E1232*'WPB2.2 Plant detail-w slippage'!$P$2,0)</f>
        <v>0</v>
      </c>
      <c r="F1230" s="257">
        <f>ROUND('Plant input detail '!F1232*'WPB2.2 Plant detail-w slippage'!$P$2,0)</f>
        <v>0</v>
      </c>
      <c r="G1230" s="257">
        <f>SUM(D1230:F1230)</f>
        <v>521.20000000000005</v>
      </c>
      <c r="H1230" s="38"/>
      <c r="I1230" s="257">
        <f>N1124</f>
        <v>0</v>
      </c>
      <c r="J1230" s="296" t="s">
        <v>1094</v>
      </c>
      <c r="K1230" s="259">
        <v>0</v>
      </c>
      <c r="L1230" s="38">
        <f>-F1230</f>
        <v>0</v>
      </c>
      <c r="M1230" s="259">
        <v>0</v>
      </c>
      <c r="N1230" s="2227">
        <f>I1230+K1230-L1230+M1230</f>
        <v>0</v>
      </c>
    </row>
    <row r="1231" spans="1:14" x14ac:dyDescent="0.2">
      <c r="A1231" s="31">
        <f t="shared" si="361"/>
        <v>4</v>
      </c>
      <c r="B1231" s="253">
        <v>303</v>
      </c>
      <c r="C1231" s="52" t="s">
        <v>1027</v>
      </c>
      <c r="D1231" s="257">
        <f>G1125</f>
        <v>74347.509999999995</v>
      </c>
      <c r="E1231" s="382">
        <f>ROUND('Plant input detail '!E1233*'WPB2.2 Plant detail-w slippage'!$P$2,0)</f>
        <v>0</v>
      </c>
      <c r="F1231" s="257">
        <f>ROUND('Plant input detail '!F1233*'WPB2.2 Plant detail-w slippage'!$P$2,0)</f>
        <v>0</v>
      </c>
      <c r="G1231" s="257">
        <f>SUM(D1231:F1231)</f>
        <v>74347.509999999995</v>
      </c>
      <c r="H1231" s="38"/>
      <c r="I1231" s="257">
        <f>N1125</f>
        <v>48071.149999999965</v>
      </c>
      <c r="J1231" s="296" t="s">
        <v>1094</v>
      </c>
      <c r="K1231" s="257">
        <f>'WPB2.2a Intan Amort. w slippage'!H$127</f>
        <v>206.52</v>
      </c>
      <c r="L1231" s="38">
        <f>-F1231</f>
        <v>0</v>
      </c>
      <c r="M1231" s="259">
        <v>0</v>
      </c>
      <c r="N1231" s="2227">
        <f>I1231+K1231-L1231+M1231</f>
        <v>48277.669999999962</v>
      </c>
    </row>
    <row r="1232" spans="1:14" x14ac:dyDescent="0.2">
      <c r="A1232" s="31">
        <f t="shared" si="361"/>
        <v>5</v>
      </c>
      <c r="B1232" s="253">
        <v>303.10000000000002</v>
      </c>
      <c r="C1232" s="52" t="s">
        <v>1028</v>
      </c>
      <c r="D1232" s="257">
        <f>G1126</f>
        <v>0</v>
      </c>
      <c r="E1232" s="382">
        <f>ROUND('Plant input detail '!E1234*'WPB2.2 Plant detail-w slippage'!$P$2,0)</f>
        <v>0</v>
      </c>
      <c r="F1232" s="257">
        <f>ROUND('Plant input detail '!F1234*'WPB2.2 Plant detail-w slippage'!$P$2,0)</f>
        <v>0</v>
      </c>
      <c r="G1232" s="257">
        <f>SUM(D1232:F1232)</f>
        <v>0</v>
      </c>
      <c r="H1232" s="38"/>
      <c r="I1232" s="257">
        <f>N1126</f>
        <v>0</v>
      </c>
      <c r="J1232" s="296" t="s">
        <v>1094</v>
      </c>
      <c r="K1232" s="259">
        <v>0</v>
      </c>
      <c r="L1232" s="38">
        <f>-F1232</f>
        <v>0</v>
      </c>
      <c r="M1232" s="259">
        <v>0</v>
      </c>
      <c r="N1232" s="2227">
        <f>I1232+K1232-L1232+M1232</f>
        <v>0</v>
      </c>
    </row>
    <row r="1233" spans="1:14" x14ac:dyDescent="0.2">
      <c r="A1233" s="31">
        <f t="shared" si="361"/>
        <v>6</v>
      </c>
      <c r="B1233" s="253">
        <v>303.2</v>
      </c>
      <c r="C1233" s="52" t="s">
        <v>1029</v>
      </c>
      <c r="D1233" s="257">
        <f>G1127</f>
        <v>0</v>
      </c>
      <c r="E1233" s="382">
        <f>ROUND('Plant input detail '!E1235*'WPB2.2 Plant detail-w slippage'!$P$2,0)</f>
        <v>0</v>
      </c>
      <c r="F1233" s="257">
        <f>ROUND('Plant input detail '!F1235*'WPB2.2 Plant detail-w slippage'!$P$2,0)</f>
        <v>0</v>
      </c>
      <c r="G1233" s="257">
        <f>SUM(D1233:F1233)</f>
        <v>0</v>
      </c>
      <c r="H1233" s="38"/>
      <c r="I1233" s="257">
        <f>N1127</f>
        <v>0</v>
      </c>
      <c r="J1233" s="296" t="s">
        <v>1094</v>
      </c>
      <c r="K1233" s="259">
        <v>0</v>
      </c>
      <c r="L1233" s="38">
        <f>-F1233</f>
        <v>0</v>
      </c>
      <c r="M1233" s="259">
        <v>0</v>
      </c>
      <c r="N1233" s="2227">
        <f>I1233+K1233-L1233+M1233</f>
        <v>0</v>
      </c>
    </row>
    <row r="1234" spans="1:14" x14ac:dyDescent="0.2">
      <c r="A1234" s="31">
        <f t="shared" si="361"/>
        <v>7</v>
      </c>
      <c r="B1234" s="253">
        <v>303.3</v>
      </c>
      <c r="C1234" s="52" t="s">
        <v>1030</v>
      </c>
      <c r="D1234" s="260">
        <f>G1128</f>
        <v>6830686</v>
      </c>
      <c r="E1234" s="265">
        <f>ROUND('Plant input detail '!E1236*'WPB2.2 Plant detail-w slippage'!$P$2,0)</f>
        <v>0</v>
      </c>
      <c r="F1234" s="265">
        <f>ROUND('Plant input detail '!F1236*'WPB2.2 Plant detail-w slippage'!$P$2,0)</f>
        <v>0</v>
      </c>
      <c r="G1234" s="260">
        <f>SUM(D1234:F1234)</f>
        <v>6830686</v>
      </c>
      <c r="H1234" s="38"/>
      <c r="I1234" s="260">
        <f>N1128</f>
        <v>2980699.6476172479</v>
      </c>
      <c r="J1234" s="296" t="s">
        <v>1094</v>
      </c>
      <c r="K1234" s="260">
        <f>'WPB2.2a Intan Amort. w slippage'!H$216</f>
        <v>81875.077056113325</v>
      </c>
      <c r="L1234" s="295">
        <f>-F1234</f>
        <v>0</v>
      </c>
      <c r="M1234" s="263">
        <v>0</v>
      </c>
      <c r="N1234" s="2228">
        <f>I1234+K1234-L1234+M1234</f>
        <v>3062574.7246733611</v>
      </c>
    </row>
    <row r="1235" spans="1:14" x14ac:dyDescent="0.2">
      <c r="A1235" s="31">
        <f t="shared" si="361"/>
        <v>8</v>
      </c>
      <c r="B1235" s="253"/>
      <c r="C1235" s="52" t="s">
        <v>1031</v>
      </c>
      <c r="D1235" s="38">
        <f>SUM(D1230:D1234)</f>
        <v>6905554.71</v>
      </c>
      <c r="E1235" s="173">
        <f>SUM(E1230:E1234)</f>
        <v>0</v>
      </c>
      <c r="F1235" s="173">
        <f>SUM(F1230:F1234)</f>
        <v>0</v>
      </c>
      <c r="G1235" s="38">
        <f>SUM(G1230:G1234)</f>
        <v>6905554.71</v>
      </c>
      <c r="H1235" s="38"/>
      <c r="I1235" s="38">
        <f>SUM(I1230:I1234)</f>
        <v>3028770.7976172478</v>
      </c>
      <c r="J1235" s="1359"/>
      <c r="K1235" s="173">
        <f>SUM(K1230:K1234)</f>
        <v>82081.597056113329</v>
      </c>
      <c r="L1235" s="38">
        <f>SUM(L1230:L1234)</f>
        <v>0</v>
      </c>
      <c r="M1235" s="173">
        <f>SUM(M1230:M1234)</f>
        <v>0</v>
      </c>
      <c r="N1235" s="1361">
        <f>SUM(N1230:N1234)</f>
        <v>3110852.394673361</v>
      </c>
    </row>
    <row r="1236" spans="1:14" x14ac:dyDescent="0.2">
      <c r="B1236" s="254"/>
      <c r="D1236" s="38"/>
      <c r="E1236" s="173"/>
      <c r="F1236" s="173"/>
      <c r="G1236" s="38"/>
      <c r="H1236" s="38"/>
      <c r="I1236" s="38"/>
      <c r="J1236" s="1359"/>
      <c r="K1236" s="173"/>
      <c r="L1236" s="38"/>
      <c r="M1236" s="173"/>
    </row>
    <row r="1237" spans="1:14" x14ac:dyDescent="0.2">
      <c r="A1237" s="31">
        <f>A1235+1</f>
        <v>9</v>
      </c>
      <c r="B1237" s="254"/>
      <c r="C1237" s="36" t="s">
        <v>704</v>
      </c>
      <c r="D1237" s="38"/>
      <c r="E1237" s="173"/>
      <c r="F1237" s="173"/>
      <c r="G1237" s="38"/>
      <c r="H1237" s="38"/>
      <c r="I1237" s="38"/>
      <c r="J1237" s="1359"/>
      <c r="K1237" s="173"/>
      <c r="L1237" s="38"/>
      <c r="M1237" s="173"/>
    </row>
    <row r="1238" spans="1:14" x14ac:dyDescent="0.2">
      <c r="A1238" s="31">
        <f>A1237+1</f>
        <v>10</v>
      </c>
      <c r="B1238" s="255">
        <v>304.10000000000002</v>
      </c>
      <c r="C1238" s="41" t="s">
        <v>1032</v>
      </c>
      <c r="D1238" s="260">
        <f>G1132</f>
        <v>0</v>
      </c>
      <c r="E1238" s="265">
        <f>ROUND('Plant input detail '!E1240*'WPB2.2 Plant detail-w slippage'!$P$2,0)</f>
        <v>0</v>
      </c>
      <c r="F1238" s="265">
        <f>ROUND('Plant input detail '!F1240*'WPB2.2 Plant detail-w slippage'!$P$2,0)</f>
        <v>0</v>
      </c>
      <c r="G1238" s="260">
        <f>SUM(D1238:F1238)</f>
        <v>0</v>
      </c>
      <c r="H1238" s="38"/>
      <c r="I1238" s="260">
        <f>N1132</f>
        <v>0</v>
      </c>
      <c r="J1238" s="1360" t="s">
        <v>1102</v>
      </c>
      <c r="K1238" s="266">
        <v>0</v>
      </c>
      <c r="L1238" s="295">
        <f>-F1238</f>
        <v>0</v>
      </c>
      <c r="M1238" s="263">
        <v>0</v>
      </c>
      <c r="N1238" s="2228">
        <f>I1238+K1238-L1238+M1238</f>
        <v>0</v>
      </c>
    </row>
    <row r="1239" spans="1:14" x14ac:dyDescent="0.2">
      <c r="A1239" s="31">
        <f>A1238+1</f>
        <v>11</v>
      </c>
      <c r="B1239" s="255"/>
      <c r="C1239" s="256" t="s">
        <v>1079</v>
      </c>
      <c r="D1239" s="38">
        <f>D1238</f>
        <v>0</v>
      </c>
      <c r="E1239" s="173">
        <f>E1238</f>
        <v>0</v>
      </c>
      <c r="F1239" s="173">
        <f>F1238</f>
        <v>0</v>
      </c>
      <c r="G1239" s="38">
        <f>G1238</f>
        <v>0</v>
      </c>
      <c r="H1239" s="38"/>
      <c r="I1239" s="38">
        <f>I1238</f>
        <v>0</v>
      </c>
      <c r="J1239" s="1361"/>
      <c r="K1239" s="173">
        <f>SUM(K1238)</f>
        <v>0</v>
      </c>
      <c r="L1239" s="38">
        <f>SUM(L1238)</f>
        <v>0</v>
      </c>
      <c r="M1239" s="173">
        <f>M1238</f>
        <v>0</v>
      </c>
      <c r="N1239" s="1361">
        <f>N1238</f>
        <v>0</v>
      </c>
    </row>
    <row r="1240" spans="1:14" x14ac:dyDescent="0.2">
      <c r="B1240" s="254"/>
      <c r="D1240" s="38"/>
      <c r="E1240" s="173"/>
      <c r="F1240" s="173"/>
      <c r="G1240" s="38"/>
      <c r="H1240" s="38"/>
      <c r="I1240" s="38"/>
      <c r="J1240" s="1361"/>
      <c r="K1240" s="173"/>
      <c r="L1240" s="38"/>
      <c r="M1240" s="173"/>
    </row>
    <row r="1241" spans="1:14" x14ac:dyDescent="0.2">
      <c r="A1241" s="31">
        <f>A1239+1</f>
        <v>12</v>
      </c>
      <c r="B1241" s="254"/>
      <c r="C1241" s="36" t="s">
        <v>707</v>
      </c>
      <c r="D1241" s="38"/>
      <c r="E1241" s="173"/>
      <c r="F1241" s="173"/>
      <c r="G1241" s="38"/>
      <c r="H1241" s="38"/>
      <c r="I1241" s="38"/>
      <c r="J1241" s="1361"/>
      <c r="K1241" s="173"/>
      <c r="L1241" s="38"/>
      <c r="M1241" s="173"/>
    </row>
    <row r="1242" spans="1:14" x14ac:dyDescent="0.2">
      <c r="A1242" s="31">
        <f>A1241+1</f>
        <v>13</v>
      </c>
      <c r="B1242" s="253">
        <v>374.1</v>
      </c>
      <c r="C1242" s="52" t="s">
        <v>1035</v>
      </c>
      <c r="D1242" s="257">
        <f t="shared" ref="D1242:D1252" si="362">G1136</f>
        <v>206</v>
      </c>
      <c r="E1242" s="382">
        <f>ROUND('Plant input detail '!E1244*'WPB2.2 Plant detail-w slippage'!$P$2,0)</f>
        <v>0</v>
      </c>
      <c r="F1242" s="257">
        <f>ROUND('Plant input detail '!F1244*'WPB2.2 Plant detail-w slippage'!$P$2,0)</f>
        <v>0</v>
      </c>
      <c r="G1242" s="257">
        <f>SUM(D1242:F1242)</f>
        <v>206</v>
      </c>
      <c r="H1242" s="38"/>
      <c r="I1242" s="257">
        <f t="shared" ref="I1242:I1252" si="363">N1136</f>
        <v>0</v>
      </c>
      <c r="J1242" s="1362" t="str">
        <f t="shared" ref="J1242:J1252" si="364">J1136</f>
        <v>Non-Dep.</v>
      </c>
      <c r="K1242" s="259">
        <v>0</v>
      </c>
      <c r="L1242" s="38">
        <f t="shared" ref="L1242:L1252" si="365">-F1242</f>
        <v>0</v>
      </c>
      <c r="M1242" s="257">
        <f>ROUND('Plant input detail '!M1244*'WPB2.2 Plant detail-w slippage'!$P$2,0)</f>
        <v>0</v>
      </c>
      <c r="N1242" s="2227">
        <f t="shared" ref="N1242:N1252" si="366">I1242+K1242-L1242+M1242</f>
        <v>0</v>
      </c>
    </row>
    <row r="1243" spans="1:14" x14ac:dyDescent="0.2">
      <c r="A1243" s="31">
        <f t="shared" ref="A1243:A1263" si="367">A1242+1</f>
        <v>14</v>
      </c>
      <c r="B1243" s="253">
        <v>374.2</v>
      </c>
      <c r="C1243" s="52" t="s">
        <v>1036</v>
      </c>
      <c r="D1243" s="257">
        <f t="shared" si="362"/>
        <v>877756.18</v>
      </c>
      <c r="E1243" s="382">
        <f>ROUND('Plant input detail '!E1245*'WPB2.2 Plant detail-w slippage'!$P$2,0)</f>
        <v>0</v>
      </c>
      <c r="F1243" s="257">
        <f>ROUND('Plant input detail '!F1245*'WPB2.2 Plant detail-w slippage'!$P$2,0)</f>
        <v>0</v>
      </c>
      <c r="G1243" s="257">
        <f t="shared" ref="G1243:G1252" si="368">SUM(D1243:F1243)</f>
        <v>877756.18</v>
      </c>
      <c r="H1243" s="38"/>
      <c r="I1243" s="257">
        <f t="shared" si="363"/>
        <v>-523.13</v>
      </c>
      <c r="J1243" s="1362" t="str">
        <f t="shared" si="364"/>
        <v>Non-Dep.</v>
      </c>
      <c r="K1243" s="259">
        <v>0</v>
      </c>
      <c r="L1243" s="38">
        <f t="shared" si="365"/>
        <v>0</v>
      </c>
      <c r="M1243" s="257">
        <f>ROUND('Plant input detail '!M1245*'WPB2.2 Plant detail-w slippage'!$P$2,0)</f>
        <v>0</v>
      </c>
      <c r="N1243" s="2227">
        <f t="shared" si="366"/>
        <v>-523.13</v>
      </c>
    </row>
    <row r="1244" spans="1:14" x14ac:dyDescent="0.2">
      <c r="A1244" s="31">
        <f t="shared" si="367"/>
        <v>15</v>
      </c>
      <c r="B1244" s="253">
        <v>374.4</v>
      </c>
      <c r="C1244" s="52" t="s">
        <v>1037</v>
      </c>
      <c r="D1244" s="257">
        <f t="shared" si="362"/>
        <v>661305.66</v>
      </c>
      <c r="E1244" s="382">
        <f>ROUND('Plant input detail '!E1246*'WPB2.2 Plant detail-w slippage'!$P$2,0)</f>
        <v>0</v>
      </c>
      <c r="F1244" s="257">
        <f>ROUND('Plant input detail '!F1246*'WPB2.2 Plant detail-w slippage'!$P$2,0)</f>
        <v>0</v>
      </c>
      <c r="G1244" s="257">
        <f t="shared" si="368"/>
        <v>661305.66</v>
      </c>
      <c r="H1244" s="38"/>
      <c r="I1244" s="257">
        <f t="shared" si="363"/>
        <v>179842.36</v>
      </c>
      <c r="J1244" s="1362">
        <f t="shared" si="364"/>
        <v>1.7399999999999999E-2</v>
      </c>
      <c r="K1244" s="173">
        <f>ROUND((G1244+D1244)/2*J1244/12,0)</f>
        <v>959</v>
      </c>
      <c r="L1244" s="38">
        <f t="shared" si="365"/>
        <v>0</v>
      </c>
      <c r="M1244" s="257">
        <f>ROUND('Plant input detail '!M1246*'WPB2.2 Plant detail-w slippage'!$P$2,0)</f>
        <v>0</v>
      </c>
      <c r="N1244" s="2227">
        <f t="shared" si="366"/>
        <v>180801.36</v>
      </c>
    </row>
    <row r="1245" spans="1:14" x14ac:dyDescent="0.2">
      <c r="A1245" s="31">
        <f t="shared" si="367"/>
        <v>16</v>
      </c>
      <c r="B1245" s="253">
        <v>374.5</v>
      </c>
      <c r="C1245" s="52" t="s">
        <v>1038</v>
      </c>
      <c r="D1245" s="257">
        <f t="shared" si="362"/>
        <v>2705872.55</v>
      </c>
      <c r="E1245" s="382">
        <f>ROUND('Plant input detail '!E1247*'WPB2.2 Plant detail-w slippage'!$P$2,0)</f>
        <v>4200</v>
      </c>
      <c r="F1245" s="257">
        <f>ROUND('Plant input detail '!F1247*'WPB2.2 Plant detail-w slippage'!$P$2,0)</f>
        <v>-500</v>
      </c>
      <c r="G1245" s="257">
        <f t="shared" si="368"/>
        <v>2709572.55</v>
      </c>
      <c r="H1245" s="38"/>
      <c r="I1245" s="257">
        <f t="shared" si="363"/>
        <v>931436.23</v>
      </c>
      <c r="J1245" s="1362">
        <f t="shared" si="364"/>
        <v>1.29E-2</v>
      </c>
      <c r="K1245" s="173">
        <f t="shared" ref="K1245:K1250" si="369">ROUND((G1245+D1245)/2*J1245/12,0)</f>
        <v>2911</v>
      </c>
      <c r="L1245" s="38">
        <f t="shared" si="365"/>
        <v>500</v>
      </c>
      <c r="M1245" s="257">
        <f>ROUND('Plant input detail '!M1247*'WPB2.2 Plant detail-w slippage'!$P$2,0)</f>
        <v>0</v>
      </c>
      <c r="N1245" s="2227">
        <f t="shared" si="366"/>
        <v>933847.23</v>
      </c>
    </row>
    <row r="1246" spans="1:14" x14ac:dyDescent="0.2">
      <c r="A1246" s="31">
        <f t="shared" si="367"/>
        <v>17</v>
      </c>
      <c r="B1246" s="253">
        <v>375.2</v>
      </c>
      <c r="C1246" s="52" t="s">
        <v>1039</v>
      </c>
      <c r="D1246" s="257">
        <f t="shared" si="362"/>
        <v>2124.98</v>
      </c>
      <c r="E1246" s="382">
        <f>ROUND('Plant input detail '!E1248*'WPB2.2 Plant detail-w slippage'!$P$2,0)</f>
        <v>0</v>
      </c>
      <c r="F1246" s="257">
        <f>ROUND('Plant input detail '!F1248*'WPB2.2 Plant detail-w slippage'!$P$2,0)</f>
        <v>0</v>
      </c>
      <c r="G1246" s="257">
        <f t="shared" si="368"/>
        <v>2124.98</v>
      </c>
      <c r="H1246" s="38"/>
      <c r="I1246" s="257">
        <f t="shared" si="363"/>
        <v>2033.32</v>
      </c>
      <c r="J1246" s="1362">
        <f t="shared" si="364"/>
        <v>3.1800000000000002E-2</v>
      </c>
      <c r="K1246" s="173">
        <f t="shared" si="369"/>
        <v>6</v>
      </c>
      <c r="L1246" s="38">
        <f t="shared" si="365"/>
        <v>0</v>
      </c>
      <c r="M1246" s="257">
        <f>ROUND('Plant input detail '!M1248*'WPB2.2 Plant detail-w slippage'!$P$2,0)</f>
        <v>0</v>
      </c>
      <c r="N1246" s="2227">
        <f t="shared" si="366"/>
        <v>2039.32</v>
      </c>
    </row>
    <row r="1247" spans="1:14" x14ac:dyDescent="0.2">
      <c r="A1247" s="31">
        <f t="shared" si="367"/>
        <v>18</v>
      </c>
      <c r="B1247" s="253">
        <v>375.3</v>
      </c>
      <c r="C1247" s="52" t="s">
        <v>1040</v>
      </c>
      <c r="D1247" s="257">
        <f t="shared" si="362"/>
        <v>0</v>
      </c>
      <c r="E1247" s="382">
        <f>ROUND('Plant input detail '!E1249*'WPB2.2 Plant detail-w slippage'!$P$2,0)</f>
        <v>0</v>
      </c>
      <c r="F1247" s="257">
        <f>ROUND('Plant input detail '!F1249*'WPB2.2 Plant detail-w slippage'!$P$2,0)</f>
        <v>0</v>
      </c>
      <c r="G1247" s="257">
        <f t="shared" si="368"/>
        <v>0</v>
      </c>
      <c r="H1247" s="38"/>
      <c r="I1247" s="257">
        <f t="shared" si="363"/>
        <v>-77.66</v>
      </c>
      <c r="J1247" s="1362">
        <f t="shared" si="364"/>
        <v>3.1800000000000002E-2</v>
      </c>
      <c r="K1247" s="173">
        <f t="shared" si="369"/>
        <v>0</v>
      </c>
      <c r="L1247" s="38">
        <f t="shared" si="365"/>
        <v>0</v>
      </c>
      <c r="M1247" s="257">
        <f>ROUND('Plant input detail '!M1249*'WPB2.2 Plant detail-w slippage'!$P$2,0)</f>
        <v>0</v>
      </c>
      <c r="N1247" s="2227">
        <f t="shared" si="366"/>
        <v>-77.66</v>
      </c>
    </row>
    <row r="1248" spans="1:14" x14ac:dyDescent="0.2">
      <c r="A1248" s="31">
        <f t="shared" si="367"/>
        <v>19</v>
      </c>
      <c r="B1248" s="253">
        <v>375.4</v>
      </c>
      <c r="C1248" s="52" t="s">
        <v>1041</v>
      </c>
      <c r="D1248" s="257">
        <f t="shared" si="362"/>
        <v>2108930.02</v>
      </c>
      <c r="E1248" s="382">
        <f>ROUND('Plant input detail '!E1250*'WPB2.2 Plant detail-w slippage'!$P$2,0)</f>
        <v>11900</v>
      </c>
      <c r="F1248" s="257">
        <f>ROUND('Plant input detail '!F1250*'WPB2.2 Plant detail-w slippage'!$P$2,0)</f>
        <v>-1400</v>
      </c>
      <c r="G1248" s="257">
        <f t="shared" si="368"/>
        <v>2119430.02</v>
      </c>
      <c r="H1248" s="38"/>
      <c r="I1248" s="257">
        <f t="shared" si="363"/>
        <v>488023.37</v>
      </c>
      <c r="J1248" s="1362">
        <f t="shared" si="364"/>
        <v>3.1800000000000002E-2</v>
      </c>
      <c r="K1248" s="173">
        <f t="shared" si="369"/>
        <v>5603</v>
      </c>
      <c r="L1248" s="38">
        <f t="shared" si="365"/>
        <v>1400</v>
      </c>
      <c r="M1248" s="257">
        <f>ROUND('Plant input detail '!M1250*'WPB2.2 Plant detail-w slippage'!$P$2,0)</f>
        <v>-100</v>
      </c>
      <c r="N1248" s="2227">
        <f t="shared" si="366"/>
        <v>492126.37</v>
      </c>
    </row>
    <row r="1249" spans="1:14" x14ac:dyDescent="0.2">
      <c r="A1249" s="31">
        <f t="shared" si="367"/>
        <v>20</v>
      </c>
      <c r="B1249" s="253">
        <v>375.6</v>
      </c>
      <c r="C1249" s="52" t="s">
        <v>1042</v>
      </c>
      <c r="D1249" s="257">
        <f t="shared" si="362"/>
        <v>0</v>
      </c>
      <c r="E1249" s="382">
        <f>ROUND('Plant input detail '!E1251*'WPB2.2 Plant detail-w slippage'!$P$2,0)</f>
        <v>0</v>
      </c>
      <c r="F1249" s="257">
        <f>ROUND('Plant input detail '!F1251*'WPB2.2 Plant detail-w slippage'!$P$2,0)</f>
        <v>0</v>
      </c>
      <c r="G1249" s="257">
        <f t="shared" si="368"/>
        <v>0</v>
      </c>
      <c r="H1249" s="38"/>
      <c r="I1249" s="257">
        <f t="shared" si="363"/>
        <v>0.02</v>
      </c>
      <c r="J1249" s="1362">
        <f t="shared" si="364"/>
        <v>3.1800000000000002E-2</v>
      </c>
      <c r="K1249" s="173">
        <f t="shared" si="369"/>
        <v>0</v>
      </c>
      <c r="L1249" s="38">
        <f t="shared" si="365"/>
        <v>0</v>
      </c>
      <c r="M1249" s="257">
        <f>ROUND('Plant input detail '!M1251*'WPB2.2 Plant detail-w slippage'!$P$2,0)</f>
        <v>0</v>
      </c>
      <c r="N1249" s="2227">
        <f t="shared" si="366"/>
        <v>0.02</v>
      </c>
    </row>
    <row r="1250" spans="1:14" x14ac:dyDescent="0.2">
      <c r="A1250" s="31">
        <f t="shared" si="367"/>
        <v>21</v>
      </c>
      <c r="B1250" s="253">
        <v>375.7</v>
      </c>
      <c r="C1250" s="52" t="s">
        <v>1043</v>
      </c>
      <c r="D1250" s="257">
        <f t="shared" si="362"/>
        <v>8298050.21</v>
      </c>
      <c r="E1250" s="382">
        <f>ROUND('Plant input detail '!E1252*'WPB2.2 Plant detail-w slippage'!$P$2,0)</f>
        <v>48300</v>
      </c>
      <c r="F1250" s="257">
        <f>ROUND('Plant input detail '!F1252*'WPB2.2 Plant detail-w slippage'!$P$2,0)</f>
        <v>-5800</v>
      </c>
      <c r="G1250" s="257">
        <f t="shared" si="368"/>
        <v>8340550.21</v>
      </c>
      <c r="H1250" s="38"/>
      <c r="I1250" s="257">
        <f t="shared" si="363"/>
        <v>3325089.06</v>
      </c>
      <c r="J1250" s="1362">
        <f t="shared" si="364"/>
        <v>2.1299999999999999E-2</v>
      </c>
      <c r="K1250" s="173">
        <f t="shared" si="369"/>
        <v>14767</v>
      </c>
      <c r="L1250" s="38">
        <f t="shared" si="365"/>
        <v>5800</v>
      </c>
      <c r="M1250" s="257">
        <f>ROUND('Plant input detail '!M1252*'WPB2.2 Plant detail-w slippage'!$P$2,0)</f>
        <v>0</v>
      </c>
      <c r="N1250" s="2227">
        <f t="shared" si="366"/>
        <v>3334056.06</v>
      </c>
    </row>
    <row r="1251" spans="1:14" x14ac:dyDescent="0.2">
      <c r="A1251" s="31">
        <f t="shared" si="367"/>
        <v>22</v>
      </c>
      <c r="B1251" s="253">
        <v>375.71</v>
      </c>
      <c r="C1251" s="52" t="s">
        <v>1044</v>
      </c>
      <c r="D1251" s="257">
        <f t="shared" si="362"/>
        <v>259808.94</v>
      </c>
      <c r="E1251" s="382">
        <f>ROUND('Plant input detail '!E1253*'WPB2.2 Plant detail-w slippage'!$P$2,0)</f>
        <v>0</v>
      </c>
      <c r="F1251" s="257">
        <f>ROUND('Plant input detail '!F1253*'WPB2.2 Plant detail-w slippage'!$P$2,0)</f>
        <v>0</v>
      </c>
      <c r="G1251" s="257">
        <f t="shared" si="368"/>
        <v>259808.94</v>
      </c>
      <c r="H1251" s="38"/>
      <c r="I1251" s="257">
        <f t="shared" si="363"/>
        <v>185449.60421052645</v>
      </c>
      <c r="J1251" s="1362" t="str">
        <f t="shared" si="364"/>
        <v>Amort.</v>
      </c>
      <c r="K1251" s="258">
        <f>104653.88/38</f>
        <v>2754.0494736842106</v>
      </c>
      <c r="L1251" s="38">
        <f t="shared" si="365"/>
        <v>0</v>
      </c>
      <c r="M1251" s="257">
        <f>ROUND('Plant input detail '!M1253*'WPB2.2 Plant detail-w slippage'!$P$2,0)</f>
        <v>0</v>
      </c>
      <c r="N1251" s="2227">
        <f t="shared" si="366"/>
        <v>188203.65368421067</v>
      </c>
    </row>
    <row r="1252" spans="1:14" x14ac:dyDescent="0.2">
      <c r="A1252" s="31">
        <f t="shared" si="367"/>
        <v>23</v>
      </c>
      <c r="B1252" s="253">
        <v>375.8</v>
      </c>
      <c r="C1252" s="52" t="s">
        <v>1045</v>
      </c>
      <c r="D1252" s="257">
        <f t="shared" si="362"/>
        <v>0</v>
      </c>
      <c r="E1252" s="382">
        <f>ROUND('Plant input detail '!E1254*'WPB2.2 Plant detail-w slippage'!$P$2,0)</f>
        <v>0</v>
      </c>
      <c r="F1252" s="257">
        <f>ROUND('Plant input detail '!F1254*'WPB2.2 Plant detail-w slippage'!$P$2,0)</f>
        <v>0</v>
      </c>
      <c r="G1252" s="257">
        <f t="shared" si="368"/>
        <v>0</v>
      </c>
      <c r="H1252" s="38"/>
      <c r="I1252" s="257">
        <f t="shared" si="363"/>
        <v>0</v>
      </c>
      <c r="J1252" s="1362">
        <f t="shared" si="364"/>
        <v>0</v>
      </c>
      <c r="K1252" s="259">
        <v>0</v>
      </c>
      <c r="L1252" s="38">
        <f t="shared" si="365"/>
        <v>0</v>
      </c>
      <c r="M1252" s="257">
        <f>ROUND('Plant input detail '!M1254*'WPB2.2 Plant detail-w slippage'!$P$2,0)</f>
        <v>0</v>
      </c>
      <c r="N1252" s="2227">
        <f t="shared" si="366"/>
        <v>0</v>
      </c>
    </row>
    <row r="1253" spans="1:14" x14ac:dyDescent="0.2">
      <c r="A1253" s="31">
        <f>A1252+1</f>
        <v>24</v>
      </c>
      <c r="B1253" s="253">
        <v>376</v>
      </c>
      <c r="C1253" s="251" t="s">
        <v>1096</v>
      </c>
      <c r="D1253" s="257"/>
      <c r="E1253" s="258"/>
      <c r="F1253" s="259"/>
      <c r="G1253" s="257"/>
      <c r="H1253" s="38"/>
      <c r="I1253" s="181"/>
      <c r="J1253" s="1361"/>
      <c r="K1253" s="173"/>
      <c r="L1253" s="38"/>
      <c r="M1253" s="259"/>
    </row>
    <row r="1254" spans="1:14" x14ac:dyDescent="0.2">
      <c r="A1254" s="31"/>
      <c r="B1254" s="253"/>
      <c r="C1254" s="286" t="s">
        <v>1097</v>
      </c>
      <c r="D1254" s="257"/>
      <c r="E1254" s="258"/>
      <c r="F1254" s="259"/>
      <c r="G1254" s="257"/>
      <c r="H1254" s="38"/>
      <c r="I1254" s="257"/>
      <c r="J1254" s="1362"/>
      <c r="K1254" s="173"/>
      <c r="L1254" s="38"/>
      <c r="M1254" s="257"/>
      <c r="N1254" s="2227"/>
    </row>
    <row r="1255" spans="1:14" x14ac:dyDescent="0.2">
      <c r="A1255" s="31"/>
      <c r="B1255" s="253"/>
      <c r="C1255" s="286" t="s">
        <v>1098</v>
      </c>
      <c r="D1255" s="257"/>
      <c r="E1255" s="258"/>
      <c r="F1255" s="259"/>
      <c r="G1255" s="257"/>
      <c r="H1255" s="38"/>
      <c r="I1255" s="257"/>
      <c r="J1255" s="1362"/>
      <c r="K1255" s="173"/>
      <c r="L1255" s="38"/>
      <c r="M1255" s="257"/>
      <c r="N1255" s="2227"/>
    </row>
    <row r="1256" spans="1:14" x14ac:dyDescent="0.2">
      <c r="A1256" s="31"/>
      <c r="B1256" s="253"/>
      <c r="C1256" s="286" t="s">
        <v>1099</v>
      </c>
      <c r="D1256" s="257"/>
      <c r="E1256" s="258"/>
      <c r="F1256" s="259"/>
      <c r="G1256" s="257"/>
      <c r="H1256" s="38"/>
      <c r="I1256" s="257"/>
      <c r="J1256" s="1362"/>
      <c r="K1256" s="173"/>
      <c r="L1256" s="38"/>
      <c r="M1256" s="257"/>
      <c r="N1256" s="2227"/>
    </row>
    <row r="1257" spans="1:14" x14ac:dyDescent="0.2">
      <c r="A1257" s="31"/>
      <c r="B1257" s="253"/>
      <c r="C1257" s="286" t="s">
        <v>1100</v>
      </c>
      <c r="D1257" s="257"/>
      <c r="E1257" s="258"/>
      <c r="F1257" s="259"/>
      <c r="G1257" s="257"/>
      <c r="H1257" s="38"/>
      <c r="I1257" s="257"/>
      <c r="J1257" s="1362"/>
      <c r="K1257" s="173"/>
      <c r="L1257" s="38"/>
      <c r="M1257" s="257"/>
      <c r="N1257" s="2227"/>
    </row>
    <row r="1258" spans="1:14" x14ac:dyDescent="0.2">
      <c r="A1258" s="31"/>
      <c r="B1258" s="253"/>
      <c r="C1258" s="286" t="s">
        <v>1101</v>
      </c>
      <c r="D1258" s="257">
        <f t="shared" ref="D1258:D1263" si="370">G1152</f>
        <v>213870725.44</v>
      </c>
      <c r="E1258" s="382">
        <f>ROUND('Plant input detail '!E1260*'WPB2.2 Plant detail-w slippage'!$P$2,0)</f>
        <v>559920</v>
      </c>
      <c r="F1258" s="257">
        <f>ROUND('Plant input detail '!F1260*'WPB2.2 Plant detail-w slippage'!$P$2,0)</f>
        <v>-67200</v>
      </c>
      <c r="G1258" s="257">
        <f t="shared" ref="G1258:G1263" si="371">SUM(D1258:F1258)</f>
        <v>214363445.44</v>
      </c>
      <c r="H1258" s="38"/>
      <c r="I1258" s="257">
        <f t="shared" ref="I1258:I1263" si="372">N1152</f>
        <v>57787097.609999999</v>
      </c>
      <c r="J1258" s="1362">
        <f t="shared" ref="J1258:J1263" si="373">J1152</f>
        <v>2.3E-2</v>
      </c>
      <c r="K1258" s="173">
        <f t="shared" ref="K1258:K1263" si="374">ROUND((G1258+D1258)/2*J1258/12,0)</f>
        <v>410391</v>
      </c>
      <c r="L1258" s="38">
        <f t="shared" ref="L1258:L1263" si="375">-F1258</f>
        <v>67200</v>
      </c>
      <c r="M1258" s="257">
        <f>ROUND('Plant input detail '!M1260*'WPB2.2 Plant detail-w slippage'!$P$2,0)</f>
        <v>-10100</v>
      </c>
      <c r="N1258" s="2227">
        <f t="shared" ref="N1258:N1263" si="376">I1258+K1258-L1258+M1258</f>
        <v>58120188.609999999</v>
      </c>
    </row>
    <row r="1259" spans="1:14" x14ac:dyDescent="0.2">
      <c r="A1259" s="31">
        <f>A1253+1</f>
        <v>25</v>
      </c>
      <c r="B1259" s="253">
        <v>378.1</v>
      </c>
      <c r="C1259" s="52" t="s">
        <v>1047</v>
      </c>
      <c r="D1259" s="257">
        <f t="shared" si="370"/>
        <v>518504.18</v>
      </c>
      <c r="E1259" s="382">
        <f>ROUND('Plant input detail '!E1261*'WPB2.2 Plant detail-w slippage'!$P$2,0)</f>
        <v>0</v>
      </c>
      <c r="F1259" s="257">
        <f>ROUND('Plant input detail '!F1261*'WPB2.2 Plant detail-w slippage'!$P$2,0)</f>
        <v>0</v>
      </c>
      <c r="G1259" s="257">
        <f t="shared" si="371"/>
        <v>518504.18</v>
      </c>
      <c r="H1259" s="38"/>
      <c r="I1259" s="257">
        <f t="shared" si="372"/>
        <v>364896.81</v>
      </c>
      <c r="J1259" s="1362">
        <f t="shared" si="373"/>
        <v>3.32E-2</v>
      </c>
      <c r="K1259" s="173">
        <f t="shared" si="374"/>
        <v>1435</v>
      </c>
      <c r="L1259" s="38">
        <f t="shared" si="375"/>
        <v>0</v>
      </c>
      <c r="M1259" s="257">
        <f>ROUND('Plant input detail '!M1261*'WPB2.2 Plant detail-w slippage'!$P$2,0)</f>
        <v>0</v>
      </c>
      <c r="N1259" s="2227">
        <f t="shared" si="376"/>
        <v>366331.81</v>
      </c>
    </row>
    <row r="1260" spans="1:14" x14ac:dyDescent="0.2">
      <c r="A1260" s="31">
        <f t="shared" si="367"/>
        <v>26</v>
      </c>
      <c r="B1260" s="253">
        <v>378.2</v>
      </c>
      <c r="C1260" s="52" t="s">
        <v>1048</v>
      </c>
      <c r="D1260" s="257">
        <f t="shared" si="370"/>
        <v>9798624</v>
      </c>
      <c r="E1260" s="382">
        <f>ROUND('Plant input detail '!E1262*'WPB2.2 Plant detail-w slippage'!$P$2,0)</f>
        <v>11400</v>
      </c>
      <c r="F1260" s="257">
        <f>ROUND('Plant input detail '!F1262*'WPB2.2 Plant detail-w slippage'!$P$2,0)</f>
        <v>-1400</v>
      </c>
      <c r="G1260" s="257">
        <f t="shared" si="371"/>
        <v>9808624</v>
      </c>
      <c r="H1260" s="38"/>
      <c r="I1260" s="257">
        <f t="shared" si="372"/>
        <v>3393448.91</v>
      </c>
      <c r="J1260" s="1362">
        <f t="shared" si="373"/>
        <v>3.32E-2</v>
      </c>
      <c r="K1260" s="173">
        <f t="shared" si="374"/>
        <v>27123</v>
      </c>
      <c r="L1260" s="38">
        <f t="shared" si="375"/>
        <v>1400</v>
      </c>
      <c r="M1260" s="257">
        <f>ROUND('Plant input detail '!M1262*'WPB2.2 Plant detail-w slippage'!$P$2,0)</f>
        <v>-100</v>
      </c>
      <c r="N1260" s="2227">
        <f t="shared" si="376"/>
        <v>3419071.91</v>
      </c>
    </row>
    <row r="1261" spans="1:14" x14ac:dyDescent="0.2">
      <c r="A1261" s="31">
        <f t="shared" si="367"/>
        <v>27</v>
      </c>
      <c r="B1261" s="253">
        <v>378.3</v>
      </c>
      <c r="C1261" s="52" t="s">
        <v>1049</v>
      </c>
      <c r="D1261" s="257">
        <f t="shared" si="370"/>
        <v>45443.08</v>
      </c>
      <c r="E1261" s="382">
        <f>ROUND('Plant input detail '!E1263*'WPB2.2 Plant detail-w slippage'!$P$2,0)</f>
        <v>0</v>
      </c>
      <c r="F1261" s="257">
        <f>ROUND('Plant input detail '!F1263*'WPB2.2 Plant detail-w slippage'!$P$2,0)</f>
        <v>0</v>
      </c>
      <c r="G1261" s="257">
        <f t="shared" si="371"/>
        <v>45443.08</v>
      </c>
      <c r="H1261" s="38"/>
      <c r="I1261" s="257">
        <f t="shared" si="372"/>
        <v>36004.04</v>
      </c>
      <c r="J1261" s="1362">
        <f t="shared" si="373"/>
        <v>3.32E-2</v>
      </c>
      <c r="K1261" s="173">
        <f t="shared" si="374"/>
        <v>126</v>
      </c>
      <c r="L1261" s="38">
        <f t="shared" si="375"/>
        <v>0</v>
      </c>
      <c r="M1261" s="257">
        <f>ROUND('Plant input detail '!M1263*'WPB2.2 Plant detail-w slippage'!$P$2,0)</f>
        <v>0</v>
      </c>
      <c r="N1261" s="2227">
        <f t="shared" si="376"/>
        <v>36130.04</v>
      </c>
    </row>
    <row r="1262" spans="1:14" x14ac:dyDescent="0.2">
      <c r="A1262" s="31">
        <f t="shared" si="367"/>
        <v>28</v>
      </c>
      <c r="B1262" s="253">
        <v>379.1</v>
      </c>
      <c r="C1262" s="52" t="s">
        <v>1050</v>
      </c>
      <c r="D1262" s="257">
        <f t="shared" si="370"/>
        <v>254900.59</v>
      </c>
      <c r="E1262" s="382">
        <f>ROUND('Plant input detail '!E1264*'WPB2.2 Plant detail-w slippage'!$P$2,0)</f>
        <v>0</v>
      </c>
      <c r="F1262" s="257">
        <f>ROUND('Plant input detail '!F1264*'WPB2.2 Plant detail-w slippage'!$P$2,0)</f>
        <v>0</v>
      </c>
      <c r="G1262" s="257">
        <f t="shared" si="371"/>
        <v>254900.59</v>
      </c>
      <c r="H1262" s="38"/>
      <c r="I1262" s="257">
        <f t="shared" si="372"/>
        <v>267730.57</v>
      </c>
      <c r="J1262" s="1362">
        <f t="shared" si="373"/>
        <v>6.0000000000000001E-3</v>
      </c>
      <c r="K1262" s="259">
        <v>0</v>
      </c>
      <c r="L1262" s="38">
        <f t="shared" si="375"/>
        <v>0</v>
      </c>
      <c r="M1262" s="257">
        <f>ROUND('Plant input detail '!M1264*'WPB2.2 Plant detail-w slippage'!$P$2,0)</f>
        <v>0</v>
      </c>
      <c r="N1262" s="2227">
        <f t="shared" si="376"/>
        <v>267730.57</v>
      </c>
    </row>
    <row r="1263" spans="1:14" x14ac:dyDescent="0.2">
      <c r="A1263" s="31">
        <f t="shared" si="367"/>
        <v>29</v>
      </c>
      <c r="B1263" s="253">
        <v>380</v>
      </c>
      <c r="C1263" s="52" t="s">
        <v>1051</v>
      </c>
      <c r="D1263" s="257">
        <f t="shared" si="370"/>
        <v>123450478.77</v>
      </c>
      <c r="E1263" s="382">
        <f>ROUND('Plant input detail '!E1265*'WPB2.2 Plant detail-w slippage'!$P$2,0)</f>
        <v>362246</v>
      </c>
      <c r="F1263" s="257">
        <f>ROUND('Plant input detail '!F1265*'WPB2.2 Plant detail-w slippage'!$P$2,0)</f>
        <v>-43500</v>
      </c>
      <c r="G1263" s="257">
        <f t="shared" si="371"/>
        <v>123769224.77</v>
      </c>
      <c r="H1263" s="38"/>
      <c r="I1263" s="257">
        <f t="shared" si="372"/>
        <v>59233051.520000003</v>
      </c>
      <c r="J1263" s="1362">
        <f t="shared" si="373"/>
        <v>5.0999999999999997E-2</v>
      </c>
      <c r="K1263" s="173">
        <f t="shared" si="374"/>
        <v>525342</v>
      </c>
      <c r="L1263" s="38">
        <f t="shared" si="375"/>
        <v>43500</v>
      </c>
      <c r="M1263" s="257">
        <f>ROUND('Plant input detail '!M1265*'WPB2.2 Plant detail-w slippage'!$P$2,0)</f>
        <v>-21700</v>
      </c>
      <c r="N1263" s="2227">
        <f t="shared" si="376"/>
        <v>59693193.520000003</v>
      </c>
    </row>
    <row r="1264" spans="1:14" x14ac:dyDescent="0.2">
      <c r="A1264" s="170"/>
      <c r="B1264" s="179"/>
      <c r="C1264" s="178"/>
      <c r="D1264" s="181"/>
      <c r="E1264" s="173"/>
      <c r="F1264" s="173"/>
      <c r="G1264" s="181"/>
      <c r="H1264" s="173"/>
      <c r="I1264" s="173"/>
      <c r="J1264" s="173"/>
      <c r="K1264" s="173"/>
      <c r="L1264" s="173"/>
      <c r="M1264" s="171"/>
      <c r="N1264" s="2229"/>
    </row>
    <row r="1265" spans="1:14" x14ac:dyDescent="0.2">
      <c r="A1265" s="2079" t="str">
        <f>co</f>
        <v>COLUMBIA GAS OF KENTUCKY, INC.</v>
      </c>
      <c r="B1265" s="2079"/>
      <c r="C1265" s="2079"/>
      <c r="D1265" s="2079"/>
      <c r="E1265" s="2079"/>
      <c r="F1265" s="2079"/>
      <c r="G1265" s="2079"/>
      <c r="H1265" s="2079"/>
      <c r="I1265" s="2079"/>
      <c r="J1265" s="2079"/>
      <c r="K1265" s="2079"/>
      <c r="L1265" s="2079"/>
      <c r="M1265" s="2079"/>
      <c r="N1265" s="2079"/>
    </row>
    <row r="1266" spans="1:14" x14ac:dyDescent="0.2">
      <c r="A1266" s="2079" t="str">
        <f>case</f>
        <v>CASE NO. 2016 - 00162</v>
      </c>
      <c r="B1266" s="2079"/>
      <c r="C1266" s="2079"/>
      <c r="D1266" s="2079"/>
      <c r="E1266" s="2079"/>
      <c r="F1266" s="2079"/>
      <c r="G1266" s="2079"/>
      <c r="H1266" s="2079"/>
      <c r="I1266" s="2079"/>
      <c r="J1266" s="2079"/>
      <c r="K1266" s="2079"/>
      <c r="L1266" s="2079"/>
      <c r="M1266" s="2079"/>
      <c r="N1266" s="2079"/>
    </row>
    <row r="1267" spans="1:14" x14ac:dyDescent="0.2">
      <c r="A1267" s="2080" t="s">
        <v>1106</v>
      </c>
      <c r="B1267" s="2079"/>
      <c r="C1267" s="2079"/>
      <c r="D1267" s="2079"/>
      <c r="E1267" s="2079"/>
      <c r="F1267" s="2079"/>
      <c r="G1267" s="2079"/>
      <c r="H1267" s="2079"/>
      <c r="I1267" s="2079"/>
      <c r="J1267" s="2079"/>
      <c r="K1267" s="2079"/>
      <c r="L1267" s="2079"/>
      <c r="M1267" s="2079"/>
      <c r="N1267" s="2079"/>
    </row>
    <row r="1268" spans="1:14" x14ac:dyDescent="0.2">
      <c r="A1268" s="2081" t="s">
        <v>2142</v>
      </c>
      <c r="B1268" s="2085"/>
      <c r="C1268" s="2085"/>
      <c r="D1268" s="2085"/>
      <c r="E1268" s="2085"/>
      <c r="F1268" s="2085"/>
      <c r="G1268" s="2085"/>
      <c r="H1268" s="2085"/>
      <c r="I1268" s="2085"/>
      <c r="J1268" s="2085"/>
      <c r="K1268" s="2085"/>
      <c r="L1268" s="2085"/>
      <c r="M1268" s="2085"/>
      <c r="N1268" s="2085"/>
    </row>
    <row r="1270" spans="1:14" x14ac:dyDescent="0.2">
      <c r="A1270" s="285" t="str">
        <f>$A$6</f>
        <v>DATA:__X___BASE PERIOD__X___FORECASTED PERIOD</v>
      </c>
      <c r="C1270" s="171"/>
      <c r="M1270" s="32"/>
      <c r="N1270" s="1258" t="str">
        <f>$N$6</f>
        <v>WPB-2.2</v>
      </c>
    </row>
    <row r="1271" spans="1:14" x14ac:dyDescent="0.2">
      <c r="A1271" s="4" t="str">
        <f>$A$7</f>
        <v>TYPE OF FILING:___X____ORIGINAL________UPDATED</v>
      </c>
      <c r="M1271" s="32"/>
      <c r="N1271" s="2223" t="s">
        <v>1737</v>
      </c>
    </row>
    <row r="1272" spans="1:14" x14ac:dyDescent="0.2">
      <c r="A1272" s="1261" t="str">
        <f>$A$8</f>
        <v xml:space="preserve">WORKPAPER REFERENCE NO(S).: </v>
      </c>
      <c r="B1272" s="202"/>
      <c r="C1272" s="202"/>
      <c r="D1272" s="201"/>
      <c r="E1272" s="202"/>
      <c r="F1272" s="202"/>
      <c r="G1272" s="201"/>
      <c r="H1272" s="201"/>
      <c r="M1272" s="203"/>
      <c r="N1272" s="204" t="str">
        <f>SMK</f>
        <v>WITNESS:  S. M. KATKO</v>
      </c>
    </row>
    <row r="1273" spans="1:14" x14ac:dyDescent="0.2">
      <c r="A1273" s="200"/>
      <c r="B1273" s="201"/>
      <c r="C1273" s="201"/>
      <c r="D1273" s="201"/>
      <c r="E1273" s="202"/>
      <c r="F1273" s="202"/>
      <c r="G1273" s="201"/>
      <c r="H1273" s="201"/>
      <c r="I1273" s="203"/>
      <c r="J1273" s="1357"/>
      <c r="L1273" s="32"/>
      <c r="M1273" s="32"/>
    </row>
    <row r="1274" spans="1:14" x14ac:dyDescent="0.2">
      <c r="A1274" s="200"/>
      <c r="B1274" s="201"/>
      <c r="C1274" s="201"/>
      <c r="D1274" s="2082" t="s">
        <v>1088</v>
      </c>
      <c r="E1274" s="2082"/>
      <c r="F1274" s="2082"/>
      <c r="G1274" s="2082"/>
      <c r="H1274" s="201"/>
      <c r="I1274" s="2083" t="s">
        <v>1093</v>
      </c>
      <c r="J1274" s="2084"/>
      <c r="K1274" s="2084"/>
      <c r="L1274" s="2084"/>
      <c r="M1274" s="2084"/>
      <c r="N1274" s="2084"/>
    </row>
    <row r="1275" spans="1:14" x14ac:dyDescent="0.2">
      <c r="A1275" s="270"/>
      <c r="B1275" s="201"/>
      <c r="C1275" s="201"/>
      <c r="D1275" s="271" t="s">
        <v>1084</v>
      </c>
      <c r="E1275" s="202"/>
      <c r="F1275" s="202"/>
      <c r="G1275" s="269"/>
      <c r="H1275" s="269"/>
      <c r="I1275" s="261" t="s">
        <v>1089</v>
      </c>
      <c r="J1275" s="1358"/>
      <c r="M1275" s="32"/>
    </row>
    <row r="1276" spans="1:14" x14ac:dyDescent="0.2">
      <c r="A1276" s="30"/>
      <c r="D1276" s="261" t="s">
        <v>865</v>
      </c>
      <c r="G1276" s="261" t="s">
        <v>867</v>
      </c>
      <c r="H1276" s="268"/>
      <c r="I1276" s="261" t="s">
        <v>865</v>
      </c>
      <c r="J1276" s="1308" t="s">
        <v>956</v>
      </c>
      <c r="M1276" s="32"/>
      <c r="N1276" s="2225" t="s">
        <v>867</v>
      </c>
    </row>
    <row r="1277" spans="1:14" x14ac:dyDescent="0.2">
      <c r="A1277" s="261" t="s">
        <v>1080</v>
      </c>
      <c r="B1277" s="261" t="s">
        <v>1082</v>
      </c>
      <c r="D1277" s="261" t="s">
        <v>867</v>
      </c>
      <c r="G1277" s="262" t="s">
        <v>1087</v>
      </c>
      <c r="H1277" s="268"/>
      <c r="I1277" s="262" t="s">
        <v>867</v>
      </c>
      <c r="J1277" s="1308" t="s">
        <v>1090</v>
      </c>
      <c r="K1277" s="1308" t="s">
        <v>956</v>
      </c>
      <c r="M1277" s="262" t="s">
        <v>1092</v>
      </c>
      <c r="N1277" s="1259" t="s">
        <v>1087</v>
      </c>
    </row>
    <row r="1278" spans="1:14" x14ac:dyDescent="0.2">
      <c r="A1278" s="272" t="s">
        <v>1081</v>
      </c>
      <c r="B1278" s="272" t="s">
        <v>1081</v>
      </c>
      <c r="C1278" s="273" t="s">
        <v>1083</v>
      </c>
      <c r="D1278" s="274" t="str">
        <f>D1225</f>
        <v>01/31/2017</v>
      </c>
      <c r="E1278" s="275" t="s">
        <v>1085</v>
      </c>
      <c r="F1278" s="275" t="s">
        <v>1086</v>
      </c>
      <c r="G1278" s="274" t="str">
        <f>G1225</f>
        <v>02/28/2017</v>
      </c>
      <c r="H1278" s="268"/>
      <c r="I1278" s="274" t="str">
        <f>D1278</f>
        <v>01/31/2017</v>
      </c>
      <c r="J1278" s="275" t="s">
        <v>1091</v>
      </c>
      <c r="K1278" s="1327" t="s">
        <v>1090</v>
      </c>
      <c r="L1278" s="276" t="s">
        <v>1086</v>
      </c>
      <c r="M1278" s="276" t="s">
        <v>955</v>
      </c>
      <c r="N1278" s="2226" t="str">
        <f>G1278</f>
        <v>02/28/2017</v>
      </c>
    </row>
    <row r="1279" spans="1:14" x14ac:dyDescent="0.2">
      <c r="A1279" s="267"/>
      <c r="B1279" s="267"/>
      <c r="C1279" s="267"/>
      <c r="D1279" s="267" t="str">
        <f>"(1)"</f>
        <v>(1)</v>
      </c>
      <c r="E1279" s="267" t="str">
        <f>"(2)"</f>
        <v>(2)</v>
      </c>
      <c r="F1279" s="267" t="str">
        <f>"(3)"</f>
        <v>(3)</v>
      </c>
      <c r="G1279" s="267" t="str">
        <f>"(4)=(1+2+3)"</f>
        <v>(4)=(1+2+3)</v>
      </c>
      <c r="H1279" s="267"/>
      <c r="I1279" s="267" t="str">
        <f>"(5)"</f>
        <v>(5)</v>
      </c>
      <c r="J1279" s="1328" t="str">
        <f>"(6)"</f>
        <v>(6)</v>
      </c>
      <c r="K1279" s="1328" t="str">
        <f>"(7)=((1+4)/2*6/12))"</f>
        <v>(7)=((1+4)/2*6/12))</v>
      </c>
      <c r="L1279" s="267" t="str">
        <f>"(8)"</f>
        <v>(8)</v>
      </c>
      <c r="M1279" s="267" t="str">
        <f>"(9)"</f>
        <v>(9)</v>
      </c>
      <c r="N1279" s="204" t="str">
        <f>"(10)=(5+7-8+9)"</f>
        <v>(10)=(5+7-8+9)</v>
      </c>
    </row>
    <row r="1280" spans="1:14" x14ac:dyDescent="0.2">
      <c r="D1280" s="31" t="s">
        <v>639</v>
      </c>
      <c r="E1280" s="170" t="s">
        <v>639</v>
      </c>
      <c r="F1280" s="170" t="s">
        <v>639</v>
      </c>
      <c r="G1280" s="31" t="s">
        <v>639</v>
      </c>
      <c r="H1280" s="31"/>
      <c r="I1280" s="31" t="s">
        <v>639</v>
      </c>
      <c r="J1280" s="170" t="s">
        <v>639</v>
      </c>
      <c r="K1280" s="170" t="s">
        <v>639</v>
      </c>
      <c r="L1280" s="31" t="s">
        <v>639</v>
      </c>
      <c r="M1280" s="31" t="s">
        <v>639</v>
      </c>
      <c r="N1280" s="155" t="s">
        <v>639</v>
      </c>
    </row>
    <row r="1281" spans="1:14" x14ac:dyDescent="0.2">
      <c r="C1281" s="36" t="s">
        <v>707</v>
      </c>
      <c r="D1281" s="31"/>
      <c r="E1281" s="170"/>
      <c r="F1281" s="170"/>
      <c r="G1281" s="31"/>
      <c r="J1281" s="170"/>
    </row>
    <row r="1282" spans="1:14" x14ac:dyDescent="0.2">
      <c r="A1282" s="127">
        <v>1</v>
      </c>
      <c r="B1282" s="123">
        <v>381</v>
      </c>
      <c r="C1282" s="52" t="s">
        <v>1052</v>
      </c>
      <c r="D1282" s="257">
        <f t="shared" ref="D1282:D1293" si="377">G1176</f>
        <v>13742908.550000001</v>
      </c>
      <c r="E1282" s="382">
        <f>ROUND('Plant input detail '!E1284*'WPB2.2 Plant detail-w slippage'!$P$2,0)</f>
        <v>15000</v>
      </c>
      <c r="F1282" s="257">
        <f>ROUND('Plant input detail '!F1284*'WPB2.2 Plant detail-w slippage'!$P$2,0)</f>
        <v>-1800</v>
      </c>
      <c r="G1282" s="257">
        <f>SUM(D1282:F1282)</f>
        <v>13756108.550000001</v>
      </c>
      <c r="H1282" s="38"/>
      <c r="I1282" s="257">
        <f t="shared" ref="I1282:I1293" si="378">N1176</f>
        <v>4964982.8899999997</v>
      </c>
      <c r="J1282" s="1362">
        <f t="shared" ref="J1282:J1293" si="379">J1176</f>
        <v>3.3000000000000002E-2</v>
      </c>
      <c r="K1282" s="173">
        <f t="shared" ref="K1282:K1293" si="380">ROUND((G1282+D1282)/2*J1282/12,0)</f>
        <v>37811</v>
      </c>
      <c r="L1282" s="38">
        <f t="shared" ref="L1282:L1293" si="381">-F1282</f>
        <v>1800</v>
      </c>
      <c r="M1282" s="257">
        <f>ROUND('Plant input detail '!M1284*'WPB2.2 Plant detail-w slippage'!$P$2,0)</f>
        <v>0</v>
      </c>
      <c r="N1282" s="2227">
        <f t="shared" ref="N1282:N1293" si="382">I1282+K1282-L1282+M1282</f>
        <v>5000993.8899999997</v>
      </c>
    </row>
    <row r="1283" spans="1:14" x14ac:dyDescent="0.2">
      <c r="A1283" s="127">
        <f>A1282+1</f>
        <v>2</v>
      </c>
      <c r="B1283" s="123">
        <v>381.1</v>
      </c>
      <c r="C1283" s="52" t="s">
        <v>1115</v>
      </c>
      <c r="D1283" s="257">
        <f t="shared" si="377"/>
        <v>8799312.0600000005</v>
      </c>
      <c r="E1283" s="382">
        <f>ROUND('Plant input detail '!E1285*'WPB2.2 Plant detail-w slippage'!$P$2,0)</f>
        <v>5300</v>
      </c>
      <c r="F1283" s="257">
        <f>ROUND('Plant input detail '!F1285*'WPB2.2 Plant detail-w slippage'!$P$2,0)</f>
        <v>-600</v>
      </c>
      <c r="G1283" s="257">
        <f>SUM(D1283:F1283)</f>
        <v>8804012.0600000005</v>
      </c>
      <c r="H1283" s="38"/>
      <c r="I1283" s="257">
        <f t="shared" si="378"/>
        <v>608501.5</v>
      </c>
      <c r="J1283" s="1362">
        <f t="shared" si="379"/>
        <v>8.0600000000000005E-2</v>
      </c>
      <c r="K1283" s="173">
        <f t="shared" si="380"/>
        <v>59118</v>
      </c>
      <c r="L1283" s="38">
        <f t="shared" si="381"/>
        <v>600</v>
      </c>
      <c r="M1283" s="257">
        <f>ROUND('Plant input detail '!M1285*'WPB2.2 Plant detail-w slippage'!$P$2,0)</f>
        <v>0</v>
      </c>
      <c r="N1283" s="2227">
        <f t="shared" si="382"/>
        <v>667019.5</v>
      </c>
    </row>
    <row r="1284" spans="1:14" x14ac:dyDescent="0.2">
      <c r="A1284" s="127">
        <f t="shared" ref="A1284:A1294" si="383">A1283+1</f>
        <v>3</v>
      </c>
      <c r="B1284" s="123">
        <v>382</v>
      </c>
      <c r="C1284" s="52" t="s">
        <v>1053</v>
      </c>
      <c r="D1284" s="257">
        <f t="shared" si="377"/>
        <v>9302192.6500000004</v>
      </c>
      <c r="E1284" s="382">
        <f>ROUND('Plant input detail '!E1286*'WPB2.2 Plant detail-w slippage'!$P$2,0)</f>
        <v>20300</v>
      </c>
      <c r="F1284" s="257">
        <f>ROUND('Plant input detail '!F1286*'WPB2.2 Plant detail-w slippage'!$P$2,0)</f>
        <v>-2400</v>
      </c>
      <c r="G1284" s="257">
        <f t="shared" ref="G1284:G1289" si="384">SUM(D1284:F1284)</f>
        <v>9320092.6500000004</v>
      </c>
      <c r="H1284" s="38"/>
      <c r="I1284" s="257">
        <f t="shared" si="378"/>
        <v>4640882.3</v>
      </c>
      <c r="J1284" s="1362">
        <f t="shared" si="379"/>
        <v>2.4400000000000002E-2</v>
      </c>
      <c r="K1284" s="173">
        <f t="shared" si="380"/>
        <v>18933</v>
      </c>
      <c r="L1284" s="38">
        <f t="shared" si="381"/>
        <v>2400</v>
      </c>
      <c r="M1284" s="257">
        <f>ROUND('Plant input detail '!M1286*'WPB2.2 Plant detail-w slippage'!$P$2,0)</f>
        <v>-100</v>
      </c>
      <c r="N1284" s="2227">
        <f t="shared" si="382"/>
        <v>4657315.3</v>
      </c>
    </row>
    <row r="1285" spans="1:14" x14ac:dyDescent="0.2">
      <c r="A1285" s="127">
        <f t="shared" si="383"/>
        <v>4</v>
      </c>
      <c r="B1285" s="123">
        <v>383</v>
      </c>
      <c r="C1285" s="52" t="s">
        <v>1054</v>
      </c>
      <c r="D1285" s="257">
        <f t="shared" si="377"/>
        <v>5674820.7599999998</v>
      </c>
      <c r="E1285" s="382">
        <f>ROUND('Plant input detail '!E1287*'WPB2.2 Plant detail-w slippage'!$P$2,0)</f>
        <v>16800</v>
      </c>
      <c r="F1285" s="257">
        <f>ROUND('Plant input detail '!F1287*'WPB2.2 Plant detail-w slippage'!$P$2,0)</f>
        <v>-2000</v>
      </c>
      <c r="G1285" s="257">
        <f t="shared" si="384"/>
        <v>5689620.7599999998</v>
      </c>
      <c r="H1285" s="38"/>
      <c r="I1285" s="257">
        <f t="shared" si="378"/>
        <v>1516723.41</v>
      </c>
      <c r="J1285" s="1362">
        <f t="shared" si="379"/>
        <v>2.7300000000000001E-2</v>
      </c>
      <c r="K1285" s="173">
        <f t="shared" si="380"/>
        <v>12927</v>
      </c>
      <c r="L1285" s="38">
        <f t="shared" si="381"/>
        <v>2000</v>
      </c>
      <c r="M1285" s="257">
        <f>ROUND('Plant input detail '!M1287*'WPB2.2 Plant detail-w slippage'!$P$2,0)</f>
        <v>-100</v>
      </c>
      <c r="N1285" s="2227">
        <f t="shared" si="382"/>
        <v>1527550.41</v>
      </c>
    </row>
    <row r="1286" spans="1:14" x14ac:dyDescent="0.2">
      <c r="A1286" s="127">
        <f t="shared" si="383"/>
        <v>5</v>
      </c>
      <c r="B1286" s="123">
        <v>384</v>
      </c>
      <c r="C1286" s="52" t="s">
        <v>1055</v>
      </c>
      <c r="D1286" s="257">
        <f t="shared" si="377"/>
        <v>2257522</v>
      </c>
      <c r="E1286" s="382">
        <f>ROUND('Plant input detail '!E1288*'WPB2.2 Plant detail-w slippage'!$P$2,0)</f>
        <v>0</v>
      </c>
      <c r="F1286" s="257">
        <f>ROUND('Plant input detail '!F1288*'WPB2.2 Plant detail-w slippage'!$P$2,0)</f>
        <v>0</v>
      </c>
      <c r="G1286" s="257">
        <f t="shared" si="384"/>
        <v>2257522</v>
      </c>
      <c r="H1286" s="38"/>
      <c r="I1286" s="257">
        <f t="shared" si="378"/>
        <v>1771228.73</v>
      </c>
      <c r="J1286" s="1362">
        <f t="shared" si="379"/>
        <v>1.01E-2</v>
      </c>
      <c r="K1286" s="173">
        <f t="shared" si="380"/>
        <v>1900</v>
      </c>
      <c r="L1286" s="38">
        <f t="shared" si="381"/>
        <v>0</v>
      </c>
      <c r="M1286" s="257">
        <f>ROUND('Plant input detail '!M1288*'WPB2.2 Plant detail-w slippage'!$P$2,0)</f>
        <v>0</v>
      </c>
      <c r="N1286" s="2227">
        <f t="shared" si="382"/>
        <v>1773128.73</v>
      </c>
    </row>
    <row r="1287" spans="1:14" x14ac:dyDescent="0.2">
      <c r="A1287" s="127">
        <f t="shared" si="383"/>
        <v>6</v>
      </c>
      <c r="B1287" s="123">
        <v>385</v>
      </c>
      <c r="C1287" s="52" t="s">
        <v>1056</v>
      </c>
      <c r="D1287" s="257">
        <f t="shared" si="377"/>
        <v>3262683.36</v>
      </c>
      <c r="E1287" s="382">
        <f>ROUND('Plant input detail '!E1289*'WPB2.2 Plant detail-w slippage'!$P$2,0)</f>
        <v>11900</v>
      </c>
      <c r="F1287" s="257">
        <f>ROUND('Plant input detail '!F1289*'WPB2.2 Plant detail-w slippage'!$P$2,0)</f>
        <v>-1400</v>
      </c>
      <c r="G1287" s="257">
        <f t="shared" si="384"/>
        <v>3273183.36</v>
      </c>
      <c r="H1287" s="38"/>
      <c r="I1287" s="257">
        <f t="shared" si="378"/>
        <v>902494.55</v>
      </c>
      <c r="J1287" s="1362">
        <f t="shared" si="379"/>
        <v>5.0799999999999998E-2</v>
      </c>
      <c r="K1287" s="173">
        <f t="shared" si="380"/>
        <v>13834</v>
      </c>
      <c r="L1287" s="38">
        <f t="shared" si="381"/>
        <v>1400</v>
      </c>
      <c r="M1287" s="257">
        <f>ROUND('Plant input detail '!M1289*'WPB2.2 Plant detail-w slippage'!$P$2,0)</f>
        <v>-100</v>
      </c>
      <c r="N1287" s="2227">
        <f t="shared" si="382"/>
        <v>914828.55</v>
      </c>
    </row>
    <row r="1288" spans="1:14" x14ac:dyDescent="0.2">
      <c r="A1288" s="127">
        <f t="shared" si="383"/>
        <v>7</v>
      </c>
      <c r="B1288" s="123">
        <v>387.2</v>
      </c>
      <c r="C1288" s="52" t="s">
        <v>1057</v>
      </c>
      <c r="D1288" s="257">
        <f t="shared" si="377"/>
        <v>0</v>
      </c>
      <c r="E1288" s="382">
        <f>ROUND('Plant input detail '!E1290*'WPB2.2 Plant detail-w slippage'!$P$2,0)</f>
        <v>0</v>
      </c>
      <c r="F1288" s="257">
        <f>ROUND('Plant input detail '!F1290*'WPB2.2 Plant detail-w slippage'!$P$2,0)</f>
        <v>0</v>
      </c>
      <c r="G1288" s="257">
        <f t="shared" si="384"/>
        <v>0</v>
      </c>
      <c r="H1288" s="38"/>
      <c r="I1288" s="257">
        <f t="shared" si="378"/>
        <v>-59912.03</v>
      </c>
      <c r="J1288" s="1362">
        <f t="shared" si="379"/>
        <v>0</v>
      </c>
      <c r="K1288" s="173">
        <f t="shared" si="380"/>
        <v>0</v>
      </c>
      <c r="L1288" s="38">
        <f t="shared" si="381"/>
        <v>0</v>
      </c>
      <c r="M1288" s="257">
        <f>ROUND('Plant input detail '!M1290*'WPB2.2 Plant detail-w slippage'!$P$2,0)</f>
        <v>0</v>
      </c>
      <c r="N1288" s="2227">
        <f t="shared" si="382"/>
        <v>-59912.03</v>
      </c>
    </row>
    <row r="1289" spans="1:14" x14ac:dyDescent="0.2">
      <c r="A1289" s="127">
        <f t="shared" si="383"/>
        <v>8</v>
      </c>
      <c r="B1289" s="123">
        <v>387.41</v>
      </c>
      <c r="C1289" s="52" t="s">
        <v>1058</v>
      </c>
      <c r="D1289" s="257">
        <f t="shared" si="377"/>
        <v>735770.76</v>
      </c>
      <c r="E1289" s="382">
        <f>ROUND('Plant input detail '!E1291*'WPB2.2 Plant detail-w slippage'!$P$2,0)</f>
        <v>0</v>
      </c>
      <c r="F1289" s="257">
        <f>ROUND('Plant input detail '!F1291*'WPB2.2 Plant detail-w slippage'!$P$2,0)</f>
        <v>0</v>
      </c>
      <c r="G1289" s="257">
        <f t="shared" si="384"/>
        <v>735770.76</v>
      </c>
      <c r="H1289" s="38"/>
      <c r="I1289" s="257">
        <f t="shared" si="378"/>
        <v>388350.95</v>
      </c>
      <c r="J1289" s="1362">
        <f t="shared" si="379"/>
        <v>3.7400000000000003E-2</v>
      </c>
      <c r="K1289" s="173">
        <f t="shared" si="380"/>
        <v>2293</v>
      </c>
      <c r="L1289" s="38">
        <f t="shared" si="381"/>
        <v>0</v>
      </c>
      <c r="M1289" s="257">
        <f>ROUND('Plant input detail '!M1291*'WPB2.2 Plant detail-w slippage'!$P$2,0)</f>
        <v>0</v>
      </c>
      <c r="N1289" s="2227">
        <f t="shared" si="382"/>
        <v>390643.95</v>
      </c>
    </row>
    <row r="1290" spans="1:14" x14ac:dyDescent="0.2">
      <c r="A1290" s="127">
        <f t="shared" si="383"/>
        <v>9</v>
      </c>
      <c r="B1290" s="123">
        <v>387.42</v>
      </c>
      <c r="C1290" s="52" t="s">
        <v>1059</v>
      </c>
      <c r="D1290" s="257">
        <f t="shared" si="377"/>
        <v>795186.58</v>
      </c>
      <c r="E1290" s="382">
        <f>ROUND('Plant input detail '!E1292*'WPB2.2 Plant detail-w slippage'!$P$2,0)</f>
        <v>0</v>
      </c>
      <c r="F1290" s="257">
        <f>ROUND('Plant input detail '!F1292*'WPB2.2 Plant detail-w slippage'!$P$2,0)</f>
        <v>0</v>
      </c>
      <c r="G1290" s="257">
        <f>SUM(D1290:F1290)</f>
        <v>795186.58</v>
      </c>
      <c r="H1290" s="38"/>
      <c r="I1290" s="257">
        <f t="shared" si="378"/>
        <v>555023.94999999995</v>
      </c>
      <c r="J1290" s="1362">
        <f t="shared" si="379"/>
        <v>3.7400000000000003E-2</v>
      </c>
      <c r="K1290" s="173">
        <f t="shared" si="380"/>
        <v>2478</v>
      </c>
      <c r="L1290" s="38">
        <f t="shared" si="381"/>
        <v>0</v>
      </c>
      <c r="M1290" s="257">
        <f>ROUND('Plant input detail '!M1292*'WPB2.2 Plant detail-w slippage'!$P$2,0)</f>
        <v>0</v>
      </c>
      <c r="N1290" s="2227">
        <f t="shared" si="382"/>
        <v>557501.94999999995</v>
      </c>
    </row>
    <row r="1291" spans="1:14" x14ac:dyDescent="0.2">
      <c r="A1291" s="127">
        <f t="shared" si="383"/>
        <v>10</v>
      </c>
      <c r="B1291" s="123">
        <v>387.44</v>
      </c>
      <c r="C1291" s="52" t="s">
        <v>1060</v>
      </c>
      <c r="D1291" s="257">
        <f t="shared" si="377"/>
        <v>143283.93</v>
      </c>
      <c r="E1291" s="382">
        <f>ROUND('Plant input detail '!E1293*'WPB2.2 Plant detail-w slippage'!$P$2,0)</f>
        <v>0</v>
      </c>
      <c r="F1291" s="257">
        <f>ROUND('Plant input detail '!F1293*'WPB2.2 Plant detail-w slippage'!$P$2,0)</f>
        <v>0</v>
      </c>
      <c r="G1291" s="257">
        <f>SUM(D1291:F1291)</f>
        <v>143283.93</v>
      </c>
      <c r="H1291" s="38"/>
      <c r="I1291" s="257">
        <f t="shared" si="378"/>
        <v>47395.55</v>
      </c>
      <c r="J1291" s="1362">
        <f t="shared" si="379"/>
        <v>3.7400000000000003E-2</v>
      </c>
      <c r="K1291" s="173">
        <f t="shared" si="380"/>
        <v>447</v>
      </c>
      <c r="L1291" s="38">
        <f t="shared" si="381"/>
        <v>0</v>
      </c>
      <c r="M1291" s="257">
        <f>ROUND('Plant input detail '!M1293*'WPB2.2 Plant detail-w slippage'!$P$2,0)</f>
        <v>0</v>
      </c>
      <c r="N1291" s="2227">
        <f t="shared" si="382"/>
        <v>47842.55</v>
      </c>
    </row>
    <row r="1292" spans="1:14" x14ac:dyDescent="0.2">
      <c r="A1292" s="127">
        <f t="shared" si="383"/>
        <v>11</v>
      </c>
      <c r="B1292" s="123">
        <v>387.45</v>
      </c>
      <c r="C1292" s="52" t="s">
        <v>1061</v>
      </c>
      <c r="D1292" s="257">
        <f t="shared" si="377"/>
        <v>3247904.66</v>
      </c>
      <c r="E1292" s="382">
        <f>ROUND('Plant input detail '!E1294*'WPB2.2 Plant detail-w slippage'!$P$2,0)</f>
        <v>-20000</v>
      </c>
      <c r="F1292" s="257">
        <f>ROUND('Plant input detail '!F1294*'WPB2.2 Plant detail-w slippage'!$P$2,0)</f>
        <v>2400</v>
      </c>
      <c r="G1292" s="257">
        <f>SUM(D1292:F1292)</f>
        <v>3230304.66</v>
      </c>
      <c r="H1292" s="38"/>
      <c r="I1292" s="257">
        <f t="shared" si="378"/>
        <v>545553.06000000006</v>
      </c>
      <c r="J1292" s="1362">
        <f t="shared" si="379"/>
        <v>3.7400000000000003E-2</v>
      </c>
      <c r="K1292" s="173">
        <f t="shared" si="380"/>
        <v>10095</v>
      </c>
      <c r="L1292" s="38">
        <f t="shared" si="381"/>
        <v>-2400</v>
      </c>
      <c r="M1292" s="257">
        <f>ROUND('Plant input detail '!M1294*'WPB2.2 Plant detail-w slippage'!$P$2,0)</f>
        <v>0</v>
      </c>
      <c r="N1292" s="2227">
        <f t="shared" si="382"/>
        <v>558048.06000000006</v>
      </c>
    </row>
    <row r="1293" spans="1:14" x14ac:dyDescent="0.2">
      <c r="A1293" s="127">
        <f t="shared" si="383"/>
        <v>12</v>
      </c>
      <c r="B1293" s="123">
        <v>387.46</v>
      </c>
      <c r="C1293" s="52" t="s">
        <v>1062</v>
      </c>
      <c r="D1293" s="260">
        <f t="shared" si="377"/>
        <v>113644.47</v>
      </c>
      <c r="E1293" s="265">
        <f>ROUND('Plant input detail '!E1295*'WPB2.2 Plant detail-w slippage'!$P$2,0)</f>
        <v>0</v>
      </c>
      <c r="F1293" s="265">
        <f>ROUND('Plant input detail '!F1295*'WPB2.2 Plant detail-w slippage'!$P$2,0)</f>
        <v>0</v>
      </c>
      <c r="G1293" s="265">
        <f>SUM(D1293:F1293)</f>
        <v>113644.47</v>
      </c>
      <c r="H1293" s="264"/>
      <c r="I1293" s="260">
        <f t="shared" si="378"/>
        <v>112586.83</v>
      </c>
      <c r="J1293" s="1362">
        <f t="shared" si="379"/>
        <v>3.7400000000000003E-2</v>
      </c>
      <c r="K1293" s="260">
        <f t="shared" si="380"/>
        <v>354</v>
      </c>
      <c r="L1293" s="295">
        <f t="shared" si="381"/>
        <v>0</v>
      </c>
      <c r="M1293" s="265">
        <f>ROUND('Plant input detail '!M1295*'WPB2.2 Plant detail-w slippage'!$P$2,0)</f>
        <v>0</v>
      </c>
      <c r="N1293" s="2228">
        <f t="shared" si="382"/>
        <v>112940.83</v>
      </c>
    </row>
    <row r="1294" spans="1:14" x14ac:dyDescent="0.2">
      <c r="A1294" s="127">
        <f t="shared" si="383"/>
        <v>13</v>
      </c>
      <c r="B1294" s="252"/>
      <c r="C1294" s="32" t="s">
        <v>1063</v>
      </c>
      <c r="D1294" s="173">
        <f>SUM(D1282:D1293,D1242:D1263)</f>
        <v>410927960.37999994</v>
      </c>
      <c r="E1294" s="173">
        <f>SUM(E1282:E1293,E1242:E1263)</f>
        <v>1047266</v>
      </c>
      <c r="F1294" s="173">
        <f>SUM(F1282:F1293,F1242:F1263)</f>
        <v>-125600</v>
      </c>
      <c r="G1294" s="173">
        <f>SUM(G1282:G1293,G1242:G1263)</f>
        <v>411849626.37999994</v>
      </c>
      <c r="H1294" s="38"/>
      <c r="I1294" s="173">
        <f>SUM(I1282:I1293,I1242:I1263)</f>
        <v>142187314.32421052</v>
      </c>
      <c r="J1294" s="173"/>
      <c r="K1294" s="173">
        <f>SUM(K1282:K1293,K1242:K1263)</f>
        <v>1151607.0494736843</v>
      </c>
      <c r="L1294" s="173">
        <f>SUM(L1282:L1293,L1242:L1263)</f>
        <v>125600</v>
      </c>
      <c r="M1294" s="173">
        <f>SUM(M1282:M1293,M1242:M1263)</f>
        <v>-32300</v>
      </c>
      <c r="N1294" s="1361">
        <f>SUM(N1282:N1293,N1242:N1263)</f>
        <v>143181021.3736842</v>
      </c>
    </row>
    <row r="1295" spans="1:14" x14ac:dyDescent="0.2">
      <c r="B1295" s="252"/>
      <c r="D1295" s="38"/>
      <c r="E1295" s="173"/>
      <c r="F1295" s="173"/>
      <c r="G1295" s="38"/>
      <c r="H1295" s="38"/>
      <c r="I1295" s="181"/>
      <c r="J1295" s="173"/>
      <c r="K1295" s="173"/>
      <c r="L1295" s="38"/>
      <c r="M1295" s="173"/>
    </row>
    <row r="1296" spans="1:14" x14ac:dyDescent="0.2">
      <c r="A1296" s="127">
        <f>A1294+1</f>
        <v>14</v>
      </c>
      <c r="B1296" s="252"/>
      <c r="C1296" s="36" t="s">
        <v>737</v>
      </c>
      <c r="D1296" s="38"/>
      <c r="E1296" s="173"/>
      <c r="F1296" s="173"/>
      <c r="G1296" s="38"/>
      <c r="H1296" s="38"/>
      <c r="I1296" s="181"/>
      <c r="J1296" s="173"/>
      <c r="K1296" s="173"/>
      <c r="L1296" s="38"/>
      <c r="M1296" s="173"/>
    </row>
    <row r="1297" spans="1:14" x14ac:dyDescent="0.2">
      <c r="A1297" s="31">
        <f>A1296+1</f>
        <v>15</v>
      </c>
      <c r="B1297" s="123">
        <v>391.1</v>
      </c>
      <c r="C1297" s="52" t="s">
        <v>1064</v>
      </c>
      <c r="D1297" s="257">
        <f t="shared" ref="D1297:D1310" si="385">G1191</f>
        <v>713480.71</v>
      </c>
      <c r="E1297" s="382">
        <f>ROUND('Plant input detail '!E1299*'WPB2.2 Plant detail-w slippage'!$P$2,0)</f>
        <v>0</v>
      </c>
      <c r="F1297" s="257">
        <f>ROUND('Plant input detail '!F1299*'WPB2.2 Plant detail-w slippage'!$P$2,0)</f>
        <v>0</v>
      </c>
      <c r="G1297" s="257">
        <f t="shared" ref="G1297:G1310" si="386">SUM(D1297:F1297)</f>
        <v>713480.71</v>
      </c>
      <c r="H1297" s="38"/>
      <c r="I1297" s="257">
        <f t="shared" ref="I1297:I1310" si="387">N1191</f>
        <v>-47603.22</v>
      </c>
      <c r="J1297" s="1362">
        <f t="shared" ref="J1297:J1310" si="388">J1191</f>
        <v>0.05</v>
      </c>
      <c r="K1297" s="173">
        <f>ROUND((G1297+D1297)/2*J1297/12,0)</f>
        <v>2973</v>
      </c>
      <c r="L1297" s="38">
        <f t="shared" ref="L1297:L1310" si="389">-F1297</f>
        <v>0</v>
      </c>
      <c r="M1297" s="257">
        <f>ROUND('Plant input detail '!M1299*'WPB2.2 Plant detail-w slippage'!$P$2,0)</f>
        <v>0</v>
      </c>
      <c r="N1297" s="2227">
        <f t="shared" ref="N1297:N1310" si="390">I1297+K1297-L1297+M1297</f>
        <v>-44630.22</v>
      </c>
    </row>
    <row r="1298" spans="1:14" x14ac:dyDescent="0.2">
      <c r="A1298" s="31">
        <f t="shared" ref="A1298:A1311" si="391">A1297+1</f>
        <v>16</v>
      </c>
      <c r="B1298" s="123">
        <v>391.11</v>
      </c>
      <c r="C1298" s="52" t="s">
        <v>1065</v>
      </c>
      <c r="D1298" s="257">
        <f t="shared" si="385"/>
        <v>18815.57</v>
      </c>
      <c r="E1298" s="382">
        <f>ROUND('Plant input detail '!E1300*'WPB2.2 Plant detail-w slippage'!$P$2,0)</f>
        <v>0</v>
      </c>
      <c r="F1298" s="257">
        <f>ROUND('Plant input detail '!F1300*'WPB2.2 Plant detail-w slippage'!$P$2,0)</f>
        <v>0</v>
      </c>
      <c r="G1298" s="257">
        <f t="shared" si="386"/>
        <v>18815.57</v>
      </c>
      <c r="H1298" s="38"/>
      <c r="I1298" s="257">
        <f t="shared" si="387"/>
        <v>-11879.77</v>
      </c>
      <c r="J1298" s="1362">
        <f t="shared" si="388"/>
        <v>6.6699999999999995E-2</v>
      </c>
      <c r="K1298" s="173">
        <f>ROUND((G1298+D1298)/2*J1298/12,0)</f>
        <v>105</v>
      </c>
      <c r="L1298" s="38">
        <f t="shared" si="389"/>
        <v>0</v>
      </c>
      <c r="M1298" s="257">
        <f>ROUND('Plant input detail '!M1300*'WPB2.2 Plant detail-w slippage'!$P$2,0)</f>
        <v>0</v>
      </c>
      <c r="N1298" s="2227">
        <f t="shared" si="390"/>
        <v>-11774.77</v>
      </c>
    </row>
    <row r="1299" spans="1:14" x14ac:dyDescent="0.2">
      <c r="A1299" s="31">
        <f t="shared" si="391"/>
        <v>17</v>
      </c>
      <c r="B1299" s="123">
        <v>391.12</v>
      </c>
      <c r="C1299" s="52" t="s">
        <v>1066</v>
      </c>
      <c r="D1299" s="257">
        <f t="shared" si="385"/>
        <v>853483.41</v>
      </c>
      <c r="E1299" s="382">
        <f>ROUND('Plant input detail '!E1301*'WPB2.2 Plant detail-w slippage'!$P$2,0)</f>
        <v>0</v>
      </c>
      <c r="F1299" s="257">
        <f>ROUND('Plant input detail '!F1301*'WPB2.2 Plant detail-w slippage'!$P$2,0)</f>
        <v>0</v>
      </c>
      <c r="G1299" s="257">
        <f t="shared" si="386"/>
        <v>853483.41</v>
      </c>
      <c r="H1299" s="38"/>
      <c r="I1299" s="257">
        <f t="shared" si="387"/>
        <v>703810.37</v>
      </c>
      <c r="J1299" s="1362">
        <f t="shared" si="388"/>
        <v>0.2</v>
      </c>
      <c r="K1299" s="173">
        <f>ROUND((G1299+D1299)/2*J1299/12,0)</f>
        <v>14225</v>
      </c>
      <c r="L1299" s="38">
        <f t="shared" si="389"/>
        <v>0</v>
      </c>
      <c r="M1299" s="257">
        <f>ROUND('Plant input detail '!M1301*'WPB2.2 Plant detail-w slippage'!$P$2,0)</f>
        <v>0</v>
      </c>
      <c r="N1299" s="2227">
        <f t="shared" si="390"/>
        <v>718035.37</v>
      </c>
    </row>
    <row r="1300" spans="1:14" x14ac:dyDescent="0.2">
      <c r="A1300" s="31">
        <f t="shared" si="391"/>
        <v>18</v>
      </c>
      <c r="B1300" s="123">
        <v>392.2</v>
      </c>
      <c r="C1300" s="52" t="s">
        <v>1067</v>
      </c>
      <c r="D1300" s="257">
        <f t="shared" si="385"/>
        <v>95778</v>
      </c>
      <c r="E1300" s="382">
        <f>ROUND('Plant input detail '!E1302*'WPB2.2 Plant detail-w slippage'!$P$2,0)</f>
        <v>0</v>
      </c>
      <c r="F1300" s="257">
        <f>ROUND('Plant input detail '!F1302*'WPB2.2 Plant detail-w slippage'!$P$2,0)</f>
        <v>0</v>
      </c>
      <c r="G1300" s="257">
        <f t="shared" si="386"/>
        <v>95778</v>
      </c>
      <c r="H1300" s="38"/>
      <c r="I1300" s="257">
        <f t="shared" si="387"/>
        <v>23385.05</v>
      </c>
      <c r="J1300" s="1362">
        <f t="shared" si="388"/>
        <v>9.1499999999999998E-2</v>
      </c>
      <c r="K1300" s="173">
        <f>ROUND((G1300+D1300)/2*J1300/12,0)</f>
        <v>730</v>
      </c>
      <c r="L1300" s="38">
        <f t="shared" si="389"/>
        <v>0</v>
      </c>
      <c r="M1300" s="257">
        <f>ROUND('Plant input detail '!M1302*'WPB2.2 Plant detail-w slippage'!$P$2,0)</f>
        <v>0</v>
      </c>
      <c r="N1300" s="2227">
        <f t="shared" si="390"/>
        <v>24115.05</v>
      </c>
    </row>
    <row r="1301" spans="1:14" x14ac:dyDescent="0.2">
      <c r="A1301" s="31">
        <f t="shared" si="391"/>
        <v>19</v>
      </c>
      <c r="B1301" s="123">
        <v>392.21</v>
      </c>
      <c r="C1301" s="52" t="s">
        <v>1068</v>
      </c>
      <c r="D1301" s="257">
        <f t="shared" si="385"/>
        <v>24462.2</v>
      </c>
      <c r="E1301" s="382">
        <f>ROUND('Plant input detail '!E1303*'WPB2.2 Plant detail-w slippage'!$P$2,0)</f>
        <v>0</v>
      </c>
      <c r="F1301" s="257">
        <f>ROUND('Plant input detail '!F1303*'WPB2.2 Plant detail-w slippage'!$P$2,0)</f>
        <v>0</v>
      </c>
      <c r="G1301" s="257">
        <f t="shared" si="386"/>
        <v>24462.2</v>
      </c>
      <c r="H1301" s="38"/>
      <c r="I1301" s="257">
        <f t="shared" si="387"/>
        <v>5374.4</v>
      </c>
      <c r="J1301" s="1362">
        <f t="shared" si="388"/>
        <v>9.1499999999999998E-2</v>
      </c>
      <c r="K1301" s="173">
        <f>ROUND((G1301+D1301)/2*J1301/12,0)</f>
        <v>187</v>
      </c>
      <c r="L1301" s="38">
        <f t="shared" si="389"/>
        <v>0</v>
      </c>
      <c r="M1301" s="257">
        <f>ROUND('Plant input detail '!M1303*'WPB2.2 Plant detail-w slippage'!$P$2,0)</f>
        <v>0</v>
      </c>
      <c r="N1301" s="2227">
        <f t="shared" si="390"/>
        <v>5561.4</v>
      </c>
    </row>
    <row r="1302" spans="1:14" x14ac:dyDescent="0.2">
      <c r="A1302" s="31">
        <f t="shared" si="391"/>
        <v>20</v>
      </c>
      <c r="B1302" s="123">
        <v>393</v>
      </c>
      <c r="C1302" s="52" t="s">
        <v>1069</v>
      </c>
      <c r="D1302" s="257">
        <f t="shared" si="385"/>
        <v>0</v>
      </c>
      <c r="E1302" s="382">
        <f>ROUND('Plant input detail '!E1304*'WPB2.2 Plant detail-w slippage'!$P$2,0)</f>
        <v>0</v>
      </c>
      <c r="F1302" s="257">
        <f>ROUND('Plant input detail '!F1304*'WPB2.2 Plant detail-w slippage'!$P$2,0)</f>
        <v>0</v>
      </c>
      <c r="G1302" s="257">
        <f t="shared" si="386"/>
        <v>0</v>
      </c>
      <c r="H1302" s="38"/>
      <c r="I1302" s="257">
        <f t="shared" si="387"/>
        <v>0</v>
      </c>
      <c r="J1302" s="1362" t="str">
        <f t="shared" si="388"/>
        <v>Amort.</v>
      </c>
      <c r="K1302" s="259">
        <v>0</v>
      </c>
      <c r="L1302" s="38">
        <f t="shared" si="389"/>
        <v>0</v>
      </c>
      <c r="M1302" s="257">
        <f>ROUND('Plant input detail '!M1304*'WPB2.2 Plant detail-w slippage'!$P$2,0)</f>
        <v>0</v>
      </c>
      <c r="N1302" s="2227">
        <f t="shared" si="390"/>
        <v>0</v>
      </c>
    </row>
    <row r="1303" spans="1:14" x14ac:dyDescent="0.2">
      <c r="A1303" s="31">
        <f t="shared" si="391"/>
        <v>21</v>
      </c>
      <c r="B1303" s="123">
        <v>394.1</v>
      </c>
      <c r="C1303" s="52" t="s">
        <v>1070</v>
      </c>
      <c r="D1303" s="257">
        <f t="shared" si="385"/>
        <v>24240.799999999999</v>
      </c>
      <c r="E1303" s="382">
        <f>ROUND('Plant input detail '!E1305*'WPB2.2 Plant detail-w slippage'!$P$2,0)</f>
        <v>0</v>
      </c>
      <c r="F1303" s="257">
        <f>ROUND('Plant input detail '!F1305*'WPB2.2 Plant detail-w slippage'!$P$2,0)</f>
        <v>0</v>
      </c>
      <c r="G1303" s="257">
        <f t="shared" si="386"/>
        <v>24240.799999999999</v>
      </c>
      <c r="H1303" s="38"/>
      <c r="I1303" s="257">
        <f t="shared" si="387"/>
        <v>14689.82</v>
      </c>
      <c r="J1303" s="1362">
        <f t="shared" si="388"/>
        <v>0.04</v>
      </c>
      <c r="K1303" s="173">
        <f t="shared" ref="K1303:K1310" si="392">ROUND((G1303+D1303)/2*J1303/12,0)</f>
        <v>81</v>
      </c>
      <c r="L1303" s="38">
        <f t="shared" si="389"/>
        <v>0</v>
      </c>
      <c r="M1303" s="257">
        <f>ROUND('Plant input detail '!M1305*'WPB2.2 Plant detail-w slippage'!$P$2,0)</f>
        <v>0</v>
      </c>
      <c r="N1303" s="2227">
        <f t="shared" si="390"/>
        <v>14770.82</v>
      </c>
    </row>
    <row r="1304" spans="1:14" x14ac:dyDescent="0.2">
      <c r="A1304" s="31">
        <f t="shared" si="391"/>
        <v>22</v>
      </c>
      <c r="B1304" s="123">
        <v>394.11</v>
      </c>
      <c r="C1304" s="52" t="s">
        <v>1071</v>
      </c>
      <c r="D1304" s="257">
        <f t="shared" si="385"/>
        <v>0</v>
      </c>
      <c r="E1304" s="382">
        <f>ROUND('Plant input detail '!E1306*'WPB2.2 Plant detail-w slippage'!$P$2,0)</f>
        <v>0</v>
      </c>
      <c r="F1304" s="257">
        <f>ROUND('Plant input detail '!F1306*'WPB2.2 Plant detail-w slippage'!$P$2,0)</f>
        <v>0</v>
      </c>
      <c r="G1304" s="257">
        <f t="shared" si="386"/>
        <v>0</v>
      </c>
      <c r="H1304" s="38"/>
      <c r="I1304" s="257">
        <f t="shared" si="387"/>
        <v>0</v>
      </c>
      <c r="J1304" s="1362">
        <f t="shared" si="388"/>
        <v>0</v>
      </c>
      <c r="K1304" s="259">
        <v>0</v>
      </c>
      <c r="L1304" s="38">
        <f t="shared" si="389"/>
        <v>0</v>
      </c>
      <c r="M1304" s="257">
        <f>ROUND('Plant input detail '!M1306*'WPB2.2 Plant detail-w slippage'!$P$2,0)</f>
        <v>0</v>
      </c>
      <c r="N1304" s="2227">
        <f t="shared" si="390"/>
        <v>0</v>
      </c>
    </row>
    <row r="1305" spans="1:14" x14ac:dyDescent="0.2">
      <c r="A1305" s="31">
        <f t="shared" si="391"/>
        <v>23</v>
      </c>
      <c r="B1305" s="123">
        <v>394.13</v>
      </c>
      <c r="C1305" s="251" t="s">
        <v>1072</v>
      </c>
      <c r="D1305" s="257">
        <f t="shared" si="385"/>
        <v>0</v>
      </c>
      <c r="E1305" s="382">
        <f>ROUND('Plant input detail '!E1307*'WPB2.2 Plant detail-w slippage'!$P$2,0)</f>
        <v>0</v>
      </c>
      <c r="F1305" s="257">
        <f>ROUND('Plant input detail '!F1307*'WPB2.2 Plant detail-w slippage'!$P$2,0)</f>
        <v>0</v>
      </c>
      <c r="G1305" s="257">
        <f t="shared" si="386"/>
        <v>0</v>
      </c>
      <c r="H1305" s="38"/>
      <c r="I1305" s="257">
        <f t="shared" si="387"/>
        <v>37937.360000000001</v>
      </c>
      <c r="J1305" s="1362" t="str">
        <f t="shared" si="388"/>
        <v>Amort.</v>
      </c>
      <c r="K1305" s="259">
        <v>0</v>
      </c>
      <c r="L1305" s="38">
        <f t="shared" si="389"/>
        <v>0</v>
      </c>
      <c r="M1305" s="257">
        <f>ROUND('Plant input detail '!M1307*'WPB2.2 Plant detail-w slippage'!$P$2,0)</f>
        <v>0</v>
      </c>
      <c r="N1305" s="2227">
        <f t="shared" si="390"/>
        <v>37937.360000000001</v>
      </c>
    </row>
    <row r="1306" spans="1:14" x14ac:dyDescent="0.2">
      <c r="A1306" s="31">
        <f t="shared" si="391"/>
        <v>24</v>
      </c>
      <c r="B1306" s="123">
        <v>394.2</v>
      </c>
      <c r="C1306" s="52" t="s">
        <v>1073</v>
      </c>
      <c r="D1306" s="257">
        <f t="shared" si="385"/>
        <v>0</v>
      </c>
      <c r="E1306" s="382">
        <f>ROUND('Plant input detail '!E1308*'WPB2.2 Plant detail-w slippage'!$P$2,0)</f>
        <v>0</v>
      </c>
      <c r="F1306" s="257">
        <f>ROUND('Plant input detail '!F1308*'WPB2.2 Plant detail-w slippage'!$P$2,0)</f>
        <v>0</v>
      </c>
      <c r="G1306" s="257">
        <f t="shared" si="386"/>
        <v>0</v>
      </c>
      <c r="H1306" s="38"/>
      <c r="I1306" s="257">
        <f t="shared" si="387"/>
        <v>185.21</v>
      </c>
      <c r="J1306" s="1362">
        <f t="shared" si="388"/>
        <v>0.04</v>
      </c>
      <c r="K1306" s="173">
        <f t="shared" si="392"/>
        <v>0</v>
      </c>
      <c r="L1306" s="38">
        <f t="shared" si="389"/>
        <v>0</v>
      </c>
      <c r="M1306" s="257">
        <f>ROUND('Plant input detail '!M1308*'WPB2.2 Plant detail-w slippage'!$P$2,0)</f>
        <v>0</v>
      </c>
      <c r="N1306" s="2227">
        <f t="shared" si="390"/>
        <v>185.21</v>
      </c>
    </row>
    <row r="1307" spans="1:14" x14ac:dyDescent="0.2">
      <c r="A1307" s="31">
        <f t="shared" si="391"/>
        <v>25</v>
      </c>
      <c r="B1307" s="123">
        <v>394.3</v>
      </c>
      <c r="C1307" s="52" t="s">
        <v>1074</v>
      </c>
      <c r="D1307" s="257">
        <f t="shared" si="385"/>
        <v>3094521.16</v>
      </c>
      <c r="E1307" s="382">
        <f>ROUND('Plant input detail '!E1309*'WPB2.2 Plant detail-w slippage'!$P$2,0)</f>
        <v>-9800</v>
      </c>
      <c r="F1307" s="257">
        <f>ROUND('Plant input detail '!F1309*'WPB2.2 Plant detail-w slippage'!$P$2,0)</f>
        <v>1200</v>
      </c>
      <c r="G1307" s="257">
        <f t="shared" si="386"/>
        <v>3085921.16</v>
      </c>
      <c r="H1307" s="38"/>
      <c r="I1307" s="257">
        <f t="shared" si="387"/>
        <v>1297916.1499999999</v>
      </c>
      <c r="J1307" s="1362">
        <f t="shared" si="388"/>
        <v>0.04</v>
      </c>
      <c r="K1307" s="173">
        <f t="shared" si="392"/>
        <v>10301</v>
      </c>
      <c r="L1307" s="38">
        <f t="shared" si="389"/>
        <v>-1200</v>
      </c>
      <c r="M1307" s="257">
        <f>ROUND('Plant input detail '!M1309*'WPB2.2 Plant detail-w slippage'!$P$2,0)</f>
        <v>0</v>
      </c>
      <c r="N1307" s="2227">
        <f t="shared" si="390"/>
        <v>1309417.1499999999</v>
      </c>
    </row>
    <row r="1308" spans="1:14" x14ac:dyDescent="0.2">
      <c r="A1308" s="31">
        <f t="shared" si="391"/>
        <v>26</v>
      </c>
      <c r="B1308" s="123">
        <v>395</v>
      </c>
      <c r="C1308" s="52" t="s">
        <v>1075</v>
      </c>
      <c r="D1308" s="257">
        <f t="shared" si="385"/>
        <v>9257.77</v>
      </c>
      <c r="E1308" s="382">
        <f>ROUND('Plant input detail '!E1310*'WPB2.2 Plant detail-w slippage'!$P$2,0)</f>
        <v>0</v>
      </c>
      <c r="F1308" s="257">
        <f>ROUND('Plant input detail '!F1310*'WPB2.2 Plant detail-w slippage'!$P$2,0)</f>
        <v>0</v>
      </c>
      <c r="G1308" s="257">
        <f t="shared" si="386"/>
        <v>9257.77</v>
      </c>
      <c r="H1308" s="38"/>
      <c r="I1308" s="257">
        <f t="shared" si="387"/>
        <v>7568.59</v>
      </c>
      <c r="J1308" s="1362">
        <f t="shared" si="388"/>
        <v>0.05</v>
      </c>
      <c r="K1308" s="173">
        <f t="shared" si="392"/>
        <v>39</v>
      </c>
      <c r="L1308" s="38">
        <f t="shared" si="389"/>
        <v>0</v>
      </c>
      <c r="M1308" s="257">
        <f>ROUND('Plant input detail '!M1310*'WPB2.2 Plant detail-w slippage'!$P$2,0)</f>
        <v>0</v>
      </c>
      <c r="N1308" s="2227">
        <f t="shared" si="390"/>
        <v>7607.59</v>
      </c>
    </row>
    <row r="1309" spans="1:14" x14ac:dyDescent="0.2">
      <c r="A1309" s="31">
        <f t="shared" si="391"/>
        <v>27</v>
      </c>
      <c r="B1309" s="123">
        <v>396</v>
      </c>
      <c r="C1309" s="52" t="s">
        <v>1076</v>
      </c>
      <c r="D1309" s="257">
        <f t="shared" si="385"/>
        <v>253134.72</v>
      </c>
      <c r="E1309" s="382">
        <f>ROUND('Plant input detail '!E1311*'WPB2.2 Plant detail-w slippage'!$P$2,0)</f>
        <v>0</v>
      </c>
      <c r="F1309" s="257">
        <f>ROUND('Plant input detail '!F1311*'WPB2.2 Plant detail-w slippage'!$P$2,0)</f>
        <v>0</v>
      </c>
      <c r="G1309" s="257">
        <f t="shared" si="386"/>
        <v>253134.72</v>
      </c>
      <c r="H1309" s="38"/>
      <c r="I1309" s="257">
        <f t="shared" si="387"/>
        <v>199867.72</v>
      </c>
      <c r="J1309" s="1362">
        <f t="shared" si="388"/>
        <v>2.5899999999999999E-2</v>
      </c>
      <c r="K1309" s="173">
        <f t="shared" si="392"/>
        <v>546</v>
      </c>
      <c r="L1309" s="38">
        <f t="shared" si="389"/>
        <v>0</v>
      </c>
      <c r="M1309" s="257">
        <f>ROUND('Plant input detail '!M1311*'WPB2.2 Plant detail-w slippage'!$P$2,0)</f>
        <v>0</v>
      </c>
      <c r="N1309" s="2227">
        <f t="shared" si="390"/>
        <v>200413.72</v>
      </c>
    </row>
    <row r="1310" spans="1:14" x14ac:dyDescent="0.2">
      <c r="A1310" s="31">
        <f t="shared" si="391"/>
        <v>28</v>
      </c>
      <c r="B1310" s="123">
        <v>398</v>
      </c>
      <c r="C1310" s="52" t="s">
        <v>1077</v>
      </c>
      <c r="D1310" s="260">
        <f t="shared" si="385"/>
        <v>263161.94</v>
      </c>
      <c r="E1310" s="265">
        <f>ROUND('Plant input detail '!E1312*'WPB2.2 Plant detail-w slippage'!$P$2,0)</f>
        <v>4600</v>
      </c>
      <c r="F1310" s="260">
        <f>ROUND('Plant input detail '!F1312*'WPB2.2 Plant detail-w slippage'!$P$2,0)</f>
        <v>-600</v>
      </c>
      <c r="G1310" s="260">
        <f t="shared" si="386"/>
        <v>267161.94</v>
      </c>
      <c r="H1310" s="264"/>
      <c r="I1310" s="260">
        <f t="shared" si="387"/>
        <v>5540.59</v>
      </c>
      <c r="J1310" s="1362">
        <f t="shared" si="388"/>
        <v>6.6699999999999995E-2</v>
      </c>
      <c r="K1310" s="260">
        <f t="shared" si="392"/>
        <v>1474</v>
      </c>
      <c r="L1310" s="295">
        <f t="shared" si="389"/>
        <v>600</v>
      </c>
      <c r="M1310" s="260">
        <f>ROUND('Plant input detail '!M1312*'WPB2.2 Plant detail-w slippage'!$P$2,0)</f>
        <v>0</v>
      </c>
      <c r="N1310" s="2228">
        <f t="shared" si="390"/>
        <v>6414.59</v>
      </c>
    </row>
    <row r="1311" spans="1:14" x14ac:dyDescent="0.2">
      <c r="A1311" s="31">
        <f t="shared" si="391"/>
        <v>29</v>
      </c>
      <c r="C1311" s="32" t="s">
        <v>1078</v>
      </c>
      <c r="D1311" s="264">
        <f>SUM(D1297:D1310)</f>
        <v>5350336.2799999993</v>
      </c>
      <c r="E1311" s="176">
        <f>SUM(E1297:E1310)</f>
        <v>-5200</v>
      </c>
      <c r="F1311" s="176">
        <f>SUM(F1297:F1310)</f>
        <v>600</v>
      </c>
      <c r="G1311" s="264">
        <f>SUM(G1297:G1310)</f>
        <v>5345736.2799999993</v>
      </c>
      <c r="H1311" s="264"/>
      <c r="I1311" s="264">
        <f>SUM(I1297:I1310)</f>
        <v>2236792.27</v>
      </c>
      <c r="J1311" s="1359"/>
      <c r="K1311" s="176">
        <f>SUM(K1297:K1310)</f>
        <v>30661</v>
      </c>
      <c r="L1311" s="264">
        <f>SUM(L1297:L1310)</f>
        <v>-600</v>
      </c>
      <c r="M1311" s="176">
        <f>SUM(M1297:M1310)</f>
        <v>0</v>
      </c>
      <c r="N1311" s="1359">
        <f>SUM(N1297:N1310)</f>
        <v>2268053.27</v>
      </c>
    </row>
    <row r="1312" spans="1:14" x14ac:dyDescent="0.2">
      <c r="D1312" s="38"/>
      <c r="E1312" s="173"/>
      <c r="F1312" s="173"/>
      <c r="G1312" s="38"/>
      <c r="H1312" s="38"/>
      <c r="I1312" s="173"/>
      <c r="J1312" s="1361"/>
      <c r="K1312" s="173"/>
      <c r="L1312" s="38"/>
      <c r="M1312" s="173"/>
    </row>
    <row r="1313" spans="1:16" x14ac:dyDescent="0.2">
      <c r="A1313" s="1805">
        <f>A1311+1</f>
        <v>30</v>
      </c>
      <c r="B1313" s="252"/>
      <c r="C1313" s="36" t="s">
        <v>2287</v>
      </c>
      <c r="D1313" s="38"/>
      <c r="E1313" s="173"/>
      <c r="F1313" s="173"/>
      <c r="G1313" s="38"/>
      <c r="H1313" s="38"/>
      <c r="I1313" s="181"/>
      <c r="J1313" s="173"/>
      <c r="K1313" s="173"/>
      <c r="L1313" s="38"/>
      <c r="M1313" s="173"/>
      <c r="P1313" s="279"/>
    </row>
    <row r="1314" spans="1:16" x14ac:dyDescent="0.2">
      <c r="A1314" s="31">
        <f>A1313+1</f>
        <v>31</v>
      </c>
      <c r="B1314" s="123">
        <v>378.21</v>
      </c>
      <c r="C1314" s="52" t="s">
        <v>2244</v>
      </c>
      <c r="D1314" s="257">
        <f>G1208</f>
        <v>-777092</v>
      </c>
      <c r="E1314" s="382">
        <f>ROUND('Plant input detail '!E1316*'WPB2.2 Plant detail-w slippage'!$P$2,0)</f>
        <v>0</v>
      </c>
      <c r="F1314" s="257">
        <f>ROUND('Plant input detail '!F1316*'WPB2.2 Plant detail-w slippage'!$P$2,0)</f>
        <v>0</v>
      </c>
      <c r="G1314" s="257">
        <f t="shared" ref="G1314" si="393">SUM(D1314:F1314)</f>
        <v>-777092</v>
      </c>
      <c r="H1314" s="264"/>
      <c r="I1314" s="257">
        <f>N1208</f>
        <v>-44553.613333333298</v>
      </c>
      <c r="J1314" s="296" t="s">
        <v>1094</v>
      </c>
      <c r="K1314" s="1334">
        <v>-2158.5833333333321</v>
      </c>
      <c r="L1314" s="38">
        <f t="shared" ref="L1314" si="394">-F1314</f>
        <v>0</v>
      </c>
      <c r="M1314" s="257">
        <f>ROUND('Plant input detail '!M1316*'WPB2.2 Plant detail-w slippage'!$P$2,0)</f>
        <v>0</v>
      </c>
      <c r="N1314" s="2227">
        <f t="shared" ref="N1314" si="395">I1314+K1314-L1314+M1314</f>
        <v>-46712.196666666627</v>
      </c>
      <c r="O1314" s="292"/>
    </row>
    <row r="1315" spans="1:16" x14ac:dyDescent="0.2">
      <c r="A1315" s="1723"/>
      <c r="D1315" s="38"/>
      <c r="E1315" s="173"/>
      <c r="F1315" s="173"/>
      <c r="G1315" s="38"/>
      <c r="H1315" s="38"/>
      <c r="I1315" s="173"/>
      <c r="J1315" s="1361"/>
      <c r="K1315" s="173"/>
      <c r="L1315" s="38"/>
      <c r="M1315" s="173"/>
    </row>
    <row r="1316" spans="1:16" x14ac:dyDescent="0.2">
      <c r="A1316" s="31">
        <f>A1314+1</f>
        <v>32</v>
      </c>
      <c r="C1316" s="32" t="s">
        <v>774</v>
      </c>
      <c r="D1316" s="40">
        <f>D1311+D1294+D1239+D1235+D1314</f>
        <v>422406759.36999989</v>
      </c>
      <c r="E1316" s="40">
        <f>E1311+E1294+E1239+E1235+E1314</f>
        <v>1042066</v>
      </c>
      <c r="F1316" s="40">
        <f>F1311+F1294+F1239+F1235+F1314</f>
        <v>-125000</v>
      </c>
      <c r="G1316" s="40">
        <f>G1311+G1294+G1239+G1235+G1314</f>
        <v>423323825.36999989</v>
      </c>
      <c r="H1316" s="38"/>
      <c r="I1316" s="40">
        <f>I1311+I1294+I1239+I1235+I1314</f>
        <v>147408323.77849445</v>
      </c>
      <c r="J1316" s="1363"/>
      <c r="K1316" s="40">
        <f>K1311+K1294+K1239+K1235+K1314</f>
        <v>1262191.0631964644</v>
      </c>
      <c r="L1316" s="40">
        <f>L1311+L1294+L1239+L1235+L1314</f>
        <v>125000</v>
      </c>
      <c r="M1316" s="40">
        <f>M1311+M1294+M1239+M1235+M1314</f>
        <v>-32300</v>
      </c>
      <c r="N1316" s="1363">
        <f>N1311+N1294+N1239+N1235+N1314</f>
        <v>148513214.8416909</v>
      </c>
    </row>
    <row r="1318" spans="1:16" x14ac:dyDescent="0.2">
      <c r="A1318" s="2079" t="str">
        <f>co</f>
        <v>COLUMBIA GAS OF KENTUCKY, INC.</v>
      </c>
      <c r="B1318" s="2079"/>
      <c r="C1318" s="2079"/>
      <c r="D1318" s="2079"/>
      <c r="E1318" s="2079"/>
      <c r="F1318" s="2079"/>
      <c r="G1318" s="2079"/>
      <c r="H1318" s="2079"/>
      <c r="I1318" s="2079"/>
      <c r="J1318" s="2079"/>
      <c r="K1318" s="2079"/>
      <c r="L1318" s="2079"/>
      <c r="M1318" s="2079"/>
      <c r="N1318" s="2079"/>
    </row>
    <row r="1319" spans="1:16" x14ac:dyDescent="0.2">
      <c r="A1319" s="2079" t="str">
        <f>case</f>
        <v>CASE NO. 2016 - 00162</v>
      </c>
      <c r="B1319" s="2079"/>
      <c r="C1319" s="2079"/>
      <c r="D1319" s="2079"/>
      <c r="E1319" s="2079"/>
      <c r="F1319" s="2079"/>
      <c r="G1319" s="2079"/>
      <c r="H1319" s="2079"/>
      <c r="I1319" s="2079"/>
      <c r="J1319" s="2079"/>
      <c r="K1319" s="2079"/>
      <c r="L1319" s="2079"/>
      <c r="M1319" s="2079"/>
      <c r="N1319" s="2079"/>
    </row>
    <row r="1320" spans="1:16" x14ac:dyDescent="0.2">
      <c r="A1320" s="2080" t="s">
        <v>1106</v>
      </c>
      <c r="B1320" s="2079"/>
      <c r="C1320" s="2079"/>
      <c r="D1320" s="2079"/>
      <c r="E1320" s="2079"/>
      <c r="F1320" s="2079"/>
      <c r="G1320" s="2079"/>
      <c r="H1320" s="2079"/>
      <c r="I1320" s="2079"/>
      <c r="J1320" s="2079"/>
      <c r="K1320" s="2079"/>
      <c r="L1320" s="2079"/>
      <c r="M1320" s="2079"/>
      <c r="N1320" s="2079"/>
    </row>
    <row r="1321" spans="1:16" x14ac:dyDescent="0.2">
      <c r="A1321" s="2081" t="s">
        <v>2142</v>
      </c>
      <c r="B1321" s="2085"/>
      <c r="C1321" s="2085"/>
      <c r="D1321" s="2085"/>
      <c r="E1321" s="2085"/>
      <c r="F1321" s="2085"/>
      <c r="G1321" s="2085"/>
      <c r="H1321" s="2085"/>
      <c r="I1321" s="2085"/>
      <c r="J1321" s="2085"/>
      <c r="K1321" s="2085"/>
      <c r="L1321" s="2085"/>
      <c r="M1321" s="2085"/>
      <c r="N1321" s="2085"/>
    </row>
    <row r="1323" spans="1:16" x14ac:dyDescent="0.2">
      <c r="A1323" s="285" t="str">
        <f>$A$6</f>
        <v>DATA:__X___BASE PERIOD__X___FORECASTED PERIOD</v>
      </c>
      <c r="C1323" s="171"/>
      <c r="I1323" s="32"/>
      <c r="N1323" s="1258" t="str">
        <f>$N$6</f>
        <v>WPB-2.2</v>
      </c>
    </row>
    <row r="1324" spans="1:16" x14ac:dyDescent="0.2">
      <c r="A1324" s="4" t="str">
        <f>$A$7</f>
        <v>TYPE OF FILING:___X____ORIGINAL________UPDATED</v>
      </c>
      <c r="I1324" s="32"/>
      <c r="N1324" s="2223" t="s">
        <v>1738</v>
      </c>
    </row>
    <row r="1325" spans="1:16" x14ac:dyDescent="0.2">
      <c r="A1325" s="1261" t="str">
        <f>$A$8</f>
        <v xml:space="preserve">WORKPAPER REFERENCE NO(S).: </v>
      </c>
      <c r="B1325" s="202"/>
      <c r="C1325" s="202"/>
      <c r="D1325" s="201"/>
      <c r="E1325" s="202"/>
      <c r="F1325" s="202"/>
      <c r="G1325" s="201"/>
      <c r="H1325" s="201"/>
      <c r="I1325" s="203"/>
      <c r="L1325" s="32"/>
      <c r="M1325" s="32"/>
      <c r="N1325" s="204" t="str">
        <f>SMK</f>
        <v>WITNESS:  S. M. KATKO</v>
      </c>
    </row>
    <row r="1326" spans="1:16" x14ac:dyDescent="0.2">
      <c r="A1326" s="200"/>
      <c r="B1326" s="201"/>
      <c r="C1326" s="201"/>
      <c r="D1326" s="201"/>
      <c r="E1326" s="202"/>
      <c r="F1326" s="202"/>
      <c r="G1326" s="201"/>
      <c r="H1326" s="201"/>
      <c r="I1326" s="203"/>
      <c r="J1326" s="1357"/>
      <c r="L1326" s="32"/>
      <c r="M1326" s="32"/>
    </row>
    <row r="1327" spans="1:16" x14ac:dyDescent="0.2">
      <c r="A1327" s="200"/>
      <c r="B1327" s="201"/>
      <c r="C1327" s="201"/>
      <c r="D1327" s="2082" t="s">
        <v>1088</v>
      </c>
      <c r="E1327" s="2082"/>
      <c r="F1327" s="2082"/>
      <c r="G1327" s="2082"/>
      <c r="H1327" s="201"/>
      <c r="I1327" s="2083" t="s">
        <v>1093</v>
      </c>
      <c r="J1327" s="2084"/>
      <c r="K1327" s="2084"/>
      <c r="L1327" s="2084"/>
      <c r="M1327" s="2084"/>
      <c r="N1327" s="2084"/>
    </row>
    <row r="1328" spans="1:16" x14ac:dyDescent="0.2">
      <c r="A1328" s="270"/>
      <c r="B1328" s="201"/>
      <c r="C1328" s="201"/>
      <c r="D1328" s="271" t="s">
        <v>1084</v>
      </c>
      <c r="E1328" s="202"/>
      <c r="F1328" s="202"/>
      <c r="G1328" s="269"/>
      <c r="H1328" s="269"/>
      <c r="I1328" s="261" t="s">
        <v>1089</v>
      </c>
      <c r="J1328" s="1358"/>
      <c r="M1328" s="32"/>
    </row>
    <row r="1329" spans="1:14" x14ac:dyDescent="0.2">
      <c r="A1329" s="30"/>
      <c r="D1329" s="261" t="s">
        <v>865</v>
      </c>
      <c r="G1329" s="261" t="s">
        <v>867</v>
      </c>
      <c r="H1329" s="268"/>
      <c r="I1329" s="261" t="s">
        <v>865</v>
      </c>
      <c r="J1329" s="1308" t="s">
        <v>956</v>
      </c>
      <c r="M1329" s="32"/>
      <c r="N1329" s="2225" t="s">
        <v>867</v>
      </c>
    </row>
    <row r="1330" spans="1:14" x14ac:dyDescent="0.2">
      <c r="A1330" s="261" t="s">
        <v>1080</v>
      </c>
      <c r="B1330" s="261" t="s">
        <v>1082</v>
      </c>
      <c r="D1330" s="261" t="s">
        <v>867</v>
      </c>
      <c r="G1330" s="262" t="s">
        <v>1087</v>
      </c>
      <c r="H1330" s="268"/>
      <c r="I1330" s="262" t="s">
        <v>867</v>
      </c>
      <c r="J1330" s="1308" t="s">
        <v>1090</v>
      </c>
      <c r="K1330" s="1308" t="s">
        <v>956</v>
      </c>
      <c r="M1330" s="262" t="s">
        <v>1092</v>
      </c>
      <c r="N1330" s="1259" t="s">
        <v>1087</v>
      </c>
    </row>
    <row r="1331" spans="1:14" x14ac:dyDescent="0.2">
      <c r="A1331" s="272" t="s">
        <v>1081</v>
      </c>
      <c r="B1331" s="272" t="s">
        <v>1081</v>
      </c>
      <c r="C1331" s="273" t="s">
        <v>1083</v>
      </c>
      <c r="D1331" s="298" t="str">
        <f>"02/28/2017"</f>
        <v>02/28/2017</v>
      </c>
      <c r="E1331" s="275" t="s">
        <v>1085</v>
      </c>
      <c r="F1331" s="275" t="s">
        <v>1086</v>
      </c>
      <c r="G1331" s="298" t="str">
        <f>"03/31/2017"</f>
        <v>03/31/2017</v>
      </c>
      <c r="H1331" s="268"/>
      <c r="I1331" s="274" t="str">
        <f>D1331</f>
        <v>02/28/2017</v>
      </c>
      <c r="J1331" s="275" t="s">
        <v>1091</v>
      </c>
      <c r="K1331" s="1327" t="s">
        <v>1090</v>
      </c>
      <c r="L1331" s="276" t="s">
        <v>1086</v>
      </c>
      <c r="M1331" s="276" t="s">
        <v>955</v>
      </c>
      <c r="N1331" s="2226" t="str">
        <f>G1331</f>
        <v>03/31/2017</v>
      </c>
    </row>
    <row r="1332" spans="1:14" x14ac:dyDescent="0.2">
      <c r="A1332" s="267"/>
      <c r="B1332" s="267"/>
      <c r="C1332" s="267"/>
      <c r="D1332" s="267" t="str">
        <f>"(1)"</f>
        <v>(1)</v>
      </c>
      <c r="E1332" s="267" t="str">
        <f>"(2)"</f>
        <v>(2)</v>
      </c>
      <c r="F1332" s="267" t="str">
        <f>"(3)"</f>
        <v>(3)</v>
      </c>
      <c r="G1332" s="267" t="str">
        <f>"(4)=(1+2+3)"</f>
        <v>(4)=(1+2+3)</v>
      </c>
      <c r="H1332" s="267"/>
      <c r="I1332" s="267" t="str">
        <f>"(5)"</f>
        <v>(5)</v>
      </c>
      <c r="J1332" s="1328" t="str">
        <f>"(6)"</f>
        <v>(6)</v>
      </c>
      <c r="K1332" s="1328" t="str">
        <f>"(7)=((1+4)/2*6/12))"</f>
        <v>(7)=((1+4)/2*6/12))</v>
      </c>
      <c r="L1332" s="267" t="str">
        <f>"(8)"</f>
        <v>(8)</v>
      </c>
      <c r="M1332" s="267" t="str">
        <f>"(9)"</f>
        <v>(9)</v>
      </c>
      <c r="N1332" s="204" t="str">
        <f>"(10)=(5+7-8+9)"</f>
        <v>(10)=(5+7-8+9)</v>
      </c>
    </row>
    <row r="1333" spans="1:14" x14ac:dyDescent="0.2">
      <c r="D1333" s="31" t="s">
        <v>639</v>
      </c>
      <c r="E1333" s="170" t="s">
        <v>639</v>
      </c>
      <c r="F1333" s="170" t="s">
        <v>639</v>
      </c>
      <c r="G1333" s="31" t="s">
        <v>639</v>
      </c>
      <c r="H1333" s="31"/>
      <c r="I1333" s="31" t="s">
        <v>639</v>
      </c>
      <c r="J1333" s="170" t="s">
        <v>639</v>
      </c>
      <c r="K1333" s="170" t="s">
        <v>639</v>
      </c>
      <c r="L1333" s="31" t="s">
        <v>639</v>
      </c>
      <c r="M1333" s="31" t="s">
        <v>639</v>
      </c>
      <c r="N1333" s="155" t="s">
        <v>639</v>
      </c>
    </row>
    <row r="1334" spans="1:14" x14ac:dyDescent="0.2">
      <c r="A1334" s="31">
        <v>1</v>
      </c>
      <c r="B1334" s="36" t="s">
        <v>1025</v>
      </c>
      <c r="C1334" s="34"/>
      <c r="M1334" s="32"/>
    </row>
    <row r="1335" spans="1:14" x14ac:dyDescent="0.2">
      <c r="A1335" s="31">
        <f>A1334+1</f>
        <v>2</v>
      </c>
      <c r="C1335" s="36" t="s">
        <v>697</v>
      </c>
      <c r="M1335" s="32"/>
    </row>
    <row r="1336" spans="1:14" x14ac:dyDescent="0.2">
      <c r="A1336" s="31">
        <f t="shared" ref="A1336:A1341" si="396">A1335+1</f>
        <v>3</v>
      </c>
      <c r="B1336" s="253">
        <v>301</v>
      </c>
      <c r="C1336" s="52" t="s">
        <v>1026</v>
      </c>
      <c r="D1336" s="257">
        <f>G1230</f>
        <v>521.20000000000005</v>
      </c>
      <c r="E1336" s="382">
        <f>ROUND('Plant input detail '!E1338*'WPB2.2 Plant detail-w slippage'!$P$2,0)</f>
        <v>0</v>
      </c>
      <c r="F1336" s="257">
        <f>ROUND('Plant input detail '!F1338*'WPB2.2 Plant detail-w slippage'!$P$2,0)</f>
        <v>0</v>
      </c>
      <c r="G1336" s="257">
        <f>SUM(D1336:F1336)</f>
        <v>521.20000000000005</v>
      </c>
      <c r="H1336" s="38"/>
      <c r="I1336" s="257">
        <f>N1230</f>
        <v>0</v>
      </c>
      <c r="J1336" s="296" t="s">
        <v>1094</v>
      </c>
      <c r="K1336" s="259">
        <v>0</v>
      </c>
      <c r="L1336" s="38">
        <f>-F1336</f>
        <v>0</v>
      </c>
      <c r="M1336" s="259">
        <v>0</v>
      </c>
      <c r="N1336" s="2227">
        <f>I1336+K1336-L1336+M1336</f>
        <v>0</v>
      </c>
    </row>
    <row r="1337" spans="1:14" x14ac:dyDescent="0.2">
      <c r="A1337" s="31">
        <f t="shared" si="396"/>
        <v>4</v>
      </c>
      <c r="B1337" s="253">
        <v>303</v>
      </c>
      <c r="C1337" s="52" t="s">
        <v>1027</v>
      </c>
      <c r="D1337" s="257">
        <f>G1231</f>
        <v>74347.509999999995</v>
      </c>
      <c r="E1337" s="382">
        <f>ROUND('Plant input detail '!E1339*'WPB2.2 Plant detail-w slippage'!$P$2,0)</f>
        <v>0</v>
      </c>
      <c r="F1337" s="257">
        <f>ROUND('Plant input detail '!F1339*'WPB2.2 Plant detail-w slippage'!$P$2,0)</f>
        <v>0</v>
      </c>
      <c r="G1337" s="257">
        <f>SUM(D1337:F1337)</f>
        <v>74347.509999999995</v>
      </c>
      <c r="H1337" s="38"/>
      <c r="I1337" s="257">
        <f>N1231</f>
        <v>48277.669999999962</v>
      </c>
      <c r="J1337" s="296" t="s">
        <v>1094</v>
      </c>
      <c r="K1337" s="257">
        <f>'WPB2.2a Intan Amort. w slippage'!I$127</f>
        <v>206.52</v>
      </c>
      <c r="L1337" s="38">
        <f>-F1337</f>
        <v>0</v>
      </c>
      <c r="M1337" s="259">
        <v>0</v>
      </c>
      <c r="N1337" s="2227">
        <f>I1337+K1337-L1337+M1337</f>
        <v>48484.189999999959</v>
      </c>
    </row>
    <row r="1338" spans="1:14" x14ac:dyDescent="0.2">
      <c r="A1338" s="31">
        <f t="shared" si="396"/>
        <v>5</v>
      </c>
      <c r="B1338" s="253">
        <v>303.10000000000002</v>
      </c>
      <c r="C1338" s="52" t="s">
        <v>1028</v>
      </c>
      <c r="D1338" s="257">
        <f>G1232</f>
        <v>0</v>
      </c>
      <c r="E1338" s="382">
        <f>ROUND('Plant input detail '!E1340*'WPB2.2 Plant detail-w slippage'!$P$2,0)</f>
        <v>0</v>
      </c>
      <c r="F1338" s="257">
        <f>ROUND('Plant input detail '!F1340*'WPB2.2 Plant detail-w slippage'!$P$2,0)</f>
        <v>0</v>
      </c>
      <c r="G1338" s="257">
        <f>SUM(D1338:F1338)</f>
        <v>0</v>
      </c>
      <c r="H1338" s="38"/>
      <c r="I1338" s="257">
        <f>N1232</f>
        <v>0</v>
      </c>
      <c r="J1338" s="296" t="s">
        <v>1094</v>
      </c>
      <c r="K1338" s="259">
        <v>0</v>
      </c>
      <c r="L1338" s="38">
        <f>-F1338</f>
        <v>0</v>
      </c>
      <c r="M1338" s="259">
        <v>0</v>
      </c>
      <c r="N1338" s="2227">
        <f>I1338+K1338-L1338+M1338</f>
        <v>0</v>
      </c>
    </row>
    <row r="1339" spans="1:14" x14ac:dyDescent="0.2">
      <c r="A1339" s="31">
        <f t="shared" si="396"/>
        <v>6</v>
      </c>
      <c r="B1339" s="253">
        <v>303.2</v>
      </c>
      <c r="C1339" s="52" t="s">
        <v>1029</v>
      </c>
      <c r="D1339" s="257">
        <f>G1233</f>
        <v>0</v>
      </c>
      <c r="E1339" s="382">
        <f>ROUND('Plant input detail '!E1341*'WPB2.2 Plant detail-w slippage'!$P$2,0)</f>
        <v>0</v>
      </c>
      <c r="F1339" s="257">
        <f>ROUND('Plant input detail '!F1341*'WPB2.2 Plant detail-w slippage'!$P$2,0)</f>
        <v>0</v>
      </c>
      <c r="G1339" s="257">
        <f>SUM(D1339:F1339)</f>
        <v>0</v>
      </c>
      <c r="H1339" s="38"/>
      <c r="I1339" s="257">
        <f>N1233</f>
        <v>0</v>
      </c>
      <c r="J1339" s="296" t="s">
        <v>1094</v>
      </c>
      <c r="K1339" s="259">
        <v>0</v>
      </c>
      <c r="L1339" s="38">
        <f>-F1339</f>
        <v>0</v>
      </c>
      <c r="M1339" s="259">
        <v>0</v>
      </c>
      <c r="N1339" s="2227">
        <f>I1339+K1339-L1339+M1339</f>
        <v>0</v>
      </c>
    </row>
    <row r="1340" spans="1:14" x14ac:dyDescent="0.2">
      <c r="A1340" s="31">
        <f t="shared" si="396"/>
        <v>7</v>
      </c>
      <c r="B1340" s="253">
        <v>303.3</v>
      </c>
      <c r="C1340" s="52" t="s">
        <v>1030</v>
      </c>
      <c r="D1340" s="260">
        <f>G1234</f>
        <v>6830686</v>
      </c>
      <c r="E1340" s="265">
        <f>ROUND('Plant input detail '!E1342*'WPB2.2 Plant detail-w slippage'!$P$2,0)</f>
        <v>0</v>
      </c>
      <c r="F1340" s="265">
        <f>ROUND('Plant input detail '!F1342*'WPB2.2 Plant detail-w slippage'!$P$2,0)</f>
        <v>0</v>
      </c>
      <c r="G1340" s="260">
        <f>SUM(D1340:F1340)</f>
        <v>6830686</v>
      </c>
      <c r="H1340" s="38"/>
      <c r="I1340" s="260">
        <f>N1234</f>
        <v>3062574.7246733611</v>
      </c>
      <c r="J1340" s="296" t="s">
        <v>1094</v>
      </c>
      <c r="K1340" s="260">
        <f>'WPB2.2a Intan Amort. w slippage'!I$216</f>
        <v>81875.077056113325</v>
      </c>
      <c r="L1340" s="295">
        <f>-F1340</f>
        <v>0</v>
      </c>
      <c r="M1340" s="263">
        <v>0</v>
      </c>
      <c r="N1340" s="2228">
        <f>I1340+K1340-L1340+M1340</f>
        <v>3144449.8017294742</v>
      </c>
    </row>
    <row r="1341" spans="1:14" x14ac:dyDescent="0.2">
      <c r="A1341" s="31">
        <f t="shared" si="396"/>
        <v>8</v>
      </c>
      <c r="B1341" s="253"/>
      <c r="C1341" s="52" t="s">
        <v>1031</v>
      </c>
      <c r="D1341" s="38">
        <f>SUM(D1336:D1340)</f>
        <v>6905554.71</v>
      </c>
      <c r="E1341" s="173">
        <f>SUM(E1336:E1340)</f>
        <v>0</v>
      </c>
      <c r="F1341" s="173">
        <f>SUM(F1336:F1340)</f>
        <v>0</v>
      </c>
      <c r="G1341" s="38">
        <f>SUM(G1336:G1340)</f>
        <v>6905554.71</v>
      </c>
      <c r="H1341" s="38"/>
      <c r="I1341" s="38">
        <f>SUM(I1336:I1340)</f>
        <v>3110852.394673361</v>
      </c>
      <c r="J1341" s="1359"/>
      <c r="K1341" s="173">
        <f>SUM(K1336:K1340)</f>
        <v>82081.597056113329</v>
      </c>
      <c r="L1341" s="38">
        <f>SUM(L1336:L1340)</f>
        <v>0</v>
      </c>
      <c r="M1341" s="173">
        <f>SUM(M1336:M1340)</f>
        <v>0</v>
      </c>
      <c r="N1341" s="1361">
        <f>SUM(N1336:N1340)</f>
        <v>3192933.9917294742</v>
      </c>
    </row>
    <row r="1342" spans="1:14" x14ac:dyDescent="0.2">
      <c r="B1342" s="254"/>
      <c r="D1342" s="38"/>
      <c r="E1342" s="173"/>
      <c r="F1342" s="173"/>
      <c r="G1342" s="38"/>
      <c r="H1342" s="38"/>
      <c r="I1342" s="38"/>
      <c r="J1342" s="1359"/>
      <c r="K1342" s="173"/>
      <c r="L1342" s="38"/>
      <c r="M1342" s="173"/>
    </row>
    <row r="1343" spans="1:14" x14ac:dyDescent="0.2">
      <c r="A1343" s="31">
        <f>A1341+1</f>
        <v>9</v>
      </c>
      <c r="B1343" s="254"/>
      <c r="C1343" s="36" t="s">
        <v>704</v>
      </c>
      <c r="D1343" s="38"/>
      <c r="E1343" s="173"/>
      <c r="F1343" s="173"/>
      <c r="G1343" s="38"/>
      <c r="H1343" s="38"/>
      <c r="I1343" s="38"/>
      <c r="J1343" s="1359"/>
      <c r="K1343" s="173"/>
      <c r="L1343" s="38"/>
      <c r="M1343" s="173"/>
    </row>
    <row r="1344" spans="1:14" x14ac:dyDescent="0.2">
      <c r="A1344" s="31">
        <f>A1343+1</f>
        <v>10</v>
      </c>
      <c r="B1344" s="255">
        <v>304.10000000000002</v>
      </c>
      <c r="C1344" s="41" t="s">
        <v>1032</v>
      </c>
      <c r="D1344" s="260">
        <f>G1238</f>
        <v>0</v>
      </c>
      <c r="E1344" s="265">
        <f>ROUND('Plant input detail '!E1346*'WPB2.2 Plant detail-w slippage'!$P$2,0)</f>
        <v>0</v>
      </c>
      <c r="F1344" s="265">
        <f>ROUND('Plant input detail '!F1346*'WPB2.2 Plant detail-w slippage'!$P$2,0)</f>
        <v>0</v>
      </c>
      <c r="G1344" s="260">
        <f>SUM(D1344:F1344)</f>
        <v>0</v>
      </c>
      <c r="H1344" s="38"/>
      <c r="I1344" s="260">
        <f>N1238</f>
        <v>0</v>
      </c>
      <c r="J1344" s="1360" t="s">
        <v>1102</v>
      </c>
      <c r="K1344" s="266">
        <v>0</v>
      </c>
      <c r="L1344" s="295">
        <f>-F1344</f>
        <v>0</v>
      </c>
      <c r="M1344" s="263">
        <v>0</v>
      </c>
      <c r="N1344" s="2228">
        <f>I1344+K1344-L1344+M1344</f>
        <v>0</v>
      </c>
    </row>
    <row r="1345" spans="1:14" x14ac:dyDescent="0.2">
      <c r="A1345" s="31">
        <f>A1344+1</f>
        <v>11</v>
      </c>
      <c r="B1345" s="255"/>
      <c r="C1345" s="256" t="s">
        <v>1079</v>
      </c>
      <c r="D1345" s="38">
        <f>D1344</f>
        <v>0</v>
      </c>
      <c r="E1345" s="173">
        <f>E1344</f>
        <v>0</v>
      </c>
      <c r="F1345" s="173">
        <f>F1344</f>
        <v>0</v>
      </c>
      <c r="G1345" s="38">
        <f>G1344</f>
        <v>0</v>
      </c>
      <c r="H1345" s="38"/>
      <c r="I1345" s="38">
        <f>I1344</f>
        <v>0</v>
      </c>
      <c r="J1345" s="1361"/>
      <c r="K1345" s="173">
        <f>SUM(K1344)</f>
        <v>0</v>
      </c>
      <c r="L1345" s="38">
        <f>SUM(L1344)</f>
        <v>0</v>
      </c>
      <c r="M1345" s="173">
        <f>M1344</f>
        <v>0</v>
      </c>
      <c r="N1345" s="1361">
        <f>N1344</f>
        <v>0</v>
      </c>
    </row>
    <row r="1346" spans="1:14" x14ac:dyDescent="0.2">
      <c r="B1346" s="254"/>
      <c r="D1346" s="38"/>
      <c r="E1346" s="173"/>
      <c r="F1346" s="173"/>
      <c r="G1346" s="38"/>
      <c r="H1346" s="38"/>
      <c r="I1346" s="38"/>
      <c r="J1346" s="1361"/>
      <c r="K1346" s="173"/>
      <c r="L1346" s="38"/>
      <c r="M1346" s="173"/>
    </row>
    <row r="1347" spans="1:14" x14ac:dyDescent="0.2">
      <c r="A1347" s="31">
        <f>A1345+1</f>
        <v>12</v>
      </c>
      <c r="B1347" s="254"/>
      <c r="C1347" s="36" t="s">
        <v>707</v>
      </c>
      <c r="D1347" s="38"/>
      <c r="E1347" s="173"/>
      <c r="F1347" s="173"/>
      <c r="G1347" s="38"/>
      <c r="H1347" s="38"/>
      <c r="I1347" s="38"/>
      <c r="J1347" s="1361"/>
      <c r="K1347" s="173"/>
      <c r="L1347" s="38"/>
      <c r="M1347" s="173"/>
    </row>
    <row r="1348" spans="1:14" x14ac:dyDescent="0.2">
      <c r="A1348" s="31">
        <f>A1347+1</f>
        <v>13</v>
      </c>
      <c r="B1348" s="253">
        <v>374.1</v>
      </c>
      <c r="C1348" s="52" t="s">
        <v>1035</v>
      </c>
      <c r="D1348" s="257">
        <f t="shared" ref="D1348:D1358" si="397">G1242</f>
        <v>206</v>
      </c>
      <c r="E1348" s="382">
        <f>ROUND('Plant input detail '!E1350*'WPB2.2 Plant detail-w slippage'!$P$2,0)</f>
        <v>0</v>
      </c>
      <c r="F1348" s="257">
        <f>ROUND('Plant input detail '!F1350*'WPB2.2 Plant detail-w slippage'!$P$2,0)</f>
        <v>0</v>
      </c>
      <c r="G1348" s="257">
        <f>SUM(D1348:F1348)</f>
        <v>206</v>
      </c>
      <c r="H1348" s="38"/>
      <c r="I1348" s="257">
        <f t="shared" ref="I1348:I1358" si="398">N1242</f>
        <v>0</v>
      </c>
      <c r="J1348" s="1362" t="str">
        <f t="shared" ref="J1348:J1358" si="399">J1242</f>
        <v>Non-Dep.</v>
      </c>
      <c r="K1348" s="259">
        <v>0</v>
      </c>
      <c r="L1348" s="38">
        <f t="shared" ref="L1348:L1358" si="400">-F1348</f>
        <v>0</v>
      </c>
      <c r="M1348" s="257">
        <f>ROUND('Plant input detail '!M1350*'WPB2.2 Plant detail-w slippage'!$P$2,0)</f>
        <v>0</v>
      </c>
      <c r="N1348" s="2227">
        <f t="shared" ref="N1348:N1358" si="401">I1348+K1348-L1348+M1348</f>
        <v>0</v>
      </c>
    </row>
    <row r="1349" spans="1:14" x14ac:dyDescent="0.2">
      <c r="A1349" s="31">
        <f t="shared" ref="A1349:A1369" si="402">A1348+1</f>
        <v>14</v>
      </c>
      <c r="B1349" s="253">
        <v>374.2</v>
      </c>
      <c r="C1349" s="52" t="s">
        <v>1036</v>
      </c>
      <c r="D1349" s="257">
        <f t="shared" si="397"/>
        <v>877756.18</v>
      </c>
      <c r="E1349" s="382">
        <f>ROUND('Plant input detail '!E1351*'WPB2.2 Plant detail-w slippage'!$P$2,0)</f>
        <v>0</v>
      </c>
      <c r="F1349" s="257">
        <f>ROUND('Plant input detail '!F1351*'WPB2.2 Plant detail-w slippage'!$P$2,0)</f>
        <v>0</v>
      </c>
      <c r="G1349" s="257">
        <f t="shared" ref="G1349:G1358" si="403">SUM(D1349:F1349)</f>
        <v>877756.18</v>
      </c>
      <c r="H1349" s="38"/>
      <c r="I1349" s="257">
        <f t="shared" si="398"/>
        <v>-523.13</v>
      </c>
      <c r="J1349" s="1362" t="str">
        <f t="shared" si="399"/>
        <v>Non-Dep.</v>
      </c>
      <c r="K1349" s="259">
        <v>0</v>
      </c>
      <c r="L1349" s="38">
        <f t="shared" si="400"/>
        <v>0</v>
      </c>
      <c r="M1349" s="257">
        <f>ROUND('Plant input detail '!M1351*'WPB2.2 Plant detail-w slippage'!$P$2,0)</f>
        <v>0</v>
      </c>
      <c r="N1349" s="2227">
        <f t="shared" si="401"/>
        <v>-523.13</v>
      </c>
    </row>
    <row r="1350" spans="1:14" x14ac:dyDescent="0.2">
      <c r="A1350" s="31">
        <f t="shared" si="402"/>
        <v>15</v>
      </c>
      <c r="B1350" s="253">
        <v>374.4</v>
      </c>
      <c r="C1350" s="52" t="s">
        <v>1037</v>
      </c>
      <c r="D1350" s="257">
        <f t="shared" si="397"/>
        <v>661305.66</v>
      </c>
      <c r="E1350" s="382">
        <f>ROUND('Plant input detail '!E1352*'WPB2.2 Plant detail-w slippage'!$P$2,0)</f>
        <v>0</v>
      </c>
      <c r="F1350" s="257">
        <f>ROUND('Plant input detail '!F1352*'WPB2.2 Plant detail-w slippage'!$P$2,0)</f>
        <v>0</v>
      </c>
      <c r="G1350" s="257">
        <f t="shared" si="403"/>
        <v>661305.66</v>
      </c>
      <c r="H1350" s="38"/>
      <c r="I1350" s="257">
        <f t="shared" si="398"/>
        <v>180801.36</v>
      </c>
      <c r="J1350" s="1362">
        <f t="shared" si="399"/>
        <v>1.7399999999999999E-2</v>
      </c>
      <c r="K1350" s="173">
        <f>ROUND((G1350+D1350)/2*J1350/12,0)</f>
        <v>959</v>
      </c>
      <c r="L1350" s="38">
        <f t="shared" si="400"/>
        <v>0</v>
      </c>
      <c r="M1350" s="257">
        <f>ROUND('Plant input detail '!M1352*'WPB2.2 Plant detail-w slippage'!$P$2,0)</f>
        <v>0</v>
      </c>
      <c r="N1350" s="2227">
        <f t="shared" si="401"/>
        <v>181760.36</v>
      </c>
    </row>
    <row r="1351" spans="1:14" x14ac:dyDescent="0.2">
      <c r="A1351" s="31">
        <f t="shared" si="402"/>
        <v>16</v>
      </c>
      <c r="B1351" s="253">
        <v>374.5</v>
      </c>
      <c r="C1351" s="52" t="s">
        <v>1038</v>
      </c>
      <c r="D1351" s="257">
        <f t="shared" si="397"/>
        <v>2709572.55</v>
      </c>
      <c r="E1351" s="382">
        <f>ROUND('Plant input detail '!E1353*'WPB2.2 Plant detail-w slippage'!$P$2,0)</f>
        <v>3500</v>
      </c>
      <c r="F1351" s="257">
        <f>ROUND('Plant input detail '!F1353*'WPB2.2 Plant detail-w slippage'!$P$2,0)</f>
        <v>-400</v>
      </c>
      <c r="G1351" s="257">
        <f t="shared" si="403"/>
        <v>2712672.55</v>
      </c>
      <c r="H1351" s="38"/>
      <c r="I1351" s="257">
        <f t="shared" si="398"/>
        <v>933847.23</v>
      </c>
      <c r="J1351" s="1362">
        <f t="shared" si="399"/>
        <v>1.29E-2</v>
      </c>
      <c r="K1351" s="173">
        <f t="shared" ref="K1351:K1356" si="404">ROUND((G1351+D1351)/2*J1351/12,0)</f>
        <v>2914</v>
      </c>
      <c r="L1351" s="38">
        <f t="shared" si="400"/>
        <v>400</v>
      </c>
      <c r="M1351" s="257">
        <f>ROUND('Plant input detail '!M1353*'WPB2.2 Plant detail-w slippage'!$P$2,0)</f>
        <v>0</v>
      </c>
      <c r="N1351" s="2227">
        <f t="shared" si="401"/>
        <v>936361.23</v>
      </c>
    </row>
    <row r="1352" spans="1:14" x14ac:dyDescent="0.2">
      <c r="A1352" s="31">
        <f t="shared" si="402"/>
        <v>17</v>
      </c>
      <c r="B1352" s="253">
        <v>375.2</v>
      </c>
      <c r="C1352" s="52" t="s">
        <v>1039</v>
      </c>
      <c r="D1352" s="257">
        <f t="shared" si="397"/>
        <v>2124.98</v>
      </c>
      <c r="E1352" s="382">
        <f>ROUND('Plant input detail '!E1354*'WPB2.2 Plant detail-w slippage'!$P$2,0)</f>
        <v>0</v>
      </c>
      <c r="F1352" s="257">
        <f>ROUND('Plant input detail '!F1354*'WPB2.2 Plant detail-w slippage'!$P$2,0)</f>
        <v>0</v>
      </c>
      <c r="G1352" s="257">
        <f t="shared" si="403"/>
        <v>2124.98</v>
      </c>
      <c r="H1352" s="38"/>
      <c r="I1352" s="257">
        <f t="shared" si="398"/>
        <v>2039.32</v>
      </c>
      <c r="J1352" s="1362">
        <f t="shared" si="399"/>
        <v>3.1800000000000002E-2</v>
      </c>
      <c r="K1352" s="173">
        <f t="shared" si="404"/>
        <v>6</v>
      </c>
      <c r="L1352" s="38">
        <f t="shared" si="400"/>
        <v>0</v>
      </c>
      <c r="M1352" s="257">
        <f>ROUND('Plant input detail '!M1354*'WPB2.2 Plant detail-w slippage'!$P$2,0)</f>
        <v>0</v>
      </c>
      <c r="N1352" s="2227">
        <f t="shared" si="401"/>
        <v>2045.32</v>
      </c>
    </row>
    <row r="1353" spans="1:14" x14ac:dyDescent="0.2">
      <c r="A1353" s="31">
        <f t="shared" si="402"/>
        <v>18</v>
      </c>
      <c r="B1353" s="253">
        <v>375.3</v>
      </c>
      <c r="C1353" s="52" t="s">
        <v>1040</v>
      </c>
      <c r="D1353" s="257">
        <f t="shared" si="397"/>
        <v>0</v>
      </c>
      <c r="E1353" s="382">
        <f>ROUND('Plant input detail '!E1355*'WPB2.2 Plant detail-w slippage'!$P$2,0)</f>
        <v>0</v>
      </c>
      <c r="F1353" s="257">
        <f>ROUND('Plant input detail '!F1355*'WPB2.2 Plant detail-w slippage'!$P$2,0)</f>
        <v>0</v>
      </c>
      <c r="G1353" s="257">
        <f t="shared" si="403"/>
        <v>0</v>
      </c>
      <c r="H1353" s="38"/>
      <c r="I1353" s="257">
        <f t="shared" si="398"/>
        <v>-77.66</v>
      </c>
      <c r="J1353" s="1362">
        <f t="shared" si="399"/>
        <v>3.1800000000000002E-2</v>
      </c>
      <c r="K1353" s="173">
        <f t="shared" si="404"/>
        <v>0</v>
      </c>
      <c r="L1353" s="38">
        <f t="shared" si="400"/>
        <v>0</v>
      </c>
      <c r="M1353" s="257">
        <f>ROUND('Plant input detail '!M1355*'WPB2.2 Plant detail-w slippage'!$P$2,0)</f>
        <v>0</v>
      </c>
      <c r="N1353" s="2227">
        <f t="shared" si="401"/>
        <v>-77.66</v>
      </c>
    </row>
    <row r="1354" spans="1:14" x14ac:dyDescent="0.2">
      <c r="A1354" s="31">
        <f t="shared" si="402"/>
        <v>19</v>
      </c>
      <c r="B1354" s="253">
        <v>375.4</v>
      </c>
      <c r="C1354" s="52" t="s">
        <v>1041</v>
      </c>
      <c r="D1354" s="257">
        <f t="shared" si="397"/>
        <v>2119430.02</v>
      </c>
      <c r="E1354" s="382">
        <f>ROUND('Plant input detail '!E1356*'WPB2.2 Plant detail-w slippage'!$P$2,0)</f>
        <v>11400</v>
      </c>
      <c r="F1354" s="257">
        <f>ROUND('Plant input detail '!F1356*'WPB2.2 Plant detail-w slippage'!$P$2,0)</f>
        <v>-1400</v>
      </c>
      <c r="G1354" s="257">
        <f t="shared" si="403"/>
        <v>2129430.02</v>
      </c>
      <c r="H1354" s="38"/>
      <c r="I1354" s="257">
        <f t="shared" si="398"/>
        <v>492126.37</v>
      </c>
      <c r="J1354" s="1362">
        <f t="shared" si="399"/>
        <v>3.1800000000000002E-2</v>
      </c>
      <c r="K1354" s="173">
        <f t="shared" si="404"/>
        <v>5630</v>
      </c>
      <c r="L1354" s="38">
        <f t="shared" si="400"/>
        <v>1400</v>
      </c>
      <c r="M1354" s="257">
        <f>ROUND('Plant input detail '!M1356*'WPB2.2 Plant detail-w slippage'!$P$2,0)</f>
        <v>-100</v>
      </c>
      <c r="N1354" s="2227">
        <f t="shared" si="401"/>
        <v>496256.37</v>
      </c>
    </row>
    <row r="1355" spans="1:14" x14ac:dyDescent="0.2">
      <c r="A1355" s="31">
        <f t="shared" si="402"/>
        <v>20</v>
      </c>
      <c r="B1355" s="253">
        <v>375.6</v>
      </c>
      <c r="C1355" s="52" t="s">
        <v>1042</v>
      </c>
      <c r="D1355" s="257">
        <f t="shared" si="397"/>
        <v>0</v>
      </c>
      <c r="E1355" s="382">
        <f>ROUND('Plant input detail '!E1357*'WPB2.2 Plant detail-w slippage'!$P$2,0)</f>
        <v>0</v>
      </c>
      <c r="F1355" s="257">
        <f>ROUND('Plant input detail '!F1357*'WPB2.2 Plant detail-w slippage'!$P$2,0)</f>
        <v>0</v>
      </c>
      <c r="G1355" s="257">
        <f t="shared" si="403"/>
        <v>0</v>
      </c>
      <c r="H1355" s="38"/>
      <c r="I1355" s="257">
        <f t="shared" si="398"/>
        <v>0.02</v>
      </c>
      <c r="J1355" s="1362">
        <f t="shared" si="399"/>
        <v>3.1800000000000002E-2</v>
      </c>
      <c r="K1355" s="173">
        <f t="shared" si="404"/>
        <v>0</v>
      </c>
      <c r="L1355" s="38">
        <f t="shared" si="400"/>
        <v>0</v>
      </c>
      <c r="M1355" s="257">
        <f>ROUND('Plant input detail '!M1357*'WPB2.2 Plant detail-w slippage'!$P$2,0)</f>
        <v>0</v>
      </c>
      <c r="N1355" s="2227">
        <f t="shared" si="401"/>
        <v>0.02</v>
      </c>
    </row>
    <row r="1356" spans="1:14" x14ac:dyDescent="0.2">
      <c r="A1356" s="31">
        <f t="shared" si="402"/>
        <v>21</v>
      </c>
      <c r="B1356" s="253">
        <v>375.7</v>
      </c>
      <c r="C1356" s="52" t="s">
        <v>1043</v>
      </c>
      <c r="D1356" s="257">
        <f t="shared" si="397"/>
        <v>8340550.21</v>
      </c>
      <c r="E1356" s="382">
        <f>ROUND('Plant input detail '!E1358*'WPB2.2 Plant detail-w slippage'!$P$2,0)</f>
        <v>48300</v>
      </c>
      <c r="F1356" s="257">
        <f>ROUND('Plant input detail '!F1358*'WPB2.2 Plant detail-w slippage'!$P$2,0)</f>
        <v>-5800</v>
      </c>
      <c r="G1356" s="257">
        <f t="shared" si="403"/>
        <v>8383050.2100000009</v>
      </c>
      <c r="H1356" s="38"/>
      <c r="I1356" s="257">
        <f t="shared" si="398"/>
        <v>3334056.06</v>
      </c>
      <c r="J1356" s="1362">
        <f t="shared" si="399"/>
        <v>2.1299999999999999E-2</v>
      </c>
      <c r="K1356" s="173">
        <f t="shared" si="404"/>
        <v>14842</v>
      </c>
      <c r="L1356" s="38">
        <f t="shared" si="400"/>
        <v>5800</v>
      </c>
      <c r="M1356" s="257">
        <f>ROUND('Plant input detail '!M1358*'WPB2.2 Plant detail-w slippage'!$P$2,0)</f>
        <v>0</v>
      </c>
      <c r="N1356" s="2227">
        <f t="shared" si="401"/>
        <v>3343098.06</v>
      </c>
    </row>
    <row r="1357" spans="1:14" x14ac:dyDescent="0.2">
      <c r="A1357" s="31">
        <f t="shared" si="402"/>
        <v>22</v>
      </c>
      <c r="B1357" s="253">
        <v>375.71</v>
      </c>
      <c r="C1357" s="52" t="s">
        <v>1044</v>
      </c>
      <c r="D1357" s="257">
        <f t="shared" si="397"/>
        <v>259808.94</v>
      </c>
      <c r="E1357" s="382">
        <f>ROUND('Plant input detail '!E1359*'WPB2.2 Plant detail-w slippage'!$P$2,0)</f>
        <v>0</v>
      </c>
      <c r="F1357" s="257">
        <f>ROUND('Plant input detail '!F1359*'WPB2.2 Plant detail-w slippage'!$P$2,0)</f>
        <v>0</v>
      </c>
      <c r="G1357" s="257">
        <f t="shared" si="403"/>
        <v>259808.94</v>
      </c>
      <c r="H1357" s="38"/>
      <c r="I1357" s="257">
        <f t="shared" si="398"/>
        <v>188203.65368421067</v>
      </c>
      <c r="J1357" s="1362" t="str">
        <f t="shared" si="399"/>
        <v>Amort.</v>
      </c>
      <c r="K1357" s="258">
        <f>104653.88/38</f>
        <v>2754.0494736842106</v>
      </c>
      <c r="L1357" s="38">
        <f t="shared" si="400"/>
        <v>0</v>
      </c>
      <c r="M1357" s="257">
        <f>ROUND('Plant input detail '!M1359*'WPB2.2 Plant detail-w slippage'!$P$2,0)</f>
        <v>0</v>
      </c>
      <c r="N1357" s="2227">
        <f t="shared" si="401"/>
        <v>190957.7031578949</v>
      </c>
    </row>
    <row r="1358" spans="1:14" x14ac:dyDescent="0.2">
      <c r="A1358" s="31">
        <f t="shared" si="402"/>
        <v>23</v>
      </c>
      <c r="B1358" s="253">
        <v>375.8</v>
      </c>
      <c r="C1358" s="52" t="s">
        <v>1045</v>
      </c>
      <c r="D1358" s="257">
        <f t="shared" si="397"/>
        <v>0</v>
      </c>
      <c r="E1358" s="382">
        <f>ROUND('Plant input detail '!E1360*'WPB2.2 Plant detail-w slippage'!$P$2,0)</f>
        <v>0</v>
      </c>
      <c r="F1358" s="257">
        <f>ROUND('Plant input detail '!F1360*'WPB2.2 Plant detail-w slippage'!$P$2,0)</f>
        <v>0</v>
      </c>
      <c r="G1358" s="257">
        <f t="shared" si="403"/>
        <v>0</v>
      </c>
      <c r="H1358" s="38"/>
      <c r="I1358" s="257">
        <f t="shared" si="398"/>
        <v>0</v>
      </c>
      <c r="J1358" s="1362">
        <f t="shared" si="399"/>
        <v>0</v>
      </c>
      <c r="K1358" s="259">
        <v>0</v>
      </c>
      <c r="L1358" s="38">
        <f t="shared" si="400"/>
        <v>0</v>
      </c>
      <c r="M1358" s="257">
        <f>ROUND('Plant input detail '!M1360*'WPB2.2 Plant detail-w slippage'!$P$2,0)</f>
        <v>0</v>
      </c>
      <c r="N1358" s="2227">
        <f t="shared" si="401"/>
        <v>0</v>
      </c>
    </row>
    <row r="1359" spans="1:14" x14ac:dyDescent="0.2">
      <c r="A1359" s="31">
        <f>A1358+1</f>
        <v>24</v>
      </c>
      <c r="B1359" s="253">
        <v>376</v>
      </c>
      <c r="C1359" s="251" t="s">
        <v>1096</v>
      </c>
      <c r="D1359" s="257"/>
      <c r="E1359" s="258"/>
      <c r="F1359" s="259"/>
      <c r="G1359" s="257"/>
      <c r="H1359" s="38"/>
      <c r="I1359" s="181"/>
      <c r="J1359" s="1361"/>
      <c r="K1359" s="173"/>
      <c r="L1359" s="38"/>
      <c r="M1359" s="259"/>
    </row>
    <row r="1360" spans="1:14" x14ac:dyDescent="0.2">
      <c r="A1360" s="31"/>
      <c r="B1360" s="253"/>
      <c r="C1360" s="286" t="s">
        <v>1097</v>
      </c>
      <c r="D1360" s="257"/>
      <c r="E1360" s="258"/>
      <c r="F1360" s="259"/>
      <c r="G1360" s="257"/>
      <c r="H1360" s="38"/>
      <c r="I1360" s="257"/>
      <c r="J1360" s="1362"/>
      <c r="K1360" s="173"/>
      <c r="L1360" s="38"/>
      <c r="M1360" s="257"/>
      <c r="N1360" s="2227"/>
    </row>
    <row r="1361" spans="1:14" x14ac:dyDescent="0.2">
      <c r="A1361" s="31"/>
      <c r="B1361" s="253"/>
      <c r="C1361" s="286" t="s">
        <v>1098</v>
      </c>
      <c r="D1361" s="257"/>
      <c r="E1361" s="258"/>
      <c r="F1361" s="259"/>
      <c r="G1361" s="257"/>
      <c r="H1361" s="38"/>
      <c r="I1361" s="257"/>
      <c r="J1361" s="1362"/>
      <c r="K1361" s="173"/>
      <c r="L1361" s="38"/>
      <c r="M1361" s="257"/>
      <c r="N1361" s="2227"/>
    </row>
    <row r="1362" spans="1:14" x14ac:dyDescent="0.2">
      <c r="A1362" s="31"/>
      <c r="B1362" s="253"/>
      <c r="C1362" s="286" t="s">
        <v>1099</v>
      </c>
      <c r="D1362" s="257"/>
      <c r="E1362" s="258"/>
      <c r="F1362" s="259"/>
      <c r="G1362" s="257"/>
      <c r="H1362" s="38"/>
      <c r="I1362" s="257"/>
      <c r="J1362" s="1362"/>
      <c r="K1362" s="173"/>
      <c r="L1362" s="38"/>
      <c r="M1362" s="257"/>
      <c r="N1362" s="2227"/>
    </row>
    <row r="1363" spans="1:14" x14ac:dyDescent="0.2">
      <c r="A1363" s="31"/>
      <c r="B1363" s="253"/>
      <c r="C1363" s="286" t="s">
        <v>1100</v>
      </c>
      <c r="D1363" s="257"/>
      <c r="E1363" s="258"/>
      <c r="F1363" s="259"/>
      <c r="G1363" s="257"/>
      <c r="H1363" s="38"/>
      <c r="I1363" s="257"/>
      <c r="J1363" s="1362"/>
      <c r="K1363" s="173"/>
      <c r="L1363" s="38"/>
      <c r="M1363" s="257"/>
      <c r="N1363" s="2227"/>
    </row>
    <row r="1364" spans="1:14" x14ac:dyDescent="0.2">
      <c r="A1364" s="31"/>
      <c r="B1364" s="253"/>
      <c r="C1364" s="286" t="s">
        <v>1101</v>
      </c>
      <c r="D1364" s="257">
        <f t="shared" ref="D1364:D1369" si="405">G1258</f>
        <v>214363445.44</v>
      </c>
      <c r="E1364" s="382">
        <f>ROUND('Plant input detail '!E1366*'WPB2.2 Plant detail-w slippage'!$P$2,0)</f>
        <v>648520</v>
      </c>
      <c r="F1364" s="257">
        <f>ROUND('Plant input detail '!F1366*'WPB2.2 Plant detail-w slippage'!$P$2,0)</f>
        <v>-77800</v>
      </c>
      <c r="G1364" s="257">
        <f t="shared" ref="G1364:G1369" si="406">SUM(D1364:F1364)</f>
        <v>214934165.44</v>
      </c>
      <c r="H1364" s="38"/>
      <c r="I1364" s="257">
        <f t="shared" ref="I1364:I1369" si="407">N1258</f>
        <v>58120188.609999999</v>
      </c>
      <c r="J1364" s="1362">
        <f t="shared" ref="J1364:J1369" si="408">J1258</f>
        <v>2.3E-2</v>
      </c>
      <c r="K1364" s="173">
        <f t="shared" ref="K1364:K1369" si="409">ROUND((G1364+D1364)/2*J1364/12,0)</f>
        <v>411410</v>
      </c>
      <c r="L1364" s="38">
        <f t="shared" ref="L1364:L1369" si="410">-F1364</f>
        <v>77800</v>
      </c>
      <c r="M1364" s="257">
        <f>ROUND('Plant input detail '!M1366*'WPB2.2 Plant detail-w slippage'!$P$2,0)</f>
        <v>-11700</v>
      </c>
      <c r="N1364" s="2227">
        <f t="shared" ref="N1364:N1369" si="411">I1364+K1364-L1364+M1364</f>
        <v>58442098.609999999</v>
      </c>
    </row>
    <row r="1365" spans="1:14" x14ac:dyDescent="0.2">
      <c r="A1365" s="31">
        <f>A1359+1</f>
        <v>25</v>
      </c>
      <c r="B1365" s="253">
        <v>378.1</v>
      </c>
      <c r="C1365" s="52" t="s">
        <v>1047</v>
      </c>
      <c r="D1365" s="257">
        <f t="shared" si="405"/>
        <v>518504.18</v>
      </c>
      <c r="E1365" s="382">
        <f>ROUND('Plant input detail '!E1367*'WPB2.2 Plant detail-w slippage'!$P$2,0)</f>
        <v>0</v>
      </c>
      <c r="F1365" s="257">
        <f>ROUND('Plant input detail '!F1367*'WPB2.2 Plant detail-w slippage'!$P$2,0)</f>
        <v>0</v>
      </c>
      <c r="G1365" s="257">
        <f t="shared" si="406"/>
        <v>518504.18</v>
      </c>
      <c r="H1365" s="38"/>
      <c r="I1365" s="257">
        <f t="shared" si="407"/>
        <v>366331.81</v>
      </c>
      <c r="J1365" s="1362">
        <f t="shared" si="408"/>
        <v>3.32E-2</v>
      </c>
      <c r="K1365" s="173">
        <f t="shared" si="409"/>
        <v>1435</v>
      </c>
      <c r="L1365" s="38">
        <f t="shared" si="410"/>
        <v>0</v>
      </c>
      <c r="M1365" s="257">
        <f>ROUND('Plant input detail '!M1367*'WPB2.2 Plant detail-w slippage'!$P$2,0)</f>
        <v>0</v>
      </c>
      <c r="N1365" s="2227">
        <f t="shared" si="411"/>
        <v>367766.81</v>
      </c>
    </row>
    <row r="1366" spans="1:14" x14ac:dyDescent="0.2">
      <c r="A1366" s="31">
        <f t="shared" si="402"/>
        <v>26</v>
      </c>
      <c r="B1366" s="253">
        <v>378.2</v>
      </c>
      <c r="C1366" s="52" t="s">
        <v>1048</v>
      </c>
      <c r="D1366" s="257">
        <f t="shared" si="405"/>
        <v>9808624</v>
      </c>
      <c r="E1366" s="382">
        <f>ROUND('Plant input detail '!E1368*'WPB2.2 Plant detail-w slippage'!$P$2,0)</f>
        <v>12400</v>
      </c>
      <c r="F1366" s="257">
        <f>ROUND('Plant input detail '!F1368*'WPB2.2 Plant detail-w slippage'!$P$2,0)</f>
        <v>-1500</v>
      </c>
      <c r="G1366" s="257">
        <f t="shared" si="406"/>
        <v>9819524</v>
      </c>
      <c r="H1366" s="38"/>
      <c r="I1366" s="257">
        <f t="shared" si="407"/>
        <v>3419071.91</v>
      </c>
      <c r="J1366" s="1362">
        <f t="shared" si="408"/>
        <v>3.32E-2</v>
      </c>
      <c r="K1366" s="173">
        <f t="shared" si="409"/>
        <v>27152</v>
      </c>
      <c r="L1366" s="38">
        <f t="shared" si="410"/>
        <v>1500</v>
      </c>
      <c r="M1366" s="257">
        <f>ROUND('Plant input detail '!M1368*'WPB2.2 Plant detail-w slippage'!$P$2,0)</f>
        <v>-100</v>
      </c>
      <c r="N1366" s="2227">
        <f t="shared" si="411"/>
        <v>3444623.91</v>
      </c>
    </row>
    <row r="1367" spans="1:14" x14ac:dyDescent="0.2">
      <c r="A1367" s="31">
        <f t="shared" si="402"/>
        <v>27</v>
      </c>
      <c r="B1367" s="253">
        <v>378.3</v>
      </c>
      <c r="C1367" s="52" t="s">
        <v>1049</v>
      </c>
      <c r="D1367" s="257">
        <f t="shared" si="405"/>
        <v>45443.08</v>
      </c>
      <c r="E1367" s="382">
        <f>ROUND('Plant input detail '!E1369*'WPB2.2 Plant detail-w slippage'!$P$2,0)</f>
        <v>0</v>
      </c>
      <c r="F1367" s="257">
        <f>ROUND('Plant input detail '!F1369*'WPB2.2 Plant detail-w slippage'!$P$2,0)</f>
        <v>0</v>
      </c>
      <c r="G1367" s="257">
        <f t="shared" si="406"/>
        <v>45443.08</v>
      </c>
      <c r="H1367" s="38"/>
      <c r="I1367" s="257">
        <f t="shared" si="407"/>
        <v>36130.04</v>
      </c>
      <c r="J1367" s="1362">
        <f t="shared" si="408"/>
        <v>3.32E-2</v>
      </c>
      <c r="K1367" s="173">
        <f t="shared" si="409"/>
        <v>126</v>
      </c>
      <c r="L1367" s="38">
        <f t="shared" si="410"/>
        <v>0</v>
      </c>
      <c r="M1367" s="257">
        <f>ROUND('Plant input detail '!M1369*'WPB2.2 Plant detail-w slippage'!$P$2,0)</f>
        <v>0</v>
      </c>
      <c r="N1367" s="2227">
        <f t="shared" si="411"/>
        <v>36256.04</v>
      </c>
    </row>
    <row r="1368" spans="1:14" x14ac:dyDescent="0.2">
      <c r="A1368" s="31">
        <f t="shared" si="402"/>
        <v>28</v>
      </c>
      <c r="B1368" s="253">
        <v>379.1</v>
      </c>
      <c r="C1368" s="52" t="s">
        <v>1050</v>
      </c>
      <c r="D1368" s="257">
        <f t="shared" si="405"/>
        <v>254900.59</v>
      </c>
      <c r="E1368" s="382">
        <f>ROUND('Plant input detail '!E1370*'WPB2.2 Plant detail-w slippage'!$P$2,0)</f>
        <v>0</v>
      </c>
      <c r="F1368" s="257">
        <f>ROUND('Plant input detail '!F1370*'WPB2.2 Plant detail-w slippage'!$P$2,0)</f>
        <v>0</v>
      </c>
      <c r="G1368" s="257">
        <f t="shared" si="406"/>
        <v>254900.59</v>
      </c>
      <c r="H1368" s="38"/>
      <c r="I1368" s="257">
        <f t="shared" si="407"/>
        <v>267730.57</v>
      </c>
      <c r="J1368" s="1362">
        <f t="shared" si="408"/>
        <v>6.0000000000000001E-3</v>
      </c>
      <c r="K1368" s="259">
        <v>0</v>
      </c>
      <c r="L1368" s="38">
        <f t="shared" si="410"/>
        <v>0</v>
      </c>
      <c r="M1368" s="257">
        <f>ROUND('Plant input detail '!M1370*'WPB2.2 Plant detail-w slippage'!$P$2,0)</f>
        <v>0</v>
      </c>
      <c r="N1368" s="2227">
        <f t="shared" si="411"/>
        <v>267730.57</v>
      </c>
    </row>
    <row r="1369" spans="1:14" x14ac:dyDescent="0.2">
      <c r="A1369" s="31">
        <f t="shared" si="402"/>
        <v>29</v>
      </c>
      <c r="B1369" s="253">
        <v>380</v>
      </c>
      <c r="C1369" s="52" t="s">
        <v>1051</v>
      </c>
      <c r="D1369" s="257">
        <f t="shared" si="405"/>
        <v>123769224.77</v>
      </c>
      <c r="E1369" s="382">
        <f>ROUND('Plant input detail '!E1371*'WPB2.2 Plant detail-w slippage'!$P$2,0)</f>
        <v>371246</v>
      </c>
      <c r="F1369" s="257">
        <f>ROUND('Plant input detail '!F1371*'WPB2.2 Plant detail-w slippage'!$P$2,0)</f>
        <v>-44500</v>
      </c>
      <c r="G1369" s="257">
        <f t="shared" si="406"/>
        <v>124095970.77</v>
      </c>
      <c r="H1369" s="38"/>
      <c r="I1369" s="257">
        <f t="shared" si="407"/>
        <v>59693193.520000003</v>
      </c>
      <c r="J1369" s="1362">
        <f t="shared" si="408"/>
        <v>5.0999999999999997E-2</v>
      </c>
      <c r="K1369" s="173">
        <f t="shared" si="409"/>
        <v>526714</v>
      </c>
      <c r="L1369" s="38">
        <f t="shared" si="410"/>
        <v>44500</v>
      </c>
      <c r="M1369" s="257">
        <f>ROUND('Plant input detail '!M1371*'WPB2.2 Plant detail-w slippage'!$P$2,0)</f>
        <v>-22300</v>
      </c>
      <c r="N1369" s="2227">
        <f t="shared" si="411"/>
        <v>60153107.520000003</v>
      </c>
    </row>
    <row r="1370" spans="1:14" x14ac:dyDescent="0.2">
      <c r="A1370" s="170"/>
      <c r="B1370" s="179"/>
      <c r="C1370" s="178"/>
      <c r="D1370" s="181"/>
      <c r="E1370" s="173"/>
      <c r="F1370" s="173"/>
      <c r="G1370" s="181"/>
      <c r="H1370" s="173"/>
      <c r="I1370" s="173"/>
      <c r="J1370" s="173"/>
      <c r="K1370" s="173"/>
      <c r="L1370" s="173"/>
      <c r="M1370" s="171"/>
      <c r="N1370" s="2229"/>
    </row>
    <row r="1371" spans="1:14" x14ac:dyDescent="0.2">
      <c r="A1371" s="2079" t="str">
        <f>co</f>
        <v>COLUMBIA GAS OF KENTUCKY, INC.</v>
      </c>
      <c r="B1371" s="2079"/>
      <c r="C1371" s="2079"/>
      <c r="D1371" s="2079"/>
      <c r="E1371" s="2079"/>
      <c r="F1371" s="2079"/>
      <c r="G1371" s="2079"/>
      <c r="H1371" s="2079"/>
      <c r="I1371" s="2079"/>
      <c r="J1371" s="2079"/>
      <c r="K1371" s="2079"/>
      <c r="L1371" s="2079"/>
      <c r="M1371" s="2079"/>
      <c r="N1371" s="2079"/>
    </row>
    <row r="1372" spans="1:14" x14ac:dyDescent="0.2">
      <c r="A1372" s="2079" t="str">
        <f>case</f>
        <v>CASE NO. 2016 - 00162</v>
      </c>
      <c r="B1372" s="2079"/>
      <c r="C1372" s="2079"/>
      <c r="D1372" s="2079"/>
      <c r="E1372" s="2079"/>
      <c r="F1372" s="2079"/>
      <c r="G1372" s="2079"/>
      <c r="H1372" s="2079"/>
      <c r="I1372" s="2079"/>
      <c r="J1372" s="2079"/>
      <c r="K1372" s="2079"/>
      <c r="L1372" s="2079"/>
      <c r="M1372" s="2079"/>
      <c r="N1372" s="2079"/>
    </row>
    <row r="1373" spans="1:14" x14ac:dyDescent="0.2">
      <c r="A1373" s="2080" t="s">
        <v>1106</v>
      </c>
      <c r="B1373" s="2079"/>
      <c r="C1373" s="2079"/>
      <c r="D1373" s="2079"/>
      <c r="E1373" s="2079"/>
      <c r="F1373" s="2079"/>
      <c r="G1373" s="2079"/>
      <c r="H1373" s="2079"/>
      <c r="I1373" s="2079"/>
      <c r="J1373" s="2079"/>
      <c r="K1373" s="2079"/>
      <c r="L1373" s="2079"/>
      <c r="M1373" s="2079"/>
      <c r="N1373" s="2079"/>
    </row>
    <row r="1374" spans="1:14" x14ac:dyDescent="0.2">
      <c r="A1374" s="2081" t="s">
        <v>2142</v>
      </c>
      <c r="B1374" s="2085"/>
      <c r="C1374" s="2085"/>
      <c r="D1374" s="2085"/>
      <c r="E1374" s="2085"/>
      <c r="F1374" s="2085"/>
      <c r="G1374" s="2085"/>
      <c r="H1374" s="2085"/>
      <c r="I1374" s="2085"/>
      <c r="J1374" s="2085"/>
      <c r="K1374" s="2085"/>
      <c r="L1374" s="2085"/>
      <c r="M1374" s="2085"/>
      <c r="N1374" s="2085"/>
    </row>
    <row r="1376" spans="1:14" x14ac:dyDescent="0.2">
      <c r="A1376" s="285" t="str">
        <f>$A$6</f>
        <v>DATA:__X___BASE PERIOD__X___FORECASTED PERIOD</v>
      </c>
      <c r="C1376" s="171"/>
      <c r="M1376" s="32"/>
      <c r="N1376" s="1258" t="str">
        <f>$N$6</f>
        <v>WPB-2.2</v>
      </c>
    </row>
    <row r="1377" spans="1:14" x14ac:dyDescent="0.2">
      <c r="A1377" s="4" t="str">
        <f>$A$7</f>
        <v>TYPE OF FILING:___X____ORIGINAL________UPDATED</v>
      </c>
      <c r="M1377" s="32"/>
      <c r="N1377" s="2223" t="s">
        <v>1739</v>
      </c>
    </row>
    <row r="1378" spans="1:14" x14ac:dyDescent="0.2">
      <c r="A1378" s="1261" t="str">
        <f>$A$8</f>
        <v xml:space="preserve">WORKPAPER REFERENCE NO(S).: </v>
      </c>
      <c r="B1378" s="202"/>
      <c r="C1378" s="202"/>
      <c r="D1378" s="201"/>
      <c r="E1378" s="202"/>
      <c r="F1378" s="202"/>
      <c r="G1378" s="201"/>
      <c r="H1378" s="201"/>
      <c r="M1378" s="203"/>
      <c r="N1378" s="204" t="str">
        <f>SMK</f>
        <v>WITNESS:  S. M. KATKO</v>
      </c>
    </row>
    <row r="1379" spans="1:14" x14ac:dyDescent="0.2">
      <c r="A1379" s="200"/>
      <c r="B1379" s="201"/>
      <c r="C1379" s="201"/>
      <c r="D1379" s="201"/>
      <c r="E1379" s="202"/>
      <c r="F1379" s="202"/>
      <c r="G1379" s="201"/>
      <c r="H1379" s="201"/>
      <c r="I1379" s="203"/>
      <c r="J1379" s="1357"/>
      <c r="L1379" s="32"/>
      <c r="M1379" s="32"/>
    </row>
    <row r="1380" spans="1:14" x14ac:dyDescent="0.2">
      <c r="A1380" s="200"/>
      <c r="B1380" s="201"/>
      <c r="C1380" s="201"/>
      <c r="D1380" s="2082" t="s">
        <v>1088</v>
      </c>
      <c r="E1380" s="2082"/>
      <c r="F1380" s="2082"/>
      <c r="G1380" s="2082"/>
      <c r="H1380" s="201"/>
      <c r="I1380" s="2083" t="s">
        <v>1093</v>
      </c>
      <c r="J1380" s="2084"/>
      <c r="K1380" s="2084"/>
      <c r="L1380" s="2084"/>
      <c r="M1380" s="2084"/>
      <c r="N1380" s="2084"/>
    </row>
    <row r="1381" spans="1:14" x14ac:dyDescent="0.2">
      <c r="A1381" s="270"/>
      <c r="B1381" s="201"/>
      <c r="C1381" s="201"/>
      <c r="D1381" s="271" t="s">
        <v>1084</v>
      </c>
      <c r="E1381" s="202"/>
      <c r="F1381" s="202"/>
      <c r="G1381" s="269"/>
      <c r="H1381" s="269"/>
      <c r="I1381" s="261" t="s">
        <v>1089</v>
      </c>
      <c r="J1381" s="1358"/>
      <c r="M1381" s="32"/>
    </row>
    <row r="1382" spans="1:14" x14ac:dyDescent="0.2">
      <c r="A1382" s="30"/>
      <c r="D1382" s="261" t="s">
        <v>865</v>
      </c>
      <c r="G1382" s="261" t="s">
        <v>867</v>
      </c>
      <c r="H1382" s="268"/>
      <c r="I1382" s="261" t="s">
        <v>865</v>
      </c>
      <c r="J1382" s="1308" t="s">
        <v>956</v>
      </c>
      <c r="M1382" s="32"/>
      <c r="N1382" s="2225" t="s">
        <v>867</v>
      </c>
    </row>
    <row r="1383" spans="1:14" x14ac:dyDescent="0.2">
      <c r="A1383" s="261" t="s">
        <v>1080</v>
      </c>
      <c r="B1383" s="261" t="s">
        <v>1082</v>
      </c>
      <c r="D1383" s="261" t="s">
        <v>867</v>
      </c>
      <c r="G1383" s="262" t="s">
        <v>1087</v>
      </c>
      <c r="H1383" s="268"/>
      <c r="I1383" s="262" t="s">
        <v>867</v>
      </c>
      <c r="J1383" s="1308" t="s">
        <v>1090</v>
      </c>
      <c r="K1383" s="1308" t="s">
        <v>956</v>
      </c>
      <c r="M1383" s="262" t="s">
        <v>1092</v>
      </c>
      <c r="N1383" s="1259" t="s">
        <v>1087</v>
      </c>
    </row>
    <row r="1384" spans="1:14" x14ac:dyDescent="0.2">
      <c r="A1384" s="272" t="s">
        <v>1081</v>
      </c>
      <c r="B1384" s="272" t="s">
        <v>1081</v>
      </c>
      <c r="C1384" s="273" t="s">
        <v>1083</v>
      </c>
      <c r="D1384" s="274" t="str">
        <f>D1331</f>
        <v>02/28/2017</v>
      </c>
      <c r="E1384" s="275" t="s">
        <v>1085</v>
      </c>
      <c r="F1384" s="275" t="s">
        <v>1086</v>
      </c>
      <c r="G1384" s="274" t="str">
        <f>G1331</f>
        <v>03/31/2017</v>
      </c>
      <c r="H1384" s="268"/>
      <c r="I1384" s="274" t="str">
        <f>D1384</f>
        <v>02/28/2017</v>
      </c>
      <c r="J1384" s="275" t="s">
        <v>1091</v>
      </c>
      <c r="K1384" s="1327" t="s">
        <v>1090</v>
      </c>
      <c r="L1384" s="276" t="s">
        <v>1086</v>
      </c>
      <c r="M1384" s="276" t="s">
        <v>955</v>
      </c>
      <c r="N1384" s="2226" t="str">
        <f>G1384</f>
        <v>03/31/2017</v>
      </c>
    </row>
    <row r="1385" spans="1:14" x14ac:dyDescent="0.2">
      <c r="A1385" s="267"/>
      <c r="B1385" s="267"/>
      <c r="C1385" s="267"/>
      <c r="D1385" s="267" t="str">
        <f>"(1)"</f>
        <v>(1)</v>
      </c>
      <c r="E1385" s="267" t="str">
        <f>"(2)"</f>
        <v>(2)</v>
      </c>
      <c r="F1385" s="267" t="str">
        <f>"(3)"</f>
        <v>(3)</v>
      </c>
      <c r="G1385" s="267" t="str">
        <f>"(4)=(1+2+3)"</f>
        <v>(4)=(1+2+3)</v>
      </c>
      <c r="H1385" s="267"/>
      <c r="I1385" s="267" t="str">
        <f>"(5)"</f>
        <v>(5)</v>
      </c>
      <c r="J1385" s="1328" t="str">
        <f>"(6)"</f>
        <v>(6)</v>
      </c>
      <c r="K1385" s="1328" t="str">
        <f>"(7)=((1+4)/2*6/12))"</f>
        <v>(7)=((1+4)/2*6/12))</v>
      </c>
      <c r="L1385" s="267" t="str">
        <f>"(8)"</f>
        <v>(8)</v>
      </c>
      <c r="M1385" s="267" t="str">
        <f>"(9)"</f>
        <v>(9)</v>
      </c>
      <c r="N1385" s="204" t="str">
        <f>"(10)=(5+7-8+9)"</f>
        <v>(10)=(5+7-8+9)</v>
      </c>
    </row>
    <row r="1386" spans="1:14" x14ac:dyDescent="0.2">
      <c r="D1386" s="31" t="s">
        <v>639</v>
      </c>
      <c r="E1386" s="170" t="s">
        <v>639</v>
      </c>
      <c r="F1386" s="170" t="s">
        <v>639</v>
      </c>
      <c r="G1386" s="31" t="s">
        <v>639</v>
      </c>
      <c r="H1386" s="31"/>
      <c r="I1386" s="31" t="s">
        <v>639</v>
      </c>
      <c r="J1386" s="170" t="s">
        <v>639</v>
      </c>
      <c r="K1386" s="170" t="s">
        <v>639</v>
      </c>
      <c r="L1386" s="31" t="s">
        <v>639</v>
      </c>
      <c r="M1386" s="31" t="s">
        <v>639</v>
      </c>
      <c r="N1386" s="155" t="s">
        <v>639</v>
      </c>
    </row>
    <row r="1387" spans="1:14" x14ac:dyDescent="0.2">
      <c r="C1387" s="36" t="s">
        <v>707</v>
      </c>
      <c r="D1387" s="31"/>
      <c r="E1387" s="170"/>
      <c r="F1387" s="170"/>
      <c r="G1387" s="31"/>
      <c r="J1387" s="170"/>
    </row>
    <row r="1388" spans="1:14" x14ac:dyDescent="0.2">
      <c r="A1388" s="127">
        <v>1</v>
      </c>
      <c r="B1388" s="123">
        <v>381</v>
      </c>
      <c r="C1388" s="52" t="s">
        <v>1052</v>
      </c>
      <c r="D1388" s="257">
        <f t="shared" ref="D1388:D1399" si="412">G1282</f>
        <v>13756108.550000001</v>
      </c>
      <c r="E1388" s="382">
        <f>ROUND('Plant input detail '!E1390*'WPB2.2 Plant detail-w slippage'!$P$2,0)</f>
        <v>16900</v>
      </c>
      <c r="F1388" s="257">
        <f>ROUND('Plant input detail '!F1390*'WPB2.2 Plant detail-w slippage'!$P$2,0)</f>
        <v>-2000</v>
      </c>
      <c r="G1388" s="257">
        <f>SUM(D1388:F1388)</f>
        <v>13771008.550000001</v>
      </c>
      <c r="H1388" s="38"/>
      <c r="I1388" s="257">
        <f t="shared" ref="I1388:I1399" si="413">N1282</f>
        <v>5000993.8899999997</v>
      </c>
      <c r="J1388" s="1362">
        <f t="shared" ref="J1388:J1399" si="414">J1282</f>
        <v>3.3000000000000002E-2</v>
      </c>
      <c r="K1388" s="173">
        <f t="shared" ref="K1388:K1399" si="415">ROUND((G1388+D1388)/2*J1388/12,0)</f>
        <v>37850</v>
      </c>
      <c r="L1388" s="38">
        <f t="shared" ref="L1388:L1399" si="416">-F1388</f>
        <v>2000</v>
      </c>
      <c r="M1388" s="257">
        <f>ROUND('Plant input detail '!M1390*'WPB2.2 Plant detail-w slippage'!$P$2,0)</f>
        <v>0</v>
      </c>
      <c r="N1388" s="2227">
        <f t="shared" ref="N1388:N1399" si="417">I1388+K1388-L1388+M1388</f>
        <v>5036843.8899999997</v>
      </c>
    </row>
    <row r="1389" spans="1:14" x14ac:dyDescent="0.2">
      <c r="A1389" s="127">
        <f>A1388+1</f>
        <v>2</v>
      </c>
      <c r="B1389" s="123">
        <v>381.1</v>
      </c>
      <c r="C1389" s="52" t="s">
        <v>1115</v>
      </c>
      <c r="D1389" s="257">
        <f t="shared" si="412"/>
        <v>8804012.0600000005</v>
      </c>
      <c r="E1389" s="382">
        <f>ROUND('Plant input detail '!E1391*'WPB2.2 Plant detail-w slippage'!$P$2,0)</f>
        <v>5300</v>
      </c>
      <c r="F1389" s="257">
        <f>ROUND('Plant input detail '!F1391*'WPB2.2 Plant detail-w slippage'!$P$2,0)</f>
        <v>-600</v>
      </c>
      <c r="G1389" s="257">
        <f>SUM(D1389:F1389)</f>
        <v>8808712.0600000005</v>
      </c>
      <c r="H1389" s="38"/>
      <c r="I1389" s="257">
        <f t="shared" si="413"/>
        <v>667019.5</v>
      </c>
      <c r="J1389" s="1362">
        <f t="shared" si="414"/>
        <v>8.0600000000000005E-2</v>
      </c>
      <c r="K1389" s="173">
        <f t="shared" si="415"/>
        <v>59149</v>
      </c>
      <c r="L1389" s="38">
        <f t="shared" si="416"/>
        <v>600</v>
      </c>
      <c r="M1389" s="257">
        <f>ROUND('Plant input detail '!M1391*'WPB2.2 Plant detail-w slippage'!$P$2,0)</f>
        <v>0</v>
      </c>
      <c r="N1389" s="2227">
        <f t="shared" si="417"/>
        <v>725568.5</v>
      </c>
    </row>
    <row r="1390" spans="1:14" x14ac:dyDescent="0.2">
      <c r="A1390" s="127">
        <f t="shared" ref="A1390:A1400" si="418">A1389+1</f>
        <v>3</v>
      </c>
      <c r="B1390" s="123">
        <v>382</v>
      </c>
      <c r="C1390" s="52" t="s">
        <v>1053</v>
      </c>
      <c r="D1390" s="257">
        <f t="shared" si="412"/>
        <v>9320092.6500000004</v>
      </c>
      <c r="E1390" s="382">
        <f>ROUND('Plant input detail '!E1392*'WPB2.2 Plant detail-w slippage'!$P$2,0)</f>
        <v>18300</v>
      </c>
      <c r="F1390" s="257">
        <f>ROUND('Plant input detail '!F1392*'WPB2.2 Plant detail-w slippage'!$P$2,0)</f>
        <v>-2200</v>
      </c>
      <c r="G1390" s="257">
        <f t="shared" ref="G1390:G1395" si="419">SUM(D1390:F1390)</f>
        <v>9336192.6500000004</v>
      </c>
      <c r="H1390" s="38"/>
      <c r="I1390" s="257">
        <f t="shared" si="413"/>
        <v>4657315.3</v>
      </c>
      <c r="J1390" s="1362">
        <f t="shared" si="414"/>
        <v>2.4400000000000002E-2</v>
      </c>
      <c r="K1390" s="173">
        <f t="shared" si="415"/>
        <v>18967</v>
      </c>
      <c r="L1390" s="38">
        <f t="shared" si="416"/>
        <v>2200</v>
      </c>
      <c r="M1390" s="257">
        <f>ROUND('Plant input detail '!M1392*'WPB2.2 Plant detail-w slippage'!$P$2,0)</f>
        <v>-100</v>
      </c>
      <c r="N1390" s="2227">
        <f t="shared" si="417"/>
        <v>4673982.3</v>
      </c>
    </row>
    <row r="1391" spans="1:14" x14ac:dyDescent="0.2">
      <c r="A1391" s="127">
        <f t="shared" si="418"/>
        <v>4</v>
      </c>
      <c r="B1391" s="123">
        <v>383</v>
      </c>
      <c r="C1391" s="52" t="s">
        <v>1054</v>
      </c>
      <c r="D1391" s="257">
        <f t="shared" si="412"/>
        <v>5689620.7599999998</v>
      </c>
      <c r="E1391" s="382">
        <f>ROUND('Plant input detail '!E1393*'WPB2.2 Plant detail-w slippage'!$P$2,0)</f>
        <v>13900</v>
      </c>
      <c r="F1391" s="257">
        <f>ROUND('Plant input detail '!F1393*'WPB2.2 Plant detail-w slippage'!$P$2,0)</f>
        <v>-1700</v>
      </c>
      <c r="G1391" s="257">
        <f t="shared" si="419"/>
        <v>5701820.7599999998</v>
      </c>
      <c r="H1391" s="38"/>
      <c r="I1391" s="257">
        <f t="shared" si="413"/>
        <v>1527550.41</v>
      </c>
      <c r="J1391" s="1362">
        <f t="shared" si="414"/>
        <v>2.7300000000000001E-2</v>
      </c>
      <c r="K1391" s="173">
        <f t="shared" si="415"/>
        <v>12958</v>
      </c>
      <c r="L1391" s="38">
        <f t="shared" si="416"/>
        <v>1700</v>
      </c>
      <c r="M1391" s="257">
        <f>ROUND('Plant input detail '!M1393*'WPB2.2 Plant detail-w slippage'!$P$2,0)</f>
        <v>-100</v>
      </c>
      <c r="N1391" s="2227">
        <f t="shared" si="417"/>
        <v>1538708.41</v>
      </c>
    </row>
    <row r="1392" spans="1:14" x14ac:dyDescent="0.2">
      <c r="A1392" s="127">
        <f t="shared" si="418"/>
        <v>5</v>
      </c>
      <c r="B1392" s="123">
        <v>384</v>
      </c>
      <c r="C1392" s="52" t="s">
        <v>1055</v>
      </c>
      <c r="D1392" s="257">
        <f t="shared" si="412"/>
        <v>2257522</v>
      </c>
      <c r="E1392" s="382">
        <f>ROUND('Plant input detail '!E1394*'WPB2.2 Plant detail-w slippage'!$P$2,0)</f>
        <v>0</v>
      </c>
      <c r="F1392" s="257">
        <f>ROUND('Plant input detail '!F1394*'WPB2.2 Plant detail-w slippage'!$P$2,0)</f>
        <v>0</v>
      </c>
      <c r="G1392" s="257">
        <f t="shared" si="419"/>
        <v>2257522</v>
      </c>
      <c r="H1392" s="38"/>
      <c r="I1392" s="257">
        <f t="shared" si="413"/>
        <v>1773128.73</v>
      </c>
      <c r="J1392" s="1362">
        <f t="shared" si="414"/>
        <v>1.01E-2</v>
      </c>
      <c r="K1392" s="173">
        <f t="shared" si="415"/>
        <v>1900</v>
      </c>
      <c r="L1392" s="38">
        <f t="shared" si="416"/>
        <v>0</v>
      </c>
      <c r="M1392" s="257">
        <f>ROUND('Plant input detail '!M1394*'WPB2.2 Plant detail-w slippage'!$P$2,0)</f>
        <v>0</v>
      </c>
      <c r="N1392" s="2227">
        <f t="shared" si="417"/>
        <v>1775028.73</v>
      </c>
    </row>
    <row r="1393" spans="1:14" x14ac:dyDescent="0.2">
      <c r="A1393" s="127">
        <f t="shared" si="418"/>
        <v>6</v>
      </c>
      <c r="B1393" s="123">
        <v>385</v>
      </c>
      <c r="C1393" s="52" t="s">
        <v>1056</v>
      </c>
      <c r="D1393" s="257">
        <f t="shared" si="412"/>
        <v>3273183.36</v>
      </c>
      <c r="E1393" s="382">
        <f>ROUND('Plant input detail '!E1395*'WPB2.2 Plant detail-w slippage'!$P$2,0)</f>
        <v>11400</v>
      </c>
      <c r="F1393" s="257">
        <f>ROUND('Plant input detail '!F1395*'WPB2.2 Plant detail-w slippage'!$P$2,0)</f>
        <v>-1400</v>
      </c>
      <c r="G1393" s="257">
        <f t="shared" si="419"/>
        <v>3283183.36</v>
      </c>
      <c r="H1393" s="38"/>
      <c r="I1393" s="257">
        <f t="shared" si="413"/>
        <v>914828.55</v>
      </c>
      <c r="J1393" s="1362">
        <f t="shared" si="414"/>
        <v>5.0799999999999998E-2</v>
      </c>
      <c r="K1393" s="173">
        <f t="shared" si="415"/>
        <v>13878</v>
      </c>
      <c r="L1393" s="38">
        <f t="shared" si="416"/>
        <v>1400</v>
      </c>
      <c r="M1393" s="257">
        <f>ROUND('Plant input detail '!M1395*'WPB2.2 Plant detail-w slippage'!$P$2,0)</f>
        <v>-100</v>
      </c>
      <c r="N1393" s="2227">
        <f t="shared" si="417"/>
        <v>927206.55</v>
      </c>
    </row>
    <row r="1394" spans="1:14" x14ac:dyDescent="0.2">
      <c r="A1394" s="127">
        <f t="shared" si="418"/>
        <v>7</v>
      </c>
      <c r="B1394" s="123">
        <v>387.2</v>
      </c>
      <c r="C1394" s="52" t="s">
        <v>1057</v>
      </c>
      <c r="D1394" s="257">
        <f t="shared" si="412"/>
        <v>0</v>
      </c>
      <c r="E1394" s="382">
        <f>ROUND('Plant input detail '!E1396*'WPB2.2 Plant detail-w slippage'!$P$2,0)</f>
        <v>0</v>
      </c>
      <c r="F1394" s="257">
        <f>ROUND('Plant input detail '!F1396*'WPB2.2 Plant detail-w slippage'!$P$2,0)</f>
        <v>0</v>
      </c>
      <c r="G1394" s="257">
        <f t="shared" si="419"/>
        <v>0</v>
      </c>
      <c r="H1394" s="38"/>
      <c r="I1394" s="257">
        <f t="shared" si="413"/>
        <v>-59912.03</v>
      </c>
      <c r="J1394" s="1362">
        <f t="shared" si="414"/>
        <v>0</v>
      </c>
      <c r="K1394" s="173">
        <f t="shared" si="415"/>
        <v>0</v>
      </c>
      <c r="L1394" s="38">
        <f t="shared" si="416"/>
        <v>0</v>
      </c>
      <c r="M1394" s="257">
        <f>ROUND('Plant input detail '!M1396*'WPB2.2 Plant detail-w slippage'!$P$2,0)</f>
        <v>0</v>
      </c>
      <c r="N1394" s="2227">
        <f t="shared" si="417"/>
        <v>-59912.03</v>
      </c>
    </row>
    <row r="1395" spans="1:14" x14ac:dyDescent="0.2">
      <c r="A1395" s="127">
        <f t="shared" si="418"/>
        <v>8</v>
      </c>
      <c r="B1395" s="123">
        <v>387.41</v>
      </c>
      <c r="C1395" s="52" t="s">
        <v>1058</v>
      </c>
      <c r="D1395" s="257">
        <f t="shared" si="412"/>
        <v>735770.76</v>
      </c>
      <c r="E1395" s="382">
        <f>ROUND('Plant input detail '!E1397*'WPB2.2 Plant detail-w slippage'!$P$2,0)</f>
        <v>0</v>
      </c>
      <c r="F1395" s="257">
        <f>ROUND('Plant input detail '!F1397*'WPB2.2 Plant detail-w slippage'!$P$2,0)</f>
        <v>0</v>
      </c>
      <c r="G1395" s="257">
        <f t="shared" si="419"/>
        <v>735770.76</v>
      </c>
      <c r="H1395" s="38"/>
      <c r="I1395" s="257">
        <f t="shared" si="413"/>
        <v>390643.95</v>
      </c>
      <c r="J1395" s="1362">
        <f t="shared" si="414"/>
        <v>3.7400000000000003E-2</v>
      </c>
      <c r="K1395" s="173">
        <f t="shared" si="415"/>
        <v>2293</v>
      </c>
      <c r="L1395" s="38">
        <f t="shared" si="416"/>
        <v>0</v>
      </c>
      <c r="M1395" s="257">
        <f>ROUND('Plant input detail '!M1397*'WPB2.2 Plant detail-w slippage'!$P$2,0)</f>
        <v>0</v>
      </c>
      <c r="N1395" s="2227">
        <f t="shared" si="417"/>
        <v>392936.95</v>
      </c>
    </row>
    <row r="1396" spans="1:14" x14ac:dyDescent="0.2">
      <c r="A1396" s="127">
        <f t="shared" si="418"/>
        <v>9</v>
      </c>
      <c r="B1396" s="123">
        <v>387.42</v>
      </c>
      <c r="C1396" s="52" t="s">
        <v>1059</v>
      </c>
      <c r="D1396" s="257">
        <f t="shared" si="412"/>
        <v>795186.58</v>
      </c>
      <c r="E1396" s="382">
        <f>ROUND('Plant input detail '!E1398*'WPB2.2 Plant detail-w slippage'!$P$2,0)</f>
        <v>0</v>
      </c>
      <c r="F1396" s="257">
        <f>ROUND('Plant input detail '!F1398*'WPB2.2 Plant detail-w slippage'!$P$2,0)</f>
        <v>0</v>
      </c>
      <c r="G1396" s="257">
        <f>SUM(D1396:F1396)</f>
        <v>795186.58</v>
      </c>
      <c r="H1396" s="38"/>
      <c r="I1396" s="257">
        <f t="shared" si="413"/>
        <v>557501.94999999995</v>
      </c>
      <c r="J1396" s="1362">
        <f t="shared" si="414"/>
        <v>3.7400000000000003E-2</v>
      </c>
      <c r="K1396" s="173">
        <f t="shared" si="415"/>
        <v>2478</v>
      </c>
      <c r="L1396" s="38">
        <f t="shared" si="416"/>
        <v>0</v>
      </c>
      <c r="M1396" s="257">
        <f>ROUND('Plant input detail '!M1398*'WPB2.2 Plant detail-w slippage'!$P$2,0)</f>
        <v>0</v>
      </c>
      <c r="N1396" s="2227">
        <f t="shared" si="417"/>
        <v>559979.94999999995</v>
      </c>
    </row>
    <row r="1397" spans="1:14" x14ac:dyDescent="0.2">
      <c r="A1397" s="127">
        <f t="shared" si="418"/>
        <v>10</v>
      </c>
      <c r="B1397" s="123">
        <v>387.44</v>
      </c>
      <c r="C1397" s="52" t="s">
        <v>1060</v>
      </c>
      <c r="D1397" s="257">
        <f t="shared" si="412"/>
        <v>143283.93</v>
      </c>
      <c r="E1397" s="382">
        <f>ROUND('Plant input detail '!E1399*'WPB2.2 Plant detail-w slippage'!$P$2,0)</f>
        <v>0</v>
      </c>
      <c r="F1397" s="257">
        <f>ROUND('Plant input detail '!F1399*'WPB2.2 Plant detail-w slippage'!$P$2,0)</f>
        <v>0</v>
      </c>
      <c r="G1397" s="257">
        <f>SUM(D1397:F1397)</f>
        <v>143283.93</v>
      </c>
      <c r="H1397" s="38"/>
      <c r="I1397" s="257">
        <f t="shared" si="413"/>
        <v>47842.55</v>
      </c>
      <c r="J1397" s="1362">
        <f t="shared" si="414"/>
        <v>3.7400000000000003E-2</v>
      </c>
      <c r="K1397" s="173">
        <f t="shared" si="415"/>
        <v>447</v>
      </c>
      <c r="L1397" s="38">
        <f t="shared" si="416"/>
        <v>0</v>
      </c>
      <c r="M1397" s="257">
        <f>ROUND('Plant input detail '!M1399*'WPB2.2 Plant detail-w slippage'!$P$2,0)</f>
        <v>0</v>
      </c>
      <c r="N1397" s="2227">
        <f t="shared" si="417"/>
        <v>48289.55</v>
      </c>
    </row>
    <row r="1398" spans="1:14" x14ac:dyDescent="0.2">
      <c r="A1398" s="127">
        <f t="shared" si="418"/>
        <v>11</v>
      </c>
      <c r="B1398" s="123">
        <v>387.45</v>
      </c>
      <c r="C1398" s="52" t="s">
        <v>1061</v>
      </c>
      <c r="D1398" s="257">
        <f t="shared" si="412"/>
        <v>3230304.66</v>
      </c>
      <c r="E1398" s="382">
        <f>ROUND('Plant input detail '!E1400*'WPB2.2 Plant detail-w slippage'!$P$2,0)</f>
        <v>83300</v>
      </c>
      <c r="F1398" s="257">
        <f>ROUND('Plant input detail '!F1400*'WPB2.2 Plant detail-w slippage'!$P$2,0)</f>
        <v>-10000</v>
      </c>
      <c r="G1398" s="257">
        <f>SUM(D1398:F1398)</f>
        <v>3303604.66</v>
      </c>
      <c r="H1398" s="38"/>
      <c r="I1398" s="257">
        <f t="shared" si="413"/>
        <v>558048.06000000006</v>
      </c>
      <c r="J1398" s="1362">
        <f t="shared" si="414"/>
        <v>3.7400000000000003E-2</v>
      </c>
      <c r="K1398" s="173">
        <f t="shared" si="415"/>
        <v>10182</v>
      </c>
      <c r="L1398" s="38">
        <f t="shared" si="416"/>
        <v>10000</v>
      </c>
      <c r="M1398" s="257">
        <f>ROUND('Plant input detail '!M1400*'WPB2.2 Plant detail-w slippage'!$P$2,0)</f>
        <v>0</v>
      </c>
      <c r="N1398" s="2227">
        <f t="shared" si="417"/>
        <v>558230.06000000006</v>
      </c>
    </row>
    <row r="1399" spans="1:14" x14ac:dyDescent="0.2">
      <c r="A1399" s="127">
        <f t="shared" si="418"/>
        <v>12</v>
      </c>
      <c r="B1399" s="123">
        <v>387.46</v>
      </c>
      <c r="C1399" s="52" t="s">
        <v>1062</v>
      </c>
      <c r="D1399" s="260">
        <f t="shared" si="412"/>
        <v>113644.47</v>
      </c>
      <c r="E1399" s="265">
        <f>ROUND('Plant input detail '!E1401*'WPB2.2 Plant detail-w slippage'!$P$2,0)</f>
        <v>0</v>
      </c>
      <c r="F1399" s="265">
        <f>ROUND('Plant input detail '!F1401*'WPB2.2 Plant detail-w slippage'!$P$2,0)</f>
        <v>0</v>
      </c>
      <c r="G1399" s="265">
        <f>SUM(D1399:F1399)</f>
        <v>113644.47</v>
      </c>
      <c r="H1399" s="264"/>
      <c r="I1399" s="260">
        <f t="shared" si="413"/>
        <v>112940.83</v>
      </c>
      <c r="J1399" s="1362">
        <f t="shared" si="414"/>
        <v>3.7400000000000003E-2</v>
      </c>
      <c r="K1399" s="260">
        <f t="shared" si="415"/>
        <v>354</v>
      </c>
      <c r="L1399" s="295">
        <f t="shared" si="416"/>
        <v>0</v>
      </c>
      <c r="M1399" s="265">
        <f>ROUND('Plant input detail '!M1401*'WPB2.2 Plant detail-w slippage'!$P$2,0)</f>
        <v>0</v>
      </c>
      <c r="N1399" s="2228">
        <f t="shared" si="417"/>
        <v>113294.83</v>
      </c>
    </row>
    <row r="1400" spans="1:14" x14ac:dyDescent="0.2">
      <c r="A1400" s="127">
        <f t="shared" si="418"/>
        <v>13</v>
      </c>
      <c r="B1400" s="252"/>
      <c r="C1400" s="32" t="s">
        <v>1063</v>
      </c>
      <c r="D1400" s="173">
        <f>SUM(D1388:D1399,D1348:D1369)</f>
        <v>411849626.37999994</v>
      </c>
      <c r="E1400" s="173">
        <f>SUM(E1388:E1399,E1348:E1369)</f>
        <v>1244466</v>
      </c>
      <c r="F1400" s="173">
        <f>SUM(F1388:F1399,F1348:F1369)</f>
        <v>-149300</v>
      </c>
      <c r="G1400" s="173">
        <f>SUM(G1388:G1399,G1348:G1369)</f>
        <v>412944792.37999994</v>
      </c>
      <c r="H1400" s="38"/>
      <c r="I1400" s="173">
        <f>SUM(I1388:I1399,I1348:I1369)</f>
        <v>143181021.3736842</v>
      </c>
      <c r="J1400" s="173"/>
      <c r="K1400" s="173">
        <f>SUM(K1388:K1399,K1348:K1369)</f>
        <v>1154398.0494736843</v>
      </c>
      <c r="L1400" s="173">
        <f>SUM(L1388:L1399,L1348:L1369)</f>
        <v>149300</v>
      </c>
      <c r="M1400" s="173">
        <f>SUM(M1388:M1399,M1348:M1369)</f>
        <v>-34500</v>
      </c>
      <c r="N1400" s="1361">
        <f>SUM(N1388:N1399,N1348:N1369)</f>
        <v>144151619.4231579</v>
      </c>
    </row>
    <row r="1401" spans="1:14" x14ac:dyDescent="0.2">
      <c r="B1401" s="252"/>
      <c r="D1401" s="38"/>
      <c r="E1401" s="173"/>
      <c r="F1401" s="173"/>
      <c r="G1401" s="38"/>
      <c r="H1401" s="38"/>
      <c r="I1401" s="181"/>
      <c r="J1401" s="173"/>
      <c r="K1401" s="173"/>
      <c r="L1401" s="38"/>
      <c r="M1401" s="173"/>
    </row>
    <row r="1402" spans="1:14" x14ac:dyDescent="0.2">
      <c r="A1402" s="127">
        <f>A1400+1</f>
        <v>14</v>
      </c>
      <c r="B1402" s="252"/>
      <c r="C1402" s="36" t="s">
        <v>737</v>
      </c>
      <c r="D1402" s="38"/>
      <c r="E1402" s="173"/>
      <c r="F1402" s="173"/>
      <c r="G1402" s="38"/>
      <c r="H1402" s="38"/>
      <c r="I1402" s="181"/>
      <c r="J1402" s="173"/>
      <c r="K1402" s="173"/>
      <c r="L1402" s="38"/>
      <c r="M1402" s="173"/>
    </row>
    <row r="1403" spans="1:14" x14ac:dyDescent="0.2">
      <c r="A1403" s="31">
        <f>A1402+1</f>
        <v>15</v>
      </c>
      <c r="B1403" s="123">
        <v>391.1</v>
      </c>
      <c r="C1403" s="52" t="s">
        <v>1064</v>
      </c>
      <c r="D1403" s="257">
        <f t="shared" ref="D1403:D1416" si="420">G1297</f>
        <v>713480.71</v>
      </c>
      <c r="E1403" s="382">
        <f>ROUND('Plant input detail '!E1405*'WPB2.2 Plant detail-w slippage'!$P$2,0)</f>
        <v>0</v>
      </c>
      <c r="F1403" s="257">
        <f>ROUND('Plant input detail '!F1405*'WPB2.2 Plant detail-w slippage'!$P$2,0)</f>
        <v>0</v>
      </c>
      <c r="G1403" s="257">
        <f t="shared" ref="G1403:G1416" si="421">SUM(D1403:F1403)</f>
        <v>713480.71</v>
      </c>
      <c r="H1403" s="38"/>
      <c r="I1403" s="257">
        <f t="shared" ref="I1403:I1416" si="422">N1297</f>
        <v>-44630.22</v>
      </c>
      <c r="J1403" s="1362">
        <f t="shared" ref="J1403:J1416" si="423">J1297</f>
        <v>0.05</v>
      </c>
      <c r="K1403" s="173">
        <f t="shared" ref="K1403:K1416" si="424">ROUND((G1403+D1403)/2*J1403/12,0)</f>
        <v>2973</v>
      </c>
      <c r="L1403" s="38">
        <f t="shared" ref="L1403:L1416" si="425">-F1403</f>
        <v>0</v>
      </c>
      <c r="M1403" s="257">
        <f>ROUND('Plant input detail '!M1405*'WPB2.2 Plant detail-w slippage'!$P$2,0)</f>
        <v>0</v>
      </c>
      <c r="N1403" s="2227">
        <f t="shared" ref="N1403:N1416" si="426">I1403+K1403-L1403+M1403</f>
        <v>-41657.22</v>
      </c>
    </row>
    <row r="1404" spans="1:14" x14ac:dyDescent="0.2">
      <c r="A1404" s="31">
        <f t="shared" ref="A1404:A1417" si="427">A1403+1</f>
        <v>16</v>
      </c>
      <c r="B1404" s="123">
        <v>391.11</v>
      </c>
      <c r="C1404" s="52" t="s">
        <v>1065</v>
      </c>
      <c r="D1404" s="257">
        <f t="shared" si="420"/>
        <v>18815.57</v>
      </c>
      <c r="E1404" s="382">
        <f>ROUND('Plant input detail '!E1406*'WPB2.2 Plant detail-w slippage'!$P$2,0)</f>
        <v>0</v>
      </c>
      <c r="F1404" s="257">
        <f>ROUND('Plant input detail '!F1406*'WPB2.2 Plant detail-w slippage'!$P$2,0)</f>
        <v>0</v>
      </c>
      <c r="G1404" s="257">
        <f t="shared" si="421"/>
        <v>18815.57</v>
      </c>
      <c r="H1404" s="38"/>
      <c r="I1404" s="257">
        <f t="shared" si="422"/>
        <v>-11774.77</v>
      </c>
      <c r="J1404" s="1362">
        <f t="shared" si="423"/>
        <v>6.6699999999999995E-2</v>
      </c>
      <c r="K1404" s="173">
        <f t="shared" si="424"/>
        <v>105</v>
      </c>
      <c r="L1404" s="38">
        <f t="shared" si="425"/>
        <v>0</v>
      </c>
      <c r="M1404" s="257">
        <f>ROUND('Plant input detail '!M1406*'WPB2.2 Plant detail-w slippage'!$P$2,0)</f>
        <v>0</v>
      </c>
      <c r="N1404" s="2227">
        <f t="shared" si="426"/>
        <v>-11669.77</v>
      </c>
    </row>
    <row r="1405" spans="1:14" x14ac:dyDescent="0.2">
      <c r="A1405" s="31">
        <f t="shared" si="427"/>
        <v>17</v>
      </c>
      <c r="B1405" s="123">
        <v>391.12</v>
      </c>
      <c r="C1405" s="52" t="s">
        <v>1066</v>
      </c>
      <c r="D1405" s="257">
        <f t="shared" si="420"/>
        <v>853483.41</v>
      </c>
      <c r="E1405" s="382">
        <f>ROUND('Plant input detail '!E1407*'WPB2.2 Plant detail-w slippage'!$P$2,0)</f>
        <v>0</v>
      </c>
      <c r="F1405" s="257">
        <f>ROUND('Plant input detail '!F1407*'WPB2.2 Plant detail-w slippage'!$P$2,0)</f>
        <v>0</v>
      </c>
      <c r="G1405" s="257">
        <f t="shared" si="421"/>
        <v>853483.41</v>
      </c>
      <c r="H1405" s="38"/>
      <c r="I1405" s="257">
        <f t="shared" si="422"/>
        <v>718035.37</v>
      </c>
      <c r="J1405" s="1362">
        <f t="shared" si="423"/>
        <v>0.2</v>
      </c>
      <c r="K1405" s="173">
        <f t="shared" si="424"/>
        <v>14225</v>
      </c>
      <c r="L1405" s="38">
        <f t="shared" si="425"/>
        <v>0</v>
      </c>
      <c r="M1405" s="257">
        <f>ROUND('Plant input detail '!M1407*'WPB2.2 Plant detail-w slippage'!$P$2,0)</f>
        <v>0</v>
      </c>
      <c r="N1405" s="2227">
        <f t="shared" si="426"/>
        <v>732260.37</v>
      </c>
    </row>
    <row r="1406" spans="1:14" x14ac:dyDescent="0.2">
      <c r="A1406" s="31">
        <f t="shared" si="427"/>
        <v>18</v>
      </c>
      <c r="B1406" s="123">
        <v>392.2</v>
      </c>
      <c r="C1406" s="52" t="s">
        <v>1067</v>
      </c>
      <c r="D1406" s="257">
        <f t="shared" si="420"/>
        <v>95778</v>
      </c>
      <c r="E1406" s="382">
        <f>ROUND('Plant input detail '!E1408*'WPB2.2 Plant detail-w slippage'!$P$2,0)</f>
        <v>0</v>
      </c>
      <c r="F1406" s="257">
        <f>ROUND('Plant input detail '!F1408*'WPB2.2 Plant detail-w slippage'!$P$2,0)</f>
        <v>0</v>
      </c>
      <c r="G1406" s="257">
        <f t="shared" si="421"/>
        <v>95778</v>
      </c>
      <c r="H1406" s="38"/>
      <c r="I1406" s="257">
        <f t="shared" si="422"/>
        <v>24115.05</v>
      </c>
      <c r="J1406" s="1362">
        <f t="shared" si="423"/>
        <v>9.1499999999999998E-2</v>
      </c>
      <c r="K1406" s="173">
        <f t="shared" si="424"/>
        <v>730</v>
      </c>
      <c r="L1406" s="38">
        <f t="shared" si="425"/>
        <v>0</v>
      </c>
      <c r="M1406" s="257">
        <f>ROUND('Plant input detail '!M1408*'WPB2.2 Plant detail-w slippage'!$P$2,0)</f>
        <v>0</v>
      </c>
      <c r="N1406" s="2227">
        <f t="shared" si="426"/>
        <v>24845.05</v>
      </c>
    </row>
    <row r="1407" spans="1:14" x14ac:dyDescent="0.2">
      <c r="A1407" s="31">
        <f t="shared" si="427"/>
        <v>19</v>
      </c>
      <c r="B1407" s="123">
        <v>392.21</v>
      </c>
      <c r="C1407" s="52" t="s">
        <v>1068</v>
      </c>
      <c r="D1407" s="257">
        <f t="shared" si="420"/>
        <v>24462.2</v>
      </c>
      <c r="E1407" s="382">
        <f>ROUND('Plant input detail '!E1409*'WPB2.2 Plant detail-w slippage'!$P$2,0)</f>
        <v>0</v>
      </c>
      <c r="F1407" s="257">
        <f>ROUND('Plant input detail '!F1409*'WPB2.2 Plant detail-w slippage'!$P$2,0)</f>
        <v>0</v>
      </c>
      <c r="G1407" s="257">
        <f t="shared" si="421"/>
        <v>24462.2</v>
      </c>
      <c r="H1407" s="38"/>
      <c r="I1407" s="257">
        <f t="shared" si="422"/>
        <v>5561.4</v>
      </c>
      <c r="J1407" s="1362">
        <f t="shared" si="423"/>
        <v>9.1499999999999998E-2</v>
      </c>
      <c r="K1407" s="173">
        <f t="shared" si="424"/>
        <v>187</v>
      </c>
      <c r="L1407" s="38">
        <f t="shared" si="425"/>
        <v>0</v>
      </c>
      <c r="M1407" s="257">
        <f>ROUND('Plant input detail '!M1409*'WPB2.2 Plant detail-w slippage'!$P$2,0)</f>
        <v>0</v>
      </c>
      <c r="N1407" s="2227">
        <f t="shared" si="426"/>
        <v>5748.4</v>
      </c>
    </row>
    <row r="1408" spans="1:14" x14ac:dyDescent="0.2">
      <c r="A1408" s="31">
        <f t="shared" si="427"/>
        <v>20</v>
      </c>
      <c r="B1408" s="123">
        <v>393</v>
      </c>
      <c r="C1408" s="52" t="s">
        <v>1069</v>
      </c>
      <c r="D1408" s="257">
        <f t="shared" si="420"/>
        <v>0</v>
      </c>
      <c r="E1408" s="382">
        <f>ROUND('Plant input detail '!E1410*'WPB2.2 Plant detail-w slippage'!$P$2,0)</f>
        <v>0</v>
      </c>
      <c r="F1408" s="257">
        <f>ROUND('Plant input detail '!F1410*'WPB2.2 Plant detail-w slippage'!$P$2,0)</f>
        <v>0</v>
      </c>
      <c r="G1408" s="257">
        <f t="shared" si="421"/>
        <v>0</v>
      </c>
      <c r="H1408" s="38"/>
      <c r="I1408" s="257">
        <f t="shared" si="422"/>
        <v>0</v>
      </c>
      <c r="J1408" s="1362" t="str">
        <f t="shared" si="423"/>
        <v>Amort.</v>
      </c>
      <c r="K1408" s="259">
        <v>0</v>
      </c>
      <c r="L1408" s="38">
        <f t="shared" si="425"/>
        <v>0</v>
      </c>
      <c r="M1408" s="257">
        <f>ROUND('Plant input detail '!M1410*'WPB2.2 Plant detail-w slippage'!$P$2,0)</f>
        <v>0</v>
      </c>
      <c r="N1408" s="2227">
        <f t="shared" si="426"/>
        <v>0</v>
      </c>
    </row>
    <row r="1409" spans="1:16" x14ac:dyDescent="0.2">
      <c r="A1409" s="31">
        <f t="shared" si="427"/>
        <v>21</v>
      </c>
      <c r="B1409" s="123">
        <v>394.1</v>
      </c>
      <c r="C1409" s="52" t="s">
        <v>1070</v>
      </c>
      <c r="D1409" s="257">
        <f t="shared" si="420"/>
        <v>24240.799999999999</v>
      </c>
      <c r="E1409" s="382">
        <f>ROUND('Plant input detail '!E1411*'WPB2.2 Plant detail-w slippage'!$P$2,0)</f>
        <v>0</v>
      </c>
      <c r="F1409" s="257">
        <f>ROUND('Plant input detail '!F1411*'WPB2.2 Plant detail-w slippage'!$P$2,0)</f>
        <v>0</v>
      </c>
      <c r="G1409" s="257">
        <f t="shared" si="421"/>
        <v>24240.799999999999</v>
      </c>
      <c r="H1409" s="38"/>
      <c r="I1409" s="257">
        <f t="shared" si="422"/>
        <v>14770.82</v>
      </c>
      <c r="J1409" s="1362">
        <f t="shared" si="423"/>
        <v>0.04</v>
      </c>
      <c r="K1409" s="173">
        <f t="shared" si="424"/>
        <v>81</v>
      </c>
      <c r="L1409" s="38">
        <f t="shared" si="425"/>
        <v>0</v>
      </c>
      <c r="M1409" s="257">
        <f>ROUND('Plant input detail '!M1411*'WPB2.2 Plant detail-w slippage'!$P$2,0)</f>
        <v>0</v>
      </c>
      <c r="N1409" s="2227">
        <f t="shared" si="426"/>
        <v>14851.82</v>
      </c>
    </row>
    <row r="1410" spans="1:16" x14ac:dyDescent="0.2">
      <c r="A1410" s="31">
        <f t="shared" si="427"/>
        <v>22</v>
      </c>
      <c r="B1410" s="123">
        <v>394.11</v>
      </c>
      <c r="C1410" s="52" t="s">
        <v>1071</v>
      </c>
      <c r="D1410" s="257">
        <f t="shared" si="420"/>
        <v>0</v>
      </c>
      <c r="E1410" s="382">
        <f>ROUND('Plant input detail '!E1412*'WPB2.2 Plant detail-w slippage'!$P$2,0)</f>
        <v>0</v>
      </c>
      <c r="F1410" s="257">
        <f>ROUND('Plant input detail '!F1412*'WPB2.2 Plant detail-w slippage'!$P$2,0)</f>
        <v>0</v>
      </c>
      <c r="G1410" s="257">
        <f t="shared" si="421"/>
        <v>0</v>
      </c>
      <c r="H1410" s="38"/>
      <c r="I1410" s="257">
        <f t="shared" si="422"/>
        <v>0</v>
      </c>
      <c r="J1410" s="1362">
        <f t="shared" si="423"/>
        <v>0</v>
      </c>
      <c r="K1410" s="259">
        <v>0</v>
      </c>
      <c r="L1410" s="38">
        <f t="shared" si="425"/>
        <v>0</v>
      </c>
      <c r="M1410" s="257">
        <f>ROUND('Plant input detail '!M1412*'WPB2.2 Plant detail-w slippage'!$P$2,0)</f>
        <v>0</v>
      </c>
      <c r="N1410" s="2227">
        <f t="shared" si="426"/>
        <v>0</v>
      </c>
    </row>
    <row r="1411" spans="1:16" x14ac:dyDescent="0.2">
      <c r="A1411" s="31">
        <f t="shared" si="427"/>
        <v>23</v>
      </c>
      <c r="B1411" s="123">
        <v>394.13</v>
      </c>
      <c r="C1411" s="251" t="s">
        <v>1072</v>
      </c>
      <c r="D1411" s="257">
        <f t="shared" si="420"/>
        <v>0</v>
      </c>
      <c r="E1411" s="382">
        <f>ROUND('Plant input detail '!E1413*'WPB2.2 Plant detail-w slippage'!$P$2,0)</f>
        <v>0</v>
      </c>
      <c r="F1411" s="257">
        <f>ROUND('Plant input detail '!F1413*'WPB2.2 Plant detail-w slippage'!$P$2,0)</f>
        <v>0</v>
      </c>
      <c r="G1411" s="257">
        <f t="shared" si="421"/>
        <v>0</v>
      </c>
      <c r="H1411" s="38"/>
      <c r="I1411" s="257">
        <f t="shared" si="422"/>
        <v>37937.360000000001</v>
      </c>
      <c r="J1411" s="1362" t="str">
        <f t="shared" si="423"/>
        <v>Amort.</v>
      </c>
      <c r="K1411" s="259">
        <v>0</v>
      </c>
      <c r="L1411" s="38">
        <f t="shared" si="425"/>
        <v>0</v>
      </c>
      <c r="M1411" s="257">
        <f>ROUND('Plant input detail '!M1413*'WPB2.2 Plant detail-w slippage'!$P$2,0)</f>
        <v>0</v>
      </c>
      <c r="N1411" s="2227">
        <f t="shared" si="426"/>
        <v>37937.360000000001</v>
      </c>
    </row>
    <row r="1412" spans="1:16" x14ac:dyDescent="0.2">
      <c r="A1412" s="31">
        <f t="shared" si="427"/>
        <v>24</v>
      </c>
      <c r="B1412" s="123">
        <v>394.2</v>
      </c>
      <c r="C1412" s="52" t="s">
        <v>1073</v>
      </c>
      <c r="D1412" s="257">
        <f t="shared" si="420"/>
        <v>0</v>
      </c>
      <c r="E1412" s="382">
        <f>ROUND('Plant input detail '!E1414*'WPB2.2 Plant detail-w slippage'!$P$2,0)</f>
        <v>0</v>
      </c>
      <c r="F1412" s="257">
        <f>ROUND('Plant input detail '!F1414*'WPB2.2 Plant detail-w slippage'!$P$2,0)</f>
        <v>0</v>
      </c>
      <c r="G1412" s="257">
        <f t="shared" si="421"/>
        <v>0</v>
      </c>
      <c r="H1412" s="38"/>
      <c r="I1412" s="257">
        <f t="shared" si="422"/>
        <v>185.21</v>
      </c>
      <c r="J1412" s="1362">
        <f t="shared" si="423"/>
        <v>0.04</v>
      </c>
      <c r="K1412" s="173">
        <f t="shared" si="424"/>
        <v>0</v>
      </c>
      <c r="L1412" s="38">
        <f t="shared" si="425"/>
        <v>0</v>
      </c>
      <c r="M1412" s="257">
        <f>ROUND('Plant input detail '!M1414*'WPB2.2 Plant detail-w slippage'!$P$2,0)</f>
        <v>0</v>
      </c>
      <c r="N1412" s="2227">
        <f t="shared" si="426"/>
        <v>185.21</v>
      </c>
    </row>
    <row r="1413" spans="1:16" x14ac:dyDescent="0.2">
      <c r="A1413" s="31">
        <f t="shared" si="427"/>
        <v>25</v>
      </c>
      <c r="B1413" s="123">
        <v>394.3</v>
      </c>
      <c r="C1413" s="52" t="s">
        <v>1074</v>
      </c>
      <c r="D1413" s="257">
        <f t="shared" si="420"/>
        <v>3085921.16</v>
      </c>
      <c r="E1413" s="382">
        <f>ROUND('Plant input detail '!E1415*'WPB2.2 Plant detail-w slippage'!$P$2,0)</f>
        <v>1600</v>
      </c>
      <c r="F1413" s="257">
        <f>ROUND('Plant input detail '!F1415*'WPB2.2 Plant detail-w slippage'!$P$2,0)</f>
        <v>-200</v>
      </c>
      <c r="G1413" s="257">
        <f t="shared" si="421"/>
        <v>3087321.16</v>
      </c>
      <c r="H1413" s="38"/>
      <c r="I1413" s="257">
        <f t="shared" si="422"/>
        <v>1309417.1499999999</v>
      </c>
      <c r="J1413" s="1362">
        <f t="shared" si="423"/>
        <v>0.04</v>
      </c>
      <c r="K1413" s="173">
        <f t="shared" si="424"/>
        <v>10289</v>
      </c>
      <c r="L1413" s="38">
        <f t="shared" si="425"/>
        <v>200</v>
      </c>
      <c r="M1413" s="257">
        <f>ROUND('Plant input detail '!M1415*'WPB2.2 Plant detail-w slippage'!$P$2,0)</f>
        <v>0</v>
      </c>
      <c r="N1413" s="2227">
        <f t="shared" si="426"/>
        <v>1319506.1499999999</v>
      </c>
    </row>
    <row r="1414" spans="1:16" x14ac:dyDescent="0.2">
      <c r="A1414" s="31">
        <f t="shared" si="427"/>
        <v>26</v>
      </c>
      <c r="B1414" s="123">
        <v>395</v>
      </c>
      <c r="C1414" s="52" t="s">
        <v>1075</v>
      </c>
      <c r="D1414" s="257">
        <f t="shared" si="420"/>
        <v>9257.77</v>
      </c>
      <c r="E1414" s="382">
        <f>ROUND('Plant input detail '!E1416*'WPB2.2 Plant detail-w slippage'!$P$2,0)</f>
        <v>0</v>
      </c>
      <c r="F1414" s="257">
        <f>ROUND('Plant input detail '!F1416*'WPB2.2 Plant detail-w slippage'!$P$2,0)</f>
        <v>0</v>
      </c>
      <c r="G1414" s="257">
        <f t="shared" si="421"/>
        <v>9257.77</v>
      </c>
      <c r="H1414" s="38"/>
      <c r="I1414" s="257">
        <f t="shared" si="422"/>
        <v>7607.59</v>
      </c>
      <c r="J1414" s="1362">
        <f t="shared" si="423"/>
        <v>0.05</v>
      </c>
      <c r="K1414" s="173">
        <f t="shared" si="424"/>
        <v>39</v>
      </c>
      <c r="L1414" s="38">
        <f t="shared" si="425"/>
        <v>0</v>
      </c>
      <c r="M1414" s="257">
        <f>ROUND('Plant input detail '!M1416*'WPB2.2 Plant detail-w slippage'!$P$2,0)</f>
        <v>0</v>
      </c>
      <c r="N1414" s="2227">
        <f t="shared" si="426"/>
        <v>7646.59</v>
      </c>
    </row>
    <row r="1415" spans="1:16" x14ac:dyDescent="0.2">
      <c r="A1415" s="31">
        <f t="shared" si="427"/>
        <v>27</v>
      </c>
      <c r="B1415" s="123">
        <v>396</v>
      </c>
      <c r="C1415" s="52" t="s">
        <v>1076</v>
      </c>
      <c r="D1415" s="257">
        <f t="shared" si="420"/>
        <v>253134.72</v>
      </c>
      <c r="E1415" s="382">
        <f>ROUND('Plant input detail '!E1417*'WPB2.2 Plant detail-w slippage'!$P$2,0)</f>
        <v>0</v>
      </c>
      <c r="F1415" s="257">
        <f>ROUND('Plant input detail '!F1417*'WPB2.2 Plant detail-w slippage'!$P$2,0)</f>
        <v>0</v>
      </c>
      <c r="G1415" s="257">
        <f t="shared" si="421"/>
        <v>253134.72</v>
      </c>
      <c r="H1415" s="38"/>
      <c r="I1415" s="257">
        <f t="shared" si="422"/>
        <v>200413.72</v>
      </c>
      <c r="J1415" s="1362">
        <f t="shared" si="423"/>
        <v>2.5899999999999999E-2</v>
      </c>
      <c r="K1415" s="173">
        <f t="shared" si="424"/>
        <v>546</v>
      </c>
      <c r="L1415" s="38">
        <f t="shared" si="425"/>
        <v>0</v>
      </c>
      <c r="M1415" s="257">
        <f>ROUND('Plant input detail '!M1417*'WPB2.2 Plant detail-w slippage'!$P$2,0)</f>
        <v>0</v>
      </c>
      <c r="N1415" s="2227">
        <f t="shared" si="426"/>
        <v>200959.72</v>
      </c>
    </row>
    <row r="1416" spans="1:16" x14ac:dyDescent="0.2">
      <c r="A1416" s="31">
        <f t="shared" si="427"/>
        <v>28</v>
      </c>
      <c r="B1416" s="123">
        <v>398</v>
      </c>
      <c r="C1416" s="52" t="s">
        <v>1077</v>
      </c>
      <c r="D1416" s="260">
        <f t="shared" si="420"/>
        <v>267161.94</v>
      </c>
      <c r="E1416" s="265">
        <f>ROUND('Plant input detail '!E1418*'WPB2.2 Plant detail-w slippage'!$P$2,0)</f>
        <v>4600</v>
      </c>
      <c r="F1416" s="260">
        <f>ROUND('Plant input detail '!F1418*'WPB2.2 Plant detail-w slippage'!$P$2,0)</f>
        <v>-600</v>
      </c>
      <c r="G1416" s="260">
        <f t="shared" si="421"/>
        <v>271161.94</v>
      </c>
      <c r="H1416" s="264"/>
      <c r="I1416" s="260">
        <f t="shared" si="422"/>
        <v>6414.59</v>
      </c>
      <c r="J1416" s="1362">
        <f t="shared" si="423"/>
        <v>6.6699999999999995E-2</v>
      </c>
      <c r="K1416" s="260">
        <f t="shared" si="424"/>
        <v>1496</v>
      </c>
      <c r="L1416" s="295">
        <f t="shared" si="425"/>
        <v>600</v>
      </c>
      <c r="M1416" s="260">
        <f>ROUND('Plant input detail '!M1418*'WPB2.2 Plant detail-w slippage'!$P$2,0)</f>
        <v>0</v>
      </c>
      <c r="N1416" s="2228">
        <f t="shared" si="426"/>
        <v>7310.59</v>
      </c>
    </row>
    <row r="1417" spans="1:16" x14ac:dyDescent="0.2">
      <c r="A1417" s="31">
        <f t="shared" si="427"/>
        <v>29</v>
      </c>
      <c r="C1417" s="32" t="s">
        <v>1078</v>
      </c>
      <c r="D1417" s="264">
        <f>SUM(D1403:D1416)</f>
        <v>5345736.2799999993</v>
      </c>
      <c r="E1417" s="176">
        <f>SUM(E1403:E1416)</f>
        <v>6200</v>
      </c>
      <c r="F1417" s="176">
        <f>SUM(F1403:F1416)</f>
        <v>-800</v>
      </c>
      <c r="G1417" s="264">
        <f>SUM(G1403:G1416)</f>
        <v>5351136.2799999993</v>
      </c>
      <c r="H1417" s="264"/>
      <c r="I1417" s="264">
        <f>SUM(I1403:I1416)</f>
        <v>2268053.27</v>
      </c>
      <c r="J1417" s="1359"/>
      <c r="K1417" s="176">
        <f>SUM(K1403:K1416)</f>
        <v>30671</v>
      </c>
      <c r="L1417" s="264">
        <f>SUM(L1403:L1416)</f>
        <v>800</v>
      </c>
      <c r="M1417" s="176">
        <f>SUM(M1403:M1416)</f>
        <v>0</v>
      </c>
      <c r="N1417" s="1359">
        <f>SUM(N1403:N1416)</f>
        <v>2297924.27</v>
      </c>
    </row>
    <row r="1418" spans="1:16" x14ac:dyDescent="0.2">
      <c r="D1418" s="38"/>
      <c r="E1418" s="173"/>
      <c r="F1418" s="173"/>
      <c r="G1418" s="38"/>
      <c r="H1418" s="38"/>
      <c r="I1418" s="173"/>
      <c r="J1418" s="1361"/>
      <c r="K1418" s="173"/>
      <c r="L1418" s="38"/>
      <c r="M1418" s="173"/>
    </row>
    <row r="1419" spans="1:16" x14ac:dyDescent="0.2">
      <c r="A1419" s="1805">
        <f>A1417+1</f>
        <v>30</v>
      </c>
      <c r="B1419" s="252"/>
      <c r="C1419" s="36" t="s">
        <v>2287</v>
      </c>
      <c r="D1419" s="38"/>
      <c r="E1419" s="173"/>
      <c r="F1419" s="173"/>
      <c r="G1419" s="38"/>
      <c r="H1419" s="38"/>
      <c r="I1419" s="181"/>
      <c r="J1419" s="173"/>
      <c r="K1419" s="173"/>
      <c r="L1419" s="38"/>
      <c r="M1419" s="173"/>
      <c r="P1419" s="279"/>
    </row>
    <row r="1420" spans="1:16" x14ac:dyDescent="0.2">
      <c r="A1420" s="31">
        <f>A1419+1</f>
        <v>31</v>
      </c>
      <c r="B1420" s="123">
        <v>378.21</v>
      </c>
      <c r="C1420" s="52" t="s">
        <v>2244</v>
      </c>
      <c r="D1420" s="257">
        <f>G1314</f>
        <v>-777092</v>
      </c>
      <c r="E1420" s="382">
        <f>ROUND('Plant input detail '!E1422*'WPB2.2 Plant detail-w slippage'!$P$2,0)</f>
        <v>0</v>
      </c>
      <c r="F1420" s="257">
        <f>ROUND('Plant input detail '!F1422*'WPB2.2 Plant detail-w slippage'!$P$2,0)</f>
        <v>0</v>
      </c>
      <c r="G1420" s="257">
        <f t="shared" ref="G1420" si="428">SUM(D1420:F1420)</f>
        <v>-777092</v>
      </c>
      <c r="H1420" s="264"/>
      <c r="I1420" s="257">
        <f>N1314</f>
        <v>-46712.196666666627</v>
      </c>
      <c r="J1420" s="296" t="s">
        <v>1094</v>
      </c>
      <c r="K1420" s="1334">
        <v>-2158.5833333333321</v>
      </c>
      <c r="L1420" s="38">
        <f t="shared" ref="L1420" si="429">-F1420</f>
        <v>0</v>
      </c>
      <c r="M1420" s="257">
        <f>ROUND('Plant input detail '!M1422*'WPB2.2 Plant detail-w slippage'!$P$2,0)</f>
        <v>0</v>
      </c>
      <c r="N1420" s="2227">
        <f t="shared" ref="N1420" si="430">I1420+K1420-L1420+M1420</f>
        <v>-48870.779999999955</v>
      </c>
      <c r="O1420" s="292"/>
    </row>
    <row r="1421" spans="1:16" x14ac:dyDescent="0.2">
      <c r="A1421" s="1723"/>
      <c r="D1421" s="38"/>
      <c r="E1421" s="173"/>
      <c r="F1421" s="173"/>
      <c r="G1421" s="38"/>
      <c r="H1421" s="38"/>
      <c r="I1421" s="173"/>
      <c r="J1421" s="1361"/>
      <c r="K1421" s="173"/>
      <c r="L1421" s="38"/>
      <c r="M1421" s="173"/>
    </row>
    <row r="1422" spans="1:16" x14ac:dyDescent="0.2">
      <c r="A1422" s="31">
        <f>A1420+1</f>
        <v>32</v>
      </c>
      <c r="C1422" s="32" t="s">
        <v>774</v>
      </c>
      <c r="D1422" s="40">
        <f>D1417+D1400+D1345+D1341+D1420</f>
        <v>423323825.36999989</v>
      </c>
      <c r="E1422" s="40">
        <f>E1417+E1400+E1345+E1341+E1420</f>
        <v>1250666</v>
      </c>
      <c r="F1422" s="40">
        <f>F1417+F1400+F1345+F1341+F1420</f>
        <v>-150100</v>
      </c>
      <c r="G1422" s="40">
        <f>G1417+G1400+G1345+G1341+G1420</f>
        <v>424424391.36999989</v>
      </c>
      <c r="H1422" s="38"/>
      <c r="I1422" s="40">
        <f>I1417+I1400+I1345+I1341+I1420</f>
        <v>148513214.8416909</v>
      </c>
      <c r="J1422" s="1363"/>
      <c r="K1422" s="40">
        <f>K1417+K1400+K1345+K1341+K1420</f>
        <v>1264992.0631964644</v>
      </c>
      <c r="L1422" s="40">
        <f>L1417+L1400+L1345+L1341+L1420</f>
        <v>150100</v>
      </c>
      <c r="M1422" s="40">
        <f>M1417+M1400+M1345+M1341+M1420</f>
        <v>-34500</v>
      </c>
      <c r="N1422" s="1363">
        <f>N1417+N1400+N1345+N1341+N1420</f>
        <v>149593606.90488738</v>
      </c>
    </row>
    <row r="1424" spans="1:16" x14ac:dyDescent="0.2">
      <c r="A1424" s="2079" t="str">
        <f>co</f>
        <v>COLUMBIA GAS OF KENTUCKY, INC.</v>
      </c>
      <c r="B1424" s="2079"/>
      <c r="C1424" s="2079"/>
      <c r="D1424" s="2079"/>
      <c r="E1424" s="2079"/>
      <c r="F1424" s="2079"/>
      <c r="G1424" s="2079"/>
      <c r="H1424" s="2079"/>
      <c r="I1424" s="2079"/>
      <c r="J1424" s="2079"/>
      <c r="K1424" s="2079"/>
      <c r="L1424" s="2079"/>
      <c r="M1424" s="2079"/>
      <c r="N1424" s="2079"/>
    </row>
    <row r="1425" spans="1:14" x14ac:dyDescent="0.2">
      <c r="A1425" s="2079" t="str">
        <f>case</f>
        <v>CASE NO. 2016 - 00162</v>
      </c>
      <c r="B1425" s="2079"/>
      <c r="C1425" s="2079"/>
      <c r="D1425" s="2079"/>
      <c r="E1425" s="2079"/>
      <c r="F1425" s="2079"/>
      <c r="G1425" s="2079"/>
      <c r="H1425" s="2079"/>
      <c r="I1425" s="2079"/>
      <c r="J1425" s="2079"/>
      <c r="K1425" s="2079"/>
      <c r="L1425" s="2079"/>
      <c r="M1425" s="2079"/>
      <c r="N1425" s="2079"/>
    </row>
    <row r="1426" spans="1:14" x14ac:dyDescent="0.2">
      <c r="A1426" s="2080" t="s">
        <v>1106</v>
      </c>
      <c r="B1426" s="2079"/>
      <c r="C1426" s="2079"/>
      <c r="D1426" s="2079"/>
      <c r="E1426" s="2079"/>
      <c r="F1426" s="2079"/>
      <c r="G1426" s="2079"/>
      <c r="H1426" s="2079"/>
      <c r="I1426" s="2079"/>
      <c r="J1426" s="2079"/>
      <c r="K1426" s="2079"/>
      <c r="L1426" s="2079"/>
      <c r="M1426" s="2079"/>
      <c r="N1426" s="2079"/>
    </row>
    <row r="1427" spans="1:14" x14ac:dyDescent="0.2">
      <c r="A1427" s="2081" t="s">
        <v>2142</v>
      </c>
      <c r="B1427" s="2085"/>
      <c r="C1427" s="2085"/>
      <c r="D1427" s="2085"/>
      <c r="E1427" s="2085"/>
      <c r="F1427" s="2085"/>
      <c r="G1427" s="2085"/>
      <c r="H1427" s="2085"/>
      <c r="I1427" s="2085"/>
      <c r="J1427" s="2085"/>
      <c r="K1427" s="2085"/>
      <c r="L1427" s="2085"/>
      <c r="M1427" s="2085"/>
      <c r="N1427" s="2085"/>
    </row>
    <row r="1429" spans="1:14" x14ac:dyDescent="0.2">
      <c r="A1429" s="285" t="str">
        <f>$A$6</f>
        <v>DATA:__X___BASE PERIOD__X___FORECASTED PERIOD</v>
      </c>
      <c r="C1429" s="171"/>
      <c r="I1429" s="32"/>
      <c r="N1429" s="1258" t="str">
        <f>$N$6</f>
        <v>WPB-2.2</v>
      </c>
    </row>
    <row r="1430" spans="1:14" x14ac:dyDescent="0.2">
      <c r="A1430" s="4" t="str">
        <f>$A$7</f>
        <v>TYPE OF FILING:___X____ORIGINAL________UPDATED</v>
      </c>
      <c r="I1430" s="32"/>
      <c r="N1430" s="2223" t="s">
        <v>1740</v>
      </c>
    </row>
    <row r="1431" spans="1:14" x14ac:dyDescent="0.2">
      <c r="A1431" s="1261" t="str">
        <f>$A$8</f>
        <v xml:space="preserve">WORKPAPER REFERENCE NO(S).: </v>
      </c>
      <c r="B1431" s="202"/>
      <c r="C1431" s="202"/>
      <c r="D1431" s="201"/>
      <c r="E1431" s="202"/>
      <c r="F1431" s="202"/>
      <c r="G1431" s="201"/>
      <c r="H1431" s="201"/>
      <c r="I1431" s="203"/>
      <c r="L1431" s="32"/>
      <c r="M1431" s="32"/>
      <c r="N1431" s="204" t="str">
        <f>SMK</f>
        <v>WITNESS:  S. M. KATKO</v>
      </c>
    </row>
    <row r="1432" spans="1:14" x14ac:dyDescent="0.2">
      <c r="A1432" s="200"/>
      <c r="B1432" s="201"/>
      <c r="C1432" s="201"/>
      <c r="D1432" s="201"/>
      <c r="E1432" s="202"/>
      <c r="F1432" s="202"/>
      <c r="G1432" s="201"/>
      <c r="H1432" s="201"/>
      <c r="I1432" s="203"/>
      <c r="J1432" s="1357"/>
      <c r="L1432" s="32"/>
      <c r="M1432" s="32"/>
    </row>
    <row r="1433" spans="1:14" x14ac:dyDescent="0.2">
      <c r="A1433" s="200"/>
      <c r="B1433" s="201"/>
      <c r="C1433" s="201"/>
      <c r="D1433" s="2082" t="s">
        <v>1088</v>
      </c>
      <c r="E1433" s="2082"/>
      <c r="F1433" s="2082"/>
      <c r="G1433" s="2082"/>
      <c r="H1433" s="201"/>
      <c r="I1433" s="2083" t="s">
        <v>1093</v>
      </c>
      <c r="J1433" s="2084"/>
      <c r="K1433" s="2084"/>
      <c r="L1433" s="2084"/>
      <c r="M1433" s="2084"/>
      <c r="N1433" s="2084"/>
    </row>
    <row r="1434" spans="1:14" x14ac:dyDescent="0.2">
      <c r="A1434" s="270"/>
      <c r="B1434" s="201"/>
      <c r="C1434" s="201"/>
      <c r="D1434" s="271" t="s">
        <v>1084</v>
      </c>
      <c r="E1434" s="202"/>
      <c r="F1434" s="202"/>
      <c r="G1434" s="269"/>
      <c r="H1434" s="269"/>
      <c r="I1434" s="261" t="s">
        <v>1089</v>
      </c>
      <c r="J1434" s="1358"/>
      <c r="M1434" s="32"/>
    </row>
    <row r="1435" spans="1:14" x14ac:dyDescent="0.2">
      <c r="A1435" s="30"/>
      <c r="D1435" s="261" t="s">
        <v>865</v>
      </c>
      <c r="G1435" s="261" t="s">
        <v>867</v>
      </c>
      <c r="H1435" s="268"/>
      <c r="I1435" s="261" t="s">
        <v>865</v>
      </c>
      <c r="J1435" s="1308" t="s">
        <v>956</v>
      </c>
      <c r="M1435" s="32"/>
      <c r="N1435" s="2225" t="s">
        <v>867</v>
      </c>
    </row>
    <row r="1436" spans="1:14" x14ac:dyDescent="0.2">
      <c r="A1436" s="261" t="s">
        <v>1080</v>
      </c>
      <c r="B1436" s="261" t="s">
        <v>1082</v>
      </c>
      <c r="D1436" s="261" t="s">
        <v>867</v>
      </c>
      <c r="G1436" s="262" t="s">
        <v>1087</v>
      </c>
      <c r="H1436" s="268"/>
      <c r="I1436" s="262" t="s">
        <v>867</v>
      </c>
      <c r="J1436" s="1308" t="s">
        <v>1090</v>
      </c>
      <c r="K1436" s="1308" t="s">
        <v>956</v>
      </c>
      <c r="M1436" s="262" t="s">
        <v>1092</v>
      </c>
      <c r="N1436" s="1259" t="s">
        <v>1087</v>
      </c>
    </row>
    <row r="1437" spans="1:14" x14ac:dyDescent="0.2">
      <c r="A1437" s="272" t="s">
        <v>1081</v>
      </c>
      <c r="B1437" s="272" t="s">
        <v>1081</v>
      </c>
      <c r="C1437" s="273" t="s">
        <v>1083</v>
      </c>
      <c r="D1437" s="298" t="str">
        <f>"03/31/2017"</f>
        <v>03/31/2017</v>
      </c>
      <c r="E1437" s="275" t="s">
        <v>1085</v>
      </c>
      <c r="F1437" s="275" t="s">
        <v>1086</v>
      </c>
      <c r="G1437" s="298" t="str">
        <f>"04/30/2017"</f>
        <v>04/30/2017</v>
      </c>
      <c r="H1437" s="268"/>
      <c r="I1437" s="274" t="str">
        <f>D1437</f>
        <v>03/31/2017</v>
      </c>
      <c r="J1437" s="275" t="s">
        <v>1091</v>
      </c>
      <c r="K1437" s="1327" t="s">
        <v>1090</v>
      </c>
      <c r="L1437" s="276" t="s">
        <v>1086</v>
      </c>
      <c r="M1437" s="276" t="s">
        <v>955</v>
      </c>
      <c r="N1437" s="2226" t="str">
        <f>G1437</f>
        <v>04/30/2017</v>
      </c>
    </row>
    <row r="1438" spans="1:14" x14ac:dyDescent="0.2">
      <c r="A1438" s="267"/>
      <c r="B1438" s="267"/>
      <c r="C1438" s="267"/>
      <c r="D1438" s="267" t="str">
        <f>"(1)"</f>
        <v>(1)</v>
      </c>
      <c r="E1438" s="267" t="str">
        <f>"(2)"</f>
        <v>(2)</v>
      </c>
      <c r="F1438" s="267" t="str">
        <f>"(3)"</f>
        <v>(3)</v>
      </c>
      <c r="G1438" s="267" t="str">
        <f>"(4)=(1+2+3)"</f>
        <v>(4)=(1+2+3)</v>
      </c>
      <c r="H1438" s="267"/>
      <c r="I1438" s="267" t="str">
        <f>"(5)"</f>
        <v>(5)</v>
      </c>
      <c r="J1438" s="1328" t="str">
        <f>"(6)"</f>
        <v>(6)</v>
      </c>
      <c r="K1438" s="1328" t="str">
        <f>"(7)=((1+4)/2*6/12))"</f>
        <v>(7)=((1+4)/2*6/12))</v>
      </c>
      <c r="L1438" s="267" t="str">
        <f>"(8)"</f>
        <v>(8)</v>
      </c>
      <c r="M1438" s="267" t="str">
        <f>"(9)"</f>
        <v>(9)</v>
      </c>
      <c r="N1438" s="204" t="str">
        <f>"(10)=(5+7-8+9)"</f>
        <v>(10)=(5+7-8+9)</v>
      </c>
    </row>
    <row r="1439" spans="1:14" x14ac:dyDescent="0.2">
      <c r="D1439" s="31" t="s">
        <v>639</v>
      </c>
      <c r="E1439" s="170" t="s">
        <v>639</v>
      </c>
      <c r="F1439" s="170" t="s">
        <v>639</v>
      </c>
      <c r="G1439" s="31" t="s">
        <v>639</v>
      </c>
      <c r="H1439" s="31"/>
      <c r="I1439" s="31" t="s">
        <v>639</v>
      </c>
      <c r="J1439" s="170" t="s">
        <v>639</v>
      </c>
      <c r="K1439" s="170" t="s">
        <v>639</v>
      </c>
      <c r="L1439" s="31" t="s">
        <v>639</v>
      </c>
      <c r="M1439" s="31" t="s">
        <v>639</v>
      </c>
      <c r="N1439" s="155" t="s">
        <v>639</v>
      </c>
    </row>
    <row r="1440" spans="1:14" x14ac:dyDescent="0.2">
      <c r="A1440" s="31">
        <v>1</v>
      </c>
      <c r="B1440" s="36" t="s">
        <v>1025</v>
      </c>
      <c r="C1440" s="34"/>
      <c r="M1440" s="32"/>
    </row>
    <row r="1441" spans="1:14" x14ac:dyDescent="0.2">
      <c r="A1441" s="31">
        <f>A1440+1</f>
        <v>2</v>
      </c>
      <c r="C1441" s="36" t="s">
        <v>697</v>
      </c>
      <c r="M1441" s="32"/>
    </row>
    <row r="1442" spans="1:14" x14ac:dyDescent="0.2">
      <c r="A1442" s="31">
        <f t="shared" ref="A1442:A1447" si="431">A1441+1</f>
        <v>3</v>
      </c>
      <c r="B1442" s="253">
        <v>301</v>
      </c>
      <c r="C1442" s="52" t="s">
        <v>1026</v>
      </c>
      <c r="D1442" s="257">
        <f>G1336</f>
        <v>521.20000000000005</v>
      </c>
      <c r="E1442" s="382">
        <f>ROUND('Plant input detail '!E1444*'WPB2.2 Plant detail-w slippage'!$P$2,0)</f>
        <v>0</v>
      </c>
      <c r="F1442" s="257">
        <f>ROUND('Plant input detail '!F1444*'WPB2.2 Plant detail-w slippage'!$P$2,0)</f>
        <v>0</v>
      </c>
      <c r="G1442" s="257">
        <f>SUM(D1442:F1442)</f>
        <v>521.20000000000005</v>
      </c>
      <c r="H1442" s="38"/>
      <c r="I1442" s="257">
        <f>N1336</f>
        <v>0</v>
      </c>
      <c r="J1442" s="296" t="s">
        <v>1094</v>
      </c>
      <c r="K1442" s="259">
        <v>0</v>
      </c>
      <c r="L1442" s="38">
        <f>-F1442</f>
        <v>0</v>
      </c>
      <c r="M1442" s="259">
        <v>0</v>
      </c>
      <c r="N1442" s="2227">
        <f>I1442+K1442-L1442+M1442</f>
        <v>0</v>
      </c>
    </row>
    <row r="1443" spans="1:14" x14ac:dyDescent="0.2">
      <c r="A1443" s="31">
        <f t="shared" si="431"/>
        <v>4</v>
      </c>
      <c r="B1443" s="253">
        <v>303</v>
      </c>
      <c r="C1443" s="52" t="s">
        <v>1027</v>
      </c>
      <c r="D1443" s="257">
        <f>G1337</f>
        <v>74347.509999999995</v>
      </c>
      <c r="E1443" s="382">
        <f>ROUND('Plant input detail '!E1445*'WPB2.2 Plant detail-w slippage'!$P$2,0)</f>
        <v>0</v>
      </c>
      <c r="F1443" s="257">
        <f>ROUND('Plant input detail '!F1445*'WPB2.2 Plant detail-w slippage'!$P$2,0)</f>
        <v>0</v>
      </c>
      <c r="G1443" s="257">
        <f>SUM(D1443:F1443)</f>
        <v>74347.509999999995</v>
      </c>
      <c r="H1443" s="38"/>
      <c r="I1443" s="257">
        <f>N1337</f>
        <v>48484.189999999959</v>
      </c>
      <c r="J1443" s="296" t="s">
        <v>1094</v>
      </c>
      <c r="K1443" s="257">
        <f>'WPB2.2a Intan Amort. w slippage'!J$127</f>
        <v>206.52</v>
      </c>
      <c r="L1443" s="38">
        <f>-F1443</f>
        <v>0</v>
      </c>
      <c r="M1443" s="259">
        <v>0</v>
      </c>
      <c r="N1443" s="2227">
        <f>I1443+K1443-L1443+M1443</f>
        <v>48690.709999999955</v>
      </c>
    </row>
    <row r="1444" spans="1:14" x14ac:dyDescent="0.2">
      <c r="A1444" s="31">
        <f t="shared" si="431"/>
        <v>5</v>
      </c>
      <c r="B1444" s="253">
        <v>303.10000000000002</v>
      </c>
      <c r="C1444" s="52" t="s">
        <v>1028</v>
      </c>
      <c r="D1444" s="257">
        <f>G1338</f>
        <v>0</v>
      </c>
      <c r="E1444" s="382">
        <f>ROUND('Plant input detail '!E1446*'WPB2.2 Plant detail-w slippage'!$P$2,0)</f>
        <v>0</v>
      </c>
      <c r="F1444" s="257">
        <f>ROUND('Plant input detail '!F1446*'WPB2.2 Plant detail-w slippage'!$P$2,0)</f>
        <v>0</v>
      </c>
      <c r="G1444" s="257">
        <f>SUM(D1444:F1444)</f>
        <v>0</v>
      </c>
      <c r="H1444" s="38"/>
      <c r="I1444" s="257">
        <f>N1338</f>
        <v>0</v>
      </c>
      <c r="J1444" s="296" t="s">
        <v>1094</v>
      </c>
      <c r="K1444" s="259">
        <v>0</v>
      </c>
      <c r="L1444" s="38">
        <f>-F1444</f>
        <v>0</v>
      </c>
      <c r="M1444" s="259">
        <v>0</v>
      </c>
      <c r="N1444" s="2227">
        <f>I1444+K1444-L1444+M1444</f>
        <v>0</v>
      </c>
    </row>
    <row r="1445" spans="1:14" x14ac:dyDescent="0.2">
      <c r="A1445" s="31">
        <f t="shared" si="431"/>
        <v>6</v>
      </c>
      <c r="B1445" s="253">
        <v>303.2</v>
      </c>
      <c r="C1445" s="52" t="s">
        <v>1029</v>
      </c>
      <c r="D1445" s="257">
        <f>G1339</f>
        <v>0</v>
      </c>
      <c r="E1445" s="382">
        <f>ROUND('Plant input detail '!E1447*'WPB2.2 Plant detail-w slippage'!$P$2,0)</f>
        <v>0</v>
      </c>
      <c r="F1445" s="257">
        <f>ROUND('Plant input detail '!F1447*'WPB2.2 Plant detail-w slippage'!$P$2,0)</f>
        <v>0</v>
      </c>
      <c r="G1445" s="257">
        <f>SUM(D1445:F1445)</f>
        <v>0</v>
      </c>
      <c r="H1445" s="38"/>
      <c r="I1445" s="257">
        <f>N1339</f>
        <v>0</v>
      </c>
      <c r="J1445" s="296" t="s">
        <v>1094</v>
      </c>
      <c r="K1445" s="259">
        <v>0</v>
      </c>
      <c r="L1445" s="38">
        <f>-F1445</f>
        <v>0</v>
      </c>
      <c r="M1445" s="259">
        <v>0</v>
      </c>
      <c r="N1445" s="2227">
        <f>I1445+K1445-L1445+M1445</f>
        <v>0</v>
      </c>
    </row>
    <row r="1446" spans="1:14" x14ac:dyDescent="0.2">
      <c r="A1446" s="31">
        <f t="shared" si="431"/>
        <v>7</v>
      </c>
      <c r="B1446" s="253">
        <v>303.3</v>
      </c>
      <c r="C1446" s="52" t="s">
        <v>1030</v>
      </c>
      <c r="D1446" s="260">
        <f>G1340</f>
        <v>6830686</v>
      </c>
      <c r="E1446" s="265">
        <f>ROUND('Plant input detail '!E1448*'WPB2.2 Plant detail-w slippage'!$P$2,0)</f>
        <v>187900</v>
      </c>
      <c r="F1446" s="265">
        <f>ROUND('Plant input detail '!F1448*'WPB2.2 Plant detail-w slippage'!$P$2,0)</f>
        <v>0</v>
      </c>
      <c r="G1446" s="260">
        <f>SUM(D1446:F1446)</f>
        <v>7018586</v>
      </c>
      <c r="H1446" s="38"/>
      <c r="I1446" s="260">
        <f>N1340</f>
        <v>3144449.8017294742</v>
      </c>
      <c r="J1446" s="296" t="s">
        <v>1094</v>
      </c>
      <c r="K1446" s="260">
        <f>'WPB2.2a Intan Amort. w slippage'!J$216</f>
        <v>83441.077056113325</v>
      </c>
      <c r="L1446" s="295">
        <f>-F1446</f>
        <v>0</v>
      </c>
      <c r="M1446" s="263">
        <v>0</v>
      </c>
      <c r="N1446" s="2228">
        <f>I1446+K1446-L1446+M1446</f>
        <v>3227890.8787855874</v>
      </c>
    </row>
    <row r="1447" spans="1:14" x14ac:dyDescent="0.2">
      <c r="A1447" s="31">
        <f t="shared" si="431"/>
        <v>8</v>
      </c>
      <c r="B1447" s="253"/>
      <c r="C1447" s="52" t="s">
        <v>1031</v>
      </c>
      <c r="D1447" s="38">
        <f>SUM(D1442:D1446)</f>
        <v>6905554.71</v>
      </c>
      <c r="E1447" s="173">
        <f>SUM(E1442:E1446)</f>
        <v>187900</v>
      </c>
      <c r="F1447" s="173">
        <f>SUM(F1442:F1446)</f>
        <v>0</v>
      </c>
      <c r="G1447" s="38">
        <f>SUM(G1442:G1446)</f>
        <v>7093454.71</v>
      </c>
      <c r="H1447" s="38"/>
      <c r="I1447" s="38">
        <f>SUM(I1442:I1446)</f>
        <v>3192933.9917294742</v>
      </c>
      <c r="J1447" s="1359"/>
      <c r="K1447" s="173">
        <f>SUM(K1442:K1446)</f>
        <v>83647.597056113329</v>
      </c>
      <c r="L1447" s="38">
        <f>SUM(L1442:L1446)</f>
        <v>0</v>
      </c>
      <c r="M1447" s="173">
        <f>SUM(M1442:M1446)</f>
        <v>0</v>
      </c>
      <c r="N1447" s="1361">
        <f>SUM(N1442:N1446)</f>
        <v>3276581.5887855873</v>
      </c>
    </row>
    <row r="1448" spans="1:14" x14ac:dyDescent="0.2">
      <c r="B1448" s="254"/>
      <c r="D1448" s="38"/>
      <c r="E1448" s="173"/>
      <c r="F1448" s="173"/>
      <c r="G1448" s="38"/>
      <c r="H1448" s="38"/>
      <c r="I1448" s="38"/>
      <c r="J1448" s="1359"/>
      <c r="K1448" s="173"/>
      <c r="L1448" s="38"/>
      <c r="M1448" s="173"/>
    </row>
    <row r="1449" spans="1:14" x14ac:dyDescent="0.2">
      <c r="A1449" s="31">
        <f>A1447+1</f>
        <v>9</v>
      </c>
      <c r="B1449" s="254"/>
      <c r="C1449" s="36" t="s">
        <v>704</v>
      </c>
      <c r="D1449" s="38"/>
      <c r="E1449" s="173"/>
      <c r="F1449" s="173"/>
      <c r="G1449" s="38"/>
      <c r="H1449" s="38"/>
      <c r="I1449" s="38"/>
      <c r="J1449" s="1359"/>
      <c r="K1449" s="173"/>
      <c r="L1449" s="38"/>
      <c r="M1449" s="173"/>
    </row>
    <row r="1450" spans="1:14" x14ac:dyDescent="0.2">
      <c r="A1450" s="31">
        <f>A1449+1</f>
        <v>10</v>
      </c>
      <c r="B1450" s="255">
        <v>304.10000000000002</v>
      </c>
      <c r="C1450" s="41" t="s">
        <v>1032</v>
      </c>
      <c r="D1450" s="260">
        <f>G1344</f>
        <v>0</v>
      </c>
      <c r="E1450" s="265">
        <f>ROUND('Plant input detail '!E1452*'WPB2.2 Plant detail-w slippage'!$P$2,0)</f>
        <v>0</v>
      </c>
      <c r="F1450" s="265">
        <f>ROUND('Plant input detail '!F1452*'WPB2.2 Plant detail-w slippage'!$P$2,0)</f>
        <v>0</v>
      </c>
      <c r="G1450" s="260">
        <f>SUM(D1450:F1450)</f>
        <v>0</v>
      </c>
      <c r="H1450" s="38"/>
      <c r="I1450" s="260">
        <f>N1344</f>
        <v>0</v>
      </c>
      <c r="J1450" s="1360" t="s">
        <v>1102</v>
      </c>
      <c r="K1450" s="266">
        <v>0</v>
      </c>
      <c r="L1450" s="295">
        <f>-F1450</f>
        <v>0</v>
      </c>
      <c r="M1450" s="263">
        <v>0</v>
      </c>
      <c r="N1450" s="2228">
        <f>I1450+K1450-L1450+M1450</f>
        <v>0</v>
      </c>
    </row>
    <row r="1451" spans="1:14" x14ac:dyDescent="0.2">
      <c r="A1451" s="31">
        <f>A1450+1</f>
        <v>11</v>
      </c>
      <c r="B1451" s="255"/>
      <c r="C1451" s="256" t="s">
        <v>1079</v>
      </c>
      <c r="D1451" s="38">
        <f>D1450</f>
        <v>0</v>
      </c>
      <c r="E1451" s="173">
        <f>E1450</f>
        <v>0</v>
      </c>
      <c r="F1451" s="173">
        <f>F1450</f>
        <v>0</v>
      </c>
      <c r="G1451" s="38">
        <f>G1450</f>
        <v>0</v>
      </c>
      <c r="H1451" s="38"/>
      <c r="I1451" s="38">
        <f>I1450</f>
        <v>0</v>
      </c>
      <c r="J1451" s="1361"/>
      <c r="K1451" s="173">
        <f>SUM(K1450)</f>
        <v>0</v>
      </c>
      <c r="L1451" s="38">
        <f>SUM(L1450)</f>
        <v>0</v>
      </c>
      <c r="M1451" s="173">
        <f>M1450</f>
        <v>0</v>
      </c>
      <c r="N1451" s="1361">
        <f>N1450</f>
        <v>0</v>
      </c>
    </row>
    <row r="1452" spans="1:14" x14ac:dyDescent="0.2">
      <c r="B1452" s="254"/>
      <c r="D1452" s="38"/>
      <c r="E1452" s="173"/>
      <c r="F1452" s="173"/>
      <c r="G1452" s="38"/>
      <c r="H1452" s="38"/>
      <c r="I1452" s="38"/>
      <c r="J1452" s="1361"/>
      <c r="K1452" s="173"/>
      <c r="L1452" s="38"/>
      <c r="M1452" s="173"/>
    </row>
    <row r="1453" spans="1:14" x14ac:dyDescent="0.2">
      <c r="A1453" s="31">
        <f>A1451+1</f>
        <v>12</v>
      </c>
      <c r="B1453" s="254"/>
      <c r="C1453" s="36" t="s">
        <v>707</v>
      </c>
      <c r="D1453" s="38"/>
      <c r="E1453" s="173"/>
      <c r="F1453" s="173"/>
      <c r="G1453" s="38"/>
      <c r="H1453" s="38"/>
      <c r="I1453" s="38"/>
      <c r="J1453" s="1361"/>
      <c r="K1453" s="173"/>
      <c r="L1453" s="38"/>
      <c r="M1453" s="173"/>
    </row>
    <row r="1454" spans="1:14" x14ac:dyDescent="0.2">
      <c r="A1454" s="31">
        <f>A1453+1</f>
        <v>13</v>
      </c>
      <c r="B1454" s="253">
        <v>374.1</v>
      </c>
      <c r="C1454" s="52" t="s">
        <v>1035</v>
      </c>
      <c r="D1454" s="257">
        <f t="shared" ref="D1454:D1464" si="432">G1348</f>
        <v>206</v>
      </c>
      <c r="E1454" s="382">
        <f>ROUND('Plant input detail '!E1456*'WPB2.2 Plant detail-w slippage'!$P$2,0)</f>
        <v>0</v>
      </c>
      <c r="F1454" s="257">
        <f>ROUND('Plant input detail '!F1456*'WPB2.2 Plant detail-w slippage'!$P$2,0)</f>
        <v>0</v>
      </c>
      <c r="G1454" s="257">
        <f>SUM(D1454:F1454)</f>
        <v>206</v>
      </c>
      <c r="H1454" s="38"/>
      <c r="I1454" s="257">
        <f t="shared" ref="I1454:I1464" si="433">N1348</f>
        <v>0</v>
      </c>
      <c r="J1454" s="1362" t="str">
        <f t="shared" ref="J1454:J1464" si="434">J1348</f>
        <v>Non-Dep.</v>
      </c>
      <c r="K1454" s="259">
        <v>0</v>
      </c>
      <c r="L1454" s="38">
        <f t="shared" ref="L1454:L1464" si="435">-F1454</f>
        <v>0</v>
      </c>
      <c r="M1454" s="257">
        <f>ROUND('Plant input detail '!M1456*'WPB2.2 Plant detail-w slippage'!$P$2,0)</f>
        <v>0</v>
      </c>
      <c r="N1454" s="2227">
        <f t="shared" ref="N1454:N1464" si="436">I1454+K1454-L1454+M1454</f>
        <v>0</v>
      </c>
    </row>
    <row r="1455" spans="1:14" x14ac:dyDescent="0.2">
      <c r="A1455" s="31">
        <f t="shared" ref="A1455:A1475" si="437">A1454+1</f>
        <v>14</v>
      </c>
      <c r="B1455" s="253">
        <v>374.2</v>
      </c>
      <c r="C1455" s="52" t="s">
        <v>1036</v>
      </c>
      <c r="D1455" s="257">
        <f t="shared" si="432"/>
        <v>877756.18</v>
      </c>
      <c r="E1455" s="382">
        <f>ROUND('Plant input detail '!E1457*'WPB2.2 Plant detail-w slippage'!$P$2,0)</f>
        <v>0</v>
      </c>
      <c r="F1455" s="257">
        <f>ROUND('Plant input detail '!F1457*'WPB2.2 Plant detail-w slippage'!$P$2,0)</f>
        <v>0</v>
      </c>
      <c r="G1455" s="257">
        <f t="shared" ref="G1455:G1464" si="438">SUM(D1455:F1455)</f>
        <v>877756.18</v>
      </c>
      <c r="H1455" s="38"/>
      <c r="I1455" s="257">
        <f t="shared" si="433"/>
        <v>-523.13</v>
      </c>
      <c r="J1455" s="1362" t="str">
        <f t="shared" si="434"/>
        <v>Non-Dep.</v>
      </c>
      <c r="K1455" s="259">
        <v>0</v>
      </c>
      <c r="L1455" s="38">
        <f t="shared" si="435"/>
        <v>0</v>
      </c>
      <c r="M1455" s="257">
        <f>ROUND('Plant input detail '!M1457*'WPB2.2 Plant detail-w slippage'!$P$2,0)</f>
        <v>0</v>
      </c>
      <c r="N1455" s="2227">
        <f t="shared" si="436"/>
        <v>-523.13</v>
      </c>
    </row>
    <row r="1456" spans="1:14" x14ac:dyDescent="0.2">
      <c r="A1456" s="31">
        <f t="shared" si="437"/>
        <v>15</v>
      </c>
      <c r="B1456" s="253">
        <v>374.4</v>
      </c>
      <c r="C1456" s="52" t="s">
        <v>1037</v>
      </c>
      <c r="D1456" s="257">
        <f t="shared" si="432"/>
        <v>661305.66</v>
      </c>
      <c r="E1456" s="382">
        <f>ROUND('Plant input detail '!E1458*'WPB2.2 Plant detail-w slippage'!$P$2,0)</f>
        <v>0</v>
      </c>
      <c r="F1456" s="257">
        <f>ROUND('Plant input detail '!F1458*'WPB2.2 Plant detail-w slippage'!$P$2,0)</f>
        <v>0</v>
      </c>
      <c r="G1456" s="257">
        <f t="shared" si="438"/>
        <v>661305.66</v>
      </c>
      <c r="H1456" s="38"/>
      <c r="I1456" s="257">
        <f t="shared" si="433"/>
        <v>181760.36</v>
      </c>
      <c r="J1456" s="1362">
        <f t="shared" si="434"/>
        <v>1.7399999999999999E-2</v>
      </c>
      <c r="K1456" s="173">
        <f>ROUND((G1456+D1456)/2*J1456/12,0)</f>
        <v>959</v>
      </c>
      <c r="L1456" s="38">
        <f t="shared" si="435"/>
        <v>0</v>
      </c>
      <c r="M1456" s="257">
        <f>ROUND('Plant input detail '!M1458*'WPB2.2 Plant detail-w slippage'!$P$2,0)</f>
        <v>0</v>
      </c>
      <c r="N1456" s="2227">
        <f t="shared" si="436"/>
        <v>182719.35999999999</v>
      </c>
    </row>
    <row r="1457" spans="1:14" x14ac:dyDescent="0.2">
      <c r="A1457" s="31">
        <f t="shared" si="437"/>
        <v>16</v>
      </c>
      <c r="B1457" s="253">
        <v>374.5</v>
      </c>
      <c r="C1457" s="52" t="s">
        <v>1038</v>
      </c>
      <c r="D1457" s="257">
        <f t="shared" si="432"/>
        <v>2712672.55</v>
      </c>
      <c r="E1457" s="382">
        <f>ROUND('Plant input detail '!E1459*'WPB2.2 Plant detail-w slippage'!$P$2,0)</f>
        <v>5800</v>
      </c>
      <c r="F1457" s="257">
        <f>ROUND('Plant input detail '!F1459*'WPB2.2 Plant detail-w slippage'!$P$2,0)</f>
        <v>-700</v>
      </c>
      <c r="G1457" s="257">
        <f t="shared" si="438"/>
        <v>2717772.55</v>
      </c>
      <c r="H1457" s="38"/>
      <c r="I1457" s="257">
        <f t="shared" si="433"/>
        <v>936361.23</v>
      </c>
      <c r="J1457" s="1362">
        <f t="shared" si="434"/>
        <v>1.29E-2</v>
      </c>
      <c r="K1457" s="173">
        <f t="shared" ref="K1457:K1462" si="439">ROUND((G1457+D1457)/2*J1457/12,0)</f>
        <v>2919</v>
      </c>
      <c r="L1457" s="38">
        <f t="shared" si="435"/>
        <v>700</v>
      </c>
      <c r="M1457" s="257">
        <f>ROUND('Plant input detail '!M1459*'WPB2.2 Plant detail-w slippage'!$P$2,0)</f>
        <v>0</v>
      </c>
      <c r="N1457" s="2227">
        <f t="shared" si="436"/>
        <v>938580.23</v>
      </c>
    </row>
    <row r="1458" spans="1:14" x14ac:dyDescent="0.2">
      <c r="A1458" s="31">
        <f t="shared" si="437"/>
        <v>17</v>
      </c>
      <c r="B1458" s="253">
        <v>375.2</v>
      </c>
      <c r="C1458" s="52" t="s">
        <v>1039</v>
      </c>
      <c r="D1458" s="257">
        <f t="shared" si="432"/>
        <v>2124.98</v>
      </c>
      <c r="E1458" s="382">
        <f>ROUND('Plant input detail '!E1460*'WPB2.2 Plant detail-w slippage'!$P$2,0)</f>
        <v>0</v>
      </c>
      <c r="F1458" s="257">
        <f>ROUND('Plant input detail '!F1460*'WPB2.2 Plant detail-w slippage'!$P$2,0)</f>
        <v>0</v>
      </c>
      <c r="G1458" s="257">
        <f t="shared" si="438"/>
        <v>2124.98</v>
      </c>
      <c r="H1458" s="38"/>
      <c r="I1458" s="257">
        <f t="shared" si="433"/>
        <v>2045.32</v>
      </c>
      <c r="J1458" s="1362">
        <f t="shared" si="434"/>
        <v>3.1800000000000002E-2</v>
      </c>
      <c r="K1458" s="173">
        <f t="shared" si="439"/>
        <v>6</v>
      </c>
      <c r="L1458" s="38">
        <f t="shared" si="435"/>
        <v>0</v>
      </c>
      <c r="M1458" s="257">
        <f>ROUND('Plant input detail '!M1460*'WPB2.2 Plant detail-w slippage'!$P$2,0)</f>
        <v>0</v>
      </c>
      <c r="N1458" s="2227">
        <f t="shared" si="436"/>
        <v>2051.3199999999997</v>
      </c>
    </row>
    <row r="1459" spans="1:14" x14ac:dyDescent="0.2">
      <c r="A1459" s="31">
        <f t="shared" si="437"/>
        <v>18</v>
      </c>
      <c r="B1459" s="253">
        <v>375.3</v>
      </c>
      <c r="C1459" s="52" t="s">
        <v>1040</v>
      </c>
      <c r="D1459" s="257">
        <f t="shared" si="432"/>
        <v>0</v>
      </c>
      <c r="E1459" s="382">
        <f>ROUND('Plant input detail '!E1461*'WPB2.2 Plant detail-w slippage'!$P$2,0)</f>
        <v>0</v>
      </c>
      <c r="F1459" s="257">
        <f>ROUND('Plant input detail '!F1461*'WPB2.2 Plant detail-w slippage'!$P$2,0)</f>
        <v>0</v>
      </c>
      <c r="G1459" s="257">
        <f t="shared" si="438"/>
        <v>0</v>
      </c>
      <c r="H1459" s="38"/>
      <c r="I1459" s="257">
        <f t="shared" si="433"/>
        <v>-77.66</v>
      </c>
      <c r="J1459" s="1362">
        <f t="shared" si="434"/>
        <v>3.1800000000000002E-2</v>
      </c>
      <c r="K1459" s="173">
        <f t="shared" si="439"/>
        <v>0</v>
      </c>
      <c r="L1459" s="38">
        <f t="shared" si="435"/>
        <v>0</v>
      </c>
      <c r="M1459" s="257">
        <f>ROUND('Plant input detail '!M1461*'WPB2.2 Plant detail-w slippage'!$P$2,0)</f>
        <v>0</v>
      </c>
      <c r="N1459" s="2227">
        <f t="shared" si="436"/>
        <v>-77.66</v>
      </c>
    </row>
    <row r="1460" spans="1:14" x14ac:dyDescent="0.2">
      <c r="A1460" s="31">
        <f t="shared" si="437"/>
        <v>19</v>
      </c>
      <c r="B1460" s="253">
        <v>375.4</v>
      </c>
      <c r="C1460" s="52" t="s">
        <v>1041</v>
      </c>
      <c r="D1460" s="257">
        <f t="shared" si="432"/>
        <v>2129430.02</v>
      </c>
      <c r="E1460" s="382">
        <f>ROUND('Plant input detail '!E1462*'WPB2.2 Plant detail-w slippage'!$P$2,0)</f>
        <v>18100</v>
      </c>
      <c r="F1460" s="257">
        <f>ROUND('Plant input detail '!F1462*'WPB2.2 Plant detail-w slippage'!$P$2,0)</f>
        <v>-2200</v>
      </c>
      <c r="G1460" s="257">
        <f t="shared" si="438"/>
        <v>2145330.02</v>
      </c>
      <c r="H1460" s="38"/>
      <c r="I1460" s="257">
        <f t="shared" si="433"/>
        <v>496256.37</v>
      </c>
      <c r="J1460" s="1362">
        <f t="shared" si="434"/>
        <v>3.1800000000000002E-2</v>
      </c>
      <c r="K1460" s="173">
        <f t="shared" si="439"/>
        <v>5664</v>
      </c>
      <c r="L1460" s="38">
        <f t="shared" si="435"/>
        <v>2200</v>
      </c>
      <c r="M1460" s="257">
        <f>ROUND('Plant input detail '!M1462*'WPB2.2 Plant detail-w slippage'!$P$2,0)</f>
        <v>-200</v>
      </c>
      <c r="N1460" s="2227">
        <f t="shared" si="436"/>
        <v>499520.37</v>
      </c>
    </row>
    <row r="1461" spans="1:14" x14ac:dyDescent="0.2">
      <c r="A1461" s="31">
        <f t="shared" si="437"/>
        <v>20</v>
      </c>
      <c r="B1461" s="253">
        <v>375.6</v>
      </c>
      <c r="C1461" s="52" t="s">
        <v>1042</v>
      </c>
      <c r="D1461" s="257">
        <f t="shared" si="432"/>
        <v>0</v>
      </c>
      <c r="E1461" s="382">
        <f>ROUND('Plant input detail '!E1463*'WPB2.2 Plant detail-w slippage'!$P$2,0)</f>
        <v>0</v>
      </c>
      <c r="F1461" s="257">
        <f>ROUND('Plant input detail '!F1463*'WPB2.2 Plant detail-w slippage'!$P$2,0)</f>
        <v>0</v>
      </c>
      <c r="G1461" s="257">
        <f t="shared" si="438"/>
        <v>0</v>
      </c>
      <c r="H1461" s="38"/>
      <c r="I1461" s="257">
        <f t="shared" si="433"/>
        <v>0.02</v>
      </c>
      <c r="J1461" s="1362">
        <f t="shared" si="434"/>
        <v>3.1800000000000002E-2</v>
      </c>
      <c r="K1461" s="173">
        <f t="shared" si="439"/>
        <v>0</v>
      </c>
      <c r="L1461" s="38">
        <f t="shared" si="435"/>
        <v>0</v>
      </c>
      <c r="M1461" s="257">
        <f>ROUND('Plant input detail '!M1463*'WPB2.2 Plant detail-w slippage'!$P$2,0)</f>
        <v>0</v>
      </c>
      <c r="N1461" s="2227">
        <f t="shared" si="436"/>
        <v>0.02</v>
      </c>
    </row>
    <row r="1462" spans="1:14" x14ac:dyDescent="0.2">
      <c r="A1462" s="31">
        <f t="shared" si="437"/>
        <v>21</v>
      </c>
      <c r="B1462" s="253">
        <v>375.7</v>
      </c>
      <c r="C1462" s="52" t="s">
        <v>1043</v>
      </c>
      <c r="D1462" s="257">
        <f t="shared" si="432"/>
        <v>8383050.2100000009</v>
      </c>
      <c r="E1462" s="382">
        <f>ROUND('Plant input detail '!E1464*'WPB2.2 Plant detail-w slippage'!$P$2,0)</f>
        <v>48300</v>
      </c>
      <c r="F1462" s="257">
        <f>ROUND('Plant input detail '!F1464*'WPB2.2 Plant detail-w slippage'!$P$2,0)</f>
        <v>-5800</v>
      </c>
      <c r="G1462" s="257">
        <f t="shared" si="438"/>
        <v>8425550.2100000009</v>
      </c>
      <c r="H1462" s="38"/>
      <c r="I1462" s="257">
        <f t="shared" si="433"/>
        <v>3343098.06</v>
      </c>
      <c r="J1462" s="1362">
        <f t="shared" si="434"/>
        <v>2.1299999999999999E-2</v>
      </c>
      <c r="K1462" s="173">
        <f t="shared" si="439"/>
        <v>14918</v>
      </c>
      <c r="L1462" s="38">
        <f t="shared" si="435"/>
        <v>5800</v>
      </c>
      <c r="M1462" s="257">
        <f>ROUND('Plant input detail '!M1464*'WPB2.2 Plant detail-w slippage'!$P$2,0)</f>
        <v>0</v>
      </c>
      <c r="N1462" s="2227">
        <f t="shared" si="436"/>
        <v>3352216.06</v>
      </c>
    </row>
    <row r="1463" spans="1:14" x14ac:dyDescent="0.2">
      <c r="A1463" s="31">
        <f t="shared" si="437"/>
        <v>22</v>
      </c>
      <c r="B1463" s="253">
        <v>375.71</v>
      </c>
      <c r="C1463" s="52" t="s">
        <v>1044</v>
      </c>
      <c r="D1463" s="257">
        <f t="shared" si="432"/>
        <v>259808.94</v>
      </c>
      <c r="E1463" s="382">
        <f>ROUND('Plant input detail '!E1465*'WPB2.2 Plant detail-w slippage'!$P$2,0)</f>
        <v>0</v>
      </c>
      <c r="F1463" s="257">
        <f>ROUND('Plant input detail '!F1465*'WPB2.2 Plant detail-w slippage'!$P$2,0)</f>
        <v>0</v>
      </c>
      <c r="G1463" s="257">
        <f t="shared" si="438"/>
        <v>259808.94</v>
      </c>
      <c r="H1463" s="38"/>
      <c r="I1463" s="257">
        <f t="shared" si="433"/>
        <v>190957.7031578949</v>
      </c>
      <c r="J1463" s="1362" t="str">
        <f t="shared" si="434"/>
        <v>Amort.</v>
      </c>
      <c r="K1463" s="258">
        <f>104653.88/38</f>
        <v>2754.0494736842106</v>
      </c>
      <c r="L1463" s="38">
        <f t="shared" si="435"/>
        <v>0</v>
      </c>
      <c r="M1463" s="257">
        <f>ROUND('Plant input detail '!M1465*'WPB2.2 Plant detail-w slippage'!$P$2,0)</f>
        <v>0</v>
      </c>
      <c r="N1463" s="2227">
        <f t="shared" si="436"/>
        <v>193711.75263157912</v>
      </c>
    </row>
    <row r="1464" spans="1:14" x14ac:dyDescent="0.2">
      <c r="A1464" s="31">
        <f t="shared" si="437"/>
        <v>23</v>
      </c>
      <c r="B1464" s="253">
        <v>375.8</v>
      </c>
      <c r="C1464" s="52" t="s">
        <v>1045</v>
      </c>
      <c r="D1464" s="257">
        <f t="shared" si="432"/>
        <v>0</v>
      </c>
      <c r="E1464" s="382">
        <f>ROUND('Plant input detail '!E1466*'WPB2.2 Plant detail-w slippage'!$P$2,0)</f>
        <v>0</v>
      </c>
      <c r="F1464" s="257">
        <f>ROUND('Plant input detail '!F1466*'WPB2.2 Plant detail-w slippage'!$P$2,0)</f>
        <v>0</v>
      </c>
      <c r="G1464" s="257">
        <f t="shared" si="438"/>
        <v>0</v>
      </c>
      <c r="H1464" s="38"/>
      <c r="I1464" s="257">
        <f t="shared" si="433"/>
        <v>0</v>
      </c>
      <c r="J1464" s="1362">
        <f t="shared" si="434"/>
        <v>0</v>
      </c>
      <c r="K1464" s="259">
        <v>0</v>
      </c>
      <c r="L1464" s="38">
        <f t="shared" si="435"/>
        <v>0</v>
      </c>
      <c r="M1464" s="257">
        <f>ROUND('Plant input detail '!M1466*'WPB2.2 Plant detail-w slippage'!$P$2,0)</f>
        <v>0</v>
      </c>
      <c r="N1464" s="2227">
        <f t="shared" si="436"/>
        <v>0</v>
      </c>
    </row>
    <row r="1465" spans="1:14" x14ac:dyDescent="0.2">
      <c r="A1465" s="31">
        <f>A1464+1</f>
        <v>24</v>
      </c>
      <c r="B1465" s="253">
        <v>376</v>
      </c>
      <c r="C1465" s="251" t="s">
        <v>1096</v>
      </c>
      <c r="D1465" s="257"/>
      <c r="E1465" s="258"/>
      <c r="F1465" s="259"/>
      <c r="G1465" s="257"/>
      <c r="H1465" s="38"/>
      <c r="I1465" s="181"/>
      <c r="J1465" s="1361"/>
      <c r="K1465" s="173"/>
      <c r="L1465" s="38"/>
      <c r="M1465" s="259"/>
    </row>
    <row r="1466" spans="1:14" x14ac:dyDescent="0.2">
      <c r="A1466" s="31"/>
      <c r="B1466" s="253"/>
      <c r="C1466" s="286" t="s">
        <v>1097</v>
      </c>
      <c r="D1466" s="257"/>
      <c r="E1466" s="258"/>
      <c r="F1466" s="259"/>
      <c r="G1466" s="257"/>
      <c r="H1466" s="38"/>
      <c r="I1466" s="257"/>
      <c r="J1466" s="1362"/>
      <c r="K1466" s="173"/>
      <c r="L1466" s="38"/>
      <c r="M1466" s="257"/>
      <c r="N1466" s="2227"/>
    </row>
    <row r="1467" spans="1:14" x14ac:dyDescent="0.2">
      <c r="A1467" s="31"/>
      <c r="B1467" s="253"/>
      <c r="C1467" s="286" t="s">
        <v>1098</v>
      </c>
      <c r="D1467" s="257"/>
      <c r="E1467" s="258"/>
      <c r="F1467" s="259"/>
      <c r="G1467" s="257"/>
      <c r="H1467" s="38"/>
      <c r="I1467" s="257"/>
      <c r="J1467" s="1362"/>
      <c r="K1467" s="173"/>
      <c r="L1467" s="38"/>
      <c r="M1467" s="257"/>
      <c r="N1467" s="2227"/>
    </row>
    <row r="1468" spans="1:14" x14ac:dyDescent="0.2">
      <c r="A1468" s="31"/>
      <c r="B1468" s="253"/>
      <c r="C1468" s="286" t="s">
        <v>1099</v>
      </c>
      <c r="D1468" s="257"/>
      <c r="E1468" s="258"/>
      <c r="F1468" s="259"/>
      <c r="G1468" s="257"/>
      <c r="H1468" s="38"/>
      <c r="I1468" s="257"/>
      <c r="J1468" s="1362"/>
      <c r="K1468" s="173"/>
      <c r="L1468" s="38"/>
      <c r="M1468" s="257"/>
      <c r="N1468" s="2227"/>
    </row>
    <row r="1469" spans="1:14" x14ac:dyDescent="0.2">
      <c r="A1469" s="31"/>
      <c r="B1469" s="253"/>
      <c r="C1469" s="286" t="s">
        <v>1100</v>
      </c>
      <c r="D1469" s="257"/>
      <c r="E1469" s="258"/>
      <c r="F1469" s="259"/>
      <c r="G1469" s="257"/>
      <c r="H1469" s="38"/>
      <c r="I1469" s="257"/>
      <c r="J1469" s="1362"/>
      <c r="K1469" s="173"/>
      <c r="L1469" s="38"/>
      <c r="M1469" s="257"/>
      <c r="N1469" s="2227"/>
    </row>
    <row r="1470" spans="1:14" x14ac:dyDescent="0.2">
      <c r="A1470" s="31"/>
      <c r="B1470" s="253"/>
      <c r="C1470" s="286" t="s">
        <v>1101</v>
      </c>
      <c r="D1470" s="257">
        <f t="shared" ref="D1470:D1475" si="440">G1364</f>
        <v>214934165.44</v>
      </c>
      <c r="E1470" s="382">
        <f>ROUND('Plant input detail '!E1472*'WPB2.2 Plant detail-w slippage'!$P$2,0)</f>
        <v>989320</v>
      </c>
      <c r="F1470" s="257">
        <f>ROUND('Plant input detail '!F1472*'WPB2.2 Plant detail-w slippage'!$P$2,0)</f>
        <v>-118700</v>
      </c>
      <c r="G1470" s="257">
        <f t="shared" ref="G1470:G1475" si="441">SUM(D1470:F1470)</f>
        <v>215804785.44</v>
      </c>
      <c r="H1470" s="38"/>
      <c r="I1470" s="257">
        <f t="shared" ref="I1470:I1475" si="442">N1364</f>
        <v>58442098.609999999</v>
      </c>
      <c r="J1470" s="1362">
        <f t="shared" ref="J1470:J1475" si="443">J1364</f>
        <v>2.3E-2</v>
      </c>
      <c r="K1470" s="173">
        <f t="shared" ref="K1470:K1475" si="444">ROUND((G1470+D1470)/2*J1470/12,0)</f>
        <v>412791</v>
      </c>
      <c r="L1470" s="38">
        <f t="shared" ref="L1470:L1475" si="445">-F1470</f>
        <v>118700</v>
      </c>
      <c r="M1470" s="257">
        <f>ROUND('Plant input detail '!M1472*'WPB2.2 Plant detail-w slippage'!$P$2,0)</f>
        <v>-17800</v>
      </c>
      <c r="N1470" s="2227">
        <f t="shared" ref="N1470:N1475" si="446">I1470+K1470-L1470+M1470</f>
        <v>58718389.609999999</v>
      </c>
    </row>
    <row r="1471" spans="1:14" x14ac:dyDescent="0.2">
      <c r="A1471" s="31">
        <f>A1465+1</f>
        <v>25</v>
      </c>
      <c r="B1471" s="253">
        <v>378.1</v>
      </c>
      <c r="C1471" s="52" t="s">
        <v>1047</v>
      </c>
      <c r="D1471" s="257">
        <f t="shared" si="440"/>
        <v>518504.18</v>
      </c>
      <c r="E1471" s="382">
        <f>ROUND('Plant input detail '!E1473*'WPB2.2 Plant detail-w slippage'!$P$2,0)</f>
        <v>0</v>
      </c>
      <c r="F1471" s="257">
        <f>ROUND('Plant input detail '!F1473*'WPB2.2 Plant detail-w slippage'!$P$2,0)</f>
        <v>0</v>
      </c>
      <c r="G1471" s="257">
        <f t="shared" si="441"/>
        <v>518504.18</v>
      </c>
      <c r="H1471" s="38"/>
      <c r="I1471" s="257">
        <f t="shared" si="442"/>
        <v>367766.81</v>
      </c>
      <c r="J1471" s="1362">
        <f t="shared" si="443"/>
        <v>3.32E-2</v>
      </c>
      <c r="K1471" s="173">
        <f t="shared" si="444"/>
        <v>1435</v>
      </c>
      <c r="L1471" s="38">
        <f t="shared" si="445"/>
        <v>0</v>
      </c>
      <c r="M1471" s="257">
        <f>ROUND('Plant input detail '!M1473*'WPB2.2 Plant detail-w slippage'!$P$2,0)</f>
        <v>0</v>
      </c>
      <c r="N1471" s="2227">
        <f t="shared" si="446"/>
        <v>369201.81</v>
      </c>
    </row>
    <row r="1472" spans="1:14" x14ac:dyDescent="0.2">
      <c r="A1472" s="31">
        <f t="shared" si="437"/>
        <v>26</v>
      </c>
      <c r="B1472" s="253">
        <v>378.2</v>
      </c>
      <c r="C1472" s="52" t="s">
        <v>1048</v>
      </c>
      <c r="D1472" s="257">
        <f t="shared" si="440"/>
        <v>9819524</v>
      </c>
      <c r="E1472" s="382">
        <f>ROUND('Plant input detail '!E1474*'WPB2.2 Plant detail-w slippage'!$P$2,0)</f>
        <v>19200</v>
      </c>
      <c r="F1472" s="257">
        <f>ROUND('Plant input detail '!F1474*'WPB2.2 Plant detail-w slippage'!$P$2,0)</f>
        <v>-2300</v>
      </c>
      <c r="G1472" s="257">
        <f t="shared" si="441"/>
        <v>9836424</v>
      </c>
      <c r="H1472" s="38"/>
      <c r="I1472" s="257">
        <f t="shared" si="442"/>
        <v>3444623.91</v>
      </c>
      <c r="J1472" s="1362">
        <f t="shared" si="443"/>
        <v>3.32E-2</v>
      </c>
      <c r="K1472" s="173">
        <f t="shared" si="444"/>
        <v>27191</v>
      </c>
      <c r="L1472" s="38">
        <f t="shared" si="445"/>
        <v>2300</v>
      </c>
      <c r="M1472" s="257">
        <f>ROUND('Plant input detail '!M1474*'WPB2.2 Plant detail-w slippage'!$P$2,0)</f>
        <v>-100</v>
      </c>
      <c r="N1472" s="2227">
        <f t="shared" si="446"/>
        <v>3469414.91</v>
      </c>
    </row>
    <row r="1473" spans="1:14" x14ac:dyDescent="0.2">
      <c r="A1473" s="31">
        <f t="shared" si="437"/>
        <v>27</v>
      </c>
      <c r="B1473" s="253">
        <v>378.3</v>
      </c>
      <c r="C1473" s="52" t="s">
        <v>1049</v>
      </c>
      <c r="D1473" s="257">
        <f t="shared" si="440"/>
        <v>45443.08</v>
      </c>
      <c r="E1473" s="382">
        <f>ROUND('Plant input detail '!E1475*'WPB2.2 Plant detail-w slippage'!$P$2,0)</f>
        <v>0</v>
      </c>
      <c r="F1473" s="257">
        <f>ROUND('Plant input detail '!F1475*'WPB2.2 Plant detail-w slippage'!$P$2,0)</f>
        <v>0</v>
      </c>
      <c r="G1473" s="257">
        <f t="shared" si="441"/>
        <v>45443.08</v>
      </c>
      <c r="H1473" s="38"/>
      <c r="I1473" s="257">
        <f t="shared" si="442"/>
        <v>36256.04</v>
      </c>
      <c r="J1473" s="1362">
        <f t="shared" si="443"/>
        <v>3.32E-2</v>
      </c>
      <c r="K1473" s="173">
        <f t="shared" si="444"/>
        <v>126</v>
      </c>
      <c r="L1473" s="38">
        <f t="shared" si="445"/>
        <v>0</v>
      </c>
      <c r="M1473" s="257">
        <f>ROUND('Plant input detail '!M1475*'WPB2.2 Plant detail-w slippage'!$P$2,0)</f>
        <v>0</v>
      </c>
      <c r="N1473" s="2227">
        <f t="shared" si="446"/>
        <v>36382.04</v>
      </c>
    </row>
    <row r="1474" spans="1:14" x14ac:dyDescent="0.2">
      <c r="A1474" s="31">
        <f t="shared" si="437"/>
        <v>28</v>
      </c>
      <c r="B1474" s="253">
        <v>379.1</v>
      </c>
      <c r="C1474" s="52" t="s">
        <v>1050</v>
      </c>
      <c r="D1474" s="257">
        <f t="shared" si="440"/>
        <v>254900.59</v>
      </c>
      <c r="E1474" s="382">
        <f>ROUND('Plant input detail '!E1476*'WPB2.2 Plant detail-w slippage'!$P$2,0)</f>
        <v>0</v>
      </c>
      <c r="F1474" s="257">
        <f>ROUND('Plant input detail '!F1476*'WPB2.2 Plant detail-w slippage'!$P$2,0)</f>
        <v>0</v>
      </c>
      <c r="G1474" s="257">
        <f t="shared" si="441"/>
        <v>254900.59</v>
      </c>
      <c r="H1474" s="38"/>
      <c r="I1474" s="257">
        <f t="shared" si="442"/>
        <v>267730.57</v>
      </c>
      <c r="J1474" s="1362">
        <f t="shared" si="443"/>
        <v>6.0000000000000001E-3</v>
      </c>
      <c r="K1474" s="259">
        <v>0</v>
      </c>
      <c r="L1474" s="38">
        <f t="shared" si="445"/>
        <v>0</v>
      </c>
      <c r="M1474" s="257">
        <f>ROUND('Plant input detail '!M1476*'WPB2.2 Plant detail-w slippage'!$P$2,0)</f>
        <v>0</v>
      </c>
      <c r="N1474" s="2227">
        <f t="shared" si="446"/>
        <v>267730.57</v>
      </c>
    </row>
    <row r="1475" spans="1:14" x14ac:dyDescent="0.2">
      <c r="A1475" s="31">
        <f t="shared" si="437"/>
        <v>29</v>
      </c>
      <c r="B1475" s="253">
        <v>380</v>
      </c>
      <c r="C1475" s="52" t="s">
        <v>1051</v>
      </c>
      <c r="D1475" s="257">
        <f t="shared" si="440"/>
        <v>124095970.77</v>
      </c>
      <c r="E1475" s="382">
        <f>ROUND('Plant input detail '!E1477*'WPB2.2 Plant detail-w slippage'!$P$2,0)</f>
        <v>568446</v>
      </c>
      <c r="F1475" s="257">
        <f>ROUND('Plant input detail '!F1477*'WPB2.2 Plant detail-w slippage'!$P$2,0)</f>
        <v>-68200</v>
      </c>
      <c r="G1475" s="257">
        <f t="shared" si="441"/>
        <v>124596216.77</v>
      </c>
      <c r="H1475" s="38"/>
      <c r="I1475" s="257">
        <f t="shared" si="442"/>
        <v>60153107.520000003</v>
      </c>
      <c r="J1475" s="1362">
        <f t="shared" si="443"/>
        <v>5.0999999999999997E-2</v>
      </c>
      <c r="K1475" s="173">
        <f t="shared" si="444"/>
        <v>528471</v>
      </c>
      <c r="L1475" s="38">
        <f t="shared" si="445"/>
        <v>68200</v>
      </c>
      <c r="M1475" s="257">
        <f>ROUND('Plant input detail '!M1477*'WPB2.2 Plant detail-w slippage'!$P$2,0)</f>
        <v>-34100</v>
      </c>
      <c r="N1475" s="2227">
        <f t="shared" si="446"/>
        <v>60579278.520000003</v>
      </c>
    </row>
    <row r="1476" spans="1:14" x14ac:dyDescent="0.2">
      <c r="A1476" s="170"/>
      <c r="B1476" s="179"/>
      <c r="C1476" s="178"/>
      <c r="D1476" s="181"/>
      <c r="E1476" s="173"/>
      <c r="F1476" s="173"/>
      <c r="G1476" s="181"/>
      <c r="H1476" s="173"/>
      <c r="I1476" s="173"/>
      <c r="J1476" s="173"/>
      <c r="K1476" s="173"/>
      <c r="L1476" s="173"/>
      <c r="M1476" s="171"/>
      <c r="N1476" s="2229"/>
    </row>
    <row r="1477" spans="1:14" x14ac:dyDescent="0.2">
      <c r="A1477" s="2079" t="str">
        <f>co</f>
        <v>COLUMBIA GAS OF KENTUCKY, INC.</v>
      </c>
      <c r="B1477" s="2079"/>
      <c r="C1477" s="2079"/>
      <c r="D1477" s="2079"/>
      <c r="E1477" s="2079"/>
      <c r="F1477" s="2079"/>
      <c r="G1477" s="2079"/>
      <c r="H1477" s="2079"/>
      <c r="I1477" s="2079"/>
      <c r="J1477" s="2079"/>
      <c r="K1477" s="2079"/>
      <c r="L1477" s="2079"/>
      <c r="M1477" s="2079"/>
      <c r="N1477" s="2079"/>
    </row>
    <row r="1478" spans="1:14" x14ac:dyDescent="0.2">
      <c r="A1478" s="2079" t="str">
        <f>case</f>
        <v>CASE NO. 2016 - 00162</v>
      </c>
      <c r="B1478" s="2079"/>
      <c r="C1478" s="2079"/>
      <c r="D1478" s="2079"/>
      <c r="E1478" s="2079"/>
      <c r="F1478" s="2079"/>
      <c r="G1478" s="2079"/>
      <c r="H1478" s="2079"/>
      <c r="I1478" s="2079"/>
      <c r="J1478" s="2079"/>
      <c r="K1478" s="2079"/>
      <c r="L1478" s="2079"/>
      <c r="M1478" s="2079"/>
      <c r="N1478" s="2079"/>
    </row>
    <row r="1479" spans="1:14" x14ac:dyDescent="0.2">
      <c r="A1479" s="2080" t="s">
        <v>1106</v>
      </c>
      <c r="B1479" s="2079"/>
      <c r="C1479" s="2079"/>
      <c r="D1479" s="2079"/>
      <c r="E1479" s="2079"/>
      <c r="F1479" s="2079"/>
      <c r="G1479" s="2079"/>
      <c r="H1479" s="2079"/>
      <c r="I1479" s="2079"/>
      <c r="J1479" s="2079"/>
      <c r="K1479" s="2079"/>
      <c r="L1479" s="2079"/>
      <c r="M1479" s="2079"/>
      <c r="N1479" s="2079"/>
    </row>
    <row r="1480" spans="1:14" x14ac:dyDescent="0.2">
      <c r="A1480" s="2081" t="s">
        <v>2142</v>
      </c>
      <c r="B1480" s="2085"/>
      <c r="C1480" s="2085"/>
      <c r="D1480" s="2085"/>
      <c r="E1480" s="2085"/>
      <c r="F1480" s="2085"/>
      <c r="G1480" s="2085"/>
      <c r="H1480" s="2085"/>
      <c r="I1480" s="2085"/>
      <c r="J1480" s="2085"/>
      <c r="K1480" s="2085"/>
      <c r="L1480" s="2085"/>
      <c r="M1480" s="2085"/>
      <c r="N1480" s="2085"/>
    </row>
    <row r="1482" spans="1:14" x14ac:dyDescent="0.2">
      <c r="A1482" s="285" t="str">
        <f>$A$6</f>
        <v>DATA:__X___BASE PERIOD__X___FORECASTED PERIOD</v>
      </c>
      <c r="C1482" s="171"/>
      <c r="M1482" s="32"/>
      <c r="N1482" s="1258" t="str">
        <f>$N$6</f>
        <v>WPB-2.2</v>
      </c>
    </row>
    <row r="1483" spans="1:14" x14ac:dyDescent="0.2">
      <c r="A1483" s="4" t="str">
        <f>$A$7</f>
        <v>TYPE OF FILING:___X____ORIGINAL________UPDATED</v>
      </c>
      <c r="M1483" s="32"/>
      <c r="N1483" s="2223" t="s">
        <v>1741</v>
      </c>
    </row>
    <row r="1484" spans="1:14" x14ac:dyDescent="0.2">
      <c r="A1484" s="1261" t="str">
        <f>$A$8</f>
        <v xml:space="preserve">WORKPAPER REFERENCE NO(S).: </v>
      </c>
      <c r="B1484" s="202"/>
      <c r="C1484" s="202"/>
      <c r="D1484" s="201"/>
      <c r="E1484" s="202"/>
      <c r="F1484" s="202"/>
      <c r="G1484" s="201"/>
      <c r="H1484" s="201"/>
      <c r="M1484" s="203"/>
      <c r="N1484" s="204" t="str">
        <f>SMK</f>
        <v>WITNESS:  S. M. KATKO</v>
      </c>
    </row>
    <row r="1485" spans="1:14" x14ac:dyDescent="0.2">
      <c r="A1485" s="200"/>
      <c r="B1485" s="201"/>
      <c r="C1485" s="201"/>
      <c r="D1485" s="201"/>
      <c r="E1485" s="202"/>
      <c r="F1485" s="202"/>
      <c r="G1485" s="201"/>
      <c r="H1485" s="201"/>
      <c r="I1485" s="203"/>
      <c r="J1485" s="1357"/>
      <c r="L1485" s="32"/>
      <c r="M1485" s="32"/>
    </row>
    <row r="1486" spans="1:14" x14ac:dyDescent="0.2">
      <c r="A1486" s="200"/>
      <c r="B1486" s="201"/>
      <c r="C1486" s="201"/>
      <c r="D1486" s="2082" t="s">
        <v>1088</v>
      </c>
      <c r="E1486" s="2082"/>
      <c r="F1486" s="2082"/>
      <c r="G1486" s="2082"/>
      <c r="H1486" s="201"/>
      <c r="I1486" s="2083" t="s">
        <v>1093</v>
      </c>
      <c r="J1486" s="2084"/>
      <c r="K1486" s="2084"/>
      <c r="L1486" s="2084"/>
      <c r="M1486" s="2084"/>
      <c r="N1486" s="2084"/>
    </row>
    <row r="1487" spans="1:14" x14ac:dyDescent="0.2">
      <c r="A1487" s="270"/>
      <c r="B1487" s="201"/>
      <c r="C1487" s="201"/>
      <c r="D1487" s="271" t="s">
        <v>1084</v>
      </c>
      <c r="E1487" s="202"/>
      <c r="F1487" s="202"/>
      <c r="G1487" s="269"/>
      <c r="H1487" s="269"/>
      <c r="I1487" s="261" t="s">
        <v>1089</v>
      </c>
      <c r="J1487" s="1358"/>
      <c r="M1487" s="32"/>
    </row>
    <row r="1488" spans="1:14" x14ac:dyDescent="0.2">
      <c r="A1488" s="30"/>
      <c r="D1488" s="261" t="s">
        <v>865</v>
      </c>
      <c r="G1488" s="261" t="s">
        <v>867</v>
      </c>
      <c r="H1488" s="268"/>
      <c r="I1488" s="261" t="s">
        <v>865</v>
      </c>
      <c r="J1488" s="1308" t="s">
        <v>956</v>
      </c>
      <c r="M1488" s="32"/>
      <c r="N1488" s="2225" t="s">
        <v>867</v>
      </c>
    </row>
    <row r="1489" spans="1:14" x14ac:dyDescent="0.2">
      <c r="A1489" s="261" t="s">
        <v>1080</v>
      </c>
      <c r="B1489" s="261" t="s">
        <v>1082</v>
      </c>
      <c r="D1489" s="261" t="s">
        <v>867</v>
      </c>
      <c r="G1489" s="262" t="s">
        <v>1087</v>
      </c>
      <c r="H1489" s="268"/>
      <c r="I1489" s="262" t="s">
        <v>867</v>
      </c>
      <c r="J1489" s="1308" t="s">
        <v>1090</v>
      </c>
      <c r="K1489" s="1308" t="s">
        <v>956</v>
      </c>
      <c r="M1489" s="262" t="s">
        <v>1092</v>
      </c>
      <c r="N1489" s="1259" t="s">
        <v>1087</v>
      </c>
    </row>
    <row r="1490" spans="1:14" x14ac:dyDescent="0.2">
      <c r="A1490" s="272" t="s">
        <v>1081</v>
      </c>
      <c r="B1490" s="272" t="s">
        <v>1081</v>
      </c>
      <c r="C1490" s="273" t="s">
        <v>1083</v>
      </c>
      <c r="D1490" s="274" t="str">
        <f>D1437</f>
        <v>03/31/2017</v>
      </c>
      <c r="E1490" s="275" t="s">
        <v>1085</v>
      </c>
      <c r="F1490" s="275" t="s">
        <v>1086</v>
      </c>
      <c r="G1490" s="274" t="str">
        <f>G1437</f>
        <v>04/30/2017</v>
      </c>
      <c r="H1490" s="268"/>
      <c r="I1490" s="274" t="str">
        <f>D1490</f>
        <v>03/31/2017</v>
      </c>
      <c r="J1490" s="275" t="s">
        <v>1091</v>
      </c>
      <c r="K1490" s="1327" t="s">
        <v>1090</v>
      </c>
      <c r="L1490" s="276" t="s">
        <v>1086</v>
      </c>
      <c r="M1490" s="276" t="s">
        <v>955</v>
      </c>
      <c r="N1490" s="2226" t="str">
        <f>G1490</f>
        <v>04/30/2017</v>
      </c>
    </row>
    <row r="1491" spans="1:14" x14ac:dyDescent="0.2">
      <c r="A1491" s="267"/>
      <c r="B1491" s="267"/>
      <c r="C1491" s="267"/>
      <c r="D1491" s="267" t="str">
        <f>"(1)"</f>
        <v>(1)</v>
      </c>
      <c r="E1491" s="267" t="str">
        <f>"(2)"</f>
        <v>(2)</v>
      </c>
      <c r="F1491" s="267" t="str">
        <f>"(3)"</f>
        <v>(3)</v>
      </c>
      <c r="G1491" s="267" t="str">
        <f>"(4)=(1+2+3)"</f>
        <v>(4)=(1+2+3)</v>
      </c>
      <c r="H1491" s="267"/>
      <c r="I1491" s="267" t="str">
        <f>"(5)"</f>
        <v>(5)</v>
      </c>
      <c r="J1491" s="1328" t="str">
        <f>"(6)"</f>
        <v>(6)</v>
      </c>
      <c r="K1491" s="1328" t="str">
        <f>"(7)=((1+4)/2*6/12))"</f>
        <v>(7)=((1+4)/2*6/12))</v>
      </c>
      <c r="L1491" s="267" t="str">
        <f>"(8)"</f>
        <v>(8)</v>
      </c>
      <c r="M1491" s="267" t="str">
        <f>"(9)"</f>
        <v>(9)</v>
      </c>
      <c r="N1491" s="204" t="str">
        <f>"(10)=(5+7-8+9)"</f>
        <v>(10)=(5+7-8+9)</v>
      </c>
    </row>
    <row r="1492" spans="1:14" x14ac:dyDescent="0.2">
      <c r="D1492" s="31" t="s">
        <v>639</v>
      </c>
      <c r="E1492" s="170" t="s">
        <v>639</v>
      </c>
      <c r="F1492" s="170" t="s">
        <v>639</v>
      </c>
      <c r="G1492" s="31" t="s">
        <v>639</v>
      </c>
      <c r="H1492" s="31"/>
      <c r="I1492" s="31" t="s">
        <v>639</v>
      </c>
      <c r="J1492" s="170" t="s">
        <v>639</v>
      </c>
      <c r="K1492" s="170" t="s">
        <v>639</v>
      </c>
      <c r="L1492" s="31" t="s">
        <v>639</v>
      </c>
      <c r="M1492" s="31" t="s">
        <v>639</v>
      </c>
      <c r="N1492" s="155" t="s">
        <v>639</v>
      </c>
    </row>
    <row r="1493" spans="1:14" x14ac:dyDescent="0.2">
      <c r="C1493" s="36" t="s">
        <v>707</v>
      </c>
      <c r="D1493" s="31"/>
      <c r="E1493" s="170"/>
      <c r="F1493" s="170"/>
      <c r="G1493" s="31"/>
      <c r="J1493" s="170"/>
    </row>
    <row r="1494" spans="1:14" x14ac:dyDescent="0.2">
      <c r="A1494" s="127">
        <v>1</v>
      </c>
      <c r="B1494" s="123">
        <v>381</v>
      </c>
      <c r="C1494" s="52" t="s">
        <v>1052</v>
      </c>
      <c r="D1494" s="257">
        <f t="shared" ref="D1494:D1505" si="447">G1388</f>
        <v>13771008.550000001</v>
      </c>
      <c r="E1494" s="382">
        <f>ROUND('Plant input detail '!E1496*'WPB2.2 Plant detail-w slippage'!$P$2,0)</f>
        <v>25900</v>
      </c>
      <c r="F1494" s="257">
        <f>ROUND('Plant input detail '!F1496*'WPB2.2 Plant detail-w slippage'!$P$2,0)</f>
        <v>-3100</v>
      </c>
      <c r="G1494" s="257">
        <f>SUM(D1494:F1494)</f>
        <v>13793808.550000001</v>
      </c>
      <c r="H1494" s="38"/>
      <c r="I1494" s="257">
        <f t="shared" ref="I1494:I1505" si="448">N1388</f>
        <v>5036843.8899999997</v>
      </c>
      <c r="J1494" s="1362">
        <f t="shared" ref="J1494:J1505" si="449">J1388</f>
        <v>3.3000000000000002E-2</v>
      </c>
      <c r="K1494" s="173">
        <f t="shared" ref="K1494:K1505" si="450">ROUND((G1494+D1494)/2*J1494/12,0)</f>
        <v>37902</v>
      </c>
      <c r="L1494" s="38">
        <f t="shared" ref="L1494:L1505" si="451">-F1494</f>
        <v>3100</v>
      </c>
      <c r="M1494" s="257">
        <f>ROUND('Plant input detail '!M1496*'WPB2.2 Plant detail-w slippage'!$P$2,0)</f>
        <v>0</v>
      </c>
      <c r="N1494" s="2227">
        <f t="shared" ref="N1494:N1505" si="452">I1494+K1494-L1494+M1494</f>
        <v>5071645.8899999997</v>
      </c>
    </row>
    <row r="1495" spans="1:14" x14ac:dyDescent="0.2">
      <c r="A1495" s="127">
        <f>A1494+1</f>
        <v>2</v>
      </c>
      <c r="B1495" s="123">
        <v>381.1</v>
      </c>
      <c r="C1495" s="52" t="s">
        <v>1115</v>
      </c>
      <c r="D1495" s="257">
        <f t="shared" si="447"/>
        <v>8808712.0600000005</v>
      </c>
      <c r="E1495" s="382">
        <f>ROUND('Plant input detail '!E1497*'WPB2.2 Plant detail-w slippage'!$P$2,0)</f>
        <v>5300</v>
      </c>
      <c r="F1495" s="257">
        <f>ROUND('Plant input detail '!F1497*'WPB2.2 Plant detail-w slippage'!$P$2,0)</f>
        <v>-600</v>
      </c>
      <c r="G1495" s="257">
        <f>SUM(D1495:F1495)</f>
        <v>8813412.0600000005</v>
      </c>
      <c r="H1495" s="38"/>
      <c r="I1495" s="257">
        <f t="shared" si="448"/>
        <v>725568.5</v>
      </c>
      <c r="J1495" s="1362">
        <f t="shared" si="449"/>
        <v>8.0600000000000005E-2</v>
      </c>
      <c r="K1495" s="173">
        <f t="shared" si="450"/>
        <v>59181</v>
      </c>
      <c r="L1495" s="38">
        <f t="shared" si="451"/>
        <v>600</v>
      </c>
      <c r="M1495" s="257">
        <f>ROUND('Plant input detail '!M1497*'WPB2.2 Plant detail-w slippage'!$P$2,0)</f>
        <v>0</v>
      </c>
      <c r="N1495" s="2227">
        <f t="shared" si="452"/>
        <v>784149.5</v>
      </c>
    </row>
    <row r="1496" spans="1:14" x14ac:dyDescent="0.2">
      <c r="A1496" s="127">
        <f t="shared" ref="A1496:A1506" si="453">A1495+1</f>
        <v>3</v>
      </c>
      <c r="B1496" s="123">
        <v>382</v>
      </c>
      <c r="C1496" s="52" t="s">
        <v>1053</v>
      </c>
      <c r="D1496" s="257">
        <f t="shared" si="447"/>
        <v>9336192.6500000004</v>
      </c>
      <c r="E1496" s="382">
        <f>ROUND('Plant input detail '!E1498*'WPB2.2 Plant detail-w slippage'!$P$2,0)</f>
        <v>29500</v>
      </c>
      <c r="F1496" s="257">
        <f>ROUND('Plant input detail '!F1498*'WPB2.2 Plant detail-w slippage'!$P$2,0)</f>
        <v>-3500</v>
      </c>
      <c r="G1496" s="257">
        <f t="shared" ref="G1496:G1501" si="454">SUM(D1496:F1496)</f>
        <v>9362192.6500000004</v>
      </c>
      <c r="H1496" s="38"/>
      <c r="I1496" s="257">
        <f t="shared" si="448"/>
        <v>4673982.3</v>
      </c>
      <c r="J1496" s="1362">
        <f t="shared" si="449"/>
        <v>2.4400000000000002E-2</v>
      </c>
      <c r="K1496" s="173">
        <f t="shared" si="450"/>
        <v>19010</v>
      </c>
      <c r="L1496" s="38">
        <f t="shared" si="451"/>
        <v>3500</v>
      </c>
      <c r="M1496" s="257">
        <f>ROUND('Plant input detail '!M1498*'WPB2.2 Plant detail-w slippage'!$P$2,0)</f>
        <v>-200</v>
      </c>
      <c r="N1496" s="2227">
        <f t="shared" si="452"/>
        <v>4689292.3</v>
      </c>
    </row>
    <row r="1497" spans="1:14" x14ac:dyDescent="0.2">
      <c r="A1497" s="127">
        <f t="shared" si="453"/>
        <v>4</v>
      </c>
      <c r="B1497" s="123">
        <v>383</v>
      </c>
      <c r="C1497" s="52" t="s">
        <v>1054</v>
      </c>
      <c r="D1497" s="257">
        <f t="shared" si="447"/>
        <v>5701820.7599999998</v>
      </c>
      <c r="E1497" s="382">
        <f>ROUND('Plant input detail '!E1499*'WPB2.2 Plant detail-w slippage'!$P$2,0)</f>
        <v>22900</v>
      </c>
      <c r="F1497" s="257">
        <f>ROUND('Plant input detail '!F1499*'WPB2.2 Plant detail-w slippage'!$P$2,0)</f>
        <v>-2700</v>
      </c>
      <c r="G1497" s="257">
        <f t="shared" si="454"/>
        <v>5722020.7599999998</v>
      </c>
      <c r="H1497" s="38"/>
      <c r="I1497" s="257">
        <f t="shared" si="448"/>
        <v>1538708.41</v>
      </c>
      <c r="J1497" s="1362">
        <f t="shared" si="449"/>
        <v>2.7300000000000001E-2</v>
      </c>
      <c r="K1497" s="173">
        <f t="shared" si="450"/>
        <v>12995</v>
      </c>
      <c r="L1497" s="38">
        <f t="shared" si="451"/>
        <v>2700</v>
      </c>
      <c r="M1497" s="257">
        <f>ROUND('Plant input detail '!M1499*'WPB2.2 Plant detail-w slippage'!$P$2,0)</f>
        <v>-100</v>
      </c>
      <c r="N1497" s="2227">
        <f t="shared" si="452"/>
        <v>1548903.41</v>
      </c>
    </row>
    <row r="1498" spans="1:14" x14ac:dyDescent="0.2">
      <c r="A1498" s="127">
        <f t="shared" si="453"/>
        <v>5</v>
      </c>
      <c r="B1498" s="123">
        <v>384</v>
      </c>
      <c r="C1498" s="52" t="s">
        <v>1055</v>
      </c>
      <c r="D1498" s="257">
        <f t="shared" si="447"/>
        <v>2257522</v>
      </c>
      <c r="E1498" s="382">
        <f>ROUND('Plant input detail '!E1500*'WPB2.2 Plant detail-w slippage'!$P$2,0)</f>
        <v>0</v>
      </c>
      <c r="F1498" s="257">
        <f>ROUND('Plant input detail '!F1500*'WPB2.2 Plant detail-w slippage'!$P$2,0)</f>
        <v>0</v>
      </c>
      <c r="G1498" s="257">
        <f t="shared" si="454"/>
        <v>2257522</v>
      </c>
      <c r="H1498" s="38"/>
      <c r="I1498" s="257">
        <f t="shared" si="448"/>
        <v>1775028.73</v>
      </c>
      <c r="J1498" s="1362">
        <f t="shared" si="449"/>
        <v>1.01E-2</v>
      </c>
      <c r="K1498" s="173">
        <f t="shared" si="450"/>
        <v>1900</v>
      </c>
      <c r="L1498" s="38">
        <f t="shared" si="451"/>
        <v>0</v>
      </c>
      <c r="M1498" s="257">
        <f>ROUND('Plant input detail '!M1500*'WPB2.2 Plant detail-w slippage'!$P$2,0)</f>
        <v>0</v>
      </c>
      <c r="N1498" s="2227">
        <f t="shared" si="452"/>
        <v>1776928.73</v>
      </c>
    </row>
    <row r="1499" spans="1:14" x14ac:dyDescent="0.2">
      <c r="A1499" s="127">
        <f t="shared" si="453"/>
        <v>6</v>
      </c>
      <c r="B1499" s="123">
        <v>385</v>
      </c>
      <c r="C1499" s="52" t="s">
        <v>1056</v>
      </c>
      <c r="D1499" s="257">
        <f t="shared" si="447"/>
        <v>3283183.36</v>
      </c>
      <c r="E1499" s="382">
        <f>ROUND('Plant input detail '!E1501*'WPB2.2 Plant detail-w slippage'!$P$2,0)</f>
        <v>18100</v>
      </c>
      <c r="F1499" s="257">
        <f>ROUND('Plant input detail '!F1501*'WPB2.2 Plant detail-w slippage'!$P$2,0)</f>
        <v>-2200</v>
      </c>
      <c r="G1499" s="257">
        <f t="shared" si="454"/>
        <v>3299083.36</v>
      </c>
      <c r="H1499" s="38"/>
      <c r="I1499" s="257">
        <f t="shared" si="448"/>
        <v>927206.55</v>
      </c>
      <c r="J1499" s="1362">
        <f t="shared" si="449"/>
        <v>5.0799999999999998E-2</v>
      </c>
      <c r="K1499" s="173">
        <f t="shared" si="450"/>
        <v>13932</v>
      </c>
      <c r="L1499" s="38">
        <f t="shared" si="451"/>
        <v>2200</v>
      </c>
      <c r="M1499" s="257">
        <f>ROUND('Plant input detail '!M1501*'WPB2.2 Plant detail-w slippage'!$P$2,0)</f>
        <v>-100</v>
      </c>
      <c r="N1499" s="2227">
        <f t="shared" si="452"/>
        <v>938838.55</v>
      </c>
    </row>
    <row r="1500" spans="1:14" x14ac:dyDescent="0.2">
      <c r="A1500" s="127">
        <f t="shared" si="453"/>
        <v>7</v>
      </c>
      <c r="B1500" s="123">
        <v>387.2</v>
      </c>
      <c r="C1500" s="52" t="s">
        <v>1057</v>
      </c>
      <c r="D1500" s="257">
        <f t="shared" si="447"/>
        <v>0</v>
      </c>
      <c r="E1500" s="382">
        <f>ROUND('Plant input detail '!E1502*'WPB2.2 Plant detail-w slippage'!$P$2,0)</f>
        <v>0</v>
      </c>
      <c r="F1500" s="257">
        <f>ROUND('Plant input detail '!F1502*'WPB2.2 Plant detail-w slippage'!$P$2,0)</f>
        <v>0</v>
      </c>
      <c r="G1500" s="257">
        <f t="shared" si="454"/>
        <v>0</v>
      </c>
      <c r="H1500" s="38"/>
      <c r="I1500" s="257">
        <f t="shared" si="448"/>
        <v>-59912.03</v>
      </c>
      <c r="J1500" s="1362">
        <f t="shared" si="449"/>
        <v>0</v>
      </c>
      <c r="K1500" s="173">
        <f t="shared" si="450"/>
        <v>0</v>
      </c>
      <c r="L1500" s="38">
        <f t="shared" si="451"/>
        <v>0</v>
      </c>
      <c r="M1500" s="257">
        <f>ROUND('Plant input detail '!M1502*'WPB2.2 Plant detail-w slippage'!$P$2,0)</f>
        <v>0</v>
      </c>
      <c r="N1500" s="2227">
        <f t="shared" si="452"/>
        <v>-59912.03</v>
      </c>
    </row>
    <row r="1501" spans="1:14" x14ac:dyDescent="0.2">
      <c r="A1501" s="127">
        <f t="shared" si="453"/>
        <v>8</v>
      </c>
      <c r="B1501" s="123">
        <v>387.41</v>
      </c>
      <c r="C1501" s="52" t="s">
        <v>1058</v>
      </c>
      <c r="D1501" s="257">
        <f t="shared" si="447"/>
        <v>735770.76</v>
      </c>
      <c r="E1501" s="382">
        <f>ROUND('Plant input detail '!E1503*'WPB2.2 Plant detail-w slippage'!$P$2,0)</f>
        <v>0</v>
      </c>
      <c r="F1501" s="257">
        <f>ROUND('Plant input detail '!F1503*'WPB2.2 Plant detail-w slippage'!$P$2,0)</f>
        <v>0</v>
      </c>
      <c r="G1501" s="257">
        <f t="shared" si="454"/>
        <v>735770.76</v>
      </c>
      <c r="H1501" s="38"/>
      <c r="I1501" s="257">
        <f t="shared" si="448"/>
        <v>392936.95</v>
      </c>
      <c r="J1501" s="1362">
        <f t="shared" si="449"/>
        <v>3.7400000000000003E-2</v>
      </c>
      <c r="K1501" s="173">
        <f t="shared" si="450"/>
        <v>2293</v>
      </c>
      <c r="L1501" s="38">
        <f t="shared" si="451"/>
        <v>0</v>
      </c>
      <c r="M1501" s="257">
        <f>ROUND('Plant input detail '!M1503*'WPB2.2 Plant detail-w slippage'!$P$2,0)</f>
        <v>0</v>
      </c>
      <c r="N1501" s="2227">
        <f t="shared" si="452"/>
        <v>395229.95</v>
      </c>
    </row>
    <row r="1502" spans="1:14" x14ac:dyDescent="0.2">
      <c r="A1502" s="127">
        <f t="shared" si="453"/>
        <v>9</v>
      </c>
      <c r="B1502" s="123">
        <v>387.42</v>
      </c>
      <c r="C1502" s="52" t="s">
        <v>1059</v>
      </c>
      <c r="D1502" s="257">
        <f t="shared" si="447"/>
        <v>795186.58</v>
      </c>
      <c r="E1502" s="382">
        <f>ROUND('Plant input detail '!E1504*'WPB2.2 Plant detail-w slippage'!$P$2,0)</f>
        <v>0</v>
      </c>
      <c r="F1502" s="257">
        <f>ROUND('Plant input detail '!F1504*'WPB2.2 Plant detail-w slippage'!$P$2,0)</f>
        <v>0</v>
      </c>
      <c r="G1502" s="257">
        <f>SUM(D1502:F1502)</f>
        <v>795186.58</v>
      </c>
      <c r="H1502" s="38"/>
      <c r="I1502" s="257">
        <f t="shared" si="448"/>
        <v>559979.94999999995</v>
      </c>
      <c r="J1502" s="1362">
        <f t="shared" si="449"/>
        <v>3.7400000000000003E-2</v>
      </c>
      <c r="K1502" s="173">
        <f t="shared" si="450"/>
        <v>2478</v>
      </c>
      <c r="L1502" s="38">
        <f t="shared" si="451"/>
        <v>0</v>
      </c>
      <c r="M1502" s="257">
        <f>ROUND('Plant input detail '!M1504*'WPB2.2 Plant detail-w slippage'!$P$2,0)</f>
        <v>0</v>
      </c>
      <c r="N1502" s="2227">
        <f t="shared" si="452"/>
        <v>562457.94999999995</v>
      </c>
    </row>
    <row r="1503" spans="1:14" x14ac:dyDescent="0.2">
      <c r="A1503" s="127">
        <f t="shared" si="453"/>
        <v>10</v>
      </c>
      <c r="B1503" s="123">
        <v>387.44</v>
      </c>
      <c r="C1503" s="52" t="s">
        <v>1060</v>
      </c>
      <c r="D1503" s="257">
        <f t="shared" si="447"/>
        <v>143283.93</v>
      </c>
      <c r="E1503" s="382">
        <f>ROUND('Plant input detail '!E1505*'WPB2.2 Plant detail-w slippage'!$P$2,0)</f>
        <v>0</v>
      </c>
      <c r="F1503" s="257">
        <f>ROUND('Plant input detail '!F1505*'WPB2.2 Plant detail-w slippage'!$P$2,0)</f>
        <v>0</v>
      </c>
      <c r="G1503" s="257">
        <f>SUM(D1503:F1503)</f>
        <v>143283.93</v>
      </c>
      <c r="H1503" s="38"/>
      <c r="I1503" s="257">
        <f t="shared" si="448"/>
        <v>48289.55</v>
      </c>
      <c r="J1503" s="1362">
        <f t="shared" si="449"/>
        <v>3.7400000000000003E-2</v>
      </c>
      <c r="K1503" s="173">
        <f t="shared" si="450"/>
        <v>447</v>
      </c>
      <c r="L1503" s="38">
        <f t="shared" si="451"/>
        <v>0</v>
      </c>
      <c r="M1503" s="257">
        <f>ROUND('Plant input detail '!M1505*'WPB2.2 Plant detail-w slippage'!$P$2,0)</f>
        <v>0</v>
      </c>
      <c r="N1503" s="2227">
        <f t="shared" si="452"/>
        <v>48736.55</v>
      </c>
    </row>
    <row r="1504" spans="1:14" x14ac:dyDescent="0.2">
      <c r="A1504" s="127">
        <f t="shared" si="453"/>
        <v>11</v>
      </c>
      <c r="B1504" s="123">
        <v>387.45</v>
      </c>
      <c r="C1504" s="52" t="s">
        <v>1061</v>
      </c>
      <c r="D1504" s="257">
        <f t="shared" si="447"/>
        <v>3303604.66</v>
      </c>
      <c r="E1504" s="382">
        <f>ROUND('Plant input detail '!E1506*'WPB2.2 Plant detail-w slippage'!$P$2,0)</f>
        <v>83300</v>
      </c>
      <c r="F1504" s="257">
        <f>ROUND('Plant input detail '!F1506*'WPB2.2 Plant detail-w slippage'!$P$2,0)</f>
        <v>-10000</v>
      </c>
      <c r="G1504" s="257">
        <f>SUM(D1504:F1504)</f>
        <v>3376904.66</v>
      </c>
      <c r="H1504" s="38"/>
      <c r="I1504" s="257">
        <f t="shared" si="448"/>
        <v>558230.06000000006</v>
      </c>
      <c r="J1504" s="1362">
        <f t="shared" si="449"/>
        <v>3.7400000000000003E-2</v>
      </c>
      <c r="K1504" s="173">
        <f t="shared" si="450"/>
        <v>10410</v>
      </c>
      <c r="L1504" s="38">
        <f t="shared" si="451"/>
        <v>10000</v>
      </c>
      <c r="M1504" s="257">
        <f>ROUND('Plant input detail '!M1506*'WPB2.2 Plant detail-w slippage'!$P$2,0)</f>
        <v>0</v>
      </c>
      <c r="N1504" s="2227">
        <f t="shared" si="452"/>
        <v>558640.06000000006</v>
      </c>
    </row>
    <row r="1505" spans="1:14" x14ac:dyDescent="0.2">
      <c r="A1505" s="127">
        <f t="shared" si="453"/>
        <v>12</v>
      </c>
      <c r="B1505" s="123">
        <v>387.46</v>
      </c>
      <c r="C1505" s="52" t="s">
        <v>1062</v>
      </c>
      <c r="D1505" s="260">
        <f t="shared" si="447"/>
        <v>113644.47</v>
      </c>
      <c r="E1505" s="265">
        <f>ROUND('Plant input detail '!E1507*'WPB2.2 Plant detail-w slippage'!$P$2,0)</f>
        <v>0</v>
      </c>
      <c r="F1505" s="265">
        <f>ROUND('Plant input detail '!F1507*'WPB2.2 Plant detail-w slippage'!$P$2,0)</f>
        <v>0</v>
      </c>
      <c r="G1505" s="265">
        <f>SUM(D1505:F1505)</f>
        <v>113644.47</v>
      </c>
      <c r="H1505" s="264"/>
      <c r="I1505" s="260">
        <f t="shared" si="448"/>
        <v>113294.83</v>
      </c>
      <c r="J1505" s="1362">
        <f t="shared" si="449"/>
        <v>3.7400000000000003E-2</v>
      </c>
      <c r="K1505" s="260">
        <f t="shared" si="450"/>
        <v>354</v>
      </c>
      <c r="L1505" s="295">
        <f t="shared" si="451"/>
        <v>0</v>
      </c>
      <c r="M1505" s="265">
        <f>ROUND('Plant input detail '!M1507*'WPB2.2 Plant detail-w slippage'!$P$2,0)</f>
        <v>0</v>
      </c>
      <c r="N1505" s="2228">
        <f t="shared" si="452"/>
        <v>113648.83</v>
      </c>
    </row>
    <row r="1506" spans="1:14" x14ac:dyDescent="0.2">
      <c r="A1506" s="127">
        <f t="shared" si="453"/>
        <v>13</v>
      </c>
      <c r="B1506" s="252"/>
      <c r="C1506" s="32" t="s">
        <v>1063</v>
      </c>
      <c r="D1506" s="173">
        <f>SUM(D1494:D1505,D1454:D1475)</f>
        <v>412944792.37999994</v>
      </c>
      <c r="E1506" s="173">
        <f>SUM(E1494:E1505,E1454:E1475)</f>
        <v>1834166</v>
      </c>
      <c r="F1506" s="173">
        <f>SUM(F1494:F1505,F1454:F1475)</f>
        <v>-220000</v>
      </c>
      <c r="G1506" s="173">
        <f>SUM(G1494:G1505,G1454:G1475)</f>
        <v>414558958.37999994</v>
      </c>
      <c r="H1506" s="38"/>
      <c r="I1506" s="173">
        <f>SUM(I1494:I1505,I1454:I1475)</f>
        <v>144151619.4231579</v>
      </c>
      <c r="J1506" s="173"/>
      <c r="K1506" s="173">
        <f>SUM(K1494:K1505,K1454:K1475)</f>
        <v>1158136.0494736843</v>
      </c>
      <c r="L1506" s="173">
        <f>SUM(L1494:L1505,L1454:L1475)</f>
        <v>220000</v>
      </c>
      <c r="M1506" s="173">
        <f>SUM(M1494:M1505,M1454:M1475)</f>
        <v>-52600</v>
      </c>
      <c r="N1506" s="1361">
        <f>SUM(N1494:N1505,N1454:N1475)</f>
        <v>145037155.47263157</v>
      </c>
    </row>
    <row r="1507" spans="1:14" x14ac:dyDescent="0.2">
      <c r="B1507" s="252"/>
      <c r="D1507" s="38"/>
      <c r="E1507" s="173"/>
      <c r="F1507" s="173"/>
      <c r="G1507" s="38"/>
      <c r="H1507" s="38"/>
      <c r="I1507" s="181"/>
      <c r="J1507" s="173"/>
      <c r="K1507" s="173"/>
      <c r="L1507" s="38"/>
      <c r="M1507" s="173"/>
    </row>
    <row r="1508" spans="1:14" x14ac:dyDescent="0.2">
      <c r="A1508" s="127">
        <f>A1506+1</f>
        <v>14</v>
      </c>
      <c r="B1508" s="252"/>
      <c r="C1508" s="36" t="s">
        <v>737</v>
      </c>
      <c r="D1508" s="38"/>
      <c r="E1508" s="173"/>
      <c r="F1508" s="173"/>
      <c r="G1508" s="38"/>
      <c r="H1508" s="38"/>
      <c r="I1508" s="181"/>
      <c r="J1508" s="173"/>
      <c r="K1508" s="173"/>
      <c r="L1508" s="38"/>
      <c r="M1508" s="173"/>
    </row>
    <row r="1509" spans="1:14" x14ac:dyDescent="0.2">
      <c r="A1509" s="31">
        <f>A1508+1</f>
        <v>15</v>
      </c>
      <c r="B1509" s="123">
        <v>391.1</v>
      </c>
      <c r="C1509" s="52" t="s">
        <v>1064</v>
      </c>
      <c r="D1509" s="257">
        <f t="shared" ref="D1509:D1522" si="455">G1403</f>
        <v>713480.71</v>
      </c>
      <c r="E1509" s="382">
        <f>ROUND('Plant input detail '!E1511*'WPB2.2 Plant detail-w slippage'!$P$2,0)</f>
        <v>0</v>
      </c>
      <c r="F1509" s="257">
        <f>ROUND('Plant input detail '!F1511*'WPB2.2 Plant detail-w slippage'!$P$2,0)</f>
        <v>0</v>
      </c>
      <c r="G1509" s="257">
        <f t="shared" ref="G1509:G1522" si="456">SUM(D1509:F1509)</f>
        <v>713480.71</v>
      </c>
      <c r="H1509" s="38"/>
      <c r="I1509" s="257">
        <f t="shared" ref="I1509:I1522" si="457">N1403</f>
        <v>-41657.22</v>
      </c>
      <c r="J1509" s="1362">
        <f t="shared" ref="J1509:J1522" si="458">J1403</f>
        <v>0.05</v>
      </c>
      <c r="K1509" s="173">
        <f>ROUND((G1509+D1509)/2*J1509/12,0)</f>
        <v>2973</v>
      </c>
      <c r="L1509" s="38">
        <f t="shared" ref="L1509:L1522" si="459">-F1509</f>
        <v>0</v>
      </c>
      <c r="M1509" s="257">
        <f>ROUND('Plant input detail '!M1511*'WPB2.2 Plant detail-w slippage'!$P$2,0)</f>
        <v>0</v>
      </c>
      <c r="N1509" s="2227">
        <f t="shared" ref="N1509:N1522" si="460">I1509+K1509-L1509+M1509</f>
        <v>-38684.22</v>
      </c>
    </row>
    <row r="1510" spans="1:14" x14ac:dyDescent="0.2">
      <c r="A1510" s="31">
        <f t="shared" ref="A1510:A1523" si="461">A1509+1</f>
        <v>16</v>
      </c>
      <c r="B1510" s="123">
        <v>391.11</v>
      </c>
      <c r="C1510" s="52" t="s">
        <v>1065</v>
      </c>
      <c r="D1510" s="257">
        <f t="shared" si="455"/>
        <v>18815.57</v>
      </c>
      <c r="E1510" s="382">
        <f>ROUND('Plant input detail '!E1512*'WPB2.2 Plant detail-w slippage'!$P$2,0)</f>
        <v>0</v>
      </c>
      <c r="F1510" s="257">
        <f>ROUND('Plant input detail '!F1512*'WPB2.2 Plant detail-w slippage'!$P$2,0)</f>
        <v>0</v>
      </c>
      <c r="G1510" s="257">
        <f t="shared" si="456"/>
        <v>18815.57</v>
      </c>
      <c r="H1510" s="38"/>
      <c r="I1510" s="257">
        <f t="shared" si="457"/>
        <v>-11669.77</v>
      </c>
      <c r="J1510" s="1362">
        <f t="shared" si="458"/>
        <v>6.6699999999999995E-2</v>
      </c>
      <c r="K1510" s="173">
        <f>ROUND((G1510+D1510)/2*J1510/12,0)</f>
        <v>105</v>
      </c>
      <c r="L1510" s="38">
        <f t="shared" si="459"/>
        <v>0</v>
      </c>
      <c r="M1510" s="257">
        <f>ROUND('Plant input detail '!M1512*'WPB2.2 Plant detail-w slippage'!$P$2,0)</f>
        <v>0</v>
      </c>
      <c r="N1510" s="2227">
        <f t="shared" si="460"/>
        <v>-11564.77</v>
      </c>
    </row>
    <row r="1511" spans="1:14" x14ac:dyDescent="0.2">
      <c r="A1511" s="31">
        <f t="shared" si="461"/>
        <v>17</v>
      </c>
      <c r="B1511" s="123">
        <v>391.12</v>
      </c>
      <c r="C1511" s="52" t="s">
        <v>1066</v>
      </c>
      <c r="D1511" s="257">
        <f t="shared" si="455"/>
        <v>853483.41</v>
      </c>
      <c r="E1511" s="382">
        <f>ROUND('Plant input detail '!E1513*'WPB2.2 Plant detail-w slippage'!$P$2,0)</f>
        <v>630000</v>
      </c>
      <c r="F1511" s="257">
        <f>ROUND('Plant input detail '!F1513*'WPB2.2 Plant detail-w slippage'!$P$2,0)</f>
        <v>-75600</v>
      </c>
      <c r="G1511" s="257">
        <f t="shared" si="456"/>
        <v>1407883.4100000001</v>
      </c>
      <c r="H1511" s="38"/>
      <c r="I1511" s="257">
        <f t="shared" si="457"/>
        <v>732260.37</v>
      </c>
      <c r="J1511" s="1362">
        <f t="shared" si="458"/>
        <v>0.2</v>
      </c>
      <c r="K1511" s="173">
        <f>ROUND((G1511+D1511)/2*J1511/12,0)</f>
        <v>18845</v>
      </c>
      <c r="L1511" s="38">
        <f t="shared" si="459"/>
        <v>75600</v>
      </c>
      <c r="M1511" s="257">
        <f>ROUND('Plant input detail '!M1513*'WPB2.2 Plant detail-w slippage'!$P$2,0)</f>
        <v>0</v>
      </c>
      <c r="N1511" s="2227">
        <f t="shared" si="460"/>
        <v>675505.37</v>
      </c>
    </row>
    <row r="1512" spans="1:14" x14ac:dyDescent="0.2">
      <c r="A1512" s="31">
        <f t="shared" si="461"/>
        <v>18</v>
      </c>
      <c r="B1512" s="123">
        <v>392.2</v>
      </c>
      <c r="C1512" s="52" t="s">
        <v>1067</v>
      </c>
      <c r="D1512" s="257">
        <f t="shared" si="455"/>
        <v>95778</v>
      </c>
      <c r="E1512" s="382">
        <f>ROUND('Plant input detail '!E1514*'WPB2.2 Plant detail-w slippage'!$P$2,0)</f>
        <v>0</v>
      </c>
      <c r="F1512" s="257">
        <f>ROUND('Plant input detail '!F1514*'WPB2.2 Plant detail-w slippage'!$P$2,0)</f>
        <v>0</v>
      </c>
      <c r="G1512" s="257">
        <f t="shared" si="456"/>
        <v>95778</v>
      </c>
      <c r="H1512" s="38"/>
      <c r="I1512" s="257">
        <f t="shared" si="457"/>
        <v>24845.05</v>
      </c>
      <c r="J1512" s="1362">
        <f t="shared" si="458"/>
        <v>9.1499999999999998E-2</v>
      </c>
      <c r="K1512" s="173">
        <f>ROUND((G1512+D1512)/2*J1512/12,0)</f>
        <v>730</v>
      </c>
      <c r="L1512" s="38">
        <f t="shared" si="459"/>
        <v>0</v>
      </c>
      <c r="M1512" s="257">
        <f>ROUND('Plant input detail '!M1514*'WPB2.2 Plant detail-w slippage'!$P$2,0)</f>
        <v>0</v>
      </c>
      <c r="N1512" s="2227">
        <f t="shared" si="460"/>
        <v>25575.05</v>
      </c>
    </row>
    <row r="1513" spans="1:14" x14ac:dyDescent="0.2">
      <c r="A1513" s="31">
        <f t="shared" si="461"/>
        <v>19</v>
      </c>
      <c r="B1513" s="123">
        <v>392.21</v>
      </c>
      <c r="C1513" s="52" t="s">
        <v>1068</v>
      </c>
      <c r="D1513" s="257">
        <f t="shared" si="455"/>
        <v>24462.2</v>
      </c>
      <c r="E1513" s="382">
        <f>ROUND('Plant input detail '!E1515*'WPB2.2 Plant detail-w slippage'!$P$2,0)</f>
        <v>0</v>
      </c>
      <c r="F1513" s="257">
        <f>ROUND('Plant input detail '!F1515*'WPB2.2 Plant detail-w slippage'!$P$2,0)</f>
        <v>0</v>
      </c>
      <c r="G1513" s="257">
        <f t="shared" si="456"/>
        <v>24462.2</v>
      </c>
      <c r="H1513" s="38"/>
      <c r="I1513" s="257">
        <f t="shared" si="457"/>
        <v>5748.4</v>
      </c>
      <c r="J1513" s="1362">
        <f t="shared" si="458"/>
        <v>9.1499999999999998E-2</v>
      </c>
      <c r="K1513" s="173">
        <f t="shared" ref="K1513:K1522" si="462">ROUND((G1513+D1513)/2*J1513/12,0)</f>
        <v>187</v>
      </c>
      <c r="L1513" s="38">
        <f t="shared" si="459"/>
        <v>0</v>
      </c>
      <c r="M1513" s="257">
        <f>ROUND('Plant input detail '!M1515*'WPB2.2 Plant detail-w slippage'!$P$2,0)</f>
        <v>0</v>
      </c>
      <c r="N1513" s="2227">
        <f t="shared" si="460"/>
        <v>5935.4</v>
      </c>
    </row>
    <row r="1514" spans="1:14" x14ac:dyDescent="0.2">
      <c r="A1514" s="31">
        <f t="shared" si="461"/>
        <v>20</v>
      </c>
      <c r="B1514" s="123">
        <v>393</v>
      </c>
      <c r="C1514" s="52" t="s">
        <v>1069</v>
      </c>
      <c r="D1514" s="257">
        <f t="shared" si="455"/>
        <v>0</v>
      </c>
      <c r="E1514" s="382">
        <f>ROUND('Plant input detail '!E1516*'WPB2.2 Plant detail-w slippage'!$P$2,0)</f>
        <v>0</v>
      </c>
      <c r="F1514" s="257">
        <f>ROUND('Plant input detail '!F1516*'WPB2.2 Plant detail-w slippage'!$P$2,0)</f>
        <v>0</v>
      </c>
      <c r="G1514" s="257">
        <f t="shared" si="456"/>
        <v>0</v>
      </c>
      <c r="H1514" s="38"/>
      <c r="I1514" s="257">
        <f t="shared" si="457"/>
        <v>0</v>
      </c>
      <c r="J1514" s="1362" t="str">
        <f t="shared" si="458"/>
        <v>Amort.</v>
      </c>
      <c r="K1514" s="259">
        <v>0</v>
      </c>
      <c r="L1514" s="38">
        <f t="shared" si="459"/>
        <v>0</v>
      </c>
      <c r="M1514" s="257">
        <f>ROUND('Plant input detail '!M1516*'WPB2.2 Plant detail-w slippage'!$P$2,0)</f>
        <v>0</v>
      </c>
      <c r="N1514" s="2227">
        <f t="shared" si="460"/>
        <v>0</v>
      </c>
    </row>
    <row r="1515" spans="1:14" x14ac:dyDescent="0.2">
      <c r="A1515" s="31">
        <f t="shared" si="461"/>
        <v>21</v>
      </c>
      <c r="B1515" s="123">
        <v>394.1</v>
      </c>
      <c r="C1515" s="52" t="s">
        <v>1070</v>
      </c>
      <c r="D1515" s="257">
        <f t="shared" si="455"/>
        <v>24240.799999999999</v>
      </c>
      <c r="E1515" s="382">
        <f>ROUND('Plant input detail '!E1517*'WPB2.2 Plant detail-w slippage'!$P$2,0)</f>
        <v>0</v>
      </c>
      <c r="F1515" s="257">
        <f>ROUND('Plant input detail '!F1517*'WPB2.2 Plant detail-w slippage'!$P$2,0)</f>
        <v>0</v>
      </c>
      <c r="G1515" s="257">
        <f t="shared" si="456"/>
        <v>24240.799999999999</v>
      </c>
      <c r="H1515" s="38"/>
      <c r="I1515" s="257">
        <f t="shared" si="457"/>
        <v>14851.82</v>
      </c>
      <c r="J1515" s="1362">
        <f t="shared" si="458"/>
        <v>0.04</v>
      </c>
      <c r="K1515" s="173">
        <f t="shared" si="462"/>
        <v>81</v>
      </c>
      <c r="L1515" s="38">
        <f t="shared" si="459"/>
        <v>0</v>
      </c>
      <c r="M1515" s="257">
        <f>ROUND('Plant input detail '!M1517*'WPB2.2 Plant detail-w slippage'!$P$2,0)</f>
        <v>0</v>
      </c>
      <c r="N1515" s="2227">
        <f t="shared" si="460"/>
        <v>14932.82</v>
      </c>
    </row>
    <row r="1516" spans="1:14" x14ac:dyDescent="0.2">
      <c r="A1516" s="31">
        <f t="shared" si="461"/>
        <v>22</v>
      </c>
      <c r="B1516" s="123">
        <v>394.11</v>
      </c>
      <c r="C1516" s="52" t="s">
        <v>1071</v>
      </c>
      <c r="D1516" s="257">
        <f t="shared" si="455"/>
        <v>0</v>
      </c>
      <c r="E1516" s="382">
        <f>ROUND('Plant input detail '!E1518*'WPB2.2 Plant detail-w slippage'!$P$2,0)</f>
        <v>0</v>
      </c>
      <c r="F1516" s="257">
        <f>ROUND('Plant input detail '!F1518*'WPB2.2 Plant detail-w slippage'!$P$2,0)</f>
        <v>0</v>
      </c>
      <c r="G1516" s="257">
        <f t="shared" si="456"/>
        <v>0</v>
      </c>
      <c r="H1516" s="38"/>
      <c r="I1516" s="257">
        <f t="shared" si="457"/>
        <v>0</v>
      </c>
      <c r="J1516" s="1362">
        <f t="shared" si="458"/>
        <v>0</v>
      </c>
      <c r="K1516" s="259">
        <v>0</v>
      </c>
      <c r="L1516" s="38">
        <f t="shared" si="459"/>
        <v>0</v>
      </c>
      <c r="M1516" s="257">
        <f>ROUND('Plant input detail '!M1518*'WPB2.2 Plant detail-w slippage'!$P$2,0)</f>
        <v>0</v>
      </c>
      <c r="N1516" s="2227">
        <f t="shared" si="460"/>
        <v>0</v>
      </c>
    </row>
    <row r="1517" spans="1:14" x14ac:dyDescent="0.2">
      <c r="A1517" s="31">
        <f t="shared" si="461"/>
        <v>23</v>
      </c>
      <c r="B1517" s="123">
        <v>394.13</v>
      </c>
      <c r="C1517" s="251" t="s">
        <v>1072</v>
      </c>
      <c r="D1517" s="257">
        <f t="shared" si="455"/>
        <v>0</v>
      </c>
      <c r="E1517" s="382">
        <f>ROUND('Plant input detail '!E1519*'WPB2.2 Plant detail-w slippage'!$P$2,0)</f>
        <v>0</v>
      </c>
      <c r="F1517" s="257">
        <f>ROUND('Plant input detail '!F1519*'WPB2.2 Plant detail-w slippage'!$P$2,0)</f>
        <v>0</v>
      </c>
      <c r="G1517" s="257">
        <f t="shared" si="456"/>
        <v>0</v>
      </c>
      <c r="H1517" s="38"/>
      <c r="I1517" s="257">
        <f t="shared" si="457"/>
        <v>37937.360000000001</v>
      </c>
      <c r="J1517" s="1362" t="str">
        <f t="shared" si="458"/>
        <v>Amort.</v>
      </c>
      <c r="K1517" s="259">
        <v>0</v>
      </c>
      <c r="L1517" s="38">
        <f t="shared" si="459"/>
        <v>0</v>
      </c>
      <c r="M1517" s="257">
        <f>ROUND('Plant input detail '!M1519*'WPB2.2 Plant detail-w slippage'!$P$2,0)</f>
        <v>0</v>
      </c>
      <c r="N1517" s="2227">
        <f t="shared" si="460"/>
        <v>37937.360000000001</v>
      </c>
    </row>
    <row r="1518" spans="1:14" x14ac:dyDescent="0.2">
      <c r="A1518" s="31">
        <f t="shared" si="461"/>
        <v>24</v>
      </c>
      <c r="B1518" s="123">
        <v>394.2</v>
      </c>
      <c r="C1518" s="52" t="s">
        <v>1073</v>
      </c>
      <c r="D1518" s="257">
        <f t="shared" si="455"/>
        <v>0</v>
      </c>
      <c r="E1518" s="382">
        <f>ROUND('Plant input detail '!E1520*'WPB2.2 Plant detail-w slippage'!$P$2,0)</f>
        <v>0</v>
      </c>
      <c r="F1518" s="257">
        <f>ROUND('Plant input detail '!F1520*'WPB2.2 Plant detail-w slippage'!$P$2,0)</f>
        <v>0</v>
      </c>
      <c r="G1518" s="257">
        <f t="shared" si="456"/>
        <v>0</v>
      </c>
      <c r="H1518" s="38"/>
      <c r="I1518" s="257">
        <f t="shared" si="457"/>
        <v>185.21</v>
      </c>
      <c r="J1518" s="1362">
        <f t="shared" si="458"/>
        <v>0.04</v>
      </c>
      <c r="K1518" s="173">
        <f t="shared" si="462"/>
        <v>0</v>
      </c>
      <c r="L1518" s="38">
        <f t="shared" si="459"/>
        <v>0</v>
      </c>
      <c r="M1518" s="257">
        <f>ROUND('Plant input detail '!M1520*'WPB2.2 Plant detail-w slippage'!$P$2,0)</f>
        <v>0</v>
      </c>
      <c r="N1518" s="2227">
        <f t="shared" si="460"/>
        <v>185.21</v>
      </c>
    </row>
    <row r="1519" spans="1:14" x14ac:dyDescent="0.2">
      <c r="A1519" s="31">
        <f t="shared" si="461"/>
        <v>25</v>
      </c>
      <c r="B1519" s="123">
        <v>394.3</v>
      </c>
      <c r="C1519" s="52" t="s">
        <v>1074</v>
      </c>
      <c r="D1519" s="257">
        <f t="shared" si="455"/>
        <v>3087321.16</v>
      </c>
      <c r="E1519" s="382">
        <f>ROUND('Plant input detail '!E1521*'WPB2.2 Plant detail-w slippage'!$P$2,0)</f>
        <v>1600</v>
      </c>
      <c r="F1519" s="257">
        <f>ROUND('Plant input detail '!F1521*'WPB2.2 Plant detail-w slippage'!$P$2,0)</f>
        <v>-200</v>
      </c>
      <c r="G1519" s="257">
        <f t="shared" si="456"/>
        <v>3088721.16</v>
      </c>
      <c r="H1519" s="38"/>
      <c r="I1519" s="257">
        <f t="shared" si="457"/>
        <v>1319506.1499999999</v>
      </c>
      <c r="J1519" s="1362">
        <f t="shared" si="458"/>
        <v>0.04</v>
      </c>
      <c r="K1519" s="173">
        <f t="shared" si="462"/>
        <v>10293</v>
      </c>
      <c r="L1519" s="38">
        <f t="shared" si="459"/>
        <v>200</v>
      </c>
      <c r="M1519" s="257">
        <f>ROUND('Plant input detail '!M1521*'WPB2.2 Plant detail-w slippage'!$P$2,0)</f>
        <v>0</v>
      </c>
      <c r="N1519" s="2227">
        <f t="shared" si="460"/>
        <v>1329599.1499999999</v>
      </c>
    </row>
    <row r="1520" spans="1:14" x14ac:dyDescent="0.2">
      <c r="A1520" s="31">
        <f t="shared" si="461"/>
        <v>26</v>
      </c>
      <c r="B1520" s="123">
        <v>395</v>
      </c>
      <c r="C1520" s="52" t="s">
        <v>1075</v>
      </c>
      <c r="D1520" s="257">
        <f t="shared" si="455"/>
        <v>9257.77</v>
      </c>
      <c r="E1520" s="382">
        <f>ROUND('Plant input detail '!E1522*'WPB2.2 Plant detail-w slippage'!$P$2,0)</f>
        <v>0</v>
      </c>
      <c r="F1520" s="257">
        <f>ROUND('Plant input detail '!F1522*'WPB2.2 Plant detail-w slippage'!$P$2,0)</f>
        <v>0</v>
      </c>
      <c r="G1520" s="257">
        <f t="shared" si="456"/>
        <v>9257.77</v>
      </c>
      <c r="H1520" s="38"/>
      <c r="I1520" s="257">
        <f t="shared" si="457"/>
        <v>7646.59</v>
      </c>
      <c r="J1520" s="1362">
        <f t="shared" si="458"/>
        <v>0.05</v>
      </c>
      <c r="K1520" s="173">
        <f t="shared" si="462"/>
        <v>39</v>
      </c>
      <c r="L1520" s="38">
        <f t="shared" si="459"/>
        <v>0</v>
      </c>
      <c r="M1520" s="257">
        <f>ROUND('Plant input detail '!M1522*'WPB2.2 Plant detail-w slippage'!$P$2,0)</f>
        <v>0</v>
      </c>
      <c r="N1520" s="2227">
        <f t="shared" si="460"/>
        <v>7685.59</v>
      </c>
    </row>
    <row r="1521" spans="1:16" x14ac:dyDescent="0.2">
      <c r="A1521" s="31">
        <f t="shared" si="461"/>
        <v>27</v>
      </c>
      <c r="B1521" s="123">
        <v>396</v>
      </c>
      <c r="C1521" s="52" t="s">
        <v>1076</v>
      </c>
      <c r="D1521" s="257">
        <f t="shared" si="455"/>
        <v>253134.72</v>
      </c>
      <c r="E1521" s="382">
        <f>ROUND('Plant input detail '!E1523*'WPB2.2 Plant detail-w slippage'!$P$2,0)</f>
        <v>0</v>
      </c>
      <c r="F1521" s="257">
        <f>ROUND('Plant input detail '!F1523*'WPB2.2 Plant detail-w slippage'!$P$2,0)</f>
        <v>0</v>
      </c>
      <c r="G1521" s="257">
        <f t="shared" si="456"/>
        <v>253134.72</v>
      </c>
      <c r="H1521" s="38"/>
      <c r="I1521" s="257">
        <f t="shared" si="457"/>
        <v>200959.72</v>
      </c>
      <c r="J1521" s="1362">
        <f t="shared" si="458"/>
        <v>2.5899999999999999E-2</v>
      </c>
      <c r="K1521" s="173">
        <f t="shared" si="462"/>
        <v>546</v>
      </c>
      <c r="L1521" s="38">
        <f t="shared" si="459"/>
        <v>0</v>
      </c>
      <c r="M1521" s="257">
        <f>ROUND('Plant input detail '!M1523*'WPB2.2 Plant detail-w slippage'!$P$2,0)</f>
        <v>0</v>
      </c>
      <c r="N1521" s="2227">
        <f t="shared" si="460"/>
        <v>201505.72</v>
      </c>
    </row>
    <row r="1522" spans="1:16" x14ac:dyDescent="0.2">
      <c r="A1522" s="31">
        <f t="shared" si="461"/>
        <v>28</v>
      </c>
      <c r="B1522" s="123">
        <v>398</v>
      </c>
      <c r="C1522" s="52" t="s">
        <v>1077</v>
      </c>
      <c r="D1522" s="260">
        <f t="shared" si="455"/>
        <v>271161.94</v>
      </c>
      <c r="E1522" s="265">
        <f>ROUND('Plant input detail '!E1524*'WPB2.2 Plant detail-w slippage'!$P$2,0)</f>
        <v>4600</v>
      </c>
      <c r="F1522" s="260">
        <f>ROUND('Plant input detail '!F1524*'WPB2.2 Plant detail-w slippage'!$P$2,0)</f>
        <v>-600</v>
      </c>
      <c r="G1522" s="260">
        <f t="shared" si="456"/>
        <v>275161.94</v>
      </c>
      <c r="H1522" s="264"/>
      <c r="I1522" s="260">
        <f t="shared" si="457"/>
        <v>7310.59</v>
      </c>
      <c r="J1522" s="1362">
        <f t="shared" si="458"/>
        <v>6.6699999999999995E-2</v>
      </c>
      <c r="K1522" s="260">
        <f t="shared" si="462"/>
        <v>1518</v>
      </c>
      <c r="L1522" s="295">
        <f t="shared" si="459"/>
        <v>600</v>
      </c>
      <c r="M1522" s="260">
        <f>ROUND('Plant input detail '!M1524*'WPB2.2 Plant detail-w slippage'!$P$2,0)</f>
        <v>0</v>
      </c>
      <c r="N1522" s="2228">
        <f t="shared" si="460"/>
        <v>8228.59</v>
      </c>
    </row>
    <row r="1523" spans="1:16" x14ac:dyDescent="0.2">
      <c r="A1523" s="31">
        <f t="shared" si="461"/>
        <v>29</v>
      </c>
      <c r="C1523" s="32" t="s">
        <v>1078</v>
      </c>
      <c r="D1523" s="264">
        <f>SUM(D1509:D1522)</f>
        <v>5351136.2799999993</v>
      </c>
      <c r="E1523" s="176">
        <f>SUM(E1509:E1522)</f>
        <v>636200</v>
      </c>
      <c r="F1523" s="176">
        <f>SUM(F1509:F1522)</f>
        <v>-76400</v>
      </c>
      <c r="G1523" s="264">
        <f>SUM(G1509:G1522)</f>
        <v>5910936.2799999993</v>
      </c>
      <c r="H1523" s="264"/>
      <c r="I1523" s="264">
        <f>SUM(I1509:I1522)</f>
        <v>2297924.27</v>
      </c>
      <c r="J1523" s="1359"/>
      <c r="K1523" s="176">
        <f>SUM(K1509:K1522)</f>
        <v>35317</v>
      </c>
      <c r="L1523" s="264">
        <f>SUM(L1509:L1522)</f>
        <v>76400</v>
      </c>
      <c r="M1523" s="176">
        <f>SUM(M1509:M1522)</f>
        <v>0</v>
      </c>
      <c r="N1523" s="1359">
        <f>SUM(N1509:N1522)</f>
        <v>2256841.27</v>
      </c>
    </row>
    <row r="1524" spans="1:16" x14ac:dyDescent="0.2">
      <c r="D1524" s="38"/>
      <c r="E1524" s="173"/>
      <c r="F1524" s="173"/>
      <c r="G1524" s="38"/>
      <c r="H1524" s="38"/>
      <c r="I1524" s="173"/>
      <c r="J1524" s="1361"/>
      <c r="K1524" s="173"/>
      <c r="L1524" s="38"/>
      <c r="M1524" s="173"/>
    </row>
    <row r="1525" spans="1:16" x14ac:dyDescent="0.2">
      <c r="A1525" s="1805">
        <f>A1523+1</f>
        <v>30</v>
      </c>
      <c r="B1525" s="252"/>
      <c r="C1525" s="36" t="s">
        <v>2287</v>
      </c>
      <c r="D1525" s="38"/>
      <c r="E1525" s="173"/>
      <c r="F1525" s="173"/>
      <c r="G1525" s="38"/>
      <c r="H1525" s="38"/>
      <c r="I1525" s="181"/>
      <c r="J1525" s="173"/>
      <c r="K1525" s="173"/>
      <c r="L1525" s="38"/>
      <c r="M1525" s="173"/>
      <c r="P1525" s="279"/>
    </row>
    <row r="1526" spans="1:16" x14ac:dyDescent="0.2">
      <c r="A1526" s="31">
        <f>A1525+1</f>
        <v>31</v>
      </c>
      <c r="B1526" s="123">
        <v>378.21</v>
      </c>
      <c r="C1526" s="52" t="s">
        <v>2244</v>
      </c>
      <c r="D1526" s="257">
        <f>G1420</f>
        <v>-777092</v>
      </c>
      <c r="E1526" s="382">
        <f>ROUND('Plant input detail '!E1528*'WPB2.2 Plant detail-w slippage'!$P$2,0)</f>
        <v>0</v>
      </c>
      <c r="F1526" s="257">
        <f>ROUND('Plant input detail '!F1528*'WPB2.2 Plant detail-w slippage'!$P$2,0)</f>
        <v>0</v>
      </c>
      <c r="G1526" s="257">
        <f t="shared" ref="G1526" si="463">SUM(D1526:F1526)</f>
        <v>-777092</v>
      </c>
      <c r="H1526" s="264"/>
      <c r="I1526" s="257">
        <f>N1420</f>
        <v>-48870.779999999955</v>
      </c>
      <c r="J1526" s="296" t="s">
        <v>1094</v>
      </c>
      <c r="K1526" s="1334">
        <v>-2158.5833333333321</v>
      </c>
      <c r="L1526" s="38">
        <f t="shared" ref="L1526" si="464">-F1526</f>
        <v>0</v>
      </c>
      <c r="M1526" s="257">
        <f>ROUND('Plant input detail '!M1528*'WPB2.2 Plant detail-w slippage'!$P$2,0)</f>
        <v>0</v>
      </c>
      <c r="N1526" s="2227">
        <f t="shared" ref="N1526" si="465">I1526+K1526-L1526+M1526</f>
        <v>-51029.363333333284</v>
      </c>
      <c r="O1526" s="292"/>
    </row>
    <row r="1527" spans="1:16" x14ac:dyDescent="0.2">
      <c r="A1527" s="1723"/>
      <c r="D1527" s="38"/>
      <c r="E1527" s="173"/>
      <c r="F1527" s="173"/>
      <c r="G1527" s="38"/>
      <c r="H1527" s="38"/>
      <c r="I1527" s="173"/>
      <c r="J1527" s="1361"/>
      <c r="K1527" s="173"/>
      <c r="L1527" s="38"/>
      <c r="M1527" s="173"/>
    </row>
    <row r="1528" spans="1:16" x14ac:dyDescent="0.2">
      <c r="A1528" s="31">
        <f>A1526+1</f>
        <v>32</v>
      </c>
      <c r="C1528" s="32" t="s">
        <v>774</v>
      </c>
      <c r="D1528" s="40">
        <f>D1523+D1506+D1451+D1447+D1526</f>
        <v>424424391.36999989</v>
      </c>
      <c r="E1528" s="40">
        <f>E1523+E1506+E1451+E1447+E1526</f>
        <v>2658266</v>
      </c>
      <c r="F1528" s="40">
        <f>F1523+F1506+F1451+F1447+F1526</f>
        <v>-296400</v>
      </c>
      <c r="G1528" s="40">
        <f>G1523+G1506+G1451+G1447+G1526</f>
        <v>426786257.36999989</v>
      </c>
      <c r="H1528" s="38"/>
      <c r="I1528" s="40">
        <f>I1523+I1506+I1451+I1447+I1526</f>
        <v>149593606.90488738</v>
      </c>
      <c r="J1528" s="1363"/>
      <c r="K1528" s="40">
        <f>K1523+K1506+K1451+K1447+K1526</f>
        <v>1274942.0631964644</v>
      </c>
      <c r="L1528" s="40">
        <f>L1523+L1506+L1451+L1447+L1526</f>
        <v>296400</v>
      </c>
      <c r="M1528" s="40">
        <f>M1523+M1506+M1451+M1447+M1526</f>
        <v>-52600</v>
      </c>
      <c r="N1528" s="1363">
        <f>N1523+N1506+N1451+N1447+N1526</f>
        <v>150519548.96808383</v>
      </c>
    </row>
    <row r="1530" spans="1:16" x14ac:dyDescent="0.2">
      <c r="A1530" s="2079" t="str">
        <f>co</f>
        <v>COLUMBIA GAS OF KENTUCKY, INC.</v>
      </c>
      <c r="B1530" s="2079"/>
      <c r="C1530" s="2079"/>
      <c r="D1530" s="2079"/>
      <c r="E1530" s="2079"/>
      <c r="F1530" s="2079"/>
      <c r="G1530" s="2079"/>
      <c r="H1530" s="2079"/>
      <c r="I1530" s="2079"/>
      <c r="J1530" s="2079"/>
      <c r="K1530" s="2079"/>
      <c r="L1530" s="2079"/>
      <c r="M1530" s="2079"/>
      <c r="N1530" s="2079"/>
    </row>
    <row r="1531" spans="1:16" x14ac:dyDescent="0.2">
      <c r="A1531" s="2079" t="str">
        <f>case</f>
        <v>CASE NO. 2016 - 00162</v>
      </c>
      <c r="B1531" s="2079"/>
      <c r="C1531" s="2079"/>
      <c r="D1531" s="2079"/>
      <c r="E1531" s="2079"/>
      <c r="F1531" s="2079"/>
      <c r="G1531" s="2079"/>
      <c r="H1531" s="2079"/>
      <c r="I1531" s="2079"/>
      <c r="J1531" s="2079"/>
      <c r="K1531" s="2079"/>
      <c r="L1531" s="2079"/>
      <c r="M1531" s="2079"/>
      <c r="N1531" s="2079"/>
    </row>
    <row r="1532" spans="1:16" x14ac:dyDescent="0.2">
      <c r="A1532" s="2080" t="s">
        <v>1106</v>
      </c>
      <c r="B1532" s="2079"/>
      <c r="C1532" s="2079"/>
      <c r="D1532" s="2079"/>
      <c r="E1532" s="2079"/>
      <c r="F1532" s="2079"/>
      <c r="G1532" s="2079"/>
      <c r="H1532" s="2079"/>
      <c r="I1532" s="2079"/>
      <c r="J1532" s="2079"/>
      <c r="K1532" s="2079"/>
      <c r="L1532" s="2079"/>
      <c r="M1532" s="2079"/>
      <c r="N1532" s="2079"/>
    </row>
    <row r="1533" spans="1:16" x14ac:dyDescent="0.2">
      <c r="A1533" s="2081" t="s">
        <v>2142</v>
      </c>
      <c r="B1533" s="2085"/>
      <c r="C1533" s="2085"/>
      <c r="D1533" s="2085"/>
      <c r="E1533" s="2085"/>
      <c r="F1533" s="2085"/>
      <c r="G1533" s="2085"/>
      <c r="H1533" s="2085"/>
      <c r="I1533" s="2085"/>
      <c r="J1533" s="2085"/>
      <c r="K1533" s="2085"/>
      <c r="L1533" s="2085"/>
      <c r="M1533" s="2085"/>
      <c r="N1533" s="2085"/>
    </row>
    <row r="1535" spans="1:16" x14ac:dyDescent="0.2">
      <c r="A1535" s="285" t="str">
        <f>$A$6</f>
        <v>DATA:__X___BASE PERIOD__X___FORECASTED PERIOD</v>
      </c>
      <c r="C1535" s="171"/>
      <c r="I1535" s="32"/>
      <c r="N1535" s="1258" t="str">
        <f>$N$6</f>
        <v>WPB-2.2</v>
      </c>
    </row>
    <row r="1536" spans="1:16" x14ac:dyDescent="0.2">
      <c r="A1536" s="4" t="str">
        <f>$A$7</f>
        <v>TYPE OF FILING:___X____ORIGINAL________UPDATED</v>
      </c>
      <c r="I1536" s="32"/>
      <c r="N1536" s="2223" t="s">
        <v>1742</v>
      </c>
    </row>
    <row r="1537" spans="1:14" x14ac:dyDescent="0.2">
      <c r="A1537" s="1261" t="str">
        <f>$A$8</f>
        <v xml:space="preserve">WORKPAPER REFERENCE NO(S).: </v>
      </c>
      <c r="B1537" s="202"/>
      <c r="C1537" s="202"/>
      <c r="D1537" s="201"/>
      <c r="E1537" s="202"/>
      <c r="F1537" s="202"/>
      <c r="G1537" s="201"/>
      <c r="H1537" s="201"/>
      <c r="I1537" s="203"/>
      <c r="L1537" s="32"/>
      <c r="M1537" s="32"/>
      <c r="N1537" s="204" t="str">
        <f>SMK</f>
        <v>WITNESS:  S. M. KATKO</v>
      </c>
    </row>
    <row r="1538" spans="1:14" x14ac:dyDescent="0.2">
      <c r="A1538" s="200"/>
      <c r="B1538" s="201"/>
      <c r="C1538" s="201"/>
      <c r="D1538" s="201"/>
      <c r="E1538" s="202"/>
      <c r="F1538" s="202"/>
      <c r="G1538" s="201"/>
      <c r="H1538" s="201"/>
      <c r="I1538" s="203"/>
      <c r="J1538" s="1357"/>
      <c r="L1538" s="32"/>
      <c r="M1538" s="32"/>
    </row>
    <row r="1539" spans="1:14" x14ac:dyDescent="0.2">
      <c r="A1539" s="200"/>
      <c r="B1539" s="201"/>
      <c r="C1539" s="201"/>
      <c r="D1539" s="2082" t="s">
        <v>1088</v>
      </c>
      <c r="E1539" s="2082"/>
      <c r="F1539" s="2082"/>
      <c r="G1539" s="2082"/>
      <c r="H1539" s="201"/>
      <c r="I1539" s="2083" t="s">
        <v>1093</v>
      </c>
      <c r="J1539" s="2084"/>
      <c r="K1539" s="2084"/>
      <c r="L1539" s="2084"/>
      <c r="M1539" s="2084"/>
      <c r="N1539" s="2084"/>
    </row>
    <row r="1540" spans="1:14" x14ac:dyDescent="0.2">
      <c r="A1540" s="270"/>
      <c r="B1540" s="201"/>
      <c r="C1540" s="201"/>
      <c r="D1540" s="271" t="s">
        <v>1084</v>
      </c>
      <c r="E1540" s="202"/>
      <c r="F1540" s="202"/>
      <c r="G1540" s="269"/>
      <c r="H1540" s="269"/>
      <c r="I1540" s="261" t="s">
        <v>1089</v>
      </c>
      <c r="J1540" s="1358"/>
      <c r="M1540" s="32"/>
    </row>
    <row r="1541" spans="1:14" x14ac:dyDescent="0.2">
      <c r="A1541" s="30"/>
      <c r="D1541" s="261" t="s">
        <v>865</v>
      </c>
      <c r="G1541" s="261" t="s">
        <v>867</v>
      </c>
      <c r="H1541" s="268"/>
      <c r="I1541" s="261" t="s">
        <v>865</v>
      </c>
      <c r="J1541" s="1308" t="s">
        <v>956</v>
      </c>
      <c r="M1541" s="32"/>
      <c r="N1541" s="2225" t="s">
        <v>867</v>
      </c>
    </row>
    <row r="1542" spans="1:14" x14ac:dyDescent="0.2">
      <c r="A1542" s="261" t="s">
        <v>1080</v>
      </c>
      <c r="B1542" s="261" t="s">
        <v>1082</v>
      </c>
      <c r="D1542" s="261" t="s">
        <v>867</v>
      </c>
      <c r="G1542" s="262" t="s">
        <v>1087</v>
      </c>
      <c r="H1542" s="268"/>
      <c r="I1542" s="262" t="s">
        <v>867</v>
      </c>
      <c r="J1542" s="1308" t="s">
        <v>1090</v>
      </c>
      <c r="K1542" s="1308" t="s">
        <v>956</v>
      </c>
      <c r="M1542" s="262" t="s">
        <v>1092</v>
      </c>
      <c r="N1542" s="1259" t="s">
        <v>1087</v>
      </c>
    </row>
    <row r="1543" spans="1:14" x14ac:dyDescent="0.2">
      <c r="A1543" s="272" t="s">
        <v>1081</v>
      </c>
      <c r="B1543" s="272" t="s">
        <v>1081</v>
      </c>
      <c r="C1543" s="273" t="s">
        <v>1083</v>
      </c>
      <c r="D1543" s="298" t="str">
        <f>"04/30/2017"</f>
        <v>04/30/2017</v>
      </c>
      <c r="E1543" s="275" t="s">
        <v>1085</v>
      </c>
      <c r="F1543" s="275" t="s">
        <v>1086</v>
      </c>
      <c r="G1543" s="298" t="str">
        <f>"05/31/2017"</f>
        <v>05/31/2017</v>
      </c>
      <c r="H1543" s="268"/>
      <c r="I1543" s="274" t="str">
        <f>D1543</f>
        <v>04/30/2017</v>
      </c>
      <c r="J1543" s="275" t="s">
        <v>1091</v>
      </c>
      <c r="K1543" s="1327" t="s">
        <v>1090</v>
      </c>
      <c r="L1543" s="276" t="s">
        <v>1086</v>
      </c>
      <c r="M1543" s="276" t="s">
        <v>955</v>
      </c>
      <c r="N1543" s="2226" t="str">
        <f>G1543</f>
        <v>05/31/2017</v>
      </c>
    </row>
    <row r="1544" spans="1:14" x14ac:dyDescent="0.2">
      <c r="A1544" s="267"/>
      <c r="B1544" s="267"/>
      <c r="C1544" s="267"/>
      <c r="D1544" s="267" t="str">
        <f>"(1)"</f>
        <v>(1)</v>
      </c>
      <c r="E1544" s="267" t="str">
        <f>"(2)"</f>
        <v>(2)</v>
      </c>
      <c r="F1544" s="267" t="str">
        <f>"(3)"</f>
        <v>(3)</v>
      </c>
      <c r="G1544" s="267" t="str">
        <f>"(4)=(1+2+3)"</f>
        <v>(4)=(1+2+3)</v>
      </c>
      <c r="H1544" s="267"/>
      <c r="I1544" s="267" t="str">
        <f>"(5)"</f>
        <v>(5)</v>
      </c>
      <c r="J1544" s="1328" t="str">
        <f>"(6)"</f>
        <v>(6)</v>
      </c>
      <c r="K1544" s="1328" t="str">
        <f>"(7)=((1+4)/2*6/12))"</f>
        <v>(7)=((1+4)/2*6/12))</v>
      </c>
      <c r="L1544" s="267" t="str">
        <f>"(8)"</f>
        <v>(8)</v>
      </c>
      <c r="M1544" s="267" t="str">
        <f>"(9)"</f>
        <v>(9)</v>
      </c>
      <c r="N1544" s="204" t="str">
        <f>"(10)=(5+7-8+9)"</f>
        <v>(10)=(5+7-8+9)</v>
      </c>
    </row>
    <row r="1545" spans="1:14" x14ac:dyDescent="0.2">
      <c r="D1545" s="31" t="s">
        <v>639</v>
      </c>
      <c r="E1545" s="170" t="s">
        <v>639</v>
      </c>
      <c r="F1545" s="170" t="s">
        <v>639</v>
      </c>
      <c r="G1545" s="31" t="s">
        <v>639</v>
      </c>
      <c r="H1545" s="31"/>
      <c r="I1545" s="31" t="s">
        <v>639</v>
      </c>
      <c r="J1545" s="170" t="s">
        <v>639</v>
      </c>
      <c r="K1545" s="170" t="s">
        <v>639</v>
      </c>
      <c r="L1545" s="31" t="s">
        <v>639</v>
      </c>
      <c r="M1545" s="31" t="s">
        <v>639</v>
      </c>
      <c r="N1545" s="155" t="s">
        <v>639</v>
      </c>
    </row>
    <row r="1546" spans="1:14" x14ac:dyDescent="0.2">
      <c r="A1546" s="31">
        <v>1</v>
      </c>
      <c r="B1546" s="36" t="s">
        <v>1025</v>
      </c>
      <c r="C1546" s="34"/>
      <c r="M1546" s="32"/>
    </row>
    <row r="1547" spans="1:14" x14ac:dyDescent="0.2">
      <c r="A1547" s="31">
        <f>A1546+1</f>
        <v>2</v>
      </c>
      <c r="C1547" s="36" t="s">
        <v>697</v>
      </c>
      <c r="M1547" s="32"/>
    </row>
    <row r="1548" spans="1:14" x14ac:dyDescent="0.2">
      <c r="A1548" s="31">
        <f t="shared" ref="A1548:A1553" si="466">A1547+1</f>
        <v>3</v>
      </c>
      <c r="B1548" s="253">
        <v>301</v>
      </c>
      <c r="C1548" s="52" t="s">
        <v>1026</v>
      </c>
      <c r="D1548" s="257">
        <f>G1442</f>
        <v>521.20000000000005</v>
      </c>
      <c r="E1548" s="382">
        <f>ROUND('Plant input detail '!E1550*'WPB2.2 Plant detail-w slippage'!$P$2,0)</f>
        <v>0</v>
      </c>
      <c r="F1548" s="257">
        <f>ROUND('Plant input detail '!F1550*'WPB2.2 Plant detail-w slippage'!$P$2,0)</f>
        <v>0</v>
      </c>
      <c r="G1548" s="257">
        <f>SUM(D1548:F1548)</f>
        <v>521.20000000000005</v>
      </c>
      <c r="H1548" s="38"/>
      <c r="I1548" s="257">
        <f>N1442</f>
        <v>0</v>
      </c>
      <c r="J1548" s="296" t="s">
        <v>1094</v>
      </c>
      <c r="K1548" s="259">
        <v>0</v>
      </c>
      <c r="L1548" s="38">
        <f>-F1548</f>
        <v>0</v>
      </c>
      <c r="M1548" s="259">
        <v>0</v>
      </c>
      <c r="N1548" s="2227">
        <f>I1548+K1548-L1548+M1548</f>
        <v>0</v>
      </c>
    </row>
    <row r="1549" spans="1:14" x14ac:dyDescent="0.2">
      <c r="A1549" s="31">
        <f t="shared" si="466"/>
        <v>4</v>
      </c>
      <c r="B1549" s="253">
        <v>303</v>
      </c>
      <c r="C1549" s="52" t="s">
        <v>1027</v>
      </c>
      <c r="D1549" s="257">
        <f>G1443</f>
        <v>74347.509999999995</v>
      </c>
      <c r="E1549" s="382">
        <f>ROUND('Plant input detail '!E1551*'WPB2.2 Plant detail-w slippage'!$P$2,0)</f>
        <v>0</v>
      </c>
      <c r="F1549" s="257">
        <f>ROUND('Plant input detail '!F1551*'WPB2.2 Plant detail-w slippage'!$P$2,0)</f>
        <v>0</v>
      </c>
      <c r="G1549" s="257">
        <f>SUM(D1549:F1549)</f>
        <v>74347.509999999995</v>
      </c>
      <c r="H1549" s="38"/>
      <c r="I1549" s="257">
        <f>N1443</f>
        <v>48690.709999999955</v>
      </c>
      <c r="J1549" s="296" t="s">
        <v>1094</v>
      </c>
      <c r="K1549" s="257">
        <f>'WPB2.2a Intan Amort. w slippage'!K$127</f>
        <v>206.52</v>
      </c>
      <c r="L1549" s="38">
        <f>-F1549</f>
        <v>0</v>
      </c>
      <c r="M1549" s="259">
        <v>0</v>
      </c>
      <c r="N1549" s="2227">
        <f>I1549+K1549-L1549+M1549</f>
        <v>48897.229999999952</v>
      </c>
    </row>
    <row r="1550" spans="1:14" x14ac:dyDescent="0.2">
      <c r="A1550" s="31">
        <f t="shared" si="466"/>
        <v>5</v>
      </c>
      <c r="B1550" s="253">
        <v>303.10000000000002</v>
      </c>
      <c r="C1550" s="52" t="s">
        <v>1028</v>
      </c>
      <c r="D1550" s="257">
        <f>G1444</f>
        <v>0</v>
      </c>
      <c r="E1550" s="382">
        <f>ROUND('Plant input detail '!E1552*'WPB2.2 Plant detail-w slippage'!$P$2,0)</f>
        <v>0</v>
      </c>
      <c r="F1550" s="257">
        <f>ROUND('Plant input detail '!F1552*'WPB2.2 Plant detail-w slippage'!$P$2,0)</f>
        <v>0</v>
      </c>
      <c r="G1550" s="257">
        <f>SUM(D1550:F1550)</f>
        <v>0</v>
      </c>
      <c r="H1550" s="38"/>
      <c r="I1550" s="257">
        <f>N1444</f>
        <v>0</v>
      </c>
      <c r="J1550" s="296" t="s">
        <v>1094</v>
      </c>
      <c r="K1550" s="259">
        <v>0</v>
      </c>
      <c r="L1550" s="38">
        <f>-F1550</f>
        <v>0</v>
      </c>
      <c r="M1550" s="259">
        <v>0</v>
      </c>
      <c r="N1550" s="2227">
        <f>I1550+K1550-L1550+M1550</f>
        <v>0</v>
      </c>
    </row>
    <row r="1551" spans="1:14" x14ac:dyDescent="0.2">
      <c r="A1551" s="31">
        <f t="shared" si="466"/>
        <v>6</v>
      </c>
      <c r="B1551" s="253">
        <v>303.2</v>
      </c>
      <c r="C1551" s="52" t="s">
        <v>1029</v>
      </c>
      <c r="D1551" s="257">
        <f>G1445</f>
        <v>0</v>
      </c>
      <c r="E1551" s="382">
        <f>ROUND('Plant input detail '!E1553*'WPB2.2 Plant detail-w slippage'!$P$2,0)</f>
        <v>0</v>
      </c>
      <c r="F1551" s="257">
        <f>ROUND('Plant input detail '!F1553*'WPB2.2 Plant detail-w slippage'!$P$2,0)</f>
        <v>0</v>
      </c>
      <c r="G1551" s="257">
        <f>SUM(D1551:F1551)</f>
        <v>0</v>
      </c>
      <c r="H1551" s="38"/>
      <c r="I1551" s="257">
        <f>N1445</f>
        <v>0</v>
      </c>
      <c r="J1551" s="296" t="s">
        <v>1094</v>
      </c>
      <c r="K1551" s="259">
        <v>0</v>
      </c>
      <c r="L1551" s="38">
        <f>-F1551</f>
        <v>0</v>
      </c>
      <c r="M1551" s="259">
        <v>0</v>
      </c>
      <c r="N1551" s="2227">
        <f>I1551+K1551-L1551+M1551</f>
        <v>0</v>
      </c>
    </row>
    <row r="1552" spans="1:14" x14ac:dyDescent="0.2">
      <c r="A1552" s="31">
        <f t="shared" si="466"/>
        <v>7</v>
      </c>
      <c r="B1552" s="253">
        <v>303.3</v>
      </c>
      <c r="C1552" s="52" t="s">
        <v>1030</v>
      </c>
      <c r="D1552" s="260">
        <f>G1446</f>
        <v>7018586</v>
      </c>
      <c r="E1552" s="265">
        <f>ROUND('Plant input detail '!E1554*'WPB2.2 Plant detail-w slippage'!$P$2,0)</f>
        <v>0</v>
      </c>
      <c r="F1552" s="265">
        <f>ROUND('Plant input detail '!F1554*'WPB2.2 Plant detail-w slippage'!$P$2,0)</f>
        <v>0</v>
      </c>
      <c r="G1552" s="260">
        <f>SUM(D1552:F1552)</f>
        <v>7018586</v>
      </c>
      <c r="H1552" s="38"/>
      <c r="I1552" s="260">
        <f>N1446</f>
        <v>3227890.8787855874</v>
      </c>
      <c r="J1552" s="296" t="s">
        <v>1094</v>
      </c>
      <c r="K1552" s="260">
        <f>'WPB2.2a Intan Amort. w slippage'!K$216</f>
        <v>85006.077056113325</v>
      </c>
      <c r="L1552" s="295">
        <f>-F1552</f>
        <v>0</v>
      </c>
      <c r="M1552" s="263">
        <v>0</v>
      </c>
      <c r="N1552" s="2228">
        <f>I1552+K1552-L1552+M1552</f>
        <v>3312896.9558417005</v>
      </c>
    </row>
    <row r="1553" spans="1:14" x14ac:dyDescent="0.2">
      <c r="A1553" s="31">
        <f t="shared" si="466"/>
        <v>8</v>
      </c>
      <c r="B1553" s="253"/>
      <c r="C1553" s="52" t="s">
        <v>1031</v>
      </c>
      <c r="D1553" s="38">
        <f>SUM(D1548:D1552)</f>
        <v>7093454.71</v>
      </c>
      <c r="E1553" s="173">
        <f>SUM(E1548:E1552)</f>
        <v>0</v>
      </c>
      <c r="F1553" s="173">
        <f>SUM(F1548:F1552)</f>
        <v>0</v>
      </c>
      <c r="G1553" s="38">
        <f>SUM(G1548:G1552)</f>
        <v>7093454.71</v>
      </c>
      <c r="H1553" s="38"/>
      <c r="I1553" s="38">
        <f>SUM(I1548:I1552)</f>
        <v>3276581.5887855873</v>
      </c>
      <c r="J1553" s="1359"/>
      <c r="K1553" s="173">
        <f>SUM(K1548:K1552)</f>
        <v>85212.597056113329</v>
      </c>
      <c r="L1553" s="38">
        <f>SUM(L1548:L1552)</f>
        <v>0</v>
      </c>
      <c r="M1553" s="173">
        <f>SUM(M1548:M1552)</f>
        <v>0</v>
      </c>
      <c r="N1553" s="1361">
        <f>SUM(N1548:N1552)</f>
        <v>3361794.1858417005</v>
      </c>
    </row>
    <row r="1554" spans="1:14" x14ac:dyDescent="0.2">
      <c r="B1554" s="254"/>
      <c r="D1554" s="38"/>
      <c r="E1554" s="173"/>
      <c r="F1554" s="173"/>
      <c r="G1554" s="38"/>
      <c r="H1554" s="38"/>
      <c r="I1554" s="38"/>
      <c r="J1554" s="1359"/>
      <c r="K1554" s="173"/>
      <c r="L1554" s="38"/>
      <c r="M1554" s="173"/>
    </row>
    <row r="1555" spans="1:14" x14ac:dyDescent="0.2">
      <c r="A1555" s="31">
        <f>A1553+1</f>
        <v>9</v>
      </c>
      <c r="B1555" s="254"/>
      <c r="C1555" s="36" t="s">
        <v>704</v>
      </c>
      <c r="D1555" s="38"/>
      <c r="E1555" s="173"/>
      <c r="F1555" s="173"/>
      <c r="G1555" s="38"/>
      <c r="H1555" s="38"/>
      <c r="I1555" s="38"/>
      <c r="J1555" s="1359"/>
      <c r="K1555" s="173"/>
      <c r="L1555" s="38"/>
      <c r="M1555" s="173"/>
    </row>
    <row r="1556" spans="1:14" x14ac:dyDescent="0.2">
      <c r="A1556" s="31">
        <f>A1555+1</f>
        <v>10</v>
      </c>
      <c r="B1556" s="255">
        <v>304.10000000000002</v>
      </c>
      <c r="C1556" s="41" t="s">
        <v>1032</v>
      </c>
      <c r="D1556" s="260">
        <f>G1450</f>
        <v>0</v>
      </c>
      <c r="E1556" s="265">
        <f>ROUND('Plant input detail '!E1558*'WPB2.2 Plant detail-w slippage'!$P$2,0)</f>
        <v>0</v>
      </c>
      <c r="F1556" s="265">
        <f>ROUND('Plant input detail '!F1558*'WPB2.2 Plant detail-w slippage'!$P$2,0)</f>
        <v>0</v>
      </c>
      <c r="G1556" s="260">
        <f>SUM(D1556:F1556)</f>
        <v>0</v>
      </c>
      <c r="H1556" s="38"/>
      <c r="I1556" s="260">
        <f>N1450</f>
        <v>0</v>
      </c>
      <c r="J1556" s="1360" t="s">
        <v>1102</v>
      </c>
      <c r="K1556" s="266">
        <v>0</v>
      </c>
      <c r="L1556" s="295">
        <f>-F1556</f>
        <v>0</v>
      </c>
      <c r="M1556" s="263">
        <v>0</v>
      </c>
      <c r="N1556" s="2228">
        <f>I1556+K1556-L1556+M1556</f>
        <v>0</v>
      </c>
    </row>
    <row r="1557" spans="1:14" x14ac:dyDescent="0.2">
      <c r="A1557" s="31">
        <f>A1556+1</f>
        <v>11</v>
      </c>
      <c r="B1557" s="255"/>
      <c r="C1557" s="256" t="s">
        <v>1079</v>
      </c>
      <c r="D1557" s="38">
        <f>D1556</f>
        <v>0</v>
      </c>
      <c r="E1557" s="173">
        <f>E1556</f>
        <v>0</v>
      </c>
      <c r="F1557" s="173">
        <f>F1556</f>
        <v>0</v>
      </c>
      <c r="G1557" s="38">
        <f>G1556</f>
        <v>0</v>
      </c>
      <c r="H1557" s="38"/>
      <c r="I1557" s="38">
        <f>I1556</f>
        <v>0</v>
      </c>
      <c r="J1557" s="1361"/>
      <c r="K1557" s="173">
        <f>SUM(K1556)</f>
        <v>0</v>
      </c>
      <c r="L1557" s="38">
        <f>SUM(L1556)</f>
        <v>0</v>
      </c>
      <c r="M1557" s="173">
        <f>M1556</f>
        <v>0</v>
      </c>
      <c r="N1557" s="1361">
        <f>N1556</f>
        <v>0</v>
      </c>
    </row>
    <row r="1558" spans="1:14" x14ac:dyDescent="0.2">
      <c r="B1558" s="254"/>
      <c r="D1558" s="38"/>
      <c r="E1558" s="173"/>
      <c r="F1558" s="173"/>
      <c r="G1558" s="38"/>
      <c r="H1558" s="38"/>
      <c r="I1558" s="38"/>
      <c r="J1558" s="1361"/>
      <c r="K1558" s="173"/>
      <c r="L1558" s="38"/>
      <c r="M1558" s="173"/>
    </row>
    <row r="1559" spans="1:14" x14ac:dyDescent="0.2">
      <c r="A1559" s="31">
        <f>A1557+1</f>
        <v>12</v>
      </c>
      <c r="B1559" s="254"/>
      <c r="C1559" s="36" t="s">
        <v>707</v>
      </c>
      <c r="D1559" s="38"/>
      <c r="E1559" s="173"/>
      <c r="F1559" s="173"/>
      <c r="G1559" s="38"/>
      <c r="H1559" s="38"/>
      <c r="I1559" s="38"/>
      <c r="J1559" s="1361"/>
      <c r="K1559" s="173"/>
      <c r="L1559" s="38"/>
      <c r="M1559" s="173"/>
    </row>
    <row r="1560" spans="1:14" x14ac:dyDescent="0.2">
      <c r="A1560" s="31">
        <f>A1559+1</f>
        <v>13</v>
      </c>
      <c r="B1560" s="253">
        <v>374.1</v>
      </c>
      <c r="C1560" s="52" t="s">
        <v>1035</v>
      </c>
      <c r="D1560" s="257">
        <f t="shared" ref="D1560:D1570" si="467">G1454</f>
        <v>206</v>
      </c>
      <c r="E1560" s="382">
        <f>ROUND('Plant input detail '!E1562*'WPB2.2 Plant detail-w slippage'!$P$2,0)</f>
        <v>0</v>
      </c>
      <c r="F1560" s="257">
        <f>ROUND('Plant input detail '!F1562*'WPB2.2 Plant detail-w slippage'!$P$2,0)</f>
        <v>0</v>
      </c>
      <c r="G1560" s="257">
        <f>SUM(D1560:F1560)</f>
        <v>206</v>
      </c>
      <c r="H1560" s="38"/>
      <c r="I1560" s="257">
        <f t="shared" ref="I1560:I1570" si="468">N1454</f>
        <v>0</v>
      </c>
      <c r="J1560" s="1362" t="str">
        <f t="shared" ref="J1560:J1570" si="469">J1454</f>
        <v>Non-Dep.</v>
      </c>
      <c r="K1560" s="259">
        <v>0</v>
      </c>
      <c r="L1560" s="38">
        <f t="shared" ref="L1560:L1570" si="470">-F1560</f>
        <v>0</v>
      </c>
      <c r="M1560" s="257">
        <f>ROUND('Plant input detail '!M1562*'WPB2.2 Plant detail-w slippage'!$P$2,0)</f>
        <v>0</v>
      </c>
      <c r="N1560" s="2227">
        <f t="shared" ref="N1560:N1570" si="471">I1560+K1560-L1560+M1560</f>
        <v>0</v>
      </c>
    </row>
    <row r="1561" spans="1:14" x14ac:dyDescent="0.2">
      <c r="A1561" s="31">
        <f t="shared" ref="A1561:A1581" si="472">A1560+1</f>
        <v>14</v>
      </c>
      <c r="B1561" s="253">
        <v>374.2</v>
      </c>
      <c r="C1561" s="52" t="s">
        <v>1036</v>
      </c>
      <c r="D1561" s="257">
        <f t="shared" si="467"/>
        <v>877756.18</v>
      </c>
      <c r="E1561" s="382">
        <f>ROUND('Plant input detail '!E1563*'WPB2.2 Plant detail-w slippage'!$P$2,0)</f>
        <v>0</v>
      </c>
      <c r="F1561" s="257">
        <f>ROUND('Plant input detail '!F1563*'WPB2.2 Plant detail-w slippage'!$P$2,0)</f>
        <v>0</v>
      </c>
      <c r="G1561" s="257">
        <f t="shared" ref="G1561:G1570" si="473">SUM(D1561:F1561)</f>
        <v>877756.18</v>
      </c>
      <c r="H1561" s="38"/>
      <c r="I1561" s="257">
        <f t="shared" si="468"/>
        <v>-523.13</v>
      </c>
      <c r="J1561" s="1362" t="str">
        <f t="shared" si="469"/>
        <v>Non-Dep.</v>
      </c>
      <c r="K1561" s="259">
        <v>0</v>
      </c>
      <c r="L1561" s="38">
        <f t="shared" si="470"/>
        <v>0</v>
      </c>
      <c r="M1561" s="257">
        <f>ROUND('Plant input detail '!M1563*'WPB2.2 Plant detail-w slippage'!$P$2,0)</f>
        <v>0</v>
      </c>
      <c r="N1561" s="2227">
        <f t="shared" si="471"/>
        <v>-523.13</v>
      </c>
    </row>
    <row r="1562" spans="1:14" x14ac:dyDescent="0.2">
      <c r="A1562" s="31">
        <f t="shared" si="472"/>
        <v>15</v>
      </c>
      <c r="B1562" s="253">
        <v>374.4</v>
      </c>
      <c r="C1562" s="52" t="s">
        <v>1037</v>
      </c>
      <c r="D1562" s="257">
        <f t="shared" si="467"/>
        <v>661305.66</v>
      </c>
      <c r="E1562" s="382">
        <f>ROUND('Plant input detail '!E1564*'WPB2.2 Plant detail-w slippage'!$P$2,0)</f>
        <v>0</v>
      </c>
      <c r="F1562" s="257">
        <f>ROUND('Plant input detail '!F1564*'WPB2.2 Plant detail-w slippage'!$P$2,0)</f>
        <v>0</v>
      </c>
      <c r="G1562" s="257">
        <f t="shared" si="473"/>
        <v>661305.66</v>
      </c>
      <c r="H1562" s="38"/>
      <c r="I1562" s="257">
        <f t="shared" si="468"/>
        <v>182719.35999999999</v>
      </c>
      <c r="J1562" s="1362">
        <f t="shared" si="469"/>
        <v>1.7399999999999999E-2</v>
      </c>
      <c r="K1562" s="173">
        <f>ROUND((G1562+D1562)/2*J1562/12,0)</f>
        <v>959</v>
      </c>
      <c r="L1562" s="38">
        <f t="shared" si="470"/>
        <v>0</v>
      </c>
      <c r="M1562" s="257">
        <f>ROUND('Plant input detail '!M1564*'WPB2.2 Plant detail-w slippage'!$P$2,0)</f>
        <v>0</v>
      </c>
      <c r="N1562" s="2227">
        <f t="shared" si="471"/>
        <v>183678.36</v>
      </c>
    </row>
    <row r="1563" spans="1:14" x14ac:dyDescent="0.2">
      <c r="A1563" s="31">
        <f t="shared" si="472"/>
        <v>16</v>
      </c>
      <c r="B1563" s="253">
        <v>374.5</v>
      </c>
      <c r="C1563" s="52" t="s">
        <v>1038</v>
      </c>
      <c r="D1563" s="257">
        <f t="shared" si="467"/>
        <v>2717772.55</v>
      </c>
      <c r="E1563" s="382">
        <f>ROUND('Plant input detail '!E1565*'WPB2.2 Plant detail-w slippage'!$P$2,0)</f>
        <v>4800</v>
      </c>
      <c r="F1563" s="257">
        <f>ROUND('Plant input detail '!F1565*'WPB2.2 Plant detail-w slippage'!$P$2,0)</f>
        <v>-600</v>
      </c>
      <c r="G1563" s="257">
        <f t="shared" si="473"/>
        <v>2721972.55</v>
      </c>
      <c r="H1563" s="38"/>
      <c r="I1563" s="257">
        <f t="shared" si="468"/>
        <v>938580.23</v>
      </c>
      <c r="J1563" s="1362">
        <f t="shared" si="469"/>
        <v>1.29E-2</v>
      </c>
      <c r="K1563" s="173">
        <f t="shared" ref="K1563:K1568" si="474">ROUND((G1563+D1563)/2*J1563/12,0)</f>
        <v>2924</v>
      </c>
      <c r="L1563" s="38">
        <f t="shared" si="470"/>
        <v>600</v>
      </c>
      <c r="M1563" s="257">
        <f>ROUND('Plant input detail '!M1565*'WPB2.2 Plant detail-w slippage'!$P$2,0)</f>
        <v>0</v>
      </c>
      <c r="N1563" s="2227">
        <f t="shared" si="471"/>
        <v>940904.23</v>
      </c>
    </row>
    <row r="1564" spans="1:14" x14ac:dyDescent="0.2">
      <c r="A1564" s="31">
        <f t="shared" si="472"/>
        <v>17</v>
      </c>
      <c r="B1564" s="253">
        <v>375.2</v>
      </c>
      <c r="C1564" s="52" t="s">
        <v>1039</v>
      </c>
      <c r="D1564" s="257">
        <f t="shared" si="467"/>
        <v>2124.98</v>
      </c>
      <c r="E1564" s="382">
        <f>ROUND('Plant input detail '!E1566*'WPB2.2 Plant detail-w slippage'!$P$2,0)</f>
        <v>0</v>
      </c>
      <c r="F1564" s="257">
        <f>ROUND('Plant input detail '!F1566*'WPB2.2 Plant detail-w slippage'!$P$2,0)</f>
        <v>0</v>
      </c>
      <c r="G1564" s="257">
        <f t="shared" si="473"/>
        <v>2124.98</v>
      </c>
      <c r="H1564" s="38"/>
      <c r="I1564" s="257">
        <f t="shared" si="468"/>
        <v>2051.3199999999997</v>
      </c>
      <c r="J1564" s="1362">
        <f t="shared" si="469"/>
        <v>3.1800000000000002E-2</v>
      </c>
      <c r="K1564" s="173">
        <f t="shared" si="474"/>
        <v>6</v>
      </c>
      <c r="L1564" s="38">
        <f t="shared" si="470"/>
        <v>0</v>
      </c>
      <c r="M1564" s="257">
        <f>ROUND('Plant input detail '!M1566*'WPB2.2 Plant detail-w slippage'!$P$2,0)</f>
        <v>0</v>
      </c>
      <c r="N1564" s="2227">
        <f t="shared" si="471"/>
        <v>2057.3199999999997</v>
      </c>
    </row>
    <row r="1565" spans="1:14" x14ac:dyDescent="0.2">
      <c r="A1565" s="31">
        <f t="shared" si="472"/>
        <v>18</v>
      </c>
      <c r="B1565" s="253">
        <v>375.3</v>
      </c>
      <c r="C1565" s="52" t="s">
        <v>1040</v>
      </c>
      <c r="D1565" s="257">
        <f t="shared" si="467"/>
        <v>0</v>
      </c>
      <c r="E1565" s="382">
        <f>ROUND('Plant input detail '!E1567*'WPB2.2 Plant detail-w slippage'!$P$2,0)</f>
        <v>0</v>
      </c>
      <c r="F1565" s="257">
        <f>ROUND('Plant input detail '!F1567*'WPB2.2 Plant detail-w slippage'!$P$2,0)</f>
        <v>0</v>
      </c>
      <c r="G1565" s="257">
        <f t="shared" si="473"/>
        <v>0</v>
      </c>
      <c r="H1565" s="38"/>
      <c r="I1565" s="257">
        <f t="shared" si="468"/>
        <v>-77.66</v>
      </c>
      <c r="J1565" s="1362">
        <f t="shared" si="469"/>
        <v>3.1800000000000002E-2</v>
      </c>
      <c r="K1565" s="173">
        <f t="shared" si="474"/>
        <v>0</v>
      </c>
      <c r="L1565" s="38">
        <f t="shared" si="470"/>
        <v>0</v>
      </c>
      <c r="M1565" s="257">
        <f>ROUND('Plant input detail '!M1567*'WPB2.2 Plant detail-w slippage'!$P$2,0)</f>
        <v>0</v>
      </c>
      <c r="N1565" s="2227">
        <f t="shared" si="471"/>
        <v>-77.66</v>
      </c>
    </row>
    <row r="1566" spans="1:14" x14ac:dyDescent="0.2">
      <c r="A1566" s="31">
        <f t="shared" si="472"/>
        <v>19</v>
      </c>
      <c r="B1566" s="253">
        <v>375.4</v>
      </c>
      <c r="C1566" s="52" t="s">
        <v>1041</v>
      </c>
      <c r="D1566" s="257">
        <f t="shared" si="467"/>
        <v>2145330.02</v>
      </c>
      <c r="E1566" s="382">
        <f>ROUND('Plant input detail '!E1568*'WPB2.2 Plant detail-w slippage'!$P$2,0)</f>
        <v>20600</v>
      </c>
      <c r="F1566" s="257">
        <f>ROUND('Plant input detail '!F1568*'WPB2.2 Plant detail-w slippage'!$P$2,0)</f>
        <v>-2500</v>
      </c>
      <c r="G1566" s="257">
        <f t="shared" si="473"/>
        <v>2163430.02</v>
      </c>
      <c r="H1566" s="38"/>
      <c r="I1566" s="257">
        <f t="shared" si="468"/>
        <v>499520.37</v>
      </c>
      <c r="J1566" s="1362">
        <f t="shared" si="469"/>
        <v>3.1800000000000002E-2</v>
      </c>
      <c r="K1566" s="173">
        <f t="shared" si="474"/>
        <v>5709</v>
      </c>
      <c r="L1566" s="38">
        <f t="shared" si="470"/>
        <v>2500</v>
      </c>
      <c r="M1566" s="257">
        <f>ROUND('Plant input detail '!M1568*'WPB2.2 Plant detail-w slippage'!$P$2,0)</f>
        <v>-200</v>
      </c>
      <c r="N1566" s="2227">
        <f t="shared" si="471"/>
        <v>502529.37</v>
      </c>
    </row>
    <row r="1567" spans="1:14" x14ac:dyDescent="0.2">
      <c r="A1567" s="31">
        <f t="shared" si="472"/>
        <v>20</v>
      </c>
      <c r="B1567" s="253">
        <v>375.6</v>
      </c>
      <c r="C1567" s="52" t="s">
        <v>1042</v>
      </c>
      <c r="D1567" s="257">
        <f t="shared" si="467"/>
        <v>0</v>
      </c>
      <c r="E1567" s="382">
        <f>ROUND('Plant input detail '!E1569*'WPB2.2 Plant detail-w slippage'!$P$2,0)</f>
        <v>0</v>
      </c>
      <c r="F1567" s="257">
        <f>ROUND('Plant input detail '!F1569*'WPB2.2 Plant detail-w slippage'!$P$2,0)</f>
        <v>0</v>
      </c>
      <c r="G1567" s="257">
        <f t="shared" si="473"/>
        <v>0</v>
      </c>
      <c r="H1567" s="38"/>
      <c r="I1567" s="257">
        <f t="shared" si="468"/>
        <v>0.02</v>
      </c>
      <c r="J1567" s="1362">
        <f t="shared" si="469"/>
        <v>3.1800000000000002E-2</v>
      </c>
      <c r="K1567" s="173">
        <f t="shared" si="474"/>
        <v>0</v>
      </c>
      <c r="L1567" s="38">
        <f t="shared" si="470"/>
        <v>0</v>
      </c>
      <c r="M1567" s="257">
        <f>ROUND('Plant input detail '!M1569*'WPB2.2 Plant detail-w slippage'!$P$2,0)</f>
        <v>0</v>
      </c>
      <c r="N1567" s="2227">
        <f t="shared" si="471"/>
        <v>0.02</v>
      </c>
    </row>
    <row r="1568" spans="1:14" x14ac:dyDescent="0.2">
      <c r="A1568" s="31">
        <f t="shared" si="472"/>
        <v>21</v>
      </c>
      <c r="B1568" s="253">
        <v>375.7</v>
      </c>
      <c r="C1568" s="52" t="s">
        <v>1043</v>
      </c>
      <c r="D1568" s="257">
        <f t="shared" si="467"/>
        <v>8425550.2100000009</v>
      </c>
      <c r="E1568" s="382">
        <f>ROUND('Plant input detail '!E1570*'WPB2.2 Plant detail-w slippage'!$P$2,0)</f>
        <v>48300</v>
      </c>
      <c r="F1568" s="257">
        <f>ROUND('Plant input detail '!F1570*'WPB2.2 Plant detail-w slippage'!$P$2,0)</f>
        <v>-5800</v>
      </c>
      <c r="G1568" s="257">
        <f t="shared" si="473"/>
        <v>8468050.2100000009</v>
      </c>
      <c r="H1568" s="38"/>
      <c r="I1568" s="257">
        <f t="shared" si="468"/>
        <v>3352216.06</v>
      </c>
      <c r="J1568" s="1362">
        <f t="shared" si="469"/>
        <v>2.1299999999999999E-2</v>
      </c>
      <c r="K1568" s="173">
        <f t="shared" si="474"/>
        <v>14993</v>
      </c>
      <c r="L1568" s="38">
        <f t="shared" si="470"/>
        <v>5800</v>
      </c>
      <c r="M1568" s="257">
        <f>ROUND('Plant input detail '!M1570*'WPB2.2 Plant detail-w slippage'!$P$2,0)</f>
        <v>0</v>
      </c>
      <c r="N1568" s="2227">
        <f t="shared" si="471"/>
        <v>3361409.06</v>
      </c>
    </row>
    <row r="1569" spans="1:14" x14ac:dyDescent="0.2">
      <c r="A1569" s="31">
        <f t="shared" si="472"/>
        <v>22</v>
      </c>
      <c r="B1569" s="253">
        <v>375.71</v>
      </c>
      <c r="C1569" s="52" t="s">
        <v>1044</v>
      </c>
      <c r="D1569" s="257">
        <f t="shared" si="467"/>
        <v>259808.94</v>
      </c>
      <c r="E1569" s="382">
        <f>ROUND('Plant input detail '!E1571*'WPB2.2 Plant detail-w slippage'!$P$2,0)</f>
        <v>0</v>
      </c>
      <c r="F1569" s="257">
        <f>ROUND('Plant input detail '!F1571*'WPB2.2 Plant detail-w slippage'!$P$2,0)</f>
        <v>0</v>
      </c>
      <c r="G1569" s="257">
        <f t="shared" si="473"/>
        <v>259808.94</v>
      </c>
      <c r="H1569" s="38"/>
      <c r="I1569" s="257">
        <f t="shared" si="468"/>
        <v>193711.75263157912</v>
      </c>
      <c r="J1569" s="1362" t="str">
        <f t="shared" si="469"/>
        <v>Amort.</v>
      </c>
      <c r="K1569" s="258">
        <f>104653.88/38</f>
        <v>2754.0494736842106</v>
      </c>
      <c r="L1569" s="38">
        <f t="shared" si="470"/>
        <v>0</v>
      </c>
      <c r="M1569" s="257">
        <f>ROUND('Plant input detail '!M1571*'WPB2.2 Plant detail-w slippage'!$P$2,0)</f>
        <v>0</v>
      </c>
      <c r="N1569" s="2227">
        <f t="shared" si="471"/>
        <v>196465.80210526334</v>
      </c>
    </row>
    <row r="1570" spans="1:14" x14ac:dyDescent="0.2">
      <c r="A1570" s="31">
        <f t="shared" si="472"/>
        <v>23</v>
      </c>
      <c r="B1570" s="253">
        <v>375.8</v>
      </c>
      <c r="C1570" s="52" t="s">
        <v>1045</v>
      </c>
      <c r="D1570" s="257">
        <f t="shared" si="467"/>
        <v>0</v>
      </c>
      <c r="E1570" s="382">
        <f>ROUND('Plant input detail '!E1572*'WPB2.2 Plant detail-w slippage'!$P$2,0)</f>
        <v>0</v>
      </c>
      <c r="F1570" s="257">
        <f>ROUND('Plant input detail '!F1572*'WPB2.2 Plant detail-w slippage'!$P$2,0)</f>
        <v>0</v>
      </c>
      <c r="G1570" s="257">
        <f t="shared" si="473"/>
        <v>0</v>
      </c>
      <c r="H1570" s="38"/>
      <c r="I1570" s="257">
        <f t="shared" si="468"/>
        <v>0</v>
      </c>
      <c r="J1570" s="1362">
        <f t="shared" si="469"/>
        <v>0</v>
      </c>
      <c r="K1570" s="259">
        <v>0</v>
      </c>
      <c r="L1570" s="38">
        <f t="shared" si="470"/>
        <v>0</v>
      </c>
      <c r="M1570" s="257">
        <f>ROUND('Plant input detail '!M1572*'WPB2.2 Plant detail-w slippage'!$P$2,0)</f>
        <v>0</v>
      </c>
      <c r="N1570" s="2227">
        <f t="shared" si="471"/>
        <v>0</v>
      </c>
    </row>
    <row r="1571" spans="1:14" x14ac:dyDescent="0.2">
      <c r="A1571" s="31">
        <f>A1570+1</f>
        <v>24</v>
      </c>
      <c r="B1571" s="253">
        <v>376</v>
      </c>
      <c r="C1571" s="251" t="s">
        <v>1096</v>
      </c>
      <c r="D1571" s="257"/>
      <c r="E1571" s="258"/>
      <c r="F1571" s="259"/>
      <c r="G1571" s="257"/>
      <c r="H1571" s="38"/>
      <c r="I1571" s="181"/>
      <c r="J1571" s="1361"/>
      <c r="K1571" s="173"/>
      <c r="L1571" s="38"/>
      <c r="M1571" s="259"/>
    </row>
    <row r="1572" spans="1:14" x14ac:dyDescent="0.2">
      <c r="A1572" s="31"/>
      <c r="B1572" s="253"/>
      <c r="C1572" s="286" t="s">
        <v>1097</v>
      </c>
      <c r="D1572" s="257"/>
      <c r="E1572" s="258"/>
      <c r="F1572" s="259"/>
      <c r="G1572" s="257"/>
      <c r="H1572" s="38"/>
      <c r="I1572" s="257"/>
      <c r="J1572" s="1362"/>
      <c r="K1572" s="173"/>
      <c r="L1572" s="38"/>
      <c r="M1572" s="257"/>
      <c r="N1572" s="2227"/>
    </row>
    <row r="1573" spans="1:14" x14ac:dyDescent="0.2">
      <c r="A1573" s="31"/>
      <c r="B1573" s="253"/>
      <c r="C1573" s="286" t="s">
        <v>1098</v>
      </c>
      <c r="D1573" s="257"/>
      <c r="E1573" s="258"/>
      <c r="F1573" s="259"/>
      <c r="G1573" s="257"/>
      <c r="H1573" s="38"/>
      <c r="I1573" s="257"/>
      <c r="J1573" s="1362"/>
      <c r="K1573" s="173"/>
      <c r="L1573" s="38"/>
      <c r="M1573" s="257"/>
      <c r="N1573" s="2227"/>
    </row>
    <row r="1574" spans="1:14" x14ac:dyDescent="0.2">
      <c r="A1574" s="31"/>
      <c r="B1574" s="253"/>
      <c r="C1574" s="286" t="s">
        <v>1099</v>
      </c>
      <c r="D1574" s="257"/>
      <c r="E1574" s="258"/>
      <c r="F1574" s="259"/>
      <c r="G1574" s="257"/>
      <c r="H1574" s="38"/>
      <c r="I1574" s="257"/>
      <c r="J1574" s="1362"/>
      <c r="K1574" s="173"/>
      <c r="L1574" s="38"/>
      <c r="M1574" s="257"/>
      <c r="N1574" s="2227"/>
    </row>
    <row r="1575" spans="1:14" x14ac:dyDescent="0.2">
      <c r="A1575" s="31"/>
      <c r="B1575" s="253"/>
      <c r="C1575" s="286" t="s">
        <v>1100</v>
      </c>
      <c r="D1575" s="257"/>
      <c r="E1575" s="258"/>
      <c r="F1575" s="259"/>
      <c r="G1575" s="257"/>
      <c r="H1575" s="38"/>
      <c r="I1575" s="257"/>
      <c r="J1575" s="1362"/>
      <c r="K1575" s="173"/>
      <c r="L1575" s="38"/>
      <c r="M1575" s="257"/>
      <c r="N1575" s="2227"/>
    </row>
    <row r="1576" spans="1:14" x14ac:dyDescent="0.2">
      <c r="A1576" s="31"/>
      <c r="B1576" s="253"/>
      <c r="C1576" s="286" t="s">
        <v>1101</v>
      </c>
      <c r="D1576" s="257">
        <f t="shared" ref="D1576:D1581" si="475">G1470</f>
        <v>215804785.44</v>
      </c>
      <c r="E1576" s="382">
        <f>ROUND('Plant input detail '!E1578*'WPB2.2 Plant detail-w slippage'!$P$2,0)</f>
        <v>1219920</v>
      </c>
      <c r="F1576" s="257">
        <f>ROUND('Plant input detail '!F1578*'WPB2.2 Plant detail-w slippage'!$P$2,0)</f>
        <v>-146400</v>
      </c>
      <c r="G1576" s="257">
        <f t="shared" ref="G1576:G1581" si="476">SUM(D1576:F1576)</f>
        <v>216878305.44</v>
      </c>
      <c r="H1576" s="38"/>
      <c r="I1576" s="257">
        <f t="shared" ref="I1576:I1581" si="477">N1470</f>
        <v>58718389.609999999</v>
      </c>
      <c r="J1576" s="1362">
        <f t="shared" ref="J1576:J1581" si="478">J1470</f>
        <v>2.3E-2</v>
      </c>
      <c r="K1576" s="173">
        <f t="shared" ref="K1576:K1581" si="479">ROUND((G1576+D1576)/2*J1576/12,0)</f>
        <v>414655</v>
      </c>
      <c r="L1576" s="38">
        <f t="shared" ref="L1576:L1581" si="480">-F1576</f>
        <v>146400</v>
      </c>
      <c r="M1576" s="257">
        <f>ROUND('Plant input detail '!M1578*'WPB2.2 Plant detail-w slippage'!$P$2,0)</f>
        <v>-22000</v>
      </c>
      <c r="N1576" s="2227">
        <f t="shared" ref="N1576:N1581" si="481">I1576+K1576-L1576+M1576</f>
        <v>58964644.609999999</v>
      </c>
    </row>
    <row r="1577" spans="1:14" x14ac:dyDescent="0.2">
      <c r="A1577" s="31">
        <f>A1571+1</f>
        <v>25</v>
      </c>
      <c r="B1577" s="253">
        <v>378.1</v>
      </c>
      <c r="C1577" s="52" t="s">
        <v>1047</v>
      </c>
      <c r="D1577" s="257">
        <f t="shared" si="475"/>
        <v>518504.18</v>
      </c>
      <c r="E1577" s="382">
        <f>ROUND('Plant input detail '!E1579*'WPB2.2 Plant detail-w slippage'!$P$2,0)</f>
        <v>0</v>
      </c>
      <c r="F1577" s="257">
        <f>ROUND('Plant input detail '!F1579*'WPB2.2 Plant detail-w slippage'!$P$2,0)</f>
        <v>0</v>
      </c>
      <c r="G1577" s="257">
        <f t="shared" si="476"/>
        <v>518504.18</v>
      </c>
      <c r="H1577" s="38"/>
      <c r="I1577" s="257">
        <f t="shared" si="477"/>
        <v>369201.81</v>
      </c>
      <c r="J1577" s="1362">
        <f t="shared" si="478"/>
        <v>3.32E-2</v>
      </c>
      <c r="K1577" s="173">
        <f t="shared" si="479"/>
        <v>1435</v>
      </c>
      <c r="L1577" s="38">
        <f t="shared" si="480"/>
        <v>0</v>
      </c>
      <c r="M1577" s="257">
        <f>ROUND('Plant input detail '!M1579*'WPB2.2 Plant detail-w slippage'!$P$2,0)</f>
        <v>0</v>
      </c>
      <c r="N1577" s="2227">
        <f t="shared" si="481"/>
        <v>370636.81</v>
      </c>
    </row>
    <row r="1578" spans="1:14" x14ac:dyDescent="0.2">
      <c r="A1578" s="31">
        <f t="shared" si="472"/>
        <v>26</v>
      </c>
      <c r="B1578" s="253">
        <v>378.2</v>
      </c>
      <c r="C1578" s="52" t="s">
        <v>1048</v>
      </c>
      <c r="D1578" s="257">
        <f t="shared" si="475"/>
        <v>9836424</v>
      </c>
      <c r="E1578" s="382">
        <f>ROUND('Plant input detail '!E1580*'WPB2.2 Plant detail-w slippage'!$P$2,0)</f>
        <v>27200</v>
      </c>
      <c r="F1578" s="257">
        <f>ROUND('Plant input detail '!F1580*'WPB2.2 Plant detail-w slippage'!$P$2,0)</f>
        <v>-3300</v>
      </c>
      <c r="G1578" s="257">
        <f t="shared" si="476"/>
        <v>9860324</v>
      </c>
      <c r="H1578" s="38"/>
      <c r="I1578" s="257">
        <f t="shared" si="477"/>
        <v>3469414.91</v>
      </c>
      <c r="J1578" s="1362">
        <f t="shared" si="478"/>
        <v>3.32E-2</v>
      </c>
      <c r="K1578" s="173">
        <f t="shared" si="479"/>
        <v>27247</v>
      </c>
      <c r="L1578" s="38">
        <f t="shared" si="480"/>
        <v>3300</v>
      </c>
      <c r="M1578" s="257">
        <f>ROUND('Plant input detail '!M1580*'WPB2.2 Plant detail-w slippage'!$P$2,0)</f>
        <v>-200</v>
      </c>
      <c r="N1578" s="2227">
        <f t="shared" si="481"/>
        <v>3493161.91</v>
      </c>
    </row>
    <row r="1579" spans="1:14" x14ac:dyDescent="0.2">
      <c r="A1579" s="31">
        <f t="shared" si="472"/>
        <v>27</v>
      </c>
      <c r="B1579" s="253">
        <v>378.3</v>
      </c>
      <c r="C1579" s="52" t="s">
        <v>1049</v>
      </c>
      <c r="D1579" s="257">
        <f t="shared" si="475"/>
        <v>45443.08</v>
      </c>
      <c r="E1579" s="382">
        <f>ROUND('Plant input detail '!E1581*'WPB2.2 Plant detail-w slippage'!$P$2,0)</f>
        <v>0</v>
      </c>
      <c r="F1579" s="257">
        <f>ROUND('Plant input detail '!F1581*'WPB2.2 Plant detail-w slippage'!$P$2,0)</f>
        <v>0</v>
      </c>
      <c r="G1579" s="257">
        <f t="shared" si="476"/>
        <v>45443.08</v>
      </c>
      <c r="H1579" s="38"/>
      <c r="I1579" s="257">
        <f t="shared" si="477"/>
        <v>36382.04</v>
      </c>
      <c r="J1579" s="1362">
        <f t="shared" si="478"/>
        <v>3.32E-2</v>
      </c>
      <c r="K1579" s="173">
        <f t="shared" si="479"/>
        <v>126</v>
      </c>
      <c r="L1579" s="38">
        <f t="shared" si="480"/>
        <v>0</v>
      </c>
      <c r="M1579" s="257">
        <f>ROUND('Plant input detail '!M1581*'WPB2.2 Plant detail-w slippage'!$P$2,0)</f>
        <v>0</v>
      </c>
      <c r="N1579" s="2227">
        <f t="shared" si="481"/>
        <v>36508.04</v>
      </c>
    </row>
    <row r="1580" spans="1:14" x14ac:dyDescent="0.2">
      <c r="A1580" s="31">
        <f t="shared" si="472"/>
        <v>28</v>
      </c>
      <c r="B1580" s="253">
        <v>379.1</v>
      </c>
      <c r="C1580" s="52" t="s">
        <v>1050</v>
      </c>
      <c r="D1580" s="257">
        <f t="shared" si="475"/>
        <v>254900.59</v>
      </c>
      <c r="E1580" s="382">
        <f>ROUND('Plant input detail '!E1582*'WPB2.2 Plant detail-w slippage'!$P$2,0)</f>
        <v>0</v>
      </c>
      <c r="F1580" s="257">
        <f>ROUND('Plant input detail '!F1582*'WPB2.2 Plant detail-w slippage'!$P$2,0)</f>
        <v>0</v>
      </c>
      <c r="G1580" s="257">
        <f t="shared" si="476"/>
        <v>254900.59</v>
      </c>
      <c r="H1580" s="38"/>
      <c r="I1580" s="257">
        <f t="shared" si="477"/>
        <v>267730.57</v>
      </c>
      <c r="J1580" s="1362">
        <f t="shared" si="478"/>
        <v>6.0000000000000001E-3</v>
      </c>
      <c r="K1580" s="259">
        <v>0</v>
      </c>
      <c r="L1580" s="38">
        <f t="shared" si="480"/>
        <v>0</v>
      </c>
      <c r="M1580" s="257">
        <f>ROUND('Plant input detail '!M1582*'WPB2.2 Plant detail-w slippage'!$P$2,0)</f>
        <v>0</v>
      </c>
      <c r="N1580" s="2227">
        <f t="shared" si="481"/>
        <v>267730.57</v>
      </c>
    </row>
    <row r="1581" spans="1:14" x14ac:dyDescent="0.2">
      <c r="A1581" s="31">
        <f t="shared" si="472"/>
        <v>29</v>
      </c>
      <c r="B1581" s="253">
        <v>380</v>
      </c>
      <c r="C1581" s="52" t="s">
        <v>1051</v>
      </c>
      <c r="D1581" s="257">
        <f t="shared" si="475"/>
        <v>124596216.77</v>
      </c>
      <c r="E1581" s="382">
        <f>ROUND('Plant input detail '!E1583*'WPB2.2 Plant detail-w slippage'!$P$2,0)</f>
        <v>727146</v>
      </c>
      <c r="F1581" s="257">
        <f>ROUND('Plant input detail '!F1583*'WPB2.2 Plant detail-w slippage'!$P$2,0)</f>
        <v>-87300</v>
      </c>
      <c r="G1581" s="257">
        <f t="shared" si="476"/>
        <v>125236062.77</v>
      </c>
      <c r="H1581" s="38"/>
      <c r="I1581" s="257">
        <f t="shared" si="477"/>
        <v>60579278.520000003</v>
      </c>
      <c r="J1581" s="1362">
        <f t="shared" si="478"/>
        <v>5.0999999999999997E-2</v>
      </c>
      <c r="K1581" s="173">
        <f t="shared" si="479"/>
        <v>530894</v>
      </c>
      <c r="L1581" s="38">
        <f t="shared" si="480"/>
        <v>87300</v>
      </c>
      <c r="M1581" s="257">
        <f>ROUND('Plant input detail '!M1583*'WPB2.2 Plant detail-w slippage'!$P$2,0)</f>
        <v>-43600</v>
      </c>
      <c r="N1581" s="2227">
        <f t="shared" si="481"/>
        <v>60979272.520000003</v>
      </c>
    </row>
    <row r="1582" spans="1:14" x14ac:dyDescent="0.2">
      <c r="A1582" s="170"/>
      <c r="B1582" s="179"/>
      <c r="C1582" s="178"/>
      <c r="D1582" s="181"/>
      <c r="E1582" s="173"/>
      <c r="F1582" s="173"/>
      <c r="G1582" s="181"/>
      <c r="H1582" s="173"/>
      <c r="I1582" s="173"/>
      <c r="J1582" s="173"/>
      <c r="K1582" s="173"/>
      <c r="L1582" s="173"/>
      <c r="M1582" s="171"/>
      <c r="N1582" s="2229"/>
    </row>
    <row r="1583" spans="1:14" x14ac:dyDescent="0.2">
      <c r="A1583" s="2079" t="str">
        <f>co</f>
        <v>COLUMBIA GAS OF KENTUCKY, INC.</v>
      </c>
      <c r="B1583" s="2079"/>
      <c r="C1583" s="2079"/>
      <c r="D1583" s="2079"/>
      <c r="E1583" s="2079"/>
      <c r="F1583" s="2079"/>
      <c r="G1583" s="2079"/>
      <c r="H1583" s="2079"/>
      <c r="I1583" s="2079"/>
      <c r="J1583" s="2079"/>
      <c r="K1583" s="2079"/>
      <c r="L1583" s="2079"/>
      <c r="M1583" s="2079"/>
      <c r="N1583" s="2079"/>
    </row>
    <row r="1584" spans="1:14" x14ac:dyDescent="0.2">
      <c r="A1584" s="2079" t="str">
        <f>case</f>
        <v>CASE NO. 2016 - 00162</v>
      </c>
      <c r="B1584" s="2079"/>
      <c r="C1584" s="2079"/>
      <c r="D1584" s="2079"/>
      <c r="E1584" s="2079"/>
      <c r="F1584" s="2079"/>
      <c r="G1584" s="2079"/>
      <c r="H1584" s="2079"/>
      <c r="I1584" s="2079"/>
      <c r="J1584" s="2079"/>
      <c r="K1584" s="2079"/>
      <c r="L1584" s="2079"/>
      <c r="M1584" s="2079"/>
      <c r="N1584" s="2079"/>
    </row>
    <row r="1585" spans="1:14" x14ac:dyDescent="0.2">
      <c r="A1585" s="2080" t="s">
        <v>1106</v>
      </c>
      <c r="B1585" s="2079"/>
      <c r="C1585" s="2079"/>
      <c r="D1585" s="2079"/>
      <c r="E1585" s="2079"/>
      <c r="F1585" s="2079"/>
      <c r="G1585" s="2079"/>
      <c r="H1585" s="2079"/>
      <c r="I1585" s="2079"/>
      <c r="J1585" s="2079"/>
      <c r="K1585" s="2079"/>
      <c r="L1585" s="2079"/>
      <c r="M1585" s="2079"/>
      <c r="N1585" s="2079"/>
    </row>
    <row r="1586" spans="1:14" x14ac:dyDescent="0.2">
      <c r="A1586" s="2081" t="s">
        <v>2142</v>
      </c>
      <c r="B1586" s="2085"/>
      <c r="C1586" s="2085"/>
      <c r="D1586" s="2085"/>
      <c r="E1586" s="2085"/>
      <c r="F1586" s="2085"/>
      <c r="G1586" s="2085"/>
      <c r="H1586" s="2085"/>
      <c r="I1586" s="2085"/>
      <c r="J1586" s="2085"/>
      <c r="K1586" s="2085"/>
      <c r="L1586" s="2085"/>
      <c r="M1586" s="2085"/>
      <c r="N1586" s="2085"/>
    </row>
    <row r="1588" spans="1:14" x14ac:dyDescent="0.2">
      <c r="A1588" s="285" t="str">
        <f>$A$6</f>
        <v>DATA:__X___BASE PERIOD__X___FORECASTED PERIOD</v>
      </c>
      <c r="C1588" s="171"/>
      <c r="M1588" s="32"/>
      <c r="N1588" s="1258" t="str">
        <f>$N$6</f>
        <v>WPB-2.2</v>
      </c>
    </row>
    <row r="1589" spans="1:14" x14ac:dyDescent="0.2">
      <c r="A1589" s="4" t="str">
        <f>$A$7</f>
        <v>TYPE OF FILING:___X____ORIGINAL________UPDATED</v>
      </c>
      <c r="M1589" s="32"/>
      <c r="N1589" s="2223" t="s">
        <v>1743</v>
      </c>
    </row>
    <row r="1590" spans="1:14" x14ac:dyDescent="0.2">
      <c r="A1590" s="1261" t="str">
        <f>$A$8</f>
        <v xml:space="preserve">WORKPAPER REFERENCE NO(S).: </v>
      </c>
      <c r="B1590" s="202"/>
      <c r="C1590" s="202"/>
      <c r="D1590" s="201"/>
      <c r="E1590" s="202"/>
      <c r="F1590" s="202"/>
      <c r="G1590" s="201"/>
      <c r="H1590" s="201"/>
      <c r="M1590" s="203"/>
      <c r="N1590" s="204" t="str">
        <f>SMK</f>
        <v>WITNESS:  S. M. KATKO</v>
      </c>
    </row>
    <row r="1591" spans="1:14" x14ac:dyDescent="0.2">
      <c r="A1591" s="200"/>
      <c r="B1591" s="201"/>
      <c r="C1591" s="201"/>
      <c r="D1591" s="201"/>
      <c r="E1591" s="202"/>
      <c r="F1591" s="202"/>
      <c r="G1591" s="201"/>
      <c r="H1591" s="201"/>
      <c r="I1591" s="203"/>
      <c r="J1591" s="1357"/>
      <c r="L1591" s="32"/>
      <c r="M1591" s="32"/>
    </row>
    <row r="1592" spans="1:14" x14ac:dyDescent="0.2">
      <c r="A1592" s="200"/>
      <c r="B1592" s="201"/>
      <c r="C1592" s="201"/>
      <c r="D1592" s="2082" t="s">
        <v>1088</v>
      </c>
      <c r="E1592" s="2082"/>
      <c r="F1592" s="2082"/>
      <c r="G1592" s="2082"/>
      <c r="H1592" s="201"/>
      <c r="I1592" s="2083" t="s">
        <v>1093</v>
      </c>
      <c r="J1592" s="2084"/>
      <c r="K1592" s="2084"/>
      <c r="L1592" s="2084"/>
      <c r="M1592" s="2084"/>
      <c r="N1592" s="2084"/>
    </row>
    <row r="1593" spans="1:14" x14ac:dyDescent="0.2">
      <c r="A1593" s="270"/>
      <c r="B1593" s="201"/>
      <c r="C1593" s="201"/>
      <c r="D1593" s="271" t="s">
        <v>1084</v>
      </c>
      <c r="E1593" s="202"/>
      <c r="F1593" s="202"/>
      <c r="G1593" s="269"/>
      <c r="H1593" s="269"/>
      <c r="I1593" s="261" t="s">
        <v>1089</v>
      </c>
      <c r="J1593" s="1358"/>
      <c r="M1593" s="32"/>
    </row>
    <row r="1594" spans="1:14" x14ac:dyDescent="0.2">
      <c r="A1594" s="30"/>
      <c r="D1594" s="261" t="s">
        <v>865</v>
      </c>
      <c r="G1594" s="261" t="s">
        <v>867</v>
      </c>
      <c r="H1594" s="268"/>
      <c r="I1594" s="261" t="s">
        <v>865</v>
      </c>
      <c r="J1594" s="1308" t="s">
        <v>956</v>
      </c>
      <c r="M1594" s="32"/>
      <c r="N1594" s="2225" t="s">
        <v>867</v>
      </c>
    </row>
    <row r="1595" spans="1:14" x14ac:dyDescent="0.2">
      <c r="A1595" s="261" t="s">
        <v>1080</v>
      </c>
      <c r="B1595" s="261" t="s">
        <v>1082</v>
      </c>
      <c r="D1595" s="261" t="s">
        <v>867</v>
      </c>
      <c r="G1595" s="262" t="s">
        <v>1087</v>
      </c>
      <c r="H1595" s="268"/>
      <c r="I1595" s="262" t="s">
        <v>867</v>
      </c>
      <c r="J1595" s="1308" t="s">
        <v>1090</v>
      </c>
      <c r="K1595" s="1308" t="s">
        <v>956</v>
      </c>
      <c r="M1595" s="262" t="s">
        <v>1092</v>
      </c>
      <c r="N1595" s="1259" t="s">
        <v>1087</v>
      </c>
    </row>
    <row r="1596" spans="1:14" x14ac:dyDescent="0.2">
      <c r="A1596" s="272" t="s">
        <v>1081</v>
      </c>
      <c r="B1596" s="272" t="s">
        <v>1081</v>
      </c>
      <c r="C1596" s="273" t="s">
        <v>1083</v>
      </c>
      <c r="D1596" s="274" t="str">
        <f>D1543</f>
        <v>04/30/2017</v>
      </c>
      <c r="E1596" s="275" t="s">
        <v>1085</v>
      </c>
      <c r="F1596" s="275" t="s">
        <v>1086</v>
      </c>
      <c r="G1596" s="274" t="str">
        <f>G1543</f>
        <v>05/31/2017</v>
      </c>
      <c r="H1596" s="268"/>
      <c r="I1596" s="274" t="str">
        <f>D1596</f>
        <v>04/30/2017</v>
      </c>
      <c r="J1596" s="275" t="s">
        <v>1091</v>
      </c>
      <c r="K1596" s="1327" t="s">
        <v>1090</v>
      </c>
      <c r="L1596" s="276" t="s">
        <v>1086</v>
      </c>
      <c r="M1596" s="276" t="s">
        <v>955</v>
      </c>
      <c r="N1596" s="2226" t="str">
        <f>G1596</f>
        <v>05/31/2017</v>
      </c>
    </row>
    <row r="1597" spans="1:14" x14ac:dyDescent="0.2">
      <c r="A1597" s="267"/>
      <c r="B1597" s="267"/>
      <c r="C1597" s="267"/>
      <c r="D1597" s="267" t="str">
        <f>"(1)"</f>
        <v>(1)</v>
      </c>
      <c r="E1597" s="267" t="str">
        <f>"(2)"</f>
        <v>(2)</v>
      </c>
      <c r="F1597" s="267" t="str">
        <f>"(3)"</f>
        <v>(3)</v>
      </c>
      <c r="G1597" s="267" t="str">
        <f>"(4)=(1+2+3)"</f>
        <v>(4)=(1+2+3)</v>
      </c>
      <c r="H1597" s="267"/>
      <c r="I1597" s="267" t="str">
        <f>"(5)"</f>
        <v>(5)</v>
      </c>
      <c r="J1597" s="1328" t="str">
        <f>"(6)"</f>
        <v>(6)</v>
      </c>
      <c r="K1597" s="1328" t="str">
        <f>"(7)=((1+4)/2*6/12))"</f>
        <v>(7)=((1+4)/2*6/12))</v>
      </c>
      <c r="L1597" s="267" t="str">
        <f>"(8)"</f>
        <v>(8)</v>
      </c>
      <c r="M1597" s="267" t="str">
        <f>"(9)"</f>
        <v>(9)</v>
      </c>
      <c r="N1597" s="204" t="str">
        <f>"(10)=(5+7-8+9)"</f>
        <v>(10)=(5+7-8+9)</v>
      </c>
    </row>
    <row r="1598" spans="1:14" x14ac:dyDescent="0.2">
      <c r="D1598" s="31" t="s">
        <v>639</v>
      </c>
      <c r="E1598" s="170" t="s">
        <v>639</v>
      </c>
      <c r="F1598" s="170" t="s">
        <v>639</v>
      </c>
      <c r="G1598" s="31" t="s">
        <v>639</v>
      </c>
      <c r="H1598" s="31"/>
      <c r="I1598" s="31" t="s">
        <v>639</v>
      </c>
      <c r="J1598" s="170" t="s">
        <v>639</v>
      </c>
      <c r="K1598" s="170" t="s">
        <v>639</v>
      </c>
      <c r="L1598" s="31" t="s">
        <v>639</v>
      </c>
      <c r="M1598" s="31" t="s">
        <v>639</v>
      </c>
      <c r="N1598" s="155" t="s">
        <v>639</v>
      </c>
    </row>
    <row r="1599" spans="1:14" x14ac:dyDescent="0.2">
      <c r="C1599" s="36" t="s">
        <v>707</v>
      </c>
      <c r="D1599" s="31"/>
      <c r="E1599" s="170"/>
      <c r="F1599" s="170"/>
      <c r="G1599" s="31"/>
      <c r="J1599" s="170"/>
    </row>
    <row r="1600" spans="1:14" x14ac:dyDescent="0.2">
      <c r="A1600" s="127">
        <v>1</v>
      </c>
      <c r="B1600" s="123">
        <v>381</v>
      </c>
      <c r="C1600" s="52" t="s">
        <v>1052</v>
      </c>
      <c r="D1600" s="257">
        <f t="shared" ref="D1600:D1611" si="482">G1494</f>
        <v>13793808.550000001</v>
      </c>
      <c r="E1600" s="382">
        <f>ROUND('Plant input detail '!E1602*'WPB2.2 Plant detail-w slippage'!$P$2,0)</f>
        <v>38400</v>
      </c>
      <c r="F1600" s="257">
        <f>ROUND('Plant input detail '!F1602*'WPB2.2 Plant detail-w slippage'!$P$2,0)</f>
        <v>-4600</v>
      </c>
      <c r="G1600" s="257">
        <f>SUM(D1600:F1600)</f>
        <v>13827608.550000001</v>
      </c>
      <c r="H1600" s="38"/>
      <c r="I1600" s="257">
        <f t="shared" ref="I1600:I1611" si="483">N1494</f>
        <v>5071645.8899999997</v>
      </c>
      <c r="J1600" s="1362">
        <f t="shared" ref="J1600:J1611" si="484">J1494</f>
        <v>3.3000000000000002E-2</v>
      </c>
      <c r="K1600" s="173">
        <f t="shared" ref="K1600:K1611" si="485">ROUND((G1600+D1600)/2*J1600/12,0)</f>
        <v>37979</v>
      </c>
      <c r="L1600" s="38">
        <f t="shared" ref="L1600:L1611" si="486">-F1600</f>
        <v>4600</v>
      </c>
      <c r="M1600" s="257">
        <f>ROUND('Plant input detail '!M1602*'WPB2.2 Plant detail-w slippage'!$P$2,0)</f>
        <v>0</v>
      </c>
      <c r="N1600" s="2227">
        <f t="shared" ref="N1600:N1611" si="487">I1600+K1600-L1600+M1600</f>
        <v>5105024.8899999997</v>
      </c>
    </row>
    <row r="1601" spans="1:14" x14ac:dyDescent="0.2">
      <c r="A1601" s="127">
        <f>A1600+1</f>
        <v>2</v>
      </c>
      <c r="B1601" s="123">
        <v>381.1</v>
      </c>
      <c r="C1601" s="52" t="s">
        <v>1115</v>
      </c>
      <c r="D1601" s="257">
        <f t="shared" si="482"/>
        <v>8813412.0600000005</v>
      </c>
      <c r="E1601" s="382">
        <f>ROUND('Plant input detail '!E1603*'WPB2.2 Plant detail-w slippage'!$P$2,0)</f>
        <v>10600</v>
      </c>
      <c r="F1601" s="257">
        <f>ROUND('Plant input detail '!F1603*'WPB2.2 Plant detail-w slippage'!$P$2,0)</f>
        <v>-1300</v>
      </c>
      <c r="G1601" s="257">
        <f>SUM(D1601:F1601)</f>
        <v>8822712.0600000005</v>
      </c>
      <c r="H1601" s="38"/>
      <c r="I1601" s="257">
        <f t="shared" si="483"/>
        <v>784149.5</v>
      </c>
      <c r="J1601" s="1362">
        <f t="shared" si="484"/>
        <v>8.0600000000000005E-2</v>
      </c>
      <c r="K1601" s="173">
        <f t="shared" si="485"/>
        <v>59228</v>
      </c>
      <c r="L1601" s="38">
        <f t="shared" si="486"/>
        <v>1300</v>
      </c>
      <c r="M1601" s="257">
        <f>ROUND('Plant input detail '!M1603*'WPB2.2 Plant detail-w slippage'!$P$2,0)</f>
        <v>0</v>
      </c>
      <c r="N1601" s="2227">
        <f t="shared" si="487"/>
        <v>842077.5</v>
      </c>
    </row>
    <row r="1602" spans="1:14" x14ac:dyDescent="0.2">
      <c r="A1602" s="127">
        <f t="shared" ref="A1602:A1612" si="488">A1601+1</f>
        <v>3</v>
      </c>
      <c r="B1602" s="123">
        <v>382</v>
      </c>
      <c r="C1602" s="52" t="s">
        <v>1053</v>
      </c>
      <c r="D1602" s="257">
        <f t="shared" si="482"/>
        <v>9362192.6500000004</v>
      </c>
      <c r="E1602" s="382">
        <f>ROUND('Plant input detail '!E1604*'WPB2.2 Plant detail-w slippage'!$P$2,0)</f>
        <v>30000</v>
      </c>
      <c r="F1602" s="257">
        <f>ROUND('Plant input detail '!F1604*'WPB2.2 Plant detail-w slippage'!$P$2,0)</f>
        <v>-3600</v>
      </c>
      <c r="G1602" s="257">
        <f t="shared" ref="G1602:G1607" si="489">SUM(D1602:F1602)</f>
        <v>9388592.6500000004</v>
      </c>
      <c r="H1602" s="38"/>
      <c r="I1602" s="257">
        <f t="shared" si="483"/>
        <v>4689292.3</v>
      </c>
      <c r="J1602" s="1362">
        <f t="shared" si="484"/>
        <v>2.4400000000000002E-2</v>
      </c>
      <c r="K1602" s="173">
        <f t="shared" si="485"/>
        <v>19063</v>
      </c>
      <c r="L1602" s="38">
        <f t="shared" si="486"/>
        <v>3600</v>
      </c>
      <c r="M1602" s="257">
        <f>ROUND('Plant input detail '!M1604*'WPB2.2 Plant detail-w slippage'!$P$2,0)</f>
        <v>-200</v>
      </c>
      <c r="N1602" s="2227">
        <f t="shared" si="487"/>
        <v>4704555.3</v>
      </c>
    </row>
    <row r="1603" spans="1:14" x14ac:dyDescent="0.2">
      <c r="A1603" s="127">
        <f t="shared" si="488"/>
        <v>4</v>
      </c>
      <c r="B1603" s="123">
        <v>383</v>
      </c>
      <c r="C1603" s="52" t="s">
        <v>1054</v>
      </c>
      <c r="D1603" s="257">
        <f t="shared" si="482"/>
        <v>5722020.7599999998</v>
      </c>
      <c r="E1603" s="382">
        <f>ROUND('Plant input detail '!E1605*'WPB2.2 Plant detail-w slippage'!$P$2,0)</f>
        <v>19000</v>
      </c>
      <c r="F1603" s="257">
        <f>ROUND('Plant input detail '!F1605*'WPB2.2 Plant detail-w slippage'!$P$2,0)</f>
        <v>-2300</v>
      </c>
      <c r="G1603" s="257">
        <f t="shared" si="489"/>
        <v>5738720.7599999998</v>
      </c>
      <c r="H1603" s="38"/>
      <c r="I1603" s="257">
        <f t="shared" si="483"/>
        <v>1548903.41</v>
      </c>
      <c r="J1603" s="1362">
        <f t="shared" si="484"/>
        <v>2.7300000000000001E-2</v>
      </c>
      <c r="K1603" s="173">
        <f t="shared" si="485"/>
        <v>13037</v>
      </c>
      <c r="L1603" s="38">
        <f t="shared" si="486"/>
        <v>2300</v>
      </c>
      <c r="M1603" s="257">
        <f>ROUND('Plant input detail '!M1605*'WPB2.2 Plant detail-w slippage'!$P$2,0)</f>
        <v>-100</v>
      </c>
      <c r="N1603" s="2227">
        <f t="shared" si="487"/>
        <v>1559540.41</v>
      </c>
    </row>
    <row r="1604" spans="1:14" x14ac:dyDescent="0.2">
      <c r="A1604" s="127">
        <f t="shared" si="488"/>
        <v>5</v>
      </c>
      <c r="B1604" s="123">
        <v>384</v>
      </c>
      <c r="C1604" s="52" t="s">
        <v>1055</v>
      </c>
      <c r="D1604" s="257">
        <f t="shared" si="482"/>
        <v>2257522</v>
      </c>
      <c r="E1604" s="382">
        <f>ROUND('Plant input detail '!E1606*'WPB2.2 Plant detail-w slippage'!$P$2,0)</f>
        <v>0</v>
      </c>
      <c r="F1604" s="257">
        <f>ROUND('Plant input detail '!F1606*'WPB2.2 Plant detail-w slippage'!$P$2,0)</f>
        <v>0</v>
      </c>
      <c r="G1604" s="257">
        <f t="shared" si="489"/>
        <v>2257522</v>
      </c>
      <c r="H1604" s="38"/>
      <c r="I1604" s="257">
        <f t="shared" si="483"/>
        <v>1776928.73</v>
      </c>
      <c r="J1604" s="1362">
        <f t="shared" si="484"/>
        <v>1.01E-2</v>
      </c>
      <c r="K1604" s="173">
        <f t="shared" si="485"/>
        <v>1900</v>
      </c>
      <c r="L1604" s="38">
        <f t="shared" si="486"/>
        <v>0</v>
      </c>
      <c r="M1604" s="257">
        <f>ROUND('Plant input detail '!M1606*'WPB2.2 Plant detail-w slippage'!$P$2,0)</f>
        <v>0</v>
      </c>
      <c r="N1604" s="2227">
        <f t="shared" si="487"/>
        <v>1778828.73</v>
      </c>
    </row>
    <row r="1605" spans="1:14" x14ac:dyDescent="0.2">
      <c r="A1605" s="127">
        <f t="shared" si="488"/>
        <v>6</v>
      </c>
      <c r="B1605" s="123">
        <v>385</v>
      </c>
      <c r="C1605" s="52" t="s">
        <v>1056</v>
      </c>
      <c r="D1605" s="257">
        <f t="shared" si="482"/>
        <v>3299083.36</v>
      </c>
      <c r="E1605" s="382">
        <f>ROUND('Plant input detail '!E1607*'WPB2.2 Plant detail-w slippage'!$P$2,0)</f>
        <v>20600</v>
      </c>
      <c r="F1605" s="257">
        <f>ROUND('Plant input detail '!F1607*'WPB2.2 Plant detail-w slippage'!$P$2,0)</f>
        <v>-2500</v>
      </c>
      <c r="G1605" s="257">
        <f t="shared" si="489"/>
        <v>3317183.36</v>
      </c>
      <c r="H1605" s="38"/>
      <c r="I1605" s="257">
        <f t="shared" si="483"/>
        <v>938838.55</v>
      </c>
      <c r="J1605" s="1362">
        <f t="shared" si="484"/>
        <v>5.0799999999999998E-2</v>
      </c>
      <c r="K1605" s="173">
        <f t="shared" si="485"/>
        <v>14004</v>
      </c>
      <c r="L1605" s="38">
        <f t="shared" si="486"/>
        <v>2500</v>
      </c>
      <c r="M1605" s="257">
        <f>ROUND('Plant input detail '!M1607*'WPB2.2 Plant detail-w slippage'!$P$2,0)</f>
        <v>-100</v>
      </c>
      <c r="N1605" s="2227">
        <f t="shared" si="487"/>
        <v>950242.55</v>
      </c>
    </row>
    <row r="1606" spans="1:14" x14ac:dyDescent="0.2">
      <c r="A1606" s="127">
        <f t="shared" si="488"/>
        <v>7</v>
      </c>
      <c r="B1606" s="123">
        <v>387.2</v>
      </c>
      <c r="C1606" s="52" t="s">
        <v>1057</v>
      </c>
      <c r="D1606" s="257">
        <f t="shared" si="482"/>
        <v>0</v>
      </c>
      <c r="E1606" s="382">
        <f>ROUND('Plant input detail '!E1608*'WPB2.2 Plant detail-w slippage'!$P$2,0)</f>
        <v>0</v>
      </c>
      <c r="F1606" s="257">
        <f>ROUND('Plant input detail '!F1608*'WPB2.2 Plant detail-w slippage'!$P$2,0)</f>
        <v>0</v>
      </c>
      <c r="G1606" s="257">
        <f t="shared" si="489"/>
        <v>0</v>
      </c>
      <c r="H1606" s="38"/>
      <c r="I1606" s="257">
        <f t="shared" si="483"/>
        <v>-59912.03</v>
      </c>
      <c r="J1606" s="1362">
        <f t="shared" si="484"/>
        <v>0</v>
      </c>
      <c r="K1606" s="173">
        <f t="shared" si="485"/>
        <v>0</v>
      </c>
      <c r="L1606" s="38">
        <f t="shared" si="486"/>
        <v>0</v>
      </c>
      <c r="M1606" s="257">
        <f>ROUND('Plant input detail '!M1608*'WPB2.2 Plant detail-w slippage'!$P$2,0)</f>
        <v>0</v>
      </c>
      <c r="N1606" s="2227">
        <f t="shared" si="487"/>
        <v>-59912.03</v>
      </c>
    </row>
    <row r="1607" spans="1:14" x14ac:dyDescent="0.2">
      <c r="A1607" s="127">
        <f t="shared" si="488"/>
        <v>8</v>
      </c>
      <c r="B1607" s="123">
        <v>387.41</v>
      </c>
      <c r="C1607" s="52" t="s">
        <v>1058</v>
      </c>
      <c r="D1607" s="257">
        <f t="shared" si="482"/>
        <v>735770.76</v>
      </c>
      <c r="E1607" s="382">
        <f>ROUND('Plant input detail '!E1609*'WPB2.2 Plant detail-w slippage'!$P$2,0)</f>
        <v>0</v>
      </c>
      <c r="F1607" s="257">
        <f>ROUND('Plant input detail '!F1609*'WPB2.2 Plant detail-w slippage'!$P$2,0)</f>
        <v>0</v>
      </c>
      <c r="G1607" s="257">
        <f t="shared" si="489"/>
        <v>735770.76</v>
      </c>
      <c r="H1607" s="38"/>
      <c r="I1607" s="257">
        <f t="shared" si="483"/>
        <v>395229.95</v>
      </c>
      <c r="J1607" s="1362">
        <f t="shared" si="484"/>
        <v>3.7400000000000003E-2</v>
      </c>
      <c r="K1607" s="173">
        <f t="shared" si="485"/>
        <v>2293</v>
      </c>
      <c r="L1607" s="38">
        <f t="shared" si="486"/>
        <v>0</v>
      </c>
      <c r="M1607" s="257">
        <f>ROUND('Plant input detail '!M1609*'WPB2.2 Plant detail-w slippage'!$P$2,0)</f>
        <v>0</v>
      </c>
      <c r="N1607" s="2227">
        <f t="shared" si="487"/>
        <v>397522.95</v>
      </c>
    </row>
    <row r="1608" spans="1:14" x14ac:dyDescent="0.2">
      <c r="A1608" s="127">
        <f t="shared" si="488"/>
        <v>9</v>
      </c>
      <c r="B1608" s="123">
        <v>387.42</v>
      </c>
      <c r="C1608" s="52" t="s">
        <v>1059</v>
      </c>
      <c r="D1608" s="257">
        <f t="shared" si="482"/>
        <v>795186.58</v>
      </c>
      <c r="E1608" s="382">
        <f>ROUND('Plant input detail '!E1610*'WPB2.2 Plant detail-w slippage'!$P$2,0)</f>
        <v>0</v>
      </c>
      <c r="F1608" s="257">
        <f>ROUND('Plant input detail '!F1610*'WPB2.2 Plant detail-w slippage'!$P$2,0)</f>
        <v>0</v>
      </c>
      <c r="G1608" s="257">
        <f>SUM(D1608:F1608)</f>
        <v>795186.58</v>
      </c>
      <c r="H1608" s="38"/>
      <c r="I1608" s="257">
        <f t="shared" si="483"/>
        <v>562457.94999999995</v>
      </c>
      <c r="J1608" s="1362">
        <f t="shared" si="484"/>
        <v>3.7400000000000003E-2</v>
      </c>
      <c r="K1608" s="173">
        <f t="shared" si="485"/>
        <v>2478</v>
      </c>
      <c r="L1608" s="38">
        <f t="shared" si="486"/>
        <v>0</v>
      </c>
      <c r="M1608" s="257">
        <f>ROUND('Plant input detail '!M1610*'WPB2.2 Plant detail-w slippage'!$P$2,0)</f>
        <v>0</v>
      </c>
      <c r="N1608" s="2227">
        <f t="shared" si="487"/>
        <v>564935.94999999995</v>
      </c>
    </row>
    <row r="1609" spans="1:14" x14ac:dyDescent="0.2">
      <c r="A1609" s="127">
        <f t="shared" si="488"/>
        <v>10</v>
      </c>
      <c r="B1609" s="123">
        <v>387.44</v>
      </c>
      <c r="C1609" s="52" t="s">
        <v>1060</v>
      </c>
      <c r="D1609" s="257">
        <f t="shared" si="482"/>
        <v>143283.93</v>
      </c>
      <c r="E1609" s="382">
        <f>ROUND('Plant input detail '!E1611*'WPB2.2 Plant detail-w slippage'!$P$2,0)</f>
        <v>0</v>
      </c>
      <c r="F1609" s="257">
        <f>ROUND('Plant input detail '!F1611*'WPB2.2 Plant detail-w slippage'!$P$2,0)</f>
        <v>0</v>
      </c>
      <c r="G1609" s="257">
        <f>SUM(D1609:F1609)</f>
        <v>143283.93</v>
      </c>
      <c r="H1609" s="38"/>
      <c r="I1609" s="257">
        <f t="shared" si="483"/>
        <v>48736.55</v>
      </c>
      <c r="J1609" s="1362">
        <f t="shared" si="484"/>
        <v>3.7400000000000003E-2</v>
      </c>
      <c r="K1609" s="173">
        <f t="shared" si="485"/>
        <v>447</v>
      </c>
      <c r="L1609" s="38">
        <f t="shared" si="486"/>
        <v>0</v>
      </c>
      <c r="M1609" s="257">
        <f>ROUND('Plant input detail '!M1611*'WPB2.2 Plant detail-w slippage'!$P$2,0)</f>
        <v>0</v>
      </c>
      <c r="N1609" s="2227">
        <f t="shared" si="487"/>
        <v>49183.55</v>
      </c>
    </row>
    <row r="1610" spans="1:14" x14ac:dyDescent="0.2">
      <c r="A1610" s="127">
        <f t="shared" si="488"/>
        <v>11</v>
      </c>
      <c r="B1610" s="123">
        <v>387.45</v>
      </c>
      <c r="C1610" s="52" t="s">
        <v>1061</v>
      </c>
      <c r="D1610" s="257">
        <f t="shared" si="482"/>
        <v>3376904.66</v>
      </c>
      <c r="E1610" s="382">
        <f>ROUND('Plant input detail '!E1612*'WPB2.2 Plant detail-w slippage'!$P$2,0)</f>
        <v>160800</v>
      </c>
      <c r="F1610" s="257">
        <f>ROUND('Plant input detail '!F1612*'WPB2.2 Plant detail-w slippage'!$P$2,0)</f>
        <v>-19300</v>
      </c>
      <c r="G1610" s="257">
        <f>SUM(D1610:F1610)</f>
        <v>3518404.66</v>
      </c>
      <c r="H1610" s="38"/>
      <c r="I1610" s="257">
        <f t="shared" si="483"/>
        <v>558640.06000000006</v>
      </c>
      <c r="J1610" s="1362">
        <f t="shared" si="484"/>
        <v>3.7400000000000003E-2</v>
      </c>
      <c r="K1610" s="173">
        <f t="shared" si="485"/>
        <v>10745</v>
      </c>
      <c r="L1610" s="38">
        <f t="shared" si="486"/>
        <v>19300</v>
      </c>
      <c r="M1610" s="257">
        <f>ROUND('Plant input detail '!M1612*'WPB2.2 Plant detail-w slippage'!$P$2,0)</f>
        <v>0</v>
      </c>
      <c r="N1610" s="2227">
        <f t="shared" si="487"/>
        <v>550085.06000000006</v>
      </c>
    </row>
    <row r="1611" spans="1:14" x14ac:dyDescent="0.2">
      <c r="A1611" s="127">
        <f t="shared" si="488"/>
        <v>12</v>
      </c>
      <c r="B1611" s="123">
        <v>387.46</v>
      </c>
      <c r="C1611" s="52" t="s">
        <v>1062</v>
      </c>
      <c r="D1611" s="260">
        <f t="shared" si="482"/>
        <v>113644.47</v>
      </c>
      <c r="E1611" s="265">
        <f>ROUND('Plant input detail '!E1613*'WPB2.2 Plant detail-w slippage'!$P$2,0)</f>
        <v>0</v>
      </c>
      <c r="F1611" s="265">
        <f>ROUND('Plant input detail '!F1613*'WPB2.2 Plant detail-w slippage'!$P$2,0)</f>
        <v>0</v>
      </c>
      <c r="G1611" s="265">
        <f>SUM(D1611:F1611)</f>
        <v>113644.47</v>
      </c>
      <c r="H1611" s="264"/>
      <c r="I1611" s="260">
        <f t="shared" si="483"/>
        <v>113648.83</v>
      </c>
      <c r="J1611" s="1362">
        <f t="shared" si="484"/>
        <v>3.7400000000000003E-2</v>
      </c>
      <c r="K1611" s="260">
        <f t="shared" si="485"/>
        <v>354</v>
      </c>
      <c r="L1611" s="295">
        <f t="shared" si="486"/>
        <v>0</v>
      </c>
      <c r="M1611" s="265">
        <f>ROUND('Plant input detail '!M1613*'WPB2.2 Plant detail-w slippage'!$P$2,0)</f>
        <v>0</v>
      </c>
      <c r="N1611" s="2228">
        <f t="shared" si="487"/>
        <v>114002.83</v>
      </c>
    </row>
    <row r="1612" spans="1:14" x14ac:dyDescent="0.2">
      <c r="A1612" s="127">
        <f t="shared" si="488"/>
        <v>13</v>
      </c>
      <c r="B1612" s="252"/>
      <c r="C1612" s="32" t="s">
        <v>1063</v>
      </c>
      <c r="D1612" s="173">
        <f>SUM(D1600:D1611,D1560:D1581)</f>
        <v>414558958.37999994</v>
      </c>
      <c r="E1612" s="173">
        <f>SUM(E1600:E1611,E1560:E1581)</f>
        <v>2327366</v>
      </c>
      <c r="F1612" s="173">
        <f>SUM(F1600:F1611,F1560:F1581)</f>
        <v>-279500</v>
      </c>
      <c r="G1612" s="173">
        <f>SUM(G1600:G1611,G1560:G1581)</f>
        <v>416606824.37999994</v>
      </c>
      <c r="H1612" s="38"/>
      <c r="I1612" s="173">
        <f>SUM(I1600:I1611,I1560:I1581)</f>
        <v>145037155.47263157</v>
      </c>
      <c r="J1612" s="173"/>
      <c r="K1612" s="173">
        <f>SUM(K1600:K1611,K1560:K1581)</f>
        <v>1163230.0494736843</v>
      </c>
      <c r="L1612" s="173">
        <f>SUM(L1600:L1611,L1560:L1581)</f>
        <v>279500</v>
      </c>
      <c r="M1612" s="173">
        <f>SUM(M1600:M1611,M1560:M1581)</f>
        <v>-66400</v>
      </c>
      <c r="N1612" s="1361">
        <f>SUM(N1600:N1611,N1560:N1581)</f>
        <v>145854485.52210525</v>
      </c>
    </row>
    <row r="1613" spans="1:14" x14ac:dyDescent="0.2">
      <c r="B1613" s="252"/>
      <c r="D1613" s="38"/>
      <c r="E1613" s="173"/>
      <c r="F1613" s="173"/>
      <c r="G1613" s="38"/>
      <c r="H1613" s="38"/>
      <c r="I1613" s="181"/>
      <c r="J1613" s="173"/>
      <c r="K1613" s="173"/>
      <c r="L1613" s="38"/>
      <c r="M1613" s="173"/>
    </row>
    <row r="1614" spans="1:14" x14ac:dyDescent="0.2">
      <c r="A1614" s="127">
        <f>A1612+1</f>
        <v>14</v>
      </c>
      <c r="B1614" s="252"/>
      <c r="C1614" s="36" t="s">
        <v>737</v>
      </c>
      <c r="D1614" s="38"/>
      <c r="E1614" s="173"/>
      <c r="F1614" s="173"/>
      <c r="G1614" s="38"/>
      <c r="H1614" s="38"/>
      <c r="I1614" s="181"/>
      <c r="J1614" s="173"/>
      <c r="K1614" s="173"/>
      <c r="L1614" s="38"/>
      <c r="M1614" s="173"/>
    </row>
    <row r="1615" spans="1:14" x14ac:dyDescent="0.2">
      <c r="A1615" s="31">
        <f>A1614+1</f>
        <v>15</v>
      </c>
      <c r="B1615" s="123">
        <v>391.1</v>
      </c>
      <c r="C1615" s="52" t="s">
        <v>1064</v>
      </c>
      <c r="D1615" s="257">
        <f t="shared" ref="D1615:D1628" si="490">G1509</f>
        <v>713480.71</v>
      </c>
      <c r="E1615" s="382">
        <f>ROUND('Plant input detail '!E1617*'WPB2.2 Plant detail-w slippage'!$P$2,0)</f>
        <v>0</v>
      </c>
      <c r="F1615" s="257">
        <f>ROUND('Plant input detail '!F1617*'WPB2.2 Plant detail-w slippage'!$P$2,0)</f>
        <v>0</v>
      </c>
      <c r="G1615" s="257">
        <f t="shared" ref="G1615:G1628" si="491">SUM(D1615:F1615)</f>
        <v>713480.71</v>
      </c>
      <c r="H1615" s="38"/>
      <c r="I1615" s="257">
        <f t="shared" ref="I1615:I1628" si="492">N1509</f>
        <v>-38684.22</v>
      </c>
      <c r="J1615" s="1362">
        <f t="shared" ref="J1615:J1628" si="493">J1509</f>
        <v>0.05</v>
      </c>
      <c r="K1615" s="173">
        <f>ROUND((G1615+D1615)/2*J1615/12,0)</f>
        <v>2973</v>
      </c>
      <c r="L1615" s="38">
        <f t="shared" ref="L1615:L1628" si="494">-F1615</f>
        <v>0</v>
      </c>
      <c r="M1615" s="257">
        <f>ROUND('Plant input detail '!M1617*'WPB2.2 Plant detail-w slippage'!$P$2,0)</f>
        <v>0</v>
      </c>
      <c r="N1615" s="2227">
        <f t="shared" ref="N1615:N1628" si="495">I1615+K1615-L1615+M1615</f>
        <v>-35711.22</v>
      </c>
    </row>
    <row r="1616" spans="1:14" x14ac:dyDescent="0.2">
      <c r="A1616" s="31">
        <f t="shared" ref="A1616:A1629" si="496">A1615+1</f>
        <v>16</v>
      </c>
      <c r="B1616" s="123">
        <v>391.11</v>
      </c>
      <c r="C1616" s="52" t="s">
        <v>1065</v>
      </c>
      <c r="D1616" s="257">
        <f t="shared" si="490"/>
        <v>18815.57</v>
      </c>
      <c r="E1616" s="382">
        <f>ROUND('Plant input detail '!E1618*'WPB2.2 Plant detail-w slippage'!$P$2,0)</f>
        <v>0</v>
      </c>
      <c r="F1616" s="257">
        <f>ROUND('Plant input detail '!F1618*'WPB2.2 Plant detail-w slippage'!$P$2,0)</f>
        <v>0</v>
      </c>
      <c r="G1616" s="257">
        <f t="shared" si="491"/>
        <v>18815.57</v>
      </c>
      <c r="H1616" s="38"/>
      <c r="I1616" s="257">
        <f t="shared" si="492"/>
        <v>-11564.77</v>
      </c>
      <c r="J1616" s="1362">
        <f t="shared" si="493"/>
        <v>6.6699999999999995E-2</v>
      </c>
      <c r="K1616" s="173">
        <f>ROUND((G1616+D1616)/2*J1616/12,0)</f>
        <v>105</v>
      </c>
      <c r="L1616" s="38">
        <f t="shared" si="494"/>
        <v>0</v>
      </c>
      <c r="M1616" s="257">
        <f>ROUND('Plant input detail '!M1618*'WPB2.2 Plant detail-w slippage'!$P$2,0)</f>
        <v>0</v>
      </c>
      <c r="N1616" s="2227">
        <f t="shared" si="495"/>
        <v>-11459.77</v>
      </c>
    </row>
    <row r="1617" spans="1:16" x14ac:dyDescent="0.2">
      <c r="A1617" s="31">
        <f t="shared" si="496"/>
        <v>17</v>
      </c>
      <c r="B1617" s="123">
        <v>391.12</v>
      </c>
      <c r="C1617" s="52" t="s">
        <v>1066</v>
      </c>
      <c r="D1617" s="257">
        <f t="shared" si="490"/>
        <v>1407883.4100000001</v>
      </c>
      <c r="E1617" s="382">
        <f>ROUND('Plant input detail '!E1619*'WPB2.2 Plant detail-w slippage'!$P$2,0)</f>
        <v>0</v>
      </c>
      <c r="F1617" s="257">
        <f>ROUND('Plant input detail '!F1619*'WPB2.2 Plant detail-w slippage'!$P$2,0)</f>
        <v>0</v>
      </c>
      <c r="G1617" s="257">
        <f t="shared" si="491"/>
        <v>1407883.4100000001</v>
      </c>
      <c r="H1617" s="38"/>
      <c r="I1617" s="257">
        <f t="shared" si="492"/>
        <v>675505.37</v>
      </c>
      <c r="J1617" s="1362">
        <f t="shared" si="493"/>
        <v>0.2</v>
      </c>
      <c r="K1617" s="173">
        <f>ROUND((G1617+D1617)/2*J1617/12,0)</f>
        <v>23465</v>
      </c>
      <c r="L1617" s="38">
        <f t="shared" si="494"/>
        <v>0</v>
      </c>
      <c r="M1617" s="257">
        <f>ROUND('Plant input detail '!M1619*'WPB2.2 Plant detail-w slippage'!$P$2,0)</f>
        <v>0</v>
      </c>
      <c r="N1617" s="2227">
        <f t="shared" si="495"/>
        <v>698970.37</v>
      </c>
    </row>
    <row r="1618" spans="1:16" x14ac:dyDescent="0.2">
      <c r="A1618" s="31">
        <f t="shared" si="496"/>
        <v>18</v>
      </c>
      <c r="B1618" s="123">
        <v>392.2</v>
      </c>
      <c r="C1618" s="52" t="s">
        <v>1067</v>
      </c>
      <c r="D1618" s="257">
        <f t="shared" si="490"/>
        <v>95778</v>
      </c>
      <c r="E1618" s="382">
        <f>ROUND('Plant input detail '!E1620*'WPB2.2 Plant detail-w slippage'!$P$2,0)</f>
        <v>0</v>
      </c>
      <c r="F1618" s="257">
        <f>ROUND('Plant input detail '!F1620*'WPB2.2 Plant detail-w slippage'!$P$2,0)</f>
        <v>0</v>
      </c>
      <c r="G1618" s="257">
        <f t="shared" si="491"/>
        <v>95778</v>
      </c>
      <c r="H1618" s="38"/>
      <c r="I1618" s="257">
        <f t="shared" si="492"/>
        <v>25575.05</v>
      </c>
      <c r="J1618" s="1362">
        <f t="shared" si="493"/>
        <v>9.1499999999999998E-2</v>
      </c>
      <c r="K1618" s="173">
        <f>ROUND((G1618+D1618)/2*J1618/12,0)</f>
        <v>730</v>
      </c>
      <c r="L1618" s="38">
        <f t="shared" si="494"/>
        <v>0</v>
      </c>
      <c r="M1618" s="257">
        <f>ROUND('Plant input detail '!M1620*'WPB2.2 Plant detail-w slippage'!$P$2,0)</f>
        <v>0</v>
      </c>
      <c r="N1618" s="2227">
        <f t="shared" si="495"/>
        <v>26305.05</v>
      </c>
    </row>
    <row r="1619" spans="1:16" x14ac:dyDescent="0.2">
      <c r="A1619" s="31">
        <f t="shared" si="496"/>
        <v>19</v>
      </c>
      <c r="B1619" s="123">
        <v>392.21</v>
      </c>
      <c r="C1619" s="52" t="s">
        <v>1068</v>
      </c>
      <c r="D1619" s="257">
        <f t="shared" si="490"/>
        <v>24462.2</v>
      </c>
      <c r="E1619" s="382">
        <f>ROUND('Plant input detail '!E1621*'WPB2.2 Plant detail-w slippage'!$P$2,0)</f>
        <v>0</v>
      </c>
      <c r="F1619" s="257">
        <f>ROUND('Plant input detail '!F1621*'WPB2.2 Plant detail-w slippage'!$P$2,0)</f>
        <v>0</v>
      </c>
      <c r="G1619" s="257">
        <f t="shared" si="491"/>
        <v>24462.2</v>
      </c>
      <c r="H1619" s="38"/>
      <c r="I1619" s="257">
        <f t="shared" si="492"/>
        <v>5935.4</v>
      </c>
      <c r="J1619" s="1362">
        <f t="shared" si="493"/>
        <v>9.1499999999999998E-2</v>
      </c>
      <c r="K1619" s="173">
        <f>ROUND((G1619+D1619)/2*J1619/12,0)</f>
        <v>187</v>
      </c>
      <c r="L1619" s="38">
        <f t="shared" si="494"/>
        <v>0</v>
      </c>
      <c r="M1619" s="257">
        <f>ROUND('Plant input detail '!M1621*'WPB2.2 Plant detail-w slippage'!$P$2,0)</f>
        <v>0</v>
      </c>
      <c r="N1619" s="2227">
        <f t="shared" si="495"/>
        <v>6122.4</v>
      </c>
    </row>
    <row r="1620" spans="1:16" x14ac:dyDescent="0.2">
      <c r="A1620" s="31">
        <f t="shared" si="496"/>
        <v>20</v>
      </c>
      <c r="B1620" s="123">
        <v>393</v>
      </c>
      <c r="C1620" s="52" t="s">
        <v>1069</v>
      </c>
      <c r="D1620" s="257">
        <f t="shared" si="490"/>
        <v>0</v>
      </c>
      <c r="E1620" s="382">
        <f>ROUND('Plant input detail '!E1622*'WPB2.2 Plant detail-w slippage'!$P$2,0)</f>
        <v>0</v>
      </c>
      <c r="F1620" s="257">
        <f>ROUND('Plant input detail '!F1622*'WPB2.2 Plant detail-w slippage'!$P$2,0)</f>
        <v>0</v>
      </c>
      <c r="G1620" s="257">
        <f t="shared" si="491"/>
        <v>0</v>
      </c>
      <c r="H1620" s="38"/>
      <c r="I1620" s="257">
        <f t="shared" si="492"/>
        <v>0</v>
      </c>
      <c r="J1620" s="1362" t="str">
        <f t="shared" si="493"/>
        <v>Amort.</v>
      </c>
      <c r="K1620" s="259">
        <v>0</v>
      </c>
      <c r="L1620" s="38">
        <f t="shared" si="494"/>
        <v>0</v>
      </c>
      <c r="M1620" s="257">
        <f>ROUND('Plant input detail '!M1622*'WPB2.2 Plant detail-w slippage'!$P$2,0)</f>
        <v>0</v>
      </c>
      <c r="N1620" s="2227">
        <f t="shared" si="495"/>
        <v>0</v>
      </c>
    </row>
    <row r="1621" spans="1:16" x14ac:dyDescent="0.2">
      <c r="A1621" s="31">
        <f t="shared" si="496"/>
        <v>21</v>
      </c>
      <c r="B1621" s="123">
        <v>394.1</v>
      </c>
      <c r="C1621" s="52" t="s">
        <v>1070</v>
      </c>
      <c r="D1621" s="257">
        <f t="shared" si="490"/>
        <v>24240.799999999999</v>
      </c>
      <c r="E1621" s="382">
        <f>ROUND('Plant input detail '!E1623*'WPB2.2 Plant detail-w slippage'!$P$2,0)</f>
        <v>0</v>
      </c>
      <c r="F1621" s="257">
        <f>ROUND('Plant input detail '!F1623*'WPB2.2 Plant detail-w slippage'!$P$2,0)</f>
        <v>0</v>
      </c>
      <c r="G1621" s="257">
        <f t="shared" si="491"/>
        <v>24240.799999999999</v>
      </c>
      <c r="H1621" s="38"/>
      <c r="I1621" s="257">
        <f t="shared" si="492"/>
        <v>14932.82</v>
      </c>
      <c r="J1621" s="1362">
        <f t="shared" si="493"/>
        <v>0.04</v>
      </c>
      <c r="K1621" s="173">
        <f t="shared" ref="K1621:K1628" si="497">ROUND((G1621+D1621)/2*J1621/12,0)</f>
        <v>81</v>
      </c>
      <c r="L1621" s="38">
        <f t="shared" si="494"/>
        <v>0</v>
      </c>
      <c r="M1621" s="257">
        <f>ROUND('Plant input detail '!M1623*'WPB2.2 Plant detail-w slippage'!$P$2,0)</f>
        <v>0</v>
      </c>
      <c r="N1621" s="2227">
        <f t="shared" si="495"/>
        <v>15013.82</v>
      </c>
    </row>
    <row r="1622" spans="1:16" x14ac:dyDescent="0.2">
      <c r="A1622" s="31">
        <f t="shared" si="496"/>
        <v>22</v>
      </c>
      <c r="B1622" s="123">
        <v>394.11</v>
      </c>
      <c r="C1622" s="52" t="s">
        <v>1071</v>
      </c>
      <c r="D1622" s="257">
        <f t="shared" si="490"/>
        <v>0</v>
      </c>
      <c r="E1622" s="382">
        <f>ROUND('Plant input detail '!E1624*'WPB2.2 Plant detail-w slippage'!$P$2,0)</f>
        <v>0</v>
      </c>
      <c r="F1622" s="257">
        <f>ROUND('Plant input detail '!F1624*'WPB2.2 Plant detail-w slippage'!$P$2,0)</f>
        <v>0</v>
      </c>
      <c r="G1622" s="257">
        <f t="shared" si="491"/>
        <v>0</v>
      </c>
      <c r="H1622" s="38"/>
      <c r="I1622" s="257">
        <f t="shared" si="492"/>
        <v>0</v>
      </c>
      <c r="J1622" s="1362">
        <f t="shared" si="493"/>
        <v>0</v>
      </c>
      <c r="K1622" s="259">
        <v>0</v>
      </c>
      <c r="L1622" s="38">
        <f t="shared" si="494"/>
        <v>0</v>
      </c>
      <c r="M1622" s="257">
        <f>ROUND('Plant input detail '!M1624*'WPB2.2 Plant detail-w slippage'!$P$2,0)</f>
        <v>0</v>
      </c>
      <c r="N1622" s="2227">
        <f t="shared" si="495"/>
        <v>0</v>
      </c>
    </row>
    <row r="1623" spans="1:16" x14ac:dyDescent="0.2">
      <c r="A1623" s="31">
        <f t="shared" si="496"/>
        <v>23</v>
      </c>
      <c r="B1623" s="123">
        <v>394.13</v>
      </c>
      <c r="C1623" s="251" t="s">
        <v>1072</v>
      </c>
      <c r="D1623" s="257">
        <f t="shared" si="490"/>
        <v>0</v>
      </c>
      <c r="E1623" s="382">
        <f>ROUND('Plant input detail '!E1625*'WPB2.2 Plant detail-w slippage'!$P$2,0)</f>
        <v>0</v>
      </c>
      <c r="F1623" s="257">
        <f>ROUND('Plant input detail '!F1625*'WPB2.2 Plant detail-w slippage'!$P$2,0)</f>
        <v>0</v>
      </c>
      <c r="G1623" s="257">
        <f t="shared" si="491"/>
        <v>0</v>
      </c>
      <c r="H1623" s="38"/>
      <c r="I1623" s="257">
        <f t="shared" si="492"/>
        <v>37937.360000000001</v>
      </c>
      <c r="J1623" s="1362" t="str">
        <f t="shared" si="493"/>
        <v>Amort.</v>
      </c>
      <c r="K1623" s="259">
        <v>0</v>
      </c>
      <c r="L1623" s="38">
        <f t="shared" si="494"/>
        <v>0</v>
      </c>
      <c r="M1623" s="257">
        <f>ROUND('Plant input detail '!M1625*'WPB2.2 Plant detail-w slippage'!$P$2,0)</f>
        <v>0</v>
      </c>
      <c r="N1623" s="2227">
        <f t="shared" si="495"/>
        <v>37937.360000000001</v>
      </c>
    </row>
    <row r="1624" spans="1:16" x14ac:dyDescent="0.2">
      <c r="A1624" s="31">
        <f t="shared" si="496"/>
        <v>24</v>
      </c>
      <c r="B1624" s="123">
        <v>394.2</v>
      </c>
      <c r="C1624" s="52" t="s">
        <v>1073</v>
      </c>
      <c r="D1624" s="257">
        <f t="shared" si="490"/>
        <v>0</v>
      </c>
      <c r="E1624" s="382">
        <f>ROUND('Plant input detail '!E1626*'WPB2.2 Plant detail-w slippage'!$P$2,0)</f>
        <v>0</v>
      </c>
      <c r="F1624" s="257">
        <f>ROUND('Plant input detail '!F1626*'WPB2.2 Plant detail-w slippage'!$P$2,0)</f>
        <v>0</v>
      </c>
      <c r="G1624" s="257">
        <f t="shared" si="491"/>
        <v>0</v>
      </c>
      <c r="H1624" s="38"/>
      <c r="I1624" s="257">
        <f t="shared" si="492"/>
        <v>185.21</v>
      </c>
      <c r="J1624" s="1362">
        <f t="shared" si="493"/>
        <v>0.04</v>
      </c>
      <c r="K1624" s="173">
        <f t="shared" si="497"/>
        <v>0</v>
      </c>
      <c r="L1624" s="38">
        <f t="shared" si="494"/>
        <v>0</v>
      </c>
      <c r="M1624" s="257">
        <f>ROUND('Plant input detail '!M1626*'WPB2.2 Plant detail-w slippage'!$P$2,0)</f>
        <v>0</v>
      </c>
      <c r="N1624" s="2227">
        <f t="shared" si="495"/>
        <v>185.21</v>
      </c>
    </row>
    <row r="1625" spans="1:16" x14ac:dyDescent="0.2">
      <c r="A1625" s="31">
        <f t="shared" si="496"/>
        <v>25</v>
      </c>
      <c r="B1625" s="123">
        <v>394.3</v>
      </c>
      <c r="C1625" s="52" t="s">
        <v>1074</v>
      </c>
      <c r="D1625" s="257">
        <f t="shared" si="490"/>
        <v>3088721.16</v>
      </c>
      <c r="E1625" s="382">
        <f>ROUND('Plant input detail '!E1627*'WPB2.2 Plant detail-w slippage'!$P$2,0)</f>
        <v>39800</v>
      </c>
      <c r="F1625" s="257">
        <f>ROUND('Plant input detail '!F1627*'WPB2.2 Plant detail-w slippage'!$P$2,0)</f>
        <v>-4800</v>
      </c>
      <c r="G1625" s="257">
        <f t="shared" si="491"/>
        <v>3123721.16</v>
      </c>
      <c r="H1625" s="38"/>
      <c r="I1625" s="257">
        <f t="shared" si="492"/>
        <v>1329599.1499999999</v>
      </c>
      <c r="J1625" s="1362">
        <f t="shared" si="493"/>
        <v>0.04</v>
      </c>
      <c r="K1625" s="173">
        <f t="shared" si="497"/>
        <v>10354</v>
      </c>
      <c r="L1625" s="38">
        <f t="shared" si="494"/>
        <v>4800</v>
      </c>
      <c r="M1625" s="257">
        <f>ROUND('Plant input detail '!M1627*'WPB2.2 Plant detail-w slippage'!$P$2,0)</f>
        <v>0</v>
      </c>
      <c r="N1625" s="2227">
        <f t="shared" si="495"/>
        <v>1335153.1499999999</v>
      </c>
    </row>
    <row r="1626" spans="1:16" x14ac:dyDescent="0.2">
      <c r="A1626" s="31">
        <f t="shared" si="496"/>
        <v>26</v>
      </c>
      <c r="B1626" s="123">
        <v>395</v>
      </c>
      <c r="C1626" s="52" t="s">
        <v>1075</v>
      </c>
      <c r="D1626" s="257">
        <f t="shared" si="490"/>
        <v>9257.77</v>
      </c>
      <c r="E1626" s="382">
        <f>ROUND('Plant input detail '!E1628*'WPB2.2 Plant detail-w slippage'!$P$2,0)</f>
        <v>0</v>
      </c>
      <c r="F1626" s="257">
        <f>ROUND('Plant input detail '!F1628*'WPB2.2 Plant detail-w slippage'!$P$2,0)</f>
        <v>0</v>
      </c>
      <c r="G1626" s="257">
        <f t="shared" si="491"/>
        <v>9257.77</v>
      </c>
      <c r="H1626" s="38"/>
      <c r="I1626" s="257">
        <f t="shared" si="492"/>
        <v>7685.59</v>
      </c>
      <c r="J1626" s="1362">
        <f t="shared" si="493"/>
        <v>0.05</v>
      </c>
      <c r="K1626" s="173">
        <f t="shared" si="497"/>
        <v>39</v>
      </c>
      <c r="L1626" s="38">
        <f t="shared" si="494"/>
        <v>0</v>
      </c>
      <c r="M1626" s="257">
        <f>ROUND('Plant input detail '!M1628*'WPB2.2 Plant detail-w slippage'!$P$2,0)</f>
        <v>0</v>
      </c>
      <c r="N1626" s="2227">
        <f t="shared" si="495"/>
        <v>7724.59</v>
      </c>
    </row>
    <row r="1627" spans="1:16" x14ac:dyDescent="0.2">
      <c r="A1627" s="31">
        <f t="shared" si="496"/>
        <v>27</v>
      </c>
      <c r="B1627" s="123">
        <v>396</v>
      </c>
      <c r="C1627" s="52" t="s">
        <v>1076</v>
      </c>
      <c r="D1627" s="257">
        <f t="shared" si="490"/>
        <v>253134.72</v>
      </c>
      <c r="E1627" s="382">
        <f>ROUND('Plant input detail '!E1629*'WPB2.2 Plant detail-w slippage'!$P$2,0)</f>
        <v>0</v>
      </c>
      <c r="F1627" s="257">
        <f>ROUND('Plant input detail '!F1629*'WPB2.2 Plant detail-w slippage'!$P$2,0)</f>
        <v>0</v>
      </c>
      <c r="G1627" s="257">
        <f t="shared" si="491"/>
        <v>253134.72</v>
      </c>
      <c r="H1627" s="38"/>
      <c r="I1627" s="257">
        <f t="shared" si="492"/>
        <v>201505.72</v>
      </c>
      <c r="J1627" s="1362">
        <f t="shared" si="493"/>
        <v>2.5899999999999999E-2</v>
      </c>
      <c r="K1627" s="173">
        <f t="shared" si="497"/>
        <v>546</v>
      </c>
      <c r="L1627" s="38">
        <f t="shared" si="494"/>
        <v>0</v>
      </c>
      <c r="M1627" s="257">
        <f>ROUND('Plant input detail '!M1629*'WPB2.2 Plant detail-w slippage'!$P$2,0)</f>
        <v>0</v>
      </c>
      <c r="N1627" s="2227">
        <f t="shared" si="495"/>
        <v>202051.72</v>
      </c>
    </row>
    <row r="1628" spans="1:16" x14ac:dyDescent="0.2">
      <c r="A1628" s="31">
        <f t="shared" si="496"/>
        <v>28</v>
      </c>
      <c r="B1628" s="123">
        <v>398</v>
      </c>
      <c r="C1628" s="52" t="s">
        <v>1077</v>
      </c>
      <c r="D1628" s="260">
        <f t="shared" si="490"/>
        <v>275161.94</v>
      </c>
      <c r="E1628" s="265">
        <f>ROUND('Plant input detail '!E1630*'WPB2.2 Plant detail-w slippage'!$P$2,0)</f>
        <v>4600</v>
      </c>
      <c r="F1628" s="260">
        <f>ROUND('Plant input detail '!F1630*'WPB2.2 Plant detail-w slippage'!$P$2,0)</f>
        <v>-600</v>
      </c>
      <c r="G1628" s="260">
        <f t="shared" si="491"/>
        <v>279161.94</v>
      </c>
      <c r="H1628" s="264"/>
      <c r="I1628" s="260">
        <f t="shared" si="492"/>
        <v>8228.59</v>
      </c>
      <c r="J1628" s="1362">
        <f t="shared" si="493"/>
        <v>6.6699999999999995E-2</v>
      </c>
      <c r="K1628" s="260">
        <f t="shared" si="497"/>
        <v>1541</v>
      </c>
      <c r="L1628" s="295">
        <f t="shared" si="494"/>
        <v>600</v>
      </c>
      <c r="M1628" s="260">
        <f>ROUND('Plant input detail '!M1630*'WPB2.2 Plant detail-w slippage'!$P$2,0)</f>
        <v>0</v>
      </c>
      <c r="N1628" s="2228">
        <f t="shared" si="495"/>
        <v>9169.59</v>
      </c>
    </row>
    <row r="1629" spans="1:16" x14ac:dyDescent="0.2">
      <c r="A1629" s="31">
        <f t="shared" si="496"/>
        <v>29</v>
      </c>
      <c r="C1629" s="32" t="s">
        <v>1078</v>
      </c>
      <c r="D1629" s="264">
        <f>SUM(D1615:D1628)</f>
        <v>5910936.2799999993</v>
      </c>
      <c r="E1629" s="176">
        <f>SUM(E1615:E1628)</f>
        <v>44400</v>
      </c>
      <c r="F1629" s="176">
        <f>SUM(F1615:F1628)</f>
        <v>-5400</v>
      </c>
      <c r="G1629" s="264">
        <f>SUM(G1615:G1628)</f>
        <v>5949936.2799999993</v>
      </c>
      <c r="H1629" s="264"/>
      <c r="I1629" s="264">
        <f>SUM(I1615:I1628)</f>
        <v>2256841.27</v>
      </c>
      <c r="J1629" s="1359"/>
      <c r="K1629" s="176">
        <f>SUM(K1615:K1628)</f>
        <v>40021</v>
      </c>
      <c r="L1629" s="264">
        <f>SUM(L1615:L1628)</f>
        <v>5400</v>
      </c>
      <c r="M1629" s="176">
        <f>SUM(M1615:M1628)</f>
        <v>0</v>
      </c>
      <c r="N1629" s="1359">
        <f>SUM(N1615:N1628)</f>
        <v>2291462.27</v>
      </c>
    </row>
    <row r="1630" spans="1:16" x14ac:dyDescent="0.2">
      <c r="D1630" s="38"/>
      <c r="E1630" s="173"/>
      <c r="F1630" s="173"/>
      <c r="G1630" s="38"/>
      <c r="H1630" s="38"/>
      <c r="I1630" s="173"/>
      <c r="J1630" s="1361"/>
      <c r="K1630" s="173"/>
      <c r="L1630" s="38"/>
      <c r="M1630" s="173"/>
    </row>
    <row r="1631" spans="1:16" x14ac:dyDescent="0.2">
      <c r="A1631" s="1805">
        <f>A1629+1</f>
        <v>30</v>
      </c>
      <c r="B1631" s="252"/>
      <c r="C1631" s="36" t="s">
        <v>2287</v>
      </c>
      <c r="D1631" s="38"/>
      <c r="E1631" s="173"/>
      <c r="F1631" s="173"/>
      <c r="G1631" s="38"/>
      <c r="H1631" s="38"/>
      <c r="I1631" s="181"/>
      <c r="J1631" s="173"/>
      <c r="K1631" s="173"/>
      <c r="L1631" s="38"/>
      <c r="M1631" s="173"/>
      <c r="P1631" s="279"/>
    </row>
    <row r="1632" spans="1:16" x14ac:dyDescent="0.2">
      <c r="A1632" s="31">
        <f>A1631+1</f>
        <v>31</v>
      </c>
      <c r="B1632" s="123">
        <v>378.21</v>
      </c>
      <c r="C1632" s="52" t="s">
        <v>2244</v>
      </c>
      <c r="D1632" s="257">
        <f>G1526</f>
        <v>-777092</v>
      </c>
      <c r="E1632" s="382">
        <f>ROUND('Plant input detail '!E1634*'WPB2.2 Plant detail-w slippage'!$P$2,0)</f>
        <v>0</v>
      </c>
      <c r="F1632" s="257">
        <f>ROUND('Plant input detail '!F1634*'WPB2.2 Plant detail-w slippage'!$P$2,0)</f>
        <v>0</v>
      </c>
      <c r="G1632" s="257">
        <f t="shared" ref="G1632" si="498">SUM(D1632:F1632)</f>
        <v>-777092</v>
      </c>
      <c r="H1632" s="264"/>
      <c r="I1632" s="257">
        <f>N1526</f>
        <v>-51029.363333333284</v>
      </c>
      <c r="J1632" s="296" t="s">
        <v>1094</v>
      </c>
      <c r="K1632" s="1334">
        <v>-2158.5833333333321</v>
      </c>
      <c r="L1632" s="38">
        <f t="shared" ref="L1632" si="499">-F1632</f>
        <v>0</v>
      </c>
      <c r="M1632" s="257">
        <f>ROUND('Plant input detail '!M1634*'WPB2.2 Plant detail-w slippage'!$P$2,0)</f>
        <v>0</v>
      </c>
      <c r="N1632" s="2227">
        <f t="shared" ref="N1632" si="500">I1632+K1632-L1632+M1632</f>
        <v>-53187.946666666612</v>
      </c>
      <c r="O1632" s="292"/>
    </row>
    <row r="1633" spans="1:14" x14ac:dyDescent="0.2">
      <c r="A1633" s="1723"/>
      <c r="D1633" s="38"/>
      <c r="E1633" s="173"/>
      <c r="F1633" s="173"/>
      <c r="G1633" s="38"/>
      <c r="H1633" s="38"/>
      <c r="I1633" s="173"/>
      <c r="J1633" s="1361"/>
      <c r="K1633" s="173"/>
      <c r="L1633" s="38"/>
      <c r="M1633" s="173"/>
    </row>
    <row r="1634" spans="1:14" x14ac:dyDescent="0.2">
      <c r="A1634" s="31">
        <f>A1632+1</f>
        <v>32</v>
      </c>
      <c r="C1634" s="32" t="s">
        <v>774</v>
      </c>
      <c r="D1634" s="40">
        <f>D1629+D1612+D1557+D1553+D1632</f>
        <v>426786257.36999989</v>
      </c>
      <c r="E1634" s="40">
        <f>E1629+E1612+E1557+E1553+E1632</f>
        <v>2371766</v>
      </c>
      <c r="F1634" s="40">
        <f>F1629+F1612+F1557+F1553+F1632</f>
        <v>-284900</v>
      </c>
      <c r="G1634" s="40">
        <f>G1629+G1612+G1557+G1553+G1632</f>
        <v>428873123.36999989</v>
      </c>
      <c r="H1634" s="38"/>
      <c r="I1634" s="40">
        <f>I1629+I1612+I1557+I1553+I1632</f>
        <v>150519548.96808383</v>
      </c>
      <c r="J1634" s="1363"/>
      <c r="K1634" s="40">
        <f>K1629+K1612+K1557+K1553+K1632</f>
        <v>1286305.0631964644</v>
      </c>
      <c r="L1634" s="40">
        <f>L1629+L1612+L1557+L1553+L1632</f>
        <v>284900</v>
      </c>
      <c r="M1634" s="40">
        <f>M1629+M1612+M1557+M1553+M1632</f>
        <v>-66400</v>
      </c>
      <c r="N1634" s="2230">
        <f>N1629+N1612+N1557+N1553+N1632</f>
        <v>151454554.03128031</v>
      </c>
    </row>
    <row r="1636" spans="1:14" x14ac:dyDescent="0.2">
      <c r="A1636" s="2079" t="str">
        <f>co</f>
        <v>COLUMBIA GAS OF KENTUCKY, INC.</v>
      </c>
      <c r="B1636" s="2079"/>
      <c r="C1636" s="2079"/>
      <c r="D1636" s="2079"/>
      <c r="E1636" s="2079"/>
      <c r="F1636" s="2079"/>
      <c r="G1636" s="2079"/>
      <c r="H1636" s="2079"/>
      <c r="I1636" s="2079"/>
      <c r="J1636" s="2079"/>
      <c r="K1636" s="2079"/>
      <c r="L1636" s="2079"/>
      <c r="M1636" s="2079"/>
      <c r="N1636" s="2079"/>
    </row>
    <row r="1637" spans="1:14" x14ac:dyDescent="0.2">
      <c r="A1637" s="2079" t="str">
        <f>case</f>
        <v>CASE NO. 2016 - 00162</v>
      </c>
      <c r="B1637" s="2079"/>
      <c r="C1637" s="2079"/>
      <c r="D1637" s="2079"/>
      <c r="E1637" s="2079"/>
      <c r="F1637" s="2079"/>
      <c r="G1637" s="2079"/>
      <c r="H1637" s="2079"/>
      <c r="I1637" s="2079"/>
      <c r="J1637" s="2079"/>
      <c r="K1637" s="2079"/>
      <c r="L1637" s="2079"/>
      <c r="M1637" s="2079"/>
      <c r="N1637" s="2079"/>
    </row>
    <row r="1638" spans="1:14" x14ac:dyDescent="0.2">
      <c r="A1638" s="2080" t="s">
        <v>1106</v>
      </c>
      <c r="B1638" s="2079"/>
      <c r="C1638" s="2079"/>
      <c r="D1638" s="2079"/>
      <c r="E1638" s="2079"/>
      <c r="F1638" s="2079"/>
      <c r="G1638" s="2079"/>
      <c r="H1638" s="2079"/>
      <c r="I1638" s="2079"/>
      <c r="J1638" s="2079"/>
      <c r="K1638" s="2079"/>
      <c r="L1638" s="2079"/>
      <c r="M1638" s="2079"/>
      <c r="N1638" s="2079"/>
    </row>
    <row r="1639" spans="1:14" x14ac:dyDescent="0.2">
      <c r="A1639" s="2081" t="s">
        <v>2142</v>
      </c>
      <c r="B1639" s="2085"/>
      <c r="C1639" s="2085"/>
      <c r="D1639" s="2085"/>
      <c r="E1639" s="2085"/>
      <c r="F1639" s="2085"/>
      <c r="G1639" s="2085"/>
      <c r="H1639" s="2085"/>
      <c r="I1639" s="2085"/>
      <c r="J1639" s="2085"/>
      <c r="K1639" s="2085"/>
      <c r="L1639" s="2085"/>
      <c r="M1639" s="2085"/>
      <c r="N1639" s="2085"/>
    </row>
    <row r="1641" spans="1:14" x14ac:dyDescent="0.2">
      <c r="A1641" s="285" t="str">
        <f>$A$6</f>
        <v>DATA:__X___BASE PERIOD__X___FORECASTED PERIOD</v>
      </c>
      <c r="C1641" s="171"/>
      <c r="I1641" s="32"/>
      <c r="N1641" s="1258" t="str">
        <f>$N$6</f>
        <v>WPB-2.2</v>
      </c>
    </row>
    <row r="1642" spans="1:14" x14ac:dyDescent="0.2">
      <c r="A1642" s="4" t="str">
        <f>$A$7</f>
        <v>TYPE OF FILING:___X____ORIGINAL________UPDATED</v>
      </c>
      <c r="I1642" s="32"/>
      <c r="N1642" s="2223" t="s">
        <v>1744</v>
      </c>
    </row>
    <row r="1643" spans="1:14" x14ac:dyDescent="0.2">
      <c r="A1643" s="1261" t="str">
        <f>$A$8</f>
        <v xml:space="preserve">WORKPAPER REFERENCE NO(S).: </v>
      </c>
      <c r="B1643" s="202"/>
      <c r="C1643" s="202"/>
      <c r="D1643" s="201"/>
      <c r="E1643" s="202"/>
      <c r="F1643" s="202"/>
      <c r="G1643" s="201"/>
      <c r="H1643" s="201"/>
      <c r="I1643" s="203"/>
      <c r="L1643" s="32"/>
      <c r="M1643" s="32"/>
      <c r="N1643" s="204" t="str">
        <f>SMK</f>
        <v>WITNESS:  S. M. KATKO</v>
      </c>
    </row>
    <row r="1644" spans="1:14" x14ac:dyDescent="0.2">
      <c r="A1644" s="200"/>
      <c r="B1644" s="201"/>
      <c r="C1644" s="201"/>
      <c r="D1644" s="201"/>
      <c r="E1644" s="202"/>
      <c r="F1644" s="202"/>
      <c r="G1644" s="201"/>
      <c r="H1644" s="201"/>
      <c r="I1644" s="203"/>
      <c r="J1644" s="1357"/>
      <c r="L1644" s="32"/>
      <c r="M1644" s="32"/>
    </row>
    <row r="1645" spans="1:14" x14ac:dyDescent="0.2">
      <c r="A1645" s="200"/>
      <c r="B1645" s="201"/>
      <c r="C1645" s="201"/>
      <c r="D1645" s="2082" t="s">
        <v>1088</v>
      </c>
      <c r="E1645" s="2082"/>
      <c r="F1645" s="2082"/>
      <c r="G1645" s="2082"/>
      <c r="H1645" s="201"/>
      <c r="I1645" s="2083" t="s">
        <v>1093</v>
      </c>
      <c r="J1645" s="2084"/>
      <c r="K1645" s="2084"/>
      <c r="L1645" s="2084"/>
      <c r="M1645" s="2084"/>
      <c r="N1645" s="2084"/>
    </row>
    <row r="1646" spans="1:14" x14ac:dyDescent="0.2">
      <c r="A1646" s="270"/>
      <c r="B1646" s="201"/>
      <c r="C1646" s="201"/>
      <c r="D1646" s="271" t="s">
        <v>1084</v>
      </c>
      <c r="E1646" s="202"/>
      <c r="F1646" s="202"/>
      <c r="G1646" s="269"/>
      <c r="H1646" s="269"/>
      <c r="I1646" s="261" t="s">
        <v>1089</v>
      </c>
      <c r="J1646" s="1358"/>
      <c r="M1646" s="32"/>
    </row>
    <row r="1647" spans="1:14" x14ac:dyDescent="0.2">
      <c r="A1647" s="30"/>
      <c r="D1647" s="261" t="s">
        <v>865</v>
      </c>
      <c r="G1647" s="261" t="s">
        <v>867</v>
      </c>
      <c r="H1647" s="268"/>
      <c r="I1647" s="261" t="s">
        <v>865</v>
      </c>
      <c r="J1647" s="1308" t="s">
        <v>956</v>
      </c>
      <c r="M1647" s="32"/>
      <c r="N1647" s="2225" t="s">
        <v>867</v>
      </c>
    </row>
    <row r="1648" spans="1:14" x14ac:dyDescent="0.2">
      <c r="A1648" s="261" t="s">
        <v>1080</v>
      </c>
      <c r="B1648" s="261" t="s">
        <v>1082</v>
      </c>
      <c r="D1648" s="261" t="s">
        <v>867</v>
      </c>
      <c r="G1648" s="262" t="s">
        <v>1087</v>
      </c>
      <c r="H1648" s="268"/>
      <c r="I1648" s="262" t="s">
        <v>867</v>
      </c>
      <c r="J1648" s="1308" t="s">
        <v>1090</v>
      </c>
      <c r="K1648" s="1308" t="s">
        <v>956</v>
      </c>
      <c r="M1648" s="262" t="s">
        <v>1092</v>
      </c>
      <c r="N1648" s="1259" t="s">
        <v>1087</v>
      </c>
    </row>
    <row r="1649" spans="1:14" x14ac:dyDescent="0.2">
      <c r="A1649" s="272" t="s">
        <v>1081</v>
      </c>
      <c r="B1649" s="272" t="s">
        <v>1081</v>
      </c>
      <c r="C1649" s="273" t="s">
        <v>1083</v>
      </c>
      <c r="D1649" s="298" t="str">
        <f>"05/31/2017"</f>
        <v>05/31/2017</v>
      </c>
      <c r="E1649" s="275" t="s">
        <v>1085</v>
      </c>
      <c r="F1649" s="275" t="s">
        <v>1086</v>
      </c>
      <c r="G1649" s="298" t="str">
        <f>"06/30/2017"</f>
        <v>06/30/2017</v>
      </c>
      <c r="H1649" s="268"/>
      <c r="I1649" s="274" t="str">
        <f>D1649</f>
        <v>05/31/2017</v>
      </c>
      <c r="J1649" s="275" t="s">
        <v>1091</v>
      </c>
      <c r="K1649" s="1327" t="s">
        <v>1090</v>
      </c>
      <c r="L1649" s="276" t="s">
        <v>1086</v>
      </c>
      <c r="M1649" s="276" t="s">
        <v>955</v>
      </c>
      <c r="N1649" s="2226" t="str">
        <f>G1649</f>
        <v>06/30/2017</v>
      </c>
    </row>
    <row r="1650" spans="1:14" x14ac:dyDescent="0.2">
      <c r="A1650" s="267"/>
      <c r="B1650" s="267"/>
      <c r="C1650" s="267"/>
      <c r="D1650" s="267" t="str">
        <f>"(1)"</f>
        <v>(1)</v>
      </c>
      <c r="E1650" s="267" t="str">
        <f>"(2)"</f>
        <v>(2)</v>
      </c>
      <c r="F1650" s="267" t="str">
        <f>"(3)"</f>
        <v>(3)</v>
      </c>
      <c r="G1650" s="267" t="str">
        <f>"(4)=(1+2+3)"</f>
        <v>(4)=(1+2+3)</v>
      </c>
      <c r="H1650" s="267"/>
      <c r="I1650" s="267" t="str">
        <f>"(5)"</f>
        <v>(5)</v>
      </c>
      <c r="J1650" s="1328" t="str">
        <f>"(6)"</f>
        <v>(6)</v>
      </c>
      <c r="K1650" s="1328" t="str">
        <f>"(7)=((1+4)/2*6/12))"</f>
        <v>(7)=((1+4)/2*6/12))</v>
      </c>
      <c r="L1650" s="267" t="str">
        <f>"(8)"</f>
        <v>(8)</v>
      </c>
      <c r="M1650" s="267" t="str">
        <f>"(9)"</f>
        <v>(9)</v>
      </c>
      <c r="N1650" s="204" t="str">
        <f>"(10)=(5+7-8+9)"</f>
        <v>(10)=(5+7-8+9)</v>
      </c>
    </row>
    <row r="1651" spans="1:14" x14ac:dyDescent="0.2">
      <c r="D1651" s="31" t="s">
        <v>639</v>
      </c>
      <c r="E1651" s="170" t="s">
        <v>639</v>
      </c>
      <c r="F1651" s="170" t="s">
        <v>639</v>
      </c>
      <c r="G1651" s="31" t="s">
        <v>639</v>
      </c>
      <c r="H1651" s="31"/>
      <c r="I1651" s="31" t="s">
        <v>639</v>
      </c>
      <c r="J1651" s="170" t="s">
        <v>639</v>
      </c>
      <c r="K1651" s="170" t="s">
        <v>639</v>
      </c>
      <c r="L1651" s="31" t="s">
        <v>639</v>
      </c>
      <c r="M1651" s="31" t="s">
        <v>639</v>
      </c>
      <c r="N1651" s="155" t="s">
        <v>639</v>
      </c>
    </row>
    <row r="1652" spans="1:14" x14ac:dyDescent="0.2">
      <c r="A1652" s="31">
        <v>1</v>
      </c>
      <c r="B1652" s="36" t="s">
        <v>1025</v>
      </c>
      <c r="C1652" s="34"/>
      <c r="M1652" s="32"/>
    </row>
    <row r="1653" spans="1:14" x14ac:dyDescent="0.2">
      <c r="A1653" s="31">
        <f>A1652+1</f>
        <v>2</v>
      </c>
      <c r="C1653" s="36" t="s">
        <v>697</v>
      </c>
      <c r="M1653" s="32"/>
    </row>
    <row r="1654" spans="1:14" x14ac:dyDescent="0.2">
      <c r="A1654" s="31">
        <f t="shared" ref="A1654:A1659" si="501">A1653+1</f>
        <v>3</v>
      </c>
      <c r="B1654" s="253">
        <v>301</v>
      </c>
      <c r="C1654" s="52" t="s">
        <v>1026</v>
      </c>
      <c r="D1654" s="257">
        <f>G1548</f>
        <v>521.20000000000005</v>
      </c>
      <c r="E1654" s="382">
        <f>ROUND('Plant input detail '!E1656*'WPB2.2 Plant detail-w slippage'!$P$2,0)</f>
        <v>0</v>
      </c>
      <c r="F1654" s="257">
        <f>ROUND('Plant input detail '!F1656*'WPB2.2 Plant detail-w slippage'!$P$2,0)</f>
        <v>0</v>
      </c>
      <c r="G1654" s="257">
        <f>SUM(D1654:F1654)</f>
        <v>521.20000000000005</v>
      </c>
      <c r="H1654" s="38"/>
      <c r="I1654" s="257">
        <f>N1548</f>
        <v>0</v>
      </c>
      <c r="J1654" s="296" t="s">
        <v>1094</v>
      </c>
      <c r="K1654" s="259">
        <v>0</v>
      </c>
      <c r="L1654" s="38">
        <f>-F1654</f>
        <v>0</v>
      </c>
      <c r="M1654" s="259">
        <v>0</v>
      </c>
      <c r="N1654" s="2227">
        <f>I1654+K1654-L1654+M1654</f>
        <v>0</v>
      </c>
    </row>
    <row r="1655" spans="1:14" x14ac:dyDescent="0.2">
      <c r="A1655" s="31">
        <f t="shared" si="501"/>
        <v>4</v>
      </c>
      <c r="B1655" s="253">
        <v>303</v>
      </c>
      <c r="C1655" s="52" t="s">
        <v>1027</v>
      </c>
      <c r="D1655" s="257">
        <f>G1549</f>
        <v>74347.509999999995</v>
      </c>
      <c r="E1655" s="382">
        <f>ROUND('Plant input detail '!E1657*'WPB2.2 Plant detail-w slippage'!$P$2,0)</f>
        <v>0</v>
      </c>
      <c r="F1655" s="257">
        <f>ROUND('Plant input detail '!F1657*'WPB2.2 Plant detail-w slippage'!$P$2,0)</f>
        <v>0</v>
      </c>
      <c r="G1655" s="257">
        <f>SUM(D1655:F1655)</f>
        <v>74347.509999999995</v>
      </c>
      <c r="H1655" s="38"/>
      <c r="I1655" s="257">
        <f>N1549</f>
        <v>48897.229999999952</v>
      </c>
      <c r="J1655" s="296" t="s">
        <v>1094</v>
      </c>
      <c r="K1655" s="257">
        <f>'WPB2.2a Intan Amort. w slippage'!L$127</f>
        <v>206.52</v>
      </c>
      <c r="L1655" s="38">
        <f>-F1655</f>
        <v>0</v>
      </c>
      <c r="M1655" s="259">
        <v>0</v>
      </c>
      <c r="N1655" s="2227">
        <f>I1655+K1655-L1655+M1655</f>
        <v>49103.749999999949</v>
      </c>
    </row>
    <row r="1656" spans="1:14" x14ac:dyDescent="0.2">
      <c r="A1656" s="31">
        <f t="shared" si="501"/>
        <v>5</v>
      </c>
      <c r="B1656" s="253">
        <v>303.10000000000002</v>
      </c>
      <c r="C1656" s="52" t="s">
        <v>1028</v>
      </c>
      <c r="D1656" s="257">
        <f>G1550</f>
        <v>0</v>
      </c>
      <c r="E1656" s="382">
        <f>ROUND('Plant input detail '!E1658*'WPB2.2 Plant detail-w slippage'!$P$2,0)</f>
        <v>0</v>
      </c>
      <c r="F1656" s="257">
        <f>ROUND('Plant input detail '!F1658*'WPB2.2 Plant detail-w slippage'!$P$2,0)</f>
        <v>0</v>
      </c>
      <c r="G1656" s="257">
        <f>SUM(D1656:F1656)</f>
        <v>0</v>
      </c>
      <c r="H1656" s="38"/>
      <c r="I1656" s="257">
        <f>N1550</f>
        <v>0</v>
      </c>
      <c r="J1656" s="296" t="s">
        <v>1094</v>
      </c>
      <c r="K1656" s="259">
        <v>0</v>
      </c>
      <c r="L1656" s="38">
        <f>-F1656</f>
        <v>0</v>
      </c>
      <c r="M1656" s="259">
        <v>0</v>
      </c>
      <c r="N1656" s="2227">
        <f>I1656+K1656-L1656+M1656</f>
        <v>0</v>
      </c>
    </row>
    <row r="1657" spans="1:14" x14ac:dyDescent="0.2">
      <c r="A1657" s="31">
        <f t="shared" si="501"/>
        <v>6</v>
      </c>
      <c r="B1657" s="253">
        <v>303.2</v>
      </c>
      <c r="C1657" s="52" t="s">
        <v>1029</v>
      </c>
      <c r="D1657" s="257">
        <f>G1551</f>
        <v>0</v>
      </c>
      <c r="E1657" s="382">
        <f>ROUND('Plant input detail '!E1659*'WPB2.2 Plant detail-w slippage'!$P$2,0)</f>
        <v>0</v>
      </c>
      <c r="F1657" s="257">
        <f>ROUND('Plant input detail '!F1659*'WPB2.2 Plant detail-w slippage'!$P$2,0)</f>
        <v>0</v>
      </c>
      <c r="G1657" s="257">
        <f>SUM(D1657:F1657)</f>
        <v>0</v>
      </c>
      <c r="H1657" s="38"/>
      <c r="I1657" s="257">
        <f>N1551</f>
        <v>0</v>
      </c>
      <c r="J1657" s="296" t="s">
        <v>1094</v>
      </c>
      <c r="K1657" s="259">
        <v>0</v>
      </c>
      <c r="L1657" s="38">
        <f>-F1657</f>
        <v>0</v>
      </c>
      <c r="M1657" s="259">
        <v>0</v>
      </c>
      <c r="N1657" s="2227">
        <f>I1657+K1657-L1657+M1657</f>
        <v>0</v>
      </c>
    </row>
    <row r="1658" spans="1:14" x14ac:dyDescent="0.2">
      <c r="A1658" s="31">
        <f t="shared" si="501"/>
        <v>7</v>
      </c>
      <c r="B1658" s="253">
        <v>303.3</v>
      </c>
      <c r="C1658" s="52" t="s">
        <v>1030</v>
      </c>
      <c r="D1658" s="260">
        <f>G1552</f>
        <v>7018586</v>
      </c>
      <c r="E1658" s="265">
        <f>ROUND('Plant input detail '!E1660*'WPB2.2 Plant detail-w slippage'!$P$2,0)</f>
        <v>0</v>
      </c>
      <c r="F1658" s="265">
        <f>ROUND('Plant input detail '!F1660*'WPB2.2 Plant detail-w slippage'!$P$2,0)</f>
        <v>0</v>
      </c>
      <c r="G1658" s="260">
        <f>SUM(D1658:F1658)</f>
        <v>7018586</v>
      </c>
      <c r="H1658" s="38"/>
      <c r="I1658" s="260">
        <f>N1552</f>
        <v>3312896.9558417005</v>
      </c>
      <c r="J1658" s="296" t="s">
        <v>1094</v>
      </c>
      <c r="K1658" s="260">
        <f>'WPB2.2a Intan Amort. w slippage'!L$216</f>
        <v>84463.826088371381</v>
      </c>
      <c r="L1658" s="295">
        <f>-F1658</f>
        <v>0</v>
      </c>
      <c r="M1658" s="263">
        <v>0</v>
      </c>
      <c r="N1658" s="2228">
        <f>I1658+K1658-L1658+M1658</f>
        <v>3397360.7819300718</v>
      </c>
    </row>
    <row r="1659" spans="1:14" x14ac:dyDescent="0.2">
      <c r="A1659" s="31">
        <f t="shared" si="501"/>
        <v>8</v>
      </c>
      <c r="B1659" s="253"/>
      <c r="C1659" s="52" t="s">
        <v>1031</v>
      </c>
      <c r="D1659" s="38">
        <f>SUM(D1654:D1658)</f>
        <v>7093454.71</v>
      </c>
      <c r="E1659" s="173">
        <f>SUM(E1654:E1658)</f>
        <v>0</v>
      </c>
      <c r="F1659" s="173">
        <f>SUM(F1654:F1658)</f>
        <v>0</v>
      </c>
      <c r="G1659" s="38">
        <f>SUM(G1654:G1658)</f>
        <v>7093454.71</v>
      </c>
      <c r="H1659" s="38"/>
      <c r="I1659" s="38">
        <f>SUM(I1654:I1658)</f>
        <v>3361794.1858417005</v>
      </c>
      <c r="J1659" s="1359"/>
      <c r="K1659" s="173">
        <f>SUM(K1654:K1658)</f>
        <v>84670.346088371385</v>
      </c>
      <c r="L1659" s="38">
        <f>SUM(L1654:L1658)</f>
        <v>0</v>
      </c>
      <c r="M1659" s="173">
        <f>SUM(M1654:M1658)</f>
        <v>0</v>
      </c>
      <c r="N1659" s="1361">
        <f>SUM(N1654:N1658)</f>
        <v>3446464.5319300718</v>
      </c>
    </row>
    <row r="1660" spans="1:14" x14ac:dyDescent="0.2">
      <c r="B1660" s="254"/>
      <c r="D1660" s="38"/>
      <c r="E1660" s="173"/>
      <c r="F1660" s="173"/>
      <c r="G1660" s="38"/>
      <c r="H1660" s="38"/>
      <c r="I1660" s="38"/>
      <c r="J1660" s="1359"/>
      <c r="K1660" s="173"/>
      <c r="L1660" s="38"/>
      <c r="M1660" s="173"/>
    </row>
    <row r="1661" spans="1:14" x14ac:dyDescent="0.2">
      <c r="A1661" s="31">
        <f>A1659+1</f>
        <v>9</v>
      </c>
      <c r="B1661" s="254"/>
      <c r="C1661" s="36" t="s">
        <v>704</v>
      </c>
      <c r="D1661" s="38"/>
      <c r="E1661" s="173"/>
      <c r="F1661" s="173"/>
      <c r="G1661" s="38"/>
      <c r="H1661" s="38"/>
      <c r="I1661" s="38"/>
      <c r="J1661" s="1359"/>
      <c r="K1661" s="173"/>
      <c r="L1661" s="38"/>
      <c r="M1661" s="173"/>
    </row>
    <row r="1662" spans="1:14" x14ac:dyDescent="0.2">
      <c r="A1662" s="31">
        <f>A1661+1</f>
        <v>10</v>
      </c>
      <c r="B1662" s="255">
        <v>304.10000000000002</v>
      </c>
      <c r="C1662" s="41" t="s">
        <v>1032</v>
      </c>
      <c r="D1662" s="260">
        <f>G1556</f>
        <v>0</v>
      </c>
      <c r="E1662" s="265">
        <f>ROUND('Plant input detail '!E1664*'WPB2.2 Plant detail-w slippage'!$P$2,0)</f>
        <v>0</v>
      </c>
      <c r="F1662" s="265">
        <f>ROUND('Plant input detail '!F1664*'WPB2.2 Plant detail-w slippage'!$P$2,0)</f>
        <v>0</v>
      </c>
      <c r="G1662" s="260">
        <f>SUM(D1662:F1662)</f>
        <v>0</v>
      </c>
      <c r="H1662" s="38"/>
      <c r="I1662" s="260">
        <f>N1556</f>
        <v>0</v>
      </c>
      <c r="J1662" s="1360" t="s">
        <v>1102</v>
      </c>
      <c r="K1662" s="266">
        <v>0</v>
      </c>
      <c r="L1662" s="295">
        <f>-F1662</f>
        <v>0</v>
      </c>
      <c r="M1662" s="263">
        <v>0</v>
      </c>
      <c r="N1662" s="2228">
        <f>I1662+K1662-L1662+M1662</f>
        <v>0</v>
      </c>
    </row>
    <row r="1663" spans="1:14" x14ac:dyDescent="0.2">
      <c r="A1663" s="31">
        <f>A1662+1</f>
        <v>11</v>
      </c>
      <c r="B1663" s="255"/>
      <c r="C1663" s="256" t="s">
        <v>1079</v>
      </c>
      <c r="D1663" s="38">
        <f>D1662</f>
        <v>0</v>
      </c>
      <c r="E1663" s="173">
        <f>E1662</f>
        <v>0</v>
      </c>
      <c r="F1663" s="173">
        <f>F1662</f>
        <v>0</v>
      </c>
      <c r="G1663" s="38">
        <f>G1662</f>
        <v>0</v>
      </c>
      <c r="H1663" s="38"/>
      <c r="I1663" s="38">
        <f>I1662</f>
        <v>0</v>
      </c>
      <c r="J1663" s="1361"/>
      <c r="K1663" s="173">
        <f>SUM(K1662)</f>
        <v>0</v>
      </c>
      <c r="L1663" s="38">
        <f>SUM(L1662)</f>
        <v>0</v>
      </c>
      <c r="M1663" s="173">
        <f>M1662</f>
        <v>0</v>
      </c>
      <c r="N1663" s="1361">
        <f>N1662</f>
        <v>0</v>
      </c>
    </row>
    <row r="1664" spans="1:14" x14ac:dyDescent="0.2">
      <c r="B1664" s="254"/>
      <c r="D1664" s="38"/>
      <c r="E1664" s="173"/>
      <c r="F1664" s="173"/>
      <c r="G1664" s="38"/>
      <c r="H1664" s="38"/>
      <c r="I1664" s="38"/>
      <c r="J1664" s="1361"/>
      <c r="K1664" s="173"/>
      <c r="L1664" s="38"/>
      <c r="M1664" s="173"/>
    </row>
    <row r="1665" spans="1:14" x14ac:dyDescent="0.2">
      <c r="A1665" s="31">
        <f>A1663+1</f>
        <v>12</v>
      </c>
      <c r="B1665" s="254"/>
      <c r="C1665" s="36" t="s">
        <v>707</v>
      </c>
      <c r="D1665" s="38"/>
      <c r="E1665" s="173"/>
      <c r="F1665" s="173"/>
      <c r="G1665" s="38"/>
      <c r="H1665" s="38"/>
      <c r="I1665" s="38"/>
      <c r="J1665" s="1361"/>
      <c r="K1665" s="173"/>
      <c r="L1665" s="38"/>
      <c r="M1665" s="173"/>
    </row>
    <row r="1666" spans="1:14" x14ac:dyDescent="0.2">
      <c r="A1666" s="31">
        <f>A1665+1</f>
        <v>13</v>
      </c>
      <c r="B1666" s="253">
        <v>374.1</v>
      </c>
      <c r="C1666" s="52" t="s">
        <v>1035</v>
      </c>
      <c r="D1666" s="257">
        <f t="shared" ref="D1666:D1676" si="502">G1560</f>
        <v>206</v>
      </c>
      <c r="E1666" s="382">
        <f>ROUND('Plant input detail '!E1668*'WPB2.2 Plant detail-w slippage'!$P$2,0)</f>
        <v>0</v>
      </c>
      <c r="F1666" s="257">
        <f>ROUND('Plant input detail '!F1668*'WPB2.2 Plant detail-w slippage'!$P$2,0)</f>
        <v>0</v>
      </c>
      <c r="G1666" s="257">
        <f>SUM(D1666:F1666)</f>
        <v>206</v>
      </c>
      <c r="H1666" s="38"/>
      <c r="I1666" s="257">
        <f t="shared" ref="I1666:I1676" si="503">N1560</f>
        <v>0</v>
      </c>
      <c r="J1666" s="1360" t="s">
        <v>1102</v>
      </c>
      <c r="K1666" s="259">
        <v>0</v>
      </c>
      <c r="L1666" s="38">
        <f t="shared" ref="L1666:L1676" si="504">-F1666</f>
        <v>0</v>
      </c>
      <c r="M1666" s="257">
        <f>ROUND('Plant input detail '!M1668*'WPB2.2 Plant detail-w slippage'!$P$2,0)</f>
        <v>0</v>
      </c>
      <c r="N1666" s="2227">
        <f t="shared" ref="N1666:N1676" si="505">I1666+K1666-L1666+M1666</f>
        <v>0</v>
      </c>
    </row>
    <row r="1667" spans="1:14" x14ac:dyDescent="0.2">
      <c r="A1667" s="31">
        <f t="shared" ref="A1667:A1687" si="506">A1666+1</f>
        <v>14</v>
      </c>
      <c r="B1667" s="253">
        <v>374.2</v>
      </c>
      <c r="C1667" s="52" t="s">
        <v>1036</v>
      </c>
      <c r="D1667" s="257">
        <f t="shared" si="502"/>
        <v>877756.18</v>
      </c>
      <c r="E1667" s="382">
        <f>ROUND('Plant input detail '!E1669*'WPB2.2 Plant detail-w slippage'!$P$2,0)</f>
        <v>0</v>
      </c>
      <c r="F1667" s="257">
        <f>ROUND('Plant input detail '!F1669*'WPB2.2 Plant detail-w slippage'!$P$2,0)</f>
        <v>0</v>
      </c>
      <c r="G1667" s="257">
        <f t="shared" ref="G1667:G1676" si="507">SUM(D1667:F1667)</f>
        <v>877756.18</v>
      </c>
      <c r="H1667" s="38"/>
      <c r="I1667" s="257">
        <f t="shared" si="503"/>
        <v>-523.13</v>
      </c>
      <c r="J1667" s="1360" t="s">
        <v>1102</v>
      </c>
      <c r="K1667" s="259">
        <v>0</v>
      </c>
      <c r="L1667" s="38">
        <f t="shared" si="504"/>
        <v>0</v>
      </c>
      <c r="M1667" s="257">
        <f>ROUND('Plant input detail '!M1669*'WPB2.2 Plant detail-w slippage'!$P$2,0)</f>
        <v>0</v>
      </c>
      <c r="N1667" s="2227">
        <f t="shared" si="505"/>
        <v>-523.13</v>
      </c>
    </row>
    <row r="1668" spans="1:14" x14ac:dyDescent="0.2">
      <c r="A1668" s="31">
        <f t="shared" si="506"/>
        <v>15</v>
      </c>
      <c r="B1668" s="253">
        <v>374.4</v>
      </c>
      <c r="C1668" s="52" t="s">
        <v>1037</v>
      </c>
      <c r="D1668" s="257">
        <f t="shared" si="502"/>
        <v>661305.66</v>
      </c>
      <c r="E1668" s="382">
        <f>ROUND('Plant input detail '!E1670*'WPB2.2 Plant detail-w slippage'!$P$2,0)</f>
        <v>0</v>
      </c>
      <c r="F1668" s="257">
        <f>ROUND('Plant input detail '!F1670*'WPB2.2 Plant detail-w slippage'!$P$2,0)</f>
        <v>0</v>
      </c>
      <c r="G1668" s="257">
        <f t="shared" si="507"/>
        <v>661305.66</v>
      </c>
      <c r="H1668" s="38"/>
      <c r="I1668" s="257">
        <f t="shared" si="503"/>
        <v>183678.36</v>
      </c>
      <c r="J1668" s="1362">
        <f t="shared" ref="J1668:J1674" si="508">J1562</f>
        <v>1.7399999999999999E-2</v>
      </c>
      <c r="K1668" s="173">
        <f>ROUND((G1668+D1668)/2*J1668/12,0)</f>
        <v>959</v>
      </c>
      <c r="L1668" s="38">
        <f t="shared" si="504"/>
        <v>0</v>
      </c>
      <c r="M1668" s="257">
        <f>ROUND('Plant input detail '!M1670*'WPB2.2 Plant detail-w slippage'!$P$2,0)</f>
        <v>0</v>
      </c>
      <c r="N1668" s="2227">
        <f t="shared" si="505"/>
        <v>184637.36</v>
      </c>
    </row>
    <row r="1669" spans="1:14" x14ac:dyDescent="0.2">
      <c r="A1669" s="31">
        <f t="shared" si="506"/>
        <v>16</v>
      </c>
      <c r="B1669" s="253">
        <v>374.5</v>
      </c>
      <c r="C1669" s="52" t="s">
        <v>1038</v>
      </c>
      <c r="D1669" s="257">
        <f t="shared" si="502"/>
        <v>2721972.55</v>
      </c>
      <c r="E1669" s="382">
        <f>ROUND('Plant input detail '!E1671*'WPB2.2 Plant detail-w slippage'!$P$2,0)</f>
        <v>4800</v>
      </c>
      <c r="F1669" s="257">
        <f>ROUND('Plant input detail '!F1671*'WPB2.2 Plant detail-w slippage'!$P$2,0)</f>
        <v>-600</v>
      </c>
      <c r="G1669" s="257">
        <f t="shared" si="507"/>
        <v>2726172.55</v>
      </c>
      <c r="H1669" s="38"/>
      <c r="I1669" s="257">
        <f t="shared" si="503"/>
        <v>940904.23</v>
      </c>
      <c r="J1669" s="1362">
        <f t="shared" si="508"/>
        <v>1.29E-2</v>
      </c>
      <c r="K1669" s="173">
        <f t="shared" ref="K1669:K1674" si="509">ROUND((G1669+D1669)/2*J1669/12,0)</f>
        <v>2928</v>
      </c>
      <c r="L1669" s="38">
        <f t="shared" si="504"/>
        <v>600</v>
      </c>
      <c r="M1669" s="257">
        <f>ROUND('Plant input detail '!M1671*'WPB2.2 Plant detail-w slippage'!$P$2,0)</f>
        <v>0</v>
      </c>
      <c r="N1669" s="2227">
        <f t="shared" si="505"/>
        <v>943232.23</v>
      </c>
    </row>
    <row r="1670" spans="1:14" x14ac:dyDescent="0.2">
      <c r="A1670" s="31">
        <f t="shared" si="506"/>
        <v>17</v>
      </c>
      <c r="B1670" s="253">
        <v>375.2</v>
      </c>
      <c r="C1670" s="52" t="s">
        <v>1039</v>
      </c>
      <c r="D1670" s="257">
        <f t="shared" si="502"/>
        <v>2124.98</v>
      </c>
      <c r="E1670" s="382">
        <f>ROUND('Plant input detail '!E1672*'WPB2.2 Plant detail-w slippage'!$P$2,0)</f>
        <v>0</v>
      </c>
      <c r="F1670" s="257">
        <f>ROUND('Plant input detail '!F1672*'WPB2.2 Plant detail-w slippage'!$P$2,0)</f>
        <v>0</v>
      </c>
      <c r="G1670" s="257">
        <f t="shared" si="507"/>
        <v>2124.98</v>
      </c>
      <c r="H1670" s="38"/>
      <c r="I1670" s="257">
        <f t="shared" si="503"/>
        <v>2057.3199999999997</v>
      </c>
      <c r="J1670" s="1362">
        <f t="shared" si="508"/>
        <v>3.1800000000000002E-2</v>
      </c>
      <c r="K1670" s="173">
        <f t="shared" si="509"/>
        <v>6</v>
      </c>
      <c r="L1670" s="38">
        <f t="shared" si="504"/>
        <v>0</v>
      </c>
      <c r="M1670" s="257">
        <f>ROUND('Plant input detail '!M1672*'WPB2.2 Plant detail-w slippage'!$P$2,0)</f>
        <v>0</v>
      </c>
      <c r="N1670" s="2227">
        <f t="shared" si="505"/>
        <v>2063.3199999999997</v>
      </c>
    </row>
    <row r="1671" spans="1:14" x14ac:dyDescent="0.2">
      <c r="A1671" s="31">
        <f t="shared" si="506"/>
        <v>18</v>
      </c>
      <c r="B1671" s="253">
        <v>375.3</v>
      </c>
      <c r="C1671" s="52" t="s">
        <v>1040</v>
      </c>
      <c r="D1671" s="257">
        <f t="shared" si="502"/>
        <v>0</v>
      </c>
      <c r="E1671" s="382">
        <f>ROUND('Plant input detail '!E1673*'WPB2.2 Plant detail-w slippage'!$P$2,0)</f>
        <v>0</v>
      </c>
      <c r="F1671" s="257">
        <f>ROUND('Plant input detail '!F1673*'WPB2.2 Plant detail-w slippage'!$P$2,0)</f>
        <v>0</v>
      </c>
      <c r="G1671" s="257">
        <f t="shared" si="507"/>
        <v>0</v>
      </c>
      <c r="H1671" s="38"/>
      <c r="I1671" s="257">
        <f t="shared" si="503"/>
        <v>-77.66</v>
      </c>
      <c r="J1671" s="1362">
        <f t="shared" si="508"/>
        <v>3.1800000000000002E-2</v>
      </c>
      <c r="K1671" s="173">
        <f t="shared" si="509"/>
        <v>0</v>
      </c>
      <c r="L1671" s="38">
        <f t="shared" si="504"/>
        <v>0</v>
      </c>
      <c r="M1671" s="257">
        <f>ROUND('Plant input detail '!M1673*'WPB2.2 Plant detail-w slippage'!$P$2,0)</f>
        <v>0</v>
      </c>
      <c r="N1671" s="2227">
        <f t="shared" si="505"/>
        <v>-77.66</v>
      </c>
    </row>
    <row r="1672" spans="1:14" x14ac:dyDescent="0.2">
      <c r="A1672" s="31">
        <f t="shared" si="506"/>
        <v>19</v>
      </c>
      <c r="B1672" s="253">
        <v>375.4</v>
      </c>
      <c r="C1672" s="52" t="s">
        <v>1041</v>
      </c>
      <c r="D1672" s="257">
        <f t="shared" si="502"/>
        <v>2163430.02</v>
      </c>
      <c r="E1672" s="382">
        <f>ROUND('Plant input detail '!E1674*'WPB2.2 Plant detail-w slippage'!$P$2,0)</f>
        <v>25100</v>
      </c>
      <c r="F1672" s="257">
        <f>ROUND('Plant input detail '!F1674*'WPB2.2 Plant detail-w slippage'!$P$2,0)</f>
        <v>-3000</v>
      </c>
      <c r="G1672" s="257">
        <f t="shared" si="507"/>
        <v>2185530.02</v>
      </c>
      <c r="H1672" s="38"/>
      <c r="I1672" s="257">
        <f t="shared" si="503"/>
        <v>502529.37</v>
      </c>
      <c r="J1672" s="1362">
        <f t="shared" si="508"/>
        <v>3.1800000000000002E-2</v>
      </c>
      <c r="K1672" s="173">
        <f t="shared" si="509"/>
        <v>5762</v>
      </c>
      <c r="L1672" s="38">
        <f t="shared" si="504"/>
        <v>3000</v>
      </c>
      <c r="M1672" s="257">
        <f>ROUND('Plant input detail '!M1674*'WPB2.2 Plant detail-w slippage'!$P$2,0)</f>
        <v>-300</v>
      </c>
      <c r="N1672" s="2227">
        <f t="shared" si="505"/>
        <v>504991.37</v>
      </c>
    </row>
    <row r="1673" spans="1:14" x14ac:dyDescent="0.2">
      <c r="A1673" s="31">
        <f t="shared" si="506"/>
        <v>20</v>
      </c>
      <c r="B1673" s="253">
        <v>375.6</v>
      </c>
      <c r="C1673" s="52" t="s">
        <v>1042</v>
      </c>
      <c r="D1673" s="257">
        <f t="shared" si="502"/>
        <v>0</v>
      </c>
      <c r="E1673" s="382">
        <f>ROUND('Plant input detail '!E1675*'WPB2.2 Plant detail-w slippage'!$P$2,0)</f>
        <v>0</v>
      </c>
      <c r="F1673" s="257">
        <f>ROUND('Plant input detail '!F1675*'WPB2.2 Plant detail-w slippage'!$P$2,0)</f>
        <v>0</v>
      </c>
      <c r="G1673" s="257">
        <f t="shared" si="507"/>
        <v>0</v>
      </c>
      <c r="H1673" s="38"/>
      <c r="I1673" s="257">
        <f t="shared" si="503"/>
        <v>0.02</v>
      </c>
      <c r="J1673" s="1362">
        <f t="shared" si="508"/>
        <v>3.1800000000000002E-2</v>
      </c>
      <c r="K1673" s="173">
        <f t="shared" si="509"/>
        <v>0</v>
      </c>
      <c r="L1673" s="38">
        <f t="shared" si="504"/>
        <v>0</v>
      </c>
      <c r="M1673" s="257">
        <f>ROUND('Plant input detail '!M1675*'WPB2.2 Plant detail-w slippage'!$P$2,0)</f>
        <v>0</v>
      </c>
      <c r="N1673" s="2227">
        <f t="shared" si="505"/>
        <v>0.02</v>
      </c>
    </row>
    <row r="1674" spans="1:14" x14ac:dyDescent="0.2">
      <c r="A1674" s="31">
        <f t="shared" si="506"/>
        <v>21</v>
      </c>
      <c r="B1674" s="253">
        <v>375.7</v>
      </c>
      <c r="C1674" s="52" t="s">
        <v>1043</v>
      </c>
      <c r="D1674" s="257">
        <f t="shared" si="502"/>
        <v>8468050.2100000009</v>
      </c>
      <c r="E1674" s="382">
        <f>ROUND('Plant input detail '!E1676*'WPB2.2 Plant detail-w slippage'!$P$2,0)</f>
        <v>48300</v>
      </c>
      <c r="F1674" s="257">
        <f>ROUND('Plant input detail '!F1676*'WPB2.2 Plant detail-w slippage'!$P$2,0)</f>
        <v>-5800</v>
      </c>
      <c r="G1674" s="257">
        <f t="shared" si="507"/>
        <v>8510550.2100000009</v>
      </c>
      <c r="H1674" s="38"/>
      <c r="I1674" s="257">
        <f t="shared" si="503"/>
        <v>3361409.06</v>
      </c>
      <c r="J1674" s="1362">
        <f t="shared" si="508"/>
        <v>2.1299999999999999E-2</v>
      </c>
      <c r="K1674" s="173">
        <f t="shared" si="509"/>
        <v>15069</v>
      </c>
      <c r="L1674" s="38">
        <f t="shared" si="504"/>
        <v>5800</v>
      </c>
      <c r="M1674" s="257">
        <f>ROUND('Plant input detail '!M1676*'WPB2.2 Plant detail-w slippage'!$P$2,0)</f>
        <v>0</v>
      </c>
      <c r="N1674" s="2227">
        <f t="shared" si="505"/>
        <v>3370678.06</v>
      </c>
    </row>
    <row r="1675" spans="1:14" x14ac:dyDescent="0.2">
      <c r="A1675" s="31">
        <f t="shared" si="506"/>
        <v>22</v>
      </c>
      <c r="B1675" s="253">
        <v>375.71</v>
      </c>
      <c r="C1675" s="52" t="s">
        <v>1044</v>
      </c>
      <c r="D1675" s="257">
        <f t="shared" si="502"/>
        <v>259808.94</v>
      </c>
      <c r="E1675" s="382">
        <f>ROUND('Plant input detail '!E1677*'WPB2.2 Plant detail-w slippage'!$P$2,0)</f>
        <v>0</v>
      </c>
      <c r="F1675" s="257">
        <f>ROUND('Plant input detail '!F1677*'WPB2.2 Plant detail-w slippage'!$P$2,0)</f>
        <v>0</v>
      </c>
      <c r="G1675" s="257">
        <f t="shared" si="507"/>
        <v>259808.94</v>
      </c>
      <c r="H1675" s="38"/>
      <c r="I1675" s="257">
        <f t="shared" si="503"/>
        <v>196465.80210526334</v>
      </c>
      <c r="J1675" s="296" t="s">
        <v>1094</v>
      </c>
      <c r="K1675" s="258">
        <f>104653.88/38</f>
        <v>2754.0494736842106</v>
      </c>
      <c r="L1675" s="38">
        <f t="shared" si="504"/>
        <v>0</v>
      </c>
      <c r="M1675" s="257">
        <f>ROUND('Plant input detail '!M1677*'WPB2.2 Plant detail-w slippage'!$P$2,0)</f>
        <v>0</v>
      </c>
      <c r="N1675" s="2227">
        <f t="shared" si="505"/>
        <v>199219.85157894756</v>
      </c>
    </row>
    <row r="1676" spans="1:14" x14ac:dyDescent="0.2">
      <c r="A1676" s="31">
        <f t="shared" si="506"/>
        <v>23</v>
      </c>
      <c r="B1676" s="253">
        <v>375.8</v>
      </c>
      <c r="C1676" s="52" t="s">
        <v>1045</v>
      </c>
      <c r="D1676" s="257">
        <f t="shared" si="502"/>
        <v>0</v>
      </c>
      <c r="E1676" s="382">
        <f>ROUND('Plant input detail '!E1678*'WPB2.2 Plant detail-w slippage'!$P$2,0)</f>
        <v>0</v>
      </c>
      <c r="F1676" s="257">
        <f>ROUND('Plant input detail '!F1678*'WPB2.2 Plant detail-w slippage'!$P$2,0)</f>
        <v>0</v>
      </c>
      <c r="G1676" s="257">
        <f t="shared" si="507"/>
        <v>0</v>
      </c>
      <c r="H1676" s="38"/>
      <c r="I1676" s="257">
        <f t="shared" si="503"/>
        <v>0</v>
      </c>
      <c r="J1676" s="1362">
        <f>J1570</f>
        <v>0</v>
      </c>
      <c r="K1676" s="259">
        <v>0</v>
      </c>
      <c r="L1676" s="38">
        <f t="shared" si="504"/>
        <v>0</v>
      </c>
      <c r="M1676" s="257">
        <f>ROUND('Plant input detail '!M1678*'WPB2.2 Plant detail-w slippage'!$P$2,0)</f>
        <v>0</v>
      </c>
      <c r="N1676" s="2227">
        <f t="shared" si="505"/>
        <v>0</v>
      </c>
    </row>
    <row r="1677" spans="1:14" x14ac:dyDescent="0.2">
      <c r="A1677" s="31">
        <f>A1676+1</f>
        <v>24</v>
      </c>
      <c r="B1677" s="253">
        <v>376</v>
      </c>
      <c r="C1677" s="251" t="s">
        <v>1096</v>
      </c>
      <c r="D1677" s="257"/>
      <c r="E1677" s="258"/>
      <c r="F1677" s="259"/>
      <c r="G1677" s="257"/>
      <c r="H1677" s="38"/>
      <c r="I1677" s="181"/>
      <c r="J1677" s="1361"/>
      <c r="K1677" s="173"/>
      <c r="L1677" s="38"/>
      <c r="M1677" s="259"/>
    </row>
    <row r="1678" spans="1:14" x14ac:dyDescent="0.2">
      <c r="A1678" s="31"/>
      <c r="B1678" s="253"/>
      <c r="C1678" s="286" t="s">
        <v>1097</v>
      </c>
      <c r="D1678" s="257"/>
      <c r="E1678" s="258"/>
      <c r="F1678" s="259"/>
      <c r="G1678" s="257"/>
      <c r="H1678" s="38"/>
      <c r="I1678" s="257"/>
      <c r="J1678" s="1362"/>
      <c r="K1678" s="173"/>
      <c r="L1678" s="38"/>
      <c r="M1678" s="257"/>
      <c r="N1678" s="2227"/>
    </row>
    <row r="1679" spans="1:14" x14ac:dyDescent="0.2">
      <c r="A1679" s="31"/>
      <c r="B1679" s="253"/>
      <c r="C1679" s="286" t="s">
        <v>1098</v>
      </c>
      <c r="D1679" s="257"/>
      <c r="E1679" s="258"/>
      <c r="F1679" s="259"/>
      <c r="G1679" s="257"/>
      <c r="H1679" s="38"/>
      <c r="I1679" s="257"/>
      <c r="J1679" s="1362"/>
      <c r="K1679" s="173"/>
      <c r="L1679" s="38"/>
      <c r="M1679" s="257"/>
      <c r="N1679" s="2227"/>
    </row>
    <row r="1680" spans="1:14" x14ac:dyDescent="0.2">
      <c r="A1680" s="31"/>
      <c r="B1680" s="253"/>
      <c r="C1680" s="286" t="s">
        <v>1099</v>
      </c>
      <c r="D1680" s="257"/>
      <c r="E1680" s="258"/>
      <c r="F1680" s="259"/>
      <c r="G1680" s="257"/>
      <c r="H1680" s="38"/>
      <c r="I1680" s="257"/>
      <c r="J1680" s="1362"/>
      <c r="K1680" s="173"/>
      <c r="L1680" s="38"/>
      <c r="M1680" s="257"/>
      <c r="N1680" s="2227"/>
    </row>
    <row r="1681" spans="1:14" x14ac:dyDescent="0.2">
      <c r="A1681" s="31"/>
      <c r="B1681" s="253"/>
      <c r="C1681" s="286" t="s">
        <v>1100</v>
      </c>
      <c r="D1681" s="257"/>
      <c r="E1681" s="258"/>
      <c r="F1681" s="259"/>
      <c r="G1681" s="257"/>
      <c r="H1681" s="38"/>
      <c r="I1681" s="257"/>
      <c r="J1681" s="1362"/>
      <c r="K1681" s="173"/>
      <c r="L1681" s="38"/>
      <c r="M1681" s="257"/>
      <c r="N1681" s="2227"/>
    </row>
    <row r="1682" spans="1:14" x14ac:dyDescent="0.2">
      <c r="A1682" s="31"/>
      <c r="B1682" s="253"/>
      <c r="C1682" s="286" t="s">
        <v>1101</v>
      </c>
      <c r="D1682" s="257">
        <f t="shared" ref="D1682:D1687" si="510">G1576</f>
        <v>216878305.44</v>
      </c>
      <c r="E1682" s="382">
        <f>ROUND('Plant input detail '!E1684*'WPB2.2 Plant detail-w slippage'!$P$2,0)</f>
        <v>1786620</v>
      </c>
      <c r="F1682" s="257">
        <f>ROUND('Plant input detail '!F1684*'WPB2.2 Plant detail-w slippage'!$P$2,0)</f>
        <v>-214400</v>
      </c>
      <c r="G1682" s="257">
        <f t="shared" ref="G1682:G1687" si="511">SUM(D1682:F1682)</f>
        <v>218450525.44</v>
      </c>
      <c r="H1682" s="38"/>
      <c r="I1682" s="257">
        <f t="shared" ref="I1682:I1687" si="512">N1576</f>
        <v>58964644.609999999</v>
      </c>
      <c r="J1682" s="1362">
        <f t="shared" ref="J1682:J1687" si="513">J1576</f>
        <v>2.3E-2</v>
      </c>
      <c r="K1682" s="173">
        <f t="shared" ref="K1682:K1687" si="514">ROUND((G1682+D1682)/2*J1682/12,0)</f>
        <v>417190</v>
      </c>
      <c r="L1682" s="38">
        <f t="shared" ref="L1682:L1687" si="515">-F1682</f>
        <v>214400</v>
      </c>
      <c r="M1682" s="257">
        <f>ROUND('Plant input detail '!M1684*'WPB2.2 Plant detail-w slippage'!$P$2,0)</f>
        <v>-32200</v>
      </c>
      <c r="N1682" s="2227">
        <f t="shared" ref="N1682:N1687" si="516">I1682+K1682-L1682+M1682</f>
        <v>59135234.609999999</v>
      </c>
    </row>
    <row r="1683" spans="1:14" x14ac:dyDescent="0.2">
      <c r="A1683" s="31">
        <f>A1677+1</f>
        <v>25</v>
      </c>
      <c r="B1683" s="253">
        <v>378.1</v>
      </c>
      <c r="C1683" s="52" t="s">
        <v>1047</v>
      </c>
      <c r="D1683" s="257">
        <f t="shared" si="510"/>
        <v>518504.18</v>
      </c>
      <c r="E1683" s="382">
        <f>ROUND('Plant input detail '!E1685*'WPB2.2 Plant detail-w slippage'!$P$2,0)</f>
        <v>0</v>
      </c>
      <c r="F1683" s="257">
        <f>ROUND('Plant input detail '!F1685*'WPB2.2 Plant detail-w slippage'!$P$2,0)</f>
        <v>0</v>
      </c>
      <c r="G1683" s="257">
        <f t="shared" si="511"/>
        <v>518504.18</v>
      </c>
      <c r="H1683" s="38"/>
      <c r="I1683" s="257">
        <f t="shared" si="512"/>
        <v>370636.81</v>
      </c>
      <c r="J1683" s="1362">
        <f t="shared" si="513"/>
        <v>3.32E-2</v>
      </c>
      <c r="K1683" s="173">
        <f t="shared" si="514"/>
        <v>1435</v>
      </c>
      <c r="L1683" s="38">
        <f t="shared" si="515"/>
        <v>0</v>
      </c>
      <c r="M1683" s="257">
        <f>ROUND('Plant input detail '!M1685*'WPB2.2 Plant detail-w slippage'!$P$2,0)</f>
        <v>0</v>
      </c>
      <c r="N1683" s="2227">
        <f t="shared" si="516"/>
        <v>372071.81</v>
      </c>
    </row>
    <row r="1684" spans="1:14" x14ac:dyDescent="0.2">
      <c r="A1684" s="31">
        <f t="shared" si="506"/>
        <v>26</v>
      </c>
      <c r="B1684" s="253">
        <v>378.2</v>
      </c>
      <c r="C1684" s="52" t="s">
        <v>1048</v>
      </c>
      <c r="D1684" s="257">
        <f t="shared" si="510"/>
        <v>9860324</v>
      </c>
      <c r="E1684" s="382">
        <f>ROUND('Plant input detail '!E1686*'WPB2.2 Plant detail-w slippage'!$P$2,0)</f>
        <v>36200</v>
      </c>
      <c r="F1684" s="257">
        <f>ROUND('Plant input detail '!F1686*'WPB2.2 Plant detail-w slippage'!$P$2,0)</f>
        <v>-4300</v>
      </c>
      <c r="G1684" s="257">
        <f t="shared" si="511"/>
        <v>9892224</v>
      </c>
      <c r="H1684" s="38"/>
      <c r="I1684" s="257">
        <f t="shared" si="512"/>
        <v>3493161.91</v>
      </c>
      <c r="J1684" s="1362">
        <f t="shared" si="513"/>
        <v>3.32E-2</v>
      </c>
      <c r="K1684" s="173">
        <f t="shared" si="514"/>
        <v>27324</v>
      </c>
      <c r="L1684" s="38">
        <f t="shared" si="515"/>
        <v>4300</v>
      </c>
      <c r="M1684" s="257">
        <f>ROUND('Plant input detail '!M1686*'WPB2.2 Plant detail-w slippage'!$P$2,0)</f>
        <v>-200</v>
      </c>
      <c r="N1684" s="2227">
        <f t="shared" si="516"/>
        <v>3515985.91</v>
      </c>
    </row>
    <row r="1685" spans="1:14" x14ac:dyDescent="0.2">
      <c r="A1685" s="31">
        <f t="shared" si="506"/>
        <v>27</v>
      </c>
      <c r="B1685" s="253">
        <v>378.3</v>
      </c>
      <c r="C1685" s="52" t="s">
        <v>1049</v>
      </c>
      <c r="D1685" s="257">
        <f t="shared" si="510"/>
        <v>45443.08</v>
      </c>
      <c r="E1685" s="382">
        <f>ROUND('Plant input detail '!E1687*'WPB2.2 Plant detail-w slippage'!$P$2,0)</f>
        <v>0</v>
      </c>
      <c r="F1685" s="257">
        <f>ROUND('Plant input detail '!F1687*'WPB2.2 Plant detail-w slippage'!$P$2,0)</f>
        <v>0</v>
      </c>
      <c r="G1685" s="257">
        <f t="shared" si="511"/>
        <v>45443.08</v>
      </c>
      <c r="H1685" s="38"/>
      <c r="I1685" s="257">
        <f t="shared" si="512"/>
        <v>36508.04</v>
      </c>
      <c r="J1685" s="1362">
        <f t="shared" si="513"/>
        <v>3.32E-2</v>
      </c>
      <c r="K1685" s="173">
        <f t="shared" si="514"/>
        <v>126</v>
      </c>
      <c r="L1685" s="38">
        <f t="shared" si="515"/>
        <v>0</v>
      </c>
      <c r="M1685" s="257">
        <f>ROUND('Plant input detail '!M1687*'WPB2.2 Plant detail-w slippage'!$P$2,0)</f>
        <v>0</v>
      </c>
      <c r="N1685" s="2227">
        <f t="shared" si="516"/>
        <v>36634.04</v>
      </c>
    </row>
    <row r="1686" spans="1:14" x14ac:dyDescent="0.2">
      <c r="A1686" s="31">
        <f t="shared" si="506"/>
        <v>28</v>
      </c>
      <c r="B1686" s="253">
        <v>379.1</v>
      </c>
      <c r="C1686" s="52" t="s">
        <v>1050</v>
      </c>
      <c r="D1686" s="257">
        <f t="shared" si="510"/>
        <v>254900.59</v>
      </c>
      <c r="E1686" s="382">
        <f>ROUND('Plant input detail '!E1688*'WPB2.2 Plant detail-w slippage'!$P$2,0)</f>
        <v>0</v>
      </c>
      <c r="F1686" s="257">
        <f>ROUND('Plant input detail '!F1688*'WPB2.2 Plant detail-w slippage'!$P$2,0)</f>
        <v>0</v>
      </c>
      <c r="G1686" s="257">
        <f t="shared" si="511"/>
        <v>254900.59</v>
      </c>
      <c r="H1686" s="38"/>
      <c r="I1686" s="257">
        <f t="shared" si="512"/>
        <v>267730.57</v>
      </c>
      <c r="J1686" s="1362">
        <f t="shared" si="513"/>
        <v>6.0000000000000001E-3</v>
      </c>
      <c r="K1686" s="259">
        <v>0</v>
      </c>
      <c r="L1686" s="38">
        <f t="shared" si="515"/>
        <v>0</v>
      </c>
      <c r="M1686" s="257">
        <f>ROUND('Plant input detail '!M1688*'WPB2.2 Plant detail-w slippage'!$P$2,0)</f>
        <v>0</v>
      </c>
      <c r="N1686" s="2227">
        <f t="shared" si="516"/>
        <v>267730.57</v>
      </c>
    </row>
    <row r="1687" spans="1:14" x14ac:dyDescent="0.2">
      <c r="A1687" s="31">
        <f t="shared" si="506"/>
        <v>29</v>
      </c>
      <c r="B1687" s="253">
        <v>380</v>
      </c>
      <c r="C1687" s="52" t="s">
        <v>1051</v>
      </c>
      <c r="D1687" s="257">
        <f t="shared" si="510"/>
        <v>125236062.77</v>
      </c>
      <c r="E1687" s="382">
        <f>ROUND('Plant input detail '!E1689*'WPB2.2 Plant detail-w slippage'!$P$2,0)</f>
        <v>928546</v>
      </c>
      <c r="F1687" s="257">
        <f>ROUND('Plant input detail '!F1689*'WPB2.2 Plant detail-w slippage'!$P$2,0)</f>
        <v>-111400</v>
      </c>
      <c r="G1687" s="257">
        <f t="shared" si="511"/>
        <v>126053208.77</v>
      </c>
      <c r="H1687" s="38"/>
      <c r="I1687" s="257">
        <f t="shared" si="512"/>
        <v>60979272.520000003</v>
      </c>
      <c r="J1687" s="1362">
        <f t="shared" si="513"/>
        <v>5.0999999999999997E-2</v>
      </c>
      <c r="K1687" s="173">
        <f t="shared" si="514"/>
        <v>533990</v>
      </c>
      <c r="L1687" s="38">
        <f t="shared" si="515"/>
        <v>111400</v>
      </c>
      <c r="M1687" s="257">
        <f>ROUND('Plant input detail '!M1689*'WPB2.2 Plant detail-w slippage'!$P$2,0)</f>
        <v>-55700</v>
      </c>
      <c r="N1687" s="2227">
        <f t="shared" si="516"/>
        <v>61346162.520000003</v>
      </c>
    </row>
    <row r="1688" spans="1:14" x14ac:dyDescent="0.2">
      <c r="A1688" s="170"/>
      <c r="B1688" s="179"/>
      <c r="C1688" s="178"/>
      <c r="D1688" s="181"/>
      <c r="E1688" s="173"/>
      <c r="F1688" s="173"/>
      <c r="G1688" s="181"/>
      <c r="H1688" s="173"/>
      <c r="I1688" s="173"/>
      <c r="J1688" s="173"/>
      <c r="K1688" s="173"/>
      <c r="L1688" s="173"/>
      <c r="M1688" s="171"/>
      <c r="N1688" s="2229"/>
    </row>
    <row r="1689" spans="1:14" x14ac:dyDescent="0.2">
      <c r="A1689" s="2079" t="str">
        <f>co</f>
        <v>COLUMBIA GAS OF KENTUCKY, INC.</v>
      </c>
      <c r="B1689" s="2079"/>
      <c r="C1689" s="2079"/>
      <c r="D1689" s="2079"/>
      <c r="E1689" s="2079"/>
      <c r="F1689" s="2079"/>
      <c r="G1689" s="2079"/>
      <c r="H1689" s="2079"/>
      <c r="I1689" s="2079"/>
      <c r="J1689" s="2079"/>
      <c r="K1689" s="2079"/>
      <c r="L1689" s="2079"/>
      <c r="M1689" s="2079"/>
      <c r="N1689" s="2079"/>
    </row>
    <row r="1690" spans="1:14" x14ac:dyDescent="0.2">
      <c r="A1690" s="2079" t="str">
        <f>case</f>
        <v>CASE NO. 2016 - 00162</v>
      </c>
      <c r="B1690" s="2079"/>
      <c r="C1690" s="2079"/>
      <c r="D1690" s="2079"/>
      <c r="E1690" s="2079"/>
      <c r="F1690" s="2079"/>
      <c r="G1690" s="2079"/>
      <c r="H1690" s="2079"/>
      <c r="I1690" s="2079"/>
      <c r="J1690" s="2079"/>
      <c r="K1690" s="2079"/>
      <c r="L1690" s="2079"/>
      <c r="M1690" s="2079"/>
      <c r="N1690" s="2079"/>
    </row>
    <row r="1691" spans="1:14" x14ac:dyDescent="0.2">
      <c r="A1691" s="2080" t="s">
        <v>1106</v>
      </c>
      <c r="B1691" s="2079"/>
      <c r="C1691" s="2079"/>
      <c r="D1691" s="2079"/>
      <c r="E1691" s="2079"/>
      <c r="F1691" s="2079"/>
      <c r="G1691" s="2079"/>
      <c r="H1691" s="2079"/>
      <c r="I1691" s="2079"/>
      <c r="J1691" s="2079"/>
      <c r="K1691" s="2079"/>
      <c r="L1691" s="2079"/>
      <c r="M1691" s="2079"/>
      <c r="N1691" s="2079"/>
    </row>
    <row r="1692" spans="1:14" x14ac:dyDescent="0.2">
      <c r="A1692" s="2081" t="s">
        <v>2142</v>
      </c>
      <c r="B1692" s="2085"/>
      <c r="C1692" s="2085"/>
      <c r="D1692" s="2085"/>
      <c r="E1692" s="2085"/>
      <c r="F1692" s="2085"/>
      <c r="G1692" s="2085"/>
      <c r="H1692" s="2085"/>
      <c r="I1692" s="2085"/>
      <c r="J1692" s="2085"/>
      <c r="K1692" s="2085"/>
      <c r="L1692" s="2085"/>
      <c r="M1692" s="2085"/>
      <c r="N1692" s="2085"/>
    </row>
    <row r="1694" spans="1:14" x14ac:dyDescent="0.2">
      <c r="A1694" s="285" t="str">
        <f>$A$6</f>
        <v>DATA:__X___BASE PERIOD__X___FORECASTED PERIOD</v>
      </c>
      <c r="C1694" s="171"/>
      <c r="M1694" s="32"/>
      <c r="N1694" s="1258" t="str">
        <f>$N$6</f>
        <v>WPB-2.2</v>
      </c>
    </row>
    <row r="1695" spans="1:14" x14ac:dyDescent="0.2">
      <c r="A1695" s="4" t="str">
        <f>$A$7</f>
        <v>TYPE OF FILING:___X____ORIGINAL________UPDATED</v>
      </c>
      <c r="M1695" s="32"/>
      <c r="N1695" s="2223" t="s">
        <v>1745</v>
      </c>
    </row>
    <row r="1696" spans="1:14" x14ac:dyDescent="0.2">
      <c r="A1696" s="1261" t="str">
        <f>$A$8</f>
        <v xml:space="preserve">WORKPAPER REFERENCE NO(S).: </v>
      </c>
      <c r="B1696" s="202"/>
      <c r="C1696" s="202"/>
      <c r="D1696" s="201"/>
      <c r="E1696" s="202"/>
      <c r="F1696" s="202"/>
      <c r="G1696" s="201"/>
      <c r="H1696" s="201"/>
      <c r="M1696" s="203"/>
      <c r="N1696" s="204" t="str">
        <f>SMK</f>
        <v>WITNESS:  S. M. KATKO</v>
      </c>
    </row>
    <row r="1697" spans="1:14" x14ac:dyDescent="0.2">
      <c r="A1697" s="200"/>
      <c r="B1697" s="201"/>
      <c r="C1697" s="201"/>
      <c r="D1697" s="201"/>
      <c r="E1697" s="202"/>
      <c r="F1697" s="202"/>
      <c r="G1697" s="201"/>
      <c r="H1697" s="201"/>
      <c r="I1697" s="203"/>
      <c r="J1697" s="1357"/>
      <c r="L1697" s="32"/>
      <c r="M1697" s="32"/>
    </row>
    <row r="1698" spans="1:14" x14ac:dyDescent="0.2">
      <c r="A1698" s="200"/>
      <c r="B1698" s="201"/>
      <c r="C1698" s="201"/>
      <c r="D1698" s="2082" t="s">
        <v>1088</v>
      </c>
      <c r="E1698" s="2082"/>
      <c r="F1698" s="2082"/>
      <c r="G1698" s="2082"/>
      <c r="H1698" s="201"/>
      <c r="I1698" s="2083" t="s">
        <v>1093</v>
      </c>
      <c r="J1698" s="2084"/>
      <c r="K1698" s="2084"/>
      <c r="L1698" s="2084"/>
      <c r="M1698" s="2084"/>
      <c r="N1698" s="2084"/>
    </row>
    <row r="1699" spans="1:14" x14ac:dyDescent="0.2">
      <c r="A1699" s="270"/>
      <c r="B1699" s="201"/>
      <c r="C1699" s="201"/>
      <c r="D1699" s="271" t="s">
        <v>1084</v>
      </c>
      <c r="E1699" s="202"/>
      <c r="F1699" s="202"/>
      <c r="G1699" s="269"/>
      <c r="H1699" s="269"/>
      <c r="I1699" s="261" t="s">
        <v>1089</v>
      </c>
      <c r="J1699" s="1358"/>
      <c r="M1699" s="32"/>
    </row>
    <row r="1700" spans="1:14" x14ac:dyDescent="0.2">
      <c r="A1700" s="30"/>
      <c r="D1700" s="261" t="s">
        <v>865</v>
      </c>
      <c r="G1700" s="261" t="s">
        <v>867</v>
      </c>
      <c r="H1700" s="268"/>
      <c r="I1700" s="261" t="s">
        <v>865</v>
      </c>
      <c r="J1700" s="1308" t="s">
        <v>956</v>
      </c>
      <c r="M1700" s="32"/>
      <c r="N1700" s="2225" t="s">
        <v>867</v>
      </c>
    </row>
    <row r="1701" spans="1:14" x14ac:dyDescent="0.2">
      <c r="A1701" s="261" t="s">
        <v>1080</v>
      </c>
      <c r="B1701" s="261" t="s">
        <v>1082</v>
      </c>
      <c r="D1701" s="261" t="s">
        <v>867</v>
      </c>
      <c r="G1701" s="262" t="s">
        <v>1087</v>
      </c>
      <c r="H1701" s="268"/>
      <c r="I1701" s="262" t="s">
        <v>867</v>
      </c>
      <c r="J1701" s="1308" t="s">
        <v>1090</v>
      </c>
      <c r="K1701" s="1308" t="s">
        <v>956</v>
      </c>
      <c r="M1701" s="262" t="s">
        <v>1092</v>
      </c>
      <c r="N1701" s="1259" t="s">
        <v>1087</v>
      </c>
    </row>
    <row r="1702" spans="1:14" x14ac:dyDescent="0.2">
      <c r="A1702" s="272" t="s">
        <v>1081</v>
      </c>
      <c r="B1702" s="272" t="s">
        <v>1081</v>
      </c>
      <c r="C1702" s="273" t="s">
        <v>1083</v>
      </c>
      <c r="D1702" s="274" t="str">
        <f>D1649</f>
        <v>05/31/2017</v>
      </c>
      <c r="E1702" s="275" t="s">
        <v>1085</v>
      </c>
      <c r="F1702" s="275" t="s">
        <v>1086</v>
      </c>
      <c r="G1702" s="274" t="str">
        <f>G1649</f>
        <v>06/30/2017</v>
      </c>
      <c r="H1702" s="268"/>
      <c r="I1702" s="274" t="str">
        <f>D1702</f>
        <v>05/31/2017</v>
      </c>
      <c r="J1702" s="275" t="s">
        <v>1091</v>
      </c>
      <c r="K1702" s="1327" t="s">
        <v>1090</v>
      </c>
      <c r="L1702" s="276" t="s">
        <v>1086</v>
      </c>
      <c r="M1702" s="276" t="s">
        <v>955</v>
      </c>
      <c r="N1702" s="2226" t="str">
        <f>G1702</f>
        <v>06/30/2017</v>
      </c>
    </row>
    <row r="1703" spans="1:14" x14ac:dyDescent="0.2">
      <c r="A1703" s="267"/>
      <c r="B1703" s="267"/>
      <c r="C1703" s="267"/>
      <c r="D1703" s="267" t="str">
        <f>"(1)"</f>
        <v>(1)</v>
      </c>
      <c r="E1703" s="267" t="str">
        <f>"(2)"</f>
        <v>(2)</v>
      </c>
      <c r="F1703" s="267" t="str">
        <f>"(3)"</f>
        <v>(3)</v>
      </c>
      <c r="G1703" s="267" t="str">
        <f>"(4)=(1+2+3)"</f>
        <v>(4)=(1+2+3)</v>
      </c>
      <c r="H1703" s="267"/>
      <c r="I1703" s="267" t="str">
        <f>"(5)"</f>
        <v>(5)</v>
      </c>
      <c r="J1703" s="1328" t="str">
        <f>"(6)"</f>
        <v>(6)</v>
      </c>
      <c r="K1703" s="1328" t="str">
        <f>"(7)=((1+4)/2*6/12))"</f>
        <v>(7)=((1+4)/2*6/12))</v>
      </c>
      <c r="L1703" s="267" t="str">
        <f>"(8)"</f>
        <v>(8)</v>
      </c>
      <c r="M1703" s="267" t="str">
        <f>"(9)"</f>
        <v>(9)</v>
      </c>
      <c r="N1703" s="204" t="str">
        <f>"(10)=(5+7-8+9)"</f>
        <v>(10)=(5+7-8+9)</v>
      </c>
    </row>
    <row r="1704" spans="1:14" x14ac:dyDescent="0.2">
      <c r="D1704" s="31" t="s">
        <v>639</v>
      </c>
      <c r="E1704" s="170" t="s">
        <v>639</v>
      </c>
      <c r="F1704" s="170" t="s">
        <v>639</v>
      </c>
      <c r="G1704" s="31" t="s">
        <v>639</v>
      </c>
      <c r="H1704" s="31"/>
      <c r="I1704" s="31" t="s">
        <v>639</v>
      </c>
      <c r="J1704" s="170" t="s">
        <v>639</v>
      </c>
      <c r="K1704" s="170" t="s">
        <v>639</v>
      </c>
      <c r="L1704" s="31" t="s">
        <v>639</v>
      </c>
      <c r="M1704" s="31" t="s">
        <v>639</v>
      </c>
      <c r="N1704" s="155" t="s">
        <v>639</v>
      </c>
    </row>
    <row r="1705" spans="1:14" x14ac:dyDescent="0.2">
      <c r="C1705" s="36" t="s">
        <v>707</v>
      </c>
      <c r="D1705" s="31"/>
      <c r="E1705" s="170"/>
      <c r="F1705" s="170"/>
      <c r="G1705" s="31"/>
      <c r="J1705" s="170"/>
    </row>
    <row r="1706" spans="1:14" x14ac:dyDescent="0.2">
      <c r="A1706" s="127">
        <v>1</v>
      </c>
      <c r="B1706" s="123">
        <v>381</v>
      </c>
      <c r="C1706" s="52" t="s">
        <v>1052</v>
      </c>
      <c r="D1706" s="257">
        <f t="shared" ref="D1706:D1717" si="517">G1600</f>
        <v>13827608.550000001</v>
      </c>
      <c r="E1706" s="382">
        <f>ROUND('Plant input detail '!E1708*'WPB2.2 Plant detail-w slippage'!$P$2,0)</f>
        <v>51900</v>
      </c>
      <c r="F1706" s="257">
        <f>ROUND('Plant input detail '!F1708*'WPB2.2 Plant detail-w slippage'!$P$2,0)</f>
        <v>-6200</v>
      </c>
      <c r="G1706" s="257">
        <f>SUM(D1706:F1706)</f>
        <v>13873308.550000001</v>
      </c>
      <c r="H1706" s="38"/>
      <c r="I1706" s="257">
        <f t="shared" ref="I1706:I1717" si="518">N1600</f>
        <v>5105024.8899999997</v>
      </c>
      <c r="J1706" s="1362">
        <f t="shared" ref="J1706:J1717" si="519">J1600</f>
        <v>3.3000000000000002E-2</v>
      </c>
      <c r="K1706" s="173">
        <f t="shared" ref="K1706:K1717" si="520">ROUND((G1706+D1706)/2*J1706/12,0)</f>
        <v>38089</v>
      </c>
      <c r="L1706" s="38">
        <f t="shared" ref="L1706:L1717" si="521">-F1706</f>
        <v>6200</v>
      </c>
      <c r="M1706" s="257">
        <f>ROUND('Plant input detail '!M1708*'WPB2.2 Plant detail-w slippage'!$P$2,0)</f>
        <v>0</v>
      </c>
      <c r="N1706" s="2227">
        <f t="shared" ref="N1706:N1717" si="522">I1706+K1706-L1706+M1706</f>
        <v>5136913.8899999997</v>
      </c>
    </row>
    <row r="1707" spans="1:14" x14ac:dyDescent="0.2">
      <c r="A1707" s="127">
        <f>A1706+1</f>
        <v>2</v>
      </c>
      <c r="B1707" s="123">
        <v>381.1</v>
      </c>
      <c r="C1707" s="52" t="s">
        <v>1115</v>
      </c>
      <c r="D1707" s="257">
        <f t="shared" si="517"/>
        <v>8822712.0600000005</v>
      </c>
      <c r="E1707" s="382">
        <f>ROUND('Plant input detail '!E1709*'WPB2.2 Plant detail-w slippage'!$P$2,0)</f>
        <v>5300</v>
      </c>
      <c r="F1707" s="257">
        <f>ROUND('Plant input detail '!F1709*'WPB2.2 Plant detail-w slippage'!$P$2,0)</f>
        <v>-600</v>
      </c>
      <c r="G1707" s="257">
        <f>SUM(D1707:F1707)</f>
        <v>8827412.0600000005</v>
      </c>
      <c r="H1707" s="38"/>
      <c r="I1707" s="257">
        <f t="shared" si="518"/>
        <v>842077.5</v>
      </c>
      <c r="J1707" s="1362">
        <f t="shared" si="519"/>
        <v>8.0600000000000005E-2</v>
      </c>
      <c r="K1707" s="173">
        <f t="shared" si="520"/>
        <v>59275</v>
      </c>
      <c r="L1707" s="38">
        <f t="shared" si="521"/>
        <v>600</v>
      </c>
      <c r="M1707" s="257">
        <f>ROUND('Plant input detail '!M1709*'WPB2.2 Plant detail-w slippage'!$P$2,0)</f>
        <v>0</v>
      </c>
      <c r="N1707" s="2227">
        <f t="shared" si="522"/>
        <v>900752.5</v>
      </c>
    </row>
    <row r="1708" spans="1:14" x14ac:dyDescent="0.2">
      <c r="A1708" s="127">
        <f t="shared" ref="A1708:A1718" si="523">A1707+1</f>
        <v>3</v>
      </c>
      <c r="B1708" s="123">
        <v>382</v>
      </c>
      <c r="C1708" s="52" t="s">
        <v>1053</v>
      </c>
      <c r="D1708" s="257">
        <f t="shared" si="517"/>
        <v>9388592.6500000004</v>
      </c>
      <c r="E1708" s="382">
        <f>ROUND('Plant input detail '!E1710*'WPB2.2 Plant detail-w slippage'!$P$2,0)</f>
        <v>34500</v>
      </c>
      <c r="F1708" s="257">
        <f>ROUND('Plant input detail '!F1710*'WPB2.2 Plant detail-w slippage'!$P$2,0)</f>
        <v>-4100</v>
      </c>
      <c r="G1708" s="257">
        <f t="shared" ref="G1708:G1713" si="524">SUM(D1708:F1708)</f>
        <v>9418992.6500000004</v>
      </c>
      <c r="H1708" s="38"/>
      <c r="I1708" s="257">
        <f t="shared" si="518"/>
        <v>4704555.3</v>
      </c>
      <c r="J1708" s="1362">
        <f t="shared" si="519"/>
        <v>2.4400000000000002E-2</v>
      </c>
      <c r="K1708" s="173">
        <f t="shared" si="520"/>
        <v>19121</v>
      </c>
      <c r="L1708" s="38">
        <f t="shared" si="521"/>
        <v>4100</v>
      </c>
      <c r="M1708" s="257">
        <f>ROUND('Plant input detail '!M1710*'WPB2.2 Plant detail-w slippage'!$P$2,0)</f>
        <v>-200</v>
      </c>
      <c r="N1708" s="2227">
        <f t="shared" si="522"/>
        <v>4719376.3</v>
      </c>
    </row>
    <row r="1709" spans="1:14" x14ac:dyDescent="0.2">
      <c r="A1709" s="127">
        <f t="shared" si="523"/>
        <v>4</v>
      </c>
      <c r="B1709" s="123">
        <v>383</v>
      </c>
      <c r="C1709" s="52" t="s">
        <v>1054</v>
      </c>
      <c r="D1709" s="257">
        <f t="shared" si="517"/>
        <v>5738720.7599999998</v>
      </c>
      <c r="E1709" s="382">
        <f>ROUND('Plant input detail '!E1711*'WPB2.2 Plant detail-w slippage'!$P$2,0)</f>
        <v>19100</v>
      </c>
      <c r="F1709" s="257">
        <f>ROUND('Plant input detail '!F1711*'WPB2.2 Plant detail-w slippage'!$P$2,0)</f>
        <v>-2300</v>
      </c>
      <c r="G1709" s="257">
        <f t="shared" si="524"/>
        <v>5755520.7599999998</v>
      </c>
      <c r="H1709" s="38"/>
      <c r="I1709" s="257">
        <f t="shared" si="518"/>
        <v>1559540.41</v>
      </c>
      <c r="J1709" s="1362">
        <f t="shared" si="519"/>
        <v>2.7300000000000001E-2</v>
      </c>
      <c r="K1709" s="173">
        <f t="shared" si="520"/>
        <v>13075</v>
      </c>
      <c r="L1709" s="38">
        <f t="shared" si="521"/>
        <v>2300</v>
      </c>
      <c r="M1709" s="257">
        <f>ROUND('Plant input detail '!M1711*'WPB2.2 Plant detail-w slippage'!$P$2,0)</f>
        <v>-100</v>
      </c>
      <c r="N1709" s="2227">
        <f t="shared" si="522"/>
        <v>1570215.41</v>
      </c>
    </row>
    <row r="1710" spans="1:14" x14ac:dyDescent="0.2">
      <c r="A1710" s="127">
        <f t="shared" si="523"/>
        <v>5</v>
      </c>
      <c r="B1710" s="123">
        <v>384</v>
      </c>
      <c r="C1710" s="52" t="s">
        <v>1055</v>
      </c>
      <c r="D1710" s="257">
        <f t="shared" si="517"/>
        <v>2257522</v>
      </c>
      <c r="E1710" s="382">
        <f>ROUND('Plant input detail '!E1712*'WPB2.2 Plant detail-w slippage'!$P$2,0)</f>
        <v>0</v>
      </c>
      <c r="F1710" s="257">
        <f>ROUND('Plant input detail '!F1712*'WPB2.2 Plant detail-w slippage'!$P$2,0)</f>
        <v>0</v>
      </c>
      <c r="G1710" s="257">
        <f t="shared" si="524"/>
        <v>2257522</v>
      </c>
      <c r="H1710" s="38"/>
      <c r="I1710" s="257">
        <f t="shared" si="518"/>
        <v>1778828.73</v>
      </c>
      <c r="J1710" s="1362">
        <f t="shared" si="519"/>
        <v>1.01E-2</v>
      </c>
      <c r="K1710" s="173">
        <f t="shared" si="520"/>
        <v>1900</v>
      </c>
      <c r="L1710" s="38">
        <f t="shared" si="521"/>
        <v>0</v>
      </c>
      <c r="M1710" s="257">
        <f>ROUND('Plant input detail '!M1712*'WPB2.2 Plant detail-w slippage'!$P$2,0)</f>
        <v>0</v>
      </c>
      <c r="N1710" s="2227">
        <f t="shared" si="522"/>
        <v>1780728.73</v>
      </c>
    </row>
    <row r="1711" spans="1:14" x14ac:dyDescent="0.2">
      <c r="A1711" s="127">
        <f t="shared" si="523"/>
        <v>6</v>
      </c>
      <c r="B1711" s="123">
        <v>385</v>
      </c>
      <c r="C1711" s="52" t="s">
        <v>1056</v>
      </c>
      <c r="D1711" s="257">
        <f t="shared" si="517"/>
        <v>3317183.36</v>
      </c>
      <c r="E1711" s="382">
        <f>ROUND('Plant input detail '!E1713*'WPB2.2 Plant detail-w slippage'!$P$2,0)</f>
        <v>25100</v>
      </c>
      <c r="F1711" s="257">
        <f>ROUND('Plant input detail '!F1713*'WPB2.2 Plant detail-w slippage'!$P$2,0)</f>
        <v>-3000</v>
      </c>
      <c r="G1711" s="257">
        <f t="shared" si="524"/>
        <v>3339283.36</v>
      </c>
      <c r="H1711" s="38"/>
      <c r="I1711" s="257">
        <f t="shared" si="518"/>
        <v>950242.55</v>
      </c>
      <c r="J1711" s="1362">
        <f t="shared" si="519"/>
        <v>5.0799999999999998E-2</v>
      </c>
      <c r="K1711" s="173">
        <f t="shared" si="520"/>
        <v>14090</v>
      </c>
      <c r="L1711" s="38">
        <f t="shared" si="521"/>
        <v>3000</v>
      </c>
      <c r="M1711" s="257">
        <f>ROUND('Plant input detail '!M1713*'WPB2.2 Plant detail-w slippage'!$P$2,0)</f>
        <v>-200</v>
      </c>
      <c r="N1711" s="2227">
        <f t="shared" si="522"/>
        <v>961132.55</v>
      </c>
    </row>
    <row r="1712" spans="1:14" x14ac:dyDescent="0.2">
      <c r="A1712" s="127">
        <f t="shared" si="523"/>
        <v>7</v>
      </c>
      <c r="B1712" s="123">
        <v>387.2</v>
      </c>
      <c r="C1712" s="52" t="s">
        <v>1057</v>
      </c>
      <c r="D1712" s="257">
        <f t="shared" si="517"/>
        <v>0</v>
      </c>
      <c r="E1712" s="382">
        <f>ROUND('Plant input detail '!E1714*'WPB2.2 Plant detail-w slippage'!$P$2,0)</f>
        <v>0</v>
      </c>
      <c r="F1712" s="257">
        <f>ROUND('Plant input detail '!F1714*'WPB2.2 Plant detail-w slippage'!$P$2,0)</f>
        <v>0</v>
      </c>
      <c r="G1712" s="257">
        <f t="shared" si="524"/>
        <v>0</v>
      </c>
      <c r="H1712" s="38"/>
      <c r="I1712" s="257">
        <f t="shared" si="518"/>
        <v>-59912.03</v>
      </c>
      <c r="J1712" s="1362">
        <f t="shared" si="519"/>
        <v>0</v>
      </c>
      <c r="K1712" s="173">
        <f t="shared" si="520"/>
        <v>0</v>
      </c>
      <c r="L1712" s="38">
        <f t="shared" si="521"/>
        <v>0</v>
      </c>
      <c r="M1712" s="257">
        <f>ROUND('Plant input detail '!M1714*'WPB2.2 Plant detail-w slippage'!$P$2,0)</f>
        <v>0</v>
      </c>
      <c r="N1712" s="2227">
        <f t="shared" si="522"/>
        <v>-59912.03</v>
      </c>
    </row>
    <row r="1713" spans="1:14" x14ac:dyDescent="0.2">
      <c r="A1713" s="127">
        <f t="shared" si="523"/>
        <v>8</v>
      </c>
      <c r="B1713" s="123">
        <v>387.41</v>
      </c>
      <c r="C1713" s="52" t="s">
        <v>1058</v>
      </c>
      <c r="D1713" s="257">
        <f t="shared" si="517"/>
        <v>735770.76</v>
      </c>
      <c r="E1713" s="382">
        <f>ROUND('Plant input detail '!E1715*'WPB2.2 Plant detail-w slippage'!$P$2,0)</f>
        <v>0</v>
      </c>
      <c r="F1713" s="257">
        <f>ROUND('Plant input detail '!F1715*'WPB2.2 Plant detail-w slippage'!$P$2,0)</f>
        <v>0</v>
      </c>
      <c r="G1713" s="257">
        <f t="shared" si="524"/>
        <v>735770.76</v>
      </c>
      <c r="H1713" s="38"/>
      <c r="I1713" s="257">
        <f t="shared" si="518"/>
        <v>397522.95</v>
      </c>
      <c r="J1713" s="1362">
        <f t="shared" si="519"/>
        <v>3.7400000000000003E-2</v>
      </c>
      <c r="K1713" s="173">
        <f t="shared" si="520"/>
        <v>2293</v>
      </c>
      <c r="L1713" s="38">
        <f t="shared" si="521"/>
        <v>0</v>
      </c>
      <c r="M1713" s="257">
        <f>ROUND('Plant input detail '!M1715*'WPB2.2 Plant detail-w slippage'!$P$2,0)</f>
        <v>0</v>
      </c>
      <c r="N1713" s="2227">
        <f t="shared" si="522"/>
        <v>399815.95</v>
      </c>
    </row>
    <row r="1714" spans="1:14" x14ac:dyDescent="0.2">
      <c r="A1714" s="127">
        <f t="shared" si="523"/>
        <v>9</v>
      </c>
      <c r="B1714" s="123">
        <v>387.42</v>
      </c>
      <c r="C1714" s="52" t="s">
        <v>1059</v>
      </c>
      <c r="D1714" s="257">
        <f t="shared" si="517"/>
        <v>795186.58</v>
      </c>
      <c r="E1714" s="382">
        <f>ROUND('Plant input detail '!E1716*'WPB2.2 Plant detail-w slippage'!$P$2,0)</f>
        <v>0</v>
      </c>
      <c r="F1714" s="257">
        <f>ROUND('Plant input detail '!F1716*'WPB2.2 Plant detail-w slippage'!$P$2,0)</f>
        <v>0</v>
      </c>
      <c r="G1714" s="257">
        <f>SUM(D1714:F1714)</f>
        <v>795186.58</v>
      </c>
      <c r="H1714" s="38"/>
      <c r="I1714" s="257">
        <f t="shared" si="518"/>
        <v>564935.94999999995</v>
      </c>
      <c r="J1714" s="1362">
        <f t="shared" si="519"/>
        <v>3.7400000000000003E-2</v>
      </c>
      <c r="K1714" s="173">
        <f t="shared" si="520"/>
        <v>2478</v>
      </c>
      <c r="L1714" s="38">
        <f t="shared" si="521"/>
        <v>0</v>
      </c>
      <c r="M1714" s="257">
        <f>ROUND('Plant input detail '!M1716*'WPB2.2 Plant detail-w slippage'!$P$2,0)</f>
        <v>0</v>
      </c>
      <c r="N1714" s="2227">
        <f t="shared" si="522"/>
        <v>567413.94999999995</v>
      </c>
    </row>
    <row r="1715" spans="1:14" x14ac:dyDescent="0.2">
      <c r="A1715" s="127">
        <f t="shared" si="523"/>
        <v>10</v>
      </c>
      <c r="B1715" s="123">
        <v>387.44</v>
      </c>
      <c r="C1715" s="52" t="s">
        <v>1060</v>
      </c>
      <c r="D1715" s="257">
        <f t="shared" si="517"/>
        <v>143283.93</v>
      </c>
      <c r="E1715" s="382">
        <f>ROUND('Plant input detail '!E1717*'WPB2.2 Plant detail-w slippage'!$P$2,0)</f>
        <v>0</v>
      </c>
      <c r="F1715" s="257">
        <f>ROUND('Plant input detail '!F1717*'WPB2.2 Plant detail-w slippage'!$P$2,0)</f>
        <v>0</v>
      </c>
      <c r="G1715" s="257">
        <f>SUM(D1715:F1715)</f>
        <v>143283.93</v>
      </c>
      <c r="H1715" s="38"/>
      <c r="I1715" s="257">
        <f t="shared" si="518"/>
        <v>49183.55</v>
      </c>
      <c r="J1715" s="1362">
        <f t="shared" si="519"/>
        <v>3.7400000000000003E-2</v>
      </c>
      <c r="K1715" s="173">
        <f t="shared" si="520"/>
        <v>447</v>
      </c>
      <c r="L1715" s="38">
        <f t="shared" si="521"/>
        <v>0</v>
      </c>
      <c r="M1715" s="257">
        <f>ROUND('Plant input detail '!M1717*'WPB2.2 Plant detail-w slippage'!$P$2,0)</f>
        <v>0</v>
      </c>
      <c r="N1715" s="2227">
        <f t="shared" si="522"/>
        <v>49630.55</v>
      </c>
    </row>
    <row r="1716" spans="1:14" x14ac:dyDescent="0.2">
      <c r="A1716" s="127">
        <f t="shared" si="523"/>
        <v>11</v>
      </c>
      <c r="B1716" s="123">
        <v>387.45</v>
      </c>
      <c r="C1716" s="52" t="s">
        <v>1061</v>
      </c>
      <c r="D1716" s="257">
        <f t="shared" si="517"/>
        <v>3518404.66</v>
      </c>
      <c r="E1716" s="382">
        <f>ROUND('Plant input detail '!E1718*'WPB2.2 Plant detail-w slippage'!$P$2,0)</f>
        <v>122100</v>
      </c>
      <c r="F1716" s="257">
        <f>ROUND('Plant input detail '!F1718*'WPB2.2 Plant detail-w slippage'!$P$2,0)</f>
        <v>-14600</v>
      </c>
      <c r="G1716" s="257">
        <f>SUM(D1716:F1716)</f>
        <v>3625904.66</v>
      </c>
      <c r="H1716" s="38"/>
      <c r="I1716" s="257">
        <f t="shared" si="518"/>
        <v>550085.06000000006</v>
      </c>
      <c r="J1716" s="1362">
        <f t="shared" si="519"/>
        <v>3.7400000000000003E-2</v>
      </c>
      <c r="K1716" s="173">
        <f t="shared" si="520"/>
        <v>11133</v>
      </c>
      <c r="L1716" s="38">
        <f t="shared" si="521"/>
        <v>14600</v>
      </c>
      <c r="M1716" s="257">
        <f>ROUND('Plant input detail '!M1718*'WPB2.2 Plant detail-w slippage'!$P$2,0)</f>
        <v>0</v>
      </c>
      <c r="N1716" s="2227">
        <f t="shared" si="522"/>
        <v>546618.06000000006</v>
      </c>
    </row>
    <row r="1717" spans="1:14" x14ac:dyDescent="0.2">
      <c r="A1717" s="127">
        <f t="shared" si="523"/>
        <v>12</v>
      </c>
      <c r="B1717" s="123">
        <v>387.46</v>
      </c>
      <c r="C1717" s="52" t="s">
        <v>1062</v>
      </c>
      <c r="D1717" s="260">
        <f t="shared" si="517"/>
        <v>113644.47</v>
      </c>
      <c r="E1717" s="265">
        <f>ROUND('Plant input detail '!E1719*'WPB2.2 Plant detail-w slippage'!$P$2,0)</f>
        <v>0</v>
      </c>
      <c r="F1717" s="265">
        <f>ROUND('Plant input detail '!F1719*'WPB2.2 Plant detail-w slippage'!$P$2,0)</f>
        <v>0</v>
      </c>
      <c r="G1717" s="265">
        <f>SUM(D1717:F1717)</f>
        <v>113644.47</v>
      </c>
      <c r="H1717" s="264"/>
      <c r="I1717" s="260">
        <f t="shared" si="518"/>
        <v>114002.83</v>
      </c>
      <c r="J1717" s="1362">
        <f t="shared" si="519"/>
        <v>3.7400000000000003E-2</v>
      </c>
      <c r="K1717" s="260">
        <f t="shared" si="520"/>
        <v>354</v>
      </c>
      <c r="L1717" s="295">
        <f t="shared" si="521"/>
        <v>0</v>
      </c>
      <c r="M1717" s="265">
        <f>ROUND('Plant input detail '!M1719*'WPB2.2 Plant detail-w slippage'!$P$2,0)</f>
        <v>0</v>
      </c>
      <c r="N1717" s="2228">
        <f t="shared" si="522"/>
        <v>114356.83</v>
      </c>
    </row>
    <row r="1718" spans="1:14" x14ac:dyDescent="0.2">
      <c r="A1718" s="127">
        <f t="shared" si="523"/>
        <v>13</v>
      </c>
      <c r="B1718" s="252"/>
      <c r="C1718" s="32" t="s">
        <v>1063</v>
      </c>
      <c r="D1718" s="173">
        <f>SUM(D1706:D1717,D1666:D1687)</f>
        <v>416606824.37999994</v>
      </c>
      <c r="E1718" s="173">
        <f>SUM(E1706:E1717,E1666:E1687)</f>
        <v>3087566</v>
      </c>
      <c r="F1718" s="173">
        <f>SUM(F1706:F1717,F1666:F1687)</f>
        <v>-370300</v>
      </c>
      <c r="G1718" s="173">
        <f>SUM(G1706:G1717,G1666:G1687)</f>
        <v>419324090.37999994</v>
      </c>
      <c r="H1718" s="38"/>
      <c r="I1718" s="173">
        <f>SUM(I1706:I1717,I1666:I1687)</f>
        <v>145854485.52210525</v>
      </c>
      <c r="J1718" s="173"/>
      <c r="K1718" s="173">
        <f>SUM(K1706:K1717,K1666:K1687)</f>
        <v>1169798.0494736843</v>
      </c>
      <c r="L1718" s="173">
        <f>SUM(L1706:L1717,L1666:L1687)</f>
        <v>370300</v>
      </c>
      <c r="M1718" s="173">
        <f>SUM(M1706:M1717,M1666:M1687)</f>
        <v>-88900</v>
      </c>
      <c r="N1718" s="1361">
        <f>SUM(N1706:N1717,N1666:N1687)</f>
        <v>146565083.57157895</v>
      </c>
    </row>
    <row r="1719" spans="1:14" x14ac:dyDescent="0.2">
      <c r="B1719" s="252"/>
      <c r="D1719" s="38"/>
      <c r="E1719" s="173"/>
      <c r="F1719" s="173"/>
      <c r="G1719" s="38"/>
      <c r="H1719" s="38"/>
      <c r="I1719" s="181"/>
      <c r="J1719" s="173"/>
      <c r="K1719" s="173"/>
      <c r="L1719" s="38"/>
      <c r="M1719" s="173"/>
    </row>
    <row r="1720" spans="1:14" x14ac:dyDescent="0.2">
      <c r="A1720" s="127">
        <f>A1718+1</f>
        <v>14</v>
      </c>
      <c r="B1720" s="252"/>
      <c r="C1720" s="36" t="s">
        <v>737</v>
      </c>
      <c r="D1720" s="38"/>
      <c r="E1720" s="173"/>
      <c r="F1720" s="173"/>
      <c r="G1720" s="38"/>
      <c r="H1720" s="38"/>
      <c r="I1720" s="181"/>
      <c r="J1720" s="173"/>
      <c r="K1720" s="173"/>
      <c r="L1720" s="38"/>
      <c r="M1720" s="173"/>
    </row>
    <row r="1721" spans="1:14" x14ac:dyDescent="0.2">
      <c r="A1721" s="31">
        <f>A1720+1</f>
        <v>15</v>
      </c>
      <c r="B1721" s="123">
        <v>391.1</v>
      </c>
      <c r="C1721" s="52" t="s">
        <v>1064</v>
      </c>
      <c r="D1721" s="257">
        <f t="shared" ref="D1721:D1734" si="525">G1615</f>
        <v>713480.71</v>
      </c>
      <c r="E1721" s="382">
        <f>ROUND('Plant input detail '!E1723*'WPB2.2 Plant detail-w slippage'!$P$2,0)</f>
        <v>0</v>
      </c>
      <c r="F1721" s="257">
        <f>ROUND('Plant input detail '!F1723*'WPB2.2 Plant detail-w slippage'!$P$2,0)</f>
        <v>0</v>
      </c>
      <c r="G1721" s="257">
        <f t="shared" ref="G1721:G1734" si="526">SUM(D1721:F1721)</f>
        <v>713480.71</v>
      </c>
      <c r="H1721" s="38"/>
      <c r="I1721" s="257">
        <f t="shared" ref="I1721:I1734" si="527">N1615</f>
        <v>-35711.22</v>
      </c>
      <c r="J1721" s="1362">
        <f t="shared" ref="J1721:J1734" si="528">J1615</f>
        <v>0.05</v>
      </c>
      <c r="K1721" s="173">
        <f>ROUND((G1721+D1721)/2*J1721/12,0)</f>
        <v>2973</v>
      </c>
      <c r="L1721" s="38">
        <f t="shared" ref="L1721:L1734" si="529">-F1721</f>
        <v>0</v>
      </c>
      <c r="M1721" s="257">
        <f>ROUND('Plant input detail '!M1723*'WPB2.2 Plant detail-w slippage'!$P$2,0)</f>
        <v>0</v>
      </c>
      <c r="N1721" s="2227">
        <f t="shared" ref="N1721:N1734" si="530">I1721+K1721-L1721+M1721</f>
        <v>-32738.22</v>
      </c>
    </row>
    <row r="1722" spans="1:14" x14ac:dyDescent="0.2">
      <c r="A1722" s="31">
        <f t="shared" ref="A1722:A1735" si="531">A1721+1</f>
        <v>16</v>
      </c>
      <c r="B1722" s="123">
        <v>391.11</v>
      </c>
      <c r="C1722" s="52" t="s">
        <v>1065</v>
      </c>
      <c r="D1722" s="257">
        <f t="shared" si="525"/>
        <v>18815.57</v>
      </c>
      <c r="E1722" s="382">
        <f>ROUND('Plant input detail '!E1724*'WPB2.2 Plant detail-w slippage'!$P$2,0)</f>
        <v>0</v>
      </c>
      <c r="F1722" s="257">
        <f>ROUND('Plant input detail '!F1724*'WPB2.2 Plant detail-w slippage'!$P$2,0)</f>
        <v>0</v>
      </c>
      <c r="G1722" s="257">
        <f t="shared" si="526"/>
        <v>18815.57</v>
      </c>
      <c r="H1722" s="38"/>
      <c r="I1722" s="257">
        <f t="shared" si="527"/>
        <v>-11459.77</v>
      </c>
      <c r="J1722" s="1362">
        <f t="shared" si="528"/>
        <v>6.6699999999999995E-2</v>
      </c>
      <c r="K1722" s="173">
        <f>ROUND((G1722+D1722)/2*J1722/12,0)</f>
        <v>105</v>
      </c>
      <c r="L1722" s="38">
        <f t="shared" si="529"/>
        <v>0</v>
      </c>
      <c r="M1722" s="257">
        <f>ROUND('Plant input detail '!M1724*'WPB2.2 Plant detail-w slippage'!$P$2,0)</f>
        <v>0</v>
      </c>
      <c r="N1722" s="2227">
        <f t="shared" si="530"/>
        <v>-11354.77</v>
      </c>
    </row>
    <row r="1723" spans="1:14" x14ac:dyDescent="0.2">
      <c r="A1723" s="31">
        <f t="shared" si="531"/>
        <v>17</v>
      </c>
      <c r="B1723" s="123">
        <v>391.12</v>
      </c>
      <c r="C1723" s="52" t="s">
        <v>1066</v>
      </c>
      <c r="D1723" s="257">
        <f t="shared" si="525"/>
        <v>1407883.4100000001</v>
      </c>
      <c r="E1723" s="382">
        <f>ROUND('Plant input detail '!E1725*'WPB2.2 Plant detail-w slippage'!$P$2,0)</f>
        <v>0</v>
      </c>
      <c r="F1723" s="257">
        <f>ROUND('Plant input detail '!F1725*'WPB2.2 Plant detail-w slippage'!$P$2,0)</f>
        <v>0</v>
      </c>
      <c r="G1723" s="257">
        <f t="shared" si="526"/>
        <v>1407883.4100000001</v>
      </c>
      <c r="H1723" s="38"/>
      <c r="I1723" s="257">
        <f t="shared" si="527"/>
        <v>698970.37</v>
      </c>
      <c r="J1723" s="1362">
        <f t="shared" si="528"/>
        <v>0.2</v>
      </c>
      <c r="K1723" s="173">
        <f>ROUND((G1723+D1723)/2*J1723/12,0)</f>
        <v>23465</v>
      </c>
      <c r="L1723" s="38">
        <f t="shared" si="529"/>
        <v>0</v>
      </c>
      <c r="M1723" s="257">
        <f>ROUND('Plant input detail '!M1725*'WPB2.2 Plant detail-w slippage'!$P$2,0)</f>
        <v>0</v>
      </c>
      <c r="N1723" s="2227">
        <f t="shared" si="530"/>
        <v>722435.37</v>
      </c>
    </row>
    <row r="1724" spans="1:14" x14ac:dyDescent="0.2">
      <c r="A1724" s="31">
        <f t="shared" si="531"/>
        <v>18</v>
      </c>
      <c r="B1724" s="123">
        <v>392.2</v>
      </c>
      <c r="C1724" s="52" t="s">
        <v>1067</v>
      </c>
      <c r="D1724" s="257">
        <f t="shared" si="525"/>
        <v>95778</v>
      </c>
      <c r="E1724" s="382">
        <f>ROUND('Plant input detail '!E1726*'WPB2.2 Plant detail-w slippage'!$P$2,0)</f>
        <v>0</v>
      </c>
      <c r="F1724" s="257">
        <f>ROUND('Plant input detail '!F1726*'WPB2.2 Plant detail-w slippage'!$P$2,0)</f>
        <v>0</v>
      </c>
      <c r="G1724" s="257">
        <f t="shared" si="526"/>
        <v>95778</v>
      </c>
      <c r="H1724" s="38"/>
      <c r="I1724" s="257">
        <f t="shared" si="527"/>
        <v>26305.05</v>
      </c>
      <c r="J1724" s="1362">
        <f t="shared" si="528"/>
        <v>9.1499999999999998E-2</v>
      </c>
      <c r="K1724" s="173">
        <f>ROUND((G1724+D1724)/2*J1724/12,0)</f>
        <v>730</v>
      </c>
      <c r="L1724" s="38">
        <f t="shared" si="529"/>
        <v>0</v>
      </c>
      <c r="M1724" s="257">
        <f>ROUND('Plant input detail '!M1726*'WPB2.2 Plant detail-w slippage'!$P$2,0)</f>
        <v>0</v>
      </c>
      <c r="N1724" s="2227">
        <f t="shared" si="530"/>
        <v>27035.05</v>
      </c>
    </row>
    <row r="1725" spans="1:14" x14ac:dyDescent="0.2">
      <c r="A1725" s="31">
        <f t="shared" si="531"/>
        <v>19</v>
      </c>
      <c r="B1725" s="123">
        <v>392.21</v>
      </c>
      <c r="C1725" s="52" t="s">
        <v>1068</v>
      </c>
      <c r="D1725" s="257">
        <f t="shared" si="525"/>
        <v>24462.2</v>
      </c>
      <c r="E1725" s="382">
        <f>ROUND('Plant input detail '!E1727*'WPB2.2 Plant detail-w slippage'!$P$2,0)</f>
        <v>0</v>
      </c>
      <c r="F1725" s="257">
        <f>ROUND('Plant input detail '!F1727*'WPB2.2 Plant detail-w slippage'!$P$2,0)</f>
        <v>0</v>
      </c>
      <c r="G1725" s="257">
        <f t="shared" si="526"/>
        <v>24462.2</v>
      </c>
      <c r="H1725" s="38"/>
      <c r="I1725" s="257">
        <f t="shared" si="527"/>
        <v>6122.4</v>
      </c>
      <c r="J1725" s="1362">
        <f t="shared" si="528"/>
        <v>9.1499999999999998E-2</v>
      </c>
      <c r="K1725" s="173">
        <f>ROUND((G1725+D1725)/2*J1725/12,0)</f>
        <v>187</v>
      </c>
      <c r="L1725" s="38">
        <f t="shared" si="529"/>
        <v>0</v>
      </c>
      <c r="M1725" s="257">
        <f>ROUND('Plant input detail '!M1727*'WPB2.2 Plant detail-w slippage'!$P$2,0)</f>
        <v>0</v>
      </c>
      <c r="N1725" s="2227">
        <f t="shared" si="530"/>
        <v>6309.4</v>
      </c>
    </row>
    <row r="1726" spans="1:14" x14ac:dyDescent="0.2">
      <c r="A1726" s="31">
        <f t="shared" si="531"/>
        <v>20</v>
      </c>
      <c r="B1726" s="123">
        <v>393</v>
      </c>
      <c r="C1726" s="52" t="s">
        <v>1069</v>
      </c>
      <c r="D1726" s="257">
        <f t="shared" si="525"/>
        <v>0</v>
      </c>
      <c r="E1726" s="382">
        <f>ROUND('Plant input detail '!E1728*'WPB2.2 Plant detail-w slippage'!$P$2,0)</f>
        <v>0</v>
      </c>
      <c r="F1726" s="257">
        <f>ROUND('Plant input detail '!F1728*'WPB2.2 Plant detail-w slippage'!$P$2,0)</f>
        <v>0</v>
      </c>
      <c r="G1726" s="257">
        <f t="shared" si="526"/>
        <v>0</v>
      </c>
      <c r="H1726" s="38"/>
      <c r="I1726" s="257">
        <f t="shared" si="527"/>
        <v>0</v>
      </c>
      <c r="J1726" s="1362" t="str">
        <f t="shared" si="528"/>
        <v>Amort.</v>
      </c>
      <c r="K1726" s="259">
        <v>0</v>
      </c>
      <c r="L1726" s="38">
        <f t="shared" si="529"/>
        <v>0</v>
      </c>
      <c r="M1726" s="257">
        <f>ROUND('Plant input detail '!M1728*'WPB2.2 Plant detail-w slippage'!$P$2,0)</f>
        <v>0</v>
      </c>
      <c r="N1726" s="2227">
        <f t="shared" si="530"/>
        <v>0</v>
      </c>
    </row>
    <row r="1727" spans="1:14" x14ac:dyDescent="0.2">
      <c r="A1727" s="31">
        <f t="shared" si="531"/>
        <v>21</v>
      </c>
      <c r="B1727" s="123">
        <v>394.1</v>
      </c>
      <c r="C1727" s="52" t="s">
        <v>1070</v>
      </c>
      <c r="D1727" s="257">
        <f t="shared" si="525"/>
        <v>24240.799999999999</v>
      </c>
      <c r="E1727" s="382">
        <f>ROUND('Plant input detail '!E1729*'WPB2.2 Plant detail-w slippage'!$P$2,0)</f>
        <v>0</v>
      </c>
      <c r="F1727" s="257">
        <f>ROUND('Plant input detail '!F1729*'WPB2.2 Plant detail-w slippage'!$P$2,0)</f>
        <v>0</v>
      </c>
      <c r="G1727" s="257">
        <f t="shared" si="526"/>
        <v>24240.799999999999</v>
      </c>
      <c r="H1727" s="38"/>
      <c r="I1727" s="257">
        <f t="shared" si="527"/>
        <v>15013.82</v>
      </c>
      <c r="J1727" s="1362">
        <f t="shared" si="528"/>
        <v>0.04</v>
      </c>
      <c r="K1727" s="173">
        <f t="shared" ref="K1727:K1734" si="532">ROUND((G1727+D1727)/2*J1727/12,0)</f>
        <v>81</v>
      </c>
      <c r="L1727" s="38">
        <f t="shared" si="529"/>
        <v>0</v>
      </c>
      <c r="M1727" s="257">
        <f>ROUND('Plant input detail '!M1729*'WPB2.2 Plant detail-w slippage'!$P$2,0)</f>
        <v>0</v>
      </c>
      <c r="N1727" s="2227">
        <f t="shared" si="530"/>
        <v>15094.82</v>
      </c>
    </row>
    <row r="1728" spans="1:14" x14ac:dyDescent="0.2">
      <c r="A1728" s="31">
        <f t="shared" si="531"/>
        <v>22</v>
      </c>
      <c r="B1728" s="123">
        <v>394.11</v>
      </c>
      <c r="C1728" s="52" t="s">
        <v>1071</v>
      </c>
      <c r="D1728" s="257">
        <f t="shared" si="525"/>
        <v>0</v>
      </c>
      <c r="E1728" s="382">
        <f>ROUND('Plant input detail '!E1730*'WPB2.2 Plant detail-w slippage'!$P$2,0)</f>
        <v>0</v>
      </c>
      <c r="F1728" s="257">
        <f>ROUND('Plant input detail '!F1730*'WPB2.2 Plant detail-w slippage'!$P$2,0)</f>
        <v>0</v>
      </c>
      <c r="G1728" s="257">
        <f t="shared" si="526"/>
        <v>0</v>
      </c>
      <c r="H1728" s="38"/>
      <c r="I1728" s="257">
        <f t="shared" si="527"/>
        <v>0</v>
      </c>
      <c r="J1728" s="1362">
        <f t="shared" si="528"/>
        <v>0</v>
      </c>
      <c r="K1728" s="259">
        <v>0</v>
      </c>
      <c r="L1728" s="38">
        <f t="shared" si="529"/>
        <v>0</v>
      </c>
      <c r="M1728" s="257">
        <f>ROUND('Plant input detail '!M1730*'WPB2.2 Plant detail-w slippage'!$P$2,0)</f>
        <v>0</v>
      </c>
      <c r="N1728" s="2227">
        <f t="shared" si="530"/>
        <v>0</v>
      </c>
    </row>
    <row r="1729" spans="1:16" x14ac:dyDescent="0.2">
      <c r="A1729" s="31">
        <f t="shared" si="531"/>
        <v>23</v>
      </c>
      <c r="B1729" s="123">
        <v>394.13</v>
      </c>
      <c r="C1729" s="251" t="s">
        <v>1072</v>
      </c>
      <c r="D1729" s="257">
        <f t="shared" si="525"/>
        <v>0</v>
      </c>
      <c r="E1729" s="382">
        <f>ROUND('Plant input detail '!E1731*'WPB2.2 Plant detail-w slippage'!$P$2,0)</f>
        <v>0</v>
      </c>
      <c r="F1729" s="257">
        <f>ROUND('Plant input detail '!F1731*'WPB2.2 Plant detail-w slippage'!$P$2,0)</f>
        <v>0</v>
      </c>
      <c r="G1729" s="257">
        <f t="shared" si="526"/>
        <v>0</v>
      </c>
      <c r="H1729" s="38"/>
      <c r="I1729" s="257">
        <f t="shared" si="527"/>
        <v>37937.360000000001</v>
      </c>
      <c r="J1729" s="1362" t="str">
        <f t="shared" si="528"/>
        <v>Amort.</v>
      </c>
      <c r="K1729" s="259">
        <v>0</v>
      </c>
      <c r="L1729" s="38">
        <f t="shared" si="529"/>
        <v>0</v>
      </c>
      <c r="M1729" s="257">
        <f>ROUND('Plant input detail '!M1731*'WPB2.2 Plant detail-w slippage'!$P$2,0)</f>
        <v>0</v>
      </c>
      <c r="N1729" s="2227">
        <f t="shared" si="530"/>
        <v>37937.360000000001</v>
      </c>
    </row>
    <row r="1730" spans="1:16" x14ac:dyDescent="0.2">
      <c r="A1730" s="31">
        <f t="shared" si="531"/>
        <v>24</v>
      </c>
      <c r="B1730" s="123">
        <v>394.2</v>
      </c>
      <c r="C1730" s="52" t="s">
        <v>1073</v>
      </c>
      <c r="D1730" s="257">
        <f t="shared" si="525"/>
        <v>0</v>
      </c>
      <c r="E1730" s="382">
        <f>ROUND('Plant input detail '!E1732*'WPB2.2 Plant detail-w slippage'!$P$2,0)</f>
        <v>0</v>
      </c>
      <c r="F1730" s="257">
        <f>ROUND('Plant input detail '!F1732*'WPB2.2 Plant detail-w slippage'!$P$2,0)</f>
        <v>0</v>
      </c>
      <c r="G1730" s="257">
        <f t="shared" si="526"/>
        <v>0</v>
      </c>
      <c r="H1730" s="38"/>
      <c r="I1730" s="257">
        <f t="shared" si="527"/>
        <v>185.21</v>
      </c>
      <c r="J1730" s="1362">
        <f t="shared" si="528"/>
        <v>0.04</v>
      </c>
      <c r="K1730" s="173">
        <f t="shared" si="532"/>
        <v>0</v>
      </c>
      <c r="L1730" s="38">
        <f t="shared" si="529"/>
        <v>0</v>
      </c>
      <c r="M1730" s="257">
        <f>ROUND('Plant input detail '!M1732*'WPB2.2 Plant detail-w slippage'!$P$2,0)</f>
        <v>0</v>
      </c>
      <c r="N1730" s="2227">
        <f t="shared" si="530"/>
        <v>185.21</v>
      </c>
    </row>
    <row r="1731" spans="1:16" x14ac:dyDescent="0.2">
      <c r="A1731" s="31">
        <f t="shared" si="531"/>
        <v>25</v>
      </c>
      <c r="B1731" s="123">
        <v>394.3</v>
      </c>
      <c r="C1731" s="52" t="s">
        <v>1074</v>
      </c>
      <c r="D1731" s="257">
        <f t="shared" si="525"/>
        <v>3123721.16</v>
      </c>
      <c r="E1731" s="382">
        <f>ROUND('Plant input detail '!E1733*'WPB2.2 Plant detail-w slippage'!$P$2,0)</f>
        <v>20700</v>
      </c>
      <c r="F1731" s="257">
        <f>ROUND('Plant input detail '!F1733*'WPB2.2 Plant detail-w slippage'!$P$2,0)</f>
        <v>-2500</v>
      </c>
      <c r="G1731" s="257">
        <f t="shared" si="526"/>
        <v>3141921.16</v>
      </c>
      <c r="H1731" s="38"/>
      <c r="I1731" s="257">
        <f t="shared" si="527"/>
        <v>1335153.1499999999</v>
      </c>
      <c r="J1731" s="1362">
        <f t="shared" si="528"/>
        <v>0.04</v>
      </c>
      <c r="K1731" s="173">
        <f t="shared" si="532"/>
        <v>10443</v>
      </c>
      <c r="L1731" s="38">
        <f t="shared" si="529"/>
        <v>2500</v>
      </c>
      <c r="M1731" s="257">
        <f>ROUND('Plant input detail '!M1733*'WPB2.2 Plant detail-w slippage'!$P$2,0)</f>
        <v>0</v>
      </c>
      <c r="N1731" s="2227">
        <f t="shared" si="530"/>
        <v>1343096.15</v>
      </c>
    </row>
    <row r="1732" spans="1:16" x14ac:dyDescent="0.2">
      <c r="A1732" s="31">
        <f t="shared" si="531"/>
        <v>26</v>
      </c>
      <c r="B1732" s="123">
        <v>395</v>
      </c>
      <c r="C1732" s="52" t="s">
        <v>1075</v>
      </c>
      <c r="D1732" s="257">
        <f t="shared" si="525"/>
        <v>9257.77</v>
      </c>
      <c r="E1732" s="382">
        <f>ROUND('Plant input detail '!E1734*'WPB2.2 Plant detail-w slippage'!$P$2,0)</f>
        <v>0</v>
      </c>
      <c r="F1732" s="257">
        <f>ROUND('Plant input detail '!F1734*'WPB2.2 Plant detail-w slippage'!$P$2,0)</f>
        <v>0</v>
      </c>
      <c r="G1732" s="257">
        <f t="shared" si="526"/>
        <v>9257.77</v>
      </c>
      <c r="H1732" s="38"/>
      <c r="I1732" s="257">
        <f t="shared" si="527"/>
        <v>7724.59</v>
      </c>
      <c r="J1732" s="1362">
        <f t="shared" si="528"/>
        <v>0.05</v>
      </c>
      <c r="K1732" s="173">
        <f t="shared" si="532"/>
        <v>39</v>
      </c>
      <c r="L1732" s="38">
        <f t="shared" si="529"/>
        <v>0</v>
      </c>
      <c r="M1732" s="257">
        <f>ROUND('Plant input detail '!M1734*'WPB2.2 Plant detail-w slippage'!$P$2,0)</f>
        <v>0</v>
      </c>
      <c r="N1732" s="2227">
        <f t="shared" si="530"/>
        <v>7763.59</v>
      </c>
    </row>
    <row r="1733" spans="1:16" x14ac:dyDescent="0.2">
      <c r="A1733" s="31">
        <f t="shared" si="531"/>
        <v>27</v>
      </c>
      <c r="B1733" s="123">
        <v>396</v>
      </c>
      <c r="C1733" s="52" t="s">
        <v>1076</v>
      </c>
      <c r="D1733" s="257">
        <f t="shared" si="525"/>
        <v>253134.72</v>
      </c>
      <c r="E1733" s="382">
        <f>ROUND('Plant input detail '!E1735*'WPB2.2 Plant detail-w slippage'!$P$2,0)</f>
        <v>0</v>
      </c>
      <c r="F1733" s="257">
        <f>ROUND('Plant input detail '!F1735*'WPB2.2 Plant detail-w slippage'!$P$2,0)</f>
        <v>0</v>
      </c>
      <c r="G1733" s="257">
        <f t="shared" si="526"/>
        <v>253134.72</v>
      </c>
      <c r="H1733" s="38"/>
      <c r="I1733" s="257">
        <f t="shared" si="527"/>
        <v>202051.72</v>
      </c>
      <c r="J1733" s="1362">
        <f t="shared" si="528"/>
        <v>2.5899999999999999E-2</v>
      </c>
      <c r="K1733" s="173">
        <f t="shared" si="532"/>
        <v>546</v>
      </c>
      <c r="L1733" s="38">
        <f t="shared" si="529"/>
        <v>0</v>
      </c>
      <c r="M1733" s="257">
        <f>ROUND('Plant input detail '!M1735*'WPB2.2 Plant detail-w slippage'!$P$2,0)</f>
        <v>0</v>
      </c>
      <c r="N1733" s="2227">
        <f t="shared" si="530"/>
        <v>202597.72</v>
      </c>
    </row>
    <row r="1734" spans="1:16" x14ac:dyDescent="0.2">
      <c r="A1734" s="31">
        <f t="shared" si="531"/>
        <v>28</v>
      </c>
      <c r="B1734" s="123">
        <v>398</v>
      </c>
      <c r="C1734" s="52" t="s">
        <v>1077</v>
      </c>
      <c r="D1734" s="260">
        <f t="shared" si="525"/>
        <v>279161.94</v>
      </c>
      <c r="E1734" s="265">
        <f>ROUND('Plant input detail '!E1736*'WPB2.2 Plant detail-w slippage'!$P$2,0)</f>
        <v>4600</v>
      </c>
      <c r="F1734" s="260">
        <f>ROUND('Plant input detail '!F1736*'WPB2.2 Plant detail-w slippage'!$P$2,0)</f>
        <v>-600</v>
      </c>
      <c r="G1734" s="260">
        <f t="shared" si="526"/>
        <v>283161.94</v>
      </c>
      <c r="H1734" s="264"/>
      <c r="I1734" s="260">
        <f t="shared" si="527"/>
        <v>9169.59</v>
      </c>
      <c r="J1734" s="1362">
        <f t="shared" si="528"/>
        <v>6.6699999999999995E-2</v>
      </c>
      <c r="K1734" s="260">
        <f t="shared" si="532"/>
        <v>1563</v>
      </c>
      <c r="L1734" s="295">
        <f t="shared" si="529"/>
        <v>600</v>
      </c>
      <c r="M1734" s="260">
        <f>ROUND('Plant input detail '!M1736*'WPB2.2 Plant detail-w slippage'!$P$2,0)</f>
        <v>0</v>
      </c>
      <c r="N1734" s="2228">
        <f t="shared" si="530"/>
        <v>10132.59</v>
      </c>
    </row>
    <row r="1735" spans="1:16" x14ac:dyDescent="0.2">
      <c r="A1735" s="31">
        <f t="shared" si="531"/>
        <v>29</v>
      </c>
      <c r="C1735" s="32" t="s">
        <v>1078</v>
      </c>
      <c r="D1735" s="264">
        <f>SUM(D1721:D1734)</f>
        <v>5949936.2799999993</v>
      </c>
      <c r="E1735" s="176">
        <f>SUM(E1721:E1734)</f>
        <v>25300</v>
      </c>
      <c r="F1735" s="176">
        <f>SUM(F1721:F1734)</f>
        <v>-3100</v>
      </c>
      <c r="G1735" s="264">
        <f>SUM(G1721:G1734)</f>
        <v>5972136.2799999993</v>
      </c>
      <c r="H1735" s="264"/>
      <c r="I1735" s="264">
        <f>SUM(I1721:I1734)</f>
        <v>2291462.27</v>
      </c>
      <c r="J1735" s="1359"/>
      <c r="K1735" s="176">
        <f>SUM(K1721:K1734)</f>
        <v>40132</v>
      </c>
      <c r="L1735" s="264">
        <f>SUM(L1721:L1734)</f>
        <v>3100</v>
      </c>
      <c r="M1735" s="176">
        <f>SUM(M1721:M1734)</f>
        <v>0</v>
      </c>
      <c r="N1735" s="1359">
        <f>SUM(N1721:N1734)</f>
        <v>2328494.27</v>
      </c>
    </row>
    <row r="1736" spans="1:16" x14ac:dyDescent="0.2">
      <c r="D1736" s="38"/>
      <c r="E1736" s="173"/>
      <c r="F1736" s="173"/>
      <c r="G1736" s="38"/>
      <c r="H1736" s="38"/>
      <c r="I1736" s="173"/>
      <c r="J1736" s="1361"/>
      <c r="K1736" s="173"/>
      <c r="L1736" s="38"/>
      <c r="M1736" s="173"/>
    </row>
    <row r="1737" spans="1:16" x14ac:dyDescent="0.2">
      <c r="A1737" s="1805">
        <f>A1735+1</f>
        <v>30</v>
      </c>
      <c r="B1737" s="252"/>
      <c r="C1737" s="36" t="s">
        <v>2287</v>
      </c>
      <c r="D1737" s="38"/>
      <c r="E1737" s="173"/>
      <c r="F1737" s="173"/>
      <c r="G1737" s="38"/>
      <c r="H1737" s="38"/>
      <c r="I1737" s="181"/>
      <c r="J1737" s="173"/>
      <c r="K1737" s="173"/>
      <c r="L1737" s="38"/>
      <c r="M1737" s="173"/>
      <c r="P1737" s="279"/>
    </row>
    <row r="1738" spans="1:16" x14ac:dyDescent="0.2">
      <c r="A1738" s="31">
        <f>A1737+1</f>
        <v>31</v>
      </c>
      <c r="B1738" s="123">
        <v>378.21</v>
      </c>
      <c r="C1738" s="52" t="s">
        <v>2244</v>
      </c>
      <c r="D1738" s="257">
        <f>G1632</f>
        <v>-777092</v>
      </c>
      <c r="E1738" s="382">
        <f>ROUND('Plant input detail '!E1740*'WPB2.2 Plant detail-w slippage'!$P$2,0)</f>
        <v>0</v>
      </c>
      <c r="F1738" s="257">
        <f>ROUND('Plant input detail '!F1740*'WPB2.2 Plant detail-w slippage'!$P$2,0)</f>
        <v>0</v>
      </c>
      <c r="G1738" s="257">
        <f t="shared" ref="G1738" si="533">SUM(D1738:F1738)</f>
        <v>-777092</v>
      </c>
      <c r="H1738" s="264"/>
      <c r="I1738" s="257">
        <f>N1632</f>
        <v>-53187.946666666612</v>
      </c>
      <c r="J1738" s="296" t="s">
        <v>1094</v>
      </c>
      <c r="K1738" s="1334">
        <v>-2158.5833333333321</v>
      </c>
      <c r="L1738" s="38">
        <f t="shared" ref="L1738" si="534">-F1738</f>
        <v>0</v>
      </c>
      <c r="M1738" s="257">
        <f>ROUND('Plant input detail '!M1740*'WPB2.2 Plant detail-w slippage'!$P$2,0)</f>
        <v>0</v>
      </c>
      <c r="N1738" s="2227">
        <f t="shared" ref="N1738" si="535">I1738+K1738-L1738+M1738</f>
        <v>-55346.529999999941</v>
      </c>
      <c r="O1738" s="292"/>
    </row>
    <row r="1739" spans="1:16" x14ac:dyDescent="0.2">
      <c r="A1739" s="1723"/>
      <c r="D1739" s="38"/>
      <c r="E1739" s="173"/>
      <c r="F1739" s="173"/>
      <c r="G1739" s="38"/>
      <c r="H1739" s="38"/>
      <c r="I1739" s="173"/>
      <c r="J1739" s="1361"/>
      <c r="K1739" s="173"/>
      <c r="L1739" s="38"/>
      <c r="M1739" s="173"/>
    </row>
    <row r="1740" spans="1:16" x14ac:dyDescent="0.2">
      <c r="A1740" s="31">
        <f>A1738+1</f>
        <v>32</v>
      </c>
      <c r="C1740" s="32" t="s">
        <v>774</v>
      </c>
      <c r="D1740" s="40">
        <f>D1735+D1718+D1663+D1659+D1738</f>
        <v>428873123.36999989</v>
      </c>
      <c r="E1740" s="40">
        <f>E1735+E1718+E1663+E1659+E1738</f>
        <v>3112866</v>
      </c>
      <c r="F1740" s="40">
        <f>F1735+F1718+F1663+F1659+F1738</f>
        <v>-373400</v>
      </c>
      <c r="G1740" s="40">
        <f>G1735+G1718+G1663+G1659+G1738</f>
        <v>431612589.36999989</v>
      </c>
      <c r="H1740" s="38"/>
      <c r="I1740" s="40">
        <f>I1735+I1718+I1663+I1659+I1738</f>
        <v>151454554.03128031</v>
      </c>
      <c r="J1740" s="1363"/>
      <c r="K1740" s="40">
        <f>K1735+K1718+K1663+K1659+K1738</f>
        <v>1292441.8122287225</v>
      </c>
      <c r="L1740" s="40">
        <f>L1735+L1718+L1663+L1659+L1738</f>
        <v>373400</v>
      </c>
      <c r="M1740" s="40">
        <f>M1735+M1718+M1663+M1659+M1738</f>
        <v>-88900</v>
      </c>
      <c r="N1740" s="2230">
        <f>N1735+N1718+N1663+N1659+N1738</f>
        <v>152284695.84350902</v>
      </c>
    </row>
    <row r="1742" spans="1:16" x14ac:dyDescent="0.2">
      <c r="A1742" s="2079" t="str">
        <f>co</f>
        <v>COLUMBIA GAS OF KENTUCKY, INC.</v>
      </c>
      <c r="B1742" s="2079"/>
      <c r="C1742" s="2079"/>
      <c r="D1742" s="2079"/>
      <c r="E1742" s="2079"/>
      <c r="F1742" s="2079"/>
      <c r="G1742" s="2079"/>
      <c r="H1742" s="2079"/>
      <c r="I1742" s="2079"/>
      <c r="J1742" s="2079"/>
      <c r="K1742" s="2079"/>
      <c r="L1742" s="2079"/>
      <c r="M1742" s="2079"/>
      <c r="N1742" s="2079"/>
    </row>
    <row r="1743" spans="1:16" x14ac:dyDescent="0.2">
      <c r="A1743" s="2079" t="str">
        <f>case</f>
        <v>CASE NO. 2016 - 00162</v>
      </c>
      <c r="B1743" s="2079"/>
      <c r="C1743" s="2079"/>
      <c r="D1743" s="2079"/>
      <c r="E1743" s="2079"/>
      <c r="F1743" s="2079"/>
      <c r="G1743" s="2079"/>
      <c r="H1743" s="2079"/>
      <c r="I1743" s="2079"/>
      <c r="J1743" s="2079"/>
      <c r="K1743" s="2079"/>
      <c r="L1743" s="2079"/>
      <c r="M1743" s="2079"/>
      <c r="N1743" s="2079"/>
    </row>
    <row r="1744" spans="1:16" x14ac:dyDescent="0.2">
      <c r="A1744" s="2080" t="s">
        <v>1106</v>
      </c>
      <c r="B1744" s="2079"/>
      <c r="C1744" s="2079"/>
      <c r="D1744" s="2079"/>
      <c r="E1744" s="2079"/>
      <c r="F1744" s="2079"/>
      <c r="G1744" s="2079"/>
      <c r="H1744" s="2079"/>
      <c r="I1744" s="2079"/>
      <c r="J1744" s="2079"/>
      <c r="K1744" s="2079"/>
      <c r="L1744" s="2079"/>
      <c r="M1744" s="2079"/>
      <c r="N1744" s="2079"/>
    </row>
    <row r="1745" spans="1:14" x14ac:dyDescent="0.2">
      <c r="A1745" s="2081" t="s">
        <v>2142</v>
      </c>
      <c r="B1745" s="2085"/>
      <c r="C1745" s="2085"/>
      <c r="D1745" s="2085"/>
      <c r="E1745" s="2085"/>
      <c r="F1745" s="2085"/>
      <c r="G1745" s="2085"/>
      <c r="H1745" s="2085"/>
      <c r="I1745" s="2085"/>
      <c r="J1745" s="2085"/>
      <c r="K1745" s="2085"/>
      <c r="L1745" s="2085"/>
      <c r="M1745" s="2085"/>
      <c r="N1745" s="2085"/>
    </row>
    <row r="1747" spans="1:14" x14ac:dyDescent="0.2">
      <c r="A1747" s="285" t="str">
        <f>$A$6</f>
        <v>DATA:__X___BASE PERIOD__X___FORECASTED PERIOD</v>
      </c>
      <c r="C1747" s="171"/>
      <c r="I1747" s="32"/>
      <c r="N1747" s="1258" t="str">
        <f>$N$6</f>
        <v>WPB-2.2</v>
      </c>
    </row>
    <row r="1748" spans="1:14" x14ac:dyDescent="0.2">
      <c r="A1748" s="4" t="str">
        <f>$A$7</f>
        <v>TYPE OF FILING:___X____ORIGINAL________UPDATED</v>
      </c>
      <c r="I1748" s="32"/>
      <c r="N1748" s="2223" t="s">
        <v>1746</v>
      </c>
    </row>
    <row r="1749" spans="1:14" x14ac:dyDescent="0.2">
      <c r="A1749" s="1261" t="str">
        <f>$A$8</f>
        <v xml:space="preserve">WORKPAPER REFERENCE NO(S).: </v>
      </c>
      <c r="B1749" s="202"/>
      <c r="C1749" s="202"/>
      <c r="D1749" s="201"/>
      <c r="E1749" s="202"/>
      <c r="F1749" s="202"/>
      <c r="G1749" s="201"/>
      <c r="H1749" s="201"/>
      <c r="I1749" s="203"/>
      <c r="L1749" s="32"/>
      <c r="M1749" s="32"/>
      <c r="N1749" s="204" t="str">
        <f>SMK</f>
        <v>WITNESS:  S. M. KATKO</v>
      </c>
    </row>
    <row r="1750" spans="1:14" x14ac:dyDescent="0.2">
      <c r="A1750" s="200"/>
      <c r="B1750" s="201"/>
      <c r="C1750" s="201"/>
      <c r="D1750" s="201"/>
      <c r="E1750" s="202"/>
      <c r="F1750" s="202"/>
      <c r="G1750" s="201"/>
      <c r="H1750" s="201"/>
      <c r="I1750" s="203"/>
      <c r="J1750" s="1357"/>
      <c r="L1750" s="32"/>
      <c r="M1750" s="32"/>
    </row>
    <row r="1751" spans="1:14" x14ac:dyDescent="0.2">
      <c r="A1751" s="200"/>
      <c r="B1751" s="201"/>
      <c r="C1751" s="201"/>
      <c r="D1751" s="2082" t="s">
        <v>1088</v>
      </c>
      <c r="E1751" s="2082"/>
      <c r="F1751" s="2082"/>
      <c r="G1751" s="2082"/>
      <c r="H1751" s="201"/>
      <c r="I1751" s="2083" t="s">
        <v>1093</v>
      </c>
      <c r="J1751" s="2084"/>
      <c r="K1751" s="2084"/>
      <c r="L1751" s="2084"/>
      <c r="M1751" s="2084"/>
      <c r="N1751" s="2084"/>
    </row>
    <row r="1752" spans="1:14" x14ac:dyDescent="0.2">
      <c r="A1752" s="270"/>
      <c r="B1752" s="201"/>
      <c r="C1752" s="201"/>
      <c r="D1752" s="271" t="s">
        <v>1084</v>
      </c>
      <c r="E1752" s="202"/>
      <c r="F1752" s="202"/>
      <c r="G1752" s="269"/>
      <c r="H1752" s="269"/>
      <c r="I1752" s="261" t="s">
        <v>1089</v>
      </c>
      <c r="J1752" s="1358"/>
      <c r="M1752" s="32"/>
    </row>
    <row r="1753" spans="1:14" x14ac:dyDescent="0.2">
      <c r="A1753" s="30"/>
      <c r="D1753" s="261" t="s">
        <v>865</v>
      </c>
      <c r="G1753" s="261" t="s">
        <v>867</v>
      </c>
      <c r="H1753" s="268"/>
      <c r="I1753" s="261" t="s">
        <v>865</v>
      </c>
      <c r="J1753" s="1308" t="s">
        <v>956</v>
      </c>
      <c r="M1753" s="32"/>
      <c r="N1753" s="2225" t="s">
        <v>867</v>
      </c>
    </row>
    <row r="1754" spans="1:14" x14ac:dyDescent="0.2">
      <c r="A1754" s="261" t="s">
        <v>1080</v>
      </c>
      <c r="B1754" s="261" t="s">
        <v>1082</v>
      </c>
      <c r="D1754" s="261" t="s">
        <v>867</v>
      </c>
      <c r="G1754" s="262" t="s">
        <v>1087</v>
      </c>
      <c r="H1754" s="268"/>
      <c r="I1754" s="262" t="s">
        <v>867</v>
      </c>
      <c r="J1754" s="1308" t="s">
        <v>1090</v>
      </c>
      <c r="K1754" s="1308" t="s">
        <v>956</v>
      </c>
      <c r="M1754" s="262" t="s">
        <v>1092</v>
      </c>
      <c r="N1754" s="1259" t="s">
        <v>1087</v>
      </c>
    </row>
    <row r="1755" spans="1:14" x14ac:dyDescent="0.2">
      <c r="A1755" s="272" t="s">
        <v>1081</v>
      </c>
      <c r="B1755" s="272" t="s">
        <v>1081</v>
      </c>
      <c r="C1755" s="273" t="s">
        <v>1083</v>
      </c>
      <c r="D1755" s="298" t="str">
        <f>"06/30/2017"</f>
        <v>06/30/2017</v>
      </c>
      <c r="E1755" s="275" t="s">
        <v>1085</v>
      </c>
      <c r="F1755" s="275" t="s">
        <v>1086</v>
      </c>
      <c r="G1755" s="298" t="str">
        <f>"07/31/2017"</f>
        <v>07/31/2017</v>
      </c>
      <c r="H1755" s="268"/>
      <c r="I1755" s="274" t="str">
        <f>D1755</f>
        <v>06/30/2017</v>
      </c>
      <c r="J1755" s="275" t="s">
        <v>1091</v>
      </c>
      <c r="K1755" s="1327" t="s">
        <v>1090</v>
      </c>
      <c r="L1755" s="276" t="s">
        <v>1086</v>
      </c>
      <c r="M1755" s="276" t="s">
        <v>955</v>
      </c>
      <c r="N1755" s="2226" t="str">
        <f>G1755</f>
        <v>07/31/2017</v>
      </c>
    </row>
    <row r="1756" spans="1:14" x14ac:dyDescent="0.2">
      <c r="A1756" s="267"/>
      <c r="B1756" s="267"/>
      <c r="C1756" s="267"/>
      <c r="D1756" s="267" t="str">
        <f>"(1)"</f>
        <v>(1)</v>
      </c>
      <c r="E1756" s="267" t="str">
        <f>"(2)"</f>
        <v>(2)</v>
      </c>
      <c r="F1756" s="267" t="str">
        <f>"(3)"</f>
        <v>(3)</v>
      </c>
      <c r="G1756" s="267" t="str">
        <f>"(4)=(1+2+3)"</f>
        <v>(4)=(1+2+3)</v>
      </c>
      <c r="H1756" s="267"/>
      <c r="I1756" s="267" t="str">
        <f>"(5)"</f>
        <v>(5)</v>
      </c>
      <c r="J1756" s="1328" t="str">
        <f>"(6)"</f>
        <v>(6)</v>
      </c>
      <c r="K1756" s="1328" t="str">
        <f>"(7)=((1+4)/2*6/12))"</f>
        <v>(7)=((1+4)/2*6/12))</v>
      </c>
      <c r="L1756" s="267" t="str">
        <f>"(8)"</f>
        <v>(8)</v>
      </c>
      <c r="M1756" s="267" t="str">
        <f>"(9)"</f>
        <v>(9)</v>
      </c>
      <c r="N1756" s="204" t="str">
        <f>"(10)=(5+7-8+9)"</f>
        <v>(10)=(5+7-8+9)</v>
      </c>
    </row>
    <row r="1757" spans="1:14" x14ac:dyDescent="0.2">
      <c r="D1757" s="31" t="s">
        <v>639</v>
      </c>
      <c r="E1757" s="170" t="s">
        <v>639</v>
      </c>
      <c r="F1757" s="170" t="s">
        <v>639</v>
      </c>
      <c r="G1757" s="31" t="s">
        <v>639</v>
      </c>
      <c r="H1757" s="31"/>
      <c r="I1757" s="31" t="s">
        <v>639</v>
      </c>
      <c r="J1757" s="170" t="s">
        <v>639</v>
      </c>
      <c r="K1757" s="170" t="s">
        <v>639</v>
      </c>
      <c r="L1757" s="31" t="s">
        <v>639</v>
      </c>
      <c r="M1757" s="31" t="s">
        <v>639</v>
      </c>
      <c r="N1757" s="155" t="s">
        <v>639</v>
      </c>
    </row>
    <row r="1758" spans="1:14" x14ac:dyDescent="0.2">
      <c r="A1758" s="31">
        <v>1</v>
      </c>
      <c r="B1758" s="36" t="s">
        <v>1025</v>
      </c>
      <c r="C1758" s="34"/>
      <c r="M1758" s="32"/>
    </row>
    <row r="1759" spans="1:14" x14ac:dyDescent="0.2">
      <c r="A1759" s="31">
        <f>A1758+1</f>
        <v>2</v>
      </c>
      <c r="C1759" s="36" t="s">
        <v>697</v>
      </c>
      <c r="M1759" s="32"/>
    </row>
    <row r="1760" spans="1:14" x14ac:dyDescent="0.2">
      <c r="A1760" s="31">
        <f t="shared" ref="A1760:A1765" si="536">A1759+1</f>
        <v>3</v>
      </c>
      <c r="B1760" s="253">
        <v>301</v>
      </c>
      <c r="C1760" s="52" t="s">
        <v>1026</v>
      </c>
      <c r="D1760" s="257">
        <f>G1654</f>
        <v>521.20000000000005</v>
      </c>
      <c r="E1760" s="382">
        <f>ROUND('Plant input detail '!E1762*'WPB2.2 Plant detail-w slippage'!$P$2,0)</f>
        <v>0</v>
      </c>
      <c r="F1760" s="257">
        <f>ROUND('Plant input detail '!F1762*'WPB2.2 Plant detail-w slippage'!$P$2,0)</f>
        <v>0</v>
      </c>
      <c r="G1760" s="257">
        <f>SUM(D1760:F1760)</f>
        <v>521.20000000000005</v>
      </c>
      <c r="H1760" s="38"/>
      <c r="I1760" s="257">
        <f>N1654</f>
        <v>0</v>
      </c>
      <c r="J1760" s="296" t="s">
        <v>1094</v>
      </c>
      <c r="K1760" s="259">
        <v>0</v>
      </c>
      <c r="L1760" s="38">
        <f>-F1760</f>
        <v>0</v>
      </c>
      <c r="M1760" s="259">
        <v>0</v>
      </c>
      <c r="N1760" s="2227">
        <f>I1760+K1760-L1760+M1760</f>
        <v>0</v>
      </c>
    </row>
    <row r="1761" spans="1:14" x14ac:dyDescent="0.2">
      <c r="A1761" s="31">
        <f t="shared" si="536"/>
        <v>4</v>
      </c>
      <c r="B1761" s="253">
        <v>303</v>
      </c>
      <c r="C1761" s="52" t="s">
        <v>1027</v>
      </c>
      <c r="D1761" s="257">
        <f>G1655</f>
        <v>74347.509999999995</v>
      </c>
      <c r="E1761" s="382">
        <f>ROUND('Plant input detail '!E1763*'WPB2.2 Plant detail-w slippage'!$P$2,0)</f>
        <v>0</v>
      </c>
      <c r="F1761" s="257">
        <f>ROUND('Plant input detail '!F1763*'WPB2.2 Plant detail-w slippage'!$P$2,0)</f>
        <v>0</v>
      </c>
      <c r="G1761" s="257">
        <f>SUM(D1761:F1761)</f>
        <v>74347.509999999995</v>
      </c>
      <c r="H1761" s="38"/>
      <c r="I1761" s="257">
        <f>N1655</f>
        <v>49103.749999999949</v>
      </c>
      <c r="J1761" s="296" t="s">
        <v>1094</v>
      </c>
      <c r="K1761" s="257">
        <f>'WPB2.2a Intan Amort. w slippage'!M$127</f>
        <v>206.52</v>
      </c>
      <c r="L1761" s="38">
        <f>-F1761</f>
        <v>0</v>
      </c>
      <c r="M1761" s="259">
        <v>0</v>
      </c>
      <c r="N1761" s="2227">
        <f>I1761+K1761-L1761+M1761</f>
        <v>49310.269999999946</v>
      </c>
    </row>
    <row r="1762" spans="1:14" x14ac:dyDescent="0.2">
      <c r="A1762" s="31">
        <f t="shared" si="536"/>
        <v>5</v>
      </c>
      <c r="B1762" s="253">
        <v>303.10000000000002</v>
      </c>
      <c r="C1762" s="52" t="s">
        <v>1028</v>
      </c>
      <c r="D1762" s="257">
        <f>G1656</f>
        <v>0</v>
      </c>
      <c r="E1762" s="382">
        <f>ROUND('Plant input detail '!E1764*'WPB2.2 Plant detail-w slippage'!$P$2,0)</f>
        <v>0</v>
      </c>
      <c r="F1762" s="257">
        <f>ROUND('Plant input detail '!F1764*'WPB2.2 Plant detail-w slippage'!$P$2,0)</f>
        <v>0</v>
      </c>
      <c r="G1762" s="257">
        <f>SUM(D1762:F1762)</f>
        <v>0</v>
      </c>
      <c r="H1762" s="38"/>
      <c r="I1762" s="257">
        <f>N1656</f>
        <v>0</v>
      </c>
      <c r="J1762" s="296" t="s">
        <v>1094</v>
      </c>
      <c r="K1762" s="259">
        <v>0</v>
      </c>
      <c r="L1762" s="38">
        <f>-F1762</f>
        <v>0</v>
      </c>
      <c r="M1762" s="259">
        <v>0</v>
      </c>
      <c r="N1762" s="2227">
        <f>I1762+K1762-L1762+M1762</f>
        <v>0</v>
      </c>
    </row>
    <row r="1763" spans="1:14" x14ac:dyDescent="0.2">
      <c r="A1763" s="31">
        <f t="shared" si="536"/>
        <v>6</v>
      </c>
      <c r="B1763" s="253">
        <v>303.2</v>
      </c>
      <c r="C1763" s="52" t="s">
        <v>1029</v>
      </c>
      <c r="D1763" s="257">
        <f>G1657</f>
        <v>0</v>
      </c>
      <c r="E1763" s="382">
        <f>ROUND('Plant input detail '!E1765*'WPB2.2 Plant detail-w slippage'!$P$2,0)</f>
        <v>0</v>
      </c>
      <c r="F1763" s="257">
        <f>ROUND('Plant input detail '!F1765*'WPB2.2 Plant detail-w slippage'!$P$2,0)</f>
        <v>0</v>
      </c>
      <c r="G1763" s="257">
        <f>SUM(D1763:F1763)</f>
        <v>0</v>
      </c>
      <c r="H1763" s="38"/>
      <c r="I1763" s="257">
        <f>N1657</f>
        <v>0</v>
      </c>
      <c r="J1763" s="296" t="s">
        <v>1094</v>
      </c>
      <c r="K1763" s="259">
        <v>0</v>
      </c>
      <c r="L1763" s="38">
        <f>-F1763</f>
        <v>0</v>
      </c>
      <c r="M1763" s="259">
        <v>0</v>
      </c>
      <c r="N1763" s="2227">
        <f>I1763+K1763-L1763+M1763</f>
        <v>0</v>
      </c>
    </row>
    <row r="1764" spans="1:14" x14ac:dyDescent="0.2">
      <c r="A1764" s="31">
        <f t="shared" si="536"/>
        <v>7</v>
      </c>
      <c r="B1764" s="253">
        <v>303.3</v>
      </c>
      <c r="C1764" s="52" t="s">
        <v>1030</v>
      </c>
      <c r="D1764" s="260">
        <f>G1658</f>
        <v>7018586</v>
      </c>
      <c r="E1764" s="265">
        <f>ROUND('Plant input detail '!E1766*'WPB2.2 Plant detail-w slippage'!$P$2,0)</f>
        <v>2652000</v>
      </c>
      <c r="F1764" s="265">
        <f>ROUND('Plant input detail '!F1766*'WPB2.2 Plant detail-w slippage'!$P$2,0)</f>
        <v>0</v>
      </c>
      <c r="G1764" s="260">
        <f>SUM(D1764:F1764)</f>
        <v>9670586</v>
      </c>
      <c r="H1764" s="38"/>
      <c r="I1764" s="260">
        <f>N1658</f>
        <v>3397360.7819300718</v>
      </c>
      <c r="J1764" s="296" t="s">
        <v>1094</v>
      </c>
      <c r="K1764" s="260">
        <f>'WPB2.2a Intan Amort. w slippage'!M$216</f>
        <v>105933.10996911427</v>
      </c>
      <c r="L1764" s="295">
        <f>-F1764</f>
        <v>0</v>
      </c>
      <c r="M1764" s="263">
        <v>0</v>
      </c>
      <c r="N1764" s="2228">
        <f>I1764+K1764-L1764+M1764</f>
        <v>3503293.8918991862</v>
      </c>
    </row>
    <row r="1765" spans="1:14" x14ac:dyDescent="0.2">
      <c r="A1765" s="31">
        <f t="shared" si="536"/>
        <v>8</v>
      </c>
      <c r="B1765" s="253"/>
      <c r="C1765" s="52" t="s">
        <v>1031</v>
      </c>
      <c r="D1765" s="38">
        <f>SUM(D1760:D1764)</f>
        <v>7093454.71</v>
      </c>
      <c r="E1765" s="173">
        <f>SUM(E1760:E1764)</f>
        <v>2652000</v>
      </c>
      <c r="F1765" s="173">
        <f>SUM(F1760:F1764)</f>
        <v>0</v>
      </c>
      <c r="G1765" s="38">
        <f>SUM(G1760:G1764)</f>
        <v>9745454.7100000009</v>
      </c>
      <c r="H1765" s="38"/>
      <c r="I1765" s="38">
        <f>SUM(I1760:I1764)</f>
        <v>3446464.5319300718</v>
      </c>
      <c r="J1765" s="1359"/>
      <c r="K1765" s="173">
        <f>SUM(K1760:K1764)</f>
        <v>106139.62996911428</v>
      </c>
      <c r="L1765" s="38">
        <f>SUM(L1760:L1764)</f>
        <v>0</v>
      </c>
      <c r="M1765" s="173">
        <f>SUM(M1760:M1764)</f>
        <v>0</v>
      </c>
      <c r="N1765" s="1361">
        <f>SUM(N1760:N1764)</f>
        <v>3552604.1618991862</v>
      </c>
    </row>
    <row r="1766" spans="1:14" x14ac:dyDescent="0.2">
      <c r="B1766" s="254"/>
      <c r="D1766" s="38"/>
      <c r="E1766" s="173"/>
      <c r="F1766" s="173"/>
      <c r="G1766" s="38"/>
      <c r="H1766" s="38"/>
      <c r="I1766" s="38"/>
      <c r="J1766" s="1359"/>
      <c r="K1766" s="173"/>
      <c r="L1766" s="38"/>
      <c r="M1766" s="173"/>
    </row>
    <row r="1767" spans="1:14" x14ac:dyDescent="0.2">
      <c r="A1767" s="31">
        <f>A1765+1</f>
        <v>9</v>
      </c>
      <c r="B1767" s="254"/>
      <c r="C1767" s="36" t="s">
        <v>704</v>
      </c>
      <c r="D1767" s="38"/>
      <c r="E1767" s="173"/>
      <c r="F1767" s="173"/>
      <c r="G1767" s="38"/>
      <c r="H1767" s="38"/>
      <c r="I1767" s="38"/>
      <c r="J1767" s="1359"/>
      <c r="K1767" s="173"/>
      <c r="L1767" s="38"/>
      <c r="M1767" s="173"/>
    </row>
    <row r="1768" spans="1:14" x14ac:dyDescent="0.2">
      <c r="A1768" s="31">
        <f>A1767+1</f>
        <v>10</v>
      </c>
      <c r="B1768" s="255">
        <v>304.10000000000002</v>
      </c>
      <c r="C1768" s="41" t="s">
        <v>1032</v>
      </c>
      <c r="D1768" s="260">
        <f>G1662</f>
        <v>0</v>
      </c>
      <c r="E1768" s="265">
        <f>ROUND('Plant input detail '!E1770*'WPB2.2 Plant detail-w slippage'!$P$2,0)</f>
        <v>0</v>
      </c>
      <c r="F1768" s="265">
        <f>ROUND('Plant input detail '!F1770*'WPB2.2 Plant detail-w slippage'!$P$2,0)</f>
        <v>0</v>
      </c>
      <c r="G1768" s="260">
        <f>SUM(D1768:F1768)</f>
        <v>0</v>
      </c>
      <c r="H1768" s="38"/>
      <c r="I1768" s="260">
        <f>N1662</f>
        <v>0</v>
      </c>
      <c r="J1768" s="1360" t="s">
        <v>1102</v>
      </c>
      <c r="K1768" s="266">
        <v>0</v>
      </c>
      <c r="L1768" s="295">
        <f>-F1768</f>
        <v>0</v>
      </c>
      <c r="M1768" s="263">
        <v>0</v>
      </c>
      <c r="N1768" s="2228">
        <f>I1768+K1768-L1768+M1768</f>
        <v>0</v>
      </c>
    </row>
    <row r="1769" spans="1:14" x14ac:dyDescent="0.2">
      <c r="A1769" s="31">
        <f>A1768+1</f>
        <v>11</v>
      </c>
      <c r="B1769" s="255"/>
      <c r="C1769" s="256" t="s">
        <v>1079</v>
      </c>
      <c r="D1769" s="38">
        <f>D1768</f>
        <v>0</v>
      </c>
      <c r="E1769" s="173">
        <f>E1768</f>
        <v>0</v>
      </c>
      <c r="F1769" s="173">
        <f>F1768</f>
        <v>0</v>
      </c>
      <c r="G1769" s="38">
        <f>G1768</f>
        <v>0</v>
      </c>
      <c r="H1769" s="38"/>
      <c r="I1769" s="38">
        <f>I1768</f>
        <v>0</v>
      </c>
      <c r="J1769" s="1361"/>
      <c r="K1769" s="173">
        <f>SUM(K1768)</f>
        <v>0</v>
      </c>
      <c r="L1769" s="38">
        <f>SUM(L1768)</f>
        <v>0</v>
      </c>
      <c r="M1769" s="173">
        <f>M1768</f>
        <v>0</v>
      </c>
      <c r="N1769" s="1361">
        <f>N1768</f>
        <v>0</v>
      </c>
    </row>
    <row r="1770" spans="1:14" x14ac:dyDescent="0.2">
      <c r="B1770" s="254"/>
      <c r="D1770" s="38"/>
      <c r="E1770" s="173"/>
      <c r="F1770" s="173"/>
      <c r="G1770" s="38"/>
      <c r="H1770" s="38"/>
      <c r="I1770" s="38"/>
      <c r="J1770" s="1361"/>
      <c r="K1770" s="173"/>
      <c r="L1770" s="38"/>
      <c r="M1770" s="173"/>
    </row>
    <row r="1771" spans="1:14" x14ac:dyDescent="0.2">
      <c r="A1771" s="31">
        <f>A1769+1</f>
        <v>12</v>
      </c>
      <c r="B1771" s="254"/>
      <c r="C1771" s="36" t="s">
        <v>707</v>
      </c>
      <c r="D1771" s="38"/>
      <c r="E1771" s="173"/>
      <c r="F1771" s="173"/>
      <c r="G1771" s="38"/>
      <c r="H1771" s="38"/>
      <c r="I1771" s="38"/>
      <c r="J1771" s="1361"/>
      <c r="K1771" s="173"/>
      <c r="L1771" s="38"/>
      <c r="M1771" s="173"/>
    </row>
    <row r="1772" spans="1:14" x14ac:dyDescent="0.2">
      <c r="A1772" s="31">
        <f>A1771+1</f>
        <v>13</v>
      </c>
      <c r="B1772" s="253">
        <v>374.1</v>
      </c>
      <c r="C1772" s="52" t="s">
        <v>1035</v>
      </c>
      <c r="D1772" s="257">
        <f t="shared" ref="D1772:D1782" si="537">G1666</f>
        <v>206</v>
      </c>
      <c r="E1772" s="382">
        <f>ROUND('Plant input detail '!E1774*'WPB2.2 Plant detail-w slippage'!$P$2,0)</f>
        <v>0</v>
      </c>
      <c r="F1772" s="257">
        <f>ROUND('Plant input detail '!F1774*'WPB2.2 Plant detail-w slippage'!$P$2,0)</f>
        <v>0</v>
      </c>
      <c r="G1772" s="257">
        <f>SUM(D1772:F1772)</f>
        <v>206</v>
      </c>
      <c r="H1772" s="38"/>
      <c r="I1772" s="257">
        <f t="shared" ref="I1772:I1782" si="538">N1666</f>
        <v>0</v>
      </c>
      <c r="J1772" s="1360" t="s">
        <v>1102</v>
      </c>
      <c r="K1772" s="259">
        <v>0</v>
      </c>
      <c r="L1772" s="38">
        <f t="shared" ref="L1772:L1782" si="539">-F1772</f>
        <v>0</v>
      </c>
      <c r="M1772" s="257">
        <f>ROUND('Plant input detail '!M1774*'WPB2.2 Plant detail-w slippage'!$P$2,0)</f>
        <v>0</v>
      </c>
      <c r="N1772" s="2227">
        <f t="shared" ref="N1772:N1782" si="540">I1772+K1772-L1772+M1772</f>
        <v>0</v>
      </c>
    </row>
    <row r="1773" spans="1:14" x14ac:dyDescent="0.2">
      <c r="A1773" s="31">
        <f t="shared" ref="A1773:A1793" si="541">A1772+1</f>
        <v>14</v>
      </c>
      <c r="B1773" s="253">
        <v>374.2</v>
      </c>
      <c r="C1773" s="52" t="s">
        <v>1036</v>
      </c>
      <c r="D1773" s="257">
        <f t="shared" si="537"/>
        <v>877756.18</v>
      </c>
      <c r="E1773" s="382">
        <f>ROUND('Plant input detail '!E1775*'WPB2.2 Plant detail-w slippage'!$P$2,0)</f>
        <v>0</v>
      </c>
      <c r="F1773" s="257">
        <f>ROUND('Plant input detail '!F1775*'WPB2.2 Plant detail-w slippage'!$P$2,0)</f>
        <v>0</v>
      </c>
      <c r="G1773" s="257">
        <f t="shared" ref="G1773:G1782" si="542">SUM(D1773:F1773)</f>
        <v>877756.18</v>
      </c>
      <c r="H1773" s="38"/>
      <c r="I1773" s="257">
        <f t="shared" si="538"/>
        <v>-523.13</v>
      </c>
      <c r="J1773" s="1360" t="s">
        <v>1102</v>
      </c>
      <c r="K1773" s="259">
        <v>0</v>
      </c>
      <c r="L1773" s="38">
        <f t="shared" si="539"/>
        <v>0</v>
      </c>
      <c r="M1773" s="257">
        <f>ROUND('Plant input detail '!M1775*'WPB2.2 Plant detail-w slippage'!$P$2,0)</f>
        <v>0</v>
      </c>
      <c r="N1773" s="2227">
        <f t="shared" si="540"/>
        <v>-523.13</v>
      </c>
    </row>
    <row r="1774" spans="1:14" x14ac:dyDescent="0.2">
      <c r="A1774" s="31">
        <f t="shared" si="541"/>
        <v>15</v>
      </c>
      <c r="B1774" s="253">
        <v>374.4</v>
      </c>
      <c r="C1774" s="52" t="s">
        <v>1037</v>
      </c>
      <c r="D1774" s="257">
        <f t="shared" si="537"/>
        <v>661305.66</v>
      </c>
      <c r="E1774" s="382">
        <f>ROUND('Plant input detail '!E1776*'WPB2.2 Plant detail-w slippage'!$P$2,0)</f>
        <v>0</v>
      </c>
      <c r="F1774" s="257">
        <f>ROUND('Plant input detail '!F1776*'WPB2.2 Plant detail-w slippage'!$P$2,0)</f>
        <v>0</v>
      </c>
      <c r="G1774" s="257">
        <f t="shared" si="542"/>
        <v>661305.66</v>
      </c>
      <c r="H1774" s="38"/>
      <c r="I1774" s="257">
        <f t="shared" si="538"/>
        <v>184637.36</v>
      </c>
      <c r="J1774" s="1362">
        <f t="shared" ref="J1774:J1780" si="543">J1668</f>
        <v>1.7399999999999999E-2</v>
      </c>
      <c r="K1774" s="173">
        <f>ROUND((G1774+D1774)/2*J1774/12,0)</f>
        <v>959</v>
      </c>
      <c r="L1774" s="38">
        <f t="shared" si="539"/>
        <v>0</v>
      </c>
      <c r="M1774" s="257">
        <f>ROUND('Plant input detail '!M1776*'WPB2.2 Plant detail-w slippage'!$P$2,0)</f>
        <v>0</v>
      </c>
      <c r="N1774" s="2227">
        <f t="shared" si="540"/>
        <v>185596.36</v>
      </c>
    </row>
    <row r="1775" spans="1:14" x14ac:dyDescent="0.2">
      <c r="A1775" s="31">
        <f t="shared" si="541"/>
        <v>16</v>
      </c>
      <c r="B1775" s="253">
        <v>374.5</v>
      </c>
      <c r="C1775" s="52" t="s">
        <v>1038</v>
      </c>
      <c r="D1775" s="257">
        <f t="shared" si="537"/>
        <v>2726172.55</v>
      </c>
      <c r="E1775" s="382">
        <f>ROUND('Plant input detail '!E1777*'WPB2.2 Plant detail-w slippage'!$P$2,0)</f>
        <v>5600</v>
      </c>
      <c r="F1775" s="257">
        <f>ROUND('Plant input detail '!F1777*'WPB2.2 Plant detail-w slippage'!$P$2,0)</f>
        <v>-700</v>
      </c>
      <c r="G1775" s="257">
        <f t="shared" si="542"/>
        <v>2731072.55</v>
      </c>
      <c r="H1775" s="38"/>
      <c r="I1775" s="257">
        <f t="shared" si="538"/>
        <v>943232.23</v>
      </c>
      <c r="J1775" s="1362">
        <f t="shared" si="543"/>
        <v>1.29E-2</v>
      </c>
      <c r="K1775" s="173">
        <f t="shared" ref="K1775:K1780" si="544">ROUND((G1775+D1775)/2*J1775/12,0)</f>
        <v>2933</v>
      </c>
      <c r="L1775" s="38">
        <f t="shared" si="539"/>
        <v>700</v>
      </c>
      <c r="M1775" s="257">
        <f>ROUND('Plant input detail '!M1777*'WPB2.2 Plant detail-w slippage'!$P$2,0)</f>
        <v>0</v>
      </c>
      <c r="N1775" s="2227">
        <f t="shared" si="540"/>
        <v>945465.23</v>
      </c>
    </row>
    <row r="1776" spans="1:14" x14ac:dyDescent="0.2">
      <c r="A1776" s="31">
        <f t="shared" si="541"/>
        <v>17</v>
      </c>
      <c r="B1776" s="253">
        <v>375.2</v>
      </c>
      <c r="C1776" s="52" t="s">
        <v>1039</v>
      </c>
      <c r="D1776" s="257">
        <f t="shared" si="537"/>
        <v>2124.98</v>
      </c>
      <c r="E1776" s="382">
        <f>ROUND('Plant input detail '!E1778*'WPB2.2 Plant detail-w slippage'!$P$2,0)</f>
        <v>0</v>
      </c>
      <c r="F1776" s="257">
        <f>ROUND('Plant input detail '!F1778*'WPB2.2 Plant detail-w slippage'!$P$2,0)</f>
        <v>0</v>
      </c>
      <c r="G1776" s="257">
        <f t="shared" si="542"/>
        <v>2124.98</v>
      </c>
      <c r="H1776" s="38"/>
      <c r="I1776" s="257">
        <f t="shared" si="538"/>
        <v>2063.3199999999997</v>
      </c>
      <c r="J1776" s="1362">
        <f t="shared" si="543"/>
        <v>3.1800000000000002E-2</v>
      </c>
      <c r="K1776" s="173">
        <f t="shared" si="544"/>
        <v>6</v>
      </c>
      <c r="L1776" s="38">
        <f t="shared" si="539"/>
        <v>0</v>
      </c>
      <c r="M1776" s="257">
        <f>ROUND('Plant input detail '!M1778*'WPB2.2 Plant detail-w slippage'!$P$2,0)</f>
        <v>0</v>
      </c>
      <c r="N1776" s="2227">
        <f t="shared" si="540"/>
        <v>2069.3199999999997</v>
      </c>
    </row>
    <row r="1777" spans="1:14" x14ac:dyDescent="0.2">
      <c r="A1777" s="31">
        <f t="shared" si="541"/>
        <v>18</v>
      </c>
      <c r="B1777" s="253">
        <v>375.3</v>
      </c>
      <c r="C1777" s="52" t="s">
        <v>1040</v>
      </c>
      <c r="D1777" s="257">
        <f t="shared" si="537"/>
        <v>0</v>
      </c>
      <c r="E1777" s="382">
        <f>ROUND('Plant input detail '!E1779*'WPB2.2 Plant detail-w slippage'!$P$2,0)</f>
        <v>0</v>
      </c>
      <c r="F1777" s="257">
        <f>ROUND('Plant input detail '!F1779*'WPB2.2 Plant detail-w slippage'!$P$2,0)</f>
        <v>0</v>
      </c>
      <c r="G1777" s="257">
        <f t="shared" si="542"/>
        <v>0</v>
      </c>
      <c r="H1777" s="38"/>
      <c r="I1777" s="257">
        <f t="shared" si="538"/>
        <v>-77.66</v>
      </c>
      <c r="J1777" s="1362">
        <f t="shared" si="543"/>
        <v>3.1800000000000002E-2</v>
      </c>
      <c r="K1777" s="173">
        <f t="shared" si="544"/>
        <v>0</v>
      </c>
      <c r="L1777" s="38">
        <f t="shared" si="539"/>
        <v>0</v>
      </c>
      <c r="M1777" s="257">
        <f>ROUND('Plant input detail '!M1779*'WPB2.2 Plant detail-w slippage'!$P$2,0)</f>
        <v>0</v>
      </c>
      <c r="N1777" s="2227">
        <f t="shared" si="540"/>
        <v>-77.66</v>
      </c>
    </row>
    <row r="1778" spans="1:14" x14ac:dyDescent="0.2">
      <c r="A1778" s="31">
        <f t="shared" si="541"/>
        <v>19</v>
      </c>
      <c r="B1778" s="253">
        <v>375.4</v>
      </c>
      <c r="C1778" s="52" t="s">
        <v>1041</v>
      </c>
      <c r="D1778" s="257">
        <f t="shared" si="537"/>
        <v>2185530.02</v>
      </c>
      <c r="E1778" s="382">
        <f>ROUND('Plant input detail '!E1780*'WPB2.2 Plant detail-w slippage'!$P$2,0)</f>
        <v>26800</v>
      </c>
      <c r="F1778" s="257">
        <f>ROUND('Plant input detail '!F1780*'WPB2.2 Plant detail-w slippage'!$P$2,0)</f>
        <v>-3200</v>
      </c>
      <c r="G1778" s="257">
        <f t="shared" si="542"/>
        <v>2209130.02</v>
      </c>
      <c r="H1778" s="38"/>
      <c r="I1778" s="257">
        <f t="shared" si="538"/>
        <v>504991.37</v>
      </c>
      <c r="J1778" s="1362">
        <f t="shared" si="543"/>
        <v>3.1800000000000002E-2</v>
      </c>
      <c r="K1778" s="173">
        <f t="shared" si="544"/>
        <v>5823</v>
      </c>
      <c r="L1778" s="38">
        <f t="shared" si="539"/>
        <v>3200</v>
      </c>
      <c r="M1778" s="257">
        <f>ROUND('Plant input detail '!M1780*'WPB2.2 Plant detail-w slippage'!$P$2,0)</f>
        <v>-300</v>
      </c>
      <c r="N1778" s="2227">
        <f t="shared" si="540"/>
        <v>507314.37</v>
      </c>
    </row>
    <row r="1779" spans="1:14" x14ac:dyDescent="0.2">
      <c r="A1779" s="31">
        <f t="shared" si="541"/>
        <v>20</v>
      </c>
      <c r="B1779" s="253">
        <v>375.6</v>
      </c>
      <c r="C1779" s="52" t="s">
        <v>1042</v>
      </c>
      <c r="D1779" s="257">
        <f t="shared" si="537"/>
        <v>0</v>
      </c>
      <c r="E1779" s="382">
        <f>ROUND('Plant input detail '!E1781*'WPB2.2 Plant detail-w slippage'!$P$2,0)</f>
        <v>0</v>
      </c>
      <c r="F1779" s="257">
        <f>ROUND('Plant input detail '!F1781*'WPB2.2 Plant detail-w slippage'!$P$2,0)</f>
        <v>0</v>
      </c>
      <c r="G1779" s="257">
        <f t="shared" si="542"/>
        <v>0</v>
      </c>
      <c r="H1779" s="38"/>
      <c r="I1779" s="257">
        <f t="shared" si="538"/>
        <v>0.02</v>
      </c>
      <c r="J1779" s="1362">
        <f t="shared" si="543"/>
        <v>3.1800000000000002E-2</v>
      </c>
      <c r="K1779" s="173">
        <f t="shared" si="544"/>
        <v>0</v>
      </c>
      <c r="L1779" s="38">
        <f t="shared" si="539"/>
        <v>0</v>
      </c>
      <c r="M1779" s="257">
        <f>ROUND('Plant input detail '!M1781*'WPB2.2 Plant detail-w slippage'!$P$2,0)</f>
        <v>0</v>
      </c>
      <c r="N1779" s="2227">
        <f t="shared" si="540"/>
        <v>0.02</v>
      </c>
    </row>
    <row r="1780" spans="1:14" x14ac:dyDescent="0.2">
      <c r="A1780" s="31">
        <f t="shared" si="541"/>
        <v>21</v>
      </c>
      <c r="B1780" s="253">
        <v>375.7</v>
      </c>
      <c r="C1780" s="52" t="s">
        <v>1043</v>
      </c>
      <c r="D1780" s="257">
        <f t="shared" si="537"/>
        <v>8510550.2100000009</v>
      </c>
      <c r="E1780" s="382">
        <f>ROUND('Plant input detail '!E1782*'WPB2.2 Plant detail-w slippage'!$P$2,0)</f>
        <v>48300</v>
      </c>
      <c r="F1780" s="257">
        <f>ROUND('Plant input detail '!F1782*'WPB2.2 Plant detail-w slippage'!$P$2,0)</f>
        <v>-5800</v>
      </c>
      <c r="G1780" s="257">
        <f t="shared" si="542"/>
        <v>8553050.2100000009</v>
      </c>
      <c r="H1780" s="38"/>
      <c r="I1780" s="257">
        <f t="shared" si="538"/>
        <v>3370678.06</v>
      </c>
      <c r="J1780" s="1362">
        <f t="shared" si="543"/>
        <v>2.1299999999999999E-2</v>
      </c>
      <c r="K1780" s="173">
        <f t="shared" si="544"/>
        <v>15144</v>
      </c>
      <c r="L1780" s="38">
        <f t="shared" si="539"/>
        <v>5800</v>
      </c>
      <c r="M1780" s="257">
        <f>ROUND('Plant input detail '!M1782*'WPB2.2 Plant detail-w slippage'!$P$2,0)</f>
        <v>0</v>
      </c>
      <c r="N1780" s="2227">
        <f t="shared" si="540"/>
        <v>3380022.06</v>
      </c>
    </row>
    <row r="1781" spans="1:14" x14ac:dyDescent="0.2">
      <c r="A1781" s="31">
        <f t="shared" si="541"/>
        <v>22</v>
      </c>
      <c r="B1781" s="253">
        <v>375.71</v>
      </c>
      <c r="C1781" s="52" t="s">
        <v>1044</v>
      </c>
      <c r="D1781" s="257">
        <f t="shared" si="537"/>
        <v>259808.94</v>
      </c>
      <c r="E1781" s="382">
        <f>ROUND('Plant input detail '!E1783*'WPB2.2 Plant detail-w slippage'!$P$2,0)</f>
        <v>0</v>
      </c>
      <c r="F1781" s="257">
        <f>ROUND('Plant input detail '!F1783*'WPB2.2 Plant detail-w slippage'!$P$2,0)</f>
        <v>0</v>
      </c>
      <c r="G1781" s="257">
        <f t="shared" si="542"/>
        <v>259808.94</v>
      </c>
      <c r="H1781" s="38"/>
      <c r="I1781" s="257">
        <f t="shared" si="538"/>
        <v>199219.85157894756</v>
      </c>
      <c r="J1781" s="296" t="s">
        <v>1094</v>
      </c>
      <c r="K1781" s="258">
        <f>104653.88/38</f>
        <v>2754.0494736842106</v>
      </c>
      <c r="L1781" s="38">
        <f t="shared" si="539"/>
        <v>0</v>
      </c>
      <c r="M1781" s="257">
        <f>ROUND('Plant input detail '!M1783*'WPB2.2 Plant detail-w slippage'!$P$2,0)</f>
        <v>0</v>
      </c>
      <c r="N1781" s="2227">
        <f t="shared" si="540"/>
        <v>201973.90105263179</v>
      </c>
    </row>
    <row r="1782" spans="1:14" x14ac:dyDescent="0.2">
      <c r="A1782" s="31">
        <f t="shared" si="541"/>
        <v>23</v>
      </c>
      <c r="B1782" s="253">
        <v>375.8</v>
      </c>
      <c r="C1782" s="52" t="s">
        <v>1045</v>
      </c>
      <c r="D1782" s="257">
        <f t="shared" si="537"/>
        <v>0</v>
      </c>
      <c r="E1782" s="382">
        <f>ROUND('Plant input detail '!E1784*'WPB2.2 Plant detail-w slippage'!$P$2,0)</f>
        <v>0</v>
      </c>
      <c r="F1782" s="257">
        <f>ROUND('Plant input detail '!F1784*'WPB2.2 Plant detail-w slippage'!$P$2,0)</f>
        <v>0</v>
      </c>
      <c r="G1782" s="257">
        <f t="shared" si="542"/>
        <v>0</v>
      </c>
      <c r="H1782" s="38"/>
      <c r="I1782" s="257">
        <f t="shared" si="538"/>
        <v>0</v>
      </c>
      <c r="J1782" s="1362">
        <f>J1676</f>
        <v>0</v>
      </c>
      <c r="K1782" s="259">
        <v>0</v>
      </c>
      <c r="L1782" s="38">
        <f t="shared" si="539"/>
        <v>0</v>
      </c>
      <c r="M1782" s="257">
        <f>ROUND('Plant input detail '!M1784*'WPB2.2 Plant detail-w slippage'!$P$2,0)</f>
        <v>0</v>
      </c>
      <c r="N1782" s="2227">
        <f t="shared" si="540"/>
        <v>0</v>
      </c>
    </row>
    <row r="1783" spans="1:14" x14ac:dyDescent="0.2">
      <c r="A1783" s="31">
        <f>A1782+1</f>
        <v>24</v>
      </c>
      <c r="B1783" s="253">
        <v>376</v>
      </c>
      <c r="C1783" s="251" t="s">
        <v>1096</v>
      </c>
      <c r="D1783" s="257"/>
      <c r="E1783" s="258"/>
      <c r="F1783" s="259"/>
      <c r="G1783" s="257"/>
      <c r="H1783" s="38"/>
      <c r="I1783" s="181"/>
      <c r="J1783" s="1361"/>
      <c r="K1783" s="173"/>
      <c r="L1783" s="38"/>
      <c r="M1783" s="259"/>
    </row>
    <row r="1784" spans="1:14" x14ac:dyDescent="0.2">
      <c r="A1784" s="31"/>
      <c r="B1784" s="253"/>
      <c r="C1784" s="286" t="s">
        <v>1097</v>
      </c>
      <c r="D1784" s="257"/>
      <c r="E1784" s="258"/>
      <c r="F1784" s="259"/>
      <c r="G1784" s="257"/>
      <c r="H1784" s="38"/>
      <c r="I1784" s="257"/>
      <c r="J1784" s="1362"/>
      <c r="K1784" s="173"/>
      <c r="L1784" s="38"/>
      <c r="M1784" s="257"/>
      <c r="N1784" s="2227"/>
    </row>
    <row r="1785" spans="1:14" x14ac:dyDescent="0.2">
      <c r="A1785" s="31"/>
      <c r="B1785" s="253"/>
      <c r="C1785" s="286" t="s">
        <v>1098</v>
      </c>
      <c r="D1785" s="257"/>
      <c r="E1785" s="258"/>
      <c r="F1785" s="259"/>
      <c r="G1785" s="257"/>
      <c r="H1785" s="38"/>
      <c r="I1785" s="257"/>
      <c r="J1785" s="1362"/>
      <c r="K1785" s="173"/>
      <c r="L1785" s="38"/>
      <c r="M1785" s="257"/>
      <c r="N1785" s="2227"/>
    </row>
    <row r="1786" spans="1:14" x14ac:dyDescent="0.2">
      <c r="A1786" s="31"/>
      <c r="B1786" s="253"/>
      <c r="C1786" s="286" t="s">
        <v>1099</v>
      </c>
      <c r="D1786" s="257"/>
      <c r="E1786" s="258"/>
      <c r="F1786" s="259"/>
      <c r="G1786" s="257"/>
      <c r="H1786" s="38"/>
      <c r="I1786" s="257"/>
      <c r="J1786" s="1362"/>
      <c r="K1786" s="173"/>
      <c r="L1786" s="38"/>
      <c r="M1786" s="257"/>
      <c r="N1786" s="2227"/>
    </row>
    <row r="1787" spans="1:14" x14ac:dyDescent="0.2">
      <c r="A1787" s="31"/>
      <c r="B1787" s="253"/>
      <c r="C1787" s="286" t="s">
        <v>1100</v>
      </c>
      <c r="D1787" s="257"/>
      <c r="E1787" s="258"/>
      <c r="F1787" s="259"/>
      <c r="G1787" s="257"/>
      <c r="H1787" s="38"/>
      <c r="I1787" s="257"/>
      <c r="J1787" s="1362"/>
      <c r="K1787" s="173"/>
      <c r="L1787" s="38"/>
      <c r="M1787" s="257"/>
      <c r="N1787" s="2227"/>
    </row>
    <row r="1788" spans="1:14" x14ac:dyDescent="0.2">
      <c r="A1788" s="31"/>
      <c r="B1788" s="253"/>
      <c r="C1788" s="286" t="s">
        <v>1101</v>
      </c>
      <c r="D1788" s="257">
        <f t="shared" ref="D1788:D1793" si="545">G1682</f>
        <v>218450525.44</v>
      </c>
      <c r="E1788" s="382">
        <f>ROUND('Plant input detail '!E1790*'WPB2.2 Plant detail-w slippage'!$P$2,0)</f>
        <v>1614520</v>
      </c>
      <c r="F1788" s="257">
        <f>ROUND('Plant input detail '!F1790*'WPB2.2 Plant detail-w slippage'!$P$2,0)</f>
        <v>-193700</v>
      </c>
      <c r="G1788" s="257">
        <f t="shared" ref="G1788:G1793" si="546">SUM(D1788:F1788)</f>
        <v>219871345.44</v>
      </c>
      <c r="H1788" s="38"/>
      <c r="I1788" s="257">
        <f t="shared" ref="I1788:I1793" si="547">N1682</f>
        <v>59135234.609999999</v>
      </c>
      <c r="J1788" s="1362">
        <f t="shared" ref="J1788:J1793" si="548">J1682</f>
        <v>2.3E-2</v>
      </c>
      <c r="K1788" s="173">
        <f t="shared" ref="K1788:K1793" si="549">ROUND((G1788+D1788)/2*J1788/12,0)</f>
        <v>420058</v>
      </c>
      <c r="L1788" s="38">
        <f t="shared" ref="L1788:L1793" si="550">-F1788</f>
        <v>193700</v>
      </c>
      <c r="M1788" s="257">
        <f>ROUND('Plant input detail '!M1790*'WPB2.2 Plant detail-w slippage'!$P$2,0)</f>
        <v>-29100</v>
      </c>
      <c r="N1788" s="2227">
        <f t="shared" ref="N1788:N1793" si="551">I1788+K1788-L1788+M1788</f>
        <v>59332492.609999999</v>
      </c>
    </row>
    <row r="1789" spans="1:14" x14ac:dyDescent="0.2">
      <c r="A1789" s="31">
        <f>A1783+1</f>
        <v>25</v>
      </c>
      <c r="B1789" s="253">
        <v>378.1</v>
      </c>
      <c r="C1789" s="52" t="s">
        <v>1047</v>
      </c>
      <c r="D1789" s="257">
        <f t="shared" si="545"/>
        <v>518504.18</v>
      </c>
      <c r="E1789" s="382">
        <f>ROUND('Plant input detail '!E1791*'WPB2.2 Plant detail-w slippage'!$P$2,0)</f>
        <v>0</v>
      </c>
      <c r="F1789" s="257">
        <f>ROUND('Plant input detail '!F1791*'WPB2.2 Plant detail-w slippage'!$P$2,0)</f>
        <v>0</v>
      </c>
      <c r="G1789" s="257">
        <f t="shared" si="546"/>
        <v>518504.18</v>
      </c>
      <c r="H1789" s="38"/>
      <c r="I1789" s="257">
        <f t="shared" si="547"/>
        <v>372071.81</v>
      </c>
      <c r="J1789" s="1362">
        <f t="shared" si="548"/>
        <v>3.32E-2</v>
      </c>
      <c r="K1789" s="173">
        <f t="shared" si="549"/>
        <v>1435</v>
      </c>
      <c r="L1789" s="38">
        <f t="shared" si="550"/>
        <v>0</v>
      </c>
      <c r="M1789" s="257">
        <f>ROUND('Plant input detail '!M1791*'WPB2.2 Plant detail-w slippage'!$P$2,0)</f>
        <v>0</v>
      </c>
      <c r="N1789" s="2227">
        <f t="shared" si="551"/>
        <v>373506.81</v>
      </c>
    </row>
    <row r="1790" spans="1:14" x14ac:dyDescent="0.2">
      <c r="A1790" s="31">
        <f t="shared" si="541"/>
        <v>26</v>
      </c>
      <c r="B1790" s="253">
        <v>378.2</v>
      </c>
      <c r="C1790" s="52" t="s">
        <v>1048</v>
      </c>
      <c r="D1790" s="257">
        <f t="shared" si="545"/>
        <v>9892224</v>
      </c>
      <c r="E1790" s="382">
        <f>ROUND('Plant input detail '!E1792*'WPB2.2 Plant detail-w slippage'!$P$2,0)</f>
        <v>37000</v>
      </c>
      <c r="F1790" s="257">
        <f>ROUND('Plant input detail '!F1792*'WPB2.2 Plant detail-w slippage'!$P$2,0)</f>
        <v>-4400</v>
      </c>
      <c r="G1790" s="257">
        <f t="shared" si="546"/>
        <v>9924824</v>
      </c>
      <c r="H1790" s="38"/>
      <c r="I1790" s="257">
        <f t="shared" si="547"/>
        <v>3515985.91</v>
      </c>
      <c r="J1790" s="1362">
        <f t="shared" si="548"/>
        <v>3.32E-2</v>
      </c>
      <c r="K1790" s="173">
        <f t="shared" si="549"/>
        <v>27414</v>
      </c>
      <c r="L1790" s="38">
        <f t="shared" si="550"/>
        <v>4400</v>
      </c>
      <c r="M1790" s="257">
        <f>ROUND('Plant input detail '!M1792*'WPB2.2 Plant detail-w slippage'!$P$2,0)</f>
        <v>-200</v>
      </c>
      <c r="N1790" s="2227">
        <f t="shared" si="551"/>
        <v>3538799.91</v>
      </c>
    </row>
    <row r="1791" spans="1:14" x14ac:dyDescent="0.2">
      <c r="A1791" s="31">
        <f t="shared" si="541"/>
        <v>27</v>
      </c>
      <c r="B1791" s="253">
        <v>378.3</v>
      </c>
      <c r="C1791" s="52" t="s">
        <v>1049</v>
      </c>
      <c r="D1791" s="257">
        <f t="shared" si="545"/>
        <v>45443.08</v>
      </c>
      <c r="E1791" s="382">
        <f>ROUND('Plant input detail '!E1793*'WPB2.2 Plant detail-w slippage'!$P$2,0)</f>
        <v>0</v>
      </c>
      <c r="F1791" s="257">
        <f>ROUND('Plant input detail '!F1793*'WPB2.2 Plant detail-w slippage'!$P$2,0)</f>
        <v>0</v>
      </c>
      <c r="G1791" s="257">
        <f t="shared" si="546"/>
        <v>45443.08</v>
      </c>
      <c r="H1791" s="38"/>
      <c r="I1791" s="257">
        <f t="shared" si="547"/>
        <v>36634.04</v>
      </c>
      <c r="J1791" s="1362">
        <f t="shared" si="548"/>
        <v>3.32E-2</v>
      </c>
      <c r="K1791" s="173">
        <f t="shared" si="549"/>
        <v>126</v>
      </c>
      <c r="L1791" s="38">
        <f t="shared" si="550"/>
        <v>0</v>
      </c>
      <c r="M1791" s="257">
        <f>ROUND('Plant input detail '!M1793*'WPB2.2 Plant detail-w slippage'!$P$2,0)</f>
        <v>0</v>
      </c>
      <c r="N1791" s="2227">
        <f t="shared" si="551"/>
        <v>36760.04</v>
      </c>
    </row>
    <row r="1792" spans="1:14" x14ac:dyDescent="0.2">
      <c r="A1792" s="31">
        <f t="shared" si="541"/>
        <v>28</v>
      </c>
      <c r="B1792" s="253">
        <v>379.1</v>
      </c>
      <c r="C1792" s="52" t="s">
        <v>1050</v>
      </c>
      <c r="D1792" s="257">
        <f t="shared" si="545"/>
        <v>254900.59</v>
      </c>
      <c r="E1792" s="382">
        <f>ROUND('Plant input detail '!E1794*'WPB2.2 Plant detail-w slippage'!$P$2,0)</f>
        <v>0</v>
      </c>
      <c r="F1792" s="257">
        <f>ROUND('Plant input detail '!F1794*'WPB2.2 Plant detail-w slippage'!$P$2,0)</f>
        <v>0</v>
      </c>
      <c r="G1792" s="257">
        <f t="shared" si="546"/>
        <v>254900.59</v>
      </c>
      <c r="H1792" s="38"/>
      <c r="I1792" s="257">
        <f t="shared" si="547"/>
        <v>267730.57</v>
      </c>
      <c r="J1792" s="1362">
        <f t="shared" si="548"/>
        <v>6.0000000000000001E-3</v>
      </c>
      <c r="K1792" s="259">
        <v>0</v>
      </c>
      <c r="L1792" s="38">
        <f t="shared" si="550"/>
        <v>0</v>
      </c>
      <c r="M1792" s="257">
        <f>ROUND('Plant input detail '!M1794*'WPB2.2 Plant detail-w slippage'!$P$2,0)</f>
        <v>0</v>
      </c>
      <c r="N1792" s="2227">
        <f t="shared" si="551"/>
        <v>267730.57</v>
      </c>
    </row>
    <row r="1793" spans="1:14" x14ac:dyDescent="0.2">
      <c r="A1793" s="31">
        <f t="shared" si="541"/>
        <v>29</v>
      </c>
      <c r="B1793" s="253">
        <v>380</v>
      </c>
      <c r="C1793" s="52" t="s">
        <v>1051</v>
      </c>
      <c r="D1793" s="257">
        <f t="shared" si="545"/>
        <v>126053208.77</v>
      </c>
      <c r="E1793" s="382">
        <f>ROUND('Plant input detail '!E1795*'WPB2.2 Plant detail-w slippage'!$P$2,0)</f>
        <v>965546</v>
      </c>
      <c r="F1793" s="257">
        <f>ROUND('Plant input detail '!F1795*'WPB2.2 Plant detail-w slippage'!$P$2,0)</f>
        <v>-115900</v>
      </c>
      <c r="G1793" s="257">
        <f t="shared" si="546"/>
        <v>126902854.77</v>
      </c>
      <c r="H1793" s="38"/>
      <c r="I1793" s="257">
        <f t="shared" si="547"/>
        <v>61346162.520000003</v>
      </c>
      <c r="J1793" s="1362">
        <f t="shared" si="548"/>
        <v>5.0999999999999997E-2</v>
      </c>
      <c r="K1793" s="173">
        <f t="shared" si="549"/>
        <v>537532</v>
      </c>
      <c r="L1793" s="38">
        <f t="shared" si="550"/>
        <v>115900</v>
      </c>
      <c r="M1793" s="257">
        <f>ROUND('Plant input detail '!M1795*'WPB2.2 Plant detail-w slippage'!$P$2,0)</f>
        <v>-57900</v>
      </c>
      <c r="N1793" s="2227">
        <f t="shared" si="551"/>
        <v>61709894.520000003</v>
      </c>
    </row>
    <row r="1794" spans="1:14" x14ac:dyDescent="0.2">
      <c r="A1794" s="170"/>
      <c r="B1794" s="179"/>
      <c r="C1794" s="178"/>
      <c r="D1794" s="181"/>
      <c r="E1794" s="173"/>
      <c r="F1794" s="173"/>
      <c r="G1794" s="181"/>
      <c r="H1794" s="173"/>
      <c r="I1794" s="173"/>
      <c r="J1794" s="173"/>
      <c r="K1794" s="173"/>
      <c r="L1794" s="173"/>
      <c r="M1794" s="171"/>
      <c r="N1794" s="2229"/>
    </row>
    <row r="1795" spans="1:14" x14ac:dyDescent="0.2">
      <c r="A1795" s="2079" t="str">
        <f>co</f>
        <v>COLUMBIA GAS OF KENTUCKY, INC.</v>
      </c>
      <c r="B1795" s="2079"/>
      <c r="C1795" s="2079"/>
      <c r="D1795" s="2079"/>
      <c r="E1795" s="2079"/>
      <c r="F1795" s="2079"/>
      <c r="G1795" s="2079"/>
      <c r="H1795" s="2079"/>
      <c r="I1795" s="2079"/>
      <c r="J1795" s="2079"/>
      <c r="K1795" s="2079"/>
      <c r="L1795" s="2079"/>
      <c r="M1795" s="2079"/>
      <c r="N1795" s="2079"/>
    </row>
    <row r="1796" spans="1:14" x14ac:dyDescent="0.2">
      <c r="A1796" s="2079" t="str">
        <f>case</f>
        <v>CASE NO. 2016 - 00162</v>
      </c>
      <c r="B1796" s="2079"/>
      <c r="C1796" s="2079"/>
      <c r="D1796" s="2079"/>
      <c r="E1796" s="2079"/>
      <c r="F1796" s="2079"/>
      <c r="G1796" s="2079"/>
      <c r="H1796" s="2079"/>
      <c r="I1796" s="2079"/>
      <c r="J1796" s="2079"/>
      <c r="K1796" s="2079"/>
      <c r="L1796" s="2079"/>
      <c r="M1796" s="2079"/>
      <c r="N1796" s="2079"/>
    </row>
    <row r="1797" spans="1:14" x14ac:dyDescent="0.2">
      <c r="A1797" s="2080" t="s">
        <v>1106</v>
      </c>
      <c r="B1797" s="2079"/>
      <c r="C1797" s="2079"/>
      <c r="D1797" s="2079"/>
      <c r="E1797" s="2079"/>
      <c r="F1797" s="2079"/>
      <c r="G1797" s="2079"/>
      <c r="H1797" s="2079"/>
      <c r="I1797" s="2079"/>
      <c r="J1797" s="2079"/>
      <c r="K1797" s="2079"/>
      <c r="L1797" s="2079"/>
      <c r="M1797" s="2079"/>
      <c r="N1797" s="2079"/>
    </row>
    <row r="1798" spans="1:14" x14ac:dyDescent="0.2">
      <c r="A1798" s="2081" t="s">
        <v>2142</v>
      </c>
      <c r="B1798" s="2085"/>
      <c r="C1798" s="2085"/>
      <c r="D1798" s="2085"/>
      <c r="E1798" s="2085"/>
      <c r="F1798" s="2085"/>
      <c r="G1798" s="2085"/>
      <c r="H1798" s="2085"/>
      <c r="I1798" s="2085"/>
      <c r="J1798" s="2085"/>
      <c r="K1798" s="2085"/>
      <c r="L1798" s="2085"/>
      <c r="M1798" s="2085"/>
      <c r="N1798" s="2085"/>
    </row>
    <row r="1800" spans="1:14" x14ac:dyDescent="0.2">
      <c r="A1800" s="285" t="str">
        <f>$A$6</f>
        <v>DATA:__X___BASE PERIOD__X___FORECASTED PERIOD</v>
      </c>
      <c r="C1800" s="171"/>
      <c r="M1800" s="32"/>
      <c r="N1800" s="1258" t="str">
        <f>$N$6</f>
        <v>WPB-2.2</v>
      </c>
    </row>
    <row r="1801" spans="1:14" x14ac:dyDescent="0.2">
      <c r="A1801" s="4" t="str">
        <f>$A$7</f>
        <v>TYPE OF FILING:___X____ORIGINAL________UPDATED</v>
      </c>
      <c r="M1801" s="32"/>
      <c r="N1801" s="2223" t="s">
        <v>1747</v>
      </c>
    </row>
    <row r="1802" spans="1:14" x14ac:dyDescent="0.2">
      <c r="A1802" s="1261" t="str">
        <f>$A$8</f>
        <v xml:space="preserve">WORKPAPER REFERENCE NO(S).: </v>
      </c>
      <c r="B1802" s="202"/>
      <c r="C1802" s="202"/>
      <c r="D1802" s="201"/>
      <c r="E1802" s="202"/>
      <c r="F1802" s="202"/>
      <c r="G1802" s="201"/>
      <c r="H1802" s="201"/>
      <c r="M1802" s="203"/>
      <c r="N1802" s="204" t="str">
        <f>SMK</f>
        <v>WITNESS:  S. M. KATKO</v>
      </c>
    </row>
    <row r="1803" spans="1:14" x14ac:dyDescent="0.2">
      <c r="A1803" s="200"/>
      <c r="B1803" s="201"/>
      <c r="C1803" s="201"/>
      <c r="D1803" s="201"/>
      <c r="E1803" s="202"/>
      <c r="F1803" s="202"/>
      <c r="G1803" s="201"/>
      <c r="H1803" s="201"/>
      <c r="I1803" s="203"/>
      <c r="J1803" s="1357"/>
      <c r="L1803" s="32"/>
      <c r="M1803" s="32"/>
    </row>
    <row r="1804" spans="1:14" x14ac:dyDescent="0.2">
      <c r="A1804" s="200"/>
      <c r="B1804" s="201"/>
      <c r="C1804" s="201"/>
      <c r="D1804" s="2082" t="s">
        <v>1088</v>
      </c>
      <c r="E1804" s="2082"/>
      <c r="F1804" s="2082"/>
      <c r="G1804" s="2082"/>
      <c r="H1804" s="201"/>
      <c r="I1804" s="2083" t="s">
        <v>1093</v>
      </c>
      <c r="J1804" s="2084"/>
      <c r="K1804" s="2084"/>
      <c r="L1804" s="2084"/>
      <c r="M1804" s="2084"/>
      <c r="N1804" s="2084"/>
    </row>
    <row r="1805" spans="1:14" x14ac:dyDescent="0.2">
      <c r="A1805" s="270"/>
      <c r="B1805" s="201"/>
      <c r="C1805" s="201"/>
      <c r="D1805" s="271" t="s">
        <v>1084</v>
      </c>
      <c r="E1805" s="202"/>
      <c r="F1805" s="202"/>
      <c r="G1805" s="269"/>
      <c r="H1805" s="269"/>
      <c r="I1805" s="261" t="s">
        <v>1089</v>
      </c>
      <c r="J1805" s="1358"/>
      <c r="M1805" s="32"/>
    </row>
    <row r="1806" spans="1:14" x14ac:dyDescent="0.2">
      <c r="A1806" s="30"/>
      <c r="D1806" s="261" t="s">
        <v>865</v>
      </c>
      <c r="G1806" s="261" t="s">
        <v>867</v>
      </c>
      <c r="H1806" s="268"/>
      <c r="I1806" s="261" t="s">
        <v>865</v>
      </c>
      <c r="J1806" s="1308" t="s">
        <v>956</v>
      </c>
      <c r="M1806" s="32"/>
      <c r="N1806" s="2225" t="s">
        <v>867</v>
      </c>
    </row>
    <row r="1807" spans="1:14" x14ac:dyDescent="0.2">
      <c r="A1807" s="261" t="s">
        <v>1080</v>
      </c>
      <c r="B1807" s="261" t="s">
        <v>1082</v>
      </c>
      <c r="D1807" s="261" t="s">
        <v>867</v>
      </c>
      <c r="G1807" s="262" t="s">
        <v>1087</v>
      </c>
      <c r="H1807" s="268"/>
      <c r="I1807" s="262" t="s">
        <v>867</v>
      </c>
      <c r="J1807" s="1308" t="s">
        <v>1090</v>
      </c>
      <c r="K1807" s="1308" t="s">
        <v>956</v>
      </c>
      <c r="M1807" s="262" t="s">
        <v>1092</v>
      </c>
      <c r="N1807" s="1259" t="s">
        <v>1087</v>
      </c>
    </row>
    <row r="1808" spans="1:14" x14ac:dyDescent="0.2">
      <c r="A1808" s="272" t="s">
        <v>1081</v>
      </c>
      <c r="B1808" s="272" t="s">
        <v>1081</v>
      </c>
      <c r="C1808" s="273" t="s">
        <v>1083</v>
      </c>
      <c r="D1808" s="274" t="str">
        <f>D1755</f>
        <v>06/30/2017</v>
      </c>
      <c r="E1808" s="275" t="s">
        <v>1085</v>
      </c>
      <c r="F1808" s="275" t="s">
        <v>1086</v>
      </c>
      <c r="G1808" s="274" t="str">
        <f>G1755</f>
        <v>07/31/2017</v>
      </c>
      <c r="H1808" s="268"/>
      <c r="I1808" s="274" t="str">
        <f>D1808</f>
        <v>06/30/2017</v>
      </c>
      <c r="J1808" s="275" t="s">
        <v>1091</v>
      </c>
      <c r="K1808" s="1327" t="s">
        <v>1090</v>
      </c>
      <c r="L1808" s="276" t="s">
        <v>1086</v>
      </c>
      <c r="M1808" s="276" t="s">
        <v>955</v>
      </c>
      <c r="N1808" s="2226" t="str">
        <f>G1808</f>
        <v>07/31/2017</v>
      </c>
    </row>
    <row r="1809" spans="1:14" x14ac:dyDescent="0.2">
      <c r="A1809" s="267"/>
      <c r="B1809" s="267"/>
      <c r="C1809" s="267"/>
      <c r="D1809" s="267" t="str">
        <f>"(1)"</f>
        <v>(1)</v>
      </c>
      <c r="E1809" s="267" t="str">
        <f>"(2)"</f>
        <v>(2)</v>
      </c>
      <c r="F1809" s="267" t="str">
        <f>"(3)"</f>
        <v>(3)</v>
      </c>
      <c r="G1809" s="267" t="str">
        <f>"(4)=(1+2+3)"</f>
        <v>(4)=(1+2+3)</v>
      </c>
      <c r="H1809" s="267"/>
      <c r="I1809" s="267" t="str">
        <f>"(5)"</f>
        <v>(5)</v>
      </c>
      <c r="J1809" s="1328" t="str">
        <f>"(6)"</f>
        <v>(6)</v>
      </c>
      <c r="K1809" s="1328" t="str">
        <f>"(7)=((1+4)/2*6/12))"</f>
        <v>(7)=((1+4)/2*6/12))</v>
      </c>
      <c r="L1809" s="267" t="str">
        <f>"(8)"</f>
        <v>(8)</v>
      </c>
      <c r="M1809" s="267" t="str">
        <f>"(9)"</f>
        <v>(9)</v>
      </c>
      <c r="N1809" s="204" t="str">
        <f>"(10)=(5+7-8+9)"</f>
        <v>(10)=(5+7-8+9)</v>
      </c>
    </row>
    <row r="1810" spans="1:14" x14ac:dyDescent="0.2">
      <c r="D1810" s="31" t="s">
        <v>639</v>
      </c>
      <c r="E1810" s="170" t="s">
        <v>639</v>
      </c>
      <c r="F1810" s="170" t="s">
        <v>639</v>
      </c>
      <c r="G1810" s="31" t="s">
        <v>639</v>
      </c>
      <c r="H1810" s="31"/>
      <c r="I1810" s="31" t="s">
        <v>639</v>
      </c>
      <c r="J1810" s="170" t="s">
        <v>639</v>
      </c>
      <c r="K1810" s="170" t="s">
        <v>639</v>
      </c>
      <c r="L1810" s="31" t="s">
        <v>639</v>
      </c>
      <c r="M1810" s="31" t="s">
        <v>639</v>
      </c>
      <c r="N1810" s="155" t="s">
        <v>639</v>
      </c>
    </row>
    <row r="1811" spans="1:14" x14ac:dyDescent="0.2">
      <c r="C1811" s="36" t="s">
        <v>707</v>
      </c>
      <c r="D1811" s="31"/>
      <c r="E1811" s="170"/>
      <c r="F1811" s="170"/>
      <c r="G1811" s="31"/>
      <c r="J1811" s="170"/>
    </row>
    <row r="1812" spans="1:14" x14ac:dyDescent="0.2">
      <c r="A1812" s="127">
        <v>1</v>
      </c>
      <c r="B1812" s="123">
        <v>381</v>
      </c>
      <c r="C1812" s="52" t="s">
        <v>1052</v>
      </c>
      <c r="D1812" s="257">
        <f t="shared" ref="D1812:D1823" si="552">G1706</f>
        <v>13873308.550000001</v>
      </c>
      <c r="E1812" s="382">
        <f>ROUND('Plant input detail '!E1814*'WPB2.2 Plant detail-w slippage'!$P$2,0)</f>
        <v>52700</v>
      </c>
      <c r="F1812" s="257">
        <f>ROUND('Plant input detail '!F1814*'WPB2.2 Plant detail-w slippage'!$P$2,0)</f>
        <v>-6300</v>
      </c>
      <c r="G1812" s="257">
        <f>SUM(D1812:F1812)</f>
        <v>13919708.550000001</v>
      </c>
      <c r="H1812" s="38"/>
      <c r="I1812" s="257">
        <f t="shared" ref="I1812:I1823" si="553">N1706</f>
        <v>5136913.8899999997</v>
      </c>
      <c r="J1812" s="1362">
        <f t="shared" ref="J1812:J1823" si="554">J1706</f>
        <v>3.3000000000000002E-2</v>
      </c>
      <c r="K1812" s="173">
        <f t="shared" ref="K1812:K1823" si="555">ROUND((G1812+D1812)/2*J1812/12,0)</f>
        <v>38215</v>
      </c>
      <c r="L1812" s="38">
        <f t="shared" ref="L1812:L1823" si="556">-F1812</f>
        <v>6300</v>
      </c>
      <c r="M1812" s="257">
        <f>ROUND('Plant input detail '!M1814*'WPB2.2 Plant detail-w slippage'!$P$2,0)</f>
        <v>0</v>
      </c>
      <c r="N1812" s="2227">
        <f t="shared" ref="N1812:N1823" si="557">I1812+K1812-L1812+M1812</f>
        <v>5168828.8899999997</v>
      </c>
    </row>
    <row r="1813" spans="1:14" x14ac:dyDescent="0.2">
      <c r="A1813" s="127">
        <f>A1812+1</f>
        <v>2</v>
      </c>
      <c r="B1813" s="123">
        <v>381.1</v>
      </c>
      <c r="C1813" s="52" t="s">
        <v>1115</v>
      </c>
      <c r="D1813" s="257">
        <f t="shared" si="552"/>
        <v>8827412.0600000005</v>
      </c>
      <c r="E1813" s="382">
        <f>ROUND('Plant input detail '!E1815*'WPB2.2 Plant detail-w slippage'!$P$2,0)</f>
        <v>5300</v>
      </c>
      <c r="F1813" s="257">
        <f>ROUND('Plant input detail '!F1815*'WPB2.2 Plant detail-w slippage'!$P$2,0)</f>
        <v>-600</v>
      </c>
      <c r="G1813" s="257">
        <f>SUM(D1813:F1813)</f>
        <v>8832112.0600000005</v>
      </c>
      <c r="H1813" s="38"/>
      <c r="I1813" s="257">
        <f t="shared" si="553"/>
        <v>900752.5</v>
      </c>
      <c r="J1813" s="1362">
        <f t="shared" si="554"/>
        <v>8.0600000000000005E-2</v>
      </c>
      <c r="K1813" s="173">
        <f t="shared" si="555"/>
        <v>59307</v>
      </c>
      <c r="L1813" s="38">
        <f t="shared" si="556"/>
        <v>600</v>
      </c>
      <c r="M1813" s="257">
        <f>ROUND('Plant input detail '!M1815*'WPB2.2 Plant detail-w slippage'!$P$2,0)</f>
        <v>0</v>
      </c>
      <c r="N1813" s="2227">
        <f t="shared" si="557"/>
        <v>959459.5</v>
      </c>
    </row>
    <row r="1814" spans="1:14" x14ac:dyDescent="0.2">
      <c r="A1814" s="127">
        <f t="shared" ref="A1814:A1824" si="558">A1813+1</f>
        <v>3</v>
      </c>
      <c r="B1814" s="123">
        <v>382</v>
      </c>
      <c r="C1814" s="52" t="s">
        <v>1053</v>
      </c>
      <c r="D1814" s="257">
        <f t="shared" si="552"/>
        <v>9418992.6500000004</v>
      </c>
      <c r="E1814" s="382">
        <f>ROUND('Plant input detail '!E1816*'WPB2.2 Plant detail-w slippage'!$P$2,0)</f>
        <v>38000</v>
      </c>
      <c r="F1814" s="257">
        <f>ROUND('Plant input detail '!F1816*'WPB2.2 Plant detail-w slippage'!$P$2,0)</f>
        <v>-4600</v>
      </c>
      <c r="G1814" s="257">
        <f t="shared" ref="G1814:G1819" si="559">SUM(D1814:F1814)</f>
        <v>9452392.6500000004</v>
      </c>
      <c r="H1814" s="38"/>
      <c r="I1814" s="257">
        <f t="shared" si="553"/>
        <v>4719376.3</v>
      </c>
      <c r="J1814" s="1362">
        <f t="shared" si="554"/>
        <v>2.4400000000000002E-2</v>
      </c>
      <c r="K1814" s="173">
        <f t="shared" si="555"/>
        <v>19186</v>
      </c>
      <c r="L1814" s="38">
        <f t="shared" si="556"/>
        <v>4600</v>
      </c>
      <c r="M1814" s="257">
        <f>ROUND('Plant input detail '!M1816*'WPB2.2 Plant detail-w slippage'!$P$2,0)</f>
        <v>-200</v>
      </c>
      <c r="N1814" s="2227">
        <f t="shared" si="557"/>
        <v>4733762.3</v>
      </c>
    </row>
    <row r="1815" spans="1:14" x14ac:dyDescent="0.2">
      <c r="A1815" s="127">
        <f t="shared" si="558"/>
        <v>4</v>
      </c>
      <c r="B1815" s="123">
        <v>383</v>
      </c>
      <c r="C1815" s="52" t="s">
        <v>1054</v>
      </c>
      <c r="D1815" s="257">
        <f t="shared" si="552"/>
        <v>5755520.7599999998</v>
      </c>
      <c r="E1815" s="382">
        <f>ROUND('Plant input detail '!E1817*'WPB2.2 Plant detail-w slippage'!$P$2,0)</f>
        <v>22500</v>
      </c>
      <c r="F1815" s="257">
        <f>ROUND('Plant input detail '!F1817*'WPB2.2 Plant detail-w slippage'!$P$2,0)</f>
        <v>-2700</v>
      </c>
      <c r="G1815" s="257">
        <f t="shared" si="559"/>
        <v>5775320.7599999998</v>
      </c>
      <c r="H1815" s="38"/>
      <c r="I1815" s="257">
        <f t="shared" si="553"/>
        <v>1570215.41</v>
      </c>
      <c r="J1815" s="1362">
        <f t="shared" si="554"/>
        <v>2.7300000000000001E-2</v>
      </c>
      <c r="K1815" s="173">
        <f t="shared" si="555"/>
        <v>13116</v>
      </c>
      <c r="L1815" s="38">
        <f t="shared" si="556"/>
        <v>2700</v>
      </c>
      <c r="M1815" s="257">
        <f>ROUND('Plant input detail '!M1817*'WPB2.2 Plant detail-w slippage'!$P$2,0)</f>
        <v>-100</v>
      </c>
      <c r="N1815" s="2227">
        <f t="shared" si="557"/>
        <v>1580531.41</v>
      </c>
    </row>
    <row r="1816" spans="1:14" x14ac:dyDescent="0.2">
      <c r="A1816" s="127">
        <f t="shared" si="558"/>
        <v>5</v>
      </c>
      <c r="B1816" s="123">
        <v>384</v>
      </c>
      <c r="C1816" s="52" t="s">
        <v>1055</v>
      </c>
      <c r="D1816" s="257">
        <f t="shared" si="552"/>
        <v>2257522</v>
      </c>
      <c r="E1816" s="382">
        <f>ROUND('Plant input detail '!E1818*'WPB2.2 Plant detail-w slippage'!$P$2,0)</f>
        <v>0</v>
      </c>
      <c r="F1816" s="257">
        <f>ROUND('Plant input detail '!F1818*'WPB2.2 Plant detail-w slippage'!$P$2,0)</f>
        <v>0</v>
      </c>
      <c r="G1816" s="257">
        <f t="shared" si="559"/>
        <v>2257522</v>
      </c>
      <c r="H1816" s="38"/>
      <c r="I1816" s="257">
        <f t="shared" si="553"/>
        <v>1780728.73</v>
      </c>
      <c r="J1816" s="1362">
        <f t="shared" si="554"/>
        <v>1.01E-2</v>
      </c>
      <c r="K1816" s="173">
        <f t="shared" si="555"/>
        <v>1900</v>
      </c>
      <c r="L1816" s="38">
        <f t="shared" si="556"/>
        <v>0</v>
      </c>
      <c r="M1816" s="257">
        <f>ROUND('Plant input detail '!M1818*'WPB2.2 Plant detail-w slippage'!$P$2,0)</f>
        <v>0</v>
      </c>
      <c r="N1816" s="2227">
        <f t="shared" si="557"/>
        <v>1782628.73</v>
      </c>
    </row>
    <row r="1817" spans="1:14" x14ac:dyDescent="0.2">
      <c r="A1817" s="127">
        <f t="shared" si="558"/>
        <v>6</v>
      </c>
      <c r="B1817" s="123">
        <v>385</v>
      </c>
      <c r="C1817" s="52" t="s">
        <v>1056</v>
      </c>
      <c r="D1817" s="257">
        <f t="shared" si="552"/>
        <v>3339283.36</v>
      </c>
      <c r="E1817" s="382">
        <f>ROUND('Plant input detail '!E1819*'WPB2.2 Plant detail-w slippage'!$P$2,0)</f>
        <v>26800</v>
      </c>
      <c r="F1817" s="257">
        <f>ROUND('Plant input detail '!F1819*'WPB2.2 Plant detail-w slippage'!$P$2,0)</f>
        <v>-3200</v>
      </c>
      <c r="G1817" s="257">
        <f t="shared" si="559"/>
        <v>3362883.36</v>
      </c>
      <c r="H1817" s="38"/>
      <c r="I1817" s="257">
        <f t="shared" si="553"/>
        <v>961132.55</v>
      </c>
      <c r="J1817" s="1362">
        <f t="shared" si="554"/>
        <v>5.0799999999999998E-2</v>
      </c>
      <c r="K1817" s="173">
        <f t="shared" si="555"/>
        <v>14186</v>
      </c>
      <c r="L1817" s="38">
        <f t="shared" si="556"/>
        <v>3200</v>
      </c>
      <c r="M1817" s="257">
        <f>ROUND('Plant input detail '!M1819*'WPB2.2 Plant detail-w slippage'!$P$2,0)</f>
        <v>-200</v>
      </c>
      <c r="N1817" s="2227">
        <f t="shared" si="557"/>
        <v>971918.55</v>
      </c>
    </row>
    <row r="1818" spans="1:14" x14ac:dyDescent="0.2">
      <c r="A1818" s="127">
        <f t="shared" si="558"/>
        <v>7</v>
      </c>
      <c r="B1818" s="123">
        <v>387.2</v>
      </c>
      <c r="C1818" s="52" t="s">
        <v>1057</v>
      </c>
      <c r="D1818" s="257">
        <f t="shared" si="552"/>
        <v>0</v>
      </c>
      <c r="E1818" s="382">
        <f>ROUND('Plant input detail '!E1820*'WPB2.2 Plant detail-w slippage'!$P$2,0)</f>
        <v>0</v>
      </c>
      <c r="F1818" s="257">
        <f>ROUND('Plant input detail '!F1820*'WPB2.2 Plant detail-w slippage'!$P$2,0)</f>
        <v>0</v>
      </c>
      <c r="G1818" s="257">
        <f t="shared" si="559"/>
        <v>0</v>
      </c>
      <c r="H1818" s="38"/>
      <c r="I1818" s="257">
        <f t="shared" si="553"/>
        <v>-59912.03</v>
      </c>
      <c r="J1818" s="1362">
        <f t="shared" si="554"/>
        <v>0</v>
      </c>
      <c r="K1818" s="173">
        <f t="shared" si="555"/>
        <v>0</v>
      </c>
      <c r="L1818" s="38">
        <f t="shared" si="556"/>
        <v>0</v>
      </c>
      <c r="M1818" s="257">
        <f>ROUND('Plant input detail '!M1820*'WPB2.2 Plant detail-w slippage'!$P$2,0)</f>
        <v>0</v>
      </c>
      <c r="N1818" s="2227">
        <f t="shared" si="557"/>
        <v>-59912.03</v>
      </c>
    </row>
    <row r="1819" spans="1:14" x14ac:dyDescent="0.2">
      <c r="A1819" s="127">
        <f t="shared" si="558"/>
        <v>8</v>
      </c>
      <c r="B1819" s="123">
        <v>387.41</v>
      </c>
      <c r="C1819" s="52" t="s">
        <v>1058</v>
      </c>
      <c r="D1819" s="257">
        <f t="shared" si="552"/>
        <v>735770.76</v>
      </c>
      <c r="E1819" s="382">
        <f>ROUND('Plant input detail '!E1821*'WPB2.2 Plant detail-w slippage'!$P$2,0)</f>
        <v>0</v>
      </c>
      <c r="F1819" s="257">
        <f>ROUND('Plant input detail '!F1821*'WPB2.2 Plant detail-w slippage'!$P$2,0)</f>
        <v>0</v>
      </c>
      <c r="G1819" s="257">
        <f t="shared" si="559"/>
        <v>735770.76</v>
      </c>
      <c r="H1819" s="38"/>
      <c r="I1819" s="257">
        <f t="shared" si="553"/>
        <v>399815.95</v>
      </c>
      <c r="J1819" s="1362">
        <f t="shared" si="554"/>
        <v>3.7400000000000003E-2</v>
      </c>
      <c r="K1819" s="173">
        <f t="shared" si="555"/>
        <v>2293</v>
      </c>
      <c r="L1819" s="38">
        <f t="shared" si="556"/>
        <v>0</v>
      </c>
      <c r="M1819" s="257">
        <f>ROUND('Plant input detail '!M1821*'WPB2.2 Plant detail-w slippage'!$P$2,0)</f>
        <v>0</v>
      </c>
      <c r="N1819" s="2227">
        <f t="shared" si="557"/>
        <v>402108.95</v>
      </c>
    </row>
    <row r="1820" spans="1:14" x14ac:dyDescent="0.2">
      <c r="A1820" s="127">
        <f t="shared" si="558"/>
        <v>9</v>
      </c>
      <c r="B1820" s="123">
        <v>387.42</v>
      </c>
      <c r="C1820" s="52" t="s">
        <v>1059</v>
      </c>
      <c r="D1820" s="257">
        <f t="shared" si="552"/>
        <v>795186.58</v>
      </c>
      <c r="E1820" s="382">
        <f>ROUND('Plant input detail '!E1822*'WPB2.2 Plant detail-w slippage'!$P$2,0)</f>
        <v>0</v>
      </c>
      <c r="F1820" s="257">
        <f>ROUND('Plant input detail '!F1822*'WPB2.2 Plant detail-w slippage'!$P$2,0)</f>
        <v>0</v>
      </c>
      <c r="G1820" s="257">
        <f>SUM(D1820:F1820)</f>
        <v>795186.58</v>
      </c>
      <c r="H1820" s="38"/>
      <c r="I1820" s="257">
        <f t="shared" si="553"/>
        <v>567413.94999999995</v>
      </c>
      <c r="J1820" s="1362">
        <f t="shared" si="554"/>
        <v>3.7400000000000003E-2</v>
      </c>
      <c r="K1820" s="173">
        <f t="shared" si="555"/>
        <v>2478</v>
      </c>
      <c r="L1820" s="38">
        <f t="shared" si="556"/>
        <v>0</v>
      </c>
      <c r="M1820" s="257">
        <f>ROUND('Plant input detail '!M1822*'WPB2.2 Plant detail-w slippage'!$P$2,0)</f>
        <v>0</v>
      </c>
      <c r="N1820" s="2227">
        <f t="shared" si="557"/>
        <v>569891.94999999995</v>
      </c>
    </row>
    <row r="1821" spans="1:14" x14ac:dyDescent="0.2">
      <c r="A1821" s="127">
        <f t="shared" si="558"/>
        <v>10</v>
      </c>
      <c r="B1821" s="123">
        <v>387.44</v>
      </c>
      <c r="C1821" s="52" t="s">
        <v>1060</v>
      </c>
      <c r="D1821" s="257">
        <f t="shared" si="552"/>
        <v>143283.93</v>
      </c>
      <c r="E1821" s="382">
        <f>ROUND('Plant input detail '!E1823*'WPB2.2 Plant detail-w slippage'!$P$2,0)</f>
        <v>0</v>
      </c>
      <c r="F1821" s="257">
        <f>ROUND('Plant input detail '!F1823*'WPB2.2 Plant detail-w slippage'!$P$2,0)</f>
        <v>0</v>
      </c>
      <c r="G1821" s="257">
        <f>SUM(D1821:F1821)</f>
        <v>143283.93</v>
      </c>
      <c r="H1821" s="38"/>
      <c r="I1821" s="257">
        <f t="shared" si="553"/>
        <v>49630.55</v>
      </c>
      <c r="J1821" s="1362">
        <f t="shared" si="554"/>
        <v>3.7400000000000003E-2</v>
      </c>
      <c r="K1821" s="173">
        <f t="shared" si="555"/>
        <v>447</v>
      </c>
      <c r="L1821" s="38">
        <f t="shared" si="556"/>
        <v>0</v>
      </c>
      <c r="M1821" s="257">
        <f>ROUND('Plant input detail '!M1823*'WPB2.2 Plant detail-w slippage'!$P$2,0)</f>
        <v>0</v>
      </c>
      <c r="N1821" s="2227">
        <f t="shared" si="557"/>
        <v>50077.55</v>
      </c>
    </row>
    <row r="1822" spans="1:14" x14ac:dyDescent="0.2">
      <c r="A1822" s="127">
        <f t="shared" si="558"/>
        <v>11</v>
      </c>
      <c r="B1822" s="123">
        <v>387.45</v>
      </c>
      <c r="C1822" s="52" t="s">
        <v>1061</v>
      </c>
      <c r="D1822" s="257">
        <f t="shared" si="552"/>
        <v>3625904.66</v>
      </c>
      <c r="E1822" s="382">
        <f>ROUND('Plant input detail '!E1824*'WPB2.2 Plant detail-w slippage'!$P$2,0)</f>
        <v>137600</v>
      </c>
      <c r="F1822" s="257">
        <f>ROUND('Plant input detail '!F1824*'WPB2.2 Plant detail-w slippage'!$P$2,0)</f>
        <v>-16500</v>
      </c>
      <c r="G1822" s="257">
        <f>SUM(D1822:F1822)</f>
        <v>3747004.66</v>
      </c>
      <c r="H1822" s="38"/>
      <c r="I1822" s="257">
        <f t="shared" si="553"/>
        <v>546618.06000000006</v>
      </c>
      <c r="J1822" s="1362">
        <f t="shared" si="554"/>
        <v>3.7400000000000003E-2</v>
      </c>
      <c r="K1822" s="173">
        <f t="shared" si="555"/>
        <v>11489</v>
      </c>
      <c r="L1822" s="38">
        <f t="shared" si="556"/>
        <v>16500</v>
      </c>
      <c r="M1822" s="257">
        <f>ROUND('Plant input detail '!M1824*'WPB2.2 Plant detail-w slippage'!$P$2,0)</f>
        <v>0</v>
      </c>
      <c r="N1822" s="2227">
        <f t="shared" si="557"/>
        <v>541607.06000000006</v>
      </c>
    </row>
    <row r="1823" spans="1:14" x14ac:dyDescent="0.2">
      <c r="A1823" s="127">
        <f t="shared" si="558"/>
        <v>12</v>
      </c>
      <c r="B1823" s="123">
        <v>387.46</v>
      </c>
      <c r="C1823" s="52" t="s">
        <v>1062</v>
      </c>
      <c r="D1823" s="260">
        <f t="shared" si="552"/>
        <v>113644.47</v>
      </c>
      <c r="E1823" s="265">
        <f>ROUND('Plant input detail '!E1825*'WPB2.2 Plant detail-w slippage'!$P$2,0)</f>
        <v>0</v>
      </c>
      <c r="F1823" s="265">
        <f>ROUND('Plant input detail '!F1825*'WPB2.2 Plant detail-w slippage'!$P$2,0)</f>
        <v>0</v>
      </c>
      <c r="G1823" s="265">
        <f>SUM(D1823:F1823)</f>
        <v>113644.47</v>
      </c>
      <c r="H1823" s="264"/>
      <c r="I1823" s="260">
        <f t="shared" si="553"/>
        <v>114356.83</v>
      </c>
      <c r="J1823" s="1362">
        <f t="shared" si="554"/>
        <v>3.7400000000000003E-2</v>
      </c>
      <c r="K1823" s="260">
        <f t="shared" si="555"/>
        <v>354</v>
      </c>
      <c r="L1823" s="295">
        <f t="shared" si="556"/>
        <v>0</v>
      </c>
      <c r="M1823" s="265">
        <f>ROUND('Plant input detail '!M1825*'WPB2.2 Plant detail-w slippage'!$P$2,0)</f>
        <v>0</v>
      </c>
      <c r="N1823" s="2228">
        <f t="shared" si="557"/>
        <v>114710.83</v>
      </c>
    </row>
    <row r="1824" spans="1:14" x14ac:dyDescent="0.2">
      <c r="A1824" s="127">
        <f t="shared" si="558"/>
        <v>13</v>
      </c>
      <c r="B1824" s="252"/>
      <c r="C1824" s="32" t="s">
        <v>1063</v>
      </c>
      <c r="D1824" s="173">
        <f>SUM(D1812:D1823,D1772:D1793)</f>
        <v>419324090.37999994</v>
      </c>
      <c r="E1824" s="173">
        <f>SUM(E1812:E1823,E1772:E1793)</f>
        <v>2980666</v>
      </c>
      <c r="F1824" s="173">
        <f>SUM(F1812:F1823,F1772:F1793)</f>
        <v>-357600</v>
      </c>
      <c r="G1824" s="173">
        <f>SUM(G1812:G1823,G1772:G1793)</f>
        <v>421947156.37999994</v>
      </c>
      <c r="H1824" s="38"/>
      <c r="I1824" s="173">
        <f>SUM(I1812:I1823,I1772:I1793)</f>
        <v>146565083.57157895</v>
      </c>
      <c r="J1824" s="173"/>
      <c r="K1824" s="173">
        <f>SUM(K1812:K1823,K1772:K1793)</f>
        <v>1177155.0494736843</v>
      </c>
      <c r="L1824" s="173">
        <f>SUM(L1812:L1823,L1772:L1793)</f>
        <v>357600</v>
      </c>
      <c r="M1824" s="173">
        <f>SUM(M1812:M1823,M1772:M1793)</f>
        <v>-88000</v>
      </c>
      <c r="N1824" s="1361">
        <f>SUM(N1812:N1823,N1772:N1793)</f>
        <v>147296638.62105262</v>
      </c>
    </row>
    <row r="1825" spans="1:14" x14ac:dyDescent="0.2">
      <c r="B1825" s="252"/>
      <c r="D1825" s="38"/>
      <c r="E1825" s="173"/>
      <c r="F1825" s="173"/>
      <c r="G1825" s="38"/>
      <c r="H1825" s="38"/>
      <c r="I1825" s="181"/>
      <c r="J1825" s="173"/>
      <c r="K1825" s="173"/>
      <c r="L1825" s="38"/>
      <c r="M1825" s="173"/>
    </row>
    <row r="1826" spans="1:14" x14ac:dyDescent="0.2">
      <c r="A1826" s="127">
        <f>A1824+1</f>
        <v>14</v>
      </c>
      <c r="B1826" s="252"/>
      <c r="C1826" s="36" t="s">
        <v>737</v>
      </c>
      <c r="D1826" s="38"/>
      <c r="E1826" s="173"/>
      <c r="F1826" s="173"/>
      <c r="G1826" s="38"/>
      <c r="H1826" s="38"/>
      <c r="I1826" s="181"/>
      <c r="J1826" s="173"/>
      <c r="K1826" s="173"/>
      <c r="L1826" s="38"/>
      <c r="M1826" s="173"/>
    </row>
    <row r="1827" spans="1:14" x14ac:dyDescent="0.2">
      <c r="A1827" s="31">
        <f>A1826+1</f>
        <v>15</v>
      </c>
      <c r="B1827" s="123">
        <v>391.1</v>
      </c>
      <c r="C1827" s="52" t="s">
        <v>1064</v>
      </c>
      <c r="D1827" s="257">
        <f t="shared" ref="D1827:D1840" si="560">G1721</f>
        <v>713480.71</v>
      </c>
      <c r="E1827" s="382">
        <f>ROUND('Plant input detail '!E1829*'WPB2.2 Plant detail-w slippage'!$P$2,0)</f>
        <v>0</v>
      </c>
      <c r="F1827" s="257">
        <f>ROUND('Plant input detail '!F1829*'WPB2.2 Plant detail-w slippage'!$P$2,0)</f>
        <v>0</v>
      </c>
      <c r="G1827" s="257">
        <f t="shared" ref="G1827:G1840" si="561">SUM(D1827:F1827)</f>
        <v>713480.71</v>
      </c>
      <c r="H1827" s="38"/>
      <c r="I1827" s="257">
        <f t="shared" ref="I1827:I1840" si="562">N1721</f>
        <v>-32738.22</v>
      </c>
      <c r="J1827" s="1362">
        <f t="shared" ref="J1827:J1840" si="563">J1721</f>
        <v>0.05</v>
      </c>
      <c r="K1827" s="173">
        <f>ROUND((G1827+D1827)/2*J1827/12,0)</f>
        <v>2973</v>
      </c>
      <c r="L1827" s="38">
        <f t="shared" ref="L1827:L1840" si="564">-F1827</f>
        <v>0</v>
      </c>
      <c r="M1827" s="257">
        <f>ROUND('Plant input detail '!M1829*'WPB2.2 Plant detail-w slippage'!$P$2,0)</f>
        <v>0</v>
      </c>
      <c r="N1827" s="2227">
        <f t="shared" ref="N1827:N1840" si="565">I1827+K1827-L1827+M1827</f>
        <v>-29765.22</v>
      </c>
    </row>
    <row r="1828" spans="1:14" x14ac:dyDescent="0.2">
      <c r="A1828" s="31">
        <f t="shared" ref="A1828:A1841" si="566">A1827+1</f>
        <v>16</v>
      </c>
      <c r="B1828" s="123">
        <v>391.11</v>
      </c>
      <c r="C1828" s="52" t="s">
        <v>1065</v>
      </c>
      <c r="D1828" s="257">
        <f t="shared" si="560"/>
        <v>18815.57</v>
      </c>
      <c r="E1828" s="382">
        <f>ROUND('Plant input detail '!E1830*'WPB2.2 Plant detail-w slippage'!$P$2,0)</f>
        <v>0</v>
      </c>
      <c r="F1828" s="257">
        <f>ROUND('Plant input detail '!F1830*'WPB2.2 Plant detail-w slippage'!$P$2,0)</f>
        <v>0</v>
      </c>
      <c r="G1828" s="257">
        <f t="shared" si="561"/>
        <v>18815.57</v>
      </c>
      <c r="H1828" s="38"/>
      <c r="I1828" s="257">
        <f t="shared" si="562"/>
        <v>-11354.77</v>
      </c>
      <c r="J1828" s="1362">
        <f t="shared" si="563"/>
        <v>6.6699999999999995E-2</v>
      </c>
      <c r="K1828" s="173">
        <f>ROUND((G1828+D1828)/2*J1828/12,0)</f>
        <v>105</v>
      </c>
      <c r="L1828" s="38">
        <f t="shared" si="564"/>
        <v>0</v>
      </c>
      <c r="M1828" s="257">
        <f>ROUND('Plant input detail '!M1830*'WPB2.2 Plant detail-w slippage'!$P$2,0)</f>
        <v>0</v>
      </c>
      <c r="N1828" s="2227">
        <f t="shared" si="565"/>
        <v>-11249.77</v>
      </c>
    </row>
    <row r="1829" spans="1:14" x14ac:dyDescent="0.2">
      <c r="A1829" s="31">
        <f t="shared" si="566"/>
        <v>17</v>
      </c>
      <c r="B1829" s="123">
        <v>391.12</v>
      </c>
      <c r="C1829" s="52" t="s">
        <v>1066</v>
      </c>
      <c r="D1829" s="257">
        <f t="shared" si="560"/>
        <v>1407883.4100000001</v>
      </c>
      <c r="E1829" s="382">
        <f>ROUND('Plant input detail '!E1831*'WPB2.2 Plant detail-w slippage'!$P$2,0)</f>
        <v>0</v>
      </c>
      <c r="F1829" s="257">
        <f>ROUND('Plant input detail '!F1831*'WPB2.2 Plant detail-w slippage'!$P$2,0)</f>
        <v>0</v>
      </c>
      <c r="G1829" s="257">
        <f t="shared" si="561"/>
        <v>1407883.4100000001</v>
      </c>
      <c r="H1829" s="38"/>
      <c r="I1829" s="257">
        <f t="shared" si="562"/>
        <v>722435.37</v>
      </c>
      <c r="J1829" s="1362">
        <f t="shared" si="563"/>
        <v>0.2</v>
      </c>
      <c r="K1829" s="173">
        <f>ROUND((G1829+D1829)/2*J1829/12,0)</f>
        <v>23465</v>
      </c>
      <c r="L1829" s="38">
        <f t="shared" si="564"/>
        <v>0</v>
      </c>
      <c r="M1829" s="257">
        <f>ROUND('Plant input detail '!M1831*'WPB2.2 Plant detail-w slippage'!$P$2,0)</f>
        <v>0</v>
      </c>
      <c r="N1829" s="2227">
        <f t="shared" si="565"/>
        <v>745900.37</v>
      </c>
    </row>
    <row r="1830" spans="1:14" x14ac:dyDescent="0.2">
      <c r="A1830" s="31">
        <f t="shared" si="566"/>
        <v>18</v>
      </c>
      <c r="B1830" s="123">
        <v>392.2</v>
      </c>
      <c r="C1830" s="52" t="s">
        <v>1067</v>
      </c>
      <c r="D1830" s="257">
        <f t="shared" si="560"/>
        <v>95778</v>
      </c>
      <c r="E1830" s="382">
        <f>ROUND('Plant input detail '!E1832*'WPB2.2 Plant detail-w slippage'!$P$2,0)</f>
        <v>0</v>
      </c>
      <c r="F1830" s="257">
        <f>ROUND('Plant input detail '!F1832*'WPB2.2 Plant detail-w slippage'!$P$2,0)</f>
        <v>0</v>
      </c>
      <c r="G1830" s="257">
        <f t="shared" si="561"/>
        <v>95778</v>
      </c>
      <c r="H1830" s="38"/>
      <c r="I1830" s="257">
        <f t="shared" si="562"/>
        <v>27035.05</v>
      </c>
      <c r="J1830" s="1362">
        <f t="shared" si="563"/>
        <v>9.1499999999999998E-2</v>
      </c>
      <c r="K1830" s="173">
        <f>ROUND((G1830+D1830)/2*J1830/12,0)</f>
        <v>730</v>
      </c>
      <c r="L1830" s="38">
        <f t="shared" si="564"/>
        <v>0</v>
      </c>
      <c r="M1830" s="257">
        <f>ROUND('Plant input detail '!M1832*'WPB2.2 Plant detail-w slippage'!$P$2,0)</f>
        <v>0</v>
      </c>
      <c r="N1830" s="2227">
        <f t="shared" si="565"/>
        <v>27765.05</v>
      </c>
    </row>
    <row r="1831" spans="1:14" x14ac:dyDescent="0.2">
      <c r="A1831" s="31">
        <f t="shared" si="566"/>
        <v>19</v>
      </c>
      <c r="B1831" s="123">
        <v>392.21</v>
      </c>
      <c r="C1831" s="52" t="s">
        <v>1068</v>
      </c>
      <c r="D1831" s="257">
        <f t="shared" si="560"/>
        <v>24462.2</v>
      </c>
      <c r="E1831" s="382">
        <f>ROUND('Plant input detail '!E1833*'WPB2.2 Plant detail-w slippage'!$P$2,0)</f>
        <v>0</v>
      </c>
      <c r="F1831" s="257">
        <f>ROUND('Plant input detail '!F1833*'WPB2.2 Plant detail-w slippage'!$P$2,0)</f>
        <v>0</v>
      </c>
      <c r="G1831" s="257">
        <f t="shared" si="561"/>
        <v>24462.2</v>
      </c>
      <c r="H1831" s="38"/>
      <c r="I1831" s="257">
        <f t="shared" si="562"/>
        <v>6309.4</v>
      </c>
      <c r="J1831" s="1362">
        <f t="shared" si="563"/>
        <v>9.1499999999999998E-2</v>
      </c>
      <c r="K1831" s="173">
        <f>ROUND((G1831+D1831)/2*J1831/12,0)</f>
        <v>187</v>
      </c>
      <c r="L1831" s="38">
        <f t="shared" si="564"/>
        <v>0</v>
      </c>
      <c r="M1831" s="257">
        <f>ROUND('Plant input detail '!M1833*'WPB2.2 Plant detail-w slippage'!$P$2,0)</f>
        <v>0</v>
      </c>
      <c r="N1831" s="2227">
        <f t="shared" si="565"/>
        <v>6496.4</v>
      </c>
    </row>
    <row r="1832" spans="1:14" x14ac:dyDescent="0.2">
      <c r="A1832" s="31">
        <f t="shared" si="566"/>
        <v>20</v>
      </c>
      <c r="B1832" s="123">
        <v>393</v>
      </c>
      <c r="C1832" s="52" t="s">
        <v>1069</v>
      </c>
      <c r="D1832" s="257">
        <f t="shared" si="560"/>
        <v>0</v>
      </c>
      <c r="E1832" s="382">
        <f>ROUND('Plant input detail '!E1834*'WPB2.2 Plant detail-w slippage'!$P$2,0)</f>
        <v>0</v>
      </c>
      <c r="F1832" s="257">
        <f>ROUND('Plant input detail '!F1834*'WPB2.2 Plant detail-w slippage'!$P$2,0)</f>
        <v>0</v>
      </c>
      <c r="G1832" s="257">
        <f t="shared" si="561"/>
        <v>0</v>
      </c>
      <c r="H1832" s="38"/>
      <c r="I1832" s="257">
        <f t="shared" si="562"/>
        <v>0</v>
      </c>
      <c r="J1832" s="1362" t="str">
        <f t="shared" si="563"/>
        <v>Amort.</v>
      </c>
      <c r="K1832" s="259">
        <v>0</v>
      </c>
      <c r="L1832" s="38">
        <f t="shared" si="564"/>
        <v>0</v>
      </c>
      <c r="M1832" s="257">
        <f>ROUND('Plant input detail '!M1834*'WPB2.2 Plant detail-w slippage'!$P$2,0)</f>
        <v>0</v>
      </c>
      <c r="N1832" s="2227">
        <f t="shared" si="565"/>
        <v>0</v>
      </c>
    </row>
    <row r="1833" spans="1:14" x14ac:dyDescent="0.2">
      <c r="A1833" s="31">
        <f t="shared" si="566"/>
        <v>21</v>
      </c>
      <c r="B1833" s="123">
        <v>394.1</v>
      </c>
      <c r="C1833" s="52" t="s">
        <v>1070</v>
      </c>
      <c r="D1833" s="257">
        <f t="shared" si="560"/>
        <v>24240.799999999999</v>
      </c>
      <c r="E1833" s="382">
        <f>ROUND('Plant input detail '!E1835*'WPB2.2 Plant detail-w slippage'!$P$2,0)</f>
        <v>0</v>
      </c>
      <c r="F1833" s="257">
        <f>ROUND('Plant input detail '!F1835*'WPB2.2 Plant detail-w slippage'!$P$2,0)</f>
        <v>0</v>
      </c>
      <c r="G1833" s="257">
        <f t="shared" si="561"/>
        <v>24240.799999999999</v>
      </c>
      <c r="H1833" s="38"/>
      <c r="I1833" s="257">
        <f t="shared" si="562"/>
        <v>15094.82</v>
      </c>
      <c r="J1833" s="1362">
        <f t="shared" si="563"/>
        <v>0.04</v>
      </c>
      <c r="K1833" s="173">
        <f t="shared" ref="K1833:K1840" si="567">ROUND((G1833+D1833)/2*J1833/12,0)</f>
        <v>81</v>
      </c>
      <c r="L1833" s="38">
        <f t="shared" si="564"/>
        <v>0</v>
      </c>
      <c r="M1833" s="257">
        <f>ROUND('Plant input detail '!M1835*'WPB2.2 Plant detail-w slippage'!$P$2,0)</f>
        <v>0</v>
      </c>
      <c r="N1833" s="2227">
        <f t="shared" si="565"/>
        <v>15175.82</v>
      </c>
    </row>
    <row r="1834" spans="1:14" x14ac:dyDescent="0.2">
      <c r="A1834" s="31">
        <f t="shared" si="566"/>
        <v>22</v>
      </c>
      <c r="B1834" s="123">
        <v>394.11</v>
      </c>
      <c r="C1834" s="52" t="s">
        <v>1071</v>
      </c>
      <c r="D1834" s="257">
        <f t="shared" si="560"/>
        <v>0</v>
      </c>
      <c r="E1834" s="382">
        <f>ROUND('Plant input detail '!E1836*'WPB2.2 Plant detail-w slippage'!$P$2,0)</f>
        <v>0</v>
      </c>
      <c r="F1834" s="257">
        <f>ROUND('Plant input detail '!F1836*'WPB2.2 Plant detail-w slippage'!$P$2,0)</f>
        <v>0</v>
      </c>
      <c r="G1834" s="257">
        <f t="shared" si="561"/>
        <v>0</v>
      </c>
      <c r="H1834" s="38"/>
      <c r="I1834" s="257">
        <f t="shared" si="562"/>
        <v>0</v>
      </c>
      <c r="J1834" s="1362">
        <f t="shared" si="563"/>
        <v>0</v>
      </c>
      <c r="K1834" s="259">
        <v>0</v>
      </c>
      <c r="L1834" s="38">
        <f t="shared" si="564"/>
        <v>0</v>
      </c>
      <c r="M1834" s="257">
        <f>ROUND('Plant input detail '!M1836*'WPB2.2 Plant detail-w slippage'!$P$2,0)</f>
        <v>0</v>
      </c>
      <c r="N1834" s="2227">
        <f t="shared" si="565"/>
        <v>0</v>
      </c>
    </row>
    <row r="1835" spans="1:14" x14ac:dyDescent="0.2">
      <c r="A1835" s="31">
        <f t="shared" si="566"/>
        <v>23</v>
      </c>
      <c r="B1835" s="123">
        <v>394.13</v>
      </c>
      <c r="C1835" s="251" t="s">
        <v>1072</v>
      </c>
      <c r="D1835" s="257">
        <f t="shared" si="560"/>
        <v>0</v>
      </c>
      <c r="E1835" s="382">
        <f>ROUND('Plant input detail '!E1837*'WPB2.2 Plant detail-w slippage'!$P$2,0)</f>
        <v>0</v>
      </c>
      <c r="F1835" s="257">
        <f>ROUND('Plant input detail '!F1837*'WPB2.2 Plant detail-w slippage'!$P$2,0)</f>
        <v>0</v>
      </c>
      <c r="G1835" s="257">
        <f t="shared" si="561"/>
        <v>0</v>
      </c>
      <c r="H1835" s="38"/>
      <c r="I1835" s="257">
        <f t="shared" si="562"/>
        <v>37937.360000000001</v>
      </c>
      <c r="J1835" s="1362" t="str">
        <f t="shared" si="563"/>
        <v>Amort.</v>
      </c>
      <c r="K1835" s="259">
        <v>0</v>
      </c>
      <c r="L1835" s="38">
        <f t="shared" si="564"/>
        <v>0</v>
      </c>
      <c r="M1835" s="257">
        <f>ROUND('Plant input detail '!M1837*'WPB2.2 Plant detail-w slippage'!$P$2,0)</f>
        <v>0</v>
      </c>
      <c r="N1835" s="2227">
        <f t="shared" si="565"/>
        <v>37937.360000000001</v>
      </c>
    </row>
    <row r="1836" spans="1:14" x14ac:dyDescent="0.2">
      <c r="A1836" s="31">
        <f t="shared" si="566"/>
        <v>24</v>
      </c>
      <c r="B1836" s="123">
        <v>394.2</v>
      </c>
      <c r="C1836" s="52" t="s">
        <v>1073</v>
      </c>
      <c r="D1836" s="257">
        <f t="shared" si="560"/>
        <v>0</v>
      </c>
      <c r="E1836" s="382">
        <f>ROUND('Plant input detail '!E1838*'WPB2.2 Plant detail-w slippage'!$P$2,0)</f>
        <v>0</v>
      </c>
      <c r="F1836" s="257">
        <f>ROUND('Plant input detail '!F1838*'WPB2.2 Plant detail-w slippage'!$P$2,0)</f>
        <v>0</v>
      </c>
      <c r="G1836" s="257">
        <f t="shared" si="561"/>
        <v>0</v>
      </c>
      <c r="H1836" s="38"/>
      <c r="I1836" s="257">
        <f t="shared" si="562"/>
        <v>185.21</v>
      </c>
      <c r="J1836" s="1362">
        <f t="shared" si="563"/>
        <v>0.04</v>
      </c>
      <c r="K1836" s="173">
        <f t="shared" si="567"/>
        <v>0</v>
      </c>
      <c r="L1836" s="38">
        <f t="shared" si="564"/>
        <v>0</v>
      </c>
      <c r="M1836" s="257">
        <f>ROUND('Plant input detail '!M1838*'WPB2.2 Plant detail-w slippage'!$P$2,0)</f>
        <v>0</v>
      </c>
      <c r="N1836" s="2227">
        <f t="shared" si="565"/>
        <v>185.21</v>
      </c>
    </row>
    <row r="1837" spans="1:14" x14ac:dyDescent="0.2">
      <c r="A1837" s="31">
        <f t="shared" si="566"/>
        <v>25</v>
      </c>
      <c r="B1837" s="123">
        <v>394.3</v>
      </c>
      <c r="C1837" s="52" t="s">
        <v>1074</v>
      </c>
      <c r="D1837" s="257">
        <f t="shared" si="560"/>
        <v>3141921.16</v>
      </c>
      <c r="E1837" s="382">
        <f>ROUND('Plant input detail '!E1839*'WPB2.2 Plant detail-w slippage'!$P$2,0)</f>
        <v>28400</v>
      </c>
      <c r="F1837" s="257">
        <f>ROUND('Plant input detail '!F1839*'WPB2.2 Plant detail-w slippage'!$P$2,0)</f>
        <v>-3400</v>
      </c>
      <c r="G1837" s="257">
        <f t="shared" si="561"/>
        <v>3166921.16</v>
      </c>
      <c r="H1837" s="38"/>
      <c r="I1837" s="257">
        <f t="shared" si="562"/>
        <v>1343096.15</v>
      </c>
      <c r="J1837" s="1362">
        <f t="shared" si="563"/>
        <v>0.04</v>
      </c>
      <c r="K1837" s="173">
        <f t="shared" si="567"/>
        <v>10515</v>
      </c>
      <c r="L1837" s="38">
        <f t="shared" si="564"/>
        <v>3400</v>
      </c>
      <c r="M1837" s="257">
        <f>ROUND('Plant input detail '!M1839*'WPB2.2 Plant detail-w slippage'!$P$2,0)</f>
        <v>0</v>
      </c>
      <c r="N1837" s="2227">
        <f t="shared" si="565"/>
        <v>1350211.15</v>
      </c>
    </row>
    <row r="1838" spans="1:14" x14ac:dyDescent="0.2">
      <c r="A1838" s="31">
        <f t="shared" si="566"/>
        <v>26</v>
      </c>
      <c r="B1838" s="123">
        <v>395</v>
      </c>
      <c r="C1838" s="52" t="s">
        <v>1075</v>
      </c>
      <c r="D1838" s="257">
        <f t="shared" si="560"/>
        <v>9257.77</v>
      </c>
      <c r="E1838" s="382">
        <f>ROUND('Plant input detail '!E1840*'WPB2.2 Plant detail-w slippage'!$P$2,0)</f>
        <v>0</v>
      </c>
      <c r="F1838" s="257">
        <f>ROUND('Plant input detail '!F1840*'WPB2.2 Plant detail-w slippage'!$P$2,0)</f>
        <v>0</v>
      </c>
      <c r="G1838" s="257">
        <f t="shared" si="561"/>
        <v>9257.77</v>
      </c>
      <c r="H1838" s="38"/>
      <c r="I1838" s="257">
        <f t="shared" si="562"/>
        <v>7763.59</v>
      </c>
      <c r="J1838" s="1362">
        <f t="shared" si="563"/>
        <v>0.05</v>
      </c>
      <c r="K1838" s="173">
        <f t="shared" si="567"/>
        <v>39</v>
      </c>
      <c r="L1838" s="38">
        <f t="shared" si="564"/>
        <v>0</v>
      </c>
      <c r="M1838" s="257">
        <f>ROUND('Plant input detail '!M1840*'WPB2.2 Plant detail-w slippage'!$P$2,0)</f>
        <v>0</v>
      </c>
      <c r="N1838" s="2227">
        <f t="shared" si="565"/>
        <v>7802.59</v>
      </c>
    </row>
    <row r="1839" spans="1:14" x14ac:dyDescent="0.2">
      <c r="A1839" s="31">
        <f t="shared" si="566"/>
        <v>27</v>
      </c>
      <c r="B1839" s="123">
        <v>396</v>
      </c>
      <c r="C1839" s="52" t="s">
        <v>1076</v>
      </c>
      <c r="D1839" s="257">
        <f t="shared" si="560"/>
        <v>253134.72</v>
      </c>
      <c r="E1839" s="382">
        <f>ROUND('Plant input detail '!E1841*'WPB2.2 Plant detail-w slippage'!$P$2,0)</f>
        <v>0</v>
      </c>
      <c r="F1839" s="257">
        <f>ROUND('Plant input detail '!F1841*'WPB2.2 Plant detail-w slippage'!$P$2,0)</f>
        <v>0</v>
      </c>
      <c r="G1839" s="257">
        <f t="shared" si="561"/>
        <v>253134.72</v>
      </c>
      <c r="H1839" s="38"/>
      <c r="I1839" s="257">
        <f t="shared" si="562"/>
        <v>202597.72</v>
      </c>
      <c r="J1839" s="1362">
        <f t="shared" si="563"/>
        <v>2.5899999999999999E-2</v>
      </c>
      <c r="K1839" s="173">
        <f t="shared" si="567"/>
        <v>546</v>
      </c>
      <c r="L1839" s="38">
        <f t="shared" si="564"/>
        <v>0</v>
      </c>
      <c r="M1839" s="257">
        <f>ROUND('Plant input detail '!M1841*'WPB2.2 Plant detail-w slippage'!$P$2,0)</f>
        <v>0</v>
      </c>
      <c r="N1839" s="2227">
        <f t="shared" si="565"/>
        <v>203143.72</v>
      </c>
    </row>
    <row r="1840" spans="1:14" x14ac:dyDescent="0.2">
      <c r="A1840" s="31">
        <f t="shared" si="566"/>
        <v>28</v>
      </c>
      <c r="B1840" s="123">
        <v>398</v>
      </c>
      <c r="C1840" s="52" t="s">
        <v>1077</v>
      </c>
      <c r="D1840" s="260">
        <f t="shared" si="560"/>
        <v>283161.94</v>
      </c>
      <c r="E1840" s="265">
        <f>ROUND('Plant input detail '!E1842*'WPB2.2 Plant detail-w slippage'!$P$2,0)</f>
        <v>4600</v>
      </c>
      <c r="F1840" s="260">
        <f>ROUND('Plant input detail '!F1842*'WPB2.2 Plant detail-w slippage'!$P$2,0)</f>
        <v>-600</v>
      </c>
      <c r="G1840" s="260">
        <f t="shared" si="561"/>
        <v>287161.94</v>
      </c>
      <c r="H1840" s="264"/>
      <c r="I1840" s="260">
        <f t="shared" si="562"/>
        <v>10132.59</v>
      </c>
      <c r="J1840" s="1362">
        <f t="shared" si="563"/>
        <v>6.6699999999999995E-2</v>
      </c>
      <c r="K1840" s="260">
        <f t="shared" si="567"/>
        <v>1585</v>
      </c>
      <c r="L1840" s="295">
        <f t="shared" si="564"/>
        <v>600</v>
      </c>
      <c r="M1840" s="260">
        <f>ROUND('Plant input detail '!M1842*'WPB2.2 Plant detail-w slippage'!$P$2,0)</f>
        <v>0</v>
      </c>
      <c r="N1840" s="2228">
        <f t="shared" si="565"/>
        <v>11117.59</v>
      </c>
    </row>
    <row r="1841" spans="1:16" x14ac:dyDescent="0.2">
      <c r="A1841" s="31">
        <f t="shared" si="566"/>
        <v>29</v>
      </c>
      <c r="C1841" s="32" t="s">
        <v>1078</v>
      </c>
      <c r="D1841" s="264">
        <f>SUM(D1827:D1840)</f>
        <v>5972136.2799999993</v>
      </c>
      <c r="E1841" s="176">
        <f>SUM(E1827:E1840)</f>
        <v>33000</v>
      </c>
      <c r="F1841" s="176">
        <f>SUM(F1827:F1840)</f>
        <v>-4000</v>
      </c>
      <c r="G1841" s="264">
        <f>SUM(G1827:G1840)</f>
        <v>6001136.2799999993</v>
      </c>
      <c r="H1841" s="264"/>
      <c r="I1841" s="264">
        <f>SUM(I1827:I1840)</f>
        <v>2328494.27</v>
      </c>
      <c r="J1841" s="1359"/>
      <c r="K1841" s="176">
        <f>SUM(K1827:K1840)</f>
        <v>40226</v>
      </c>
      <c r="L1841" s="264">
        <f>SUM(L1827:L1840)</f>
        <v>4000</v>
      </c>
      <c r="M1841" s="176">
        <f>SUM(M1827:M1840)</f>
        <v>0</v>
      </c>
      <c r="N1841" s="1359">
        <f>SUM(N1827:N1840)</f>
        <v>2364720.27</v>
      </c>
    </row>
    <row r="1842" spans="1:16" x14ac:dyDescent="0.2">
      <c r="D1842" s="38"/>
      <c r="E1842" s="173"/>
      <c r="F1842" s="173"/>
      <c r="G1842" s="38"/>
      <c r="H1842" s="38"/>
      <c r="I1842" s="173"/>
      <c r="J1842" s="1361"/>
      <c r="K1842" s="173"/>
      <c r="L1842" s="38"/>
      <c r="M1842" s="173"/>
    </row>
    <row r="1843" spans="1:16" x14ac:dyDescent="0.2">
      <c r="A1843" s="1805">
        <f>A1841+1</f>
        <v>30</v>
      </c>
      <c r="B1843" s="252"/>
      <c r="C1843" s="36" t="s">
        <v>2287</v>
      </c>
      <c r="D1843" s="38"/>
      <c r="E1843" s="173"/>
      <c r="F1843" s="173"/>
      <c r="G1843" s="38"/>
      <c r="H1843" s="38"/>
      <c r="I1843" s="181"/>
      <c r="J1843" s="173"/>
      <c r="K1843" s="173"/>
      <c r="L1843" s="38"/>
      <c r="M1843" s="173"/>
      <c r="P1843" s="279"/>
    </row>
    <row r="1844" spans="1:16" x14ac:dyDescent="0.2">
      <c r="A1844" s="31">
        <f>A1843+1</f>
        <v>31</v>
      </c>
      <c r="B1844" s="123">
        <v>378.21</v>
      </c>
      <c r="C1844" s="52" t="s">
        <v>2244</v>
      </c>
      <c r="D1844" s="257">
        <f>G1738</f>
        <v>-777092</v>
      </c>
      <c r="E1844" s="382">
        <f>ROUND('Plant input detail '!E1846*'WPB2.2 Plant detail-w slippage'!$P$2,0)</f>
        <v>0</v>
      </c>
      <c r="F1844" s="257">
        <f>ROUND('Plant input detail '!F1846*'WPB2.2 Plant detail-w slippage'!$P$2,0)</f>
        <v>0</v>
      </c>
      <c r="G1844" s="257">
        <f t="shared" ref="G1844" si="568">SUM(D1844:F1844)</f>
        <v>-777092</v>
      </c>
      <c r="H1844" s="264"/>
      <c r="I1844" s="257">
        <f>N1738</f>
        <v>-55346.529999999941</v>
      </c>
      <c r="J1844" s="296" t="s">
        <v>1094</v>
      </c>
      <c r="K1844" s="1334">
        <v>-2158.5833333333321</v>
      </c>
      <c r="L1844" s="38">
        <f t="shared" ref="L1844" si="569">-F1844</f>
        <v>0</v>
      </c>
      <c r="M1844" s="257">
        <f>ROUND('Plant input detail '!M1846*'WPB2.2 Plant detail-w slippage'!$P$2,0)</f>
        <v>0</v>
      </c>
      <c r="N1844" s="2227">
        <f t="shared" ref="N1844" si="570">I1844+K1844-L1844+M1844</f>
        <v>-57505.113333333269</v>
      </c>
      <c r="O1844" s="292"/>
    </row>
    <row r="1845" spans="1:16" x14ac:dyDescent="0.2">
      <c r="A1845" s="1723"/>
      <c r="D1845" s="38"/>
      <c r="E1845" s="173"/>
      <c r="F1845" s="173"/>
      <c r="G1845" s="38"/>
      <c r="H1845" s="38"/>
      <c r="I1845" s="173"/>
      <c r="J1845" s="1361"/>
      <c r="K1845" s="173"/>
      <c r="L1845" s="38"/>
      <c r="M1845" s="173"/>
    </row>
    <row r="1846" spans="1:16" x14ac:dyDescent="0.2">
      <c r="A1846" s="31">
        <f>A1844+1</f>
        <v>32</v>
      </c>
      <c r="C1846" s="32" t="s">
        <v>774</v>
      </c>
      <c r="D1846" s="40">
        <f>D1841+D1824+D1769+D1765+D1844</f>
        <v>431612589.36999989</v>
      </c>
      <c r="E1846" s="40">
        <f>E1841+E1824+E1769+E1765+E1844</f>
        <v>5665666</v>
      </c>
      <c r="F1846" s="40">
        <f>F1841+F1824+F1769+F1765+F1844</f>
        <v>-361600</v>
      </c>
      <c r="G1846" s="40">
        <f>G1841+G1824+G1769+G1765+G1844</f>
        <v>436916655.36999989</v>
      </c>
      <c r="H1846" s="38"/>
      <c r="I1846" s="40">
        <f>I1841+I1824+I1769+I1765+I1844</f>
        <v>152284695.84350902</v>
      </c>
      <c r="J1846" s="1363"/>
      <c r="K1846" s="40">
        <f>K1841+K1824+K1769+K1765+K1844</f>
        <v>1321362.0961094652</v>
      </c>
      <c r="L1846" s="40">
        <f>L1841+L1824+L1769+L1765+L1844</f>
        <v>361600</v>
      </c>
      <c r="M1846" s="40">
        <f>M1841+M1824+M1769+M1765+M1844</f>
        <v>-88000</v>
      </c>
      <c r="N1846" s="2230">
        <f>N1841+N1824+N1769+N1765+N1844</f>
        <v>153156457.93961847</v>
      </c>
    </row>
    <row r="1848" spans="1:16" x14ac:dyDescent="0.2">
      <c r="A1848" s="2079" t="str">
        <f>co</f>
        <v>COLUMBIA GAS OF KENTUCKY, INC.</v>
      </c>
      <c r="B1848" s="2079"/>
      <c r="C1848" s="2079"/>
      <c r="D1848" s="2079"/>
      <c r="E1848" s="2079"/>
      <c r="F1848" s="2079"/>
      <c r="G1848" s="2079"/>
      <c r="H1848" s="2079"/>
      <c r="I1848" s="2079"/>
      <c r="J1848" s="2079"/>
      <c r="K1848" s="2079"/>
      <c r="L1848" s="2079"/>
      <c r="M1848" s="2079"/>
      <c r="N1848" s="2079"/>
    </row>
    <row r="1849" spans="1:16" x14ac:dyDescent="0.2">
      <c r="A1849" s="2079" t="str">
        <f>case</f>
        <v>CASE NO. 2016 - 00162</v>
      </c>
      <c r="B1849" s="2079"/>
      <c r="C1849" s="2079"/>
      <c r="D1849" s="2079"/>
      <c r="E1849" s="2079"/>
      <c r="F1849" s="2079"/>
      <c r="G1849" s="2079"/>
      <c r="H1849" s="2079"/>
      <c r="I1849" s="2079"/>
      <c r="J1849" s="2079"/>
      <c r="K1849" s="2079"/>
      <c r="L1849" s="2079"/>
      <c r="M1849" s="2079"/>
      <c r="N1849" s="2079"/>
    </row>
    <row r="1850" spans="1:16" x14ac:dyDescent="0.2">
      <c r="A1850" s="2080" t="s">
        <v>1106</v>
      </c>
      <c r="B1850" s="2079"/>
      <c r="C1850" s="2079"/>
      <c r="D1850" s="2079"/>
      <c r="E1850" s="2079"/>
      <c r="F1850" s="2079"/>
      <c r="G1850" s="2079"/>
      <c r="H1850" s="2079"/>
      <c r="I1850" s="2079"/>
      <c r="J1850" s="2079"/>
      <c r="K1850" s="2079"/>
      <c r="L1850" s="2079"/>
      <c r="M1850" s="2079"/>
      <c r="N1850" s="2079"/>
    </row>
    <row r="1851" spans="1:16" x14ac:dyDescent="0.2">
      <c r="A1851" s="2081" t="s">
        <v>2142</v>
      </c>
      <c r="B1851" s="2085"/>
      <c r="C1851" s="2085"/>
      <c r="D1851" s="2085"/>
      <c r="E1851" s="2085"/>
      <c r="F1851" s="2085"/>
      <c r="G1851" s="2085"/>
      <c r="H1851" s="2085"/>
      <c r="I1851" s="2085"/>
      <c r="J1851" s="2085"/>
      <c r="K1851" s="2085"/>
      <c r="L1851" s="2085"/>
      <c r="M1851" s="2085"/>
      <c r="N1851" s="2085"/>
    </row>
    <row r="1853" spans="1:16" x14ac:dyDescent="0.2">
      <c r="A1853" s="285" t="str">
        <f>$A$6</f>
        <v>DATA:__X___BASE PERIOD__X___FORECASTED PERIOD</v>
      </c>
      <c r="C1853" s="171"/>
      <c r="I1853" s="32"/>
      <c r="N1853" s="1258" t="str">
        <f>$N$6</f>
        <v>WPB-2.2</v>
      </c>
    </row>
    <row r="1854" spans="1:16" x14ac:dyDescent="0.2">
      <c r="A1854" s="4" t="str">
        <f>$A$7</f>
        <v>TYPE OF FILING:___X____ORIGINAL________UPDATED</v>
      </c>
      <c r="I1854" s="32"/>
      <c r="N1854" s="2223" t="s">
        <v>1748</v>
      </c>
    </row>
    <row r="1855" spans="1:16" x14ac:dyDescent="0.2">
      <c r="A1855" s="1261" t="str">
        <f>$A$8</f>
        <v xml:space="preserve">WORKPAPER REFERENCE NO(S).: </v>
      </c>
      <c r="B1855" s="202"/>
      <c r="C1855" s="202"/>
      <c r="D1855" s="201"/>
      <c r="E1855" s="202"/>
      <c r="F1855" s="202"/>
      <c r="G1855" s="201"/>
      <c r="H1855" s="201"/>
      <c r="I1855" s="203"/>
      <c r="L1855" s="32"/>
      <c r="M1855" s="32"/>
      <c r="N1855" s="204" t="str">
        <f>SMK</f>
        <v>WITNESS:  S. M. KATKO</v>
      </c>
    </row>
    <row r="1856" spans="1:16" x14ac:dyDescent="0.2">
      <c r="A1856" s="200"/>
      <c r="B1856" s="201"/>
      <c r="C1856" s="201"/>
      <c r="D1856" s="201"/>
      <c r="E1856" s="202"/>
      <c r="F1856" s="202"/>
      <c r="G1856" s="201"/>
      <c r="H1856" s="201"/>
      <c r="I1856" s="203"/>
      <c r="J1856" s="1357"/>
      <c r="L1856" s="32"/>
      <c r="M1856" s="32"/>
    </row>
    <row r="1857" spans="1:14" x14ac:dyDescent="0.2">
      <c r="A1857" s="200"/>
      <c r="B1857" s="201"/>
      <c r="C1857" s="201"/>
      <c r="D1857" s="2082" t="s">
        <v>1088</v>
      </c>
      <c r="E1857" s="2082"/>
      <c r="F1857" s="2082"/>
      <c r="G1857" s="2082"/>
      <c r="H1857" s="201"/>
      <c r="I1857" s="2083" t="s">
        <v>1093</v>
      </c>
      <c r="J1857" s="2084"/>
      <c r="K1857" s="2084"/>
      <c r="L1857" s="2084"/>
      <c r="M1857" s="2084"/>
      <c r="N1857" s="2084"/>
    </row>
    <row r="1858" spans="1:14" x14ac:dyDescent="0.2">
      <c r="A1858" s="270"/>
      <c r="B1858" s="201"/>
      <c r="C1858" s="201"/>
      <c r="D1858" s="271" t="s">
        <v>1084</v>
      </c>
      <c r="E1858" s="202"/>
      <c r="F1858" s="202"/>
      <c r="G1858" s="269"/>
      <c r="H1858" s="269"/>
      <c r="I1858" s="261" t="s">
        <v>1089</v>
      </c>
      <c r="J1858" s="1358"/>
      <c r="M1858" s="32"/>
    </row>
    <row r="1859" spans="1:14" x14ac:dyDescent="0.2">
      <c r="A1859" s="30"/>
      <c r="D1859" s="261" t="s">
        <v>865</v>
      </c>
      <c r="G1859" s="261" t="s">
        <v>867</v>
      </c>
      <c r="H1859" s="268"/>
      <c r="I1859" s="261" t="s">
        <v>865</v>
      </c>
      <c r="J1859" s="1308" t="s">
        <v>956</v>
      </c>
      <c r="M1859" s="32"/>
      <c r="N1859" s="2225" t="s">
        <v>867</v>
      </c>
    </row>
    <row r="1860" spans="1:14" x14ac:dyDescent="0.2">
      <c r="A1860" s="261" t="s">
        <v>1080</v>
      </c>
      <c r="B1860" s="261" t="s">
        <v>1082</v>
      </c>
      <c r="D1860" s="261" t="s">
        <v>867</v>
      </c>
      <c r="G1860" s="262" t="s">
        <v>1087</v>
      </c>
      <c r="H1860" s="268"/>
      <c r="I1860" s="262" t="s">
        <v>867</v>
      </c>
      <c r="J1860" s="1308" t="s">
        <v>1090</v>
      </c>
      <c r="K1860" s="1308" t="s">
        <v>956</v>
      </c>
      <c r="M1860" s="262" t="s">
        <v>1092</v>
      </c>
      <c r="N1860" s="1259" t="s">
        <v>1087</v>
      </c>
    </row>
    <row r="1861" spans="1:14" x14ac:dyDescent="0.2">
      <c r="A1861" s="272" t="s">
        <v>1081</v>
      </c>
      <c r="B1861" s="272" t="s">
        <v>1081</v>
      </c>
      <c r="C1861" s="273" t="s">
        <v>1083</v>
      </c>
      <c r="D1861" s="298" t="str">
        <f>"07/31/2017"</f>
        <v>07/31/2017</v>
      </c>
      <c r="E1861" s="275" t="s">
        <v>1085</v>
      </c>
      <c r="F1861" s="275" t="s">
        <v>1086</v>
      </c>
      <c r="G1861" s="298" t="str">
        <f>"08/31/2017"</f>
        <v>08/31/2017</v>
      </c>
      <c r="H1861" s="268"/>
      <c r="I1861" s="274" t="str">
        <f>D1861</f>
        <v>07/31/2017</v>
      </c>
      <c r="J1861" s="275" t="s">
        <v>1091</v>
      </c>
      <c r="K1861" s="1327" t="s">
        <v>1090</v>
      </c>
      <c r="L1861" s="276" t="s">
        <v>1086</v>
      </c>
      <c r="M1861" s="276" t="s">
        <v>955</v>
      </c>
      <c r="N1861" s="2226" t="str">
        <f>G1861</f>
        <v>08/31/2017</v>
      </c>
    </row>
    <row r="1862" spans="1:14" x14ac:dyDescent="0.2">
      <c r="A1862" s="267"/>
      <c r="B1862" s="267"/>
      <c r="C1862" s="267"/>
      <c r="D1862" s="267" t="str">
        <f>"(1)"</f>
        <v>(1)</v>
      </c>
      <c r="E1862" s="267" t="str">
        <f>"(2)"</f>
        <v>(2)</v>
      </c>
      <c r="F1862" s="267" t="str">
        <f>"(3)"</f>
        <v>(3)</v>
      </c>
      <c r="G1862" s="267" t="str">
        <f>"(4)=(1+2+3)"</f>
        <v>(4)=(1+2+3)</v>
      </c>
      <c r="H1862" s="267"/>
      <c r="I1862" s="267" t="str">
        <f>"(5)"</f>
        <v>(5)</v>
      </c>
      <c r="J1862" s="1328" t="str">
        <f>"(6)"</f>
        <v>(6)</v>
      </c>
      <c r="K1862" s="1328" t="str">
        <f>"(7)=((1+4)/2*6/12))"</f>
        <v>(7)=((1+4)/2*6/12))</v>
      </c>
      <c r="L1862" s="267" t="str">
        <f>"(8)"</f>
        <v>(8)</v>
      </c>
      <c r="M1862" s="267" t="str">
        <f>"(9)"</f>
        <v>(9)</v>
      </c>
      <c r="N1862" s="204" t="str">
        <f>"(10)=(5+7-8+9)"</f>
        <v>(10)=(5+7-8+9)</v>
      </c>
    </row>
    <row r="1863" spans="1:14" x14ac:dyDescent="0.2">
      <c r="D1863" s="31" t="s">
        <v>639</v>
      </c>
      <c r="E1863" s="170" t="s">
        <v>639</v>
      </c>
      <c r="F1863" s="170" t="s">
        <v>639</v>
      </c>
      <c r="G1863" s="31" t="s">
        <v>639</v>
      </c>
      <c r="H1863" s="31"/>
      <c r="I1863" s="31" t="s">
        <v>639</v>
      </c>
      <c r="J1863" s="170" t="s">
        <v>639</v>
      </c>
      <c r="K1863" s="170" t="s">
        <v>639</v>
      </c>
      <c r="L1863" s="31" t="s">
        <v>639</v>
      </c>
      <c r="M1863" s="31" t="s">
        <v>639</v>
      </c>
      <c r="N1863" s="155" t="s">
        <v>639</v>
      </c>
    </row>
    <row r="1864" spans="1:14" x14ac:dyDescent="0.2">
      <c r="A1864" s="31">
        <v>1</v>
      </c>
      <c r="B1864" s="36" t="s">
        <v>1025</v>
      </c>
      <c r="C1864" s="34"/>
      <c r="M1864" s="32"/>
    </row>
    <row r="1865" spans="1:14" x14ac:dyDescent="0.2">
      <c r="A1865" s="31">
        <f>A1864+1</f>
        <v>2</v>
      </c>
      <c r="C1865" s="36" t="s">
        <v>697</v>
      </c>
      <c r="M1865" s="32"/>
    </row>
    <row r="1866" spans="1:14" x14ac:dyDescent="0.2">
      <c r="A1866" s="31">
        <f t="shared" ref="A1866:A1871" si="571">A1865+1</f>
        <v>3</v>
      </c>
      <c r="B1866" s="253">
        <v>301</v>
      </c>
      <c r="C1866" s="52" t="s">
        <v>1026</v>
      </c>
      <c r="D1866" s="257">
        <f>G1760</f>
        <v>521.20000000000005</v>
      </c>
      <c r="E1866" s="382">
        <f>ROUND('Plant input detail '!E1868*'WPB2.2 Plant detail-w slippage'!$P$2,0)</f>
        <v>0</v>
      </c>
      <c r="F1866" s="257">
        <f>ROUND('Plant input detail '!F1868*'WPB2.2 Plant detail-w slippage'!$P$2,0)</f>
        <v>0</v>
      </c>
      <c r="G1866" s="257">
        <f>SUM(D1866:F1866)</f>
        <v>521.20000000000005</v>
      </c>
      <c r="H1866" s="38"/>
      <c r="I1866" s="257">
        <f>N1760</f>
        <v>0</v>
      </c>
      <c r="J1866" s="296" t="s">
        <v>1094</v>
      </c>
      <c r="K1866" s="259">
        <v>0</v>
      </c>
      <c r="L1866" s="38">
        <f>-F1866</f>
        <v>0</v>
      </c>
      <c r="M1866" s="259">
        <v>0</v>
      </c>
      <c r="N1866" s="2227">
        <f>I1866+K1866-L1866+M1866</f>
        <v>0</v>
      </c>
    </row>
    <row r="1867" spans="1:14" x14ac:dyDescent="0.2">
      <c r="A1867" s="31">
        <f t="shared" si="571"/>
        <v>4</v>
      </c>
      <c r="B1867" s="253">
        <v>303</v>
      </c>
      <c r="C1867" s="52" t="s">
        <v>1027</v>
      </c>
      <c r="D1867" s="257">
        <f>G1761</f>
        <v>74347.509999999995</v>
      </c>
      <c r="E1867" s="382">
        <f>ROUND('Plant input detail '!E1869*'WPB2.2 Plant detail-w slippage'!$P$2,0)</f>
        <v>0</v>
      </c>
      <c r="F1867" s="257">
        <f>ROUND('Plant input detail '!F1869*'WPB2.2 Plant detail-w slippage'!$P$2,0)</f>
        <v>0</v>
      </c>
      <c r="G1867" s="257">
        <f>SUM(D1867:F1867)</f>
        <v>74347.509999999995</v>
      </c>
      <c r="H1867" s="38"/>
      <c r="I1867" s="257">
        <f>N1761</f>
        <v>49310.269999999946</v>
      </c>
      <c r="J1867" s="296" t="s">
        <v>1094</v>
      </c>
      <c r="K1867" s="257">
        <f>'WPB2.2a Intan Amort. w slippage'!N$127</f>
        <v>206.52</v>
      </c>
      <c r="L1867" s="38">
        <f>-F1867</f>
        <v>0</v>
      </c>
      <c r="M1867" s="259">
        <v>0</v>
      </c>
      <c r="N1867" s="2227">
        <f>I1867+K1867-L1867+M1867</f>
        <v>49516.789999999943</v>
      </c>
    </row>
    <row r="1868" spans="1:14" x14ac:dyDescent="0.2">
      <c r="A1868" s="31">
        <f t="shared" si="571"/>
        <v>5</v>
      </c>
      <c r="B1868" s="253">
        <v>303.10000000000002</v>
      </c>
      <c r="C1868" s="52" t="s">
        <v>1028</v>
      </c>
      <c r="D1868" s="257">
        <f>G1762</f>
        <v>0</v>
      </c>
      <c r="E1868" s="382">
        <f>ROUND('Plant input detail '!E1870*'WPB2.2 Plant detail-w slippage'!$P$2,0)</f>
        <v>0</v>
      </c>
      <c r="F1868" s="257">
        <f>ROUND('Plant input detail '!F1870*'WPB2.2 Plant detail-w slippage'!$P$2,0)</f>
        <v>0</v>
      </c>
      <c r="G1868" s="257">
        <f>SUM(D1868:F1868)</f>
        <v>0</v>
      </c>
      <c r="H1868" s="38"/>
      <c r="I1868" s="257">
        <f>N1762</f>
        <v>0</v>
      </c>
      <c r="J1868" s="296" t="s">
        <v>1094</v>
      </c>
      <c r="K1868" s="259">
        <v>0</v>
      </c>
      <c r="L1868" s="38">
        <f>-F1868</f>
        <v>0</v>
      </c>
      <c r="M1868" s="259">
        <v>0</v>
      </c>
      <c r="N1868" s="2227">
        <f>I1868+K1868-L1868+M1868</f>
        <v>0</v>
      </c>
    </row>
    <row r="1869" spans="1:14" x14ac:dyDescent="0.2">
      <c r="A1869" s="31">
        <f t="shared" si="571"/>
        <v>6</v>
      </c>
      <c r="B1869" s="253">
        <v>303.2</v>
      </c>
      <c r="C1869" s="52" t="s">
        <v>1029</v>
      </c>
      <c r="D1869" s="257">
        <f>G1763</f>
        <v>0</v>
      </c>
      <c r="E1869" s="382">
        <f>ROUND('Plant input detail '!E1871*'WPB2.2 Plant detail-w slippage'!$P$2,0)</f>
        <v>0</v>
      </c>
      <c r="F1869" s="257">
        <f>ROUND('Plant input detail '!F1871*'WPB2.2 Plant detail-w slippage'!$P$2,0)</f>
        <v>0</v>
      </c>
      <c r="G1869" s="257">
        <f>SUM(D1869:F1869)</f>
        <v>0</v>
      </c>
      <c r="H1869" s="38"/>
      <c r="I1869" s="257">
        <f>N1763</f>
        <v>0</v>
      </c>
      <c r="J1869" s="296" t="s">
        <v>1094</v>
      </c>
      <c r="K1869" s="259">
        <v>0</v>
      </c>
      <c r="L1869" s="38">
        <f>-F1869</f>
        <v>0</v>
      </c>
      <c r="M1869" s="259">
        <v>0</v>
      </c>
      <c r="N1869" s="2227">
        <f>I1869+K1869-L1869+M1869</f>
        <v>0</v>
      </c>
    </row>
    <row r="1870" spans="1:14" x14ac:dyDescent="0.2">
      <c r="A1870" s="31">
        <f t="shared" si="571"/>
        <v>7</v>
      </c>
      <c r="B1870" s="253">
        <v>303.3</v>
      </c>
      <c r="C1870" s="52" t="s">
        <v>1030</v>
      </c>
      <c r="D1870" s="260">
        <f>G1764</f>
        <v>9670586</v>
      </c>
      <c r="E1870" s="265">
        <f>ROUND('Plant input detail '!E1872*'WPB2.2 Plant detail-w slippage'!$P$2,0)</f>
        <v>0</v>
      </c>
      <c r="F1870" s="265">
        <f>ROUND('Plant input detail '!F1872*'WPB2.2 Plant detail-w slippage'!$P$2,0)</f>
        <v>0</v>
      </c>
      <c r="G1870" s="260">
        <f>SUM(D1870:F1870)</f>
        <v>9670586</v>
      </c>
      <c r="H1870" s="38"/>
      <c r="I1870" s="260">
        <f>N1764</f>
        <v>3503293.8918991862</v>
      </c>
      <c r="J1870" s="296" t="s">
        <v>1094</v>
      </c>
      <c r="K1870" s="260">
        <f>'WPB2.2a Intan Amort. w slippage'!N$216</f>
        <v>127911.62224617059</v>
      </c>
      <c r="L1870" s="295">
        <f>-F1870</f>
        <v>0</v>
      </c>
      <c r="M1870" s="263">
        <v>0</v>
      </c>
      <c r="N1870" s="2228">
        <f>I1870+K1870-L1870+M1870</f>
        <v>3631205.5141453566</v>
      </c>
    </row>
    <row r="1871" spans="1:14" x14ac:dyDescent="0.2">
      <c r="A1871" s="31">
        <f t="shared" si="571"/>
        <v>8</v>
      </c>
      <c r="B1871" s="253"/>
      <c r="C1871" s="52" t="s">
        <v>1031</v>
      </c>
      <c r="D1871" s="38">
        <f>SUM(D1866:D1870)</f>
        <v>9745454.7100000009</v>
      </c>
      <c r="E1871" s="173">
        <f>SUM(E1866:E1870)</f>
        <v>0</v>
      </c>
      <c r="F1871" s="173">
        <f>SUM(F1866:F1870)</f>
        <v>0</v>
      </c>
      <c r="G1871" s="38">
        <f>SUM(G1866:G1870)</f>
        <v>9745454.7100000009</v>
      </c>
      <c r="H1871" s="38"/>
      <c r="I1871" s="38">
        <f>SUM(I1866:I1870)</f>
        <v>3552604.1618991862</v>
      </c>
      <c r="J1871" s="1359"/>
      <c r="K1871" s="173">
        <f>SUM(K1866:K1870)</f>
        <v>128118.1422461706</v>
      </c>
      <c r="L1871" s="38">
        <f>SUM(L1866:L1870)</f>
        <v>0</v>
      </c>
      <c r="M1871" s="173">
        <f>SUM(M1866:M1870)</f>
        <v>0</v>
      </c>
      <c r="N1871" s="1361">
        <f>SUM(N1866:N1870)</f>
        <v>3680722.3041453566</v>
      </c>
    </row>
    <row r="1872" spans="1:14" x14ac:dyDescent="0.2">
      <c r="B1872" s="254"/>
      <c r="D1872" s="38"/>
      <c r="E1872" s="173"/>
      <c r="F1872" s="173"/>
      <c r="G1872" s="38"/>
      <c r="H1872" s="38"/>
      <c r="I1872" s="38"/>
      <c r="J1872" s="1359"/>
      <c r="K1872" s="173"/>
      <c r="L1872" s="38"/>
      <c r="M1872" s="173"/>
    </row>
    <row r="1873" spans="1:14" x14ac:dyDescent="0.2">
      <c r="A1873" s="31">
        <f>A1871+1</f>
        <v>9</v>
      </c>
      <c r="B1873" s="254"/>
      <c r="C1873" s="36" t="s">
        <v>704</v>
      </c>
      <c r="D1873" s="38"/>
      <c r="E1873" s="173"/>
      <c r="F1873" s="173"/>
      <c r="G1873" s="38"/>
      <c r="H1873" s="38"/>
      <c r="I1873" s="38"/>
      <c r="J1873" s="1359"/>
      <c r="K1873" s="173"/>
      <c r="L1873" s="38"/>
      <c r="M1873" s="173"/>
    </row>
    <row r="1874" spans="1:14" x14ac:dyDescent="0.2">
      <c r="A1874" s="31">
        <f>A1873+1</f>
        <v>10</v>
      </c>
      <c r="B1874" s="255">
        <v>304.10000000000002</v>
      </c>
      <c r="C1874" s="41" t="s">
        <v>1032</v>
      </c>
      <c r="D1874" s="260">
        <f>G1768</f>
        <v>0</v>
      </c>
      <c r="E1874" s="265">
        <f>ROUND('Plant input detail '!E1876*'WPB2.2 Plant detail-w slippage'!$P$2,0)</f>
        <v>0</v>
      </c>
      <c r="F1874" s="265">
        <f>ROUND('Plant input detail '!F1876*'WPB2.2 Plant detail-w slippage'!$P$2,0)</f>
        <v>0</v>
      </c>
      <c r="G1874" s="260">
        <f>SUM(D1874:F1874)</f>
        <v>0</v>
      </c>
      <c r="H1874" s="38"/>
      <c r="I1874" s="260">
        <f>N1768</f>
        <v>0</v>
      </c>
      <c r="J1874" s="1360" t="s">
        <v>1102</v>
      </c>
      <c r="K1874" s="266">
        <v>0</v>
      </c>
      <c r="L1874" s="295">
        <f>-F1874</f>
        <v>0</v>
      </c>
      <c r="M1874" s="263">
        <v>0</v>
      </c>
      <c r="N1874" s="2228">
        <f>I1874+K1874-L1874+M1874</f>
        <v>0</v>
      </c>
    </row>
    <row r="1875" spans="1:14" x14ac:dyDescent="0.2">
      <c r="A1875" s="31">
        <f>A1874+1</f>
        <v>11</v>
      </c>
      <c r="B1875" s="255"/>
      <c r="C1875" s="256" t="s">
        <v>1079</v>
      </c>
      <c r="D1875" s="38">
        <f>D1874</f>
        <v>0</v>
      </c>
      <c r="E1875" s="173">
        <f>E1874</f>
        <v>0</v>
      </c>
      <c r="F1875" s="173">
        <f>F1874</f>
        <v>0</v>
      </c>
      <c r="G1875" s="38">
        <f>G1874</f>
        <v>0</v>
      </c>
      <c r="H1875" s="38"/>
      <c r="I1875" s="38">
        <f>I1874</f>
        <v>0</v>
      </c>
      <c r="J1875" s="1361"/>
      <c r="K1875" s="173">
        <f>SUM(K1874)</f>
        <v>0</v>
      </c>
      <c r="L1875" s="38">
        <f>SUM(L1874)</f>
        <v>0</v>
      </c>
      <c r="M1875" s="173">
        <f>M1874</f>
        <v>0</v>
      </c>
      <c r="N1875" s="1361">
        <f>N1874</f>
        <v>0</v>
      </c>
    </row>
    <row r="1876" spans="1:14" x14ac:dyDescent="0.2">
      <c r="B1876" s="254"/>
      <c r="D1876" s="38"/>
      <c r="E1876" s="173"/>
      <c r="F1876" s="173"/>
      <c r="G1876" s="38"/>
      <c r="H1876" s="38"/>
      <c r="I1876" s="38"/>
      <c r="J1876" s="1361"/>
      <c r="K1876" s="173"/>
      <c r="L1876" s="38"/>
      <c r="M1876" s="173"/>
    </row>
    <row r="1877" spans="1:14" x14ac:dyDescent="0.2">
      <c r="A1877" s="31">
        <f>A1875+1</f>
        <v>12</v>
      </c>
      <c r="B1877" s="254"/>
      <c r="C1877" s="36" t="s">
        <v>707</v>
      </c>
      <c r="D1877" s="38"/>
      <c r="E1877" s="173"/>
      <c r="F1877" s="173"/>
      <c r="G1877" s="38"/>
      <c r="H1877" s="38"/>
      <c r="I1877" s="38"/>
      <c r="J1877" s="1361"/>
      <c r="K1877" s="173"/>
      <c r="L1877" s="38"/>
      <c r="M1877" s="173"/>
    </row>
    <row r="1878" spans="1:14" x14ac:dyDescent="0.2">
      <c r="A1878" s="31">
        <f>A1877+1</f>
        <v>13</v>
      </c>
      <c r="B1878" s="253">
        <v>374.1</v>
      </c>
      <c r="C1878" s="52" t="s">
        <v>1035</v>
      </c>
      <c r="D1878" s="257">
        <f t="shared" ref="D1878:D1888" si="572">G1772</f>
        <v>206</v>
      </c>
      <c r="E1878" s="382">
        <f>ROUND('Plant input detail '!E1880*'WPB2.2 Plant detail-w slippage'!$P$2,0)</f>
        <v>0</v>
      </c>
      <c r="F1878" s="257">
        <f>ROUND('Plant input detail '!F1880*'WPB2.2 Plant detail-w slippage'!$P$2,0)</f>
        <v>0</v>
      </c>
      <c r="G1878" s="257">
        <f>SUM(D1878:F1878)</f>
        <v>206</v>
      </c>
      <c r="H1878" s="38"/>
      <c r="I1878" s="257">
        <f t="shared" ref="I1878:I1888" si="573">N1772</f>
        <v>0</v>
      </c>
      <c r="J1878" s="1360" t="s">
        <v>1102</v>
      </c>
      <c r="K1878" s="259">
        <v>0</v>
      </c>
      <c r="L1878" s="38">
        <f t="shared" ref="L1878:L1888" si="574">-F1878</f>
        <v>0</v>
      </c>
      <c r="M1878" s="257">
        <f>ROUND('Plant input detail '!M1880*'WPB2.2 Plant detail-w slippage'!$P$2,0)</f>
        <v>0</v>
      </c>
      <c r="N1878" s="2227">
        <f t="shared" ref="N1878:N1888" si="575">I1878+K1878-L1878+M1878</f>
        <v>0</v>
      </c>
    </row>
    <row r="1879" spans="1:14" x14ac:dyDescent="0.2">
      <c r="A1879" s="31">
        <f t="shared" ref="A1879:A1899" si="576">A1878+1</f>
        <v>14</v>
      </c>
      <c r="B1879" s="253">
        <v>374.2</v>
      </c>
      <c r="C1879" s="52" t="s">
        <v>1036</v>
      </c>
      <c r="D1879" s="257">
        <f t="shared" si="572"/>
        <v>877756.18</v>
      </c>
      <c r="E1879" s="382">
        <f>ROUND('Plant input detail '!E1881*'WPB2.2 Plant detail-w slippage'!$P$2,0)</f>
        <v>0</v>
      </c>
      <c r="F1879" s="257">
        <f>ROUND('Plant input detail '!F1881*'WPB2.2 Plant detail-w slippage'!$P$2,0)</f>
        <v>0</v>
      </c>
      <c r="G1879" s="257">
        <f t="shared" ref="G1879:G1888" si="577">SUM(D1879:F1879)</f>
        <v>877756.18</v>
      </c>
      <c r="H1879" s="38"/>
      <c r="I1879" s="257">
        <f t="shared" si="573"/>
        <v>-523.13</v>
      </c>
      <c r="J1879" s="1360" t="s">
        <v>1102</v>
      </c>
      <c r="K1879" s="259">
        <v>0</v>
      </c>
      <c r="L1879" s="38">
        <f t="shared" si="574"/>
        <v>0</v>
      </c>
      <c r="M1879" s="257">
        <f>ROUND('Plant input detail '!M1881*'WPB2.2 Plant detail-w slippage'!$P$2,0)</f>
        <v>0</v>
      </c>
      <c r="N1879" s="2227">
        <f t="shared" si="575"/>
        <v>-523.13</v>
      </c>
    </row>
    <row r="1880" spans="1:14" x14ac:dyDescent="0.2">
      <c r="A1880" s="31">
        <f t="shared" si="576"/>
        <v>15</v>
      </c>
      <c r="B1880" s="253">
        <v>374.4</v>
      </c>
      <c r="C1880" s="52" t="s">
        <v>1037</v>
      </c>
      <c r="D1880" s="257">
        <f t="shared" si="572"/>
        <v>661305.66</v>
      </c>
      <c r="E1880" s="382">
        <f>ROUND('Plant input detail '!E1882*'WPB2.2 Plant detail-w slippage'!$P$2,0)</f>
        <v>0</v>
      </c>
      <c r="F1880" s="257">
        <f>ROUND('Plant input detail '!F1882*'WPB2.2 Plant detail-w slippage'!$P$2,0)</f>
        <v>0</v>
      </c>
      <c r="G1880" s="257">
        <f t="shared" si="577"/>
        <v>661305.66</v>
      </c>
      <c r="H1880" s="38"/>
      <c r="I1880" s="257">
        <f t="shared" si="573"/>
        <v>185596.36</v>
      </c>
      <c r="J1880" s="1362">
        <f t="shared" ref="J1880:J1886" si="578">J1774</f>
        <v>1.7399999999999999E-2</v>
      </c>
      <c r="K1880" s="173">
        <f>ROUND((G1880+D1880)/2*J1880/12,0)</f>
        <v>959</v>
      </c>
      <c r="L1880" s="38">
        <f t="shared" si="574"/>
        <v>0</v>
      </c>
      <c r="M1880" s="257">
        <f>ROUND('Plant input detail '!M1882*'WPB2.2 Plant detail-w slippage'!$P$2,0)</f>
        <v>0</v>
      </c>
      <c r="N1880" s="2227">
        <f t="shared" si="575"/>
        <v>186555.36</v>
      </c>
    </row>
    <row r="1881" spans="1:14" x14ac:dyDescent="0.2">
      <c r="A1881" s="31">
        <f t="shared" si="576"/>
        <v>16</v>
      </c>
      <c r="B1881" s="253">
        <v>374.5</v>
      </c>
      <c r="C1881" s="52" t="s">
        <v>1038</v>
      </c>
      <c r="D1881" s="257">
        <f t="shared" si="572"/>
        <v>2731072.55</v>
      </c>
      <c r="E1881" s="382">
        <f>ROUND('Plant input detail '!E1883*'WPB2.2 Plant detail-w slippage'!$P$2,0)</f>
        <v>4200</v>
      </c>
      <c r="F1881" s="257">
        <f>ROUND('Plant input detail '!F1883*'WPB2.2 Plant detail-w slippage'!$P$2,0)</f>
        <v>-500</v>
      </c>
      <c r="G1881" s="257">
        <f t="shared" si="577"/>
        <v>2734772.55</v>
      </c>
      <c r="H1881" s="38"/>
      <c r="I1881" s="257">
        <f t="shared" si="573"/>
        <v>945465.23</v>
      </c>
      <c r="J1881" s="1362">
        <f t="shared" si="578"/>
        <v>1.29E-2</v>
      </c>
      <c r="K1881" s="173">
        <f t="shared" ref="K1881:K1886" si="579">ROUND((G1881+D1881)/2*J1881/12,0)</f>
        <v>2938</v>
      </c>
      <c r="L1881" s="38">
        <f t="shared" si="574"/>
        <v>500</v>
      </c>
      <c r="M1881" s="257">
        <f>ROUND('Plant input detail '!M1883*'WPB2.2 Plant detail-w slippage'!$P$2,0)</f>
        <v>0</v>
      </c>
      <c r="N1881" s="2227">
        <f t="shared" si="575"/>
        <v>947903.23</v>
      </c>
    </row>
    <row r="1882" spans="1:14" x14ac:dyDescent="0.2">
      <c r="A1882" s="31">
        <f t="shared" si="576"/>
        <v>17</v>
      </c>
      <c r="B1882" s="253">
        <v>375.2</v>
      </c>
      <c r="C1882" s="52" t="s">
        <v>1039</v>
      </c>
      <c r="D1882" s="257">
        <f t="shared" si="572"/>
        <v>2124.98</v>
      </c>
      <c r="E1882" s="382">
        <f>ROUND('Plant input detail '!E1884*'WPB2.2 Plant detail-w slippage'!$P$2,0)</f>
        <v>0</v>
      </c>
      <c r="F1882" s="257">
        <f>ROUND('Plant input detail '!F1884*'WPB2.2 Plant detail-w slippage'!$P$2,0)</f>
        <v>0</v>
      </c>
      <c r="G1882" s="257">
        <f t="shared" si="577"/>
        <v>2124.98</v>
      </c>
      <c r="H1882" s="38"/>
      <c r="I1882" s="257">
        <f t="shared" si="573"/>
        <v>2069.3199999999997</v>
      </c>
      <c r="J1882" s="1362">
        <f t="shared" si="578"/>
        <v>3.1800000000000002E-2</v>
      </c>
      <c r="K1882" s="173">
        <f t="shared" si="579"/>
        <v>6</v>
      </c>
      <c r="L1882" s="38">
        <f t="shared" si="574"/>
        <v>0</v>
      </c>
      <c r="M1882" s="257">
        <f>ROUND('Plant input detail '!M1884*'WPB2.2 Plant detail-w slippage'!$P$2,0)</f>
        <v>0</v>
      </c>
      <c r="N1882" s="2227">
        <f t="shared" si="575"/>
        <v>2075.3199999999997</v>
      </c>
    </row>
    <row r="1883" spans="1:14" x14ac:dyDescent="0.2">
      <c r="A1883" s="31">
        <f t="shared" si="576"/>
        <v>18</v>
      </c>
      <c r="B1883" s="253">
        <v>375.3</v>
      </c>
      <c r="C1883" s="52" t="s">
        <v>1040</v>
      </c>
      <c r="D1883" s="257">
        <f t="shared" si="572"/>
        <v>0</v>
      </c>
      <c r="E1883" s="382">
        <f>ROUND('Plant input detail '!E1885*'WPB2.2 Plant detail-w slippage'!$P$2,0)</f>
        <v>0</v>
      </c>
      <c r="F1883" s="257">
        <f>ROUND('Plant input detail '!F1885*'WPB2.2 Plant detail-w slippage'!$P$2,0)</f>
        <v>0</v>
      </c>
      <c r="G1883" s="257">
        <f t="shared" si="577"/>
        <v>0</v>
      </c>
      <c r="H1883" s="38"/>
      <c r="I1883" s="257">
        <f t="shared" si="573"/>
        <v>-77.66</v>
      </c>
      <c r="J1883" s="1362">
        <f t="shared" si="578"/>
        <v>3.1800000000000002E-2</v>
      </c>
      <c r="K1883" s="173">
        <f t="shared" si="579"/>
        <v>0</v>
      </c>
      <c r="L1883" s="38">
        <f t="shared" si="574"/>
        <v>0</v>
      </c>
      <c r="M1883" s="257">
        <f>ROUND('Plant input detail '!M1885*'WPB2.2 Plant detail-w slippage'!$P$2,0)</f>
        <v>0</v>
      </c>
      <c r="N1883" s="2227">
        <f t="shared" si="575"/>
        <v>-77.66</v>
      </c>
    </row>
    <row r="1884" spans="1:14" x14ac:dyDescent="0.2">
      <c r="A1884" s="31">
        <f t="shared" si="576"/>
        <v>19</v>
      </c>
      <c r="B1884" s="253">
        <v>375.4</v>
      </c>
      <c r="C1884" s="52" t="s">
        <v>1041</v>
      </c>
      <c r="D1884" s="257">
        <f t="shared" si="572"/>
        <v>2209130.02</v>
      </c>
      <c r="E1884" s="382">
        <f>ROUND('Plant input detail '!E1886*'WPB2.2 Plant detail-w slippage'!$P$2,0)</f>
        <v>36500</v>
      </c>
      <c r="F1884" s="257">
        <f>ROUND('Plant input detail '!F1886*'WPB2.2 Plant detail-w slippage'!$P$2,0)</f>
        <v>-4400</v>
      </c>
      <c r="G1884" s="257">
        <f t="shared" si="577"/>
        <v>2241230.02</v>
      </c>
      <c r="H1884" s="38"/>
      <c r="I1884" s="257">
        <f t="shared" si="573"/>
        <v>507314.37</v>
      </c>
      <c r="J1884" s="1362">
        <f t="shared" si="578"/>
        <v>3.1800000000000002E-2</v>
      </c>
      <c r="K1884" s="173">
        <f t="shared" si="579"/>
        <v>5897</v>
      </c>
      <c r="L1884" s="38">
        <f t="shared" si="574"/>
        <v>4400</v>
      </c>
      <c r="M1884" s="257">
        <f>ROUND('Plant input detail '!M1886*'WPB2.2 Plant detail-w slippage'!$P$2,0)</f>
        <v>-400</v>
      </c>
      <c r="N1884" s="2227">
        <f t="shared" si="575"/>
        <v>508411.37</v>
      </c>
    </row>
    <row r="1885" spans="1:14" x14ac:dyDescent="0.2">
      <c r="A1885" s="31">
        <f t="shared" si="576"/>
        <v>20</v>
      </c>
      <c r="B1885" s="253">
        <v>375.6</v>
      </c>
      <c r="C1885" s="52" t="s">
        <v>1042</v>
      </c>
      <c r="D1885" s="257">
        <f t="shared" si="572"/>
        <v>0</v>
      </c>
      <c r="E1885" s="382">
        <f>ROUND('Plant input detail '!E1887*'WPB2.2 Plant detail-w slippage'!$P$2,0)</f>
        <v>0</v>
      </c>
      <c r="F1885" s="257">
        <f>ROUND('Plant input detail '!F1887*'WPB2.2 Plant detail-w slippage'!$P$2,0)</f>
        <v>0</v>
      </c>
      <c r="G1885" s="257">
        <f t="shared" si="577"/>
        <v>0</v>
      </c>
      <c r="H1885" s="38"/>
      <c r="I1885" s="257">
        <f t="shared" si="573"/>
        <v>0.02</v>
      </c>
      <c r="J1885" s="1362">
        <f t="shared" si="578"/>
        <v>3.1800000000000002E-2</v>
      </c>
      <c r="K1885" s="173">
        <f t="shared" si="579"/>
        <v>0</v>
      </c>
      <c r="L1885" s="38">
        <f t="shared" si="574"/>
        <v>0</v>
      </c>
      <c r="M1885" s="257">
        <f>ROUND('Plant input detail '!M1887*'WPB2.2 Plant detail-w slippage'!$P$2,0)</f>
        <v>0</v>
      </c>
      <c r="N1885" s="2227">
        <f t="shared" si="575"/>
        <v>0.02</v>
      </c>
    </row>
    <row r="1886" spans="1:14" x14ac:dyDescent="0.2">
      <c r="A1886" s="31">
        <f t="shared" si="576"/>
        <v>21</v>
      </c>
      <c r="B1886" s="253">
        <v>375.7</v>
      </c>
      <c r="C1886" s="52" t="s">
        <v>1043</v>
      </c>
      <c r="D1886" s="257">
        <f t="shared" si="572"/>
        <v>8553050.2100000009</v>
      </c>
      <c r="E1886" s="382">
        <f>ROUND('Plant input detail '!E1888*'WPB2.2 Plant detail-w slippage'!$P$2,0)</f>
        <v>48300</v>
      </c>
      <c r="F1886" s="257">
        <f>ROUND('Plant input detail '!F1888*'WPB2.2 Plant detail-w slippage'!$P$2,0)</f>
        <v>-5800</v>
      </c>
      <c r="G1886" s="257">
        <f t="shared" si="577"/>
        <v>8595550.2100000009</v>
      </c>
      <c r="H1886" s="38"/>
      <c r="I1886" s="257">
        <f t="shared" si="573"/>
        <v>3380022.06</v>
      </c>
      <c r="J1886" s="1362">
        <f t="shared" si="578"/>
        <v>2.1299999999999999E-2</v>
      </c>
      <c r="K1886" s="173">
        <f t="shared" si="579"/>
        <v>15219</v>
      </c>
      <c r="L1886" s="38">
        <f t="shared" si="574"/>
        <v>5800</v>
      </c>
      <c r="M1886" s="257">
        <f>ROUND('Plant input detail '!M1888*'WPB2.2 Plant detail-w slippage'!$P$2,0)</f>
        <v>0</v>
      </c>
      <c r="N1886" s="2227">
        <f t="shared" si="575"/>
        <v>3389441.06</v>
      </c>
    </row>
    <row r="1887" spans="1:14" x14ac:dyDescent="0.2">
      <c r="A1887" s="31">
        <f t="shared" si="576"/>
        <v>22</v>
      </c>
      <c r="B1887" s="253">
        <v>375.71</v>
      </c>
      <c r="C1887" s="52" t="s">
        <v>1044</v>
      </c>
      <c r="D1887" s="257">
        <f t="shared" si="572"/>
        <v>259808.94</v>
      </c>
      <c r="E1887" s="382">
        <f>ROUND('Plant input detail '!E1889*'WPB2.2 Plant detail-w slippage'!$P$2,0)</f>
        <v>0</v>
      </c>
      <c r="F1887" s="257">
        <f>ROUND('Plant input detail '!F1889*'WPB2.2 Plant detail-w slippage'!$P$2,0)</f>
        <v>0</v>
      </c>
      <c r="G1887" s="257">
        <f t="shared" si="577"/>
        <v>259808.94</v>
      </c>
      <c r="H1887" s="38"/>
      <c r="I1887" s="257">
        <f t="shared" si="573"/>
        <v>201973.90105263179</v>
      </c>
      <c r="J1887" s="296" t="s">
        <v>1094</v>
      </c>
      <c r="K1887" s="258">
        <f>104653.88/38</f>
        <v>2754.0494736842106</v>
      </c>
      <c r="L1887" s="38">
        <f t="shared" si="574"/>
        <v>0</v>
      </c>
      <c r="M1887" s="257">
        <f>ROUND('Plant input detail '!M1889*'WPB2.2 Plant detail-w slippage'!$P$2,0)</f>
        <v>0</v>
      </c>
      <c r="N1887" s="2227">
        <f t="shared" si="575"/>
        <v>204727.95052631601</v>
      </c>
    </row>
    <row r="1888" spans="1:14" x14ac:dyDescent="0.2">
      <c r="A1888" s="31">
        <f t="shared" si="576"/>
        <v>23</v>
      </c>
      <c r="B1888" s="253">
        <v>375.8</v>
      </c>
      <c r="C1888" s="52" t="s">
        <v>1045</v>
      </c>
      <c r="D1888" s="257">
        <f t="shared" si="572"/>
        <v>0</v>
      </c>
      <c r="E1888" s="382">
        <f>ROUND('Plant input detail '!E1890*'WPB2.2 Plant detail-w slippage'!$P$2,0)</f>
        <v>0</v>
      </c>
      <c r="F1888" s="257">
        <f>ROUND('Plant input detail '!F1890*'WPB2.2 Plant detail-w slippage'!$P$2,0)</f>
        <v>0</v>
      </c>
      <c r="G1888" s="257">
        <f t="shared" si="577"/>
        <v>0</v>
      </c>
      <c r="H1888" s="38"/>
      <c r="I1888" s="257">
        <f t="shared" si="573"/>
        <v>0</v>
      </c>
      <c r="J1888" s="1362">
        <f>J1782</f>
        <v>0</v>
      </c>
      <c r="K1888" s="259">
        <v>0</v>
      </c>
      <c r="L1888" s="38">
        <f t="shared" si="574"/>
        <v>0</v>
      </c>
      <c r="M1888" s="257">
        <f>ROUND('Plant input detail '!M1890*'WPB2.2 Plant detail-w slippage'!$P$2,0)</f>
        <v>0</v>
      </c>
      <c r="N1888" s="2227">
        <f t="shared" si="575"/>
        <v>0</v>
      </c>
    </row>
    <row r="1889" spans="1:14" x14ac:dyDescent="0.2">
      <c r="A1889" s="31">
        <f>A1888+1</f>
        <v>24</v>
      </c>
      <c r="B1889" s="253">
        <v>376</v>
      </c>
      <c r="C1889" s="251" t="s">
        <v>1096</v>
      </c>
      <c r="D1889" s="257"/>
      <c r="E1889" s="258"/>
      <c r="F1889" s="259"/>
      <c r="G1889" s="257"/>
      <c r="H1889" s="38"/>
      <c r="I1889" s="181"/>
      <c r="J1889" s="1361"/>
      <c r="K1889" s="173"/>
      <c r="L1889" s="38"/>
      <c r="M1889" s="259"/>
    </row>
    <row r="1890" spans="1:14" x14ac:dyDescent="0.2">
      <c r="A1890" s="31"/>
      <c r="B1890" s="253"/>
      <c r="C1890" s="286" t="s">
        <v>1097</v>
      </c>
      <c r="D1890" s="257"/>
      <c r="E1890" s="258"/>
      <c r="F1890" s="259"/>
      <c r="G1890" s="257"/>
      <c r="H1890" s="38"/>
      <c r="I1890" s="257"/>
      <c r="J1890" s="1362"/>
      <c r="K1890" s="173"/>
      <c r="L1890" s="38"/>
      <c r="M1890" s="257"/>
      <c r="N1890" s="2227"/>
    </row>
    <row r="1891" spans="1:14" x14ac:dyDescent="0.2">
      <c r="A1891" s="31"/>
      <c r="B1891" s="253"/>
      <c r="C1891" s="286" t="s">
        <v>1098</v>
      </c>
      <c r="D1891" s="257"/>
      <c r="E1891" s="258"/>
      <c r="F1891" s="259"/>
      <c r="G1891" s="257"/>
      <c r="H1891" s="38"/>
      <c r="I1891" s="257"/>
      <c r="J1891" s="1362"/>
      <c r="K1891" s="173"/>
      <c r="L1891" s="38"/>
      <c r="M1891" s="257"/>
      <c r="N1891" s="2227"/>
    </row>
    <row r="1892" spans="1:14" x14ac:dyDescent="0.2">
      <c r="A1892" s="31"/>
      <c r="B1892" s="253"/>
      <c r="C1892" s="286" t="s">
        <v>1099</v>
      </c>
      <c r="D1892" s="257"/>
      <c r="E1892" s="258"/>
      <c r="F1892" s="259"/>
      <c r="G1892" s="257"/>
      <c r="H1892" s="38"/>
      <c r="I1892" s="257"/>
      <c r="J1892" s="1362"/>
      <c r="K1892" s="173"/>
      <c r="L1892" s="38"/>
      <c r="M1892" s="257"/>
      <c r="N1892" s="2227"/>
    </row>
    <row r="1893" spans="1:14" x14ac:dyDescent="0.2">
      <c r="A1893" s="31"/>
      <c r="B1893" s="253"/>
      <c r="C1893" s="286" t="s">
        <v>1100</v>
      </c>
      <c r="D1893" s="257"/>
      <c r="E1893" s="258"/>
      <c r="F1893" s="259"/>
      <c r="G1893" s="257"/>
      <c r="H1893" s="38"/>
      <c r="I1893" s="257"/>
      <c r="J1893" s="1362"/>
      <c r="K1893" s="173"/>
      <c r="L1893" s="38"/>
      <c r="M1893" s="257"/>
      <c r="N1893" s="2227"/>
    </row>
    <row r="1894" spans="1:14" x14ac:dyDescent="0.2">
      <c r="A1894" s="31"/>
      <c r="B1894" s="253"/>
      <c r="C1894" s="286" t="s">
        <v>1101</v>
      </c>
      <c r="D1894" s="257">
        <f t="shared" ref="D1894:D1899" si="580">G1788</f>
        <v>219871345.44</v>
      </c>
      <c r="E1894" s="382">
        <f>ROUND('Plant input detail '!E1896*'WPB2.2 Plant detail-w slippage'!$P$2,0)</f>
        <v>2449220</v>
      </c>
      <c r="F1894" s="257">
        <f>ROUND('Plant input detail '!F1896*'WPB2.2 Plant detail-w slippage'!$P$2,0)</f>
        <v>-293900</v>
      </c>
      <c r="G1894" s="257">
        <f t="shared" ref="G1894:G1899" si="581">SUM(D1894:F1894)</f>
        <v>222026665.44</v>
      </c>
      <c r="H1894" s="38"/>
      <c r="I1894" s="257">
        <f t="shared" ref="I1894:I1899" si="582">N1788</f>
        <v>59332492.609999999</v>
      </c>
      <c r="J1894" s="1362">
        <f t="shared" ref="J1894:J1899" si="583">J1788</f>
        <v>2.3E-2</v>
      </c>
      <c r="K1894" s="173">
        <f t="shared" ref="K1894:K1899" si="584">ROUND((G1894+D1894)/2*J1894/12,0)</f>
        <v>423486</v>
      </c>
      <c r="L1894" s="38">
        <f t="shared" ref="L1894:L1899" si="585">-F1894</f>
        <v>293900</v>
      </c>
      <c r="M1894" s="257">
        <f>ROUND('Plant input detail '!M1896*'WPB2.2 Plant detail-w slippage'!$P$2,0)</f>
        <v>-44100</v>
      </c>
      <c r="N1894" s="2227">
        <f t="shared" ref="N1894:N1899" si="586">I1894+K1894-L1894+M1894</f>
        <v>59417978.609999999</v>
      </c>
    </row>
    <row r="1895" spans="1:14" x14ac:dyDescent="0.2">
      <c r="A1895" s="31">
        <f>A1889+1</f>
        <v>25</v>
      </c>
      <c r="B1895" s="253">
        <v>378.1</v>
      </c>
      <c r="C1895" s="52" t="s">
        <v>1047</v>
      </c>
      <c r="D1895" s="257">
        <f t="shared" si="580"/>
        <v>518504.18</v>
      </c>
      <c r="E1895" s="382">
        <f>ROUND('Plant input detail '!E1897*'WPB2.2 Plant detail-w slippage'!$P$2,0)</f>
        <v>0</v>
      </c>
      <c r="F1895" s="257">
        <f>ROUND('Plant input detail '!F1897*'WPB2.2 Plant detail-w slippage'!$P$2,0)</f>
        <v>0</v>
      </c>
      <c r="G1895" s="257">
        <f t="shared" si="581"/>
        <v>518504.18</v>
      </c>
      <c r="H1895" s="38"/>
      <c r="I1895" s="257">
        <f t="shared" si="582"/>
        <v>373506.81</v>
      </c>
      <c r="J1895" s="1362">
        <f t="shared" si="583"/>
        <v>3.32E-2</v>
      </c>
      <c r="K1895" s="173">
        <f t="shared" si="584"/>
        <v>1435</v>
      </c>
      <c r="L1895" s="38">
        <f t="shared" si="585"/>
        <v>0</v>
      </c>
      <c r="M1895" s="257">
        <f>ROUND('Plant input detail '!M1897*'WPB2.2 Plant detail-w slippage'!$P$2,0)</f>
        <v>0</v>
      </c>
      <c r="N1895" s="2227">
        <f t="shared" si="586"/>
        <v>374941.81</v>
      </c>
    </row>
    <row r="1896" spans="1:14" x14ac:dyDescent="0.2">
      <c r="A1896" s="31">
        <f t="shared" si="576"/>
        <v>26</v>
      </c>
      <c r="B1896" s="253">
        <v>378.2</v>
      </c>
      <c r="C1896" s="52" t="s">
        <v>1048</v>
      </c>
      <c r="D1896" s="257">
        <f t="shared" si="580"/>
        <v>9924824</v>
      </c>
      <c r="E1896" s="382">
        <f>ROUND('Plant input detail '!E1898*'WPB2.2 Plant detail-w slippage'!$P$2,0)</f>
        <v>60400</v>
      </c>
      <c r="F1896" s="257">
        <f>ROUND('Plant input detail '!F1898*'WPB2.2 Plant detail-w slippage'!$P$2,0)</f>
        <v>-7200</v>
      </c>
      <c r="G1896" s="257">
        <f t="shared" si="581"/>
        <v>9978024</v>
      </c>
      <c r="H1896" s="38"/>
      <c r="I1896" s="257">
        <f t="shared" si="582"/>
        <v>3538799.91</v>
      </c>
      <c r="J1896" s="1362">
        <f t="shared" si="583"/>
        <v>3.32E-2</v>
      </c>
      <c r="K1896" s="173">
        <f t="shared" si="584"/>
        <v>27532</v>
      </c>
      <c r="L1896" s="38">
        <f t="shared" si="585"/>
        <v>7200</v>
      </c>
      <c r="M1896" s="257">
        <f>ROUND('Plant input detail '!M1898*'WPB2.2 Plant detail-w slippage'!$P$2,0)</f>
        <v>-400</v>
      </c>
      <c r="N1896" s="2227">
        <f t="shared" si="586"/>
        <v>3558731.91</v>
      </c>
    </row>
    <row r="1897" spans="1:14" x14ac:dyDescent="0.2">
      <c r="A1897" s="31">
        <f t="shared" si="576"/>
        <v>27</v>
      </c>
      <c r="B1897" s="253">
        <v>378.3</v>
      </c>
      <c r="C1897" s="52" t="s">
        <v>1049</v>
      </c>
      <c r="D1897" s="257">
        <f t="shared" si="580"/>
        <v>45443.08</v>
      </c>
      <c r="E1897" s="382">
        <f>ROUND('Plant input detail '!E1899*'WPB2.2 Plant detail-w slippage'!$P$2,0)</f>
        <v>0</v>
      </c>
      <c r="F1897" s="257">
        <f>ROUND('Plant input detail '!F1899*'WPB2.2 Plant detail-w slippage'!$P$2,0)</f>
        <v>0</v>
      </c>
      <c r="G1897" s="257">
        <f t="shared" si="581"/>
        <v>45443.08</v>
      </c>
      <c r="H1897" s="38"/>
      <c r="I1897" s="257">
        <f t="shared" si="582"/>
        <v>36760.04</v>
      </c>
      <c r="J1897" s="1362">
        <f t="shared" si="583"/>
        <v>3.32E-2</v>
      </c>
      <c r="K1897" s="173">
        <f t="shared" si="584"/>
        <v>126</v>
      </c>
      <c r="L1897" s="38">
        <f t="shared" si="585"/>
        <v>0</v>
      </c>
      <c r="M1897" s="257">
        <f>ROUND('Plant input detail '!M1899*'WPB2.2 Plant detail-w slippage'!$P$2,0)</f>
        <v>0</v>
      </c>
      <c r="N1897" s="2227">
        <f t="shared" si="586"/>
        <v>36886.04</v>
      </c>
    </row>
    <row r="1898" spans="1:14" x14ac:dyDescent="0.2">
      <c r="A1898" s="31">
        <f t="shared" si="576"/>
        <v>28</v>
      </c>
      <c r="B1898" s="253">
        <v>379.1</v>
      </c>
      <c r="C1898" s="52" t="s">
        <v>1050</v>
      </c>
      <c r="D1898" s="257">
        <f t="shared" si="580"/>
        <v>254900.59</v>
      </c>
      <c r="E1898" s="382">
        <f>ROUND('Plant input detail '!E1900*'WPB2.2 Plant detail-w slippage'!$P$2,0)</f>
        <v>0</v>
      </c>
      <c r="F1898" s="257">
        <f>ROUND('Plant input detail '!F1900*'WPB2.2 Plant detail-w slippage'!$P$2,0)</f>
        <v>0</v>
      </c>
      <c r="G1898" s="257">
        <f t="shared" si="581"/>
        <v>254900.59</v>
      </c>
      <c r="H1898" s="38"/>
      <c r="I1898" s="257">
        <f t="shared" si="582"/>
        <v>267730.57</v>
      </c>
      <c r="J1898" s="1362">
        <f t="shared" si="583"/>
        <v>6.0000000000000001E-3</v>
      </c>
      <c r="K1898" s="259">
        <v>0</v>
      </c>
      <c r="L1898" s="38">
        <f t="shared" si="585"/>
        <v>0</v>
      </c>
      <c r="M1898" s="257">
        <f>ROUND('Plant input detail '!M1900*'WPB2.2 Plant detail-w slippage'!$P$2,0)</f>
        <v>0</v>
      </c>
      <c r="N1898" s="2227">
        <f t="shared" si="586"/>
        <v>267730.57</v>
      </c>
    </row>
    <row r="1899" spans="1:14" x14ac:dyDescent="0.2">
      <c r="A1899" s="31">
        <f t="shared" si="576"/>
        <v>29</v>
      </c>
      <c r="B1899" s="253">
        <v>380</v>
      </c>
      <c r="C1899" s="52" t="s">
        <v>1051</v>
      </c>
      <c r="D1899" s="257">
        <f t="shared" si="580"/>
        <v>126902854.77</v>
      </c>
      <c r="E1899" s="382">
        <f>ROUND('Plant input detail '!E1901*'WPB2.2 Plant detail-w slippage'!$P$2,0)</f>
        <v>1460846</v>
      </c>
      <c r="F1899" s="257">
        <f>ROUND('Plant input detail '!F1901*'WPB2.2 Plant detail-w slippage'!$P$2,0)</f>
        <v>-175300</v>
      </c>
      <c r="G1899" s="257">
        <f t="shared" si="581"/>
        <v>128188400.77</v>
      </c>
      <c r="H1899" s="38"/>
      <c r="I1899" s="257">
        <f t="shared" si="582"/>
        <v>61709894.520000003</v>
      </c>
      <c r="J1899" s="1362">
        <f t="shared" si="583"/>
        <v>5.0999999999999997E-2</v>
      </c>
      <c r="K1899" s="173">
        <f t="shared" si="584"/>
        <v>542069</v>
      </c>
      <c r="L1899" s="38">
        <f t="shared" si="585"/>
        <v>175300</v>
      </c>
      <c r="M1899" s="257">
        <f>ROUND('Plant input detail '!M1901*'WPB2.2 Plant detail-w slippage'!$P$2,0)</f>
        <v>-87700</v>
      </c>
      <c r="N1899" s="2227">
        <f t="shared" si="586"/>
        <v>61988963.520000003</v>
      </c>
    </row>
    <row r="1900" spans="1:14" x14ac:dyDescent="0.2">
      <c r="A1900" s="170"/>
      <c r="B1900" s="179"/>
      <c r="C1900" s="178"/>
      <c r="D1900" s="181"/>
      <c r="E1900" s="173"/>
      <c r="F1900" s="173"/>
      <c r="G1900" s="181"/>
      <c r="H1900" s="173"/>
      <c r="I1900" s="173"/>
      <c r="J1900" s="173"/>
      <c r="K1900" s="173"/>
      <c r="L1900" s="173"/>
      <c r="M1900" s="171"/>
      <c r="N1900" s="2229"/>
    </row>
    <row r="1901" spans="1:14" x14ac:dyDescent="0.2">
      <c r="A1901" s="2079" t="str">
        <f>co</f>
        <v>COLUMBIA GAS OF KENTUCKY, INC.</v>
      </c>
      <c r="B1901" s="2079"/>
      <c r="C1901" s="2079"/>
      <c r="D1901" s="2079"/>
      <c r="E1901" s="2079"/>
      <c r="F1901" s="2079"/>
      <c r="G1901" s="2079"/>
      <c r="H1901" s="2079"/>
      <c r="I1901" s="2079"/>
      <c r="J1901" s="2079"/>
      <c r="K1901" s="2079"/>
      <c r="L1901" s="2079"/>
      <c r="M1901" s="2079"/>
      <c r="N1901" s="2079"/>
    </row>
    <row r="1902" spans="1:14" x14ac:dyDescent="0.2">
      <c r="A1902" s="2079" t="str">
        <f>case</f>
        <v>CASE NO. 2016 - 00162</v>
      </c>
      <c r="B1902" s="2079"/>
      <c r="C1902" s="2079"/>
      <c r="D1902" s="2079"/>
      <c r="E1902" s="2079"/>
      <c r="F1902" s="2079"/>
      <c r="G1902" s="2079"/>
      <c r="H1902" s="2079"/>
      <c r="I1902" s="2079"/>
      <c r="J1902" s="2079"/>
      <c r="K1902" s="2079"/>
      <c r="L1902" s="2079"/>
      <c r="M1902" s="2079"/>
      <c r="N1902" s="2079"/>
    </row>
    <row r="1903" spans="1:14" x14ac:dyDescent="0.2">
      <c r="A1903" s="2080" t="s">
        <v>1106</v>
      </c>
      <c r="B1903" s="2079"/>
      <c r="C1903" s="2079"/>
      <c r="D1903" s="2079"/>
      <c r="E1903" s="2079"/>
      <c r="F1903" s="2079"/>
      <c r="G1903" s="2079"/>
      <c r="H1903" s="2079"/>
      <c r="I1903" s="2079"/>
      <c r="J1903" s="2079"/>
      <c r="K1903" s="2079"/>
      <c r="L1903" s="2079"/>
      <c r="M1903" s="2079"/>
      <c r="N1903" s="2079"/>
    </row>
    <row r="1904" spans="1:14" x14ac:dyDescent="0.2">
      <c r="A1904" s="2081" t="s">
        <v>2142</v>
      </c>
      <c r="B1904" s="2085"/>
      <c r="C1904" s="2085"/>
      <c r="D1904" s="2085"/>
      <c r="E1904" s="2085"/>
      <c r="F1904" s="2085"/>
      <c r="G1904" s="2085"/>
      <c r="H1904" s="2085"/>
      <c r="I1904" s="2085"/>
      <c r="J1904" s="2085"/>
      <c r="K1904" s="2085"/>
      <c r="L1904" s="2085"/>
      <c r="M1904" s="2085"/>
      <c r="N1904" s="2085"/>
    </row>
    <row r="1906" spans="1:14" x14ac:dyDescent="0.2">
      <c r="A1906" s="285" t="str">
        <f>$A$6</f>
        <v>DATA:__X___BASE PERIOD__X___FORECASTED PERIOD</v>
      </c>
      <c r="C1906" s="171"/>
      <c r="M1906" s="32"/>
      <c r="N1906" s="1258" t="str">
        <f>$N$6</f>
        <v>WPB-2.2</v>
      </c>
    </row>
    <row r="1907" spans="1:14" x14ac:dyDescent="0.2">
      <c r="A1907" s="4" t="str">
        <f>$A$7</f>
        <v>TYPE OF FILING:___X____ORIGINAL________UPDATED</v>
      </c>
      <c r="M1907" s="32"/>
      <c r="N1907" s="2223" t="s">
        <v>1749</v>
      </c>
    </row>
    <row r="1908" spans="1:14" x14ac:dyDescent="0.2">
      <c r="A1908" s="1261" t="str">
        <f>$A$8</f>
        <v xml:space="preserve">WORKPAPER REFERENCE NO(S).: </v>
      </c>
      <c r="B1908" s="202"/>
      <c r="C1908" s="202"/>
      <c r="D1908" s="201"/>
      <c r="E1908" s="202"/>
      <c r="F1908" s="202"/>
      <c r="G1908" s="201"/>
      <c r="H1908" s="201"/>
      <c r="M1908" s="203"/>
      <c r="N1908" s="204" t="str">
        <f>SMK</f>
        <v>WITNESS:  S. M. KATKO</v>
      </c>
    </row>
    <row r="1909" spans="1:14" x14ac:dyDescent="0.2">
      <c r="A1909" s="200"/>
      <c r="B1909" s="201"/>
      <c r="C1909" s="201"/>
      <c r="D1909" s="201"/>
      <c r="E1909" s="202"/>
      <c r="F1909" s="202"/>
      <c r="G1909" s="201"/>
      <c r="H1909" s="201"/>
      <c r="I1909" s="203"/>
      <c r="J1909" s="1357"/>
      <c r="L1909" s="32"/>
      <c r="M1909" s="32"/>
    </row>
    <row r="1910" spans="1:14" x14ac:dyDescent="0.2">
      <c r="A1910" s="200"/>
      <c r="B1910" s="201"/>
      <c r="C1910" s="201"/>
      <c r="D1910" s="2082" t="s">
        <v>1088</v>
      </c>
      <c r="E1910" s="2082"/>
      <c r="F1910" s="2082"/>
      <c r="G1910" s="2082"/>
      <c r="H1910" s="201"/>
      <c r="I1910" s="2083" t="s">
        <v>1093</v>
      </c>
      <c r="J1910" s="2084"/>
      <c r="K1910" s="2084"/>
      <c r="L1910" s="2084"/>
      <c r="M1910" s="2084"/>
      <c r="N1910" s="2084"/>
    </row>
    <row r="1911" spans="1:14" x14ac:dyDescent="0.2">
      <c r="A1911" s="270"/>
      <c r="B1911" s="201"/>
      <c r="C1911" s="201"/>
      <c r="D1911" s="271" t="s">
        <v>1084</v>
      </c>
      <c r="E1911" s="202"/>
      <c r="F1911" s="202"/>
      <c r="G1911" s="269"/>
      <c r="H1911" s="269"/>
      <c r="I1911" s="261" t="s">
        <v>1089</v>
      </c>
      <c r="J1911" s="1358"/>
      <c r="M1911" s="32"/>
    </row>
    <row r="1912" spans="1:14" x14ac:dyDescent="0.2">
      <c r="A1912" s="30"/>
      <c r="D1912" s="261" t="s">
        <v>865</v>
      </c>
      <c r="G1912" s="261" t="s">
        <v>867</v>
      </c>
      <c r="H1912" s="268"/>
      <c r="I1912" s="261" t="s">
        <v>865</v>
      </c>
      <c r="J1912" s="1308" t="s">
        <v>956</v>
      </c>
      <c r="M1912" s="32"/>
      <c r="N1912" s="2225" t="s">
        <v>867</v>
      </c>
    </row>
    <row r="1913" spans="1:14" x14ac:dyDescent="0.2">
      <c r="A1913" s="261" t="s">
        <v>1080</v>
      </c>
      <c r="B1913" s="261" t="s">
        <v>1082</v>
      </c>
      <c r="D1913" s="261" t="s">
        <v>867</v>
      </c>
      <c r="G1913" s="262" t="s">
        <v>1087</v>
      </c>
      <c r="H1913" s="268"/>
      <c r="I1913" s="262" t="s">
        <v>867</v>
      </c>
      <c r="J1913" s="1308" t="s">
        <v>1090</v>
      </c>
      <c r="K1913" s="1308" t="s">
        <v>956</v>
      </c>
      <c r="M1913" s="262" t="s">
        <v>1092</v>
      </c>
      <c r="N1913" s="1259" t="s">
        <v>1087</v>
      </c>
    </row>
    <row r="1914" spans="1:14" x14ac:dyDescent="0.2">
      <c r="A1914" s="272" t="s">
        <v>1081</v>
      </c>
      <c r="B1914" s="272" t="s">
        <v>1081</v>
      </c>
      <c r="C1914" s="273" t="s">
        <v>1083</v>
      </c>
      <c r="D1914" s="274" t="str">
        <f>D1861</f>
        <v>07/31/2017</v>
      </c>
      <c r="E1914" s="275" t="s">
        <v>1085</v>
      </c>
      <c r="F1914" s="275" t="s">
        <v>1086</v>
      </c>
      <c r="G1914" s="274" t="str">
        <f>G1861</f>
        <v>08/31/2017</v>
      </c>
      <c r="H1914" s="268"/>
      <c r="I1914" s="274" t="str">
        <f>D1914</f>
        <v>07/31/2017</v>
      </c>
      <c r="J1914" s="275" t="s">
        <v>1091</v>
      </c>
      <c r="K1914" s="1327" t="s">
        <v>1090</v>
      </c>
      <c r="L1914" s="276" t="s">
        <v>1086</v>
      </c>
      <c r="M1914" s="276" t="s">
        <v>955</v>
      </c>
      <c r="N1914" s="2226" t="str">
        <f>G1914</f>
        <v>08/31/2017</v>
      </c>
    </row>
    <row r="1915" spans="1:14" x14ac:dyDescent="0.2">
      <c r="A1915" s="267"/>
      <c r="B1915" s="267"/>
      <c r="C1915" s="267"/>
      <c r="D1915" s="267" t="str">
        <f>"(1)"</f>
        <v>(1)</v>
      </c>
      <c r="E1915" s="267" t="str">
        <f>"(2)"</f>
        <v>(2)</v>
      </c>
      <c r="F1915" s="267" t="str">
        <f>"(3)"</f>
        <v>(3)</v>
      </c>
      <c r="G1915" s="267" t="str">
        <f>"(4)=(1+2+3)"</f>
        <v>(4)=(1+2+3)</v>
      </c>
      <c r="H1915" s="267"/>
      <c r="I1915" s="267" t="str">
        <f>"(5)"</f>
        <v>(5)</v>
      </c>
      <c r="J1915" s="1328" t="str">
        <f>"(6)"</f>
        <v>(6)</v>
      </c>
      <c r="K1915" s="1328" t="str">
        <f>"(7)=((1+4)/2*6/12))"</f>
        <v>(7)=((1+4)/2*6/12))</v>
      </c>
      <c r="L1915" s="267" t="str">
        <f>"(8)"</f>
        <v>(8)</v>
      </c>
      <c r="M1915" s="267" t="str">
        <f>"(9)"</f>
        <v>(9)</v>
      </c>
      <c r="N1915" s="204" t="str">
        <f>"(10)=(5+7-8+9)"</f>
        <v>(10)=(5+7-8+9)</v>
      </c>
    </row>
    <row r="1916" spans="1:14" x14ac:dyDescent="0.2">
      <c r="D1916" s="31" t="s">
        <v>639</v>
      </c>
      <c r="E1916" s="170" t="s">
        <v>639</v>
      </c>
      <c r="F1916" s="170" t="s">
        <v>639</v>
      </c>
      <c r="G1916" s="31" t="s">
        <v>639</v>
      </c>
      <c r="H1916" s="31"/>
      <c r="I1916" s="31" t="s">
        <v>639</v>
      </c>
      <c r="J1916" s="170" t="s">
        <v>639</v>
      </c>
      <c r="K1916" s="170" t="s">
        <v>639</v>
      </c>
      <c r="L1916" s="31" t="s">
        <v>639</v>
      </c>
      <c r="M1916" s="31" t="s">
        <v>639</v>
      </c>
      <c r="N1916" s="155" t="s">
        <v>639</v>
      </c>
    </row>
    <row r="1917" spans="1:14" x14ac:dyDescent="0.2">
      <c r="C1917" s="36" t="s">
        <v>707</v>
      </c>
      <c r="D1917" s="31"/>
      <c r="E1917" s="170"/>
      <c r="F1917" s="170"/>
      <c r="G1917" s="31"/>
      <c r="J1917" s="170"/>
    </row>
    <row r="1918" spans="1:14" x14ac:dyDescent="0.2">
      <c r="A1918" s="127">
        <v>1</v>
      </c>
      <c r="B1918" s="123">
        <v>381</v>
      </c>
      <c r="C1918" s="52" t="s">
        <v>1052</v>
      </c>
      <c r="D1918" s="257">
        <f t="shared" ref="D1918:D1929" si="587">G1812</f>
        <v>13919708.550000001</v>
      </c>
      <c r="E1918" s="382">
        <f>ROUND('Plant input detail '!E1920*'WPB2.2 Plant detail-w slippage'!$P$2,0)</f>
        <v>88400</v>
      </c>
      <c r="F1918" s="257">
        <f>ROUND('Plant input detail '!F1920*'WPB2.2 Plant detail-w slippage'!$P$2,0)</f>
        <v>-10600</v>
      </c>
      <c r="G1918" s="257">
        <f>SUM(D1918:F1918)</f>
        <v>13997508.550000001</v>
      </c>
      <c r="H1918" s="38"/>
      <c r="I1918" s="257">
        <f t="shared" ref="I1918:I1929" si="588">N1812</f>
        <v>5168828.8899999997</v>
      </c>
      <c r="J1918" s="1362">
        <f t="shared" ref="J1918:J1929" si="589">J1812</f>
        <v>3.3000000000000002E-2</v>
      </c>
      <c r="K1918" s="173">
        <f t="shared" ref="K1918:K1929" si="590">ROUND((G1918+D1918)/2*J1918/12,0)</f>
        <v>38386</v>
      </c>
      <c r="L1918" s="38">
        <f t="shared" ref="L1918:L1929" si="591">-F1918</f>
        <v>10600</v>
      </c>
      <c r="M1918" s="257">
        <f>ROUND('Plant input detail '!M1920*'WPB2.2 Plant detail-w slippage'!$P$2,0)</f>
        <v>0</v>
      </c>
      <c r="N1918" s="2227">
        <f t="shared" ref="N1918:N1929" si="592">I1918+K1918-L1918+M1918</f>
        <v>5196614.8899999997</v>
      </c>
    </row>
    <row r="1919" spans="1:14" x14ac:dyDescent="0.2">
      <c r="A1919" s="127">
        <f>A1918+1</f>
        <v>2</v>
      </c>
      <c r="B1919" s="123">
        <v>381.1</v>
      </c>
      <c r="C1919" s="52" t="s">
        <v>1115</v>
      </c>
      <c r="D1919" s="257">
        <f t="shared" si="587"/>
        <v>8832112.0600000005</v>
      </c>
      <c r="E1919" s="382">
        <f>ROUND('Plant input detail '!E1921*'WPB2.2 Plant detail-w slippage'!$P$2,0)</f>
        <v>5300</v>
      </c>
      <c r="F1919" s="257">
        <f>ROUND('Plant input detail '!F1921*'WPB2.2 Plant detail-w slippage'!$P$2,0)</f>
        <v>-600</v>
      </c>
      <c r="G1919" s="257">
        <f>SUM(D1919:F1919)</f>
        <v>8836812.0600000005</v>
      </c>
      <c r="H1919" s="38"/>
      <c r="I1919" s="257">
        <f t="shared" si="588"/>
        <v>959459.5</v>
      </c>
      <c r="J1919" s="1362">
        <f t="shared" si="589"/>
        <v>8.0600000000000005E-2</v>
      </c>
      <c r="K1919" s="173">
        <f t="shared" si="590"/>
        <v>59338</v>
      </c>
      <c r="L1919" s="38">
        <f t="shared" si="591"/>
        <v>600</v>
      </c>
      <c r="M1919" s="257">
        <f>ROUND('Plant input detail '!M1921*'WPB2.2 Plant detail-w slippage'!$P$2,0)</f>
        <v>0</v>
      </c>
      <c r="N1919" s="2227">
        <f t="shared" si="592"/>
        <v>1018197.5</v>
      </c>
    </row>
    <row r="1920" spans="1:14" x14ac:dyDescent="0.2">
      <c r="A1920" s="127">
        <f t="shared" ref="A1920:A1930" si="593">A1919+1</f>
        <v>3</v>
      </c>
      <c r="B1920" s="123">
        <v>382</v>
      </c>
      <c r="C1920" s="52" t="s">
        <v>1053</v>
      </c>
      <c r="D1920" s="257">
        <f t="shared" si="587"/>
        <v>9452392.6500000004</v>
      </c>
      <c r="E1920" s="382">
        <f>ROUND('Plant input detail '!E1922*'WPB2.2 Plant detail-w slippage'!$P$2,0)</f>
        <v>44800</v>
      </c>
      <c r="F1920" s="257">
        <f>ROUND('Plant input detail '!F1922*'WPB2.2 Plant detail-w slippage'!$P$2,0)</f>
        <v>-5400</v>
      </c>
      <c r="G1920" s="257">
        <f t="shared" ref="G1920:G1925" si="594">SUM(D1920:F1920)</f>
        <v>9491792.6500000004</v>
      </c>
      <c r="H1920" s="38"/>
      <c r="I1920" s="257">
        <f t="shared" si="588"/>
        <v>4733762.3</v>
      </c>
      <c r="J1920" s="1362">
        <f t="shared" si="589"/>
        <v>2.4400000000000002E-2</v>
      </c>
      <c r="K1920" s="173">
        <f t="shared" si="590"/>
        <v>19260</v>
      </c>
      <c r="L1920" s="38">
        <f t="shared" si="591"/>
        <v>5400</v>
      </c>
      <c r="M1920" s="257">
        <f>ROUND('Plant input detail '!M1922*'WPB2.2 Plant detail-w slippage'!$P$2,0)</f>
        <v>-300</v>
      </c>
      <c r="N1920" s="2227">
        <f t="shared" si="592"/>
        <v>4747322.3</v>
      </c>
    </row>
    <row r="1921" spans="1:14" x14ac:dyDescent="0.2">
      <c r="A1921" s="127">
        <f t="shared" si="593"/>
        <v>4</v>
      </c>
      <c r="B1921" s="123">
        <v>383</v>
      </c>
      <c r="C1921" s="52" t="s">
        <v>1054</v>
      </c>
      <c r="D1921" s="257">
        <f t="shared" si="587"/>
        <v>5775320.7599999998</v>
      </c>
      <c r="E1921" s="382">
        <f>ROUND('Plant input detail '!E1923*'WPB2.2 Plant detail-w slippage'!$P$2,0)</f>
        <v>17300</v>
      </c>
      <c r="F1921" s="257">
        <f>ROUND('Plant input detail '!F1923*'WPB2.2 Plant detail-w slippage'!$P$2,0)</f>
        <v>-2100</v>
      </c>
      <c r="G1921" s="257">
        <f t="shared" si="594"/>
        <v>5790520.7599999998</v>
      </c>
      <c r="H1921" s="38"/>
      <c r="I1921" s="257">
        <f t="shared" si="588"/>
        <v>1580531.41</v>
      </c>
      <c r="J1921" s="1362">
        <f t="shared" si="589"/>
        <v>2.7300000000000001E-2</v>
      </c>
      <c r="K1921" s="173">
        <f t="shared" si="590"/>
        <v>13156</v>
      </c>
      <c r="L1921" s="38">
        <f t="shared" si="591"/>
        <v>2100</v>
      </c>
      <c r="M1921" s="257">
        <f>ROUND('Plant input detail '!M1923*'WPB2.2 Plant detail-w slippage'!$P$2,0)</f>
        <v>-100</v>
      </c>
      <c r="N1921" s="2227">
        <f t="shared" si="592"/>
        <v>1591487.41</v>
      </c>
    </row>
    <row r="1922" spans="1:14" x14ac:dyDescent="0.2">
      <c r="A1922" s="127">
        <f t="shared" si="593"/>
        <v>5</v>
      </c>
      <c r="B1922" s="123">
        <v>384</v>
      </c>
      <c r="C1922" s="52" t="s">
        <v>1055</v>
      </c>
      <c r="D1922" s="257">
        <f t="shared" si="587"/>
        <v>2257522</v>
      </c>
      <c r="E1922" s="382">
        <f>ROUND('Plant input detail '!E1924*'WPB2.2 Plant detail-w slippage'!$P$2,0)</f>
        <v>0</v>
      </c>
      <c r="F1922" s="257">
        <f>ROUND('Plant input detail '!F1924*'WPB2.2 Plant detail-w slippage'!$P$2,0)</f>
        <v>0</v>
      </c>
      <c r="G1922" s="257">
        <f t="shared" si="594"/>
        <v>2257522</v>
      </c>
      <c r="H1922" s="38"/>
      <c r="I1922" s="257">
        <f t="shared" si="588"/>
        <v>1782628.73</v>
      </c>
      <c r="J1922" s="1362">
        <f t="shared" si="589"/>
        <v>1.01E-2</v>
      </c>
      <c r="K1922" s="173">
        <f t="shared" si="590"/>
        <v>1900</v>
      </c>
      <c r="L1922" s="38">
        <f t="shared" si="591"/>
        <v>0</v>
      </c>
      <c r="M1922" s="257">
        <f>ROUND('Plant input detail '!M1924*'WPB2.2 Plant detail-w slippage'!$P$2,0)</f>
        <v>0</v>
      </c>
      <c r="N1922" s="2227">
        <f t="shared" si="592"/>
        <v>1784528.73</v>
      </c>
    </row>
    <row r="1923" spans="1:14" x14ac:dyDescent="0.2">
      <c r="A1923" s="127">
        <f t="shared" si="593"/>
        <v>6</v>
      </c>
      <c r="B1923" s="123">
        <v>385</v>
      </c>
      <c r="C1923" s="52" t="s">
        <v>1056</v>
      </c>
      <c r="D1923" s="257">
        <f t="shared" si="587"/>
        <v>3362883.36</v>
      </c>
      <c r="E1923" s="382">
        <f>ROUND('Plant input detail '!E1925*'WPB2.2 Plant detail-w slippage'!$P$2,0)</f>
        <v>36500</v>
      </c>
      <c r="F1923" s="257">
        <f>ROUND('Plant input detail '!F1925*'WPB2.2 Plant detail-w slippage'!$P$2,0)</f>
        <v>-4400</v>
      </c>
      <c r="G1923" s="257">
        <f t="shared" si="594"/>
        <v>3394983.36</v>
      </c>
      <c r="H1923" s="38"/>
      <c r="I1923" s="257">
        <f t="shared" si="588"/>
        <v>971918.55</v>
      </c>
      <c r="J1923" s="1362">
        <f t="shared" si="589"/>
        <v>5.0799999999999998E-2</v>
      </c>
      <c r="K1923" s="173">
        <f t="shared" si="590"/>
        <v>14304</v>
      </c>
      <c r="L1923" s="38">
        <f t="shared" si="591"/>
        <v>4400</v>
      </c>
      <c r="M1923" s="257">
        <f>ROUND('Plant input detail '!M1925*'WPB2.2 Plant detail-w slippage'!$P$2,0)</f>
        <v>-200</v>
      </c>
      <c r="N1923" s="2227">
        <f t="shared" si="592"/>
        <v>981622.55</v>
      </c>
    </row>
    <row r="1924" spans="1:14" x14ac:dyDescent="0.2">
      <c r="A1924" s="127">
        <f t="shared" si="593"/>
        <v>7</v>
      </c>
      <c r="B1924" s="123">
        <v>387.2</v>
      </c>
      <c r="C1924" s="52" t="s">
        <v>1057</v>
      </c>
      <c r="D1924" s="257">
        <f t="shared" si="587"/>
        <v>0</v>
      </c>
      <c r="E1924" s="382">
        <f>ROUND('Plant input detail '!E1926*'WPB2.2 Plant detail-w slippage'!$P$2,0)</f>
        <v>0</v>
      </c>
      <c r="F1924" s="257">
        <f>ROUND('Plant input detail '!F1926*'WPB2.2 Plant detail-w slippage'!$P$2,0)</f>
        <v>0</v>
      </c>
      <c r="G1924" s="257">
        <f t="shared" si="594"/>
        <v>0</v>
      </c>
      <c r="H1924" s="38"/>
      <c r="I1924" s="257">
        <f t="shared" si="588"/>
        <v>-59912.03</v>
      </c>
      <c r="J1924" s="1362">
        <f t="shared" si="589"/>
        <v>0</v>
      </c>
      <c r="K1924" s="173">
        <f t="shared" si="590"/>
        <v>0</v>
      </c>
      <c r="L1924" s="38">
        <f t="shared" si="591"/>
        <v>0</v>
      </c>
      <c r="M1924" s="257">
        <f>ROUND('Plant input detail '!M1926*'WPB2.2 Plant detail-w slippage'!$P$2,0)</f>
        <v>0</v>
      </c>
      <c r="N1924" s="2227">
        <f t="shared" si="592"/>
        <v>-59912.03</v>
      </c>
    </row>
    <row r="1925" spans="1:14" x14ac:dyDescent="0.2">
      <c r="A1925" s="127">
        <f t="shared" si="593"/>
        <v>8</v>
      </c>
      <c r="B1925" s="123">
        <v>387.41</v>
      </c>
      <c r="C1925" s="52" t="s">
        <v>1058</v>
      </c>
      <c r="D1925" s="257">
        <f t="shared" si="587"/>
        <v>735770.76</v>
      </c>
      <c r="E1925" s="382">
        <f>ROUND('Plant input detail '!E1927*'WPB2.2 Plant detail-w slippage'!$P$2,0)</f>
        <v>0</v>
      </c>
      <c r="F1925" s="257">
        <f>ROUND('Plant input detail '!F1927*'WPB2.2 Plant detail-w slippage'!$P$2,0)</f>
        <v>0</v>
      </c>
      <c r="G1925" s="257">
        <f t="shared" si="594"/>
        <v>735770.76</v>
      </c>
      <c r="H1925" s="38"/>
      <c r="I1925" s="257">
        <f t="shared" si="588"/>
        <v>402108.95</v>
      </c>
      <c r="J1925" s="1362">
        <f t="shared" si="589"/>
        <v>3.7400000000000003E-2</v>
      </c>
      <c r="K1925" s="173">
        <f t="shared" si="590"/>
        <v>2293</v>
      </c>
      <c r="L1925" s="38">
        <f t="shared" si="591"/>
        <v>0</v>
      </c>
      <c r="M1925" s="257">
        <f>ROUND('Plant input detail '!M1927*'WPB2.2 Plant detail-w slippage'!$P$2,0)</f>
        <v>0</v>
      </c>
      <c r="N1925" s="2227">
        <f t="shared" si="592"/>
        <v>404401.95</v>
      </c>
    </row>
    <row r="1926" spans="1:14" x14ac:dyDescent="0.2">
      <c r="A1926" s="127">
        <f t="shared" si="593"/>
        <v>9</v>
      </c>
      <c r="B1926" s="123">
        <v>387.42</v>
      </c>
      <c r="C1926" s="52" t="s">
        <v>1059</v>
      </c>
      <c r="D1926" s="257">
        <f t="shared" si="587"/>
        <v>795186.58</v>
      </c>
      <c r="E1926" s="382">
        <f>ROUND('Plant input detail '!E1928*'WPB2.2 Plant detail-w slippage'!$P$2,0)</f>
        <v>0</v>
      </c>
      <c r="F1926" s="257">
        <f>ROUND('Plant input detail '!F1928*'WPB2.2 Plant detail-w slippage'!$P$2,0)</f>
        <v>0</v>
      </c>
      <c r="G1926" s="257">
        <f>SUM(D1926:F1926)</f>
        <v>795186.58</v>
      </c>
      <c r="H1926" s="38"/>
      <c r="I1926" s="257">
        <f t="shared" si="588"/>
        <v>569891.94999999995</v>
      </c>
      <c r="J1926" s="1362">
        <f t="shared" si="589"/>
        <v>3.7400000000000003E-2</v>
      </c>
      <c r="K1926" s="173">
        <f t="shared" si="590"/>
        <v>2478</v>
      </c>
      <c r="L1926" s="38">
        <f t="shared" si="591"/>
        <v>0</v>
      </c>
      <c r="M1926" s="257">
        <f>ROUND('Plant input detail '!M1928*'WPB2.2 Plant detail-w slippage'!$P$2,0)</f>
        <v>0</v>
      </c>
      <c r="N1926" s="2227">
        <f t="shared" si="592"/>
        <v>572369.94999999995</v>
      </c>
    </row>
    <row r="1927" spans="1:14" x14ac:dyDescent="0.2">
      <c r="A1927" s="127">
        <f t="shared" si="593"/>
        <v>10</v>
      </c>
      <c r="B1927" s="123">
        <v>387.44</v>
      </c>
      <c r="C1927" s="52" t="s">
        <v>1060</v>
      </c>
      <c r="D1927" s="257">
        <f t="shared" si="587"/>
        <v>143283.93</v>
      </c>
      <c r="E1927" s="382">
        <f>ROUND('Plant input detail '!E1929*'WPB2.2 Plant detail-w slippage'!$P$2,0)</f>
        <v>0</v>
      </c>
      <c r="F1927" s="257">
        <f>ROUND('Plant input detail '!F1929*'WPB2.2 Plant detail-w slippage'!$P$2,0)</f>
        <v>0</v>
      </c>
      <c r="G1927" s="257">
        <f>SUM(D1927:F1927)</f>
        <v>143283.93</v>
      </c>
      <c r="H1927" s="38"/>
      <c r="I1927" s="257">
        <f t="shared" si="588"/>
        <v>50077.55</v>
      </c>
      <c r="J1927" s="1362">
        <f t="shared" si="589"/>
        <v>3.7400000000000003E-2</v>
      </c>
      <c r="K1927" s="173">
        <f t="shared" si="590"/>
        <v>447</v>
      </c>
      <c r="L1927" s="38">
        <f t="shared" si="591"/>
        <v>0</v>
      </c>
      <c r="M1927" s="257">
        <f>ROUND('Plant input detail '!M1929*'WPB2.2 Plant detail-w slippage'!$P$2,0)</f>
        <v>0</v>
      </c>
      <c r="N1927" s="2227">
        <f t="shared" si="592"/>
        <v>50524.55</v>
      </c>
    </row>
    <row r="1928" spans="1:14" x14ac:dyDescent="0.2">
      <c r="A1928" s="127">
        <f t="shared" si="593"/>
        <v>11</v>
      </c>
      <c r="B1928" s="123">
        <v>387.45</v>
      </c>
      <c r="C1928" s="52" t="s">
        <v>1061</v>
      </c>
      <c r="D1928" s="257">
        <f t="shared" si="587"/>
        <v>3747004.66</v>
      </c>
      <c r="E1928" s="382">
        <f>ROUND('Plant input detail '!E1930*'WPB2.2 Plant detail-w slippage'!$P$2,0)</f>
        <v>160800</v>
      </c>
      <c r="F1928" s="257">
        <f>ROUND('Plant input detail '!F1930*'WPB2.2 Plant detail-w slippage'!$P$2,0)</f>
        <v>-19300</v>
      </c>
      <c r="G1928" s="257">
        <f>SUM(D1928:F1928)</f>
        <v>3888504.66</v>
      </c>
      <c r="H1928" s="38"/>
      <c r="I1928" s="257">
        <f t="shared" si="588"/>
        <v>541607.06000000006</v>
      </c>
      <c r="J1928" s="1362">
        <f t="shared" si="589"/>
        <v>3.7400000000000003E-2</v>
      </c>
      <c r="K1928" s="173">
        <f t="shared" si="590"/>
        <v>11899</v>
      </c>
      <c r="L1928" s="38">
        <f t="shared" si="591"/>
        <v>19300</v>
      </c>
      <c r="M1928" s="257">
        <f>ROUND('Plant input detail '!M1930*'WPB2.2 Plant detail-w slippage'!$P$2,0)</f>
        <v>0</v>
      </c>
      <c r="N1928" s="2227">
        <f t="shared" si="592"/>
        <v>534206.06000000006</v>
      </c>
    </row>
    <row r="1929" spans="1:14" x14ac:dyDescent="0.2">
      <c r="A1929" s="127">
        <f t="shared" si="593"/>
        <v>12</v>
      </c>
      <c r="B1929" s="123">
        <v>387.46</v>
      </c>
      <c r="C1929" s="52" t="s">
        <v>1062</v>
      </c>
      <c r="D1929" s="260">
        <f t="shared" si="587"/>
        <v>113644.47</v>
      </c>
      <c r="E1929" s="265">
        <f>ROUND('Plant input detail '!E1931*'WPB2.2 Plant detail-w slippage'!$P$2,0)</f>
        <v>0</v>
      </c>
      <c r="F1929" s="265">
        <f>ROUND('Plant input detail '!F1931*'WPB2.2 Plant detail-w slippage'!$P$2,0)</f>
        <v>0</v>
      </c>
      <c r="G1929" s="265">
        <f>SUM(D1929:F1929)</f>
        <v>113644.47</v>
      </c>
      <c r="H1929" s="264"/>
      <c r="I1929" s="260">
        <f t="shared" si="588"/>
        <v>114710.83</v>
      </c>
      <c r="J1929" s="1362">
        <f t="shared" si="589"/>
        <v>3.7400000000000003E-2</v>
      </c>
      <c r="K1929" s="260">
        <f t="shared" si="590"/>
        <v>354</v>
      </c>
      <c r="L1929" s="295">
        <f t="shared" si="591"/>
        <v>0</v>
      </c>
      <c r="M1929" s="265">
        <f>ROUND('Plant input detail '!M1931*'WPB2.2 Plant detail-w slippage'!$P$2,0)</f>
        <v>0</v>
      </c>
      <c r="N1929" s="2228">
        <f t="shared" si="592"/>
        <v>115064.83</v>
      </c>
    </row>
    <row r="1930" spans="1:14" x14ac:dyDescent="0.2">
      <c r="A1930" s="127">
        <f t="shared" si="593"/>
        <v>13</v>
      </c>
      <c r="B1930" s="252"/>
      <c r="C1930" s="32" t="s">
        <v>1063</v>
      </c>
      <c r="D1930" s="173">
        <f>SUM(D1918:D1929,D1878:D1899)</f>
        <v>421947156.37999994</v>
      </c>
      <c r="E1930" s="173">
        <f>SUM(E1918:E1929,E1878:E1899)</f>
        <v>4412566</v>
      </c>
      <c r="F1930" s="173">
        <f>SUM(F1918:F1929,F1878:F1899)</f>
        <v>-529500</v>
      </c>
      <c r="G1930" s="173">
        <f>SUM(G1918:G1929,G1878:G1899)</f>
        <v>425830222.37999994</v>
      </c>
      <c r="H1930" s="38"/>
      <c r="I1930" s="173">
        <f>SUM(I1918:I1929,I1878:I1899)</f>
        <v>147296638.62105262</v>
      </c>
      <c r="J1930" s="173"/>
      <c r="K1930" s="173">
        <f>SUM(K1918:K1929,K1878:K1899)</f>
        <v>1186236.0494736843</v>
      </c>
      <c r="L1930" s="173">
        <f>SUM(L1918:L1929,L1878:L1899)</f>
        <v>529500</v>
      </c>
      <c r="M1930" s="173">
        <f>SUM(M1918:M1929,M1878:M1899)</f>
        <v>-133200</v>
      </c>
      <c r="N1930" s="1361">
        <f>SUM(N1918:N1929,N1878:N1899)</f>
        <v>147820174.67052633</v>
      </c>
    </row>
    <row r="1931" spans="1:14" x14ac:dyDescent="0.2">
      <c r="B1931" s="252"/>
      <c r="D1931" s="38"/>
      <c r="E1931" s="173"/>
      <c r="F1931" s="173"/>
      <c r="G1931" s="38"/>
      <c r="H1931" s="38"/>
      <c r="I1931" s="181"/>
      <c r="J1931" s="173"/>
      <c r="K1931" s="173"/>
      <c r="L1931" s="38"/>
      <c r="M1931" s="173"/>
    </row>
    <row r="1932" spans="1:14" x14ac:dyDescent="0.2">
      <c r="A1932" s="127">
        <f>A1930+1</f>
        <v>14</v>
      </c>
      <c r="B1932" s="252"/>
      <c r="C1932" s="36" t="s">
        <v>737</v>
      </c>
      <c r="D1932" s="38"/>
      <c r="E1932" s="173"/>
      <c r="F1932" s="173"/>
      <c r="G1932" s="38"/>
      <c r="H1932" s="38"/>
      <c r="I1932" s="181"/>
      <c r="J1932" s="173"/>
      <c r="K1932" s="173"/>
      <c r="L1932" s="38"/>
      <c r="M1932" s="173"/>
    </row>
    <row r="1933" spans="1:14" x14ac:dyDescent="0.2">
      <c r="A1933" s="31">
        <f>A1932+1</f>
        <v>15</v>
      </c>
      <c r="B1933" s="123">
        <v>391.1</v>
      </c>
      <c r="C1933" s="52" t="s">
        <v>1064</v>
      </c>
      <c r="D1933" s="257">
        <f t="shared" ref="D1933:D1946" si="595">G1827</f>
        <v>713480.71</v>
      </c>
      <c r="E1933" s="382">
        <f>ROUND('Plant input detail '!E1935*'WPB2.2 Plant detail-w slippage'!$P$2,0)</f>
        <v>0</v>
      </c>
      <c r="F1933" s="257">
        <f>ROUND('Plant input detail '!F1935*'WPB2.2 Plant detail-w slippage'!$P$2,0)</f>
        <v>0</v>
      </c>
      <c r="G1933" s="257">
        <f t="shared" ref="G1933:G1946" si="596">SUM(D1933:F1933)</f>
        <v>713480.71</v>
      </c>
      <c r="H1933" s="38"/>
      <c r="I1933" s="257">
        <f t="shared" ref="I1933:I1946" si="597">N1827</f>
        <v>-29765.22</v>
      </c>
      <c r="J1933" s="1362">
        <f t="shared" ref="J1933:J1946" si="598">J1827</f>
        <v>0.05</v>
      </c>
      <c r="K1933" s="173">
        <f>ROUND((G1933+D1933)/2*J1933/12,0)</f>
        <v>2973</v>
      </c>
      <c r="L1933" s="38">
        <f t="shared" ref="L1933:L1946" si="599">-F1933</f>
        <v>0</v>
      </c>
      <c r="M1933" s="257">
        <f>ROUND('Plant input detail '!M1935*'WPB2.2 Plant detail-w slippage'!$P$2,0)</f>
        <v>0</v>
      </c>
      <c r="N1933" s="2227">
        <f t="shared" ref="N1933:N1946" si="600">I1933+K1933-L1933+M1933</f>
        <v>-26792.22</v>
      </c>
    </row>
    <row r="1934" spans="1:14" x14ac:dyDescent="0.2">
      <c r="A1934" s="31">
        <f t="shared" ref="A1934:A1947" si="601">A1933+1</f>
        <v>16</v>
      </c>
      <c r="B1934" s="123">
        <v>391.11</v>
      </c>
      <c r="C1934" s="52" t="s">
        <v>1065</v>
      </c>
      <c r="D1934" s="257">
        <f t="shared" si="595"/>
        <v>18815.57</v>
      </c>
      <c r="E1934" s="382">
        <f>ROUND('Plant input detail '!E1936*'WPB2.2 Plant detail-w slippage'!$P$2,0)</f>
        <v>0</v>
      </c>
      <c r="F1934" s="257">
        <f>ROUND('Plant input detail '!F1936*'WPB2.2 Plant detail-w slippage'!$P$2,0)</f>
        <v>0</v>
      </c>
      <c r="G1934" s="257">
        <f t="shared" si="596"/>
        <v>18815.57</v>
      </c>
      <c r="H1934" s="38"/>
      <c r="I1934" s="257">
        <f t="shared" si="597"/>
        <v>-11249.77</v>
      </c>
      <c r="J1934" s="1362">
        <f t="shared" si="598"/>
        <v>6.6699999999999995E-2</v>
      </c>
      <c r="K1934" s="173">
        <f>ROUND((G1934+D1934)/2*J1934/12,0)</f>
        <v>105</v>
      </c>
      <c r="L1934" s="38">
        <f t="shared" si="599"/>
        <v>0</v>
      </c>
      <c r="M1934" s="257">
        <f>ROUND('Plant input detail '!M1936*'WPB2.2 Plant detail-w slippage'!$P$2,0)</f>
        <v>0</v>
      </c>
      <c r="N1934" s="2227">
        <f t="shared" si="600"/>
        <v>-11144.77</v>
      </c>
    </row>
    <row r="1935" spans="1:14" x14ac:dyDescent="0.2">
      <c r="A1935" s="31">
        <f t="shared" si="601"/>
        <v>17</v>
      </c>
      <c r="B1935" s="123">
        <v>391.12</v>
      </c>
      <c r="C1935" s="52" t="s">
        <v>1066</v>
      </c>
      <c r="D1935" s="257">
        <f t="shared" si="595"/>
        <v>1407883.4100000001</v>
      </c>
      <c r="E1935" s="382">
        <f>ROUND('Plant input detail '!E1937*'WPB2.2 Plant detail-w slippage'!$P$2,0)</f>
        <v>0</v>
      </c>
      <c r="F1935" s="257">
        <f>ROUND('Plant input detail '!F1937*'WPB2.2 Plant detail-w slippage'!$P$2,0)</f>
        <v>0</v>
      </c>
      <c r="G1935" s="257">
        <f t="shared" si="596"/>
        <v>1407883.4100000001</v>
      </c>
      <c r="H1935" s="38"/>
      <c r="I1935" s="257">
        <f t="shared" si="597"/>
        <v>745900.37</v>
      </c>
      <c r="J1935" s="1362">
        <f t="shared" si="598"/>
        <v>0.2</v>
      </c>
      <c r="K1935" s="173">
        <f>ROUND((G1935+D1935)/2*J1935/12,0)</f>
        <v>23465</v>
      </c>
      <c r="L1935" s="38">
        <f t="shared" si="599"/>
        <v>0</v>
      </c>
      <c r="M1935" s="257">
        <f>ROUND('Plant input detail '!M1937*'WPB2.2 Plant detail-w slippage'!$P$2,0)</f>
        <v>0</v>
      </c>
      <c r="N1935" s="2227">
        <f t="shared" si="600"/>
        <v>769365.37</v>
      </c>
    </row>
    <row r="1936" spans="1:14" x14ac:dyDescent="0.2">
      <c r="A1936" s="31">
        <f t="shared" si="601"/>
        <v>18</v>
      </c>
      <c r="B1936" s="123">
        <v>392.2</v>
      </c>
      <c r="C1936" s="52" t="s">
        <v>1067</v>
      </c>
      <c r="D1936" s="257">
        <f t="shared" si="595"/>
        <v>95778</v>
      </c>
      <c r="E1936" s="382">
        <f>ROUND('Plant input detail '!E1938*'WPB2.2 Plant detail-w slippage'!$P$2,0)</f>
        <v>0</v>
      </c>
      <c r="F1936" s="257">
        <f>ROUND('Plant input detail '!F1938*'WPB2.2 Plant detail-w slippage'!$P$2,0)</f>
        <v>0</v>
      </c>
      <c r="G1936" s="257">
        <f t="shared" si="596"/>
        <v>95778</v>
      </c>
      <c r="H1936" s="38"/>
      <c r="I1936" s="257">
        <f t="shared" si="597"/>
        <v>27765.05</v>
      </c>
      <c r="J1936" s="1362">
        <f t="shared" si="598"/>
        <v>9.1499999999999998E-2</v>
      </c>
      <c r="K1936" s="173">
        <f>ROUND((G1936+D1936)/2*J1936/12,0)</f>
        <v>730</v>
      </c>
      <c r="L1936" s="38">
        <f t="shared" si="599"/>
        <v>0</v>
      </c>
      <c r="M1936" s="257">
        <f>ROUND('Plant input detail '!M1938*'WPB2.2 Plant detail-w slippage'!$P$2,0)</f>
        <v>0</v>
      </c>
      <c r="N1936" s="2227">
        <f t="shared" si="600"/>
        <v>28495.05</v>
      </c>
    </row>
    <row r="1937" spans="1:16" x14ac:dyDescent="0.2">
      <c r="A1937" s="31">
        <f t="shared" si="601"/>
        <v>19</v>
      </c>
      <c r="B1937" s="123">
        <v>392.21</v>
      </c>
      <c r="C1937" s="52" t="s">
        <v>1068</v>
      </c>
      <c r="D1937" s="257">
        <f t="shared" si="595"/>
        <v>24462.2</v>
      </c>
      <c r="E1937" s="382">
        <f>ROUND('Plant input detail '!E1939*'WPB2.2 Plant detail-w slippage'!$P$2,0)</f>
        <v>0</v>
      </c>
      <c r="F1937" s="257">
        <f>ROUND('Plant input detail '!F1939*'WPB2.2 Plant detail-w slippage'!$P$2,0)</f>
        <v>0</v>
      </c>
      <c r="G1937" s="257">
        <f t="shared" si="596"/>
        <v>24462.2</v>
      </c>
      <c r="H1937" s="38"/>
      <c r="I1937" s="257">
        <f t="shared" si="597"/>
        <v>6496.4</v>
      </c>
      <c r="J1937" s="1362">
        <f t="shared" si="598"/>
        <v>9.1499999999999998E-2</v>
      </c>
      <c r="K1937" s="173">
        <f>ROUND((G1937+D1937)/2*J1937/12,0)</f>
        <v>187</v>
      </c>
      <c r="L1937" s="38">
        <f t="shared" si="599"/>
        <v>0</v>
      </c>
      <c r="M1937" s="257">
        <f>ROUND('Plant input detail '!M1939*'WPB2.2 Plant detail-w slippage'!$P$2,0)</f>
        <v>0</v>
      </c>
      <c r="N1937" s="2227">
        <f t="shared" si="600"/>
        <v>6683.4</v>
      </c>
    </row>
    <row r="1938" spans="1:16" x14ac:dyDescent="0.2">
      <c r="A1938" s="31">
        <f t="shared" si="601"/>
        <v>20</v>
      </c>
      <c r="B1938" s="123">
        <v>393</v>
      </c>
      <c r="C1938" s="52" t="s">
        <v>1069</v>
      </c>
      <c r="D1938" s="257">
        <f t="shared" si="595"/>
        <v>0</v>
      </c>
      <c r="E1938" s="382">
        <f>ROUND('Plant input detail '!E1940*'WPB2.2 Plant detail-w slippage'!$P$2,0)</f>
        <v>0</v>
      </c>
      <c r="F1938" s="257">
        <f>ROUND('Plant input detail '!F1940*'WPB2.2 Plant detail-w slippage'!$P$2,0)</f>
        <v>0</v>
      </c>
      <c r="G1938" s="257">
        <f t="shared" si="596"/>
        <v>0</v>
      </c>
      <c r="H1938" s="38"/>
      <c r="I1938" s="257">
        <f t="shared" si="597"/>
        <v>0</v>
      </c>
      <c r="J1938" s="1362" t="str">
        <f t="shared" si="598"/>
        <v>Amort.</v>
      </c>
      <c r="K1938" s="259">
        <v>0</v>
      </c>
      <c r="L1938" s="38">
        <f t="shared" si="599"/>
        <v>0</v>
      </c>
      <c r="M1938" s="257">
        <f>ROUND('Plant input detail '!M1940*'WPB2.2 Plant detail-w slippage'!$P$2,0)</f>
        <v>0</v>
      </c>
      <c r="N1938" s="2227">
        <f t="shared" si="600"/>
        <v>0</v>
      </c>
    </row>
    <row r="1939" spans="1:16" x14ac:dyDescent="0.2">
      <c r="A1939" s="31">
        <f t="shared" si="601"/>
        <v>21</v>
      </c>
      <c r="B1939" s="123">
        <v>394.1</v>
      </c>
      <c r="C1939" s="52" t="s">
        <v>1070</v>
      </c>
      <c r="D1939" s="257">
        <f t="shared" si="595"/>
        <v>24240.799999999999</v>
      </c>
      <c r="E1939" s="382">
        <f>ROUND('Plant input detail '!E1941*'WPB2.2 Plant detail-w slippage'!$P$2,0)</f>
        <v>0</v>
      </c>
      <c r="F1939" s="257">
        <f>ROUND('Plant input detail '!F1941*'WPB2.2 Plant detail-w slippage'!$P$2,0)</f>
        <v>0</v>
      </c>
      <c r="G1939" s="257">
        <f t="shared" si="596"/>
        <v>24240.799999999999</v>
      </c>
      <c r="H1939" s="38"/>
      <c r="I1939" s="257">
        <f t="shared" si="597"/>
        <v>15175.82</v>
      </c>
      <c r="J1939" s="1362">
        <f t="shared" si="598"/>
        <v>0.04</v>
      </c>
      <c r="K1939" s="173">
        <f t="shared" ref="K1939:K1946" si="602">ROUND((G1939+D1939)/2*J1939/12,0)</f>
        <v>81</v>
      </c>
      <c r="L1939" s="38">
        <f t="shared" si="599"/>
        <v>0</v>
      </c>
      <c r="M1939" s="257">
        <f>ROUND('Plant input detail '!M1941*'WPB2.2 Plant detail-w slippage'!$P$2,0)</f>
        <v>0</v>
      </c>
      <c r="N1939" s="2227">
        <f t="shared" si="600"/>
        <v>15256.82</v>
      </c>
    </row>
    <row r="1940" spans="1:16" x14ac:dyDescent="0.2">
      <c r="A1940" s="31">
        <f t="shared" si="601"/>
        <v>22</v>
      </c>
      <c r="B1940" s="123">
        <v>394.11</v>
      </c>
      <c r="C1940" s="52" t="s">
        <v>1071</v>
      </c>
      <c r="D1940" s="257">
        <f t="shared" si="595"/>
        <v>0</v>
      </c>
      <c r="E1940" s="382">
        <f>ROUND('Plant input detail '!E1942*'WPB2.2 Plant detail-w slippage'!$P$2,0)</f>
        <v>0</v>
      </c>
      <c r="F1940" s="257">
        <f>ROUND('Plant input detail '!F1942*'WPB2.2 Plant detail-w slippage'!$P$2,0)</f>
        <v>0</v>
      </c>
      <c r="G1940" s="257">
        <f t="shared" si="596"/>
        <v>0</v>
      </c>
      <c r="H1940" s="38"/>
      <c r="I1940" s="257">
        <f t="shared" si="597"/>
        <v>0</v>
      </c>
      <c r="J1940" s="1362">
        <f t="shared" si="598"/>
        <v>0</v>
      </c>
      <c r="K1940" s="259">
        <v>0</v>
      </c>
      <c r="L1940" s="38">
        <f t="shared" si="599"/>
        <v>0</v>
      </c>
      <c r="M1940" s="257">
        <f>ROUND('Plant input detail '!M1942*'WPB2.2 Plant detail-w slippage'!$P$2,0)</f>
        <v>0</v>
      </c>
      <c r="N1940" s="2227">
        <f t="shared" si="600"/>
        <v>0</v>
      </c>
    </row>
    <row r="1941" spans="1:16" x14ac:dyDescent="0.2">
      <c r="A1941" s="31">
        <f t="shared" si="601"/>
        <v>23</v>
      </c>
      <c r="B1941" s="123">
        <v>394.13</v>
      </c>
      <c r="C1941" s="251" t="s">
        <v>1072</v>
      </c>
      <c r="D1941" s="257">
        <f t="shared" si="595"/>
        <v>0</v>
      </c>
      <c r="E1941" s="382">
        <f>ROUND('Plant input detail '!E1943*'WPB2.2 Plant detail-w slippage'!$P$2,0)</f>
        <v>0</v>
      </c>
      <c r="F1941" s="257">
        <f>ROUND('Plant input detail '!F1943*'WPB2.2 Plant detail-w slippage'!$P$2,0)</f>
        <v>0</v>
      </c>
      <c r="G1941" s="257">
        <f t="shared" si="596"/>
        <v>0</v>
      </c>
      <c r="H1941" s="38"/>
      <c r="I1941" s="257">
        <f t="shared" si="597"/>
        <v>37937.360000000001</v>
      </c>
      <c r="J1941" s="1362" t="str">
        <f t="shared" si="598"/>
        <v>Amort.</v>
      </c>
      <c r="K1941" s="259">
        <v>0</v>
      </c>
      <c r="L1941" s="38">
        <f t="shared" si="599"/>
        <v>0</v>
      </c>
      <c r="M1941" s="257">
        <f>ROUND('Plant input detail '!M1943*'WPB2.2 Plant detail-w slippage'!$P$2,0)</f>
        <v>0</v>
      </c>
      <c r="N1941" s="2227">
        <f t="shared" si="600"/>
        <v>37937.360000000001</v>
      </c>
    </row>
    <row r="1942" spans="1:16" x14ac:dyDescent="0.2">
      <c r="A1942" s="31">
        <f t="shared" si="601"/>
        <v>24</v>
      </c>
      <c r="B1942" s="123">
        <v>394.2</v>
      </c>
      <c r="C1942" s="52" t="s">
        <v>1073</v>
      </c>
      <c r="D1942" s="257">
        <f t="shared" si="595"/>
        <v>0</v>
      </c>
      <c r="E1942" s="382">
        <f>ROUND('Plant input detail '!E1944*'WPB2.2 Plant detail-w slippage'!$P$2,0)</f>
        <v>0</v>
      </c>
      <c r="F1942" s="257">
        <f>ROUND('Plant input detail '!F1944*'WPB2.2 Plant detail-w slippage'!$P$2,0)</f>
        <v>0</v>
      </c>
      <c r="G1942" s="257">
        <f t="shared" si="596"/>
        <v>0</v>
      </c>
      <c r="H1942" s="38"/>
      <c r="I1942" s="257">
        <f t="shared" si="597"/>
        <v>185.21</v>
      </c>
      <c r="J1942" s="1362">
        <f t="shared" si="598"/>
        <v>0.04</v>
      </c>
      <c r="K1942" s="173">
        <f t="shared" si="602"/>
        <v>0</v>
      </c>
      <c r="L1942" s="38">
        <f t="shared" si="599"/>
        <v>0</v>
      </c>
      <c r="M1942" s="257">
        <f>ROUND('Plant input detail '!M1944*'WPB2.2 Plant detail-w slippage'!$P$2,0)</f>
        <v>0</v>
      </c>
      <c r="N1942" s="2227">
        <f t="shared" si="600"/>
        <v>185.21</v>
      </c>
    </row>
    <row r="1943" spans="1:16" x14ac:dyDescent="0.2">
      <c r="A1943" s="31">
        <f t="shared" si="601"/>
        <v>25</v>
      </c>
      <c r="B1943" s="123">
        <v>394.3</v>
      </c>
      <c r="C1943" s="52" t="s">
        <v>1074</v>
      </c>
      <c r="D1943" s="257">
        <f t="shared" si="595"/>
        <v>3166921.16</v>
      </c>
      <c r="E1943" s="382">
        <f>ROUND('Plant input detail '!E1945*'WPB2.2 Plant detail-w slippage'!$P$2,0)</f>
        <v>39800</v>
      </c>
      <c r="F1943" s="257">
        <f>ROUND('Plant input detail '!F1945*'WPB2.2 Plant detail-w slippage'!$P$2,0)</f>
        <v>-4800</v>
      </c>
      <c r="G1943" s="257">
        <f t="shared" si="596"/>
        <v>3201921.16</v>
      </c>
      <c r="H1943" s="38"/>
      <c r="I1943" s="257">
        <f t="shared" si="597"/>
        <v>1350211.15</v>
      </c>
      <c r="J1943" s="1362">
        <f t="shared" si="598"/>
        <v>0.04</v>
      </c>
      <c r="K1943" s="173">
        <f t="shared" si="602"/>
        <v>10615</v>
      </c>
      <c r="L1943" s="38">
        <f t="shared" si="599"/>
        <v>4800</v>
      </c>
      <c r="M1943" s="257">
        <f>ROUND('Plant input detail '!M1945*'WPB2.2 Plant detail-w slippage'!$P$2,0)</f>
        <v>0</v>
      </c>
      <c r="N1943" s="2227">
        <f t="shared" si="600"/>
        <v>1356026.15</v>
      </c>
    </row>
    <row r="1944" spans="1:16" x14ac:dyDescent="0.2">
      <c r="A1944" s="31">
        <f t="shared" si="601"/>
        <v>26</v>
      </c>
      <c r="B1944" s="123">
        <v>395</v>
      </c>
      <c r="C1944" s="52" t="s">
        <v>1075</v>
      </c>
      <c r="D1944" s="257">
        <f t="shared" si="595"/>
        <v>9257.77</v>
      </c>
      <c r="E1944" s="382">
        <f>ROUND('Plant input detail '!E1946*'WPB2.2 Plant detail-w slippage'!$P$2,0)</f>
        <v>0</v>
      </c>
      <c r="F1944" s="257">
        <f>ROUND('Plant input detail '!F1946*'WPB2.2 Plant detail-w slippage'!$P$2,0)</f>
        <v>0</v>
      </c>
      <c r="G1944" s="257">
        <f t="shared" si="596"/>
        <v>9257.77</v>
      </c>
      <c r="H1944" s="38"/>
      <c r="I1944" s="257">
        <f t="shared" si="597"/>
        <v>7802.59</v>
      </c>
      <c r="J1944" s="1362">
        <f t="shared" si="598"/>
        <v>0.05</v>
      </c>
      <c r="K1944" s="173">
        <f t="shared" si="602"/>
        <v>39</v>
      </c>
      <c r="L1944" s="38">
        <f t="shared" si="599"/>
        <v>0</v>
      </c>
      <c r="M1944" s="257">
        <f>ROUND('Plant input detail '!M1946*'WPB2.2 Plant detail-w slippage'!$P$2,0)</f>
        <v>0</v>
      </c>
      <c r="N1944" s="2227">
        <f t="shared" si="600"/>
        <v>7841.59</v>
      </c>
    </row>
    <row r="1945" spans="1:16" x14ac:dyDescent="0.2">
      <c r="A1945" s="31">
        <f t="shared" si="601"/>
        <v>27</v>
      </c>
      <c r="B1945" s="123">
        <v>396</v>
      </c>
      <c r="C1945" s="52" t="s">
        <v>1076</v>
      </c>
      <c r="D1945" s="257">
        <f t="shared" si="595"/>
        <v>253134.72</v>
      </c>
      <c r="E1945" s="382">
        <f>ROUND('Plant input detail '!E1947*'WPB2.2 Plant detail-w slippage'!$P$2,0)</f>
        <v>0</v>
      </c>
      <c r="F1945" s="257">
        <f>ROUND('Plant input detail '!F1947*'WPB2.2 Plant detail-w slippage'!$P$2,0)</f>
        <v>0</v>
      </c>
      <c r="G1945" s="257">
        <f t="shared" si="596"/>
        <v>253134.72</v>
      </c>
      <c r="H1945" s="38"/>
      <c r="I1945" s="257">
        <f t="shared" si="597"/>
        <v>203143.72</v>
      </c>
      <c r="J1945" s="1362">
        <f t="shared" si="598"/>
        <v>2.5899999999999999E-2</v>
      </c>
      <c r="K1945" s="173">
        <f t="shared" si="602"/>
        <v>546</v>
      </c>
      <c r="L1945" s="38">
        <f t="shared" si="599"/>
        <v>0</v>
      </c>
      <c r="M1945" s="257">
        <f>ROUND('Plant input detail '!M1947*'WPB2.2 Plant detail-w slippage'!$P$2,0)</f>
        <v>0</v>
      </c>
      <c r="N1945" s="2227">
        <f t="shared" si="600"/>
        <v>203689.72</v>
      </c>
    </row>
    <row r="1946" spans="1:16" x14ac:dyDescent="0.2">
      <c r="A1946" s="31">
        <f t="shared" si="601"/>
        <v>28</v>
      </c>
      <c r="B1946" s="123">
        <v>398</v>
      </c>
      <c r="C1946" s="52" t="s">
        <v>1077</v>
      </c>
      <c r="D1946" s="260">
        <f t="shared" si="595"/>
        <v>287161.94</v>
      </c>
      <c r="E1946" s="265">
        <f>ROUND('Plant input detail '!E1948*'WPB2.2 Plant detail-w slippage'!$P$2,0)</f>
        <v>4600</v>
      </c>
      <c r="F1946" s="260">
        <f>ROUND('Plant input detail '!F1948*'WPB2.2 Plant detail-w slippage'!$P$2,0)</f>
        <v>-600</v>
      </c>
      <c r="G1946" s="260">
        <f t="shared" si="596"/>
        <v>291161.94</v>
      </c>
      <c r="H1946" s="264"/>
      <c r="I1946" s="260">
        <f t="shared" si="597"/>
        <v>11117.59</v>
      </c>
      <c r="J1946" s="1362">
        <f t="shared" si="598"/>
        <v>6.6699999999999995E-2</v>
      </c>
      <c r="K1946" s="260">
        <f t="shared" si="602"/>
        <v>1607</v>
      </c>
      <c r="L1946" s="295">
        <f t="shared" si="599"/>
        <v>600</v>
      </c>
      <c r="M1946" s="260">
        <f>ROUND('Plant input detail '!M1948*'WPB2.2 Plant detail-w slippage'!$P$2,0)</f>
        <v>0</v>
      </c>
      <c r="N1946" s="2228">
        <f t="shared" si="600"/>
        <v>12124.59</v>
      </c>
    </row>
    <row r="1947" spans="1:16" x14ac:dyDescent="0.2">
      <c r="A1947" s="31">
        <f t="shared" si="601"/>
        <v>29</v>
      </c>
      <c r="C1947" s="32" t="s">
        <v>1078</v>
      </c>
      <c r="D1947" s="264">
        <f>SUM(D1933:D1946)</f>
        <v>6001136.2799999993</v>
      </c>
      <c r="E1947" s="176">
        <f>SUM(E1933:E1946)</f>
        <v>44400</v>
      </c>
      <c r="F1947" s="176">
        <f>SUM(F1933:F1946)</f>
        <v>-5400</v>
      </c>
      <c r="G1947" s="264">
        <f>SUM(G1933:G1946)</f>
        <v>6040136.2799999993</v>
      </c>
      <c r="H1947" s="264"/>
      <c r="I1947" s="264">
        <f>SUM(I1933:I1946)</f>
        <v>2364720.27</v>
      </c>
      <c r="J1947" s="1359"/>
      <c r="K1947" s="176">
        <f>SUM(K1933:K1946)</f>
        <v>40348</v>
      </c>
      <c r="L1947" s="264">
        <f>SUM(L1933:L1946)</f>
        <v>5400</v>
      </c>
      <c r="M1947" s="176">
        <f>SUM(M1933:M1946)</f>
        <v>0</v>
      </c>
      <c r="N1947" s="1359">
        <f>SUM(N1933:N1946)</f>
        <v>2399668.27</v>
      </c>
    </row>
    <row r="1948" spans="1:16" x14ac:dyDescent="0.2">
      <c r="D1948" s="38"/>
      <c r="E1948" s="173"/>
      <c r="F1948" s="173"/>
      <c r="G1948" s="38"/>
      <c r="H1948" s="38"/>
      <c r="I1948" s="173"/>
      <c r="J1948" s="1361"/>
      <c r="K1948" s="173"/>
      <c r="L1948" s="38"/>
      <c r="M1948" s="173"/>
    </row>
    <row r="1949" spans="1:16" x14ac:dyDescent="0.2">
      <c r="A1949" s="1805">
        <f>A1947+1</f>
        <v>30</v>
      </c>
      <c r="B1949" s="252"/>
      <c r="C1949" s="36" t="s">
        <v>2287</v>
      </c>
      <c r="D1949" s="38"/>
      <c r="E1949" s="173"/>
      <c r="F1949" s="173"/>
      <c r="G1949" s="38"/>
      <c r="H1949" s="38"/>
      <c r="I1949" s="181"/>
      <c r="J1949" s="173"/>
      <c r="K1949" s="173"/>
      <c r="L1949" s="38"/>
      <c r="M1949" s="173"/>
      <c r="P1949" s="279"/>
    </row>
    <row r="1950" spans="1:16" x14ac:dyDescent="0.2">
      <c r="A1950" s="31">
        <f>A1949+1</f>
        <v>31</v>
      </c>
      <c r="B1950" s="123">
        <v>378.21</v>
      </c>
      <c r="C1950" s="52" t="s">
        <v>2244</v>
      </c>
      <c r="D1950" s="257">
        <f>G1844</f>
        <v>-777092</v>
      </c>
      <c r="E1950" s="382">
        <f>ROUND('Plant input detail '!E1952*'WPB2.2 Plant detail-w slippage'!$P$2,0)</f>
        <v>0</v>
      </c>
      <c r="F1950" s="257">
        <f>ROUND('Plant input detail '!F1952*'WPB2.2 Plant detail-w slippage'!$P$2,0)</f>
        <v>0</v>
      </c>
      <c r="G1950" s="257">
        <f t="shared" ref="G1950" si="603">SUM(D1950:F1950)</f>
        <v>-777092</v>
      </c>
      <c r="H1950" s="264"/>
      <c r="I1950" s="257">
        <f>N1844</f>
        <v>-57505.113333333269</v>
      </c>
      <c r="J1950" s="296" t="s">
        <v>1094</v>
      </c>
      <c r="K1950" s="1334">
        <v>-2158.5833333333321</v>
      </c>
      <c r="L1950" s="38">
        <f t="shared" ref="L1950" si="604">-F1950</f>
        <v>0</v>
      </c>
      <c r="M1950" s="257">
        <f>ROUND('Plant input detail '!M1952*'WPB2.2 Plant detail-w slippage'!$P$2,0)</f>
        <v>0</v>
      </c>
      <c r="N1950" s="2227">
        <f t="shared" ref="N1950" si="605">I1950+K1950-L1950+M1950</f>
        <v>-59663.696666666598</v>
      </c>
      <c r="O1950" s="292"/>
    </row>
    <row r="1951" spans="1:16" x14ac:dyDescent="0.2">
      <c r="A1951" s="1723"/>
      <c r="D1951" s="38"/>
      <c r="E1951" s="173"/>
      <c r="F1951" s="173"/>
      <c r="G1951" s="38"/>
      <c r="H1951" s="38"/>
      <c r="I1951" s="173"/>
      <c r="J1951" s="1361"/>
      <c r="K1951" s="173"/>
      <c r="L1951" s="38"/>
      <c r="M1951" s="173"/>
    </row>
    <row r="1952" spans="1:16" x14ac:dyDescent="0.2">
      <c r="A1952" s="31">
        <f>A1950+1</f>
        <v>32</v>
      </c>
      <c r="C1952" s="32" t="s">
        <v>774</v>
      </c>
      <c r="D1952" s="40">
        <f>D1947+D1930+D1875+D1871+D1950</f>
        <v>436916655.36999989</v>
      </c>
      <c r="E1952" s="40">
        <f>E1947+E1930+E1875+E1871+E1950</f>
        <v>4456966</v>
      </c>
      <c r="F1952" s="40">
        <f>F1947+F1930+F1875+F1871+F1950</f>
        <v>-534900</v>
      </c>
      <c r="G1952" s="40">
        <f>G1947+G1930+G1875+G1871+G1950</f>
        <v>440838721.36999989</v>
      </c>
      <c r="H1952" s="38"/>
      <c r="I1952" s="40">
        <f>I1947+I1930+I1875+I1871+I1950</f>
        <v>153156457.93961847</v>
      </c>
      <c r="J1952" s="1363"/>
      <c r="K1952" s="40">
        <f>K1947+K1930+K1875+K1871+K1950</f>
        <v>1352543.6083865217</v>
      </c>
      <c r="L1952" s="40">
        <f>L1947+L1930+L1875+L1871+L1950</f>
        <v>534900</v>
      </c>
      <c r="M1952" s="40">
        <f>M1947+M1930+M1875+M1871+M1950</f>
        <v>-133200</v>
      </c>
      <c r="N1952" s="2230">
        <f>N1947+N1930+N1875+N1871+N1950</f>
        <v>153840901.54800504</v>
      </c>
    </row>
    <row r="1954" spans="1:14" x14ac:dyDescent="0.2">
      <c r="A1954" s="2079" t="str">
        <f>co</f>
        <v>COLUMBIA GAS OF KENTUCKY, INC.</v>
      </c>
      <c r="B1954" s="2079"/>
      <c r="C1954" s="2079"/>
      <c r="D1954" s="2079"/>
      <c r="E1954" s="2079"/>
      <c r="F1954" s="2079"/>
      <c r="G1954" s="2079"/>
      <c r="H1954" s="2079"/>
      <c r="I1954" s="2079"/>
      <c r="J1954" s="2079"/>
      <c r="K1954" s="2079"/>
      <c r="L1954" s="2079"/>
      <c r="M1954" s="2079"/>
      <c r="N1954" s="2079"/>
    </row>
    <row r="1955" spans="1:14" x14ac:dyDescent="0.2">
      <c r="A1955" s="2079" t="str">
        <f>case</f>
        <v>CASE NO. 2016 - 00162</v>
      </c>
      <c r="B1955" s="2079"/>
      <c r="C1955" s="2079"/>
      <c r="D1955" s="2079"/>
      <c r="E1955" s="2079"/>
      <c r="F1955" s="2079"/>
      <c r="G1955" s="2079"/>
      <c r="H1955" s="2079"/>
      <c r="I1955" s="2079"/>
      <c r="J1955" s="2079"/>
      <c r="K1955" s="2079"/>
      <c r="L1955" s="2079"/>
      <c r="M1955" s="2079"/>
      <c r="N1955" s="2079"/>
    </row>
    <row r="1956" spans="1:14" x14ac:dyDescent="0.2">
      <c r="A1956" s="2080" t="s">
        <v>1106</v>
      </c>
      <c r="B1956" s="2079"/>
      <c r="C1956" s="2079"/>
      <c r="D1956" s="2079"/>
      <c r="E1956" s="2079"/>
      <c r="F1956" s="2079"/>
      <c r="G1956" s="2079"/>
      <c r="H1956" s="2079"/>
      <c r="I1956" s="2079"/>
      <c r="J1956" s="2079"/>
      <c r="K1956" s="2079"/>
      <c r="L1956" s="2079"/>
      <c r="M1956" s="2079"/>
      <c r="N1956" s="2079"/>
    </row>
    <row r="1957" spans="1:14" x14ac:dyDescent="0.2">
      <c r="A1957" s="2081" t="s">
        <v>2142</v>
      </c>
      <c r="B1957" s="2085"/>
      <c r="C1957" s="2085"/>
      <c r="D1957" s="2085"/>
      <c r="E1957" s="2085"/>
      <c r="F1957" s="2085"/>
      <c r="G1957" s="2085"/>
      <c r="H1957" s="2085"/>
      <c r="I1957" s="2085"/>
      <c r="J1957" s="2085"/>
      <c r="K1957" s="2085"/>
      <c r="L1957" s="2085"/>
      <c r="M1957" s="2085"/>
      <c r="N1957" s="2085"/>
    </row>
    <row r="1959" spans="1:14" x14ac:dyDescent="0.2">
      <c r="A1959" s="285" t="str">
        <f>$A$6</f>
        <v>DATA:__X___BASE PERIOD__X___FORECASTED PERIOD</v>
      </c>
      <c r="C1959" s="171"/>
      <c r="I1959" s="32"/>
      <c r="N1959" s="1258" t="str">
        <f>$N$6</f>
        <v>WPB-2.2</v>
      </c>
    </row>
    <row r="1960" spans="1:14" x14ac:dyDescent="0.2">
      <c r="A1960" s="4" t="str">
        <f>$A$7</f>
        <v>TYPE OF FILING:___X____ORIGINAL________UPDATED</v>
      </c>
      <c r="I1960" s="32"/>
      <c r="N1960" s="2223" t="s">
        <v>1750</v>
      </c>
    </row>
    <row r="1961" spans="1:14" x14ac:dyDescent="0.2">
      <c r="A1961" s="1261" t="str">
        <f>$A$8</f>
        <v xml:space="preserve">WORKPAPER REFERENCE NO(S).: </v>
      </c>
      <c r="B1961" s="202"/>
      <c r="C1961" s="202"/>
      <c r="D1961" s="201"/>
      <c r="E1961" s="202"/>
      <c r="F1961" s="202"/>
      <c r="G1961" s="201"/>
      <c r="H1961" s="201"/>
      <c r="I1961" s="203"/>
      <c r="L1961" s="32"/>
      <c r="M1961" s="32"/>
      <c r="N1961" s="204" t="str">
        <f>SMK</f>
        <v>WITNESS:  S. M. KATKO</v>
      </c>
    </row>
    <row r="1962" spans="1:14" x14ac:dyDescent="0.2">
      <c r="A1962" s="200"/>
      <c r="B1962" s="201"/>
      <c r="C1962" s="201"/>
      <c r="D1962" s="201"/>
      <c r="E1962" s="202"/>
      <c r="F1962" s="202"/>
      <c r="G1962" s="201"/>
      <c r="H1962" s="201"/>
      <c r="I1962" s="203"/>
      <c r="J1962" s="1357"/>
      <c r="L1962" s="32"/>
      <c r="M1962" s="32"/>
    </row>
    <row r="1963" spans="1:14" x14ac:dyDescent="0.2">
      <c r="A1963" s="200"/>
      <c r="B1963" s="201"/>
      <c r="C1963" s="201"/>
      <c r="D1963" s="2082" t="s">
        <v>1088</v>
      </c>
      <c r="E1963" s="2082"/>
      <c r="F1963" s="2082"/>
      <c r="G1963" s="2082"/>
      <c r="H1963" s="201"/>
      <c r="I1963" s="2083" t="s">
        <v>1093</v>
      </c>
      <c r="J1963" s="2084"/>
      <c r="K1963" s="2084"/>
      <c r="L1963" s="2084"/>
      <c r="M1963" s="2084"/>
      <c r="N1963" s="2084"/>
    </row>
    <row r="1964" spans="1:14" x14ac:dyDescent="0.2">
      <c r="A1964" s="270"/>
      <c r="B1964" s="201"/>
      <c r="C1964" s="201"/>
      <c r="D1964" s="271" t="s">
        <v>1084</v>
      </c>
      <c r="E1964" s="202"/>
      <c r="F1964" s="202"/>
      <c r="G1964" s="269"/>
      <c r="H1964" s="269"/>
      <c r="I1964" s="261" t="s">
        <v>1089</v>
      </c>
      <c r="J1964" s="1358"/>
      <c r="M1964" s="32"/>
    </row>
    <row r="1965" spans="1:14" x14ac:dyDescent="0.2">
      <c r="A1965" s="30"/>
      <c r="D1965" s="261" t="s">
        <v>865</v>
      </c>
      <c r="G1965" s="261" t="s">
        <v>867</v>
      </c>
      <c r="H1965" s="268"/>
      <c r="I1965" s="261" t="s">
        <v>865</v>
      </c>
      <c r="J1965" s="1308" t="s">
        <v>956</v>
      </c>
      <c r="M1965" s="32"/>
      <c r="N1965" s="2225" t="s">
        <v>867</v>
      </c>
    </row>
    <row r="1966" spans="1:14" x14ac:dyDescent="0.2">
      <c r="A1966" s="261" t="s">
        <v>1080</v>
      </c>
      <c r="B1966" s="261" t="s">
        <v>1082</v>
      </c>
      <c r="D1966" s="261" t="s">
        <v>867</v>
      </c>
      <c r="G1966" s="262" t="s">
        <v>1087</v>
      </c>
      <c r="H1966" s="268"/>
      <c r="I1966" s="262" t="s">
        <v>867</v>
      </c>
      <c r="J1966" s="1308" t="s">
        <v>1090</v>
      </c>
      <c r="K1966" s="1308" t="s">
        <v>956</v>
      </c>
      <c r="M1966" s="262" t="s">
        <v>1092</v>
      </c>
      <c r="N1966" s="1259" t="s">
        <v>1087</v>
      </c>
    </row>
    <row r="1967" spans="1:14" x14ac:dyDescent="0.2">
      <c r="A1967" s="272" t="s">
        <v>1081</v>
      </c>
      <c r="B1967" s="272" t="s">
        <v>1081</v>
      </c>
      <c r="C1967" s="273" t="s">
        <v>1083</v>
      </c>
      <c r="D1967" s="298" t="str">
        <f>"08/31/2017"</f>
        <v>08/31/2017</v>
      </c>
      <c r="E1967" s="275" t="s">
        <v>1085</v>
      </c>
      <c r="F1967" s="275" t="s">
        <v>1086</v>
      </c>
      <c r="G1967" s="298" t="str">
        <f>"09/30/2017"</f>
        <v>09/30/2017</v>
      </c>
      <c r="H1967" s="268"/>
      <c r="I1967" s="274" t="str">
        <f>D1967</f>
        <v>08/31/2017</v>
      </c>
      <c r="J1967" s="275" t="s">
        <v>1091</v>
      </c>
      <c r="K1967" s="1327" t="s">
        <v>1090</v>
      </c>
      <c r="L1967" s="276" t="s">
        <v>1086</v>
      </c>
      <c r="M1967" s="276" t="s">
        <v>955</v>
      </c>
      <c r="N1967" s="2226" t="str">
        <f>G1967</f>
        <v>09/30/2017</v>
      </c>
    </row>
    <row r="1968" spans="1:14" x14ac:dyDescent="0.2">
      <c r="A1968" s="267"/>
      <c r="B1968" s="267"/>
      <c r="C1968" s="267"/>
      <c r="D1968" s="267" t="str">
        <f>"(1)"</f>
        <v>(1)</v>
      </c>
      <c r="E1968" s="267" t="str">
        <f>"(2)"</f>
        <v>(2)</v>
      </c>
      <c r="F1968" s="267" t="str">
        <f>"(3)"</f>
        <v>(3)</v>
      </c>
      <c r="G1968" s="267" t="str">
        <f>"(4)=(1+2+3)"</f>
        <v>(4)=(1+2+3)</v>
      </c>
      <c r="H1968" s="267"/>
      <c r="I1968" s="267" t="str">
        <f>"(5)"</f>
        <v>(5)</v>
      </c>
      <c r="J1968" s="1328" t="str">
        <f>"(6)"</f>
        <v>(6)</v>
      </c>
      <c r="K1968" s="1328" t="str">
        <f>"(7)=((1+4)/2*6/12))"</f>
        <v>(7)=((1+4)/2*6/12))</v>
      </c>
      <c r="L1968" s="267" t="str">
        <f>"(8)"</f>
        <v>(8)</v>
      </c>
      <c r="M1968" s="267" t="str">
        <f>"(9)"</f>
        <v>(9)</v>
      </c>
      <c r="N1968" s="204" t="str">
        <f>"(10)=(5+7-8+9)"</f>
        <v>(10)=(5+7-8+9)</v>
      </c>
    </row>
    <row r="1969" spans="1:14" x14ac:dyDescent="0.2">
      <c r="D1969" s="31" t="s">
        <v>639</v>
      </c>
      <c r="E1969" s="170" t="s">
        <v>639</v>
      </c>
      <c r="F1969" s="170" t="s">
        <v>639</v>
      </c>
      <c r="G1969" s="31" t="s">
        <v>639</v>
      </c>
      <c r="H1969" s="31"/>
      <c r="I1969" s="31" t="s">
        <v>639</v>
      </c>
      <c r="J1969" s="170" t="s">
        <v>639</v>
      </c>
      <c r="K1969" s="170" t="s">
        <v>639</v>
      </c>
      <c r="L1969" s="31" t="s">
        <v>639</v>
      </c>
      <c r="M1969" s="31" t="s">
        <v>639</v>
      </c>
      <c r="N1969" s="155" t="s">
        <v>639</v>
      </c>
    </row>
    <row r="1970" spans="1:14" x14ac:dyDescent="0.2">
      <c r="A1970" s="31">
        <v>1</v>
      </c>
      <c r="B1970" s="36" t="s">
        <v>1025</v>
      </c>
      <c r="C1970" s="34"/>
      <c r="M1970" s="32"/>
    </row>
    <row r="1971" spans="1:14" x14ac:dyDescent="0.2">
      <c r="A1971" s="31">
        <f>A1970+1</f>
        <v>2</v>
      </c>
      <c r="C1971" s="36" t="s">
        <v>697</v>
      </c>
      <c r="M1971" s="32"/>
    </row>
    <row r="1972" spans="1:14" x14ac:dyDescent="0.2">
      <c r="A1972" s="31">
        <f t="shared" ref="A1972:A1977" si="606">A1971+1</f>
        <v>3</v>
      </c>
      <c r="B1972" s="253">
        <v>301</v>
      </c>
      <c r="C1972" s="52" t="s">
        <v>1026</v>
      </c>
      <c r="D1972" s="257">
        <f>G1866</f>
        <v>521.20000000000005</v>
      </c>
      <c r="E1972" s="382">
        <f>ROUND('Plant input detail '!E1974*'WPB2.2 Plant detail-w slippage'!$P$2,0)</f>
        <v>0</v>
      </c>
      <c r="F1972" s="257">
        <f>ROUND('Plant input detail '!F1974*'WPB2.2 Plant detail-w slippage'!$P$2,0)</f>
        <v>0</v>
      </c>
      <c r="G1972" s="257">
        <f>SUM(D1972:F1972)</f>
        <v>521.20000000000005</v>
      </c>
      <c r="H1972" s="38"/>
      <c r="I1972" s="257">
        <f>N1866</f>
        <v>0</v>
      </c>
      <c r="J1972" s="296" t="s">
        <v>1094</v>
      </c>
      <c r="K1972" s="259">
        <v>0</v>
      </c>
      <c r="L1972" s="38">
        <f>-F1972</f>
        <v>0</v>
      </c>
      <c r="M1972" s="259">
        <v>0</v>
      </c>
      <c r="N1972" s="2227">
        <f>I1972+K1972-L1972+M1972</f>
        <v>0</v>
      </c>
    </row>
    <row r="1973" spans="1:14" x14ac:dyDescent="0.2">
      <c r="A1973" s="31">
        <f t="shared" si="606"/>
        <v>4</v>
      </c>
      <c r="B1973" s="253">
        <v>303</v>
      </c>
      <c r="C1973" s="52" t="s">
        <v>1027</v>
      </c>
      <c r="D1973" s="257">
        <f>G1867</f>
        <v>74347.509999999995</v>
      </c>
      <c r="E1973" s="382">
        <f>ROUND('Plant input detail '!E1975*'WPB2.2 Plant detail-w slippage'!$P$2,0)</f>
        <v>0</v>
      </c>
      <c r="F1973" s="257">
        <f>ROUND('Plant input detail '!F1975*'WPB2.2 Plant detail-w slippage'!$P$2,0)</f>
        <v>0</v>
      </c>
      <c r="G1973" s="257">
        <f>SUM(D1973:F1973)</f>
        <v>74347.509999999995</v>
      </c>
      <c r="H1973" s="38"/>
      <c r="I1973" s="257">
        <f>N1867</f>
        <v>49516.789999999943</v>
      </c>
      <c r="J1973" s="296" t="s">
        <v>1094</v>
      </c>
      <c r="K1973" s="257">
        <f>'WPB2.2a Intan Amort. w slippage'!O$127</f>
        <v>206.52</v>
      </c>
      <c r="L1973" s="38">
        <f>-F1973</f>
        <v>0</v>
      </c>
      <c r="M1973" s="259">
        <v>0</v>
      </c>
      <c r="N1973" s="2227">
        <f>I1973+K1973-L1973+M1973</f>
        <v>49723.309999999939</v>
      </c>
    </row>
    <row r="1974" spans="1:14" x14ac:dyDescent="0.2">
      <c r="A1974" s="31">
        <f t="shared" si="606"/>
        <v>5</v>
      </c>
      <c r="B1974" s="253">
        <v>303.10000000000002</v>
      </c>
      <c r="C1974" s="52" t="s">
        <v>1028</v>
      </c>
      <c r="D1974" s="257">
        <f>G1868</f>
        <v>0</v>
      </c>
      <c r="E1974" s="382">
        <f>ROUND('Plant input detail '!E1976*'WPB2.2 Plant detail-w slippage'!$P$2,0)</f>
        <v>0</v>
      </c>
      <c r="F1974" s="257">
        <f>ROUND('Plant input detail '!F1976*'WPB2.2 Plant detail-w slippage'!$P$2,0)</f>
        <v>0</v>
      </c>
      <c r="G1974" s="257">
        <f>SUM(D1974:F1974)</f>
        <v>0</v>
      </c>
      <c r="H1974" s="38"/>
      <c r="I1974" s="257">
        <f>N1868</f>
        <v>0</v>
      </c>
      <c r="J1974" s="296" t="s">
        <v>1094</v>
      </c>
      <c r="K1974" s="259">
        <v>0</v>
      </c>
      <c r="L1974" s="38">
        <f>-F1974</f>
        <v>0</v>
      </c>
      <c r="M1974" s="259">
        <v>0</v>
      </c>
      <c r="N1974" s="2227">
        <f>I1974+K1974-L1974+M1974</f>
        <v>0</v>
      </c>
    </row>
    <row r="1975" spans="1:14" x14ac:dyDescent="0.2">
      <c r="A1975" s="31">
        <f t="shared" si="606"/>
        <v>6</v>
      </c>
      <c r="B1975" s="253">
        <v>303.2</v>
      </c>
      <c r="C1975" s="52" t="s">
        <v>1029</v>
      </c>
      <c r="D1975" s="257">
        <f>G1869</f>
        <v>0</v>
      </c>
      <c r="E1975" s="382">
        <f>ROUND('Plant input detail '!E1977*'WPB2.2 Plant detail-w slippage'!$P$2,0)</f>
        <v>0</v>
      </c>
      <c r="F1975" s="257">
        <f>ROUND('Plant input detail '!F1977*'WPB2.2 Plant detail-w slippage'!$P$2,0)</f>
        <v>0</v>
      </c>
      <c r="G1975" s="257">
        <f>SUM(D1975:F1975)</f>
        <v>0</v>
      </c>
      <c r="H1975" s="38"/>
      <c r="I1975" s="257">
        <f>N1869</f>
        <v>0</v>
      </c>
      <c r="J1975" s="296" t="s">
        <v>1094</v>
      </c>
      <c r="K1975" s="259">
        <v>0</v>
      </c>
      <c r="L1975" s="38">
        <f>-F1975</f>
        <v>0</v>
      </c>
      <c r="M1975" s="259">
        <v>0</v>
      </c>
      <c r="N1975" s="2227">
        <f>I1975+K1975-L1975+M1975</f>
        <v>0</v>
      </c>
    </row>
    <row r="1976" spans="1:14" x14ac:dyDescent="0.2">
      <c r="A1976" s="31">
        <f t="shared" si="606"/>
        <v>7</v>
      </c>
      <c r="B1976" s="253">
        <v>303.3</v>
      </c>
      <c r="C1976" s="52" t="s">
        <v>1030</v>
      </c>
      <c r="D1976" s="260">
        <f>G1870</f>
        <v>9670586</v>
      </c>
      <c r="E1976" s="265">
        <f>ROUND('Plant input detail '!E1978*'WPB2.2 Plant detail-w slippage'!$P$2,0)</f>
        <v>0</v>
      </c>
      <c r="F1976" s="265">
        <f>ROUND('Plant input detail '!F1978*'WPB2.2 Plant detail-w slippage'!$P$2,0)</f>
        <v>0</v>
      </c>
      <c r="G1976" s="260">
        <f>SUM(D1976:F1976)</f>
        <v>9670586</v>
      </c>
      <c r="H1976" s="38"/>
      <c r="I1976" s="260">
        <f>N1870</f>
        <v>3631205.5141453566</v>
      </c>
      <c r="J1976" s="296" t="s">
        <v>1094</v>
      </c>
      <c r="K1976" s="260">
        <f>'WPB2.2a Intan Amort. w slippage'!O$216</f>
        <v>127878.599674742</v>
      </c>
      <c r="L1976" s="295">
        <f>-F1976</f>
        <v>0</v>
      </c>
      <c r="M1976" s="263">
        <v>0</v>
      </c>
      <c r="N1976" s="2228">
        <f>I1976+K1976-L1976+M1976</f>
        <v>3759084.1138200988</v>
      </c>
    </row>
    <row r="1977" spans="1:14" x14ac:dyDescent="0.2">
      <c r="A1977" s="31">
        <f t="shared" si="606"/>
        <v>8</v>
      </c>
      <c r="B1977" s="253"/>
      <c r="C1977" s="52" t="s">
        <v>1031</v>
      </c>
      <c r="D1977" s="38">
        <f>SUM(D1972:D1976)</f>
        <v>9745454.7100000009</v>
      </c>
      <c r="E1977" s="173">
        <f>SUM(E1972:E1976)</f>
        <v>0</v>
      </c>
      <c r="F1977" s="173">
        <f>SUM(F1972:F1976)</f>
        <v>0</v>
      </c>
      <c r="G1977" s="38">
        <f>SUM(G1972:G1976)</f>
        <v>9745454.7100000009</v>
      </c>
      <c r="H1977" s="38"/>
      <c r="I1977" s="38">
        <f>SUM(I1972:I1976)</f>
        <v>3680722.3041453566</v>
      </c>
      <c r="J1977" s="1359"/>
      <c r="K1977" s="173">
        <f>SUM(K1972:K1976)</f>
        <v>128085.119674742</v>
      </c>
      <c r="L1977" s="38">
        <f>SUM(L1972:L1976)</f>
        <v>0</v>
      </c>
      <c r="M1977" s="173">
        <f>SUM(M1972:M1976)</f>
        <v>0</v>
      </c>
      <c r="N1977" s="1361">
        <f>SUM(N1972:N1976)</f>
        <v>3808807.4238200989</v>
      </c>
    </row>
    <row r="1978" spans="1:14" x14ac:dyDescent="0.2">
      <c r="B1978" s="254"/>
      <c r="D1978" s="38"/>
      <c r="E1978" s="173"/>
      <c r="F1978" s="173"/>
      <c r="G1978" s="38"/>
      <c r="H1978" s="38"/>
      <c r="I1978" s="38"/>
      <c r="J1978" s="1359"/>
      <c r="K1978" s="173"/>
      <c r="L1978" s="38"/>
      <c r="M1978" s="173"/>
    </row>
    <row r="1979" spans="1:14" x14ac:dyDescent="0.2">
      <c r="A1979" s="31">
        <f>A1977+1</f>
        <v>9</v>
      </c>
      <c r="B1979" s="254"/>
      <c r="C1979" s="36" t="s">
        <v>704</v>
      </c>
      <c r="D1979" s="38"/>
      <c r="E1979" s="173"/>
      <c r="F1979" s="173"/>
      <c r="G1979" s="38"/>
      <c r="H1979" s="38"/>
      <c r="I1979" s="38"/>
      <c r="J1979" s="1359"/>
      <c r="K1979" s="173"/>
      <c r="L1979" s="38"/>
      <c r="M1979" s="173"/>
    </row>
    <row r="1980" spans="1:14" x14ac:dyDescent="0.2">
      <c r="A1980" s="31">
        <f>A1979+1</f>
        <v>10</v>
      </c>
      <c r="B1980" s="255">
        <v>304.10000000000002</v>
      </c>
      <c r="C1980" s="41" t="s">
        <v>1032</v>
      </c>
      <c r="D1980" s="260">
        <f>G1874</f>
        <v>0</v>
      </c>
      <c r="E1980" s="265">
        <f>ROUND('Plant input detail '!E1982*'WPB2.2 Plant detail-w slippage'!$P$2,0)</f>
        <v>0</v>
      </c>
      <c r="F1980" s="265">
        <f>ROUND('Plant input detail '!F1982*'WPB2.2 Plant detail-w slippage'!$P$2,0)</f>
        <v>0</v>
      </c>
      <c r="G1980" s="260">
        <f>SUM(D1980:F1980)</f>
        <v>0</v>
      </c>
      <c r="H1980" s="38"/>
      <c r="I1980" s="260">
        <f>N1874</f>
        <v>0</v>
      </c>
      <c r="J1980" s="1360" t="s">
        <v>1102</v>
      </c>
      <c r="K1980" s="266">
        <v>0</v>
      </c>
      <c r="L1980" s="295">
        <f>-F1980</f>
        <v>0</v>
      </c>
      <c r="M1980" s="263">
        <v>0</v>
      </c>
      <c r="N1980" s="2228">
        <f>I1980+K1980-L1980+M1980</f>
        <v>0</v>
      </c>
    </row>
    <row r="1981" spans="1:14" x14ac:dyDescent="0.2">
      <c r="A1981" s="31">
        <f>A1980+1</f>
        <v>11</v>
      </c>
      <c r="B1981" s="255"/>
      <c r="C1981" s="256" t="s">
        <v>1079</v>
      </c>
      <c r="D1981" s="38">
        <f>D1980</f>
        <v>0</v>
      </c>
      <c r="E1981" s="173">
        <f>E1980</f>
        <v>0</v>
      </c>
      <c r="F1981" s="173">
        <f>F1980</f>
        <v>0</v>
      </c>
      <c r="G1981" s="38">
        <f>G1980</f>
        <v>0</v>
      </c>
      <c r="H1981" s="38"/>
      <c r="I1981" s="38">
        <f>I1980</f>
        <v>0</v>
      </c>
      <c r="J1981" s="1361"/>
      <c r="K1981" s="173">
        <f>SUM(K1980)</f>
        <v>0</v>
      </c>
      <c r="L1981" s="38">
        <f>SUM(L1980)</f>
        <v>0</v>
      </c>
      <c r="M1981" s="173">
        <f>M1980</f>
        <v>0</v>
      </c>
      <c r="N1981" s="1361">
        <f>N1980</f>
        <v>0</v>
      </c>
    </row>
    <row r="1982" spans="1:14" x14ac:dyDescent="0.2">
      <c r="B1982" s="254"/>
      <c r="D1982" s="38"/>
      <c r="E1982" s="173"/>
      <c r="F1982" s="173"/>
      <c r="G1982" s="38"/>
      <c r="H1982" s="38"/>
      <c r="I1982" s="38"/>
      <c r="J1982" s="1361"/>
      <c r="K1982" s="173"/>
      <c r="L1982" s="38"/>
      <c r="M1982" s="173"/>
    </row>
    <row r="1983" spans="1:14" x14ac:dyDescent="0.2">
      <c r="A1983" s="31">
        <f>A1981+1</f>
        <v>12</v>
      </c>
      <c r="B1983" s="254"/>
      <c r="C1983" s="36" t="s">
        <v>707</v>
      </c>
      <c r="D1983" s="38"/>
      <c r="E1983" s="173"/>
      <c r="F1983" s="173"/>
      <c r="G1983" s="38"/>
      <c r="H1983" s="38"/>
      <c r="I1983" s="38"/>
      <c r="J1983" s="1361"/>
      <c r="K1983" s="173"/>
      <c r="L1983" s="38"/>
      <c r="M1983" s="173"/>
    </row>
    <row r="1984" spans="1:14" x14ac:dyDescent="0.2">
      <c r="A1984" s="31">
        <f>A1983+1</f>
        <v>13</v>
      </c>
      <c r="B1984" s="253">
        <v>374.1</v>
      </c>
      <c r="C1984" s="52" t="s">
        <v>1035</v>
      </c>
      <c r="D1984" s="257">
        <f t="shared" ref="D1984:D1994" si="607">G1878</f>
        <v>206</v>
      </c>
      <c r="E1984" s="382">
        <f>ROUND('Plant input detail '!E1986*'WPB2.2 Plant detail-w slippage'!$P$2,0)</f>
        <v>0</v>
      </c>
      <c r="F1984" s="257">
        <f>ROUND('Plant input detail '!F1986*'WPB2.2 Plant detail-w slippage'!$P$2,0)</f>
        <v>0</v>
      </c>
      <c r="G1984" s="257">
        <f>SUM(D1984:F1984)</f>
        <v>206</v>
      </c>
      <c r="H1984" s="38"/>
      <c r="I1984" s="257">
        <f t="shared" ref="I1984:I1994" si="608">N1878</f>
        <v>0</v>
      </c>
      <c r="J1984" s="1360" t="s">
        <v>1102</v>
      </c>
      <c r="K1984" s="259">
        <v>0</v>
      </c>
      <c r="L1984" s="38">
        <f t="shared" ref="L1984:L1994" si="609">-F1984</f>
        <v>0</v>
      </c>
      <c r="M1984" s="257">
        <f>ROUND('Plant input detail '!M1986*'WPB2.2 Plant detail-w slippage'!$P$2,0)</f>
        <v>0</v>
      </c>
      <c r="N1984" s="2227">
        <f t="shared" ref="N1984:N1994" si="610">I1984+K1984-L1984+M1984</f>
        <v>0</v>
      </c>
    </row>
    <row r="1985" spans="1:14" x14ac:dyDescent="0.2">
      <c r="A1985" s="31">
        <f t="shared" ref="A1985:A2005" si="611">A1984+1</f>
        <v>14</v>
      </c>
      <c r="B1985" s="253">
        <v>374.2</v>
      </c>
      <c r="C1985" s="52" t="s">
        <v>1036</v>
      </c>
      <c r="D1985" s="257">
        <f t="shared" si="607"/>
        <v>877756.18</v>
      </c>
      <c r="E1985" s="382">
        <f>ROUND('Plant input detail '!E1987*'WPB2.2 Plant detail-w slippage'!$P$2,0)</f>
        <v>0</v>
      </c>
      <c r="F1985" s="257">
        <f>ROUND('Plant input detail '!F1987*'WPB2.2 Plant detail-w slippage'!$P$2,0)</f>
        <v>0</v>
      </c>
      <c r="G1985" s="257">
        <f t="shared" ref="G1985:G1994" si="612">SUM(D1985:F1985)</f>
        <v>877756.18</v>
      </c>
      <c r="H1985" s="38"/>
      <c r="I1985" s="257">
        <f t="shared" si="608"/>
        <v>-523.13</v>
      </c>
      <c r="J1985" s="1360" t="s">
        <v>1102</v>
      </c>
      <c r="K1985" s="259">
        <v>0</v>
      </c>
      <c r="L1985" s="38">
        <f t="shared" si="609"/>
        <v>0</v>
      </c>
      <c r="M1985" s="257">
        <f>ROUND('Plant input detail '!M1987*'WPB2.2 Plant detail-w slippage'!$P$2,0)</f>
        <v>0</v>
      </c>
      <c r="N1985" s="2227">
        <f t="shared" si="610"/>
        <v>-523.13</v>
      </c>
    </row>
    <row r="1986" spans="1:14" x14ac:dyDescent="0.2">
      <c r="A1986" s="31">
        <f t="shared" si="611"/>
        <v>15</v>
      </c>
      <c r="B1986" s="253">
        <v>374.4</v>
      </c>
      <c r="C1986" s="52" t="s">
        <v>1037</v>
      </c>
      <c r="D1986" s="257">
        <f t="shared" si="607"/>
        <v>661305.66</v>
      </c>
      <c r="E1986" s="382">
        <f>ROUND('Plant input detail '!E1988*'WPB2.2 Plant detail-w slippage'!$P$2,0)</f>
        <v>0</v>
      </c>
      <c r="F1986" s="257">
        <f>ROUND('Plant input detail '!F1988*'WPB2.2 Plant detail-w slippage'!$P$2,0)</f>
        <v>0</v>
      </c>
      <c r="G1986" s="257">
        <f t="shared" si="612"/>
        <v>661305.66</v>
      </c>
      <c r="H1986" s="38"/>
      <c r="I1986" s="257">
        <f t="shared" si="608"/>
        <v>186555.36</v>
      </c>
      <c r="J1986" s="1362">
        <f t="shared" ref="J1986:J1992" si="613">J1880</f>
        <v>1.7399999999999999E-2</v>
      </c>
      <c r="K1986" s="173">
        <f>ROUND((G1986+D1986)/2*J1986/12,0)</f>
        <v>959</v>
      </c>
      <c r="L1986" s="38">
        <f t="shared" si="609"/>
        <v>0</v>
      </c>
      <c r="M1986" s="257">
        <f>ROUND('Plant input detail '!M1988*'WPB2.2 Plant detail-w slippage'!$P$2,0)</f>
        <v>0</v>
      </c>
      <c r="N1986" s="2227">
        <f t="shared" si="610"/>
        <v>187514.36</v>
      </c>
    </row>
    <row r="1987" spans="1:14" x14ac:dyDescent="0.2">
      <c r="A1987" s="31">
        <f t="shared" si="611"/>
        <v>16</v>
      </c>
      <c r="B1987" s="253">
        <v>374.5</v>
      </c>
      <c r="C1987" s="52" t="s">
        <v>1038</v>
      </c>
      <c r="D1987" s="257">
        <f t="shared" si="607"/>
        <v>2734772.55</v>
      </c>
      <c r="E1987" s="382">
        <f>ROUND('Plant input detail '!E1989*'WPB2.2 Plant detail-w slippage'!$P$2,0)</f>
        <v>5500</v>
      </c>
      <c r="F1987" s="257">
        <f>ROUND('Plant input detail '!F1989*'WPB2.2 Plant detail-w slippage'!$P$2,0)</f>
        <v>-700</v>
      </c>
      <c r="G1987" s="257">
        <f t="shared" si="612"/>
        <v>2739572.55</v>
      </c>
      <c r="H1987" s="38"/>
      <c r="I1987" s="257">
        <f t="shared" si="608"/>
        <v>947903.23</v>
      </c>
      <c r="J1987" s="1362">
        <f t="shared" si="613"/>
        <v>1.29E-2</v>
      </c>
      <c r="K1987" s="173">
        <f t="shared" ref="K1987:K1992" si="614">ROUND((G1987+D1987)/2*J1987/12,0)</f>
        <v>2942</v>
      </c>
      <c r="L1987" s="38">
        <f t="shared" si="609"/>
        <v>700</v>
      </c>
      <c r="M1987" s="257">
        <f>ROUND('Plant input detail '!M1989*'WPB2.2 Plant detail-w slippage'!$P$2,0)</f>
        <v>0</v>
      </c>
      <c r="N1987" s="2227">
        <f t="shared" si="610"/>
        <v>950145.23</v>
      </c>
    </row>
    <row r="1988" spans="1:14" x14ac:dyDescent="0.2">
      <c r="A1988" s="31">
        <f t="shared" si="611"/>
        <v>17</v>
      </c>
      <c r="B1988" s="253">
        <v>375.2</v>
      </c>
      <c r="C1988" s="52" t="s">
        <v>1039</v>
      </c>
      <c r="D1988" s="257">
        <f t="shared" si="607"/>
        <v>2124.98</v>
      </c>
      <c r="E1988" s="382">
        <f>ROUND('Plant input detail '!E1990*'WPB2.2 Plant detail-w slippage'!$P$2,0)</f>
        <v>0</v>
      </c>
      <c r="F1988" s="257">
        <f>ROUND('Plant input detail '!F1990*'WPB2.2 Plant detail-w slippage'!$P$2,0)</f>
        <v>0</v>
      </c>
      <c r="G1988" s="257">
        <f t="shared" si="612"/>
        <v>2124.98</v>
      </c>
      <c r="H1988" s="38"/>
      <c r="I1988" s="257">
        <f t="shared" si="608"/>
        <v>2075.3199999999997</v>
      </c>
      <c r="J1988" s="1362">
        <f t="shared" si="613"/>
        <v>3.1800000000000002E-2</v>
      </c>
      <c r="K1988" s="173">
        <f t="shared" si="614"/>
        <v>6</v>
      </c>
      <c r="L1988" s="38">
        <f t="shared" si="609"/>
        <v>0</v>
      </c>
      <c r="M1988" s="257">
        <f>ROUND('Plant input detail '!M1990*'WPB2.2 Plant detail-w slippage'!$P$2,0)</f>
        <v>0</v>
      </c>
      <c r="N1988" s="2227">
        <f t="shared" si="610"/>
        <v>2081.3199999999997</v>
      </c>
    </row>
    <row r="1989" spans="1:14" x14ac:dyDescent="0.2">
      <c r="A1989" s="31">
        <f t="shared" si="611"/>
        <v>18</v>
      </c>
      <c r="B1989" s="253">
        <v>375.3</v>
      </c>
      <c r="C1989" s="52" t="s">
        <v>1040</v>
      </c>
      <c r="D1989" s="257">
        <f t="shared" si="607"/>
        <v>0</v>
      </c>
      <c r="E1989" s="382">
        <f>ROUND('Plant input detail '!E1991*'WPB2.2 Plant detail-w slippage'!$P$2,0)</f>
        <v>0</v>
      </c>
      <c r="F1989" s="257">
        <f>ROUND('Plant input detail '!F1991*'WPB2.2 Plant detail-w slippage'!$P$2,0)</f>
        <v>0</v>
      </c>
      <c r="G1989" s="257">
        <f t="shared" si="612"/>
        <v>0</v>
      </c>
      <c r="H1989" s="38"/>
      <c r="I1989" s="257">
        <f t="shared" si="608"/>
        <v>-77.66</v>
      </c>
      <c r="J1989" s="1362">
        <f t="shared" si="613"/>
        <v>3.1800000000000002E-2</v>
      </c>
      <c r="K1989" s="173">
        <f t="shared" si="614"/>
        <v>0</v>
      </c>
      <c r="L1989" s="38">
        <f t="shared" si="609"/>
        <v>0</v>
      </c>
      <c r="M1989" s="257">
        <f>ROUND('Plant input detail '!M1991*'WPB2.2 Plant detail-w slippage'!$P$2,0)</f>
        <v>0</v>
      </c>
      <c r="N1989" s="2227">
        <f t="shared" si="610"/>
        <v>-77.66</v>
      </c>
    </row>
    <row r="1990" spans="1:14" x14ac:dyDescent="0.2">
      <c r="A1990" s="31">
        <f t="shared" si="611"/>
        <v>19</v>
      </c>
      <c r="B1990" s="253">
        <v>375.4</v>
      </c>
      <c r="C1990" s="52" t="s">
        <v>1041</v>
      </c>
      <c r="D1990" s="257">
        <f t="shared" si="607"/>
        <v>2241230.02</v>
      </c>
      <c r="E1990" s="382">
        <f>ROUND('Plant input detail '!E1992*'WPB2.2 Plant detail-w slippage'!$P$2,0)</f>
        <v>38300</v>
      </c>
      <c r="F1990" s="257">
        <f>ROUND('Plant input detail '!F1992*'WPB2.2 Plant detail-w slippage'!$P$2,0)</f>
        <v>-4600</v>
      </c>
      <c r="G1990" s="257">
        <f t="shared" si="612"/>
        <v>2274930.02</v>
      </c>
      <c r="H1990" s="38"/>
      <c r="I1990" s="257">
        <f t="shared" si="608"/>
        <v>508411.37</v>
      </c>
      <c r="J1990" s="1362">
        <f t="shared" si="613"/>
        <v>3.1800000000000002E-2</v>
      </c>
      <c r="K1990" s="173">
        <f t="shared" si="614"/>
        <v>5984</v>
      </c>
      <c r="L1990" s="38">
        <f t="shared" si="609"/>
        <v>4600</v>
      </c>
      <c r="M1990" s="257">
        <f>ROUND('Plant input detail '!M1992*'WPB2.2 Plant detail-w slippage'!$P$2,0)</f>
        <v>-500</v>
      </c>
      <c r="N1990" s="2227">
        <f t="shared" si="610"/>
        <v>509295.37</v>
      </c>
    </row>
    <row r="1991" spans="1:14" x14ac:dyDescent="0.2">
      <c r="A1991" s="31">
        <f t="shared" si="611"/>
        <v>20</v>
      </c>
      <c r="B1991" s="253">
        <v>375.6</v>
      </c>
      <c r="C1991" s="52" t="s">
        <v>1042</v>
      </c>
      <c r="D1991" s="257">
        <f t="shared" si="607"/>
        <v>0</v>
      </c>
      <c r="E1991" s="382">
        <f>ROUND('Plant input detail '!E1993*'WPB2.2 Plant detail-w slippage'!$P$2,0)</f>
        <v>0</v>
      </c>
      <c r="F1991" s="257">
        <f>ROUND('Plant input detail '!F1993*'WPB2.2 Plant detail-w slippage'!$P$2,0)</f>
        <v>0</v>
      </c>
      <c r="G1991" s="257">
        <f t="shared" si="612"/>
        <v>0</v>
      </c>
      <c r="H1991" s="38"/>
      <c r="I1991" s="257">
        <f t="shared" si="608"/>
        <v>0.02</v>
      </c>
      <c r="J1991" s="1362">
        <f t="shared" si="613"/>
        <v>3.1800000000000002E-2</v>
      </c>
      <c r="K1991" s="173">
        <f t="shared" si="614"/>
        <v>0</v>
      </c>
      <c r="L1991" s="38">
        <f t="shared" si="609"/>
        <v>0</v>
      </c>
      <c r="M1991" s="257">
        <f>ROUND('Plant input detail '!M1993*'WPB2.2 Plant detail-w slippage'!$P$2,0)</f>
        <v>0</v>
      </c>
      <c r="N1991" s="2227">
        <f t="shared" si="610"/>
        <v>0.02</v>
      </c>
    </row>
    <row r="1992" spans="1:14" x14ac:dyDescent="0.2">
      <c r="A1992" s="31">
        <f t="shared" si="611"/>
        <v>21</v>
      </c>
      <c r="B1992" s="253">
        <v>375.7</v>
      </c>
      <c r="C1992" s="52" t="s">
        <v>1043</v>
      </c>
      <c r="D1992" s="257">
        <f t="shared" si="607"/>
        <v>8595550.2100000009</v>
      </c>
      <c r="E1992" s="382">
        <f>ROUND('Plant input detail '!E1994*'WPB2.2 Plant detail-w slippage'!$P$2,0)</f>
        <v>48300</v>
      </c>
      <c r="F1992" s="257">
        <f>ROUND('Plant input detail '!F1994*'WPB2.2 Plant detail-w slippage'!$P$2,0)</f>
        <v>-5800</v>
      </c>
      <c r="G1992" s="257">
        <f t="shared" si="612"/>
        <v>8638050.2100000009</v>
      </c>
      <c r="H1992" s="38"/>
      <c r="I1992" s="257">
        <f t="shared" si="608"/>
        <v>3389441.06</v>
      </c>
      <c r="J1992" s="1362">
        <f t="shared" si="613"/>
        <v>2.1299999999999999E-2</v>
      </c>
      <c r="K1992" s="173">
        <f t="shared" si="614"/>
        <v>15295</v>
      </c>
      <c r="L1992" s="38">
        <f t="shared" si="609"/>
        <v>5800</v>
      </c>
      <c r="M1992" s="257">
        <f>ROUND('Plant input detail '!M1994*'WPB2.2 Plant detail-w slippage'!$P$2,0)</f>
        <v>0</v>
      </c>
      <c r="N1992" s="2227">
        <f t="shared" si="610"/>
        <v>3398936.06</v>
      </c>
    </row>
    <row r="1993" spans="1:14" x14ac:dyDescent="0.2">
      <c r="A1993" s="31">
        <f t="shared" si="611"/>
        <v>22</v>
      </c>
      <c r="B1993" s="253">
        <v>375.71</v>
      </c>
      <c r="C1993" s="52" t="s">
        <v>1044</v>
      </c>
      <c r="D1993" s="257">
        <f t="shared" si="607"/>
        <v>259808.94</v>
      </c>
      <c r="E1993" s="382">
        <f>ROUND('Plant input detail '!E1995*'WPB2.2 Plant detail-w slippage'!$P$2,0)</f>
        <v>0</v>
      </c>
      <c r="F1993" s="257">
        <f>ROUND('Plant input detail '!F1995*'WPB2.2 Plant detail-w slippage'!$P$2,0)</f>
        <v>0</v>
      </c>
      <c r="G1993" s="257">
        <f t="shared" si="612"/>
        <v>259808.94</v>
      </c>
      <c r="H1993" s="38"/>
      <c r="I1993" s="257">
        <f t="shared" si="608"/>
        <v>204727.95052631601</v>
      </c>
      <c r="J1993" s="296" t="s">
        <v>1094</v>
      </c>
      <c r="K1993" s="258">
        <f>104653.88/38</f>
        <v>2754.0494736842106</v>
      </c>
      <c r="L1993" s="38">
        <f t="shared" si="609"/>
        <v>0</v>
      </c>
      <c r="M1993" s="257">
        <f>ROUND('Plant input detail '!M1995*'WPB2.2 Plant detail-w slippage'!$P$2,0)</f>
        <v>0</v>
      </c>
      <c r="N1993" s="2227">
        <f t="shared" si="610"/>
        <v>207482.00000000023</v>
      </c>
    </row>
    <row r="1994" spans="1:14" x14ac:dyDescent="0.2">
      <c r="A1994" s="31">
        <f t="shared" si="611"/>
        <v>23</v>
      </c>
      <c r="B1994" s="253">
        <v>375.8</v>
      </c>
      <c r="C1994" s="52" t="s">
        <v>1045</v>
      </c>
      <c r="D1994" s="257">
        <f t="shared" si="607"/>
        <v>0</v>
      </c>
      <c r="E1994" s="382">
        <f>ROUND('Plant input detail '!E1996*'WPB2.2 Plant detail-w slippage'!$P$2,0)</f>
        <v>0</v>
      </c>
      <c r="F1994" s="257">
        <f>ROUND('Plant input detail '!F1996*'WPB2.2 Plant detail-w slippage'!$P$2,0)</f>
        <v>0</v>
      </c>
      <c r="G1994" s="257">
        <f t="shared" si="612"/>
        <v>0</v>
      </c>
      <c r="H1994" s="38"/>
      <c r="I1994" s="257">
        <f t="shared" si="608"/>
        <v>0</v>
      </c>
      <c r="J1994" s="1362">
        <f>J1888</f>
        <v>0</v>
      </c>
      <c r="K1994" s="259">
        <v>0</v>
      </c>
      <c r="L1994" s="38">
        <f t="shared" si="609"/>
        <v>0</v>
      </c>
      <c r="M1994" s="257">
        <f>ROUND('Plant input detail '!M1996*'WPB2.2 Plant detail-w slippage'!$P$2,0)</f>
        <v>0</v>
      </c>
      <c r="N1994" s="2227">
        <f t="shared" si="610"/>
        <v>0</v>
      </c>
    </row>
    <row r="1995" spans="1:14" x14ac:dyDescent="0.2">
      <c r="A1995" s="31">
        <f>A1994+1</f>
        <v>24</v>
      </c>
      <c r="B1995" s="253">
        <v>376</v>
      </c>
      <c r="C1995" s="251" t="s">
        <v>1096</v>
      </c>
      <c r="D1995" s="257"/>
      <c r="E1995" s="258"/>
      <c r="F1995" s="259"/>
      <c r="G1995" s="257"/>
      <c r="H1995" s="38"/>
      <c r="I1995" s="181"/>
      <c r="J1995" s="1361"/>
      <c r="K1995" s="173"/>
      <c r="L1995" s="38"/>
      <c r="M1995" s="259"/>
    </row>
    <row r="1996" spans="1:14" x14ac:dyDescent="0.2">
      <c r="A1996" s="31"/>
      <c r="B1996" s="253"/>
      <c r="C1996" s="286" t="s">
        <v>1097</v>
      </c>
      <c r="D1996" s="257"/>
      <c r="E1996" s="258"/>
      <c r="F1996" s="259"/>
      <c r="G1996" s="257"/>
      <c r="H1996" s="38"/>
      <c r="I1996" s="257"/>
      <c r="J1996" s="1362"/>
      <c r="K1996" s="173"/>
      <c r="L1996" s="38"/>
      <c r="M1996" s="257"/>
      <c r="N1996" s="2227"/>
    </row>
    <row r="1997" spans="1:14" x14ac:dyDescent="0.2">
      <c r="A1997" s="31"/>
      <c r="B1997" s="253"/>
      <c r="C1997" s="286" t="s">
        <v>1098</v>
      </c>
      <c r="D1997" s="257"/>
      <c r="E1997" s="258"/>
      <c r="F1997" s="259"/>
      <c r="G1997" s="257"/>
      <c r="H1997" s="38"/>
      <c r="I1997" s="257"/>
      <c r="J1997" s="1362"/>
      <c r="K1997" s="173"/>
      <c r="L1997" s="38"/>
      <c r="M1997" s="257"/>
      <c r="N1997" s="2227"/>
    </row>
    <row r="1998" spans="1:14" x14ac:dyDescent="0.2">
      <c r="A1998" s="31"/>
      <c r="B1998" s="253"/>
      <c r="C1998" s="286" t="s">
        <v>1099</v>
      </c>
      <c r="D1998" s="257"/>
      <c r="E1998" s="258"/>
      <c r="F1998" s="259"/>
      <c r="G1998" s="257"/>
      <c r="H1998" s="38"/>
      <c r="I1998" s="257"/>
      <c r="J1998" s="1362"/>
      <c r="K1998" s="173"/>
      <c r="L1998" s="38"/>
      <c r="M1998" s="257"/>
      <c r="N1998" s="2227"/>
    </row>
    <row r="1999" spans="1:14" x14ac:dyDescent="0.2">
      <c r="A1999" s="31"/>
      <c r="B1999" s="253"/>
      <c r="C1999" s="286" t="s">
        <v>1100</v>
      </c>
      <c r="D1999" s="257"/>
      <c r="E1999" s="258"/>
      <c r="F1999" s="259"/>
      <c r="G1999" s="257"/>
      <c r="H1999" s="38"/>
      <c r="I1999" s="257"/>
      <c r="J1999" s="1362"/>
      <c r="K1999" s="173"/>
      <c r="L1999" s="38"/>
      <c r="M1999" s="257"/>
      <c r="N1999" s="2227"/>
    </row>
    <row r="2000" spans="1:14" x14ac:dyDescent="0.2">
      <c r="A2000" s="31"/>
      <c r="B2000" s="253"/>
      <c r="C2000" s="286" t="s">
        <v>1101</v>
      </c>
      <c r="D2000" s="257">
        <f t="shared" ref="D2000:D2005" si="615">G1894</f>
        <v>222026665.44</v>
      </c>
      <c r="E2000" s="382">
        <f>ROUND('Plant input detail '!E2002*'WPB2.2 Plant detail-w slippage'!$P$2,0)</f>
        <v>2054220</v>
      </c>
      <c r="F2000" s="257">
        <f>ROUND('Plant input detail '!F2002*'WPB2.2 Plant detail-w slippage'!$P$2,0)</f>
        <v>-246500</v>
      </c>
      <c r="G2000" s="257">
        <f t="shared" ref="G2000:G2005" si="616">SUM(D2000:F2000)</f>
        <v>223834385.44</v>
      </c>
      <c r="H2000" s="38"/>
      <c r="I2000" s="257">
        <f t="shared" ref="I2000:I2005" si="617">N1894</f>
        <v>59417978.609999999</v>
      </c>
      <c r="J2000" s="1362">
        <f t="shared" ref="J2000:J2005" si="618">J1894</f>
        <v>2.3E-2</v>
      </c>
      <c r="K2000" s="173">
        <f t="shared" ref="K2000:K2005" si="619">ROUND((G2000+D2000)/2*J2000/12,0)</f>
        <v>427284</v>
      </c>
      <c r="L2000" s="38">
        <f t="shared" ref="L2000:L2005" si="620">-F2000</f>
        <v>246500</v>
      </c>
      <c r="M2000" s="257">
        <f>ROUND('Plant input detail '!M2002*'WPB2.2 Plant detail-w slippage'!$P$2,0)</f>
        <v>-37000</v>
      </c>
      <c r="N2000" s="2227">
        <f t="shared" ref="N2000:N2005" si="621">I2000+K2000-L2000+M2000</f>
        <v>59561762.609999999</v>
      </c>
    </row>
    <row r="2001" spans="1:14" x14ac:dyDescent="0.2">
      <c r="A2001" s="31">
        <f>A1995+1</f>
        <v>25</v>
      </c>
      <c r="B2001" s="253">
        <v>378.1</v>
      </c>
      <c r="C2001" s="52" t="s">
        <v>1047</v>
      </c>
      <c r="D2001" s="257">
        <f t="shared" si="615"/>
        <v>518504.18</v>
      </c>
      <c r="E2001" s="382">
        <f>ROUND('Plant input detail '!E2003*'WPB2.2 Plant detail-w slippage'!$P$2,0)</f>
        <v>0</v>
      </c>
      <c r="F2001" s="257">
        <f>ROUND('Plant input detail '!F2003*'WPB2.2 Plant detail-w slippage'!$P$2,0)</f>
        <v>0</v>
      </c>
      <c r="G2001" s="257">
        <f t="shared" si="616"/>
        <v>518504.18</v>
      </c>
      <c r="H2001" s="38"/>
      <c r="I2001" s="257">
        <f t="shared" si="617"/>
        <v>374941.81</v>
      </c>
      <c r="J2001" s="1362">
        <f t="shared" si="618"/>
        <v>3.32E-2</v>
      </c>
      <c r="K2001" s="173">
        <f t="shared" si="619"/>
        <v>1435</v>
      </c>
      <c r="L2001" s="38">
        <f t="shared" si="620"/>
        <v>0</v>
      </c>
      <c r="M2001" s="257">
        <f>ROUND('Plant input detail '!M2003*'WPB2.2 Plant detail-w slippage'!$P$2,0)</f>
        <v>0</v>
      </c>
      <c r="N2001" s="2227">
        <f t="shared" si="621"/>
        <v>376376.81</v>
      </c>
    </row>
    <row r="2002" spans="1:14" x14ac:dyDescent="0.2">
      <c r="A2002" s="31">
        <f t="shared" si="611"/>
        <v>26</v>
      </c>
      <c r="B2002" s="253">
        <v>378.2</v>
      </c>
      <c r="C2002" s="52" t="s">
        <v>1048</v>
      </c>
      <c r="D2002" s="257">
        <f t="shared" si="615"/>
        <v>9978024</v>
      </c>
      <c r="E2002" s="382">
        <f>ROUND('Plant input detail '!E2004*'WPB2.2 Plant detail-w slippage'!$P$2,0)</f>
        <v>60300</v>
      </c>
      <c r="F2002" s="257">
        <f>ROUND('Plant input detail '!F2004*'WPB2.2 Plant detail-w slippage'!$P$2,0)</f>
        <v>-7200</v>
      </c>
      <c r="G2002" s="257">
        <f t="shared" si="616"/>
        <v>10031124</v>
      </c>
      <c r="H2002" s="38"/>
      <c r="I2002" s="257">
        <f t="shared" si="617"/>
        <v>3558731.91</v>
      </c>
      <c r="J2002" s="1362">
        <f t="shared" si="618"/>
        <v>3.32E-2</v>
      </c>
      <c r="K2002" s="173">
        <f t="shared" si="619"/>
        <v>27679</v>
      </c>
      <c r="L2002" s="38">
        <f t="shared" si="620"/>
        <v>7200</v>
      </c>
      <c r="M2002" s="257">
        <f>ROUND('Plant input detail '!M2004*'WPB2.2 Plant detail-w slippage'!$P$2,0)</f>
        <v>-400</v>
      </c>
      <c r="N2002" s="2227">
        <f t="shared" si="621"/>
        <v>3578810.91</v>
      </c>
    </row>
    <row r="2003" spans="1:14" x14ac:dyDescent="0.2">
      <c r="A2003" s="31">
        <f t="shared" si="611"/>
        <v>27</v>
      </c>
      <c r="B2003" s="253">
        <v>378.3</v>
      </c>
      <c r="C2003" s="52" t="s">
        <v>1049</v>
      </c>
      <c r="D2003" s="257">
        <f t="shared" si="615"/>
        <v>45443.08</v>
      </c>
      <c r="E2003" s="382">
        <f>ROUND('Plant input detail '!E2005*'WPB2.2 Plant detail-w slippage'!$P$2,0)</f>
        <v>0</v>
      </c>
      <c r="F2003" s="257">
        <f>ROUND('Plant input detail '!F2005*'WPB2.2 Plant detail-w slippage'!$P$2,0)</f>
        <v>0</v>
      </c>
      <c r="G2003" s="257">
        <f t="shared" si="616"/>
        <v>45443.08</v>
      </c>
      <c r="H2003" s="38"/>
      <c r="I2003" s="257">
        <f t="shared" si="617"/>
        <v>36886.04</v>
      </c>
      <c r="J2003" s="1362">
        <f t="shared" si="618"/>
        <v>3.32E-2</v>
      </c>
      <c r="K2003" s="173">
        <f t="shared" si="619"/>
        <v>126</v>
      </c>
      <c r="L2003" s="38">
        <f t="shared" si="620"/>
        <v>0</v>
      </c>
      <c r="M2003" s="257">
        <f>ROUND('Plant input detail '!M2005*'WPB2.2 Plant detail-w slippage'!$P$2,0)</f>
        <v>0</v>
      </c>
      <c r="N2003" s="2227">
        <f t="shared" si="621"/>
        <v>37012.04</v>
      </c>
    </row>
    <row r="2004" spans="1:14" x14ac:dyDescent="0.2">
      <c r="A2004" s="31">
        <f t="shared" si="611"/>
        <v>28</v>
      </c>
      <c r="B2004" s="253">
        <v>379.1</v>
      </c>
      <c r="C2004" s="52" t="s">
        <v>1050</v>
      </c>
      <c r="D2004" s="257">
        <f t="shared" si="615"/>
        <v>254900.59</v>
      </c>
      <c r="E2004" s="382">
        <f>ROUND('Plant input detail '!E2006*'WPB2.2 Plant detail-w slippage'!$P$2,0)</f>
        <v>0</v>
      </c>
      <c r="F2004" s="257">
        <f>ROUND('Plant input detail '!F2006*'WPB2.2 Plant detail-w slippage'!$P$2,0)</f>
        <v>0</v>
      </c>
      <c r="G2004" s="257">
        <f t="shared" si="616"/>
        <v>254900.59</v>
      </c>
      <c r="H2004" s="38"/>
      <c r="I2004" s="257">
        <f t="shared" si="617"/>
        <v>267730.57</v>
      </c>
      <c r="J2004" s="1362">
        <f t="shared" si="618"/>
        <v>6.0000000000000001E-3</v>
      </c>
      <c r="K2004" s="259">
        <v>0</v>
      </c>
      <c r="L2004" s="38">
        <f t="shared" si="620"/>
        <v>0</v>
      </c>
      <c r="M2004" s="257">
        <f>ROUND('Plant input detail '!M2006*'WPB2.2 Plant detail-w slippage'!$P$2,0)</f>
        <v>0</v>
      </c>
      <c r="N2004" s="2227">
        <f t="shared" si="621"/>
        <v>267730.57</v>
      </c>
    </row>
    <row r="2005" spans="1:14" x14ac:dyDescent="0.2">
      <c r="A2005" s="31">
        <f t="shared" si="611"/>
        <v>29</v>
      </c>
      <c r="B2005" s="253">
        <v>380</v>
      </c>
      <c r="C2005" s="52" t="s">
        <v>1051</v>
      </c>
      <c r="D2005" s="257">
        <f t="shared" si="615"/>
        <v>128188400.77</v>
      </c>
      <c r="E2005" s="382">
        <f>ROUND('Plant input detail '!E2007*'WPB2.2 Plant detail-w slippage'!$P$2,0)</f>
        <v>1484146</v>
      </c>
      <c r="F2005" s="257">
        <f>ROUND('Plant input detail '!F2007*'WPB2.2 Plant detail-w slippage'!$P$2,0)</f>
        <v>-178100</v>
      </c>
      <c r="G2005" s="257">
        <f t="shared" si="616"/>
        <v>129494446.77</v>
      </c>
      <c r="H2005" s="38"/>
      <c r="I2005" s="257">
        <f t="shared" si="617"/>
        <v>61988963.520000003</v>
      </c>
      <c r="J2005" s="1362">
        <f t="shared" si="618"/>
        <v>5.0999999999999997E-2</v>
      </c>
      <c r="K2005" s="173">
        <f t="shared" si="619"/>
        <v>547576</v>
      </c>
      <c r="L2005" s="38">
        <f t="shared" si="620"/>
        <v>178100</v>
      </c>
      <c r="M2005" s="257">
        <f>ROUND('Plant input detail '!M2007*'WPB2.2 Plant detail-w slippage'!$P$2,0)</f>
        <v>-89000</v>
      </c>
      <c r="N2005" s="2227">
        <f t="shared" si="621"/>
        <v>62269439.520000003</v>
      </c>
    </row>
    <row r="2006" spans="1:14" x14ac:dyDescent="0.2">
      <c r="A2006" s="170"/>
      <c r="B2006" s="179"/>
      <c r="C2006" s="178"/>
      <c r="D2006" s="181"/>
      <c r="E2006" s="173"/>
      <c r="F2006" s="173"/>
      <c r="G2006" s="181"/>
      <c r="H2006" s="173"/>
      <c r="I2006" s="173"/>
      <c r="J2006" s="173"/>
      <c r="K2006" s="173"/>
      <c r="L2006" s="173"/>
      <c r="M2006" s="171"/>
      <c r="N2006" s="2229"/>
    </row>
    <row r="2007" spans="1:14" x14ac:dyDescent="0.2">
      <c r="A2007" s="2079" t="str">
        <f>co</f>
        <v>COLUMBIA GAS OF KENTUCKY, INC.</v>
      </c>
      <c r="B2007" s="2079"/>
      <c r="C2007" s="2079"/>
      <c r="D2007" s="2079"/>
      <c r="E2007" s="2079"/>
      <c r="F2007" s="2079"/>
      <c r="G2007" s="2079"/>
      <c r="H2007" s="2079"/>
      <c r="I2007" s="2079"/>
      <c r="J2007" s="2079"/>
      <c r="K2007" s="2079"/>
      <c r="L2007" s="2079"/>
      <c r="M2007" s="2079"/>
      <c r="N2007" s="2079"/>
    </row>
    <row r="2008" spans="1:14" x14ac:dyDescent="0.2">
      <c r="A2008" s="2079" t="str">
        <f>case</f>
        <v>CASE NO. 2016 - 00162</v>
      </c>
      <c r="B2008" s="2079"/>
      <c r="C2008" s="2079"/>
      <c r="D2008" s="2079"/>
      <c r="E2008" s="2079"/>
      <c r="F2008" s="2079"/>
      <c r="G2008" s="2079"/>
      <c r="H2008" s="2079"/>
      <c r="I2008" s="2079"/>
      <c r="J2008" s="2079"/>
      <c r="K2008" s="2079"/>
      <c r="L2008" s="2079"/>
      <c r="M2008" s="2079"/>
      <c r="N2008" s="2079"/>
    </row>
    <row r="2009" spans="1:14" x14ac:dyDescent="0.2">
      <c r="A2009" s="2080" t="s">
        <v>1106</v>
      </c>
      <c r="B2009" s="2079"/>
      <c r="C2009" s="2079"/>
      <c r="D2009" s="2079"/>
      <c r="E2009" s="2079"/>
      <c r="F2009" s="2079"/>
      <c r="G2009" s="2079"/>
      <c r="H2009" s="2079"/>
      <c r="I2009" s="2079"/>
      <c r="J2009" s="2079"/>
      <c r="K2009" s="2079"/>
      <c r="L2009" s="2079"/>
      <c r="M2009" s="2079"/>
      <c r="N2009" s="2079"/>
    </row>
    <row r="2010" spans="1:14" x14ac:dyDescent="0.2">
      <c r="A2010" s="2081" t="s">
        <v>2142</v>
      </c>
      <c r="B2010" s="2085"/>
      <c r="C2010" s="2085"/>
      <c r="D2010" s="2085"/>
      <c r="E2010" s="2085"/>
      <c r="F2010" s="2085"/>
      <c r="G2010" s="2085"/>
      <c r="H2010" s="2085"/>
      <c r="I2010" s="2085"/>
      <c r="J2010" s="2085"/>
      <c r="K2010" s="2085"/>
      <c r="L2010" s="2085"/>
      <c r="M2010" s="2085"/>
      <c r="N2010" s="2085"/>
    </row>
    <row r="2012" spans="1:14" x14ac:dyDescent="0.2">
      <c r="A2012" s="285" t="str">
        <f>$A$6</f>
        <v>DATA:__X___BASE PERIOD__X___FORECASTED PERIOD</v>
      </c>
      <c r="C2012" s="171"/>
      <c r="M2012" s="32"/>
      <c r="N2012" s="1258" t="str">
        <f>$N$6</f>
        <v>WPB-2.2</v>
      </c>
    </row>
    <row r="2013" spans="1:14" x14ac:dyDescent="0.2">
      <c r="A2013" s="4" t="str">
        <f>$A$7</f>
        <v>TYPE OF FILING:___X____ORIGINAL________UPDATED</v>
      </c>
      <c r="M2013" s="32"/>
      <c r="N2013" s="2223" t="s">
        <v>1751</v>
      </c>
    </row>
    <row r="2014" spans="1:14" x14ac:dyDescent="0.2">
      <c r="A2014" s="1261" t="str">
        <f>$A$8</f>
        <v xml:space="preserve">WORKPAPER REFERENCE NO(S).: </v>
      </c>
      <c r="B2014" s="202"/>
      <c r="C2014" s="202"/>
      <c r="D2014" s="201"/>
      <c r="E2014" s="202"/>
      <c r="F2014" s="202"/>
      <c r="G2014" s="201"/>
      <c r="H2014" s="201"/>
      <c r="M2014" s="203"/>
      <c r="N2014" s="204" t="str">
        <f>SMK</f>
        <v>WITNESS:  S. M. KATKO</v>
      </c>
    </row>
    <row r="2015" spans="1:14" x14ac:dyDescent="0.2">
      <c r="A2015" s="200"/>
      <c r="B2015" s="201"/>
      <c r="C2015" s="201"/>
      <c r="D2015" s="201"/>
      <c r="E2015" s="202"/>
      <c r="F2015" s="202"/>
      <c r="G2015" s="201"/>
      <c r="H2015" s="201"/>
      <c r="I2015" s="203"/>
      <c r="J2015" s="1357"/>
      <c r="L2015" s="32"/>
      <c r="M2015" s="32"/>
    </row>
    <row r="2016" spans="1:14" x14ac:dyDescent="0.2">
      <c r="A2016" s="200"/>
      <c r="B2016" s="201"/>
      <c r="C2016" s="201"/>
      <c r="D2016" s="2082" t="s">
        <v>1088</v>
      </c>
      <c r="E2016" s="2082"/>
      <c r="F2016" s="2082"/>
      <c r="G2016" s="2082"/>
      <c r="H2016" s="201"/>
      <c r="I2016" s="2083" t="s">
        <v>1093</v>
      </c>
      <c r="J2016" s="2084"/>
      <c r="K2016" s="2084"/>
      <c r="L2016" s="2084"/>
      <c r="M2016" s="2084"/>
      <c r="N2016" s="2084"/>
    </row>
    <row r="2017" spans="1:14" x14ac:dyDescent="0.2">
      <c r="A2017" s="270"/>
      <c r="B2017" s="201"/>
      <c r="C2017" s="201"/>
      <c r="D2017" s="271" t="s">
        <v>1084</v>
      </c>
      <c r="E2017" s="202"/>
      <c r="F2017" s="202"/>
      <c r="G2017" s="269"/>
      <c r="H2017" s="269"/>
      <c r="I2017" s="261" t="s">
        <v>1089</v>
      </c>
      <c r="J2017" s="1358"/>
      <c r="M2017" s="32"/>
    </row>
    <row r="2018" spans="1:14" x14ac:dyDescent="0.2">
      <c r="A2018" s="30"/>
      <c r="D2018" s="261" t="s">
        <v>865</v>
      </c>
      <c r="G2018" s="261" t="s">
        <v>867</v>
      </c>
      <c r="H2018" s="268"/>
      <c r="I2018" s="261" t="s">
        <v>865</v>
      </c>
      <c r="J2018" s="1308" t="s">
        <v>956</v>
      </c>
      <c r="M2018" s="32"/>
      <c r="N2018" s="2225" t="s">
        <v>867</v>
      </c>
    </row>
    <row r="2019" spans="1:14" x14ac:dyDescent="0.2">
      <c r="A2019" s="261" t="s">
        <v>1080</v>
      </c>
      <c r="B2019" s="261" t="s">
        <v>1082</v>
      </c>
      <c r="D2019" s="261" t="s">
        <v>867</v>
      </c>
      <c r="G2019" s="262" t="s">
        <v>1087</v>
      </c>
      <c r="H2019" s="268"/>
      <c r="I2019" s="262" t="s">
        <v>867</v>
      </c>
      <c r="J2019" s="1308" t="s">
        <v>1090</v>
      </c>
      <c r="K2019" s="1308" t="s">
        <v>956</v>
      </c>
      <c r="M2019" s="262" t="s">
        <v>1092</v>
      </c>
      <c r="N2019" s="1259" t="s">
        <v>1087</v>
      </c>
    </row>
    <row r="2020" spans="1:14" x14ac:dyDescent="0.2">
      <c r="A2020" s="272" t="s">
        <v>1081</v>
      </c>
      <c r="B2020" s="272" t="s">
        <v>1081</v>
      </c>
      <c r="C2020" s="273" t="s">
        <v>1083</v>
      </c>
      <c r="D2020" s="274" t="str">
        <f>D1967</f>
        <v>08/31/2017</v>
      </c>
      <c r="E2020" s="275" t="s">
        <v>1085</v>
      </c>
      <c r="F2020" s="275" t="s">
        <v>1086</v>
      </c>
      <c r="G2020" s="274" t="str">
        <f>G1967</f>
        <v>09/30/2017</v>
      </c>
      <c r="H2020" s="268"/>
      <c r="I2020" s="274" t="str">
        <f>D2020</f>
        <v>08/31/2017</v>
      </c>
      <c r="J2020" s="275" t="s">
        <v>1091</v>
      </c>
      <c r="K2020" s="1327" t="s">
        <v>1090</v>
      </c>
      <c r="L2020" s="276" t="s">
        <v>1086</v>
      </c>
      <c r="M2020" s="276" t="s">
        <v>955</v>
      </c>
      <c r="N2020" s="2226" t="str">
        <f>G2020</f>
        <v>09/30/2017</v>
      </c>
    </row>
    <row r="2021" spans="1:14" x14ac:dyDescent="0.2">
      <c r="A2021" s="267"/>
      <c r="B2021" s="267"/>
      <c r="C2021" s="267"/>
      <c r="D2021" s="267" t="str">
        <f>"(1)"</f>
        <v>(1)</v>
      </c>
      <c r="E2021" s="267" t="str">
        <f>"(2)"</f>
        <v>(2)</v>
      </c>
      <c r="F2021" s="267" t="str">
        <f>"(3)"</f>
        <v>(3)</v>
      </c>
      <c r="G2021" s="267" t="str">
        <f>"(4)=(1+2+3)"</f>
        <v>(4)=(1+2+3)</v>
      </c>
      <c r="H2021" s="267"/>
      <c r="I2021" s="267" t="str">
        <f>"(5)"</f>
        <v>(5)</v>
      </c>
      <c r="J2021" s="1328" t="str">
        <f>"(6)"</f>
        <v>(6)</v>
      </c>
      <c r="K2021" s="1328" t="str">
        <f>"(7)=((1+4)/2*6/12))"</f>
        <v>(7)=((1+4)/2*6/12))</v>
      </c>
      <c r="L2021" s="267" t="str">
        <f>"(8)"</f>
        <v>(8)</v>
      </c>
      <c r="M2021" s="267" t="str">
        <f>"(9)"</f>
        <v>(9)</v>
      </c>
      <c r="N2021" s="204" t="str">
        <f>"(10)=(5+7-8+9)"</f>
        <v>(10)=(5+7-8+9)</v>
      </c>
    </row>
    <row r="2022" spans="1:14" x14ac:dyDescent="0.2">
      <c r="D2022" s="31" t="s">
        <v>639</v>
      </c>
      <c r="E2022" s="170" t="s">
        <v>639</v>
      </c>
      <c r="F2022" s="170" t="s">
        <v>639</v>
      </c>
      <c r="G2022" s="31" t="s">
        <v>639</v>
      </c>
      <c r="H2022" s="31"/>
      <c r="I2022" s="31" t="s">
        <v>639</v>
      </c>
      <c r="J2022" s="170" t="s">
        <v>639</v>
      </c>
      <c r="K2022" s="170" t="s">
        <v>639</v>
      </c>
      <c r="L2022" s="31" t="s">
        <v>639</v>
      </c>
      <c r="M2022" s="31" t="s">
        <v>639</v>
      </c>
      <c r="N2022" s="155" t="s">
        <v>639</v>
      </c>
    </row>
    <row r="2023" spans="1:14" x14ac:dyDescent="0.2">
      <c r="C2023" s="36" t="s">
        <v>707</v>
      </c>
      <c r="D2023" s="31"/>
      <c r="E2023" s="170"/>
      <c r="F2023" s="170"/>
      <c r="G2023" s="31"/>
      <c r="J2023" s="170"/>
    </row>
    <row r="2024" spans="1:14" x14ac:dyDescent="0.2">
      <c r="A2024" s="127">
        <v>1</v>
      </c>
      <c r="B2024" s="123">
        <v>381</v>
      </c>
      <c r="C2024" s="52" t="s">
        <v>1052</v>
      </c>
      <c r="D2024" s="257">
        <f t="shared" ref="D2024:D2035" si="622">G1918</f>
        <v>13997508.550000001</v>
      </c>
      <c r="E2024" s="382">
        <f>ROUND('Plant input detail '!E2026*'WPB2.2 Plant detail-w slippage'!$P$2,0)</f>
        <v>87700</v>
      </c>
      <c r="F2024" s="257">
        <f>ROUND('Plant input detail '!F2026*'WPB2.2 Plant detail-w slippage'!$P$2,0)</f>
        <v>-10500</v>
      </c>
      <c r="G2024" s="257">
        <f>SUM(D2024:F2024)</f>
        <v>14074708.550000001</v>
      </c>
      <c r="H2024" s="38"/>
      <c r="I2024" s="257">
        <f t="shared" ref="I2024:I2035" si="623">N1918</f>
        <v>5196614.8899999997</v>
      </c>
      <c r="J2024" s="1362">
        <f t="shared" ref="J2024:J2035" si="624">J1918</f>
        <v>3.3000000000000002E-2</v>
      </c>
      <c r="K2024" s="173">
        <f t="shared" ref="K2024:K2035" si="625">ROUND((G2024+D2024)/2*J2024/12,0)</f>
        <v>38599</v>
      </c>
      <c r="L2024" s="38">
        <f t="shared" ref="L2024:L2035" si="626">-F2024</f>
        <v>10500</v>
      </c>
      <c r="M2024" s="257">
        <f>ROUND('Plant input detail '!M2026*'WPB2.2 Plant detail-w slippage'!$P$2,0)</f>
        <v>0</v>
      </c>
      <c r="N2024" s="2227">
        <f t="shared" ref="N2024:N2035" si="627">I2024+K2024-L2024+M2024</f>
        <v>5224713.8899999997</v>
      </c>
    </row>
    <row r="2025" spans="1:14" x14ac:dyDescent="0.2">
      <c r="A2025" s="127">
        <f>A2024+1</f>
        <v>2</v>
      </c>
      <c r="B2025" s="123">
        <v>381.1</v>
      </c>
      <c r="C2025" s="52" t="s">
        <v>1115</v>
      </c>
      <c r="D2025" s="257">
        <f t="shared" si="622"/>
        <v>8836812.0600000005</v>
      </c>
      <c r="E2025" s="382">
        <f>ROUND('Plant input detail '!E2027*'WPB2.2 Plant detail-w slippage'!$P$2,0)</f>
        <v>5300</v>
      </c>
      <c r="F2025" s="257">
        <f>ROUND('Plant input detail '!F2027*'WPB2.2 Plant detail-w slippage'!$P$2,0)</f>
        <v>-600</v>
      </c>
      <c r="G2025" s="257">
        <f>SUM(D2025:F2025)</f>
        <v>8841512.0600000005</v>
      </c>
      <c r="H2025" s="38"/>
      <c r="I2025" s="257">
        <f t="shared" si="623"/>
        <v>1018197.5</v>
      </c>
      <c r="J2025" s="1362">
        <f t="shared" si="624"/>
        <v>8.0600000000000005E-2</v>
      </c>
      <c r="K2025" s="173">
        <f t="shared" si="625"/>
        <v>59370</v>
      </c>
      <c r="L2025" s="38">
        <f t="shared" si="626"/>
        <v>600</v>
      </c>
      <c r="M2025" s="257">
        <f>ROUND('Plant input detail '!M2027*'WPB2.2 Plant detail-w slippage'!$P$2,0)</f>
        <v>0</v>
      </c>
      <c r="N2025" s="2227">
        <f t="shared" si="627"/>
        <v>1076967.5</v>
      </c>
    </row>
    <row r="2026" spans="1:14" x14ac:dyDescent="0.2">
      <c r="A2026" s="127">
        <f t="shared" ref="A2026:A2036" si="628">A2025+1</f>
        <v>3</v>
      </c>
      <c r="B2026" s="123">
        <v>382</v>
      </c>
      <c r="C2026" s="52" t="s">
        <v>1053</v>
      </c>
      <c r="D2026" s="257">
        <f t="shared" si="622"/>
        <v>9491792.6500000004</v>
      </c>
      <c r="E2026" s="382">
        <f>ROUND('Plant input detail '!E2028*'WPB2.2 Plant detail-w slippage'!$P$2,0)</f>
        <v>49100</v>
      </c>
      <c r="F2026" s="257">
        <f>ROUND('Plant input detail '!F2028*'WPB2.2 Plant detail-w slippage'!$P$2,0)</f>
        <v>-5900</v>
      </c>
      <c r="G2026" s="257">
        <f t="shared" ref="G2026:G2031" si="629">SUM(D2026:F2026)</f>
        <v>9534992.6500000004</v>
      </c>
      <c r="H2026" s="38"/>
      <c r="I2026" s="257">
        <f t="shared" si="623"/>
        <v>4747322.3</v>
      </c>
      <c r="J2026" s="1362">
        <f t="shared" si="624"/>
        <v>2.4400000000000002E-2</v>
      </c>
      <c r="K2026" s="173">
        <f t="shared" si="625"/>
        <v>19344</v>
      </c>
      <c r="L2026" s="38">
        <f t="shared" si="626"/>
        <v>5900</v>
      </c>
      <c r="M2026" s="257">
        <f>ROUND('Plant input detail '!M2028*'WPB2.2 Plant detail-w slippage'!$P$2,0)</f>
        <v>-300</v>
      </c>
      <c r="N2026" s="2227">
        <f t="shared" si="627"/>
        <v>4760466.3</v>
      </c>
    </row>
    <row r="2027" spans="1:14" x14ac:dyDescent="0.2">
      <c r="A2027" s="127">
        <f t="shared" si="628"/>
        <v>4</v>
      </c>
      <c r="B2027" s="123">
        <v>383</v>
      </c>
      <c r="C2027" s="52" t="s">
        <v>1054</v>
      </c>
      <c r="D2027" s="257">
        <f t="shared" si="622"/>
        <v>5790520.7599999998</v>
      </c>
      <c r="E2027" s="382">
        <f>ROUND('Plant input detail '!E2029*'WPB2.2 Plant detail-w slippage'!$P$2,0)</f>
        <v>22300</v>
      </c>
      <c r="F2027" s="257">
        <f>ROUND('Plant input detail '!F2029*'WPB2.2 Plant detail-w slippage'!$P$2,0)</f>
        <v>-2700</v>
      </c>
      <c r="G2027" s="257">
        <f t="shared" si="629"/>
        <v>5810120.7599999998</v>
      </c>
      <c r="H2027" s="38"/>
      <c r="I2027" s="257">
        <f t="shared" si="623"/>
        <v>1591487.41</v>
      </c>
      <c r="J2027" s="1362">
        <f t="shared" si="624"/>
        <v>2.7300000000000001E-2</v>
      </c>
      <c r="K2027" s="173">
        <f t="shared" si="625"/>
        <v>13196</v>
      </c>
      <c r="L2027" s="38">
        <f t="shared" si="626"/>
        <v>2700</v>
      </c>
      <c r="M2027" s="257">
        <f>ROUND('Plant input detail '!M2029*'WPB2.2 Plant detail-w slippage'!$P$2,0)</f>
        <v>-100</v>
      </c>
      <c r="N2027" s="2227">
        <f t="shared" si="627"/>
        <v>1601883.41</v>
      </c>
    </row>
    <row r="2028" spans="1:14" x14ac:dyDescent="0.2">
      <c r="A2028" s="127">
        <f t="shared" si="628"/>
        <v>5</v>
      </c>
      <c r="B2028" s="123">
        <v>384</v>
      </c>
      <c r="C2028" s="52" t="s">
        <v>1055</v>
      </c>
      <c r="D2028" s="257">
        <f t="shared" si="622"/>
        <v>2257522</v>
      </c>
      <c r="E2028" s="382">
        <f>ROUND('Plant input detail '!E2030*'WPB2.2 Plant detail-w slippage'!$P$2,0)</f>
        <v>0</v>
      </c>
      <c r="F2028" s="257">
        <f>ROUND('Plant input detail '!F2030*'WPB2.2 Plant detail-w slippage'!$P$2,0)</f>
        <v>0</v>
      </c>
      <c r="G2028" s="257">
        <f t="shared" si="629"/>
        <v>2257522</v>
      </c>
      <c r="H2028" s="38"/>
      <c r="I2028" s="257">
        <f t="shared" si="623"/>
        <v>1784528.73</v>
      </c>
      <c r="J2028" s="1362">
        <f t="shared" si="624"/>
        <v>1.01E-2</v>
      </c>
      <c r="K2028" s="173">
        <f t="shared" si="625"/>
        <v>1900</v>
      </c>
      <c r="L2028" s="38">
        <f t="shared" si="626"/>
        <v>0</v>
      </c>
      <c r="M2028" s="257">
        <f>ROUND('Plant input detail '!M2030*'WPB2.2 Plant detail-w slippage'!$P$2,0)</f>
        <v>0</v>
      </c>
      <c r="N2028" s="2227">
        <f t="shared" si="627"/>
        <v>1786428.73</v>
      </c>
    </row>
    <row r="2029" spans="1:14" x14ac:dyDescent="0.2">
      <c r="A2029" s="127">
        <f t="shared" si="628"/>
        <v>6</v>
      </c>
      <c r="B2029" s="123">
        <v>385</v>
      </c>
      <c r="C2029" s="52" t="s">
        <v>1056</v>
      </c>
      <c r="D2029" s="257">
        <f t="shared" si="622"/>
        <v>3394983.36</v>
      </c>
      <c r="E2029" s="382">
        <f>ROUND('Plant input detail '!E2031*'WPB2.2 Plant detail-w slippage'!$P$2,0)</f>
        <v>38300</v>
      </c>
      <c r="F2029" s="257">
        <f>ROUND('Plant input detail '!F2031*'WPB2.2 Plant detail-w slippage'!$P$2,0)</f>
        <v>-4600</v>
      </c>
      <c r="G2029" s="257">
        <f t="shared" si="629"/>
        <v>3428683.36</v>
      </c>
      <c r="H2029" s="38"/>
      <c r="I2029" s="257">
        <f t="shared" si="623"/>
        <v>981622.55</v>
      </c>
      <c r="J2029" s="1362">
        <f t="shared" si="624"/>
        <v>5.0799999999999998E-2</v>
      </c>
      <c r="K2029" s="173">
        <f t="shared" si="625"/>
        <v>14443</v>
      </c>
      <c r="L2029" s="38">
        <f t="shared" si="626"/>
        <v>4600</v>
      </c>
      <c r="M2029" s="257">
        <f>ROUND('Plant input detail '!M2031*'WPB2.2 Plant detail-w slippage'!$P$2,0)</f>
        <v>-200</v>
      </c>
      <c r="N2029" s="2227">
        <f t="shared" si="627"/>
        <v>991265.55</v>
      </c>
    </row>
    <row r="2030" spans="1:14" x14ac:dyDescent="0.2">
      <c r="A2030" s="127">
        <f t="shared" si="628"/>
        <v>7</v>
      </c>
      <c r="B2030" s="123">
        <v>387.2</v>
      </c>
      <c r="C2030" s="52" t="s">
        <v>1057</v>
      </c>
      <c r="D2030" s="257">
        <f t="shared" si="622"/>
        <v>0</v>
      </c>
      <c r="E2030" s="382">
        <f>ROUND('Plant input detail '!E2032*'WPB2.2 Plant detail-w slippage'!$P$2,0)</f>
        <v>0</v>
      </c>
      <c r="F2030" s="257">
        <f>ROUND('Plant input detail '!F2032*'WPB2.2 Plant detail-w slippage'!$P$2,0)</f>
        <v>0</v>
      </c>
      <c r="G2030" s="257">
        <f t="shared" si="629"/>
        <v>0</v>
      </c>
      <c r="H2030" s="38"/>
      <c r="I2030" s="257">
        <f t="shared" si="623"/>
        <v>-59912.03</v>
      </c>
      <c r="J2030" s="1362">
        <f t="shared" si="624"/>
        <v>0</v>
      </c>
      <c r="K2030" s="173">
        <f t="shared" si="625"/>
        <v>0</v>
      </c>
      <c r="L2030" s="38">
        <f t="shared" si="626"/>
        <v>0</v>
      </c>
      <c r="M2030" s="257">
        <f>ROUND('Plant input detail '!M2032*'WPB2.2 Plant detail-w slippage'!$P$2,0)</f>
        <v>0</v>
      </c>
      <c r="N2030" s="2227">
        <f t="shared" si="627"/>
        <v>-59912.03</v>
      </c>
    </row>
    <row r="2031" spans="1:14" x14ac:dyDescent="0.2">
      <c r="A2031" s="127">
        <f t="shared" si="628"/>
        <v>8</v>
      </c>
      <c r="B2031" s="123">
        <v>387.41</v>
      </c>
      <c r="C2031" s="52" t="s">
        <v>1058</v>
      </c>
      <c r="D2031" s="257">
        <f t="shared" si="622"/>
        <v>735770.76</v>
      </c>
      <c r="E2031" s="382">
        <f>ROUND('Plant input detail '!E2033*'WPB2.2 Plant detail-w slippage'!$P$2,0)</f>
        <v>0</v>
      </c>
      <c r="F2031" s="257">
        <f>ROUND('Plant input detail '!F2033*'WPB2.2 Plant detail-w slippage'!$P$2,0)</f>
        <v>0</v>
      </c>
      <c r="G2031" s="257">
        <f t="shared" si="629"/>
        <v>735770.76</v>
      </c>
      <c r="H2031" s="38"/>
      <c r="I2031" s="257">
        <f t="shared" si="623"/>
        <v>404401.95</v>
      </c>
      <c r="J2031" s="1362">
        <f t="shared" si="624"/>
        <v>3.7400000000000003E-2</v>
      </c>
      <c r="K2031" s="173">
        <f t="shared" si="625"/>
        <v>2293</v>
      </c>
      <c r="L2031" s="38">
        <f t="shared" si="626"/>
        <v>0</v>
      </c>
      <c r="M2031" s="257">
        <f>ROUND('Plant input detail '!M2033*'WPB2.2 Plant detail-w slippage'!$P$2,0)</f>
        <v>0</v>
      </c>
      <c r="N2031" s="2227">
        <f t="shared" si="627"/>
        <v>406694.95</v>
      </c>
    </row>
    <row r="2032" spans="1:14" x14ac:dyDescent="0.2">
      <c r="A2032" s="127">
        <f t="shared" si="628"/>
        <v>9</v>
      </c>
      <c r="B2032" s="123">
        <v>387.42</v>
      </c>
      <c r="C2032" s="52" t="s">
        <v>1059</v>
      </c>
      <c r="D2032" s="257">
        <f t="shared" si="622"/>
        <v>795186.58</v>
      </c>
      <c r="E2032" s="382">
        <f>ROUND('Plant input detail '!E2034*'WPB2.2 Plant detail-w slippage'!$P$2,0)</f>
        <v>0</v>
      </c>
      <c r="F2032" s="257">
        <f>ROUND('Plant input detail '!F2034*'WPB2.2 Plant detail-w slippage'!$P$2,0)</f>
        <v>0</v>
      </c>
      <c r="G2032" s="257">
        <f>SUM(D2032:F2032)</f>
        <v>795186.58</v>
      </c>
      <c r="H2032" s="38"/>
      <c r="I2032" s="257">
        <f t="shared" si="623"/>
        <v>572369.94999999995</v>
      </c>
      <c r="J2032" s="1362">
        <f t="shared" si="624"/>
        <v>3.7400000000000003E-2</v>
      </c>
      <c r="K2032" s="173">
        <f t="shared" si="625"/>
        <v>2478</v>
      </c>
      <c r="L2032" s="38">
        <f t="shared" si="626"/>
        <v>0</v>
      </c>
      <c r="M2032" s="257">
        <f>ROUND('Plant input detail '!M2034*'WPB2.2 Plant detail-w slippage'!$P$2,0)</f>
        <v>0</v>
      </c>
      <c r="N2032" s="2227">
        <f t="shared" si="627"/>
        <v>574847.94999999995</v>
      </c>
    </row>
    <row r="2033" spans="1:14" x14ac:dyDescent="0.2">
      <c r="A2033" s="127">
        <f t="shared" si="628"/>
        <v>10</v>
      </c>
      <c r="B2033" s="123">
        <v>387.44</v>
      </c>
      <c r="C2033" s="52" t="s">
        <v>1060</v>
      </c>
      <c r="D2033" s="257">
        <f t="shared" si="622"/>
        <v>143283.93</v>
      </c>
      <c r="E2033" s="382">
        <f>ROUND('Plant input detail '!E2035*'WPB2.2 Plant detail-w slippage'!$P$2,0)</f>
        <v>0</v>
      </c>
      <c r="F2033" s="257">
        <f>ROUND('Plant input detail '!F2035*'WPB2.2 Plant detail-w slippage'!$P$2,0)</f>
        <v>0</v>
      </c>
      <c r="G2033" s="257">
        <f>SUM(D2033:F2033)</f>
        <v>143283.93</v>
      </c>
      <c r="H2033" s="38"/>
      <c r="I2033" s="257">
        <f t="shared" si="623"/>
        <v>50524.55</v>
      </c>
      <c r="J2033" s="1362">
        <f t="shared" si="624"/>
        <v>3.7400000000000003E-2</v>
      </c>
      <c r="K2033" s="173">
        <f t="shared" si="625"/>
        <v>447</v>
      </c>
      <c r="L2033" s="38">
        <f t="shared" si="626"/>
        <v>0</v>
      </c>
      <c r="M2033" s="257">
        <f>ROUND('Plant input detail '!M2035*'WPB2.2 Plant detail-w slippage'!$P$2,0)</f>
        <v>0</v>
      </c>
      <c r="N2033" s="2227">
        <f t="shared" si="627"/>
        <v>50971.55</v>
      </c>
    </row>
    <row r="2034" spans="1:14" x14ac:dyDescent="0.2">
      <c r="A2034" s="127">
        <f t="shared" si="628"/>
        <v>11</v>
      </c>
      <c r="B2034" s="123">
        <v>387.45</v>
      </c>
      <c r="C2034" s="52" t="s">
        <v>1061</v>
      </c>
      <c r="D2034" s="257">
        <f t="shared" si="622"/>
        <v>3888504.66</v>
      </c>
      <c r="E2034" s="382">
        <f>ROUND('Plant input detail '!E2036*'WPB2.2 Plant detail-w slippage'!$P$2,0)</f>
        <v>199600</v>
      </c>
      <c r="F2034" s="257">
        <f>ROUND('Plant input detail '!F2036*'WPB2.2 Plant detail-w slippage'!$P$2,0)</f>
        <v>-23900</v>
      </c>
      <c r="G2034" s="257">
        <f>SUM(D2034:F2034)</f>
        <v>4064204.66</v>
      </c>
      <c r="H2034" s="38"/>
      <c r="I2034" s="257">
        <f t="shared" si="623"/>
        <v>534206.06000000006</v>
      </c>
      <c r="J2034" s="1362">
        <f t="shared" si="624"/>
        <v>3.7400000000000003E-2</v>
      </c>
      <c r="K2034" s="173">
        <f t="shared" si="625"/>
        <v>12393</v>
      </c>
      <c r="L2034" s="38">
        <f t="shared" si="626"/>
        <v>23900</v>
      </c>
      <c r="M2034" s="257">
        <f>ROUND('Plant input detail '!M2036*'WPB2.2 Plant detail-w slippage'!$P$2,0)</f>
        <v>0</v>
      </c>
      <c r="N2034" s="2227">
        <f t="shared" si="627"/>
        <v>522699.06000000006</v>
      </c>
    </row>
    <row r="2035" spans="1:14" x14ac:dyDescent="0.2">
      <c r="A2035" s="127">
        <f t="shared" si="628"/>
        <v>12</v>
      </c>
      <c r="B2035" s="123">
        <v>387.46</v>
      </c>
      <c r="C2035" s="52" t="s">
        <v>1062</v>
      </c>
      <c r="D2035" s="260">
        <f t="shared" si="622"/>
        <v>113644.47</v>
      </c>
      <c r="E2035" s="265">
        <f>ROUND('Plant input detail '!E2037*'WPB2.2 Plant detail-w slippage'!$P$2,0)</f>
        <v>0</v>
      </c>
      <c r="F2035" s="265">
        <f>ROUND('Plant input detail '!F2037*'WPB2.2 Plant detail-w slippage'!$P$2,0)</f>
        <v>0</v>
      </c>
      <c r="G2035" s="265">
        <f>SUM(D2035:F2035)</f>
        <v>113644.47</v>
      </c>
      <c r="H2035" s="264"/>
      <c r="I2035" s="260">
        <f t="shared" si="623"/>
        <v>115064.83</v>
      </c>
      <c r="J2035" s="1362">
        <f t="shared" si="624"/>
        <v>3.7400000000000003E-2</v>
      </c>
      <c r="K2035" s="260">
        <f t="shared" si="625"/>
        <v>354</v>
      </c>
      <c r="L2035" s="295">
        <f t="shared" si="626"/>
        <v>0</v>
      </c>
      <c r="M2035" s="265">
        <f>ROUND('Plant input detail '!M2037*'WPB2.2 Plant detail-w slippage'!$P$2,0)</f>
        <v>0</v>
      </c>
      <c r="N2035" s="2228">
        <f t="shared" si="627"/>
        <v>115418.83</v>
      </c>
    </row>
    <row r="2036" spans="1:14" x14ac:dyDescent="0.2">
      <c r="A2036" s="127">
        <f t="shared" si="628"/>
        <v>13</v>
      </c>
      <c r="B2036" s="252"/>
      <c r="C2036" s="32" t="s">
        <v>1063</v>
      </c>
      <c r="D2036" s="173">
        <f>SUM(D2024:D2035,D1984:D2005)</f>
        <v>425830222.37999994</v>
      </c>
      <c r="E2036" s="173">
        <f>SUM(E2024:E2035,E1984:E2005)</f>
        <v>4093066</v>
      </c>
      <c r="F2036" s="173">
        <f>SUM(F2024:F2035,F1984:F2005)</f>
        <v>-491100</v>
      </c>
      <c r="G2036" s="173">
        <f>SUM(G2024:G2035,G1984:G2005)</f>
        <v>429432188.37999994</v>
      </c>
      <c r="H2036" s="38"/>
      <c r="I2036" s="173">
        <f>SUM(I2024:I2035,I1984:I2005)</f>
        <v>147820174.67052633</v>
      </c>
      <c r="J2036" s="173"/>
      <c r="K2036" s="173">
        <f>SUM(K2024:K2035,K1984:K2005)</f>
        <v>1196857.0494736843</v>
      </c>
      <c r="L2036" s="173">
        <f>SUM(L2024:L2035,L1984:L2005)</f>
        <v>491100</v>
      </c>
      <c r="M2036" s="173">
        <f>SUM(M2024:M2035,M1984:M2005)</f>
        <v>-127500</v>
      </c>
      <c r="N2036" s="1361">
        <f>SUM(N2024:N2035,N1984:N2005)</f>
        <v>148398431.72</v>
      </c>
    </row>
    <row r="2037" spans="1:14" x14ac:dyDescent="0.2">
      <c r="B2037" s="252"/>
      <c r="D2037" s="38"/>
      <c r="E2037" s="173"/>
      <c r="F2037" s="173"/>
      <c r="G2037" s="38"/>
      <c r="H2037" s="38"/>
      <c r="I2037" s="181"/>
      <c r="J2037" s="173"/>
      <c r="K2037" s="173"/>
      <c r="L2037" s="38"/>
      <c r="M2037" s="173"/>
    </row>
    <row r="2038" spans="1:14" x14ac:dyDescent="0.2">
      <c r="A2038" s="127">
        <f>A2036+1</f>
        <v>14</v>
      </c>
      <c r="B2038" s="252"/>
      <c r="C2038" s="36" t="s">
        <v>737</v>
      </c>
      <c r="D2038" s="38"/>
      <c r="E2038" s="173"/>
      <c r="F2038" s="173"/>
      <c r="G2038" s="38"/>
      <c r="H2038" s="38"/>
      <c r="I2038" s="181"/>
      <c r="J2038" s="173"/>
      <c r="K2038" s="173"/>
      <c r="L2038" s="38"/>
      <c r="M2038" s="173"/>
    </row>
    <row r="2039" spans="1:14" x14ac:dyDescent="0.2">
      <c r="A2039" s="31">
        <f>A2038+1</f>
        <v>15</v>
      </c>
      <c r="B2039" s="123">
        <v>391.1</v>
      </c>
      <c r="C2039" s="52" t="s">
        <v>1064</v>
      </c>
      <c r="D2039" s="257">
        <f t="shared" ref="D2039:D2052" si="630">G1933</f>
        <v>713480.71</v>
      </c>
      <c r="E2039" s="382">
        <f>ROUND('Plant input detail '!E2041*'WPB2.2 Plant detail-w slippage'!$P$2,0)</f>
        <v>0</v>
      </c>
      <c r="F2039" s="257">
        <f>ROUND('Plant input detail '!F2041*'WPB2.2 Plant detail-w slippage'!$P$2,0)</f>
        <v>0</v>
      </c>
      <c r="G2039" s="257">
        <f t="shared" ref="G2039:G2052" si="631">SUM(D2039:F2039)</f>
        <v>713480.71</v>
      </c>
      <c r="H2039" s="38"/>
      <c r="I2039" s="257">
        <f t="shared" ref="I2039:I2052" si="632">N1933</f>
        <v>-26792.22</v>
      </c>
      <c r="J2039" s="1362">
        <f t="shared" ref="J2039:J2052" si="633">J1933</f>
        <v>0.05</v>
      </c>
      <c r="K2039" s="173">
        <f>ROUND((G2039+D2039)/2*J2039/12,0)</f>
        <v>2973</v>
      </c>
      <c r="L2039" s="38">
        <f t="shared" ref="L2039:L2052" si="634">-F2039</f>
        <v>0</v>
      </c>
      <c r="M2039" s="257">
        <f>ROUND('Plant input detail '!M2041*'WPB2.2 Plant detail-w slippage'!$P$2,0)</f>
        <v>0</v>
      </c>
      <c r="N2039" s="2227">
        <f t="shared" ref="N2039:N2052" si="635">I2039+K2039-L2039+M2039</f>
        <v>-23819.22</v>
      </c>
    </row>
    <row r="2040" spans="1:14" x14ac:dyDescent="0.2">
      <c r="A2040" s="31">
        <f t="shared" ref="A2040:A2053" si="636">A2039+1</f>
        <v>16</v>
      </c>
      <c r="B2040" s="123">
        <v>391.11</v>
      </c>
      <c r="C2040" s="52" t="s">
        <v>1065</v>
      </c>
      <c r="D2040" s="257">
        <f t="shared" si="630"/>
        <v>18815.57</v>
      </c>
      <c r="E2040" s="382">
        <f>ROUND('Plant input detail '!E2042*'WPB2.2 Plant detail-w slippage'!$P$2,0)</f>
        <v>0</v>
      </c>
      <c r="F2040" s="257">
        <f>ROUND('Plant input detail '!F2042*'WPB2.2 Plant detail-w slippage'!$P$2,0)</f>
        <v>0</v>
      </c>
      <c r="G2040" s="257">
        <f t="shared" si="631"/>
        <v>18815.57</v>
      </c>
      <c r="H2040" s="38"/>
      <c r="I2040" s="257">
        <f t="shared" si="632"/>
        <v>-11144.77</v>
      </c>
      <c r="J2040" s="1362">
        <f t="shared" si="633"/>
        <v>6.6699999999999995E-2</v>
      </c>
      <c r="K2040" s="173">
        <f>ROUND((G2040+D2040)/2*J2040/12,0)</f>
        <v>105</v>
      </c>
      <c r="L2040" s="38">
        <f t="shared" si="634"/>
        <v>0</v>
      </c>
      <c r="M2040" s="257">
        <f>ROUND('Plant input detail '!M2042*'WPB2.2 Plant detail-w slippage'!$P$2,0)</f>
        <v>0</v>
      </c>
      <c r="N2040" s="2227">
        <f t="shared" si="635"/>
        <v>-11039.77</v>
      </c>
    </row>
    <row r="2041" spans="1:14" x14ac:dyDescent="0.2">
      <c r="A2041" s="31">
        <f t="shared" si="636"/>
        <v>17</v>
      </c>
      <c r="B2041" s="123">
        <v>391.12</v>
      </c>
      <c r="C2041" s="52" t="s">
        <v>1066</v>
      </c>
      <c r="D2041" s="257">
        <f t="shared" si="630"/>
        <v>1407883.4100000001</v>
      </c>
      <c r="E2041" s="382">
        <f>ROUND('Plant input detail '!E2043*'WPB2.2 Plant detail-w slippage'!$P$2,0)</f>
        <v>0</v>
      </c>
      <c r="F2041" s="257">
        <f>ROUND('Plant input detail '!F2043*'WPB2.2 Plant detail-w slippage'!$P$2,0)</f>
        <v>0</v>
      </c>
      <c r="G2041" s="257">
        <f t="shared" si="631"/>
        <v>1407883.4100000001</v>
      </c>
      <c r="H2041" s="38"/>
      <c r="I2041" s="257">
        <f t="shared" si="632"/>
        <v>769365.37</v>
      </c>
      <c r="J2041" s="1362">
        <f t="shared" si="633"/>
        <v>0.2</v>
      </c>
      <c r="K2041" s="173">
        <f>ROUND((G2041+D2041)/2*J2041/12,0)</f>
        <v>23465</v>
      </c>
      <c r="L2041" s="38">
        <f t="shared" si="634"/>
        <v>0</v>
      </c>
      <c r="M2041" s="257">
        <f>ROUND('Plant input detail '!M2043*'WPB2.2 Plant detail-w slippage'!$P$2,0)</f>
        <v>0</v>
      </c>
      <c r="N2041" s="2227">
        <f t="shared" si="635"/>
        <v>792830.37</v>
      </c>
    </row>
    <row r="2042" spans="1:14" x14ac:dyDescent="0.2">
      <c r="A2042" s="31">
        <f t="shared" si="636"/>
        <v>18</v>
      </c>
      <c r="B2042" s="123">
        <v>392.2</v>
      </c>
      <c r="C2042" s="52" t="s">
        <v>1067</v>
      </c>
      <c r="D2042" s="257">
        <f t="shared" si="630"/>
        <v>95778</v>
      </c>
      <c r="E2042" s="382">
        <f>ROUND('Plant input detail '!E2044*'WPB2.2 Plant detail-w slippage'!$P$2,0)</f>
        <v>0</v>
      </c>
      <c r="F2042" s="257">
        <f>ROUND('Plant input detail '!F2044*'WPB2.2 Plant detail-w slippage'!$P$2,0)</f>
        <v>0</v>
      </c>
      <c r="G2042" s="257">
        <f t="shared" si="631"/>
        <v>95778</v>
      </c>
      <c r="H2042" s="38"/>
      <c r="I2042" s="257">
        <f t="shared" si="632"/>
        <v>28495.05</v>
      </c>
      <c r="J2042" s="1362">
        <f t="shared" si="633"/>
        <v>9.1499999999999998E-2</v>
      </c>
      <c r="K2042" s="173">
        <f>ROUND((G2042+D2042)/2*J2042/12,0)</f>
        <v>730</v>
      </c>
      <c r="L2042" s="38">
        <f t="shared" si="634"/>
        <v>0</v>
      </c>
      <c r="M2042" s="257">
        <f>ROUND('Plant input detail '!M2044*'WPB2.2 Plant detail-w slippage'!$P$2,0)</f>
        <v>0</v>
      </c>
      <c r="N2042" s="2227">
        <f t="shared" si="635"/>
        <v>29225.05</v>
      </c>
    </row>
    <row r="2043" spans="1:14" x14ac:dyDescent="0.2">
      <c r="A2043" s="31">
        <f t="shared" si="636"/>
        <v>19</v>
      </c>
      <c r="B2043" s="123">
        <v>392.21</v>
      </c>
      <c r="C2043" s="52" t="s">
        <v>1068</v>
      </c>
      <c r="D2043" s="257">
        <f t="shared" si="630"/>
        <v>24462.2</v>
      </c>
      <c r="E2043" s="382">
        <f>ROUND('Plant input detail '!E2045*'WPB2.2 Plant detail-w slippage'!$P$2,0)</f>
        <v>0</v>
      </c>
      <c r="F2043" s="257">
        <f>ROUND('Plant input detail '!F2045*'WPB2.2 Plant detail-w slippage'!$P$2,0)</f>
        <v>0</v>
      </c>
      <c r="G2043" s="257">
        <f t="shared" si="631"/>
        <v>24462.2</v>
      </c>
      <c r="H2043" s="38"/>
      <c r="I2043" s="257">
        <f t="shared" si="632"/>
        <v>6683.4</v>
      </c>
      <c r="J2043" s="1362">
        <f t="shared" si="633"/>
        <v>9.1499999999999998E-2</v>
      </c>
      <c r="K2043" s="173">
        <f>ROUND((G2043+D2043)/2*J2043/12,0)</f>
        <v>187</v>
      </c>
      <c r="L2043" s="38">
        <f t="shared" si="634"/>
        <v>0</v>
      </c>
      <c r="M2043" s="257">
        <f>ROUND('Plant input detail '!M2045*'WPB2.2 Plant detail-w slippage'!$P$2,0)</f>
        <v>0</v>
      </c>
      <c r="N2043" s="2227">
        <f t="shared" si="635"/>
        <v>6870.4</v>
      </c>
    </row>
    <row r="2044" spans="1:14" x14ac:dyDescent="0.2">
      <c r="A2044" s="31">
        <f t="shared" si="636"/>
        <v>20</v>
      </c>
      <c r="B2044" s="123">
        <v>393</v>
      </c>
      <c r="C2044" s="52" t="s">
        <v>1069</v>
      </c>
      <c r="D2044" s="257">
        <f t="shared" si="630"/>
        <v>0</v>
      </c>
      <c r="E2044" s="382">
        <f>ROUND('Plant input detail '!E2046*'WPB2.2 Plant detail-w slippage'!$P$2,0)</f>
        <v>0</v>
      </c>
      <c r="F2044" s="257">
        <f>ROUND('Plant input detail '!F2046*'WPB2.2 Plant detail-w slippage'!$P$2,0)</f>
        <v>0</v>
      </c>
      <c r="G2044" s="257">
        <f t="shared" si="631"/>
        <v>0</v>
      </c>
      <c r="H2044" s="38"/>
      <c r="I2044" s="257">
        <f t="shared" si="632"/>
        <v>0</v>
      </c>
      <c r="J2044" s="1362" t="str">
        <f t="shared" si="633"/>
        <v>Amort.</v>
      </c>
      <c r="K2044" s="259">
        <v>0</v>
      </c>
      <c r="L2044" s="38">
        <f t="shared" si="634"/>
        <v>0</v>
      </c>
      <c r="M2044" s="257">
        <f>ROUND('Plant input detail '!M2046*'WPB2.2 Plant detail-w slippage'!$P$2,0)</f>
        <v>0</v>
      </c>
      <c r="N2044" s="2227">
        <f t="shared" si="635"/>
        <v>0</v>
      </c>
    </row>
    <row r="2045" spans="1:14" x14ac:dyDescent="0.2">
      <c r="A2045" s="31">
        <f t="shared" si="636"/>
        <v>21</v>
      </c>
      <c r="B2045" s="123">
        <v>394.1</v>
      </c>
      <c r="C2045" s="52" t="s">
        <v>1070</v>
      </c>
      <c r="D2045" s="257">
        <f t="shared" si="630"/>
        <v>24240.799999999999</v>
      </c>
      <c r="E2045" s="382">
        <f>ROUND('Plant input detail '!E2047*'WPB2.2 Plant detail-w slippage'!$P$2,0)</f>
        <v>0</v>
      </c>
      <c r="F2045" s="257">
        <f>ROUND('Plant input detail '!F2047*'WPB2.2 Plant detail-w slippage'!$P$2,0)</f>
        <v>0</v>
      </c>
      <c r="G2045" s="257">
        <f t="shared" si="631"/>
        <v>24240.799999999999</v>
      </c>
      <c r="H2045" s="38"/>
      <c r="I2045" s="257">
        <f t="shared" si="632"/>
        <v>15256.82</v>
      </c>
      <c r="J2045" s="1362">
        <f t="shared" si="633"/>
        <v>0.04</v>
      </c>
      <c r="K2045" s="173">
        <f t="shared" ref="K2045:K2052" si="637">ROUND((G2045+D2045)/2*J2045/12,0)</f>
        <v>81</v>
      </c>
      <c r="L2045" s="38">
        <f t="shared" si="634"/>
        <v>0</v>
      </c>
      <c r="M2045" s="257">
        <f>ROUND('Plant input detail '!M2047*'WPB2.2 Plant detail-w slippage'!$P$2,0)</f>
        <v>0</v>
      </c>
      <c r="N2045" s="2227">
        <f t="shared" si="635"/>
        <v>15337.82</v>
      </c>
    </row>
    <row r="2046" spans="1:14" x14ac:dyDescent="0.2">
      <c r="A2046" s="31">
        <f t="shared" si="636"/>
        <v>22</v>
      </c>
      <c r="B2046" s="123">
        <v>394.11</v>
      </c>
      <c r="C2046" s="52" t="s">
        <v>1071</v>
      </c>
      <c r="D2046" s="257">
        <f t="shared" si="630"/>
        <v>0</v>
      </c>
      <c r="E2046" s="382">
        <f>ROUND('Plant input detail '!E2048*'WPB2.2 Plant detail-w slippage'!$P$2,0)</f>
        <v>0</v>
      </c>
      <c r="F2046" s="257">
        <f>ROUND('Plant input detail '!F2048*'WPB2.2 Plant detail-w slippage'!$P$2,0)</f>
        <v>0</v>
      </c>
      <c r="G2046" s="257">
        <f t="shared" si="631"/>
        <v>0</v>
      </c>
      <c r="H2046" s="38"/>
      <c r="I2046" s="257">
        <f t="shared" si="632"/>
        <v>0</v>
      </c>
      <c r="J2046" s="1362">
        <f t="shared" si="633"/>
        <v>0</v>
      </c>
      <c r="K2046" s="259">
        <v>0</v>
      </c>
      <c r="L2046" s="38">
        <f t="shared" si="634"/>
        <v>0</v>
      </c>
      <c r="M2046" s="257">
        <f>ROUND('Plant input detail '!M2048*'WPB2.2 Plant detail-w slippage'!$P$2,0)</f>
        <v>0</v>
      </c>
      <c r="N2046" s="2227">
        <f t="shared" si="635"/>
        <v>0</v>
      </c>
    </row>
    <row r="2047" spans="1:14" x14ac:dyDescent="0.2">
      <c r="A2047" s="31">
        <f t="shared" si="636"/>
        <v>23</v>
      </c>
      <c r="B2047" s="123">
        <v>394.13</v>
      </c>
      <c r="C2047" s="251" t="s">
        <v>1072</v>
      </c>
      <c r="D2047" s="257">
        <f t="shared" si="630"/>
        <v>0</v>
      </c>
      <c r="E2047" s="382">
        <f>ROUND('Plant input detail '!E2049*'WPB2.2 Plant detail-w slippage'!$P$2,0)</f>
        <v>0</v>
      </c>
      <c r="F2047" s="257">
        <f>ROUND('Plant input detail '!F2049*'WPB2.2 Plant detail-w slippage'!$P$2,0)</f>
        <v>0</v>
      </c>
      <c r="G2047" s="257">
        <f t="shared" si="631"/>
        <v>0</v>
      </c>
      <c r="H2047" s="38"/>
      <c r="I2047" s="257">
        <f t="shared" si="632"/>
        <v>37937.360000000001</v>
      </c>
      <c r="J2047" s="1362" t="str">
        <f t="shared" si="633"/>
        <v>Amort.</v>
      </c>
      <c r="K2047" s="259">
        <v>0</v>
      </c>
      <c r="L2047" s="38">
        <f t="shared" si="634"/>
        <v>0</v>
      </c>
      <c r="M2047" s="257">
        <f>ROUND('Plant input detail '!M2049*'WPB2.2 Plant detail-w slippage'!$P$2,0)</f>
        <v>0</v>
      </c>
      <c r="N2047" s="2227">
        <f t="shared" si="635"/>
        <v>37937.360000000001</v>
      </c>
    </row>
    <row r="2048" spans="1:14" x14ac:dyDescent="0.2">
      <c r="A2048" s="31">
        <f t="shared" si="636"/>
        <v>24</v>
      </c>
      <c r="B2048" s="123">
        <v>394.2</v>
      </c>
      <c r="C2048" s="52" t="s">
        <v>1073</v>
      </c>
      <c r="D2048" s="257">
        <f t="shared" si="630"/>
        <v>0</v>
      </c>
      <c r="E2048" s="382">
        <f>ROUND('Plant input detail '!E2050*'WPB2.2 Plant detail-w slippage'!$P$2,0)</f>
        <v>0</v>
      </c>
      <c r="F2048" s="257">
        <f>ROUND('Plant input detail '!F2050*'WPB2.2 Plant detail-w slippage'!$P$2,0)</f>
        <v>0</v>
      </c>
      <c r="G2048" s="257">
        <f t="shared" si="631"/>
        <v>0</v>
      </c>
      <c r="H2048" s="38"/>
      <c r="I2048" s="257">
        <f t="shared" si="632"/>
        <v>185.21</v>
      </c>
      <c r="J2048" s="1362">
        <f t="shared" si="633"/>
        <v>0.04</v>
      </c>
      <c r="K2048" s="173">
        <f t="shared" si="637"/>
        <v>0</v>
      </c>
      <c r="L2048" s="38">
        <f t="shared" si="634"/>
        <v>0</v>
      </c>
      <c r="M2048" s="257">
        <f>ROUND('Plant input detail '!M2050*'WPB2.2 Plant detail-w slippage'!$P$2,0)</f>
        <v>0</v>
      </c>
      <c r="N2048" s="2227">
        <f t="shared" si="635"/>
        <v>185.21</v>
      </c>
    </row>
    <row r="2049" spans="1:16" x14ac:dyDescent="0.2">
      <c r="A2049" s="31">
        <f t="shared" si="636"/>
        <v>25</v>
      </c>
      <c r="B2049" s="123">
        <v>394.3</v>
      </c>
      <c r="C2049" s="52" t="s">
        <v>1074</v>
      </c>
      <c r="D2049" s="257">
        <f t="shared" si="630"/>
        <v>3201921.16</v>
      </c>
      <c r="E2049" s="382">
        <f>ROUND('Plant input detail '!E2051*'WPB2.2 Plant detail-w slippage'!$P$2,0)</f>
        <v>58900</v>
      </c>
      <c r="F2049" s="257">
        <f>ROUND('Plant input detail '!F2051*'WPB2.2 Plant detail-w slippage'!$P$2,0)</f>
        <v>-7100</v>
      </c>
      <c r="G2049" s="257">
        <f t="shared" si="631"/>
        <v>3253721.16</v>
      </c>
      <c r="H2049" s="38"/>
      <c r="I2049" s="257">
        <f t="shared" si="632"/>
        <v>1356026.15</v>
      </c>
      <c r="J2049" s="1362">
        <f t="shared" si="633"/>
        <v>0.04</v>
      </c>
      <c r="K2049" s="173">
        <f t="shared" si="637"/>
        <v>10759</v>
      </c>
      <c r="L2049" s="38">
        <f t="shared" si="634"/>
        <v>7100</v>
      </c>
      <c r="M2049" s="257">
        <f>ROUND('Plant input detail '!M2051*'WPB2.2 Plant detail-w slippage'!$P$2,0)</f>
        <v>0</v>
      </c>
      <c r="N2049" s="2227">
        <f t="shared" si="635"/>
        <v>1359685.15</v>
      </c>
    </row>
    <row r="2050" spans="1:16" x14ac:dyDescent="0.2">
      <c r="A2050" s="31">
        <f t="shared" si="636"/>
        <v>26</v>
      </c>
      <c r="B2050" s="123">
        <v>395</v>
      </c>
      <c r="C2050" s="52" t="s">
        <v>1075</v>
      </c>
      <c r="D2050" s="257">
        <f t="shared" si="630"/>
        <v>9257.77</v>
      </c>
      <c r="E2050" s="382">
        <f>ROUND('Plant input detail '!E2052*'WPB2.2 Plant detail-w slippage'!$P$2,0)</f>
        <v>0</v>
      </c>
      <c r="F2050" s="257">
        <f>ROUND('Plant input detail '!F2052*'WPB2.2 Plant detail-w slippage'!$P$2,0)</f>
        <v>0</v>
      </c>
      <c r="G2050" s="257">
        <f t="shared" si="631"/>
        <v>9257.77</v>
      </c>
      <c r="H2050" s="38"/>
      <c r="I2050" s="257">
        <f t="shared" si="632"/>
        <v>7841.59</v>
      </c>
      <c r="J2050" s="1362">
        <f t="shared" si="633"/>
        <v>0.05</v>
      </c>
      <c r="K2050" s="173">
        <f t="shared" si="637"/>
        <v>39</v>
      </c>
      <c r="L2050" s="38">
        <f t="shared" si="634"/>
        <v>0</v>
      </c>
      <c r="M2050" s="257">
        <f>ROUND('Plant input detail '!M2052*'WPB2.2 Plant detail-w slippage'!$P$2,0)</f>
        <v>0</v>
      </c>
      <c r="N2050" s="2227">
        <f t="shared" si="635"/>
        <v>7880.59</v>
      </c>
    </row>
    <row r="2051" spans="1:16" x14ac:dyDescent="0.2">
      <c r="A2051" s="31">
        <f t="shared" si="636"/>
        <v>27</v>
      </c>
      <c r="B2051" s="123">
        <v>396</v>
      </c>
      <c r="C2051" s="52" t="s">
        <v>1076</v>
      </c>
      <c r="D2051" s="257">
        <f t="shared" si="630"/>
        <v>253134.72</v>
      </c>
      <c r="E2051" s="382">
        <f>ROUND('Plant input detail '!E2053*'WPB2.2 Plant detail-w slippage'!$P$2,0)</f>
        <v>0</v>
      </c>
      <c r="F2051" s="257">
        <f>ROUND('Plant input detail '!F2053*'WPB2.2 Plant detail-w slippage'!$P$2,0)</f>
        <v>0</v>
      </c>
      <c r="G2051" s="257">
        <f t="shared" si="631"/>
        <v>253134.72</v>
      </c>
      <c r="H2051" s="38"/>
      <c r="I2051" s="257">
        <f t="shared" si="632"/>
        <v>203689.72</v>
      </c>
      <c r="J2051" s="1362">
        <f t="shared" si="633"/>
        <v>2.5899999999999999E-2</v>
      </c>
      <c r="K2051" s="173">
        <f t="shared" si="637"/>
        <v>546</v>
      </c>
      <c r="L2051" s="38">
        <f t="shared" si="634"/>
        <v>0</v>
      </c>
      <c r="M2051" s="257">
        <f>ROUND('Plant input detail '!M2053*'WPB2.2 Plant detail-w slippage'!$P$2,0)</f>
        <v>0</v>
      </c>
      <c r="N2051" s="2227">
        <f t="shared" si="635"/>
        <v>204235.72</v>
      </c>
    </row>
    <row r="2052" spans="1:16" x14ac:dyDescent="0.2">
      <c r="A2052" s="31">
        <f t="shared" si="636"/>
        <v>28</v>
      </c>
      <c r="B2052" s="123">
        <v>398</v>
      </c>
      <c r="C2052" s="52" t="s">
        <v>1077</v>
      </c>
      <c r="D2052" s="260">
        <f t="shared" si="630"/>
        <v>291161.94</v>
      </c>
      <c r="E2052" s="265">
        <f>ROUND('Plant input detail '!E2054*'WPB2.2 Plant detail-w slippage'!$P$2,0)</f>
        <v>4600</v>
      </c>
      <c r="F2052" s="260">
        <f>ROUND('Plant input detail '!F2054*'WPB2.2 Plant detail-w slippage'!$P$2,0)</f>
        <v>-600</v>
      </c>
      <c r="G2052" s="260">
        <f t="shared" si="631"/>
        <v>295161.94</v>
      </c>
      <c r="H2052" s="264"/>
      <c r="I2052" s="260">
        <f t="shared" si="632"/>
        <v>12124.59</v>
      </c>
      <c r="J2052" s="1362">
        <f t="shared" si="633"/>
        <v>6.6699999999999995E-2</v>
      </c>
      <c r="K2052" s="260">
        <f t="shared" si="637"/>
        <v>1629</v>
      </c>
      <c r="L2052" s="295">
        <f t="shared" si="634"/>
        <v>600</v>
      </c>
      <c r="M2052" s="260">
        <f>ROUND('Plant input detail '!M2054*'WPB2.2 Plant detail-w slippage'!$P$2,0)</f>
        <v>0</v>
      </c>
      <c r="N2052" s="2228">
        <f t="shared" si="635"/>
        <v>13153.59</v>
      </c>
    </row>
    <row r="2053" spans="1:16" x14ac:dyDescent="0.2">
      <c r="A2053" s="31">
        <f t="shared" si="636"/>
        <v>29</v>
      </c>
      <c r="C2053" s="32" t="s">
        <v>1078</v>
      </c>
      <c r="D2053" s="264">
        <f>SUM(D2039:D2052)</f>
        <v>6040136.2799999993</v>
      </c>
      <c r="E2053" s="176">
        <f>SUM(E2039:E2052)</f>
        <v>63500</v>
      </c>
      <c r="F2053" s="176">
        <f>SUM(F2039:F2052)</f>
        <v>-7700</v>
      </c>
      <c r="G2053" s="264">
        <f>SUM(G2039:G2052)</f>
        <v>6095936.2799999993</v>
      </c>
      <c r="H2053" s="264"/>
      <c r="I2053" s="264">
        <f>SUM(I2039:I2052)</f>
        <v>2399668.27</v>
      </c>
      <c r="J2053" s="1359"/>
      <c r="K2053" s="176">
        <f>SUM(K2039:K2052)</f>
        <v>40514</v>
      </c>
      <c r="L2053" s="264">
        <f>SUM(L2039:L2052)</f>
        <v>7700</v>
      </c>
      <c r="M2053" s="176">
        <f>SUM(M2039:M2052)</f>
        <v>0</v>
      </c>
      <c r="N2053" s="1359">
        <f>SUM(N2039:N2052)</f>
        <v>2432482.27</v>
      </c>
    </row>
    <row r="2054" spans="1:16" x14ac:dyDescent="0.2">
      <c r="D2054" s="38"/>
      <c r="E2054" s="173"/>
      <c r="F2054" s="173"/>
      <c r="G2054" s="38"/>
      <c r="H2054" s="38"/>
      <c r="I2054" s="173"/>
      <c r="J2054" s="1361"/>
      <c r="K2054" s="173"/>
      <c r="L2054" s="38"/>
      <c r="M2054" s="173"/>
    </row>
    <row r="2055" spans="1:16" x14ac:dyDescent="0.2">
      <c r="A2055" s="1805">
        <f>A2053+1</f>
        <v>30</v>
      </c>
      <c r="B2055" s="252"/>
      <c r="C2055" s="36" t="s">
        <v>2287</v>
      </c>
      <c r="D2055" s="38"/>
      <c r="E2055" s="173"/>
      <c r="F2055" s="173"/>
      <c r="G2055" s="38"/>
      <c r="H2055" s="38"/>
      <c r="I2055" s="181"/>
      <c r="J2055" s="173"/>
      <c r="K2055" s="173"/>
      <c r="L2055" s="38"/>
      <c r="M2055" s="173"/>
      <c r="P2055" s="279"/>
    </row>
    <row r="2056" spans="1:16" x14ac:dyDescent="0.2">
      <c r="A2056" s="31">
        <f>A2055+1</f>
        <v>31</v>
      </c>
      <c r="B2056" s="123">
        <v>378.21</v>
      </c>
      <c r="C2056" s="52" t="s">
        <v>2244</v>
      </c>
      <c r="D2056" s="257">
        <f>G1950</f>
        <v>-777092</v>
      </c>
      <c r="E2056" s="382">
        <f>ROUND('Plant input detail '!E2058*'WPB2.2 Plant detail-w slippage'!$P$2,0)</f>
        <v>0</v>
      </c>
      <c r="F2056" s="257">
        <f>ROUND('Plant input detail '!F2058*'WPB2.2 Plant detail-w slippage'!$P$2,0)</f>
        <v>0</v>
      </c>
      <c r="G2056" s="257">
        <f t="shared" ref="G2056" si="638">SUM(D2056:F2056)</f>
        <v>-777092</v>
      </c>
      <c r="H2056" s="264"/>
      <c r="I2056" s="257">
        <f>N1950</f>
        <v>-59663.696666666598</v>
      </c>
      <c r="J2056" s="296" t="s">
        <v>1094</v>
      </c>
      <c r="K2056" s="1334">
        <v>-2158.5833333333321</v>
      </c>
      <c r="L2056" s="38">
        <f t="shared" ref="L2056" si="639">-F2056</f>
        <v>0</v>
      </c>
      <c r="M2056" s="257">
        <f>ROUND('Plant input detail '!M2058*'WPB2.2 Plant detail-w slippage'!$P$2,0)</f>
        <v>0</v>
      </c>
      <c r="N2056" s="2227">
        <f t="shared" ref="N2056" si="640">I2056+K2056-L2056+M2056</f>
        <v>-61822.279999999926</v>
      </c>
      <c r="O2056" s="292"/>
    </row>
    <row r="2057" spans="1:16" x14ac:dyDescent="0.2">
      <c r="A2057" s="1723"/>
      <c r="D2057" s="38"/>
      <c r="E2057" s="173"/>
      <c r="F2057" s="173"/>
      <c r="G2057" s="38"/>
      <c r="H2057" s="38"/>
      <c r="I2057" s="173"/>
      <c r="J2057" s="1361"/>
      <c r="K2057" s="173"/>
      <c r="L2057" s="38"/>
      <c r="M2057" s="173"/>
    </row>
    <row r="2058" spans="1:16" x14ac:dyDescent="0.2">
      <c r="A2058" s="31">
        <f>A2056+1</f>
        <v>32</v>
      </c>
      <c r="C2058" s="32" t="s">
        <v>774</v>
      </c>
      <c r="D2058" s="40">
        <f>D2053+D2036+D1981+D1977+D2056</f>
        <v>440838721.36999989</v>
      </c>
      <c r="E2058" s="40">
        <f>E2053+E2036+E1981+E1977+E2056</f>
        <v>4156566</v>
      </c>
      <c r="F2058" s="40">
        <f>F2053+F2036+F1981+F1977+F2056</f>
        <v>-498800</v>
      </c>
      <c r="G2058" s="40">
        <f>G2053+G2036+G1981+G1977+G2056</f>
        <v>444496487.36999989</v>
      </c>
      <c r="H2058" s="38"/>
      <c r="I2058" s="40">
        <f>I2053+I2036+I1981+I1977+I2056</f>
        <v>153840901.54800504</v>
      </c>
      <c r="J2058" s="1363"/>
      <c r="K2058" s="40">
        <f>K2053+K2036+K1981+K1977+K2056</f>
        <v>1363297.585815093</v>
      </c>
      <c r="L2058" s="40">
        <f>L2053+L2036+L1981+L1977+L2056</f>
        <v>498800</v>
      </c>
      <c r="M2058" s="40">
        <f>M2053+M2036+M1981+M1977+M2056</f>
        <v>-127500</v>
      </c>
      <c r="N2058" s="2230">
        <f>N2053+N2036+N1981+N1977+N2056</f>
        <v>154577899.13382012</v>
      </c>
    </row>
    <row r="2060" spans="1:16" x14ac:dyDescent="0.2">
      <c r="A2060" s="2079" t="str">
        <f>co</f>
        <v>COLUMBIA GAS OF KENTUCKY, INC.</v>
      </c>
      <c r="B2060" s="2079"/>
      <c r="C2060" s="2079"/>
      <c r="D2060" s="2079"/>
      <c r="E2060" s="2079"/>
      <c r="F2060" s="2079"/>
      <c r="G2060" s="2079"/>
      <c r="H2060" s="2079"/>
      <c r="I2060" s="2079"/>
      <c r="J2060" s="2079"/>
      <c r="K2060" s="2079"/>
      <c r="L2060" s="2079"/>
      <c r="M2060" s="2079"/>
      <c r="N2060" s="2079"/>
    </row>
    <row r="2061" spans="1:16" x14ac:dyDescent="0.2">
      <c r="A2061" s="2079" t="str">
        <f>case</f>
        <v>CASE NO. 2016 - 00162</v>
      </c>
      <c r="B2061" s="2079"/>
      <c r="C2061" s="2079"/>
      <c r="D2061" s="2079"/>
      <c r="E2061" s="2079"/>
      <c r="F2061" s="2079"/>
      <c r="G2061" s="2079"/>
      <c r="H2061" s="2079"/>
      <c r="I2061" s="2079"/>
      <c r="J2061" s="2079"/>
      <c r="K2061" s="2079"/>
      <c r="L2061" s="2079"/>
      <c r="M2061" s="2079"/>
      <c r="N2061" s="2079"/>
    </row>
    <row r="2062" spans="1:16" x14ac:dyDescent="0.2">
      <c r="A2062" s="2080" t="s">
        <v>1106</v>
      </c>
      <c r="B2062" s="2079"/>
      <c r="C2062" s="2079"/>
      <c r="D2062" s="2079"/>
      <c r="E2062" s="2079"/>
      <c r="F2062" s="2079"/>
      <c r="G2062" s="2079"/>
      <c r="H2062" s="2079"/>
      <c r="I2062" s="2079"/>
      <c r="J2062" s="2079"/>
      <c r="K2062" s="2079"/>
      <c r="L2062" s="2079"/>
      <c r="M2062" s="2079"/>
      <c r="N2062" s="2079"/>
    </row>
    <row r="2063" spans="1:16" x14ac:dyDescent="0.2">
      <c r="A2063" s="2081" t="s">
        <v>2142</v>
      </c>
      <c r="B2063" s="2085"/>
      <c r="C2063" s="2085"/>
      <c r="D2063" s="2085"/>
      <c r="E2063" s="2085"/>
      <c r="F2063" s="2085"/>
      <c r="G2063" s="2085"/>
      <c r="H2063" s="2085"/>
      <c r="I2063" s="2085"/>
      <c r="J2063" s="2085"/>
      <c r="K2063" s="2085"/>
      <c r="L2063" s="2085"/>
      <c r="M2063" s="2085"/>
      <c r="N2063" s="2085"/>
    </row>
    <row r="2065" spans="1:14" x14ac:dyDescent="0.2">
      <c r="A2065" s="285" t="str">
        <f>$A$6</f>
        <v>DATA:__X___BASE PERIOD__X___FORECASTED PERIOD</v>
      </c>
      <c r="C2065" s="171"/>
      <c r="I2065" s="32"/>
      <c r="N2065" s="1258" t="str">
        <f>$N$6</f>
        <v>WPB-2.2</v>
      </c>
    </row>
    <row r="2066" spans="1:14" x14ac:dyDescent="0.2">
      <c r="A2066" s="4" t="str">
        <f>$A$7</f>
        <v>TYPE OF FILING:___X____ORIGINAL________UPDATED</v>
      </c>
      <c r="I2066" s="32"/>
      <c r="N2066" s="2223" t="s">
        <v>1752</v>
      </c>
    </row>
    <row r="2067" spans="1:14" x14ac:dyDescent="0.2">
      <c r="A2067" s="1261" t="str">
        <f>$A$8</f>
        <v xml:space="preserve">WORKPAPER REFERENCE NO(S).: </v>
      </c>
      <c r="B2067" s="202"/>
      <c r="C2067" s="202"/>
      <c r="D2067" s="201"/>
      <c r="E2067" s="202"/>
      <c r="F2067" s="202"/>
      <c r="G2067" s="201"/>
      <c r="H2067" s="201"/>
      <c r="I2067" s="203"/>
      <c r="L2067" s="32"/>
      <c r="M2067" s="32"/>
      <c r="N2067" s="204" t="str">
        <f>SMK</f>
        <v>WITNESS:  S. M. KATKO</v>
      </c>
    </row>
    <row r="2068" spans="1:14" x14ac:dyDescent="0.2">
      <c r="A2068" s="200"/>
      <c r="B2068" s="201"/>
      <c r="C2068" s="201"/>
      <c r="D2068" s="201"/>
      <c r="E2068" s="202"/>
      <c r="F2068" s="202"/>
      <c r="G2068" s="201"/>
      <c r="H2068" s="201"/>
      <c r="I2068" s="203"/>
      <c r="J2068" s="1357"/>
      <c r="L2068" s="32"/>
      <c r="M2068" s="32"/>
    </row>
    <row r="2069" spans="1:14" x14ac:dyDescent="0.2">
      <c r="A2069" s="200"/>
      <c r="B2069" s="201"/>
      <c r="C2069" s="201"/>
      <c r="D2069" s="2082" t="s">
        <v>1088</v>
      </c>
      <c r="E2069" s="2082"/>
      <c r="F2069" s="2082"/>
      <c r="G2069" s="2082"/>
      <c r="H2069" s="201"/>
      <c r="I2069" s="2083" t="s">
        <v>1093</v>
      </c>
      <c r="J2069" s="2084"/>
      <c r="K2069" s="2084"/>
      <c r="L2069" s="2084"/>
      <c r="M2069" s="2084"/>
      <c r="N2069" s="2084"/>
    </row>
    <row r="2070" spans="1:14" x14ac:dyDescent="0.2">
      <c r="A2070" s="270"/>
      <c r="B2070" s="201"/>
      <c r="C2070" s="201"/>
      <c r="D2070" s="271" t="s">
        <v>1084</v>
      </c>
      <c r="E2070" s="202"/>
      <c r="F2070" s="202"/>
      <c r="G2070" s="269"/>
      <c r="H2070" s="269"/>
      <c r="I2070" s="261" t="s">
        <v>1089</v>
      </c>
      <c r="J2070" s="1358"/>
      <c r="M2070" s="32"/>
    </row>
    <row r="2071" spans="1:14" x14ac:dyDescent="0.2">
      <c r="A2071" s="30"/>
      <c r="D2071" s="261" t="s">
        <v>865</v>
      </c>
      <c r="G2071" s="261" t="s">
        <v>867</v>
      </c>
      <c r="H2071" s="268"/>
      <c r="I2071" s="261" t="s">
        <v>865</v>
      </c>
      <c r="J2071" s="1308" t="s">
        <v>956</v>
      </c>
      <c r="M2071" s="32"/>
      <c r="N2071" s="2225" t="s">
        <v>867</v>
      </c>
    </row>
    <row r="2072" spans="1:14" x14ac:dyDescent="0.2">
      <c r="A2072" s="261" t="s">
        <v>1080</v>
      </c>
      <c r="B2072" s="261" t="s">
        <v>1082</v>
      </c>
      <c r="D2072" s="261" t="s">
        <v>867</v>
      </c>
      <c r="G2072" s="262" t="s">
        <v>1087</v>
      </c>
      <c r="H2072" s="268"/>
      <c r="I2072" s="262" t="s">
        <v>867</v>
      </c>
      <c r="J2072" s="1308" t="s">
        <v>1090</v>
      </c>
      <c r="K2072" s="1308" t="s">
        <v>956</v>
      </c>
      <c r="M2072" s="262" t="s">
        <v>1092</v>
      </c>
      <c r="N2072" s="1259" t="s">
        <v>1087</v>
      </c>
    </row>
    <row r="2073" spans="1:14" x14ac:dyDescent="0.2">
      <c r="A2073" s="272" t="s">
        <v>1081</v>
      </c>
      <c r="B2073" s="272" t="s">
        <v>1081</v>
      </c>
      <c r="C2073" s="273" t="s">
        <v>1083</v>
      </c>
      <c r="D2073" s="298" t="str">
        <f>"09/30/2017"</f>
        <v>09/30/2017</v>
      </c>
      <c r="E2073" s="275" t="s">
        <v>1085</v>
      </c>
      <c r="F2073" s="275" t="s">
        <v>1086</v>
      </c>
      <c r="G2073" s="298" t="str">
        <f>"10/31/2017"</f>
        <v>10/31/2017</v>
      </c>
      <c r="H2073" s="268"/>
      <c r="I2073" s="274" t="str">
        <f>D2073</f>
        <v>09/30/2017</v>
      </c>
      <c r="J2073" s="275" t="s">
        <v>1091</v>
      </c>
      <c r="K2073" s="1327" t="s">
        <v>1090</v>
      </c>
      <c r="L2073" s="276" t="s">
        <v>1086</v>
      </c>
      <c r="M2073" s="276" t="s">
        <v>955</v>
      </c>
      <c r="N2073" s="2226" t="str">
        <f>G2073</f>
        <v>10/31/2017</v>
      </c>
    </row>
    <row r="2074" spans="1:14" x14ac:dyDescent="0.2">
      <c r="A2074" s="267"/>
      <c r="B2074" s="267"/>
      <c r="C2074" s="267"/>
      <c r="D2074" s="267" t="str">
        <f>"(1)"</f>
        <v>(1)</v>
      </c>
      <c r="E2074" s="267" t="str">
        <f>"(2)"</f>
        <v>(2)</v>
      </c>
      <c r="F2074" s="267" t="str">
        <f>"(3)"</f>
        <v>(3)</v>
      </c>
      <c r="G2074" s="267" t="str">
        <f>"(4)=(1+2+3)"</f>
        <v>(4)=(1+2+3)</v>
      </c>
      <c r="H2074" s="267"/>
      <c r="I2074" s="267" t="str">
        <f>"(5)"</f>
        <v>(5)</v>
      </c>
      <c r="J2074" s="1328" t="str">
        <f>"(6)"</f>
        <v>(6)</v>
      </c>
      <c r="K2074" s="1328" t="str">
        <f>"(7)=((1+4)/2*6/12))"</f>
        <v>(7)=((1+4)/2*6/12))</v>
      </c>
      <c r="L2074" s="267" t="str">
        <f>"(8)"</f>
        <v>(8)</v>
      </c>
      <c r="M2074" s="267" t="str">
        <f>"(9)"</f>
        <v>(9)</v>
      </c>
      <c r="N2074" s="204" t="str">
        <f>"(10)=(5+7-8+9)"</f>
        <v>(10)=(5+7-8+9)</v>
      </c>
    </row>
    <row r="2075" spans="1:14" x14ac:dyDescent="0.2">
      <c r="D2075" s="31" t="s">
        <v>639</v>
      </c>
      <c r="E2075" s="170" t="s">
        <v>639</v>
      </c>
      <c r="F2075" s="170" t="s">
        <v>639</v>
      </c>
      <c r="G2075" s="31" t="s">
        <v>639</v>
      </c>
      <c r="H2075" s="31"/>
      <c r="I2075" s="31" t="s">
        <v>639</v>
      </c>
      <c r="J2075" s="170" t="s">
        <v>639</v>
      </c>
      <c r="K2075" s="170" t="s">
        <v>639</v>
      </c>
      <c r="L2075" s="31" t="s">
        <v>639</v>
      </c>
      <c r="M2075" s="31" t="s">
        <v>639</v>
      </c>
      <c r="N2075" s="155" t="s">
        <v>639</v>
      </c>
    </row>
    <row r="2076" spans="1:14" x14ac:dyDescent="0.2">
      <c r="A2076" s="31">
        <v>1</v>
      </c>
      <c r="B2076" s="36" t="s">
        <v>1025</v>
      </c>
      <c r="C2076" s="34"/>
      <c r="M2076" s="32"/>
    </row>
    <row r="2077" spans="1:14" x14ac:dyDescent="0.2">
      <c r="A2077" s="31">
        <f>A2076+1</f>
        <v>2</v>
      </c>
      <c r="C2077" s="36" t="s">
        <v>697</v>
      </c>
      <c r="M2077" s="32"/>
    </row>
    <row r="2078" spans="1:14" x14ac:dyDescent="0.2">
      <c r="A2078" s="31">
        <f t="shared" ref="A2078:A2083" si="641">A2077+1</f>
        <v>3</v>
      </c>
      <c r="B2078" s="253">
        <v>301</v>
      </c>
      <c r="C2078" s="52" t="s">
        <v>1026</v>
      </c>
      <c r="D2078" s="257">
        <f>G1972</f>
        <v>521.20000000000005</v>
      </c>
      <c r="E2078" s="382">
        <f>ROUND('Plant input detail '!E2080*'WPB2.2 Plant detail-w slippage'!$P$2,0)</f>
        <v>0</v>
      </c>
      <c r="F2078" s="257">
        <f>ROUND('Plant input detail '!F2080*'WPB2.2 Plant detail-w slippage'!$P$2,0)</f>
        <v>0</v>
      </c>
      <c r="G2078" s="257">
        <f>SUM(D2078:F2078)</f>
        <v>521.20000000000005</v>
      </c>
      <c r="H2078" s="38"/>
      <c r="I2078" s="257">
        <f>N1972</f>
        <v>0</v>
      </c>
      <c r="J2078" s="296" t="s">
        <v>1094</v>
      </c>
      <c r="K2078" s="259">
        <v>0</v>
      </c>
      <c r="L2078" s="38">
        <f>-F2078</f>
        <v>0</v>
      </c>
      <c r="M2078" s="259">
        <v>0</v>
      </c>
      <c r="N2078" s="2227">
        <f>I2078+K2078-L2078+M2078</f>
        <v>0</v>
      </c>
    </row>
    <row r="2079" spans="1:14" x14ac:dyDescent="0.2">
      <c r="A2079" s="31">
        <f t="shared" si="641"/>
        <v>4</v>
      </c>
      <c r="B2079" s="253">
        <v>303</v>
      </c>
      <c r="C2079" s="52" t="s">
        <v>1027</v>
      </c>
      <c r="D2079" s="257">
        <f>G1973</f>
        <v>74347.509999999995</v>
      </c>
      <c r="E2079" s="382">
        <f>ROUND('Plant input detail '!E2081*'WPB2.2 Plant detail-w slippage'!$P$2,0)</f>
        <v>0</v>
      </c>
      <c r="F2079" s="257">
        <f>ROUND('Plant input detail '!F2081*'WPB2.2 Plant detail-w slippage'!$P$2,0)</f>
        <v>0</v>
      </c>
      <c r="G2079" s="257">
        <f>SUM(D2079:F2079)</f>
        <v>74347.509999999995</v>
      </c>
      <c r="H2079" s="38"/>
      <c r="I2079" s="257">
        <f>N1973</f>
        <v>49723.309999999939</v>
      </c>
      <c r="J2079" s="296" t="s">
        <v>1094</v>
      </c>
      <c r="K2079" s="257">
        <f>'WPB2.2a Intan Amort. w slippage'!P$127</f>
        <v>206.52</v>
      </c>
      <c r="L2079" s="38">
        <f>-F2079</f>
        <v>0</v>
      </c>
      <c r="M2079" s="259">
        <v>0</v>
      </c>
      <c r="N2079" s="2227">
        <f>I2079+K2079-L2079+M2079</f>
        <v>49929.829999999936</v>
      </c>
    </row>
    <row r="2080" spans="1:14" x14ac:dyDescent="0.2">
      <c r="A2080" s="31">
        <f t="shared" si="641"/>
        <v>5</v>
      </c>
      <c r="B2080" s="253">
        <v>303.10000000000002</v>
      </c>
      <c r="C2080" s="52" t="s">
        <v>1028</v>
      </c>
      <c r="D2080" s="257">
        <f>G1974</f>
        <v>0</v>
      </c>
      <c r="E2080" s="382">
        <f>ROUND('Plant input detail '!E2082*'WPB2.2 Plant detail-w slippage'!$P$2,0)</f>
        <v>0</v>
      </c>
      <c r="F2080" s="257">
        <f>ROUND('Plant input detail '!F2082*'WPB2.2 Plant detail-w slippage'!$P$2,0)</f>
        <v>0</v>
      </c>
      <c r="G2080" s="257">
        <f>SUM(D2080:F2080)</f>
        <v>0</v>
      </c>
      <c r="H2080" s="38"/>
      <c r="I2080" s="257">
        <f>N1974</f>
        <v>0</v>
      </c>
      <c r="J2080" s="296" t="s">
        <v>1094</v>
      </c>
      <c r="K2080" s="259">
        <v>0</v>
      </c>
      <c r="L2080" s="38">
        <f>-F2080</f>
        <v>0</v>
      </c>
      <c r="M2080" s="259">
        <v>0</v>
      </c>
      <c r="N2080" s="2227">
        <f>I2080+K2080-L2080+M2080</f>
        <v>0</v>
      </c>
    </row>
    <row r="2081" spans="1:14" x14ac:dyDescent="0.2">
      <c r="A2081" s="31">
        <f t="shared" si="641"/>
        <v>6</v>
      </c>
      <c r="B2081" s="253">
        <v>303.2</v>
      </c>
      <c r="C2081" s="52" t="s">
        <v>1029</v>
      </c>
      <c r="D2081" s="257">
        <f>G1975</f>
        <v>0</v>
      </c>
      <c r="E2081" s="382">
        <f>ROUND('Plant input detail '!E2083*'WPB2.2 Plant detail-w slippage'!$P$2,0)</f>
        <v>0</v>
      </c>
      <c r="F2081" s="257">
        <f>ROUND('Plant input detail '!F2083*'WPB2.2 Plant detail-w slippage'!$P$2,0)</f>
        <v>0</v>
      </c>
      <c r="G2081" s="257">
        <f>SUM(D2081:F2081)</f>
        <v>0</v>
      </c>
      <c r="H2081" s="38"/>
      <c r="I2081" s="257">
        <f>N1975</f>
        <v>0</v>
      </c>
      <c r="J2081" s="296" t="s">
        <v>1094</v>
      </c>
      <c r="K2081" s="259">
        <v>0</v>
      </c>
      <c r="L2081" s="38">
        <f>-F2081</f>
        <v>0</v>
      </c>
      <c r="M2081" s="259">
        <v>0</v>
      </c>
      <c r="N2081" s="2227">
        <f>I2081+K2081-L2081+M2081</f>
        <v>0</v>
      </c>
    </row>
    <row r="2082" spans="1:14" x14ac:dyDescent="0.2">
      <c r="A2082" s="31">
        <f t="shared" si="641"/>
        <v>7</v>
      </c>
      <c r="B2082" s="253">
        <v>303.3</v>
      </c>
      <c r="C2082" s="52" t="s">
        <v>1030</v>
      </c>
      <c r="D2082" s="260">
        <f>G1976</f>
        <v>9670586</v>
      </c>
      <c r="E2082" s="265">
        <f>ROUND('Plant input detail '!E2084*'WPB2.2 Plant detail-w slippage'!$P$2,0)</f>
        <v>0</v>
      </c>
      <c r="F2082" s="265">
        <f>ROUND('Plant input detail '!F2084*'WPB2.2 Plant detail-w slippage'!$P$2,0)</f>
        <v>0</v>
      </c>
      <c r="G2082" s="260">
        <f>SUM(D2082:F2082)</f>
        <v>9670586</v>
      </c>
      <c r="H2082" s="38"/>
      <c r="I2082" s="260">
        <f>N1976</f>
        <v>3759084.1138200988</v>
      </c>
      <c r="J2082" s="296" t="s">
        <v>1094</v>
      </c>
      <c r="K2082" s="260">
        <f>'WPB2.2a Intan Amort. w slippage'!P$216</f>
        <v>127412.66762345997</v>
      </c>
      <c r="L2082" s="295">
        <f>-F2082</f>
        <v>0</v>
      </c>
      <c r="M2082" s="263">
        <v>0</v>
      </c>
      <c r="N2082" s="2228">
        <f>I2082+K2082-L2082+M2082</f>
        <v>3886496.7814435586</v>
      </c>
    </row>
    <row r="2083" spans="1:14" x14ac:dyDescent="0.2">
      <c r="A2083" s="31">
        <f t="shared" si="641"/>
        <v>8</v>
      </c>
      <c r="B2083" s="253"/>
      <c r="C2083" s="52" t="s">
        <v>1031</v>
      </c>
      <c r="D2083" s="38">
        <f>SUM(D2078:D2082)</f>
        <v>9745454.7100000009</v>
      </c>
      <c r="E2083" s="173">
        <f>SUM(E2078:E2082)</f>
        <v>0</v>
      </c>
      <c r="F2083" s="173">
        <f>SUM(F2078:F2082)</f>
        <v>0</v>
      </c>
      <c r="G2083" s="38">
        <f>SUM(G2078:G2082)</f>
        <v>9745454.7100000009</v>
      </c>
      <c r="H2083" s="38"/>
      <c r="I2083" s="38">
        <f>SUM(I2078:I2082)</f>
        <v>3808807.4238200989</v>
      </c>
      <c r="J2083" s="1359"/>
      <c r="K2083" s="173">
        <f>SUM(K2078:K2082)</f>
        <v>127619.18762345998</v>
      </c>
      <c r="L2083" s="38">
        <f>SUM(L2078:L2082)</f>
        <v>0</v>
      </c>
      <c r="M2083" s="173">
        <f>SUM(M2078:M2082)</f>
        <v>0</v>
      </c>
      <c r="N2083" s="1361">
        <f>SUM(N2078:N2082)</f>
        <v>3936426.6114435587</v>
      </c>
    </row>
    <row r="2084" spans="1:14" x14ac:dyDescent="0.2">
      <c r="B2084" s="254"/>
      <c r="D2084" s="38"/>
      <c r="E2084" s="173"/>
      <c r="F2084" s="173"/>
      <c r="G2084" s="38"/>
      <c r="H2084" s="38"/>
      <c r="I2084" s="38"/>
      <c r="J2084" s="1359"/>
      <c r="K2084" s="173"/>
      <c r="L2084" s="38"/>
      <c r="M2084" s="173"/>
    </row>
    <row r="2085" spans="1:14" x14ac:dyDescent="0.2">
      <c r="A2085" s="31">
        <f>A2083+1</f>
        <v>9</v>
      </c>
      <c r="B2085" s="254"/>
      <c r="C2085" s="36" t="s">
        <v>704</v>
      </c>
      <c r="D2085" s="38"/>
      <c r="E2085" s="173"/>
      <c r="F2085" s="173"/>
      <c r="G2085" s="38"/>
      <c r="H2085" s="38"/>
      <c r="I2085" s="38"/>
      <c r="J2085" s="1359"/>
      <c r="K2085" s="173"/>
      <c r="L2085" s="38"/>
      <c r="M2085" s="173"/>
    </row>
    <row r="2086" spans="1:14" x14ac:dyDescent="0.2">
      <c r="A2086" s="31">
        <f>A2085+1</f>
        <v>10</v>
      </c>
      <c r="B2086" s="255">
        <v>304.10000000000002</v>
      </c>
      <c r="C2086" s="41" t="s">
        <v>1032</v>
      </c>
      <c r="D2086" s="260">
        <f>G1980</f>
        <v>0</v>
      </c>
      <c r="E2086" s="265">
        <f>ROUND('Plant input detail '!E2088*'WPB2.2 Plant detail-w slippage'!$P$2,0)</f>
        <v>0</v>
      </c>
      <c r="F2086" s="265">
        <f>ROUND('Plant input detail '!F2088*'WPB2.2 Plant detail-w slippage'!$P$2,0)</f>
        <v>0</v>
      </c>
      <c r="G2086" s="260">
        <f>SUM(D2086:F2086)</f>
        <v>0</v>
      </c>
      <c r="H2086" s="38"/>
      <c r="I2086" s="260">
        <f>N1980</f>
        <v>0</v>
      </c>
      <c r="J2086" s="1360" t="s">
        <v>1102</v>
      </c>
      <c r="K2086" s="266">
        <v>0</v>
      </c>
      <c r="L2086" s="295">
        <f>-F2086</f>
        <v>0</v>
      </c>
      <c r="M2086" s="263">
        <v>0</v>
      </c>
      <c r="N2086" s="2228">
        <f>I2086+K2086-L2086+M2086</f>
        <v>0</v>
      </c>
    </row>
    <row r="2087" spans="1:14" x14ac:dyDescent="0.2">
      <c r="A2087" s="31">
        <f>A2086+1</f>
        <v>11</v>
      </c>
      <c r="B2087" s="255"/>
      <c r="C2087" s="256" t="s">
        <v>1079</v>
      </c>
      <c r="D2087" s="38">
        <f>D2086</f>
        <v>0</v>
      </c>
      <c r="E2087" s="173">
        <f>E2086</f>
        <v>0</v>
      </c>
      <c r="F2087" s="173">
        <f>F2086</f>
        <v>0</v>
      </c>
      <c r="G2087" s="38">
        <f>G2086</f>
        <v>0</v>
      </c>
      <c r="H2087" s="38"/>
      <c r="I2087" s="38">
        <f>I2086</f>
        <v>0</v>
      </c>
      <c r="J2087" s="1361"/>
      <c r="K2087" s="173">
        <f>SUM(K2086)</f>
        <v>0</v>
      </c>
      <c r="L2087" s="38">
        <f>SUM(L2086)</f>
        <v>0</v>
      </c>
      <c r="M2087" s="173">
        <f>M2086</f>
        <v>0</v>
      </c>
      <c r="N2087" s="1361">
        <f>N2086</f>
        <v>0</v>
      </c>
    </row>
    <row r="2088" spans="1:14" x14ac:dyDescent="0.2">
      <c r="B2088" s="254"/>
      <c r="D2088" s="38"/>
      <c r="E2088" s="173"/>
      <c r="F2088" s="173"/>
      <c r="G2088" s="38"/>
      <c r="H2088" s="38"/>
      <c r="I2088" s="38"/>
      <c r="J2088" s="1361"/>
      <c r="K2088" s="173"/>
      <c r="L2088" s="38"/>
      <c r="M2088" s="173"/>
    </row>
    <row r="2089" spans="1:14" x14ac:dyDescent="0.2">
      <c r="A2089" s="31">
        <f>A2087+1</f>
        <v>12</v>
      </c>
      <c r="B2089" s="254"/>
      <c r="C2089" s="36" t="s">
        <v>707</v>
      </c>
      <c r="D2089" s="38"/>
      <c r="E2089" s="173"/>
      <c r="F2089" s="173"/>
      <c r="G2089" s="38"/>
      <c r="H2089" s="38"/>
      <c r="I2089" s="38"/>
      <c r="J2089" s="1361"/>
      <c r="K2089" s="173"/>
      <c r="L2089" s="38"/>
      <c r="M2089" s="173"/>
    </row>
    <row r="2090" spans="1:14" x14ac:dyDescent="0.2">
      <c r="A2090" s="31">
        <f>A2089+1</f>
        <v>13</v>
      </c>
      <c r="B2090" s="253">
        <v>374.1</v>
      </c>
      <c r="C2090" s="52" t="s">
        <v>1035</v>
      </c>
      <c r="D2090" s="257">
        <f t="shared" ref="D2090:D2100" si="642">G1984</f>
        <v>206</v>
      </c>
      <c r="E2090" s="382">
        <f>ROUND('Plant input detail '!E2092*'WPB2.2 Plant detail-w slippage'!$P$2,0)</f>
        <v>0</v>
      </c>
      <c r="F2090" s="257">
        <f>ROUND('Plant input detail '!F2092*'WPB2.2 Plant detail-w slippage'!$P$2,0)</f>
        <v>0</v>
      </c>
      <c r="G2090" s="257">
        <f>SUM(D2090:F2090)</f>
        <v>206</v>
      </c>
      <c r="H2090" s="38"/>
      <c r="I2090" s="257">
        <f t="shared" ref="I2090:I2100" si="643">N1984</f>
        <v>0</v>
      </c>
      <c r="J2090" s="1360" t="s">
        <v>1102</v>
      </c>
      <c r="K2090" s="259">
        <v>0</v>
      </c>
      <c r="L2090" s="38">
        <f t="shared" ref="L2090:L2100" si="644">-F2090</f>
        <v>0</v>
      </c>
      <c r="M2090" s="257">
        <f>ROUND('Plant input detail '!M2092*'WPB2.2 Plant detail-w slippage'!$P$2,0)</f>
        <v>0</v>
      </c>
      <c r="N2090" s="2227">
        <f t="shared" ref="N2090:N2100" si="645">I2090+K2090-L2090+M2090</f>
        <v>0</v>
      </c>
    </row>
    <row r="2091" spans="1:14" x14ac:dyDescent="0.2">
      <c r="A2091" s="31">
        <f t="shared" ref="A2091:A2111" si="646">A2090+1</f>
        <v>14</v>
      </c>
      <c r="B2091" s="253">
        <v>374.2</v>
      </c>
      <c r="C2091" s="52" t="s">
        <v>1036</v>
      </c>
      <c r="D2091" s="257">
        <f t="shared" si="642"/>
        <v>877756.18</v>
      </c>
      <c r="E2091" s="382">
        <f>ROUND('Plant input detail '!E2093*'WPB2.2 Plant detail-w slippage'!$P$2,0)</f>
        <v>0</v>
      </c>
      <c r="F2091" s="257">
        <f>ROUND('Plant input detail '!F2093*'WPB2.2 Plant detail-w slippage'!$P$2,0)</f>
        <v>0</v>
      </c>
      <c r="G2091" s="257">
        <f t="shared" ref="G2091:G2100" si="647">SUM(D2091:F2091)</f>
        <v>877756.18</v>
      </c>
      <c r="H2091" s="38"/>
      <c r="I2091" s="257">
        <f t="shared" si="643"/>
        <v>-523.13</v>
      </c>
      <c r="J2091" s="1360" t="s">
        <v>1102</v>
      </c>
      <c r="K2091" s="259">
        <v>0</v>
      </c>
      <c r="L2091" s="38">
        <f t="shared" si="644"/>
        <v>0</v>
      </c>
      <c r="M2091" s="257">
        <f>ROUND('Plant input detail '!M2093*'WPB2.2 Plant detail-w slippage'!$P$2,0)</f>
        <v>0</v>
      </c>
      <c r="N2091" s="2227">
        <f t="shared" si="645"/>
        <v>-523.13</v>
      </c>
    </row>
    <row r="2092" spans="1:14" x14ac:dyDescent="0.2">
      <c r="A2092" s="31">
        <f t="shared" si="646"/>
        <v>15</v>
      </c>
      <c r="B2092" s="253">
        <v>374.4</v>
      </c>
      <c r="C2092" s="52" t="s">
        <v>1037</v>
      </c>
      <c r="D2092" s="257">
        <f t="shared" si="642"/>
        <v>661305.66</v>
      </c>
      <c r="E2092" s="382">
        <f>ROUND('Plant input detail '!E2094*'WPB2.2 Plant detail-w slippage'!$P$2,0)</f>
        <v>0</v>
      </c>
      <c r="F2092" s="257">
        <f>ROUND('Plant input detail '!F2094*'WPB2.2 Plant detail-w slippage'!$P$2,0)</f>
        <v>0</v>
      </c>
      <c r="G2092" s="257">
        <f t="shared" si="647"/>
        <v>661305.66</v>
      </c>
      <c r="H2092" s="38"/>
      <c r="I2092" s="257">
        <f t="shared" si="643"/>
        <v>187514.36</v>
      </c>
      <c r="J2092" s="1362">
        <f t="shared" ref="J2092:J2098" si="648">J1986</f>
        <v>1.7399999999999999E-2</v>
      </c>
      <c r="K2092" s="173">
        <f>ROUND((G2092+D2092)/2*J2092/12,0)</f>
        <v>959</v>
      </c>
      <c r="L2092" s="38">
        <f t="shared" si="644"/>
        <v>0</v>
      </c>
      <c r="M2092" s="257">
        <f>ROUND('Plant input detail '!M2094*'WPB2.2 Plant detail-w slippage'!$P$2,0)</f>
        <v>0</v>
      </c>
      <c r="N2092" s="2227">
        <f t="shared" si="645"/>
        <v>188473.36</v>
      </c>
    </row>
    <row r="2093" spans="1:14" x14ac:dyDescent="0.2">
      <c r="A2093" s="31">
        <f t="shared" si="646"/>
        <v>16</v>
      </c>
      <c r="B2093" s="253">
        <v>374.5</v>
      </c>
      <c r="C2093" s="52" t="s">
        <v>1038</v>
      </c>
      <c r="D2093" s="257">
        <f t="shared" si="642"/>
        <v>2739572.55</v>
      </c>
      <c r="E2093" s="382">
        <f>ROUND('Plant input detail '!E2095*'WPB2.2 Plant detail-w slippage'!$P$2,0)</f>
        <v>5500</v>
      </c>
      <c r="F2093" s="257">
        <f>ROUND('Plant input detail '!F2095*'WPB2.2 Plant detail-w slippage'!$P$2,0)</f>
        <v>-700</v>
      </c>
      <c r="G2093" s="257">
        <f t="shared" si="647"/>
        <v>2744372.55</v>
      </c>
      <c r="H2093" s="38"/>
      <c r="I2093" s="257">
        <f t="shared" si="643"/>
        <v>950145.23</v>
      </c>
      <c r="J2093" s="1362">
        <f t="shared" si="648"/>
        <v>1.29E-2</v>
      </c>
      <c r="K2093" s="173">
        <f t="shared" ref="K2093:K2098" si="649">ROUND((G2093+D2093)/2*J2093/12,0)</f>
        <v>2948</v>
      </c>
      <c r="L2093" s="38">
        <f t="shared" si="644"/>
        <v>700</v>
      </c>
      <c r="M2093" s="257">
        <f>ROUND('Plant input detail '!M2095*'WPB2.2 Plant detail-w slippage'!$P$2,0)</f>
        <v>0</v>
      </c>
      <c r="N2093" s="2227">
        <f t="shared" si="645"/>
        <v>952393.23</v>
      </c>
    </row>
    <row r="2094" spans="1:14" x14ac:dyDescent="0.2">
      <c r="A2094" s="31">
        <f t="shared" si="646"/>
        <v>17</v>
      </c>
      <c r="B2094" s="253">
        <v>375.2</v>
      </c>
      <c r="C2094" s="52" t="s">
        <v>1039</v>
      </c>
      <c r="D2094" s="257">
        <f t="shared" si="642"/>
        <v>2124.98</v>
      </c>
      <c r="E2094" s="382">
        <f>ROUND('Plant input detail '!E2096*'WPB2.2 Plant detail-w slippage'!$P$2,0)</f>
        <v>0</v>
      </c>
      <c r="F2094" s="257">
        <f>ROUND('Plant input detail '!F2096*'WPB2.2 Plant detail-w slippage'!$P$2,0)</f>
        <v>0</v>
      </c>
      <c r="G2094" s="257">
        <f t="shared" si="647"/>
        <v>2124.98</v>
      </c>
      <c r="H2094" s="38"/>
      <c r="I2094" s="257">
        <f t="shared" si="643"/>
        <v>2081.3199999999997</v>
      </c>
      <c r="J2094" s="1362">
        <f t="shared" si="648"/>
        <v>3.1800000000000002E-2</v>
      </c>
      <c r="K2094" s="173">
        <f t="shared" si="649"/>
        <v>6</v>
      </c>
      <c r="L2094" s="38">
        <f t="shared" si="644"/>
        <v>0</v>
      </c>
      <c r="M2094" s="257">
        <f>ROUND('Plant input detail '!M2096*'WPB2.2 Plant detail-w slippage'!$P$2,0)</f>
        <v>0</v>
      </c>
      <c r="N2094" s="2227">
        <f t="shared" si="645"/>
        <v>2087.3199999999997</v>
      </c>
    </row>
    <row r="2095" spans="1:14" x14ac:dyDescent="0.2">
      <c r="A2095" s="31">
        <f t="shared" si="646"/>
        <v>18</v>
      </c>
      <c r="B2095" s="253">
        <v>375.3</v>
      </c>
      <c r="C2095" s="52" t="s">
        <v>1040</v>
      </c>
      <c r="D2095" s="257">
        <f t="shared" si="642"/>
        <v>0</v>
      </c>
      <c r="E2095" s="382">
        <f>ROUND('Plant input detail '!E2097*'WPB2.2 Plant detail-w slippage'!$P$2,0)</f>
        <v>0</v>
      </c>
      <c r="F2095" s="257">
        <f>ROUND('Plant input detail '!F2097*'WPB2.2 Plant detail-w slippage'!$P$2,0)</f>
        <v>0</v>
      </c>
      <c r="G2095" s="257">
        <f t="shared" si="647"/>
        <v>0</v>
      </c>
      <c r="H2095" s="38"/>
      <c r="I2095" s="257">
        <f t="shared" si="643"/>
        <v>-77.66</v>
      </c>
      <c r="J2095" s="1362">
        <f t="shared" si="648"/>
        <v>3.1800000000000002E-2</v>
      </c>
      <c r="K2095" s="173">
        <f t="shared" si="649"/>
        <v>0</v>
      </c>
      <c r="L2095" s="38">
        <f t="shared" si="644"/>
        <v>0</v>
      </c>
      <c r="M2095" s="257">
        <f>ROUND('Plant input detail '!M2097*'WPB2.2 Plant detail-w slippage'!$P$2,0)</f>
        <v>0</v>
      </c>
      <c r="N2095" s="2227">
        <f t="shared" si="645"/>
        <v>-77.66</v>
      </c>
    </row>
    <row r="2096" spans="1:14" x14ac:dyDescent="0.2">
      <c r="A2096" s="31">
        <f t="shared" si="646"/>
        <v>19</v>
      </c>
      <c r="B2096" s="253">
        <v>375.4</v>
      </c>
      <c r="C2096" s="52" t="s">
        <v>1041</v>
      </c>
      <c r="D2096" s="257">
        <f t="shared" si="642"/>
        <v>2274930.02</v>
      </c>
      <c r="E2096" s="382">
        <f>ROUND('Plant input detail '!E2098*'WPB2.2 Plant detail-w slippage'!$P$2,0)</f>
        <v>38900</v>
      </c>
      <c r="F2096" s="257">
        <f>ROUND('Plant input detail '!F2098*'WPB2.2 Plant detail-w slippage'!$P$2,0)</f>
        <v>-4700</v>
      </c>
      <c r="G2096" s="257">
        <f t="shared" si="647"/>
        <v>2309130.02</v>
      </c>
      <c r="H2096" s="38"/>
      <c r="I2096" s="257">
        <f t="shared" si="643"/>
        <v>509295.37</v>
      </c>
      <c r="J2096" s="1362">
        <f t="shared" si="648"/>
        <v>3.1800000000000002E-2</v>
      </c>
      <c r="K2096" s="173">
        <f t="shared" si="649"/>
        <v>6074</v>
      </c>
      <c r="L2096" s="38">
        <f t="shared" si="644"/>
        <v>4700</v>
      </c>
      <c r="M2096" s="257">
        <f>ROUND('Plant input detail '!M2098*'WPB2.2 Plant detail-w slippage'!$P$2,0)</f>
        <v>-500</v>
      </c>
      <c r="N2096" s="2227">
        <f t="shared" si="645"/>
        <v>510169.37</v>
      </c>
    </row>
    <row r="2097" spans="1:14" x14ac:dyDescent="0.2">
      <c r="A2097" s="31">
        <f t="shared" si="646"/>
        <v>20</v>
      </c>
      <c r="B2097" s="253">
        <v>375.6</v>
      </c>
      <c r="C2097" s="52" t="s">
        <v>1042</v>
      </c>
      <c r="D2097" s="257">
        <f t="shared" si="642"/>
        <v>0</v>
      </c>
      <c r="E2097" s="382">
        <f>ROUND('Plant input detail '!E2099*'WPB2.2 Plant detail-w slippage'!$P$2,0)</f>
        <v>0</v>
      </c>
      <c r="F2097" s="257">
        <f>ROUND('Plant input detail '!F2099*'WPB2.2 Plant detail-w slippage'!$P$2,0)</f>
        <v>0</v>
      </c>
      <c r="G2097" s="257">
        <f t="shared" si="647"/>
        <v>0</v>
      </c>
      <c r="H2097" s="38"/>
      <c r="I2097" s="257">
        <f t="shared" si="643"/>
        <v>0.02</v>
      </c>
      <c r="J2097" s="1362">
        <f t="shared" si="648"/>
        <v>3.1800000000000002E-2</v>
      </c>
      <c r="K2097" s="173">
        <f t="shared" si="649"/>
        <v>0</v>
      </c>
      <c r="L2097" s="38">
        <f t="shared" si="644"/>
        <v>0</v>
      </c>
      <c r="M2097" s="257">
        <f>ROUND('Plant input detail '!M2099*'WPB2.2 Plant detail-w slippage'!$P$2,0)</f>
        <v>0</v>
      </c>
      <c r="N2097" s="2227">
        <f t="shared" si="645"/>
        <v>0.02</v>
      </c>
    </row>
    <row r="2098" spans="1:14" x14ac:dyDescent="0.2">
      <c r="A2098" s="31">
        <f t="shared" si="646"/>
        <v>21</v>
      </c>
      <c r="B2098" s="253">
        <v>375.7</v>
      </c>
      <c r="C2098" s="52" t="s">
        <v>1043</v>
      </c>
      <c r="D2098" s="257">
        <f t="shared" si="642"/>
        <v>8638050.2100000009</v>
      </c>
      <c r="E2098" s="382">
        <f>ROUND('Plant input detail '!E2100*'WPB2.2 Plant detail-w slippage'!$P$2,0)</f>
        <v>48300</v>
      </c>
      <c r="F2098" s="257">
        <f>ROUND('Plant input detail '!F2100*'WPB2.2 Plant detail-w slippage'!$P$2,0)</f>
        <v>-5800</v>
      </c>
      <c r="G2098" s="257">
        <f t="shared" si="647"/>
        <v>8680550.2100000009</v>
      </c>
      <c r="H2098" s="38"/>
      <c r="I2098" s="257">
        <f t="shared" si="643"/>
        <v>3398936.06</v>
      </c>
      <c r="J2098" s="1362">
        <f t="shared" si="648"/>
        <v>2.1299999999999999E-2</v>
      </c>
      <c r="K2098" s="173">
        <f t="shared" si="649"/>
        <v>15370</v>
      </c>
      <c r="L2098" s="38">
        <f t="shared" si="644"/>
        <v>5800</v>
      </c>
      <c r="M2098" s="257">
        <f>ROUND('Plant input detail '!M2100*'WPB2.2 Plant detail-w slippage'!$P$2,0)</f>
        <v>0</v>
      </c>
      <c r="N2098" s="2227">
        <f t="shared" si="645"/>
        <v>3408506.06</v>
      </c>
    </row>
    <row r="2099" spans="1:14" x14ac:dyDescent="0.2">
      <c r="A2099" s="31">
        <f t="shared" si="646"/>
        <v>22</v>
      </c>
      <c r="B2099" s="253">
        <v>375.71</v>
      </c>
      <c r="C2099" s="52" t="s">
        <v>1044</v>
      </c>
      <c r="D2099" s="257">
        <f t="shared" si="642"/>
        <v>259808.94</v>
      </c>
      <c r="E2099" s="382">
        <f>ROUND('Plant input detail '!E2101*'WPB2.2 Plant detail-w slippage'!$P$2,0)</f>
        <v>0</v>
      </c>
      <c r="F2099" s="257">
        <f>ROUND('Plant input detail '!F2101*'WPB2.2 Plant detail-w slippage'!$P$2,0)</f>
        <v>0</v>
      </c>
      <c r="G2099" s="257">
        <f t="shared" si="647"/>
        <v>259808.94</v>
      </c>
      <c r="H2099" s="38"/>
      <c r="I2099" s="257">
        <f t="shared" si="643"/>
        <v>207482.00000000023</v>
      </c>
      <c r="J2099" s="296" t="s">
        <v>1094</v>
      </c>
      <c r="K2099" s="258">
        <f>104653.88/38</f>
        <v>2754.0494736842106</v>
      </c>
      <c r="L2099" s="38">
        <f t="shared" si="644"/>
        <v>0</v>
      </c>
      <c r="M2099" s="257">
        <f>ROUND('Plant input detail '!M2101*'WPB2.2 Plant detail-w slippage'!$P$2,0)</f>
        <v>0</v>
      </c>
      <c r="N2099" s="2227">
        <f t="shared" si="645"/>
        <v>210236.04947368446</v>
      </c>
    </row>
    <row r="2100" spans="1:14" x14ac:dyDescent="0.2">
      <c r="A2100" s="31">
        <f t="shared" si="646"/>
        <v>23</v>
      </c>
      <c r="B2100" s="253">
        <v>375.8</v>
      </c>
      <c r="C2100" s="52" t="s">
        <v>1045</v>
      </c>
      <c r="D2100" s="257">
        <f t="shared" si="642"/>
        <v>0</v>
      </c>
      <c r="E2100" s="382">
        <f>ROUND('Plant input detail '!E2102*'WPB2.2 Plant detail-w slippage'!$P$2,0)</f>
        <v>0</v>
      </c>
      <c r="F2100" s="257">
        <f>ROUND('Plant input detail '!F2102*'WPB2.2 Plant detail-w slippage'!$P$2,0)</f>
        <v>0</v>
      </c>
      <c r="G2100" s="257">
        <f t="shared" si="647"/>
        <v>0</v>
      </c>
      <c r="H2100" s="38"/>
      <c r="I2100" s="257">
        <f t="shared" si="643"/>
        <v>0</v>
      </c>
      <c r="J2100" s="1362">
        <f>J1994</f>
        <v>0</v>
      </c>
      <c r="K2100" s="259">
        <v>0</v>
      </c>
      <c r="L2100" s="38">
        <f t="shared" si="644"/>
        <v>0</v>
      </c>
      <c r="M2100" s="257">
        <f>ROUND('Plant input detail '!M2102*'WPB2.2 Plant detail-w slippage'!$P$2,0)</f>
        <v>0</v>
      </c>
      <c r="N2100" s="2227">
        <f t="shared" si="645"/>
        <v>0</v>
      </c>
    </row>
    <row r="2101" spans="1:14" x14ac:dyDescent="0.2">
      <c r="A2101" s="31">
        <f>A2100+1</f>
        <v>24</v>
      </c>
      <c r="B2101" s="253">
        <v>376</v>
      </c>
      <c r="C2101" s="251" t="s">
        <v>1096</v>
      </c>
      <c r="D2101" s="257"/>
      <c r="E2101" s="258"/>
      <c r="F2101" s="259"/>
      <c r="G2101" s="257"/>
      <c r="H2101" s="38"/>
      <c r="I2101" s="181"/>
      <c r="J2101" s="1361"/>
      <c r="K2101" s="173"/>
      <c r="L2101" s="38"/>
      <c r="M2101" s="259"/>
    </row>
    <row r="2102" spans="1:14" x14ac:dyDescent="0.2">
      <c r="A2102" s="31"/>
      <c r="B2102" s="253"/>
      <c r="C2102" s="286" t="s">
        <v>1097</v>
      </c>
      <c r="D2102" s="257"/>
      <c r="E2102" s="258"/>
      <c r="F2102" s="259"/>
      <c r="G2102" s="257"/>
      <c r="H2102" s="38"/>
      <c r="I2102" s="257"/>
      <c r="J2102" s="1362"/>
      <c r="K2102" s="173"/>
      <c r="L2102" s="38"/>
      <c r="M2102" s="257"/>
      <c r="N2102" s="2227"/>
    </row>
    <row r="2103" spans="1:14" x14ac:dyDescent="0.2">
      <c r="A2103" s="31"/>
      <c r="B2103" s="253"/>
      <c r="C2103" s="286" t="s">
        <v>1098</v>
      </c>
      <c r="D2103" s="257"/>
      <c r="E2103" s="258"/>
      <c r="F2103" s="259"/>
      <c r="G2103" s="257"/>
      <c r="H2103" s="38"/>
      <c r="I2103" s="257"/>
      <c r="J2103" s="1362"/>
      <c r="K2103" s="173"/>
      <c r="L2103" s="38"/>
      <c r="M2103" s="257"/>
      <c r="N2103" s="2227"/>
    </row>
    <row r="2104" spans="1:14" x14ac:dyDescent="0.2">
      <c r="A2104" s="31"/>
      <c r="B2104" s="253"/>
      <c r="C2104" s="286" t="s">
        <v>1099</v>
      </c>
      <c r="D2104" s="257"/>
      <c r="E2104" s="258"/>
      <c r="F2104" s="259"/>
      <c r="G2104" s="257"/>
      <c r="H2104" s="38"/>
      <c r="I2104" s="257"/>
      <c r="J2104" s="1362"/>
      <c r="K2104" s="173"/>
      <c r="L2104" s="38"/>
      <c r="M2104" s="257"/>
      <c r="N2104" s="2227"/>
    </row>
    <row r="2105" spans="1:14" x14ac:dyDescent="0.2">
      <c r="A2105" s="31"/>
      <c r="B2105" s="253"/>
      <c r="C2105" s="286" t="s">
        <v>1100</v>
      </c>
      <c r="D2105" s="257"/>
      <c r="E2105" s="258"/>
      <c r="F2105" s="259"/>
      <c r="G2105" s="257"/>
      <c r="H2105" s="38"/>
      <c r="I2105" s="257"/>
      <c r="J2105" s="1362"/>
      <c r="K2105" s="173"/>
      <c r="L2105" s="38"/>
      <c r="M2105" s="257"/>
      <c r="N2105" s="2227"/>
    </row>
    <row r="2106" spans="1:14" x14ac:dyDescent="0.2">
      <c r="A2106" s="31"/>
      <c r="B2106" s="253"/>
      <c r="C2106" s="286" t="s">
        <v>1101</v>
      </c>
      <c r="D2106" s="257">
        <f t="shared" ref="D2106:D2111" si="650">G2000</f>
        <v>223834385.44</v>
      </c>
      <c r="E2106" s="382">
        <f>ROUND('Plant input detail '!E2108*'WPB2.2 Plant detail-w slippage'!$P$2,0)</f>
        <v>2170220</v>
      </c>
      <c r="F2106" s="257">
        <f>ROUND('Plant input detail '!F2108*'WPB2.2 Plant detail-w slippage'!$P$2,0)</f>
        <v>-260400</v>
      </c>
      <c r="G2106" s="257">
        <f t="shared" ref="G2106:G2111" si="651">SUM(D2106:F2106)</f>
        <v>225744205.44</v>
      </c>
      <c r="H2106" s="38"/>
      <c r="I2106" s="257">
        <f t="shared" ref="I2106:I2111" si="652">N2000</f>
        <v>59561762.609999999</v>
      </c>
      <c r="J2106" s="1362">
        <f t="shared" ref="J2106:J2111" si="653">J2000</f>
        <v>2.3E-2</v>
      </c>
      <c r="K2106" s="173">
        <f t="shared" ref="K2106:K2111" si="654">ROUND((G2106+D2106)/2*J2106/12,0)</f>
        <v>430846</v>
      </c>
      <c r="L2106" s="38">
        <f t="shared" ref="L2106:L2111" si="655">-F2106</f>
        <v>260400</v>
      </c>
      <c r="M2106" s="257">
        <f>ROUND('Plant input detail '!M2108*'WPB2.2 Plant detail-w slippage'!$P$2,0)</f>
        <v>-39100</v>
      </c>
      <c r="N2106" s="2227">
        <f t="shared" ref="N2106:N2111" si="656">I2106+K2106-L2106+M2106</f>
        <v>59693108.609999999</v>
      </c>
    </row>
    <row r="2107" spans="1:14" x14ac:dyDescent="0.2">
      <c r="A2107" s="31">
        <f>A2101+1</f>
        <v>25</v>
      </c>
      <c r="B2107" s="253">
        <v>378.1</v>
      </c>
      <c r="C2107" s="52" t="s">
        <v>1047</v>
      </c>
      <c r="D2107" s="257">
        <f t="shared" si="650"/>
        <v>518504.18</v>
      </c>
      <c r="E2107" s="382">
        <f>ROUND('Plant input detail '!E2109*'WPB2.2 Plant detail-w slippage'!$P$2,0)</f>
        <v>0</v>
      </c>
      <c r="F2107" s="257">
        <f>ROUND('Plant input detail '!F2109*'WPB2.2 Plant detail-w slippage'!$P$2,0)</f>
        <v>0</v>
      </c>
      <c r="G2107" s="257">
        <f t="shared" si="651"/>
        <v>518504.18</v>
      </c>
      <c r="H2107" s="38"/>
      <c r="I2107" s="257">
        <f t="shared" si="652"/>
        <v>376376.81</v>
      </c>
      <c r="J2107" s="1362">
        <f t="shared" si="653"/>
        <v>3.32E-2</v>
      </c>
      <c r="K2107" s="173">
        <f t="shared" si="654"/>
        <v>1435</v>
      </c>
      <c r="L2107" s="38">
        <f t="shared" si="655"/>
        <v>0</v>
      </c>
      <c r="M2107" s="257">
        <f>ROUND('Plant input detail '!M2109*'WPB2.2 Plant detail-w slippage'!$P$2,0)</f>
        <v>0</v>
      </c>
      <c r="N2107" s="2227">
        <f t="shared" si="656"/>
        <v>377811.81</v>
      </c>
    </row>
    <row r="2108" spans="1:14" x14ac:dyDescent="0.2">
      <c r="A2108" s="31">
        <f t="shared" si="646"/>
        <v>26</v>
      </c>
      <c r="B2108" s="253">
        <v>378.2</v>
      </c>
      <c r="C2108" s="52" t="s">
        <v>1048</v>
      </c>
      <c r="D2108" s="257">
        <f t="shared" si="650"/>
        <v>10031124</v>
      </c>
      <c r="E2108" s="382">
        <f>ROUND('Plant input detail '!E2110*'WPB2.2 Plant detail-w slippage'!$P$2,0)</f>
        <v>61600</v>
      </c>
      <c r="F2108" s="257">
        <f>ROUND('Plant input detail '!F2110*'WPB2.2 Plant detail-w slippage'!$P$2,0)</f>
        <v>-7400</v>
      </c>
      <c r="G2108" s="257">
        <f t="shared" si="651"/>
        <v>10085324</v>
      </c>
      <c r="H2108" s="38"/>
      <c r="I2108" s="257">
        <f t="shared" si="652"/>
        <v>3578810.91</v>
      </c>
      <c r="J2108" s="1362">
        <f t="shared" si="653"/>
        <v>3.32E-2</v>
      </c>
      <c r="K2108" s="173">
        <f t="shared" si="654"/>
        <v>27828</v>
      </c>
      <c r="L2108" s="38">
        <f t="shared" si="655"/>
        <v>7400</v>
      </c>
      <c r="M2108" s="257">
        <f>ROUND('Plant input detail '!M2110*'WPB2.2 Plant detail-w slippage'!$P$2,0)</f>
        <v>-400</v>
      </c>
      <c r="N2108" s="2227">
        <f t="shared" si="656"/>
        <v>3598838.91</v>
      </c>
    </row>
    <row r="2109" spans="1:14" x14ac:dyDescent="0.2">
      <c r="A2109" s="31">
        <f t="shared" si="646"/>
        <v>27</v>
      </c>
      <c r="B2109" s="253">
        <v>378.3</v>
      </c>
      <c r="C2109" s="52" t="s">
        <v>1049</v>
      </c>
      <c r="D2109" s="257">
        <f t="shared" si="650"/>
        <v>45443.08</v>
      </c>
      <c r="E2109" s="382">
        <f>ROUND('Plant input detail '!E2111*'WPB2.2 Plant detail-w slippage'!$P$2,0)</f>
        <v>0</v>
      </c>
      <c r="F2109" s="257">
        <f>ROUND('Plant input detail '!F2111*'WPB2.2 Plant detail-w slippage'!$P$2,0)</f>
        <v>0</v>
      </c>
      <c r="G2109" s="257">
        <f t="shared" si="651"/>
        <v>45443.08</v>
      </c>
      <c r="H2109" s="38"/>
      <c r="I2109" s="257">
        <f t="shared" si="652"/>
        <v>37012.04</v>
      </c>
      <c r="J2109" s="1362">
        <f t="shared" si="653"/>
        <v>3.32E-2</v>
      </c>
      <c r="K2109" s="173">
        <f t="shared" si="654"/>
        <v>126</v>
      </c>
      <c r="L2109" s="38">
        <f t="shared" si="655"/>
        <v>0</v>
      </c>
      <c r="M2109" s="257">
        <f>ROUND('Plant input detail '!M2111*'WPB2.2 Plant detail-w slippage'!$P$2,0)</f>
        <v>0</v>
      </c>
      <c r="N2109" s="2227">
        <f t="shared" si="656"/>
        <v>37138.04</v>
      </c>
    </row>
    <row r="2110" spans="1:14" x14ac:dyDescent="0.2">
      <c r="A2110" s="31">
        <f t="shared" si="646"/>
        <v>28</v>
      </c>
      <c r="B2110" s="253">
        <v>379.1</v>
      </c>
      <c r="C2110" s="52" t="s">
        <v>1050</v>
      </c>
      <c r="D2110" s="257">
        <f t="shared" si="650"/>
        <v>254900.59</v>
      </c>
      <c r="E2110" s="382">
        <f>ROUND('Plant input detail '!E2112*'WPB2.2 Plant detail-w slippage'!$P$2,0)</f>
        <v>0</v>
      </c>
      <c r="F2110" s="257">
        <f>ROUND('Plant input detail '!F2112*'WPB2.2 Plant detail-w slippage'!$P$2,0)</f>
        <v>0</v>
      </c>
      <c r="G2110" s="257">
        <f t="shared" si="651"/>
        <v>254900.59</v>
      </c>
      <c r="H2110" s="38"/>
      <c r="I2110" s="257">
        <f t="shared" si="652"/>
        <v>267730.57</v>
      </c>
      <c r="J2110" s="1362">
        <f t="shared" si="653"/>
        <v>6.0000000000000001E-3</v>
      </c>
      <c r="K2110" s="259">
        <v>0</v>
      </c>
      <c r="L2110" s="38">
        <f t="shared" si="655"/>
        <v>0</v>
      </c>
      <c r="M2110" s="257">
        <f>ROUND('Plant input detail '!M2112*'WPB2.2 Plant detail-w slippage'!$P$2,0)</f>
        <v>0</v>
      </c>
      <c r="N2110" s="2227">
        <f t="shared" si="656"/>
        <v>267730.57</v>
      </c>
    </row>
    <row r="2111" spans="1:14" x14ac:dyDescent="0.2">
      <c r="A2111" s="31">
        <f t="shared" si="646"/>
        <v>29</v>
      </c>
      <c r="B2111" s="253">
        <v>380</v>
      </c>
      <c r="C2111" s="52" t="s">
        <v>1051</v>
      </c>
      <c r="D2111" s="257">
        <f t="shared" si="650"/>
        <v>129494446.77</v>
      </c>
      <c r="E2111" s="382">
        <f>ROUND('Plant input detail '!E2113*'WPB2.2 Plant detail-w slippage'!$P$2,0)</f>
        <v>1512446</v>
      </c>
      <c r="F2111" s="257">
        <f>ROUND('Plant input detail '!F2113*'WPB2.2 Plant detail-w slippage'!$P$2,0)</f>
        <v>-181500</v>
      </c>
      <c r="G2111" s="257">
        <f t="shared" si="651"/>
        <v>130825392.77</v>
      </c>
      <c r="H2111" s="38"/>
      <c r="I2111" s="257">
        <f t="shared" si="652"/>
        <v>62269439.520000003</v>
      </c>
      <c r="J2111" s="1362">
        <f t="shared" si="653"/>
        <v>5.0999999999999997E-2</v>
      </c>
      <c r="K2111" s="173">
        <f t="shared" si="654"/>
        <v>553180</v>
      </c>
      <c r="L2111" s="38">
        <f t="shared" si="655"/>
        <v>181500</v>
      </c>
      <c r="M2111" s="257">
        <f>ROUND('Plant input detail '!M2113*'WPB2.2 Plant detail-w slippage'!$P$2,0)</f>
        <v>-90700</v>
      </c>
      <c r="N2111" s="2227">
        <f t="shared" si="656"/>
        <v>62550419.520000003</v>
      </c>
    </row>
    <row r="2112" spans="1:14" x14ac:dyDescent="0.2">
      <c r="A2112" s="170"/>
      <c r="B2112" s="179"/>
      <c r="C2112" s="178"/>
      <c r="D2112" s="181"/>
      <c r="E2112" s="173"/>
      <c r="F2112" s="173"/>
      <c r="G2112" s="181"/>
      <c r="H2112" s="173"/>
      <c r="I2112" s="173"/>
      <c r="J2112" s="173"/>
      <c r="K2112" s="173"/>
      <c r="L2112" s="173"/>
      <c r="M2112" s="171"/>
      <c r="N2112" s="2229"/>
    </row>
    <row r="2113" spans="1:14" x14ac:dyDescent="0.2">
      <c r="A2113" s="2079" t="str">
        <f>co</f>
        <v>COLUMBIA GAS OF KENTUCKY, INC.</v>
      </c>
      <c r="B2113" s="2079"/>
      <c r="C2113" s="2079"/>
      <c r="D2113" s="2079"/>
      <c r="E2113" s="2079"/>
      <c r="F2113" s="2079"/>
      <c r="G2113" s="2079"/>
      <c r="H2113" s="2079"/>
      <c r="I2113" s="2079"/>
      <c r="J2113" s="2079"/>
      <c r="K2113" s="2079"/>
      <c r="L2113" s="2079"/>
      <c r="M2113" s="2079"/>
      <c r="N2113" s="2079"/>
    </row>
    <row r="2114" spans="1:14" x14ac:dyDescent="0.2">
      <c r="A2114" s="2079" t="str">
        <f>case</f>
        <v>CASE NO. 2016 - 00162</v>
      </c>
      <c r="B2114" s="2079"/>
      <c r="C2114" s="2079"/>
      <c r="D2114" s="2079"/>
      <c r="E2114" s="2079"/>
      <c r="F2114" s="2079"/>
      <c r="G2114" s="2079"/>
      <c r="H2114" s="2079"/>
      <c r="I2114" s="2079"/>
      <c r="J2114" s="2079"/>
      <c r="K2114" s="2079"/>
      <c r="L2114" s="2079"/>
      <c r="M2114" s="2079"/>
      <c r="N2114" s="2079"/>
    </row>
    <row r="2115" spans="1:14" x14ac:dyDescent="0.2">
      <c r="A2115" s="2080" t="s">
        <v>1106</v>
      </c>
      <c r="B2115" s="2079"/>
      <c r="C2115" s="2079"/>
      <c r="D2115" s="2079"/>
      <c r="E2115" s="2079"/>
      <c r="F2115" s="2079"/>
      <c r="G2115" s="2079"/>
      <c r="H2115" s="2079"/>
      <c r="I2115" s="2079"/>
      <c r="J2115" s="2079"/>
      <c r="K2115" s="2079"/>
      <c r="L2115" s="2079"/>
      <c r="M2115" s="2079"/>
      <c r="N2115" s="2079"/>
    </row>
    <row r="2116" spans="1:14" x14ac:dyDescent="0.2">
      <c r="A2116" s="2081" t="s">
        <v>2142</v>
      </c>
      <c r="B2116" s="2085"/>
      <c r="C2116" s="2085"/>
      <c r="D2116" s="2085"/>
      <c r="E2116" s="2085"/>
      <c r="F2116" s="2085"/>
      <c r="G2116" s="2085"/>
      <c r="H2116" s="2085"/>
      <c r="I2116" s="2085"/>
      <c r="J2116" s="2085"/>
      <c r="K2116" s="2085"/>
      <c r="L2116" s="2085"/>
      <c r="M2116" s="2085"/>
      <c r="N2116" s="2085"/>
    </row>
    <row r="2118" spans="1:14" x14ac:dyDescent="0.2">
      <c r="A2118" s="285" t="str">
        <f>$A$6</f>
        <v>DATA:__X___BASE PERIOD__X___FORECASTED PERIOD</v>
      </c>
      <c r="C2118" s="171"/>
      <c r="M2118" s="32"/>
      <c r="N2118" s="1258" t="str">
        <f>$N$6</f>
        <v>WPB-2.2</v>
      </c>
    </row>
    <row r="2119" spans="1:14" x14ac:dyDescent="0.2">
      <c r="A2119" s="4" t="str">
        <f>$A$7</f>
        <v>TYPE OF FILING:___X____ORIGINAL________UPDATED</v>
      </c>
      <c r="M2119" s="32"/>
      <c r="N2119" s="2223" t="s">
        <v>1753</v>
      </c>
    </row>
    <row r="2120" spans="1:14" x14ac:dyDescent="0.2">
      <c r="A2120" s="1261" t="str">
        <f>$A$8</f>
        <v xml:space="preserve">WORKPAPER REFERENCE NO(S).: </v>
      </c>
      <c r="B2120" s="202"/>
      <c r="C2120" s="202"/>
      <c r="D2120" s="201"/>
      <c r="E2120" s="202"/>
      <c r="F2120" s="202"/>
      <c r="G2120" s="201"/>
      <c r="H2120" s="201"/>
      <c r="M2120" s="203"/>
      <c r="N2120" s="204" t="str">
        <f>SMK</f>
        <v>WITNESS:  S. M. KATKO</v>
      </c>
    </row>
    <row r="2121" spans="1:14" x14ac:dyDescent="0.2">
      <c r="A2121" s="200"/>
      <c r="B2121" s="201"/>
      <c r="C2121" s="201"/>
      <c r="D2121" s="201"/>
      <c r="E2121" s="202"/>
      <c r="F2121" s="202"/>
      <c r="G2121" s="201"/>
      <c r="H2121" s="201"/>
      <c r="I2121" s="203"/>
      <c r="J2121" s="1357"/>
      <c r="L2121" s="32"/>
      <c r="M2121" s="32"/>
    </row>
    <row r="2122" spans="1:14" x14ac:dyDescent="0.2">
      <c r="A2122" s="200"/>
      <c r="B2122" s="201"/>
      <c r="C2122" s="201"/>
      <c r="D2122" s="2082" t="s">
        <v>1088</v>
      </c>
      <c r="E2122" s="2082"/>
      <c r="F2122" s="2082"/>
      <c r="G2122" s="2082"/>
      <c r="H2122" s="201"/>
      <c r="I2122" s="2083" t="s">
        <v>1093</v>
      </c>
      <c r="J2122" s="2084"/>
      <c r="K2122" s="2084"/>
      <c r="L2122" s="2084"/>
      <c r="M2122" s="2084"/>
      <c r="N2122" s="2084"/>
    </row>
    <row r="2123" spans="1:14" x14ac:dyDescent="0.2">
      <c r="A2123" s="270"/>
      <c r="B2123" s="201"/>
      <c r="C2123" s="201"/>
      <c r="D2123" s="271" t="s">
        <v>1084</v>
      </c>
      <c r="E2123" s="202"/>
      <c r="F2123" s="202"/>
      <c r="G2123" s="269"/>
      <c r="H2123" s="269"/>
      <c r="I2123" s="261" t="s">
        <v>1089</v>
      </c>
      <c r="J2123" s="1358"/>
      <c r="M2123" s="32"/>
    </row>
    <row r="2124" spans="1:14" x14ac:dyDescent="0.2">
      <c r="A2124" s="30"/>
      <c r="D2124" s="261" t="s">
        <v>865</v>
      </c>
      <c r="G2124" s="261" t="s">
        <v>867</v>
      </c>
      <c r="H2124" s="268"/>
      <c r="I2124" s="261" t="s">
        <v>865</v>
      </c>
      <c r="J2124" s="1308" t="s">
        <v>956</v>
      </c>
      <c r="M2124" s="32"/>
      <c r="N2124" s="2225" t="s">
        <v>867</v>
      </c>
    </row>
    <row r="2125" spans="1:14" x14ac:dyDescent="0.2">
      <c r="A2125" s="261" t="s">
        <v>1080</v>
      </c>
      <c r="B2125" s="261" t="s">
        <v>1082</v>
      </c>
      <c r="D2125" s="261" t="s">
        <v>867</v>
      </c>
      <c r="G2125" s="262" t="s">
        <v>1087</v>
      </c>
      <c r="H2125" s="268"/>
      <c r="I2125" s="262" t="s">
        <v>867</v>
      </c>
      <c r="J2125" s="1308" t="s">
        <v>1090</v>
      </c>
      <c r="K2125" s="1308" t="s">
        <v>956</v>
      </c>
      <c r="M2125" s="262" t="s">
        <v>1092</v>
      </c>
      <c r="N2125" s="1259" t="s">
        <v>1087</v>
      </c>
    </row>
    <row r="2126" spans="1:14" x14ac:dyDescent="0.2">
      <c r="A2126" s="272" t="s">
        <v>1081</v>
      </c>
      <c r="B2126" s="272" t="s">
        <v>1081</v>
      </c>
      <c r="C2126" s="273" t="s">
        <v>1083</v>
      </c>
      <c r="D2126" s="274" t="str">
        <f>D2073</f>
        <v>09/30/2017</v>
      </c>
      <c r="E2126" s="275" t="s">
        <v>1085</v>
      </c>
      <c r="F2126" s="275" t="s">
        <v>1086</v>
      </c>
      <c r="G2126" s="274" t="str">
        <f>G2073</f>
        <v>10/31/2017</v>
      </c>
      <c r="H2126" s="268"/>
      <c r="I2126" s="274" t="str">
        <f>D2126</f>
        <v>09/30/2017</v>
      </c>
      <c r="J2126" s="275" t="s">
        <v>1091</v>
      </c>
      <c r="K2126" s="1327" t="s">
        <v>1090</v>
      </c>
      <c r="L2126" s="276" t="s">
        <v>1086</v>
      </c>
      <c r="M2126" s="276" t="s">
        <v>955</v>
      </c>
      <c r="N2126" s="2226" t="str">
        <f>G2126</f>
        <v>10/31/2017</v>
      </c>
    </row>
    <row r="2127" spans="1:14" x14ac:dyDescent="0.2">
      <c r="A2127" s="267"/>
      <c r="B2127" s="267"/>
      <c r="C2127" s="267"/>
      <c r="D2127" s="267" t="str">
        <f>"(1)"</f>
        <v>(1)</v>
      </c>
      <c r="E2127" s="267" t="str">
        <f>"(2)"</f>
        <v>(2)</v>
      </c>
      <c r="F2127" s="267" t="str">
        <f>"(3)"</f>
        <v>(3)</v>
      </c>
      <c r="G2127" s="267" t="str">
        <f>"(4)=(1+2+3)"</f>
        <v>(4)=(1+2+3)</v>
      </c>
      <c r="H2127" s="267"/>
      <c r="I2127" s="267" t="str">
        <f>"(5)"</f>
        <v>(5)</v>
      </c>
      <c r="J2127" s="1328" t="str">
        <f>"(6)"</f>
        <v>(6)</v>
      </c>
      <c r="K2127" s="1328" t="str">
        <f>"(7)=((1+4)/2*6/12))"</f>
        <v>(7)=((1+4)/2*6/12))</v>
      </c>
      <c r="L2127" s="267" t="str">
        <f>"(8)"</f>
        <v>(8)</v>
      </c>
      <c r="M2127" s="267" t="str">
        <f>"(9)"</f>
        <v>(9)</v>
      </c>
      <c r="N2127" s="204" t="str">
        <f>"(10)=(5+7-8+9)"</f>
        <v>(10)=(5+7-8+9)</v>
      </c>
    </row>
    <row r="2128" spans="1:14" x14ac:dyDescent="0.2">
      <c r="D2128" s="31" t="s">
        <v>639</v>
      </c>
      <c r="E2128" s="170" t="s">
        <v>639</v>
      </c>
      <c r="F2128" s="170" t="s">
        <v>639</v>
      </c>
      <c r="G2128" s="31" t="s">
        <v>639</v>
      </c>
      <c r="H2128" s="31"/>
      <c r="I2128" s="31" t="s">
        <v>639</v>
      </c>
      <c r="J2128" s="170" t="s">
        <v>639</v>
      </c>
      <c r="K2128" s="170" t="s">
        <v>639</v>
      </c>
      <c r="L2128" s="31" t="s">
        <v>639</v>
      </c>
      <c r="M2128" s="31" t="s">
        <v>639</v>
      </c>
      <c r="N2128" s="155" t="s">
        <v>639</v>
      </c>
    </row>
    <row r="2129" spans="1:14" x14ac:dyDescent="0.2">
      <c r="C2129" s="36" t="s">
        <v>707</v>
      </c>
      <c r="D2129" s="31"/>
      <c r="E2129" s="170"/>
      <c r="F2129" s="170"/>
      <c r="G2129" s="31"/>
      <c r="J2129" s="170"/>
    </row>
    <row r="2130" spans="1:14" x14ac:dyDescent="0.2">
      <c r="A2130" s="127">
        <v>1</v>
      </c>
      <c r="B2130" s="123">
        <v>381</v>
      </c>
      <c r="C2130" s="52" t="s">
        <v>1052</v>
      </c>
      <c r="D2130" s="257">
        <f t="shared" ref="D2130:D2141" si="657">G2024</f>
        <v>14074708.550000001</v>
      </c>
      <c r="E2130" s="382">
        <f>ROUND('Plant input detail '!E2132*'WPB2.2 Plant detail-w slippage'!$P$2,0)</f>
        <v>89600</v>
      </c>
      <c r="F2130" s="257">
        <f>ROUND('Plant input detail '!F2132*'WPB2.2 Plant detail-w slippage'!$P$2,0)</f>
        <v>-10800</v>
      </c>
      <c r="G2130" s="257">
        <f>SUM(D2130:F2130)</f>
        <v>14153508.550000001</v>
      </c>
      <c r="H2130" s="38"/>
      <c r="I2130" s="257">
        <f t="shared" ref="I2130:I2141" si="658">N2024</f>
        <v>5224713.8899999997</v>
      </c>
      <c r="J2130" s="1362">
        <f t="shared" ref="J2130:J2141" si="659">J2024</f>
        <v>3.3000000000000002E-2</v>
      </c>
      <c r="K2130" s="173">
        <f t="shared" ref="K2130:K2141" si="660">ROUND((G2130+D2130)/2*J2130/12,0)</f>
        <v>38814</v>
      </c>
      <c r="L2130" s="38">
        <f t="shared" ref="L2130:L2141" si="661">-F2130</f>
        <v>10800</v>
      </c>
      <c r="M2130" s="257">
        <f>ROUND('Plant input detail '!M2132*'WPB2.2 Plant detail-w slippage'!$P$2,0)</f>
        <v>0</v>
      </c>
      <c r="N2130" s="2227">
        <f t="shared" ref="N2130:N2141" si="662">I2130+K2130-L2130+M2130</f>
        <v>5252727.8899999997</v>
      </c>
    </row>
    <row r="2131" spans="1:14" x14ac:dyDescent="0.2">
      <c r="A2131" s="127">
        <f>A2130+1</f>
        <v>2</v>
      </c>
      <c r="B2131" s="123">
        <v>381.1</v>
      </c>
      <c r="C2131" s="52" t="s">
        <v>1115</v>
      </c>
      <c r="D2131" s="257">
        <f t="shared" si="657"/>
        <v>8841512.0600000005</v>
      </c>
      <c r="E2131" s="382">
        <f>ROUND('Plant input detail '!E2133*'WPB2.2 Plant detail-w slippage'!$P$2,0)</f>
        <v>5300</v>
      </c>
      <c r="F2131" s="257">
        <f>ROUND('Plant input detail '!F2133*'WPB2.2 Plant detail-w slippage'!$P$2,0)</f>
        <v>-600</v>
      </c>
      <c r="G2131" s="257">
        <f>SUM(D2131:F2131)</f>
        <v>8846212.0600000005</v>
      </c>
      <c r="H2131" s="38"/>
      <c r="I2131" s="257">
        <f t="shared" si="658"/>
        <v>1076967.5</v>
      </c>
      <c r="J2131" s="1362">
        <f t="shared" si="659"/>
        <v>8.0600000000000005E-2</v>
      </c>
      <c r="K2131" s="173">
        <f t="shared" si="660"/>
        <v>59401</v>
      </c>
      <c r="L2131" s="38">
        <f t="shared" si="661"/>
        <v>600</v>
      </c>
      <c r="M2131" s="257">
        <f>ROUND('Plant input detail '!M2133*'WPB2.2 Plant detail-w slippage'!$P$2,0)</f>
        <v>0</v>
      </c>
      <c r="N2131" s="2227">
        <f t="shared" si="662"/>
        <v>1135768.5</v>
      </c>
    </row>
    <row r="2132" spans="1:14" x14ac:dyDescent="0.2">
      <c r="A2132" s="127">
        <f t="shared" ref="A2132:A2142" si="663">A2131+1</f>
        <v>3</v>
      </c>
      <c r="B2132" s="123">
        <v>382</v>
      </c>
      <c r="C2132" s="52" t="s">
        <v>1053</v>
      </c>
      <c r="D2132" s="257">
        <f t="shared" si="657"/>
        <v>9534992.6500000004</v>
      </c>
      <c r="E2132" s="382">
        <f>ROUND('Plant input detail '!E2134*'WPB2.2 Plant detail-w slippage'!$P$2,0)</f>
        <v>49600</v>
      </c>
      <c r="F2132" s="257">
        <f>ROUND('Plant input detail '!F2134*'WPB2.2 Plant detail-w slippage'!$P$2,0)</f>
        <v>-6000</v>
      </c>
      <c r="G2132" s="257">
        <f t="shared" ref="G2132:G2137" si="664">SUM(D2132:F2132)</f>
        <v>9578592.6500000004</v>
      </c>
      <c r="H2132" s="38"/>
      <c r="I2132" s="257">
        <f t="shared" si="658"/>
        <v>4760466.3</v>
      </c>
      <c r="J2132" s="1362">
        <f t="shared" si="659"/>
        <v>2.4400000000000002E-2</v>
      </c>
      <c r="K2132" s="173">
        <f t="shared" si="660"/>
        <v>19432</v>
      </c>
      <c r="L2132" s="38">
        <f t="shared" si="661"/>
        <v>6000</v>
      </c>
      <c r="M2132" s="257">
        <f>ROUND('Plant input detail '!M2134*'WPB2.2 Plant detail-w slippage'!$P$2,0)</f>
        <v>-300</v>
      </c>
      <c r="N2132" s="2227">
        <f t="shared" si="662"/>
        <v>4773598.3</v>
      </c>
    </row>
    <row r="2133" spans="1:14" x14ac:dyDescent="0.2">
      <c r="A2133" s="127">
        <f t="shared" si="663"/>
        <v>4</v>
      </c>
      <c r="B2133" s="123">
        <v>383</v>
      </c>
      <c r="C2133" s="52" t="s">
        <v>1054</v>
      </c>
      <c r="D2133" s="257">
        <f t="shared" si="657"/>
        <v>5810120.7599999998</v>
      </c>
      <c r="E2133" s="382">
        <f>ROUND('Plant input detail '!E2135*'WPB2.2 Plant detail-w slippage'!$P$2,0)</f>
        <v>22100</v>
      </c>
      <c r="F2133" s="257">
        <f>ROUND('Plant input detail '!F2135*'WPB2.2 Plant detail-w slippage'!$P$2,0)</f>
        <v>-2700</v>
      </c>
      <c r="G2133" s="257">
        <f t="shared" si="664"/>
        <v>5829520.7599999998</v>
      </c>
      <c r="H2133" s="38"/>
      <c r="I2133" s="257">
        <f t="shared" si="658"/>
        <v>1601883.41</v>
      </c>
      <c r="J2133" s="1362">
        <f t="shared" si="659"/>
        <v>2.7300000000000001E-2</v>
      </c>
      <c r="K2133" s="173">
        <f t="shared" si="660"/>
        <v>13240</v>
      </c>
      <c r="L2133" s="38">
        <f t="shared" si="661"/>
        <v>2700</v>
      </c>
      <c r="M2133" s="257">
        <f>ROUND('Plant input detail '!M2135*'WPB2.2 Plant detail-w slippage'!$P$2,0)</f>
        <v>-100</v>
      </c>
      <c r="N2133" s="2227">
        <f t="shared" si="662"/>
        <v>1612323.41</v>
      </c>
    </row>
    <row r="2134" spans="1:14" x14ac:dyDescent="0.2">
      <c r="A2134" s="127">
        <f t="shared" si="663"/>
        <v>5</v>
      </c>
      <c r="B2134" s="123">
        <v>384</v>
      </c>
      <c r="C2134" s="52" t="s">
        <v>1055</v>
      </c>
      <c r="D2134" s="257">
        <f t="shared" si="657"/>
        <v>2257522</v>
      </c>
      <c r="E2134" s="382">
        <f>ROUND('Plant input detail '!E2136*'WPB2.2 Plant detail-w slippage'!$P$2,0)</f>
        <v>0</v>
      </c>
      <c r="F2134" s="257">
        <f>ROUND('Plant input detail '!F2136*'WPB2.2 Plant detail-w slippage'!$P$2,0)</f>
        <v>0</v>
      </c>
      <c r="G2134" s="257">
        <f t="shared" si="664"/>
        <v>2257522</v>
      </c>
      <c r="H2134" s="38"/>
      <c r="I2134" s="257">
        <f t="shared" si="658"/>
        <v>1786428.73</v>
      </c>
      <c r="J2134" s="1362">
        <f t="shared" si="659"/>
        <v>1.01E-2</v>
      </c>
      <c r="K2134" s="173">
        <f t="shared" si="660"/>
        <v>1900</v>
      </c>
      <c r="L2134" s="38">
        <f t="shared" si="661"/>
        <v>0</v>
      </c>
      <c r="M2134" s="257">
        <f>ROUND('Plant input detail '!M2136*'WPB2.2 Plant detail-w slippage'!$P$2,0)</f>
        <v>0</v>
      </c>
      <c r="N2134" s="2227">
        <f t="shared" si="662"/>
        <v>1788328.73</v>
      </c>
    </row>
    <row r="2135" spans="1:14" x14ac:dyDescent="0.2">
      <c r="A2135" s="127">
        <f t="shared" si="663"/>
        <v>6</v>
      </c>
      <c r="B2135" s="123">
        <v>385</v>
      </c>
      <c r="C2135" s="52" t="s">
        <v>1056</v>
      </c>
      <c r="D2135" s="257">
        <f t="shared" si="657"/>
        <v>3428683.36</v>
      </c>
      <c r="E2135" s="382">
        <f>ROUND('Plant input detail '!E2137*'WPB2.2 Plant detail-w slippage'!$P$2,0)</f>
        <v>38900</v>
      </c>
      <c r="F2135" s="257">
        <f>ROUND('Plant input detail '!F2137*'WPB2.2 Plant detail-w slippage'!$P$2,0)</f>
        <v>-4700</v>
      </c>
      <c r="G2135" s="257">
        <f t="shared" si="664"/>
        <v>3462883.36</v>
      </c>
      <c r="H2135" s="38"/>
      <c r="I2135" s="257">
        <f t="shared" si="658"/>
        <v>991265.55</v>
      </c>
      <c r="J2135" s="1362">
        <f t="shared" si="659"/>
        <v>5.0799999999999998E-2</v>
      </c>
      <c r="K2135" s="173">
        <f t="shared" si="660"/>
        <v>14587</v>
      </c>
      <c r="L2135" s="38">
        <f t="shared" si="661"/>
        <v>4700</v>
      </c>
      <c r="M2135" s="257">
        <f>ROUND('Plant input detail '!M2137*'WPB2.2 Plant detail-w slippage'!$P$2,0)</f>
        <v>-200</v>
      </c>
      <c r="N2135" s="2227">
        <f t="shared" si="662"/>
        <v>1000952.55</v>
      </c>
    </row>
    <row r="2136" spans="1:14" x14ac:dyDescent="0.2">
      <c r="A2136" s="127">
        <f t="shared" si="663"/>
        <v>7</v>
      </c>
      <c r="B2136" s="123">
        <v>387.2</v>
      </c>
      <c r="C2136" s="52" t="s">
        <v>1057</v>
      </c>
      <c r="D2136" s="257">
        <f t="shared" si="657"/>
        <v>0</v>
      </c>
      <c r="E2136" s="382">
        <f>ROUND('Plant input detail '!E2138*'WPB2.2 Plant detail-w slippage'!$P$2,0)</f>
        <v>0</v>
      </c>
      <c r="F2136" s="257">
        <f>ROUND('Plant input detail '!F2138*'WPB2.2 Plant detail-w slippage'!$P$2,0)</f>
        <v>0</v>
      </c>
      <c r="G2136" s="257">
        <f t="shared" si="664"/>
        <v>0</v>
      </c>
      <c r="H2136" s="38"/>
      <c r="I2136" s="257">
        <f t="shared" si="658"/>
        <v>-59912.03</v>
      </c>
      <c r="J2136" s="1362">
        <f t="shared" si="659"/>
        <v>0</v>
      </c>
      <c r="K2136" s="173">
        <f t="shared" si="660"/>
        <v>0</v>
      </c>
      <c r="L2136" s="38">
        <f t="shared" si="661"/>
        <v>0</v>
      </c>
      <c r="M2136" s="257">
        <f>ROUND('Plant input detail '!M2138*'WPB2.2 Plant detail-w slippage'!$P$2,0)</f>
        <v>0</v>
      </c>
      <c r="N2136" s="2227">
        <f t="shared" si="662"/>
        <v>-59912.03</v>
      </c>
    </row>
    <row r="2137" spans="1:14" x14ac:dyDescent="0.2">
      <c r="A2137" s="127">
        <f t="shared" si="663"/>
        <v>8</v>
      </c>
      <c r="B2137" s="123">
        <v>387.41</v>
      </c>
      <c r="C2137" s="52" t="s">
        <v>1058</v>
      </c>
      <c r="D2137" s="257">
        <f t="shared" si="657"/>
        <v>735770.76</v>
      </c>
      <c r="E2137" s="382">
        <f>ROUND('Plant input detail '!E2139*'WPB2.2 Plant detail-w slippage'!$P$2,0)</f>
        <v>0</v>
      </c>
      <c r="F2137" s="257">
        <f>ROUND('Plant input detail '!F2139*'WPB2.2 Plant detail-w slippage'!$P$2,0)</f>
        <v>0</v>
      </c>
      <c r="G2137" s="257">
        <f t="shared" si="664"/>
        <v>735770.76</v>
      </c>
      <c r="H2137" s="38"/>
      <c r="I2137" s="257">
        <f t="shared" si="658"/>
        <v>406694.95</v>
      </c>
      <c r="J2137" s="1362">
        <f t="shared" si="659"/>
        <v>3.7400000000000003E-2</v>
      </c>
      <c r="K2137" s="173">
        <f t="shared" si="660"/>
        <v>2293</v>
      </c>
      <c r="L2137" s="38">
        <f t="shared" si="661"/>
        <v>0</v>
      </c>
      <c r="M2137" s="257">
        <f>ROUND('Plant input detail '!M2139*'WPB2.2 Plant detail-w slippage'!$P$2,0)</f>
        <v>0</v>
      </c>
      <c r="N2137" s="2227">
        <f t="shared" si="662"/>
        <v>408987.95</v>
      </c>
    </row>
    <row r="2138" spans="1:14" x14ac:dyDescent="0.2">
      <c r="A2138" s="127">
        <f t="shared" si="663"/>
        <v>9</v>
      </c>
      <c r="B2138" s="123">
        <v>387.42</v>
      </c>
      <c r="C2138" s="52" t="s">
        <v>1059</v>
      </c>
      <c r="D2138" s="257">
        <f t="shared" si="657"/>
        <v>795186.58</v>
      </c>
      <c r="E2138" s="382">
        <f>ROUND('Plant input detail '!E2140*'WPB2.2 Plant detail-w slippage'!$P$2,0)</f>
        <v>0</v>
      </c>
      <c r="F2138" s="257">
        <f>ROUND('Plant input detail '!F2140*'WPB2.2 Plant detail-w slippage'!$P$2,0)</f>
        <v>0</v>
      </c>
      <c r="G2138" s="257">
        <f>SUM(D2138:F2138)</f>
        <v>795186.58</v>
      </c>
      <c r="H2138" s="38"/>
      <c r="I2138" s="257">
        <f t="shared" si="658"/>
        <v>574847.94999999995</v>
      </c>
      <c r="J2138" s="1362">
        <f t="shared" si="659"/>
        <v>3.7400000000000003E-2</v>
      </c>
      <c r="K2138" s="173">
        <f t="shared" si="660"/>
        <v>2478</v>
      </c>
      <c r="L2138" s="38">
        <f t="shared" si="661"/>
        <v>0</v>
      </c>
      <c r="M2138" s="257">
        <f>ROUND('Plant input detail '!M2140*'WPB2.2 Plant detail-w slippage'!$P$2,0)</f>
        <v>0</v>
      </c>
      <c r="N2138" s="2227">
        <f t="shared" si="662"/>
        <v>577325.94999999995</v>
      </c>
    </row>
    <row r="2139" spans="1:14" x14ac:dyDescent="0.2">
      <c r="A2139" s="127">
        <f t="shared" si="663"/>
        <v>10</v>
      </c>
      <c r="B2139" s="123">
        <v>387.44</v>
      </c>
      <c r="C2139" s="52" t="s">
        <v>1060</v>
      </c>
      <c r="D2139" s="257">
        <f t="shared" si="657"/>
        <v>143283.93</v>
      </c>
      <c r="E2139" s="382">
        <f>ROUND('Plant input detail '!E2141*'WPB2.2 Plant detail-w slippage'!$P$2,0)</f>
        <v>0</v>
      </c>
      <c r="F2139" s="257">
        <f>ROUND('Plant input detail '!F2141*'WPB2.2 Plant detail-w slippage'!$P$2,0)</f>
        <v>0</v>
      </c>
      <c r="G2139" s="257">
        <f>SUM(D2139:F2139)</f>
        <v>143283.93</v>
      </c>
      <c r="H2139" s="38"/>
      <c r="I2139" s="257">
        <f t="shared" si="658"/>
        <v>50971.55</v>
      </c>
      <c r="J2139" s="1362">
        <f t="shared" si="659"/>
        <v>3.7400000000000003E-2</v>
      </c>
      <c r="K2139" s="173">
        <f t="shared" si="660"/>
        <v>447</v>
      </c>
      <c r="L2139" s="38">
        <f t="shared" si="661"/>
        <v>0</v>
      </c>
      <c r="M2139" s="257">
        <f>ROUND('Plant input detail '!M2141*'WPB2.2 Plant detail-w slippage'!$P$2,0)</f>
        <v>0</v>
      </c>
      <c r="N2139" s="2227">
        <f t="shared" si="662"/>
        <v>51418.55</v>
      </c>
    </row>
    <row r="2140" spans="1:14" x14ac:dyDescent="0.2">
      <c r="A2140" s="127">
        <f t="shared" si="663"/>
        <v>11</v>
      </c>
      <c r="B2140" s="123">
        <v>387.45</v>
      </c>
      <c r="C2140" s="52" t="s">
        <v>1061</v>
      </c>
      <c r="D2140" s="257">
        <f t="shared" si="657"/>
        <v>4064204.66</v>
      </c>
      <c r="E2140" s="382">
        <f>ROUND('Plant input detail '!E2142*'WPB2.2 Plant detail-w slippage'!$P$2,0)</f>
        <v>160800</v>
      </c>
      <c r="F2140" s="257">
        <f>ROUND('Plant input detail '!F2142*'WPB2.2 Plant detail-w slippage'!$P$2,0)</f>
        <v>-19300</v>
      </c>
      <c r="G2140" s="257">
        <f>SUM(D2140:F2140)</f>
        <v>4205704.66</v>
      </c>
      <c r="H2140" s="38"/>
      <c r="I2140" s="257">
        <f t="shared" si="658"/>
        <v>522699.06000000006</v>
      </c>
      <c r="J2140" s="1362">
        <f t="shared" si="659"/>
        <v>3.7400000000000003E-2</v>
      </c>
      <c r="K2140" s="173">
        <f t="shared" si="660"/>
        <v>12887</v>
      </c>
      <c r="L2140" s="38">
        <f t="shared" si="661"/>
        <v>19300</v>
      </c>
      <c r="M2140" s="257">
        <f>ROUND('Plant input detail '!M2142*'WPB2.2 Plant detail-w slippage'!$P$2,0)</f>
        <v>0</v>
      </c>
      <c r="N2140" s="2227">
        <f t="shared" si="662"/>
        <v>516286.06000000006</v>
      </c>
    </row>
    <row r="2141" spans="1:14" x14ac:dyDescent="0.2">
      <c r="A2141" s="127">
        <f t="shared" si="663"/>
        <v>12</v>
      </c>
      <c r="B2141" s="123">
        <v>387.46</v>
      </c>
      <c r="C2141" s="52" t="s">
        <v>1062</v>
      </c>
      <c r="D2141" s="260">
        <f t="shared" si="657"/>
        <v>113644.47</v>
      </c>
      <c r="E2141" s="265">
        <f>ROUND('Plant input detail '!E2143*'WPB2.2 Plant detail-w slippage'!$P$2,0)</f>
        <v>0</v>
      </c>
      <c r="F2141" s="265">
        <f>ROUND('Plant input detail '!F2143*'WPB2.2 Plant detail-w slippage'!$P$2,0)</f>
        <v>0</v>
      </c>
      <c r="G2141" s="265">
        <f>SUM(D2141:F2141)</f>
        <v>113644.47</v>
      </c>
      <c r="H2141" s="264"/>
      <c r="I2141" s="260">
        <f t="shared" si="658"/>
        <v>115418.83</v>
      </c>
      <c r="J2141" s="1362">
        <f t="shared" si="659"/>
        <v>3.7400000000000003E-2</v>
      </c>
      <c r="K2141" s="260">
        <f t="shared" si="660"/>
        <v>354</v>
      </c>
      <c r="L2141" s="295">
        <f t="shared" si="661"/>
        <v>0</v>
      </c>
      <c r="M2141" s="265">
        <f>ROUND('Plant input detail '!M2143*'WPB2.2 Plant detail-w slippage'!$P$2,0)</f>
        <v>0</v>
      </c>
      <c r="N2141" s="2228">
        <f t="shared" si="662"/>
        <v>115772.83</v>
      </c>
    </row>
    <row r="2142" spans="1:14" x14ac:dyDescent="0.2">
      <c r="A2142" s="127">
        <f t="shared" si="663"/>
        <v>13</v>
      </c>
      <c r="B2142" s="252"/>
      <c r="C2142" s="32" t="s">
        <v>1063</v>
      </c>
      <c r="D2142" s="173">
        <f>SUM(D2130:D2141,D2090:D2111)</f>
        <v>429432188.37999994</v>
      </c>
      <c r="E2142" s="173">
        <f>SUM(E2130:E2141,E2090:E2111)</f>
        <v>4203266</v>
      </c>
      <c r="F2142" s="173">
        <f>SUM(F2130:F2141,F2090:F2111)</f>
        <v>-504600</v>
      </c>
      <c r="G2142" s="173">
        <f>SUM(G2130:G2141,G2090:G2111)</f>
        <v>433130854.37999994</v>
      </c>
      <c r="H2142" s="38"/>
      <c r="I2142" s="173">
        <f>SUM(I2130:I2141,I2090:I2111)</f>
        <v>148398431.72</v>
      </c>
      <c r="J2142" s="173"/>
      <c r="K2142" s="173">
        <f>SUM(K2130:K2141,K2090:K2111)</f>
        <v>1207359.0494736843</v>
      </c>
      <c r="L2142" s="173">
        <f>SUM(L2130:L2141,L2090:L2111)</f>
        <v>504600</v>
      </c>
      <c r="M2142" s="173">
        <f>SUM(M2130:M2141,M2090:M2111)</f>
        <v>-131300</v>
      </c>
      <c r="N2142" s="1361">
        <f>SUM(N2130:N2141,N2090:N2111)</f>
        <v>148969890.76947367</v>
      </c>
    </row>
    <row r="2143" spans="1:14" x14ac:dyDescent="0.2">
      <c r="B2143" s="252"/>
      <c r="D2143" s="38"/>
      <c r="E2143" s="173"/>
      <c r="F2143" s="173"/>
      <c r="G2143" s="38"/>
      <c r="H2143" s="38"/>
      <c r="I2143" s="181"/>
      <c r="J2143" s="173"/>
      <c r="K2143" s="173"/>
      <c r="L2143" s="38"/>
      <c r="M2143" s="173"/>
    </row>
    <row r="2144" spans="1:14" x14ac:dyDescent="0.2">
      <c r="A2144" s="127">
        <f>A2142+1</f>
        <v>14</v>
      </c>
      <c r="B2144" s="252"/>
      <c r="C2144" s="36" t="s">
        <v>737</v>
      </c>
      <c r="D2144" s="38"/>
      <c r="E2144" s="173"/>
      <c r="F2144" s="173"/>
      <c r="G2144" s="38"/>
      <c r="H2144" s="38"/>
      <c r="I2144" s="181"/>
      <c r="J2144" s="173"/>
      <c r="K2144" s="173"/>
      <c r="L2144" s="38"/>
      <c r="M2144" s="173"/>
    </row>
    <row r="2145" spans="1:14" x14ac:dyDescent="0.2">
      <c r="A2145" s="31">
        <f>A2144+1</f>
        <v>15</v>
      </c>
      <c r="B2145" s="123">
        <v>391.1</v>
      </c>
      <c r="C2145" s="52" t="s">
        <v>1064</v>
      </c>
      <c r="D2145" s="257">
        <f t="shared" ref="D2145:D2158" si="665">G2039</f>
        <v>713480.71</v>
      </c>
      <c r="E2145" s="382">
        <f>ROUND('Plant input detail '!E2147*'WPB2.2 Plant detail-w slippage'!$P$2,0)</f>
        <v>0</v>
      </c>
      <c r="F2145" s="257">
        <f>ROUND('Plant input detail '!F2147*'WPB2.2 Plant detail-w slippage'!$P$2,0)</f>
        <v>0</v>
      </c>
      <c r="G2145" s="257">
        <f t="shared" ref="G2145:G2158" si="666">SUM(D2145:F2145)</f>
        <v>713480.71</v>
      </c>
      <c r="H2145" s="38"/>
      <c r="I2145" s="257">
        <f t="shared" ref="I2145:I2158" si="667">N2039</f>
        <v>-23819.22</v>
      </c>
      <c r="J2145" s="1362">
        <f t="shared" ref="J2145:J2158" si="668">J2039</f>
        <v>0.05</v>
      </c>
      <c r="K2145" s="173">
        <f>ROUND((G2145+D2145)/2*J2145/12,0)</f>
        <v>2973</v>
      </c>
      <c r="L2145" s="38">
        <f t="shared" ref="L2145:L2158" si="669">-F2145</f>
        <v>0</v>
      </c>
      <c r="M2145" s="257">
        <f>ROUND('Plant input detail '!M2147*'WPB2.2 Plant detail-w slippage'!$P$2,0)</f>
        <v>0</v>
      </c>
      <c r="N2145" s="2227">
        <f t="shared" ref="N2145:N2158" si="670">I2145+K2145-L2145+M2145</f>
        <v>-20846.22</v>
      </c>
    </row>
    <row r="2146" spans="1:14" x14ac:dyDescent="0.2">
      <c r="A2146" s="31">
        <f t="shared" ref="A2146:A2159" si="671">A2145+1</f>
        <v>16</v>
      </c>
      <c r="B2146" s="123">
        <v>391.11</v>
      </c>
      <c r="C2146" s="52" t="s">
        <v>1065</v>
      </c>
      <c r="D2146" s="257">
        <f t="shared" si="665"/>
        <v>18815.57</v>
      </c>
      <c r="E2146" s="382">
        <f>ROUND('Plant input detail '!E2148*'WPB2.2 Plant detail-w slippage'!$P$2,0)</f>
        <v>0</v>
      </c>
      <c r="F2146" s="257">
        <f>ROUND('Plant input detail '!F2148*'WPB2.2 Plant detail-w slippage'!$P$2,0)</f>
        <v>0</v>
      </c>
      <c r="G2146" s="257">
        <f t="shared" si="666"/>
        <v>18815.57</v>
      </c>
      <c r="H2146" s="38"/>
      <c r="I2146" s="257">
        <f t="shared" si="667"/>
        <v>-11039.77</v>
      </c>
      <c r="J2146" s="1362">
        <f t="shared" si="668"/>
        <v>6.6699999999999995E-2</v>
      </c>
      <c r="K2146" s="173">
        <f>ROUND((G2146+D2146)/2*J2146/12,0)</f>
        <v>105</v>
      </c>
      <c r="L2146" s="38">
        <f t="shared" si="669"/>
        <v>0</v>
      </c>
      <c r="M2146" s="257">
        <f>ROUND('Plant input detail '!M2148*'WPB2.2 Plant detail-w slippage'!$P$2,0)</f>
        <v>0</v>
      </c>
      <c r="N2146" s="2227">
        <f t="shared" si="670"/>
        <v>-10934.77</v>
      </c>
    </row>
    <row r="2147" spans="1:14" x14ac:dyDescent="0.2">
      <c r="A2147" s="31">
        <f t="shared" si="671"/>
        <v>17</v>
      </c>
      <c r="B2147" s="123">
        <v>391.12</v>
      </c>
      <c r="C2147" s="52" t="s">
        <v>1066</v>
      </c>
      <c r="D2147" s="257">
        <f t="shared" si="665"/>
        <v>1407883.4100000001</v>
      </c>
      <c r="E2147" s="382">
        <f>ROUND('Plant input detail '!E2149*'WPB2.2 Plant detail-w slippage'!$P$2,0)</f>
        <v>0</v>
      </c>
      <c r="F2147" s="257">
        <f>ROUND('Plant input detail '!F2149*'WPB2.2 Plant detail-w slippage'!$P$2,0)</f>
        <v>0</v>
      </c>
      <c r="G2147" s="257">
        <f t="shared" si="666"/>
        <v>1407883.4100000001</v>
      </c>
      <c r="H2147" s="38"/>
      <c r="I2147" s="257">
        <f t="shared" si="667"/>
        <v>792830.37</v>
      </c>
      <c r="J2147" s="1362">
        <f t="shared" si="668"/>
        <v>0.2</v>
      </c>
      <c r="K2147" s="173">
        <f>ROUND((G2147+D2147)/2*J2147/12,0)</f>
        <v>23465</v>
      </c>
      <c r="L2147" s="38">
        <f t="shared" si="669"/>
        <v>0</v>
      </c>
      <c r="M2147" s="257">
        <f>ROUND('Plant input detail '!M2149*'WPB2.2 Plant detail-w slippage'!$P$2,0)</f>
        <v>0</v>
      </c>
      <c r="N2147" s="2227">
        <f t="shared" si="670"/>
        <v>816295.37</v>
      </c>
    </row>
    <row r="2148" spans="1:14" x14ac:dyDescent="0.2">
      <c r="A2148" s="31">
        <f t="shared" si="671"/>
        <v>18</v>
      </c>
      <c r="B2148" s="123">
        <v>392.2</v>
      </c>
      <c r="C2148" s="52" t="s">
        <v>1067</v>
      </c>
      <c r="D2148" s="257">
        <f t="shared" si="665"/>
        <v>95778</v>
      </c>
      <c r="E2148" s="382">
        <f>ROUND('Plant input detail '!E2150*'WPB2.2 Plant detail-w slippage'!$P$2,0)</f>
        <v>0</v>
      </c>
      <c r="F2148" s="257">
        <f>ROUND('Plant input detail '!F2150*'WPB2.2 Plant detail-w slippage'!$P$2,0)</f>
        <v>0</v>
      </c>
      <c r="G2148" s="257">
        <f t="shared" si="666"/>
        <v>95778</v>
      </c>
      <c r="H2148" s="38"/>
      <c r="I2148" s="257">
        <f t="shared" si="667"/>
        <v>29225.05</v>
      </c>
      <c r="J2148" s="1362">
        <f t="shared" si="668"/>
        <v>9.1499999999999998E-2</v>
      </c>
      <c r="K2148" s="173">
        <f>ROUND((G2148+D2148)/2*J2148/12,0)</f>
        <v>730</v>
      </c>
      <c r="L2148" s="38">
        <f t="shared" si="669"/>
        <v>0</v>
      </c>
      <c r="M2148" s="257">
        <f>ROUND('Plant input detail '!M2150*'WPB2.2 Plant detail-w slippage'!$P$2,0)</f>
        <v>0</v>
      </c>
      <c r="N2148" s="2227">
        <f t="shared" si="670"/>
        <v>29955.05</v>
      </c>
    </row>
    <row r="2149" spans="1:14" x14ac:dyDescent="0.2">
      <c r="A2149" s="31">
        <f t="shared" si="671"/>
        <v>19</v>
      </c>
      <c r="B2149" s="123">
        <v>392.21</v>
      </c>
      <c r="C2149" s="52" t="s">
        <v>1068</v>
      </c>
      <c r="D2149" s="257">
        <f t="shared" si="665"/>
        <v>24462.2</v>
      </c>
      <c r="E2149" s="382">
        <f>ROUND('Plant input detail '!E2151*'WPB2.2 Plant detail-w slippage'!$P$2,0)</f>
        <v>0</v>
      </c>
      <c r="F2149" s="257">
        <f>ROUND('Plant input detail '!F2151*'WPB2.2 Plant detail-w slippage'!$P$2,0)</f>
        <v>0</v>
      </c>
      <c r="G2149" s="257">
        <f t="shared" si="666"/>
        <v>24462.2</v>
      </c>
      <c r="H2149" s="38"/>
      <c r="I2149" s="257">
        <f t="shared" si="667"/>
        <v>6870.4</v>
      </c>
      <c r="J2149" s="1362">
        <f t="shared" si="668"/>
        <v>9.1499999999999998E-2</v>
      </c>
      <c r="K2149" s="173">
        <f>ROUND((G2149+D2149)/2*J2149/12,0)</f>
        <v>187</v>
      </c>
      <c r="L2149" s="38">
        <f t="shared" si="669"/>
        <v>0</v>
      </c>
      <c r="M2149" s="257">
        <f>ROUND('Plant input detail '!M2151*'WPB2.2 Plant detail-w slippage'!$P$2,0)</f>
        <v>0</v>
      </c>
      <c r="N2149" s="2227">
        <f t="shared" si="670"/>
        <v>7057.4</v>
      </c>
    </row>
    <row r="2150" spans="1:14" x14ac:dyDescent="0.2">
      <c r="A2150" s="31">
        <f t="shared" si="671"/>
        <v>20</v>
      </c>
      <c r="B2150" s="123">
        <v>393</v>
      </c>
      <c r="C2150" s="52" t="s">
        <v>1069</v>
      </c>
      <c r="D2150" s="257">
        <f t="shared" si="665"/>
        <v>0</v>
      </c>
      <c r="E2150" s="382">
        <f>ROUND('Plant input detail '!E2152*'WPB2.2 Plant detail-w slippage'!$P$2,0)</f>
        <v>0</v>
      </c>
      <c r="F2150" s="257">
        <f>ROUND('Plant input detail '!F2152*'WPB2.2 Plant detail-w slippage'!$P$2,0)</f>
        <v>0</v>
      </c>
      <c r="G2150" s="257">
        <f t="shared" si="666"/>
        <v>0</v>
      </c>
      <c r="H2150" s="38"/>
      <c r="I2150" s="257">
        <f t="shared" si="667"/>
        <v>0</v>
      </c>
      <c r="J2150" s="1362" t="str">
        <f t="shared" si="668"/>
        <v>Amort.</v>
      </c>
      <c r="K2150" s="259">
        <v>0</v>
      </c>
      <c r="L2150" s="38">
        <f t="shared" si="669"/>
        <v>0</v>
      </c>
      <c r="M2150" s="257">
        <f>ROUND('Plant input detail '!M2152*'WPB2.2 Plant detail-w slippage'!$P$2,0)</f>
        <v>0</v>
      </c>
      <c r="N2150" s="2227">
        <f t="shared" si="670"/>
        <v>0</v>
      </c>
    </row>
    <row r="2151" spans="1:14" x14ac:dyDescent="0.2">
      <c r="A2151" s="31">
        <f t="shared" si="671"/>
        <v>21</v>
      </c>
      <c r="B2151" s="123">
        <v>394.1</v>
      </c>
      <c r="C2151" s="52" t="s">
        <v>1070</v>
      </c>
      <c r="D2151" s="257">
        <f t="shared" si="665"/>
        <v>24240.799999999999</v>
      </c>
      <c r="E2151" s="382">
        <f>ROUND('Plant input detail '!E2153*'WPB2.2 Plant detail-w slippage'!$P$2,0)</f>
        <v>0</v>
      </c>
      <c r="F2151" s="257">
        <f>ROUND('Plant input detail '!F2153*'WPB2.2 Plant detail-w slippage'!$P$2,0)</f>
        <v>0</v>
      </c>
      <c r="G2151" s="257">
        <f t="shared" si="666"/>
        <v>24240.799999999999</v>
      </c>
      <c r="H2151" s="38"/>
      <c r="I2151" s="257">
        <f t="shared" si="667"/>
        <v>15337.82</v>
      </c>
      <c r="J2151" s="1362">
        <f t="shared" si="668"/>
        <v>0.04</v>
      </c>
      <c r="K2151" s="173">
        <f t="shared" ref="K2151:K2158" si="672">ROUND((G2151+D2151)/2*J2151/12,0)</f>
        <v>81</v>
      </c>
      <c r="L2151" s="38">
        <f t="shared" si="669"/>
        <v>0</v>
      </c>
      <c r="M2151" s="257">
        <f>ROUND('Plant input detail '!M2153*'WPB2.2 Plant detail-w slippage'!$P$2,0)</f>
        <v>0</v>
      </c>
      <c r="N2151" s="2227">
        <f t="shared" si="670"/>
        <v>15418.82</v>
      </c>
    </row>
    <row r="2152" spans="1:14" x14ac:dyDescent="0.2">
      <c r="A2152" s="31">
        <f t="shared" si="671"/>
        <v>22</v>
      </c>
      <c r="B2152" s="123">
        <v>394.11</v>
      </c>
      <c r="C2152" s="52" t="s">
        <v>1071</v>
      </c>
      <c r="D2152" s="257">
        <f t="shared" si="665"/>
        <v>0</v>
      </c>
      <c r="E2152" s="382">
        <f>ROUND('Plant input detail '!E2154*'WPB2.2 Plant detail-w slippage'!$P$2,0)</f>
        <v>0</v>
      </c>
      <c r="F2152" s="257">
        <f>ROUND('Plant input detail '!F2154*'WPB2.2 Plant detail-w slippage'!$P$2,0)</f>
        <v>0</v>
      </c>
      <c r="G2152" s="257">
        <f t="shared" si="666"/>
        <v>0</v>
      </c>
      <c r="H2152" s="38"/>
      <c r="I2152" s="257">
        <f t="shared" si="667"/>
        <v>0</v>
      </c>
      <c r="J2152" s="1362">
        <f t="shared" si="668"/>
        <v>0</v>
      </c>
      <c r="K2152" s="259">
        <v>0</v>
      </c>
      <c r="L2152" s="38">
        <f t="shared" si="669"/>
        <v>0</v>
      </c>
      <c r="M2152" s="257">
        <f>ROUND('Plant input detail '!M2154*'WPB2.2 Plant detail-w slippage'!$P$2,0)</f>
        <v>0</v>
      </c>
      <c r="N2152" s="2227">
        <f t="shared" si="670"/>
        <v>0</v>
      </c>
    </row>
    <row r="2153" spans="1:14" x14ac:dyDescent="0.2">
      <c r="A2153" s="31">
        <f t="shared" si="671"/>
        <v>23</v>
      </c>
      <c r="B2153" s="123">
        <v>394.13</v>
      </c>
      <c r="C2153" s="251" t="s">
        <v>1072</v>
      </c>
      <c r="D2153" s="257">
        <f t="shared" si="665"/>
        <v>0</v>
      </c>
      <c r="E2153" s="382">
        <f>ROUND('Plant input detail '!E2155*'WPB2.2 Plant detail-w slippage'!$P$2,0)</f>
        <v>0</v>
      </c>
      <c r="F2153" s="257">
        <f>ROUND('Plant input detail '!F2155*'WPB2.2 Plant detail-w slippage'!$P$2,0)</f>
        <v>0</v>
      </c>
      <c r="G2153" s="257">
        <f t="shared" si="666"/>
        <v>0</v>
      </c>
      <c r="H2153" s="38"/>
      <c r="I2153" s="257">
        <f t="shared" si="667"/>
        <v>37937.360000000001</v>
      </c>
      <c r="J2153" s="1362" t="str">
        <f t="shared" si="668"/>
        <v>Amort.</v>
      </c>
      <c r="K2153" s="259">
        <v>0</v>
      </c>
      <c r="L2153" s="38">
        <f t="shared" si="669"/>
        <v>0</v>
      </c>
      <c r="M2153" s="257">
        <f>ROUND('Plant input detail '!M2155*'WPB2.2 Plant detail-w slippage'!$P$2,0)</f>
        <v>0</v>
      </c>
      <c r="N2153" s="2227">
        <f t="shared" si="670"/>
        <v>37937.360000000001</v>
      </c>
    </row>
    <row r="2154" spans="1:14" x14ac:dyDescent="0.2">
      <c r="A2154" s="31">
        <f t="shared" si="671"/>
        <v>24</v>
      </c>
      <c r="B2154" s="123">
        <v>394.2</v>
      </c>
      <c r="C2154" s="52" t="s">
        <v>1073</v>
      </c>
      <c r="D2154" s="257">
        <f t="shared" si="665"/>
        <v>0</v>
      </c>
      <c r="E2154" s="382">
        <f>ROUND('Plant input detail '!E2156*'WPB2.2 Plant detail-w slippage'!$P$2,0)</f>
        <v>0</v>
      </c>
      <c r="F2154" s="257">
        <f>ROUND('Plant input detail '!F2156*'WPB2.2 Plant detail-w slippage'!$P$2,0)</f>
        <v>0</v>
      </c>
      <c r="G2154" s="257">
        <f t="shared" si="666"/>
        <v>0</v>
      </c>
      <c r="H2154" s="38"/>
      <c r="I2154" s="257">
        <f t="shared" si="667"/>
        <v>185.21</v>
      </c>
      <c r="J2154" s="1362">
        <f t="shared" si="668"/>
        <v>0.04</v>
      </c>
      <c r="K2154" s="173">
        <f t="shared" si="672"/>
        <v>0</v>
      </c>
      <c r="L2154" s="38">
        <f t="shared" si="669"/>
        <v>0</v>
      </c>
      <c r="M2154" s="257">
        <f>ROUND('Plant input detail '!M2156*'WPB2.2 Plant detail-w slippage'!$P$2,0)</f>
        <v>0</v>
      </c>
      <c r="N2154" s="2227">
        <f t="shared" si="670"/>
        <v>185.21</v>
      </c>
    </row>
    <row r="2155" spans="1:14" x14ac:dyDescent="0.2">
      <c r="A2155" s="31">
        <f t="shared" si="671"/>
        <v>25</v>
      </c>
      <c r="B2155" s="123">
        <v>394.3</v>
      </c>
      <c r="C2155" s="52" t="s">
        <v>1074</v>
      </c>
      <c r="D2155" s="257">
        <f t="shared" si="665"/>
        <v>3253721.16</v>
      </c>
      <c r="E2155" s="382">
        <f>ROUND('Plant input detail '!E2157*'WPB2.2 Plant detail-w slippage'!$P$2,0)</f>
        <v>39800</v>
      </c>
      <c r="F2155" s="257">
        <f>ROUND('Plant input detail '!F2157*'WPB2.2 Plant detail-w slippage'!$P$2,0)</f>
        <v>-4800</v>
      </c>
      <c r="G2155" s="257">
        <f t="shared" si="666"/>
        <v>3288721.16</v>
      </c>
      <c r="H2155" s="38"/>
      <c r="I2155" s="257">
        <f t="shared" si="667"/>
        <v>1359685.15</v>
      </c>
      <c r="J2155" s="1362">
        <f t="shared" si="668"/>
        <v>0.04</v>
      </c>
      <c r="K2155" s="173">
        <f t="shared" si="672"/>
        <v>10904</v>
      </c>
      <c r="L2155" s="38">
        <f t="shared" si="669"/>
        <v>4800</v>
      </c>
      <c r="M2155" s="257">
        <f>ROUND('Plant input detail '!M2157*'WPB2.2 Plant detail-w slippage'!$P$2,0)</f>
        <v>0</v>
      </c>
      <c r="N2155" s="2227">
        <f t="shared" si="670"/>
        <v>1365789.15</v>
      </c>
    </row>
    <row r="2156" spans="1:14" x14ac:dyDescent="0.2">
      <c r="A2156" s="31">
        <f t="shared" si="671"/>
        <v>26</v>
      </c>
      <c r="B2156" s="123">
        <v>395</v>
      </c>
      <c r="C2156" s="52" t="s">
        <v>1075</v>
      </c>
      <c r="D2156" s="257">
        <f t="shared" si="665"/>
        <v>9257.77</v>
      </c>
      <c r="E2156" s="382">
        <f>ROUND('Plant input detail '!E2158*'WPB2.2 Plant detail-w slippage'!$P$2,0)</f>
        <v>0</v>
      </c>
      <c r="F2156" s="257">
        <f>ROUND('Plant input detail '!F2158*'WPB2.2 Plant detail-w slippage'!$P$2,0)</f>
        <v>0</v>
      </c>
      <c r="G2156" s="257">
        <f t="shared" si="666"/>
        <v>9257.77</v>
      </c>
      <c r="H2156" s="38"/>
      <c r="I2156" s="257">
        <f t="shared" si="667"/>
        <v>7880.59</v>
      </c>
      <c r="J2156" s="1362">
        <f t="shared" si="668"/>
        <v>0.05</v>
      </c>
      <c r="K2156" s="173">
        <f t="shared" si="672"/>
        <v>39</v>
      </c>
      <c r="L2156" s="38">
        <f t="shared" si="669"/>
        <v>0</v>
      </c>
      <c r="M2156" s="257">
        <f>ROUND('Plant input detail '!M2158*'WPB2.2 Plant detail-w slippage'!$P$2,0)</f>
        <v>0</v>
      </c>
      <c r="N2156" s="2227">
        <f t="shared" si="670"/>
        <v>7919.59</v>
      </c>
    </row>
    <row r="2157" spans="1:14" x14ac:dyDescent="0.2">
      <c r="A2157" s="31">
        <f t="shared" si="671"/>
        <v>27</v>
      </c>
      <c r="B2157" s="123">
        <v>396</v>
      </c>
      <c r="C2157" s="52" t="s">
        <v>1076</v>
      </c>
      <c r="D2157" s="257">
        <f t="shared" si="665"/>
        <v>253134.72</v>
      </c>
      <c r="E2157" s="382">
        <f>ROUND('Plant input detail '!E2159*'WPB2.2 Plant detail-w slippage'!$P$2,0)</f>
        <v>0</v>
      </c>
      <c r="F2157" s="257">
        <f>ROUND('Plant input detail '!F2159*'WPB2.2 Plant detail-w slippage'!$P$2,0)</f>
        <v>0</v>
      </c>
      <c r="G2157" s="257">
        <f t="shared" si="666"/>
        <v>253134.72</v>
      </c>
      <c r="H2157" s="38"/>
      <c r="I2157" s="257">
        <f t="shared" si="667"/>
        <v>204235.72</v>
      </c>
      <c r="J2157" s="1362">
        <f t="shared" si="668"/>
        <v>2.5899999999999999E-2</v>
      </c>
      <c r="K2157" s="173">
        <f t="shared" si="672"/>
        <v>546</v>
      </c>
      <c r="L2157" s="38">
        <f t="shared" si="669"/>
        <v>0</v>
      </c>
      <c r="M2157" s="257">
        <f>ROUND('Plant input detail '!M2159*'WPB2.2 Plant detail-w slippage'!$P$2,0)</f>
        <v>0</v>
      </c>
      <c r="N2157" s="2227">
        <f t="shared" si="670"/>
        <v>204781.72</v>
      </c>
    </row>
    <row r="2158" spans="1:14" x14ac:dyDescent="0.2">
      <c r="A2158" s="31">
        <f t="shared" si="671"/>
        <v>28</v>
      </c>
      <c r="B2158" s="123">
        <v>398</v>
      </c>
      <c r="C2158" s="52" t="s">
        <v>1077</v>
      </c>
      <c r="D2158" s="260">
        <f t="shared" si="665"/>
        <v>295161.94</v>
      </c>
      <c r="E2158" s="265">
        <f>ROUND('Plant input detail '!E2160*'WPB2.2 Plant detail-w slippage'!$P$2,0)</f>
        <v>4600</v>
      </c>
      <c r="F2158" s="260">
        <f>ROUND('Plant input detail '!F2160*'WPB2.2 Plant detail-w slippage'!$P$2,0)</f>
        <v>-600</v>
      </c>
      <c r="G2158" s="260">
        <f t="shared" si="666"/>
        <v>299161.94</v>
      </c>
      <c r="H2158" s="264"/>
      <c r="I2158" s="260">
        <f t="shared" si="667"/>
        <v>13153.59</v>
      </c>
      <c r="J2158" s="1362">
        <f t="shared" si="668"/>
        <v>6.6699999999999995E-2</v>
      </c>
      <c r="K2158" s="260">
        <f t="shared" si="672"/>
        <v>1652</v>
      </c>
      <c r="L2158" s="295">
        <f t="shared" si="669"/>
        <v>600</v>
      </c>
      <c r="M2158" s="260">
        <f>ROUND('Plant input detail '!M2160*'WPB2.2 Plant detail-w slippage'!$P$2,0)</f>
        <v>0</v>
      </c>
      <c r="N2158" s="2228">
        <f t="shared" si="670"/>
        <v>14205.59</v>
      </c>
    </row>
    <row r="2159" spans="1:14" x14ac:dyDescent="0.2">
      <c r="A2159" s="31">
        <f t="shared" si="671"/>
        <v>29</v>
      </c>
      <c r="C2159" s="32" t="s">
        <v>1078</v>
      </c>
      <c r="D2159" s="264">
        <f>SUM(D2145:D2158)</f>
        <v>6095936.2799999993</v>
      </c>
      <c r="E2159" s="176">
        <f>SUM(E2145:E2158)</f>
        <v>44400</v>
      </c>
      <c r="F2159" s="176">
        <f>SUM(F2145:F2158)</f>
        <v>-5400</v>
      </c>
      <c r="G2159" s="264">
        <f>SUM(G2145:G2158)</f>
        <v>6134936.2799999993</v>
      </c>
      <c r="H2159" s="264"/>
      <c r="I2159" s="264">
        <f>SUM(I2145:I2158)</f>
        <v>2432482.27</v>
      </c>
      <c r="J2159" s="1359"/>
      <c r="K2159" s="176">
        <f>SUM(K2145:K2158)</f>
        <v>40682</v>
      </c>
      <c r="L2159" s="264">
        <f>SUM(L2145:L2158)</f>
        <v>5400</v>
      </c>
      <c r="M2159" s="176">
        <f>SUM(M2145:M2158)</f>
        <v>0</v>
      </c>
      <c r="N2159" s="1359">
        <f>SUM(N2145:N2158)</f>
        <v>2467764.27</v>
      </c>
    </row>
    <row r="2160" spans="1:14" x14ac:dyDescent="0.2">
      <c r="D2160" s="38"/>
      <c r="E2160" s="173"/>
      <c r="F2160" s="173"/>
      <c r="G2160" s="38"/>
      <c r="H2160" s="38"/>
      <c r="I2160" s="173"/>
      <c r="J2160" s="1361"/>
      <c r="K2160" s="173"/>
      <c r="L2160" s="38"/>
      <c r="M2160" s="173"/>
    </row>
    <row r="2161" spans="1:16" x14ac:dyDescent="0.2">
      <c r="A2161" s="1805">
        <f>A2159+1</f>
        <v>30</v>
      </c>
      <c r="B2161" s="252"/>
      <c r="C2161" s="36" t="s">
        <v>2287</v>
      </c>
      <c r="D2161" s="38"/>
      <c r="E2161" s="173"/>
      <c r="F2161" s="173"/>
      <c r="G2161" s="38"/>
      <c r="H2161" s="38"/>
      <c r="I2161" s="181"/>
      <c r="J2161" s="173"/>
      <c r="K2161" s="173"/>
      <c r="L2161" s="38"/>
      <c r="M2161" s="173"/>
      <c r="P2161" s="279"/>
    </row>
    <row r="2162" spans="1:16" x14ac:dyDescent="0.2">
      <c r="A2162" s="31">
        <f>A2161+1</f>
        <v>31</v>
      </c>
      <c r="B2162" s="123">
        <v>378.21</v>
      </c>
      <c r="C2162" s="52" t="s">
        <v>2244</v>
      </c>
      <c r="D2162" s="257">
        <f>G2056</f>
        <v>-777092</v>
      </c>
      <c r="E2162" s="382">
        <f>ROUND('Plant input detail '!E2164*'WPB2.2 Plant detail-w slippage'!$P$2,0)</f>
        <v>0</v>
      </c>
      <c r="F2162" s="257">
        <f>ROUND('Plant input detail '!F2164*'WPB2.2 Plant detail-w slippage'!$P$2,0)</f>
        <v>0</v>
      </c>
      <c r="G2162" s="257">
        <f t="shared" ref="G2162" si="673">SUM(D2162:F2162)</f>
        <v>-777092</v>
      </c>
      <c r="H2162" s="264"/>
      <c r="I2162" s="257">
        <f>N2056</f>
        <v>-61822.279999999926</v>
      </c>
      <c r="J2162" s="296" t="s">
        <v>1094</v>
      </c>
      <c r="K2162" s="1334">
        <v>-2158.5833333333321</v>
      </c>
      <c r="L2162" s="38">
        <f t="shared" ref="L2162" si="674">-F2162</f>
        <v>0</v>
      </c>
      <c r="M2162" s="257">
        <f>ROUND('Plant input detail '!M2164*'WPB2.2 Plant detail-w slippage'!$P$2,0)</f>
        <v>0</v>
      </c>
      <c r="N2162" s="2227">
        <f t="shared" ref="N2162" si="675">I2162+K2162-L2162+M2162</f>
        <v>-63980.863333333255</v>
      </c>
      <c r="O2162" s="292"/>
    </row>
    <row r="2163" spans="1:16" x14ac:dyDescent="0.2">
      <c r="A2163" s="1723"/>
      <c r="D2163" s="38"/>
      <c r="E2163" s="173"/>
      <c r="F2163" s="173"/>
      <c r="G2163" s="38"/>
      <c r="H2163" s="38"/>
      <c r="I2163" s="173"/>
      <c r="J2163" s="1361"/>
      <c r="K2163" s="173"/>
      <c r="L2163" s="38"/>
      <c r="M2163" s="173"/>
    </row>
    <row r="2164" spans="1:16" x14ac:dyDescent="0.2">
      <c r="A2164" s="31">
        <f>A2162+1</f>
        <v>32</v>
      </c>
      <c r="C2164" s="32" t="s">
        <v>774</v>
      </c>
      <c r="D2164" s="40">
        <f>D2159+D2142+D2087+D2083+D2162</f>
        <v>444496487.36999989</v>
      </c>
      <c r="E2164" s="40">
        <f>E2159+E2142+E2087+E2083+E2162</f>
        <v>4247666</v>
      </c>
      <c r="F2164" s="40">
        <f>F2159+F2142+F2087+F2083+F2162</f>
        <v>-510000</v>
      </c>
      <c r="G2164" s="40">
        <f>G2159+G2142+G2087+G2083+G2162</f>
        <v>448234153.36999989</v>
      </c>
      <c r="H2164" s="38"/>
      <c r="I2164" s="40">
        <f>I2159+I2142+I2087+I2083+I2162</f>
        <v>154577899.13382012</v>
      </c>
      <c r="J2164" s="1363"/>
      <c r="K2164" s="40">
        <f>K2159+K2142+K2087+K2083+K2162</f>
        <v>1373501.6537638111</v>
      </c>
      <c r="L2164" s="40">
        <f>L2159+L2142+L2087+L2083+L2162</f>
        <v>510000</v>
      </c>
      <c r="M2164" s="40">
        <f>M2159+M2142+M2087+M2083+M2162</f>
        <v>-131300</v>
      </c>
      <c r="N2164" s="2230">
        <f>N2159+N2142+N2087+N2083+N2162</f>
        <v>155310100.78758389</v>
      </c>
    </row>
    <row r="2166" spans="1:16" x14ac:dyDescent="0.2">
      <c r="A2166" s="2079" t="str">
        <f>co</f>
        <v>COLUMBIA GAS OF KENTUCKY, INC.</v>
      </c>
      <c r="B2166" s="2079"/>
      <c r="C2166" s="2079"/>
      <c r="D2166" s="2079"/>
      <c r="E2166" s="2079"/>
      <c r="F2166" s="2079"/>
      <c r="G2166" s="2079"/>
      <c r="H2166" s="2079"/>
      <c r="I2166" s="2079"/>
      <c r="J2166" s="2079"/>
      <c r="K2166" s="2079"/>
      <c r="L2166" s="2079"/>
      <c r="M2166" s="2079"/>
      <c r="N2166" s="2079"/>
    </row>
    <row r="2167" spans="1:16" x14ac:dyDescent="0.2">
      <c r="A2167" s="2079" t="str">
        <f>case</f>
        <v>CASE NO. 2016 - 00162</v>
      </c>
      <c r="B2167" s="2079"/>
      <c r="C2167" s="2079"/>
      <c r="D2167" s="2079"/>
      <c r="E2167" s="2079"/>
      <c r="F2167" s="2079"/>
      <c r="G2167" s="2079"/>
      <c r="H2167" s="2079"/>
      <c r="I2167" s="2079"/>
      <c r="J2167" s="2079"/>
      <c r="K2167" s="2079"/>
      <c r="L2167" s="2079"/>
      <c r="M2167" s="2079"/>
      <c r="N2167" s="2079"/>
    </row>
    <row r="2168" spans="1:16" x14ac:dyDescent="0.2">
      <c r="A2168" s="2080" t="s">
        <v>1106</v>
      </c>
      <c r="B2168" s="2080"/>
      <c r="C2168" s="2080"/>
      <c r="D2168" s="2080"/>
      <c r="E2168" s="2080"/>
      <c r="F2168" s="2080"/>
      <c r="G2168" s="2080"/>
      <c r="H2168" s="2080"/>
      <c r="I2168" s="2080"/>
      <c r="J2168" s="2080"/>
      <c r="K2168" s="2080"/>
      <c r="L2168" s="2080"/>
      <c r="M2168" s="2080"/>
      <c r="N2168" s="2080"/>
    </row>
    <row r="2169" spans="1:16" x14ac:dyDescent="0.2">
      <c r="A2169" s="2081" t="s">
        <v>2142</v>
      </c>
      <c r="B2169" s="2085"/>
      <c r="C2169" s="2085"/>
      <c r="D2169" s="2085"/>
      <c r="E2169" s="2085"/>
      <c r="F2169" s="2085"/>
      <c r="G2169" s="2085"/>
      <c r="H2169" s="2085"/>
      <c r="I2169" s="2085"/>
      <c r="J2169" s="2085"/>
      <c r="K2169" s="2085"/>
      <c r="L2169" s="2085"/>
      <c r="M2169" s="2085"/>
      <c r="N2169" s="2085"/>
    </row>
    <row r="2171" spans="1:16" x14ac:dyDescent="0.2">
      <c r="A2171" s="285" t="str">
        <f>$A$6</f>
        <v>DATA:__X___BASE PERIOD__X___FORECASTED PERIOD</v>
      </c>
      <c r="C2171" s="171"/>
      <c r="I2171" s="32"/>
      <c r="N2171" s="1258" t="str">
        <f>$N$6</f>
        <v>WPB-2.2</v>
      </c>
    </row>
    <row r="2172" spans="1:16" x14ac:dyDescent="0.2">
      <c r="A2172" s="4" t="str">
        <f>$A$7</f>
        <v>TYPE OF FILING:___X____ORIGINAL________UPDATED</v>
      </c>
      <c r="I2172" s="32"/>
      <c r="N2172" s="2223" t="s">
        <v>1754</v>
      </c>
    </row>
    <row r="2173" spans="1:16" x14ac:dyDescent="0.2">
      <c r="A2173" s="1261" t="str">
        <f>$A$8</f>
        <v xml:space="preserve">WORKPAPER REFERENCE NO(S).: </v>
      </c>
      <c r="B2173" s="202"/>
      <c r="C2173" s="202"/>
      <c r="D2173" s="201"/>
      <c r="E2173" s="202"/>
      <c r="F2173" s="202"/>
      <c r="G2173" s="201"/>
      <c r="H2173" s="201"/>
      <c r="I2173" s="203"/>
      <c r="L2173" s="32"/>
      <c r="M2173" s="32"/>
      <c r="N2173" s="204" t="str">
        <f>SMK</f>
        <v>WITNESS:  S. M. KATKO</v>
      </c>
    </row>
    <row r="2174" spans="1:16" x14ac:dyDescent="0.2">
      <c r="A2174" s="200"/>
      <c r="B2174" s="201"/>
      <c r="C2174" s="201"/>
      <c r="D2174" s="201"/>
      <c r="E2174" s="202"/>
      <c r="F2174" s="202"/>
      <c r="G2174" s="201"/>
      <c r="H2174" s="201"/>
      <c r="I2174" s="203"/>
      <c r="J2174" s="1357"/>
      <c r="L2174" s="32"/>
      <c r="M2174" s="32"/>
    </row>
    <row r="2175" spans="1:16" x14ac:dyDescent="0.2">
      <c r="A2175" s="200"/>
      <c r="B2175" s="201"/>
      <c r="C2175" s="201"/>
      <c r="D2175" s="2082" t="s">
        <v>1088</v>
      </c>
      <c r="E2175" s="2082"/>
      <c r="F2175" s="2082"/>
      <c r="G2175" s="2082"/>
      <c r="H2175" s="201"/>
      <c r="I2175" s="2083" t="s">
        <v>1093</v>
      </c>
      <c r="J2175" s="2084"/>
      <c r="K2175" s="2084"/>
      <c r="L2175" s="2084"/>
      <c r="M2175" s="2084"/>
      <c r="N2175" s="2084"/>
    </row>
    <row r="2176" spans="1:16" x14ac:dyDescent="0.2">
      <c r="A2176" s="270"/>
      <c r="B2176" s="201"/>
      <c r="C2176" s="201"/>
      <c r="D2176" s="271" t="s">
        <v>1084</v>
      </c>
      <c r="E2176" s="202"/>
      <c r="F2176" s="202"/>
      <c r="G2176" s="269"/>
      <c r="H2176" s="269"/>
      <c r="I2176" s="261" t="s">
        <v>1089</v>
      </c>
      <c r="J2176" s="1358"/>
      <c r="M2176" s="32"/>
    </row>
    <row r="2177" spans="1:14" x14ac:dyDescent="0.2">
      <c r="A2177" s="30"/>
      <c r="D2177" s="261" t="s">
        <v>865</v>
      </c>
      <c r="G2177" s="261" t="s">
        <v>867</v>
      </c>
      <c r="H2177" s="268"/>
      <c r="I2177" s="261" t="s">
        <v>865</v>
      </c>
      <c r="J2177" s="1308" t="s">
        <v>956</v>
      </c>
      <c r="M2177" s="32"/>
      <c r="N2177" s="2225" t="s">
        <v>867</v>
      </c>
    </row>
    <row r="2178" spans="1:14" x14ac:dyDescent="0.2">
      <c r="A2178" s="261" t="s">
        <v>1080</v>
      </c>
      <c r="B2178" s="261" t="s">
        <v>1082</v>
      </c>
      <c r="D2178" s="261" t="s">
        <v>867</v>
      </c>
      <c r="G2178" s="262" t="s">
        <v>1087</v>
      </c>
      <c r="H2178" s="268"/>
      <c r="I2178" s="262" t="s">
        <v>867</v>
      </c>
      <c r="J2178" s="1308" t="s">
        <v>1090</v>
      </c>
      <c r="K2178" s="1308" t="s">
        <v>956</v>
      </c>
      <c r="M2178" s="262" t="s">
        <v>1092</v>
      </c>
      <c r="N2178" s="1259" t="s">
        <v>1087</v>
      </c>
    </row>
    <row r="2179" spans="1:14" x14ac:dyDescent="0.2">
      <c r="A2179" s="272" t="s">
        <v>1081</v>
      </c>
      <c r="B2179" s="272" t="s">
        <v>1081</v>
      </c>
      <c r="C2179" s="273" t="s">
        <v>1083</v>
      </c>
      <c r="D2179" s="298" t="str">
        <f>"10/31/2017"</f>
        <v>10/31/2017</v>
      </c>
      <c r="E2179" s="275" t="s">
        <v>1085</v>
      </c>
      <c r="F2179" s="275" t="s">
        <v>1086</v>
      </c>
      <c r="G2179" s="298" t="str">
        <f>"11/30/2017"</f>
        <v>11/30/2017</v>
      </c>
      <c r="H2179" s="268"/>
      <c r="I2179" s="274" t="str">
        <f>D2179</f>
        <v>10/31/2017</v>
      </c>
      <c r="J2179" s="275" t="s">
        <v>1091</v>
      </c>
      <c r="K2179" s="1327" t="s">
        <v>1090</v>
      </c>
      <c r="L2179" s="276" t="s">
        <v>1086</v>
      </c>
      <c r="M2179" s="276" t="s">
        <v>955</v>
      </c>
      <c r="N2179" s="2226" t="str">
        <f>G2179</f>
        <v>11/30/2017</v>
      </c>
    </row>
    <row r="2180" spans="1:14" x14ac:dyDescent="0.2">
      <c r="A2180" s="267"/>
      <c r="B2180" s="267"/>
      <c r="C2180" s="267"/>
      <c r="D2180" s="267" t="str">
        <f>"(1)"</f>
        <v>(1)</v>
      </c>
      <c r="E2180" s="267" t="str">
        <f>"(2)"</f>
        <v>(2)</v>
      </c>
      <c r="F2180" s="267" t="str">
        <f>"(3)"</f>
        <v>(3)</v>
      </c>
      <c r="G2180" s="267" t="str">
        <f>"(4)=(1+2+3)"</f>
        <v>(4)=(1+2+3)</v>
      </c>
      <c r="H2180" s="267"/>
      <c r="I2180" s="267" t="str">
        <f>"(5)"</f>
        <v>(5)</v>
      </c>
      <c r="J2180" s="1328" t="str">
        <f>"(6)"</f>
        <v>(6)</v>
      </c>
      <c r="K2180" s="1328" t="str">
        <f>"(7)=((1+4)/2*6/12))"</f>
        <v>(7)=((1+4)/2*6/12))</v>
      </c>
      <c r="L2180" s="267" t="str">
        <f>"(8)"</f>
        <v>(8)</v>
      </c>
      <c r="M2180" s="267" t="str">
        <f>"(9)"</f>
        <v>(9)</v>
      </c>
      <c r="N2180" s="204" t="str">
        <f>"(10)=(5+7-8+9)"</f>
        <v>(10)=(5+7-8+9)</v>
      </c>
    </row>
    <row r="2181" spans="1:14" x14ac:dyDescent="0.2">
      <c r="D2181" s="31" t="s">
        <v>639</v>
      </c>
      <c r="E2181" s="170" t="s">
        <v>639</v>
      </c>
      <c r="F2181" s="170" t="s">
        <v>639</v>
      </c>
      <c r="G2181" s="31" t="s">
        <v>639</v>
      </c>
      <c r="H2181" s="31"/>
      <c r="I2181" s="31" t="s">
        <v>639</v>
      </c>
      <c r="J2181" s="170" t="s">
        <v>639</v>
      </c>
      <c r="K2181" s="170" t="s">
        <v>639</v>
      </c>
      <c r="L2181" s="31" t="s">
        <v>639</v>
      </c>
      <c r="M2181" s="31" t="s">
        <v>639</v>
      </c>
      <c r="N2181" s="155" t="s">
        <v>639</v>
      </c>
    </row>
    <row r="2182" spans="1:14" x14ac:dyDescent="0.2">
      <c r="A2182" s="31">
        <v>1</v>
      </c>
      <c r="B2182" s="36" t="s">
        <v>1025</v>
      </c>
      <c r="C2182" s="34"/>
      <c r="M2182" s="32"/>
    </row>
    <row r="2183" spans="1:14" x14ac:dyDescent="0.2">
      <c r="A2183" s="31">
        <f>A2182+1</f>
        <v>2</v>
      </c>
      <c r="C2183" s="36" t="s">
        <v>697</v>
      </c>
      <c r="M2183" s="32"/>
    </row>
    <row r="2184" spans="1:14" x14ac:dyDescent="0.2">
      <c r="A2184" s="31">
        <f t="shared" ref="A2184:A2189" si="676">A2183+1</f>
        <v>3</v>
      </c>
      <c r="B2184" s="253">
        <v>301</v>
      </c>
      <c r="C2184" s="52" t="s">
        <v>1026</v>
      </c>
      <c r="D2184" s="257">
        <f>G2078</f>
        <v>521.20000000000005</v>
      </c>
      <c r="E2184" s="382">
        <f>ROUND('Plant input detail '!E2186*'WPB2.2 Plant detail-w slippage'!$P$2,0)</f>
        <v>0</v>
      </c>
      <c r="F2184" s="257">
        <f>ROUND('Plant input detail '!F2186*'WPB2.2 Plant detail-w slippage'!$P$2,0)</f>
        <v>0</v>
      </c>
      <c r="G2184" s="257">
        <f>SUM(D2184:F2184)</f>
        <v>521.20000000000005</v>
      </c>
      <c r="H2184" s="38"/>
      <c r="I2184" s="257">
        <f>N2078</f>
        <v>0</v>
      </c>
      <c r="J2184" s="296" t="s">
        <v>1094</v>
      </c>
      <c r="K2184" s="259">
        <v>0</v>
      </c>
      <c r="L2184" s="38">
        <f>-F2184</f>
        <v>0</v>
      </c>
      <c r="M2184" s="259">
        <v>0</v>
      </c>
      <c r="N2184" s="2227">
        <f>I2184+K2184-L2184+M2184</f>
        <v>0</v>
      </c>
    </row>
    <row r="2185" spans="1:14" x14ac:dyDescent="0.2">
      <c r="A2185" s="31">
        <f t="shared" si="676"/>
        <v>4</v>
      </c>
      <c r="B2185" s="253">
        <v>303</v>
      </c>
      <c r="C2185" s="52" t="s">
        <v>1027</v>
      </c>
      <c r="D2185" s="257">
        <f>G2079</f>
        <v>74347.509999999995</v>
      </c>
      <c r="E2185" s="382">
        <f>ROUND('Plant input detail '!E2187*'WPB2.2 Plant detail-w slippage'!$P$2,0)</f>
        <v>0</v>
      </c>
      <c r="F2185" s="257">
        <f>ROUND('Plant input detail '!F2187*'WPB2.2 Plant detail-w slippage'!$P$2,0)</f>
        <v>0</v>
      </c>
      <c r="G2185" s="257">
        <f>SUM(D2185:F2185)</f>
        <v>74347.509999999995</v>
      </c>
      <c r="H2185" s="38"/>
      <c r="I2185" s="257">
        <f>N2079</f>
        <v>49929.829999999936</v>
      </c>
      <c r="J2185" s="296" t="s">
        <v>1094</v>
      </c>
      <c r="K2185" s="257">
        <f>'WPB2.2a Intan Amort. w slippage'!Q$127</f>
        <v>206.52</v>
      </c>
      <c r="L2185" s="38">
        <f>-F2185</f>
        <v>0</v>
      </c>
      <c r="M2185" s="259">
        <v>0</v>
      </c>
      <c r="N2185" s="2227">
        <f>I2185+K2185-L2185+M2185</f>
        <v>50136.349999999933</v>
      </c>
    </row>
    <row r="2186" spans="1:14" x14ac:dyDescent="0.2">
      <c r="A2186" s="31">
        <f t="shared" si="676"/>
        <v>5</v>
      </c>
      <c r="B2186" s="253">
        <v>303.10000000000002</v>
      </c>
      <c r="C2186" s="52" t="s">
        <v>1028</v>
      </c>
      <c r="D2186" s="257">
        <f>G2080</f>
        <v>0</v>
      </c>
      <c r="E2186" s="382">
        <f>ROUND('Plant input detail '!E2188*'WPB2.2 Plant detail-w slippage'!$P$2,0)</f>
        <v>0</v>
      </c>
      <c r="F2186" s="257">
        <f>ROUND('Plant input detail '!F2188*'WPB2.2 Plant detail-w slippage'!$P$2,0)</f>
        <v>0</v>
      </c>
      <c r="G2186" s="257">
        <f>SUM(D2186:F2186)</f>
        <v>0</v>
      </c>
      <c r="H2186" s="38"/>
      <c r="I2186" s="257">
        <f>N2080</f>
        <v>0</v>
      </c>
      <c r="J2186" s="296" t="s">
        <v>1094</v>
      </c>
      <c r="K2186" s="259">
        <v>0</v>
      </c>
      <c r="L2186" s="38">
        <f>-F2186</f>
        <v>0</v>
      </c>
      <c r="M2186" s="259">
        <v>0</v>
      </c>
      <c r="N2186" s="2227">
        <f>I2186+K2186-L2186+M2186</f>
        <v>0</v>
      </c>
    </row>
    <row r="2187" spans="1:14" x14ac:dyDescent="0.2">
      <c r="A2187" s="31">
        <f t="shared" si="676"/>
        <v>6</v>
      </c>
      <c r="B2187" s="253">
        <v>303.2</v>
      </c>
      <c r="C2187" s="52" t="s">
        <v>1029</v>
      </c>
      <c r="D2187" s="257">
        <f>G2081</f>
        <v>0</v>
      </c>
      <c r="E2187" s="382">
        <f>ROUND('Plant input detail '!E2189*'WPB2.2 Plant detail-w slippage'!$P$2,0)</f>
        <v>0</v>
      </c>
      <c r="F2187" s="257">
        <f>ROUND('Plant input detail '!F2189*'WPB2.2 Plant detail-w slippage'!$P$2,0)</f>
        <v>0</v>
      </c>
      <c r="G2187" s="257">
        <f>SUM(D2187:F2187)</f>
        <v>0</v>
      </c>
      <c r="H2187" s="38"/>
      <c r="I2187" s="257">
        <f>N2081</f>
        <v>0</v>
      </c>
      <c r="J2187" s="296" t="s">
        <v>1094</v>
      </c>
      <c r="K2187" s="259">
        <v>0</v>
      </c>
      <c r="L2187" s="38">
        <f>-F2187</f>
        <v>0</v>
      </c>
      <c r="M2187" s="259">
        <v>0</v>
      </c>
      <c r="N2187" s="2227">
        <f>I2187+K2187-L2187+M2187</f>
        <v>0</v>
      </c>
    </row>
    <row r="2188" spans="1:14" x14ac:dyDescent="0.2">
      <c r="A2188" s="31">
        <f t="shared" si="676"/>
        <v>7</v>
      </c>
      <c r="B2188" s="253">
        <v>303.3</v>
      </c>
      <c r="C2188" s="52" t="s">
        <v>1030</v>
      </c>
      <c r="D2188" s="260">
        <f>G2082</f>
        <v>9670586</v>
      </c>
      <c r="E2188" s="265">
        <f>ROUND('Plant input detail '!E2190*'WPB2.2 Plant detail-w slippage'!$P$2,0)</f>
        <v>0</v>
      </c>
      <c r="F2188" s="265">
        <f>ROUND('Plant input detail '!F2190*'WPB2.2 Plant detail-w slippage'!$P$2,0)</f>
        <v>0</v>
      </c>
      <c r="G2188" s="260">
        <f>SUM(D2188:F2188)</f>
        <v>9670586</v>
      </c>
      <c r="H2188" s="38"/>
      <c r="I2188" s="260">
        <f>N2082</f>
        <v>3886496.7814435586</v>
      </c>
      <c r="J2188" s="296" t="s">
        <v>1094</v>
      </c>
      <c r="K2188" s="260">
        <f>'WPB2.2a Intan Amort. w slippage'!Q$216</f>
        <v>125786.85410876328</v>
      </c>
      <c r="L2188" s="295">
        <f>-F2188</f>
        <v>0</v>
      </c>
      <c r="M2188" s="263">
        <v>0</v>
      </c>
      <c r="N2188" s="2228">
        <f>I2188+K2188-L2188+M2188</f>
        <v>4012283.635552322</v>
      </c>
    </row>
    <row r="2189" spans="1:14" x14ac:dyDescent="0.2">
      <c r="A2189" s="31">
        <f t="shared" si="676"/>
        <v>8</v>
      </c>
      <c r="B2189" s="253"/>
      <c r="C2189" s="52" t="s">
        <v>1031</v>
      </c>
      <c r="D2189" s="38">
        <f>SUM(D2184:D2188)</f>
        <v>9745454.7100000009</v>
      </c>
      <c r="E2189" s="173">
        <f>SUM(E2184:E2188)</f>
        <v>0</v>
      </c>
      <c r="F2189" s="173">
        <f>SUM(F2184:F2188)</f>
        <v>0</v>
      </c>
      <c r="G2189" s="38">
        <f>SUM(G2184:G2188)</f>
        <v>9745454.7100000009</v>
      </c>
      <c r="H2189" s="38"/>
      <c r="I2189" s="38">
        <f>SUM(I2184:I2188)</f>
        <v>3936426.6114435587</v>
      </c>
      <c r="J2189" s="1359"/>
      <c r="K2189" s="173">
        <f>SUM(K2184:K2188)</f>
        <v>125993.37410876328</v>
      </c>
      <c r="L2189" s="38">
        <f>SUM(L2184:L2188)</f>
        <v>0</v>
      </c>
      <c r="M2189" s="173">
        <f>SUM(M2184:M2188)</f>
        <v>0</v>
      </c>
      <c r="N2189" s="1361">
        <f>SUM(N2184:N2188)</f>
        <v>4062419.9855523221</v>
      </c>
    </row>
    <row r="2190" spans="1:14" x14ac:dyDescent="0.2">
      <c r="B2190" s="254"/>
      <c r="D2190" s="38"/>
      <c r="E2190" s="173"/>
      <c r="F2190" s="173"/>
      <c r="G2190" s="38"/>
      <c r="H2190" s="38"/>
      <c r="I2190" s="38"/>
      <c r="J2190" s="1359"/>
      <c r="K2190" s="173"/>
      <c r="L2190" s="38"/>
      <c r="M2190" s="173"/>
    </row>
    <row r="2191" spans="1:14" x14ac:dyDescent="0.2">
      <c r="A2191" s="31">
        <f>A2189+1</f>
        <v>9</v>
      </c>
      <c r="B2191" s="254"/>
      <c r="C2191" s="36" t="s">
        <v>704</v>
      </c>
      <c r="D2191" s="38"/>
      <c r="E2191" s="173"/>
      <c r="F2191" s="173"/>
      <c r="G2191" s="38"/>
      <c r="H2191" s="38"/>
      <c r="I2191" s="38"/>
      <c r="J2191" s="1359"/>
      <c r="K2191" s="173"/>
      <c r="L2191" s="38"/>
      <c r="M2191" s="173"/>
    </row>
    <row r="2192" spans="1:14" x14ac:dyDescent="0.2">
      <c r="A2192" s="31">
        <f>A2191+1</f>
        <v>10</v>
      </c>
      <c r="B2192" s="255">
        <v>304.10000000000002</v>
      </c>
      <c r="C2192" s="41" t="s">
        <v>1032</v>
      </c>
      <c r="D2192" s="260">
        <f>G2086</f>
        <v>0</v>
      </c>
      <c r="E2192" s="265">
        <f>ROUND('Plant input detail '!E2194*'WPB2.2 Plant detail-w slippage'!$P$2,0)</f>
        <v>0</v>
      </c>
      <c r="F2192" s="265">
        <f>ROUND('Plant input detail '!F2194*'WPB2.2 Plant detail-w slippage'!$P$2,0)</f>
        <v>0</v>
      </c>
      <c r="G2192" s="260">
        <f>SUM(D2192:F2192)</f>
        <v>0</v>
      </c>
      <c r="H2192" s="38"/>
      <c r="I2192" s="260">
        <f>N2086</f>
        <v>0</v>
      </c>
      <c r="J2192" s="1360" t="s">
        <v>1102</v>
      </c>
      <c r="K2192" s="266">
        <v>0</v>
      </c>
      <c r="L2192" s="295">
        <f>-F2192</f>
        <v>0</v>
      </c>
      <c r="M2192" s="263">
        <v>0</v>
      </c>
      <c r="N2192" s="2228">
        <f>I2192+K2192-L2192+M2192</f>
        <v>0</v>
      </c>
    </row>
    <row r="2193" spans="1:14" x14ac:dyDescent="0.2">
      <c r="A2193" s="31">
        <f>A2192+1</f>
        <v>11</v>
      </c>
      <c r="B2193" s="255"/>
      <c r="C2193" s="256" t="s">
        <v>1079</v>
      </c>
      <c r="D2193" s="38">
        <f>D2192</f>
        <v>0</v>
      </c>
      <c r="E2193" s="173">
        <f>E2192</f>
        <v>0</v>
      </c>
      <c r="F2193" s="173">
        <f>F2192</f>
        <v>0</v>
      </c>
      <c r="G2193" s="38">
        <f>G2192</f>
        <v>0</v>
      </c>
      <c r="H2193" s="38"/>
      <c r="I2193" s="38">
        <f>I2192</f>
        <v>0</v>
      </c>
      <c r="J2193" s="1361"/>
      <c r="K2193" s="173">
        <f>SUM(K2192)</f>
        <v>0</v>
      </c>
      <c r="L2193" s="38">
        <f>SUM(L2192)</f>
        <v>0</v>
      </c>
      <c r="M2193" s="173">
        <f>M2192</f>
        <v>0</v>
      </c>
      <c r="N2193" s="1361">
        <f>N2192</f>
        <v>0</v>
      </c>
    </row>
    <row r="2194" spans="1:14" x14ac:dyDescent="0.2">
      <c r="B2194" s="254"/>
      <c r="D2194" s="38"/>
      <c r="E2194" s="173"/>
      <c r="F2194" s="173"/>
      <c r="G2194" s="38"/>
      <c r="H2194" s="38"/>
      <c r="I2194" s="38"/>
      <c r="J2194" s="1361"/>
      <c r="K2194" s="173"/>
      <c r="L2194" s="38"/>
      <c r="M2194" s="173"/>
    </row>
    <row r="2195" spans="1:14" x14ac:dyDescent="0.2">
      <c r="A2195" s="31">
        <f>A2193+1</f>
        <v>12</v>
      </c>
      <c r="B2195" s="254"/>
      <c r="C2195" s="36" t="s">
        <v>707</v>
      </c>
      <c r="D2195" s="38"/>
      <c r="E2195" s="173"/>
      <c r="F2195" s="173"/>
      <c r="G2195" s="38"/>
      <c r="H2195" s="38"/>
      <c r="I2195" s="38"/>
      <c r="J2195" s="1361"/>
      <c r="K2195" s="173"/>
      <c r="L2195" s="38"/>
      <c r="M2195" s="173"/>
    </row>
    <row r="2196" spans="1:14" x14ac:dyDescent="0.2">
      <c r="A2196" s="31">
        <f>A2195+1</f>
        <v>13</v>
      </c>
      <c r="B2196" s="253">
        <v>374.1</v>
      </c>
      <c r="C2196" s="52" t="s">
        <v>1035</v>
      </c>
      <c r="D2196" s="257">
        <f t="shared" ref="D2196:D2206" si="677">G2090</f>
        <v>206</v>
      </c>
      <c r="E2196" s="382">
        <f>ROUND('Plant input detail '!E2198*'WPB2.2 Plant detail-w slippage'!$P$2,0)</f>
        <v>0</v>
      </c>
      <c r="F2196" s="257">
        <f>ROUND('Plant input detail '!F2198*'WPB2.2 Plant detail-w slippage'!$P$2,0)</f>
        <v>0</v>
      </c>
      <c r="G2196" s="257">
        <f>SUM(D2196:F2196)</f>
        <v>206</v>
      </c>
      <c r="H2196" s="38"/>
      <c r="I2196" s="257">
        <f t="shared" ref="I2196:I2206" si="678">N2090</f>
        <v>0</v>
      </c>
      <c r="J2196" s="1360" t="s">
        <v>1102</v>
      </c>
      <c r="K2196" s="259">
        <v>0</v>
      </c>
      <c r="L2196" s="38">
        <f t="shared" ref="L2196:L2206" si="679">-F2196</f>
        <v>0</v>
      </c>
      <c r="M2196" s="257">
        <f>ROUND('Plant input detail '!M2198*'WPB2.2 Plant detail-w slippage'!$P$2,0)</f>
        <v>0</v>
      </c>
      <c r="N2196" s="2227">
        <f t="shared" ref="N2196:N2206" si="680">I2196+K2196-L2196+M2196</f>
        <v>0</v>
      </c>
    </row>
    <row r="2197" spans="1:14" x14ac:dyDescent="0.2">
      <c r="A2197" s="31">
        <f t="shared" ref="A2197:A2217" si="681">A2196+1</f>
        <v>14</v>
      </c>
      <c r="B2197" s="253">
        <v>374.2</v>
      </c>
      <c r="C2197" s="52" t="s">
        <v>1036</v>
      </c>
      <c r="D2197" s="257">
        <f t="shared" si="677"/>
        <v>877756.18</v>
      </c>
      <c r="E2197" s="382">
        <f>ROUND('Plant input detail '!E2199*'WPB2.2 Plant detail-w slippage'!$P$2,0)</f>
        <v>0</v>
      </c>
      <c r="F2197" s="257">
        <f>ROUND('Plant input detail '!F2199*'WPB2.2 Plant detail-w slippage'!$P$2,0)</f>
        <v>0</v>
      </c>
      <c r="G2197" s="257">
        <f t="shared" ref="G2197:G2206" si="682">SUM(D2197:F2197)</f>
        <v>877756.18</v>
      </c>
      <c r="H2197" s="38"/>
      <c r="I2197" s="257">
        <f t="shared" si="678"/>
        <v>-523.13</v>
      </c>
      <c r="J2197" s="1360" t="s">
        <v>1102</v>
      </c>
      <c r="K2197" s="259">
        <v>0</v>
      </c>
      <c r="L2197" s="38">
        <f t="shared" si="679"/>
        <v>0</v>
      </c>
      <c r="M2197" s="257">
        <f>ROUND('Plant input detail '!M2199*'WPB2.2 Plant detail-w slippage'!$P$2,0)</f>
        <v>0</v>
      </c>
      <c r="N2197" s="2227">
        <f t="shared" si="680"/>
        <v>-523.13</v>
      </c>
    </row>
    <row r="2198" spans="1:14" x14ac:dyDescent="0.2">
      <c r="A2198" s="31">
        <f t="shared" si="681"/>
        <v>15</v>
      </c>
      <c r="B2198" s="253">
        <v>374.4</v>
      </c>
      <c r="C2198" s="52" t="s">
        <v>1037</v>
      </c>
      <c r="D2198" s="257">
        <f t="shared" si="677"/>
        <v>661305.66</v>
      </c>
      <c r="E2198" s="382">
        <f>ROUND('Plant input detail '!E2200*'WPB2.2 Plant detail-w slippage'!$P$2,0)</f>
        <v>0</v>
      </c>
      <c r="F2198" s="257">
        <f>ROUND('Plant input detail '!F2200*'WPB2.2 Plant detail-w slippage'!$P$2,0)</f>
        <v>0</v>
      </c>
      <c r="G2198" s="257">
        <f t="shared" si="682"/>
        <v>661305.66</v>
      </c>
      <c r="H2198" s="38"/>
      <c r="I2198" s="257">
        <f t="shared" si="678"/>
        <v>188473.36</v>
      </c>
      <c r="J2198" s="1362">
        <f t="shared" ref="J2198:J2204" si="683">J2092</f>
        <v>1.7399999999999999E-2</v>
      </c>
      <c r="K2198" s="173">
        <f>ROUND((G2198+D2198)/2*J2198/12,0)</f>
        <v>959</v>
      </c>
      <c r="L2198" s="38">
        <f t="shared" si="679"/>
        <v>0</v>
      </c>
      <c r="M2198" s="257">
        <f>ROUND('Plant input detail '!M2200*'WPB2.2 Plant detail-w slippage'!$P$2,0)</f>
        <v>0</v>
      </c>
      <c r="N2198" s="2227">
        <f t="shared" si="680"/>
        <v>189432.36</v>
      </c>
    </row>
    <row r="2199" spans="1:14" x14ac:dyDescent="0.2">
      <c r="A2199" s="31">
        <f t="shared" si="681"/>
        <v>16</v>
      </c>
      <c r="B2199" s="253">
        <v>374.5</v>
      </c>
      <c r="C2199" s="52" t="s">
        <v>1038</v>
      </c>
      <c r="D2199" s="257">
        <f t="shared" si="677"/>
        <v>2744372.55</v>
      </c>
      <c r="E2199" s="382">
        <f>ROUND('Plant input detail '!E2201*'WPB2.2 Plant detail-w slippage'!$P$2,0)</f>
        <v>3900</v>
      </c>
      <c r="F2199" s="257">
        <f>ROUND('Plant input detail '!F2201*'WPB2.2 Plant detail-w slippage'!$P$2,0)</f>
        <v>-500</v>
      </c>
      <c r="G2199" s="257">
        <f t="shared" si="682"/>
        <v>2747772.55</v>
      </c>
      <c r="H2199" s="38"/>
      <c r="I2199" s="257">
        <f t="shared" si="678"/>
        <v>952393.23</v>
      </c>
      <c r="J2199" s="1362">
        <f t="shared" si="683"/>
        <v>1.29E-2</v>
      </c>
      <c r="K2199" s="173">
        <f t="shared" ref="K2199:K2204" si="684">ROUND((G2199+D2199)/2*J2199/12,0)</f>
        <v>2952</v>
      </c>
      <c r="L2199" s="38">
        <f t="shared" si="679"/>
        <v>500</v>
      </c>
      <c r="M2199" s="257">
        <f>ROUND('Plant input detail '!M2201*'WPB2.2 Plant detail-w slippage'!$P$2,0)</f>
        <v>0</v>
      </c>
      <c r="N2199" s="2227">
        <f t="shared" si="680"/>
        <v>954845.23</v>
      </c>
    </row>
    <row r="2200" spans="1:14" x14ac:dyDescent="0.2">
      <c r="A2200" s="31">
        <f t="shared" si="681"/>
        <v>17</v>
      </c>
      <c r="B2200" s="253">
        <v>375.2</v>
      </c>
      <c r="C2200" s="52" t="s">
        <v>1039</v>
      </c>
      <c r="D2200" s="257">
        <f t="shared" si="677"/>
        <v>2124.98</v>
      </c>
      <c r="E2200" s="382">
        <f>ROUND('Plant input detail '!E2202*'WPB2.2 Plant detail-w slippage'!$P$2,0)</f>
        <v>0</v>
      </c>
      <c r="F2200" s="257">
        <f>ROUND('Plant input detail '!F2202*'WPB2.2 Plant detail-w slippage'!$P$2,0)</f>
        <v>0</v>
      </c>
      <c r="G2200" s="257">
        <f t="shared" si="682"/>
        <v>2124.98</v>
      </c>
      <c r="H2200" s="38"/>
      <c r="I2200" s="257">
        <f t="shared" si="678"/>
        <v>2087.3199999999997</v>
      </c>
      <c r="J2200" s="1362">
        <f t="shared" si="683"/>
        <v>3.1800000000000002E-2</v>
      </c>
      <c r="K2200" s="173">
        <f t="shared" si="684"/>
        <v>6</v>
      </c>
      <c r="L2200" s="38">
        <f t="shared" si="679"/>
        <v>0</v>
      </c>
      <c r="M2200" s="257">
        <f>ROUND('Plant input detail '!M2202*'WPB2.2 Plant detail-w slippage'!$P$2,0)</f>
        <v>0</v>
      </c>
      <c r="N2200" s="2227">
        <f t="shared" si="680"/>
        <v>2093.3199999999997</v>
      </c>
    </row>
    <row r="2201" spans="1:14" x14ac:dyDescent="0.2">
      <c r="A2201" s="31">
        <f t="shared" si="681"/>
        <v>18</v>
      </c>
      <c r="B2201" s="253">
        <v>375.3</v>
      </c>
      <c r="C2201" s="52" t="s">
        <v>1040</v>
      </c>
      <c r="D2201" s="257">
        <f t="shared" si="677"/>
        <v>0</v>
      </c>
      <c r="E2201" s="382">
        <f>ROUND('Plant input detail '!E2203*'WPB2.2 Plant detail-w slippage'!$P$2,0)</f>
        <v>0</v>
      </c>
      <c r="F2201" s="257">
        <f>ROUND('Plant input detail '!F2203*'WPB2.2 Plant detail-w slippage'!$P$2,0)</f>
        <v>0</v>
      </c>
      <c r="G2201" s="257">
        <f t="shared" si="682"/>
        <v>0</v>
      </c>
      <c r="H2201" s="38"/>
      <c r="I2201" s="257">
        <f t="shared" si="678"/>
        <v>-77.66</v>
      </c>
      <c r="J2201" s="1362">
        <f t="shared" si="683"/>
        <v>3.1800000000000002E-2</v>
      </c>
      <c r="K2201" s="173">
        <f t="shared" si="684"/>
        <v>0</v>
      </c>
      <c r="L2201" s="38">
        <f t="shared" si="679"/>
        <v>0</v>
      </c>
      <c r="M2201" s="257">
        <f>ROUND('Plant input detail '!M2203*'WPB2.2 Plant detail-w slippage'!$P$2,0)</f>
        <v>0</v>
      </c>
      <c r="N2201" s="2227">
        <f t="shared" si="680"/>
        <v>-77.66</v>
      </c>
    </row>
    <row r="2202" spans="1:14" x14ac:dyDescent="0.2">
      <c r="A2202" s="31">
        <f t="shared" si="681"/>
        <v>19</v>
      </c>
      <c r="B2202" s="253">
        <v>375.4</v>
      </c>
      <c r="C2202" s="52" t="s">
        <v>1041</v>
      </c>
      <c r="D2202" s="257">
        <f t="shared" si="677"/>
        <v>2309130.02</v>
      </c>
      <c r="E2202" s="382">
        <f>ROUND('Plant input detail '!E2204*'WPB2.2 Plant detail-w slippage'!$P$2,0)</f>
        <v>24600</v>
      </c>
      <c r="F2202" s="257">
        <f>ROUND('Plant input detail '!F2204*'WPB2.2 Plant detail-w slippage'!$P$2,0)</f>
        <v>-2900</v>
      </c>
      <c r="G2202" s="257">
        <f t="shared" si="682"/>
        <v>2330830.02</v>
      </c>
      <c r="H2202" s="38"/>
      <c r="I2202" s="257">
        <f t="shared" si="678"/>
        <v>510169.37</v>
      </c>
      <c r="J2202" s="1362">
        <f t="shared" si="683"/>
        <v>3.1800000000000002E-2</v>
      </c>
      <c r="K2202" s="173">
        <f t="shared" si="684"/>
        <v>6148</v>
      </c>
      <c r="L2202" s="38">
        <f t="shared" si="679"/>
        <v>2900</v>
      </c>
      <c r="M2202" s="257">
        <f>ROUND('Plant input detail '!M2204*'WPB2.2 Plant detail-w slippage'!$P$2,0)</f>
        <v>-300</v>
      </c>
      <c r="N2202" s="2227">
        <f t="shared" si="680"/>
        <v>513117.37</v>
      </c>
    </row>
    <row r="2203" spans="1:14" x14ac:dyDescent="0.2">
      <c r="A2203" s="31">
        <f t="shared" si="681"/>
        <v>20</v>
      </c>
      <c r="B2203" s="253">
        <v>375.6</v>
      </c>
      <c r="C2203" s="52" t="s">
        <v>1042</v>
      </c>
      <c r="D2203" s="257">
        <f t="shared" si="677"/>
        <v>0</v>
      </c>
      <c r="E2203" s="382">
        <f>ROUND('Plant input detail '!E2205*'WPB2.2 Plant detail-w slippage'!$P$2,0)</f>
        <v>0</v>
      </c>
      <c r="F2203" s="257">
        <f>ROUND('Plant input detail '!F2205*'WPB2.2 Plant detail-w slippage'!$P$2,0)</f>
        <v>0</v>
      </c>
      <c r="G2203" s="257">
        <f t="shared" si="682"/>
        <v>0</v>
      </c>
      <c r="H2203" s="38"/>
      <c r="I2203" s="257">
        <f t="shared" si="678"/>
        <v>0.02</v>
      </c>
      <c r="J2203" s="1362">
        <f t="shared" si="683"/>
        <v>3.1800000000000002E-2</v>
      </c>
      <c r="K2203" s="173">
        <f t="shared" si="684"/>
        <v>0</v>
      </c>
      <c r="L2203" s="38">
        <f t="shared" si="679"/>
        <v>0</v>
      </c>
      <c r="M2203" s="257">
        <f>ROUND('Plant input detail '!M2205*'WPB2.2 Plant detail-w slippage'!$P$2,0)</f>
        <v>0</v>
      </c>
      <c r="N2203" s="2227">
        <f t="shared" si="680"/>
        <v>0.02</v>
      </c>
    </row>
    <row r="2204" spans="1:14" x14ac:dyDescent="0.2">
      <c r="A2204" s="31">
        <f t="shared" si="681"/>
        <v>21</v>
      </c>
      <c r="B2204" s="253">
        <v>375.7</v>
      </c>
      <c r="C2204" s="52" t="s">
        <v>1043</v>
      </c>
      <c r="D2204" s="257">
        <f t="shared" si="677"/>
        <v>8680550.2100000009</v>
      </c>
      <c r="E2204" s="382">
        <f>ROUND('Plant input detail '!E2206*'WPB2.2 Plant detail-w slippage'!$P$2,0)</f>
        <v>1420700</v>
      </c>
      <c r="F2204" s="257">
        <f>ROUND('Plant input detail '!F2206*'WPB2.2 Plant detail-w slippage'!$P$2,0)</f>
        <v>-5800</v>
      </c>
      <c r="G2204" s="257">
        <f t="shared" si="682"/>
        <v>10095450.210000001</v>
      </c>
      <c r="H2204" s="38"/>
      <c r="I2204" s="257">
        <f t="shared" si="678"/>
        <v>3408506.06</v>
      </c>
      <c r="J2204" s="1362">
        <f t="shared" si="683"/>
        <v>2.1299999999999999E-2</v>
      </c>
      <c r="K2204" s="173">
        <f t="shared" si="684"/>
        <v>16664</v>
      </c>
      <c r="L2204" s="38">
        <f t="shared" si="679"/>
        <v>5800</v>
      </c>
      <c r="M2204" s="257">
        <f>ROUND('Plant input detail '!M2206*'WPB2.2 Plant detail-w slippage'!$P$2,0)</f>
        <v>0</v>
      </c>
      <c r="N2204" s="2227">
        <f t="shared" si="680"/>
        <v>3419370.06</v>
      </c>
    </row>
    <row r="2205" spans="1:14" x14ac:dyDescent="0.2">
      <c r="A2205" s="31">
        <f t="shared" si="681"/>
        <v>22</v>
      </c>
      <c r="B2205" s="253">
        <v>375.71</v>
      </c>
      <c r="C2205" s="52" t="s">
        <v>1044</v>
      </c>
      <c r="D2205" s="257">
        <f t="shared" si="677"/>
        <v>259808.94</v>
      </c>
      <c r="E2205" s="382">
        <f>ROUND('Plant input detail '!E2207*'WPB2.2 Plant detail-w slippage'!$P$2,0)</f>
        <v>0</v>
      </c>
      <c r="F2205" s="257">
        <f>ROUND('Plant input detail '!F2207*'WPB2.2 Plant detail-w slippage'!$P$2,0)</f>
        <v>0</v>
      </c>
      <c r="G2205" s="257">
        <f t="shared" si="682"/>
        <v>259808.94</v>
      </c>
      <c r="H2205" s="38"/>
      <c r="I2205" s="257">
        <f t="shared" si="678"/>
        <v>210236.04947368446</v>
      </c>
      <c r="J2205" s="296" t="s">
        <v>1094</v>
      </c>
      <c r="K2205" s="258">
        <f>104653.88/38</f>
        <v>2754.0494736842106</v>
      </c>
      <c r="L2205" s="38">
        <f t="shared" si="679"/>
        <v>0</v>
      </c>
      <c r="M2205" s="257">
        <f>ROUND('Plant input detail '!M2207*'WPB2.2 Plant detail-w slippage'!$P$2,0)</f>
        <v>0</v>
      </c>
      <c r="N2205" s="2227">
        <f t="shared" si="680"/>
        <v>212990.09894736868</v>
      </c>
    </row>
    <row r="2206" spans="1:14" x14ac:dyDescent="0.2">
      <c r="A2206" s="31">
        <f t="shared" si="681"/>
        <v>23</v>
      </c>
      <c r="B2206" s="253">
        <v>375.8</v>
      </c>
      <c r="C2206" s="52" t="s">
        <v>1045</v>
      </c>
      <c r="D2206" s="257">
        <f t="shared" si="677"/>
        <v>0</v>
      </c>
      <c r="E2206" s="382">
        <f>ROUND('Plant input detail '!E2208*'WPB2.2 Plant detail-w slippage'!$P$2,0)</f>
        <v>0</v>
      </c>
      <c r="F2206" s="257">
        <f>ROUND('Plant input detail '!F2208*'WPB2.2 Plant detail-w slippage'!$P$2,0)</f>
        <v>0</v>
      </c>
      <c r="G2206" s="257">
        <f t="shared" si="682"/>
        <v>0</v>
      </c>
      <c r="H2206" s="38"/>
      <c r="I2206" s="257">
        <f t="shared" si="678"/>
        <v>0</v>
      </c>
      <c r="J2206" s="1362">
        <f>J2100</f>
        <v>0</v>
      </c>
      <c r="K2206" s="259">
        <v>0</v>
      </c>
      <c r="L2206" s="38">
        <f t="shared" si="679"/>
        <v>0</v>
      </c>
      <c r="M2206" s="257">
        <f>ROUND('Plant input detail '!M2208*'WPB2.2 Plant detail-w slippage'!$P$2,0)</f>
        <v>0</v>
      </c>
      <c r="N2206" s="2227">
        <f t="shared" si="680"/>
        <v>0</v>
      </c>
    </row>
    <row r="2207" spans="1:14" x14ac:dyDescent="0.2">
      <c r="A2207" s="31">
        <f>A2206+1</f>
        <v>24</v>
      </c>
      <c r="B2207" s="253">
        <v>376</v>
      </c>
      <c r="C2207" s="251" t="s">
        <v>1096</v>
      </c>
      <c r="D2207" s="257"/>
      <c r="E2207" s="258"/>
      <c r="F2207" s="259"/>
      <c r="G2207" s="257"/>
      <c r="H2207" s="38"/>
      <c r="I2207" s="181"/>
      <c r="J2207" s="1361"/>
      <c r="K2207" s="173"/>
      <c r="L2207" s="38"/>
      <c r="M2207" s="259"/>
    </row>
    <row r="2208" spans="1:14" x14ac:dyDescent="0.2">
      <c r="A2208" s="31"/>
      <c r="B2208" s="253"/>
      <c r="C2208" s="286" t="s">
        <v>1097</v>
      </c>
      <c r="D2208" s="257"/>
      <c r="E2208" s="258"/>
      <c r="F2208" s="259"/>
      <c r="G2208" s="257"/>
      <c r="H2208" s="38"/>
      <c r="I2208" s="257"/>
      <c r="J2208" s="1362"/>
      <c r="K2208" s="173"/>
      <c r="L2208" s="38"/>
      <c r="M2208" s="257"/>
      <c r="N2208" s="2227"/>
    </row>
    <row r="2209" spans="1:14" x14ac:dyDescent="0.2">
      <c r="A2209" s="31"/>
      <c r="B2209" s="253"/>
      <c r="C2209" s="286" t="s">
        <v>1098</v>
      </c>
      <c r="D2209" s="257"/>
      <c r="E2209" s="258"/>
      <c r="F2209" s="259"/>
      <c r="G2209" s="257"/>
      <c r="H2209" s="38"/>
      <c r="I2209" s="257"/>
      <c r="J2209" s="1362"/>
      <c r="K2209" s="173"/>
      <c r="L2209" s="38"/>
      <c r="M2209" s="257"/>
      <c r="N2209" s="2227"/>
    </row>
    <row r="2210" spans="1:14" x14ac:dyDescent="0.2">
      <c r="A2210" s="31"/>
      <c r="B2210" s="253"/>
      <c r="C2210" s="286" t="s">
        <v>1099</v>
      </c>
      <c r="D2210" s="257"/>
      <c r="E2210" s="258"/>
      <c r="F2210" s="259"/>
      <c r="G2210" s="257"/>
      <c r="H2210" s="38"/>
      <c r="I2210" s="257"/>
      <c r="J2210" s="1362"/>
      <c r="K2210" s="173"/>
      <c r="L2210" s="38"/>
      <c r="M2210" s="257"/>
      <c r="N2210" s="2227"/>
    </row>
    <row r="2211" spans="1:14" x14ac:dyDescent="0.2">
      <c r="A2211" s="31"/>
      <c r="B2211" s="253"/>
      <c r="C2211" s="286" t="s">
        <v>1100</v>
      </c>
      <c r="D2211" s="257"/>
      <c r="E2211" s="258"/>
      <c r="F2211" s="259"/>
      <c r="G2211" s="257"/>
      <c r="H2211" s="38"/>
      <c r="I2211" s="257"/>
      <c r="J2211" s="1362"/>
      <c r="K2211" s="173"/>
      <c r="L2211" s="38"/>
      <c r="M2211" s="257"/>
      <c r="N2211" s="2227"/>
    </row>
    <row r="2212" spans="1:14" x14ac:dyDescent="0.2">
      <c r="A2212" s="31"/>
      <c r="B2212" s="253"/>
      <c r="C2212" s="286" t="s">
        <v>1101</v>
      </c>
      <c r="D2212" s="257">
        <f t="shared" ref="D2212:D2217" si="685">G2106</f>
        <v>225744205.44</v>
      </c>
      <c r="E2212" s="382">
        <f>ROUND('Plant input detail '!E2214*'WPB2.2 Plant detail-w slippage'!$P$2,0)</f>
        <v>1501320</v>
      </c>
      <c r="F2212" s="257">
        <f>ROUND('Plant input detail '!F2214*'WPB2.2 Plant detail-w slippage'!$P$2,0)</f>
        <v>-180200</v>
      </c>
      <c r="G2212" s="257">
        <f t="shared" ref="G2212:G2217" si="686">SUM(D2212:F2212)</f>
        <v>227065325.44</v>
      </c>
      <c r="H2212" s="38"/>
      <c r="I2212" s="257">
        <f t="shared" ref="I2212:I2217" si="687">N2106</f>
        <v>59693108.609999999</v>
      </c>
      <c r="J2212" s="1362">
        <f t="shared" ref="J2212:J2217" si="688">J2106</f>
        <v>2.3E-2</v>
      </c>
      <c r="K2212" s="173">
        <f t="shared" ref="K2212:K2217" si="689">ROUND((G2212+D2212)/2*J2212/12,0)</f>
        <v>433942</v>
      </c>
      <c r="L2212" s="38">
        <f t="shared" ref="L2212:L2217" si="690">-F2212</f>
        <v>180200</v>
      </c>
      <c r="M2212" s="257">
        <f>ROUND('Plant input detail '!M2214*'WPB2.2 Plant detail-w slippage'!$P$2,0)</f>
        <v>-27000</v>
      </c>
      <c r="N2212" s="2227">
        <f t="shared" ref="N2212:N2217" si="691">I2212+K2212-L2212+M2212</f>
        <v>59919850.609999999</v>
      </c>
    </row>
    <row r="2213" spans="1:14" x14ac:dyDescent="0.2">
      <c r="A2213" s="31">
        <f>A2207+1</f>
        <v>25</v>
      </c>
      <c r="B2213" s="253">
        <v>378.1</v>
      </c>
      <c r="C2213" s="52" t="s">
        <v>1047</v>
      </c>
      <c r="D2213" s="257">
        <f t="shared" si="685"/>
        <v>518504.18</v>
      </c>
      <c r="E2213" s="382">
        <f>ROUND('Plant input detail '!E2215*'WPB2.2 Plant detail-w slippage'!$P$2,0)</f>
        <v>0</v>
      </c>
      <c r="F2213" s="257">
        <f>ROUND('Plant input detail '!F2215*'WPB2.2 Plant detail-w slippage'!$P$2,0)</f>
        <v>0</v>
      </c>
      <c r="G2213" s="257">
        <f t="shared" si="686"/>
        <v>518504.18</v>
      </c>
      <c r="H2213" s="38"/>
      <c r="I2213" s="257">
        <f t="shared" si="687"/>
        <v>377811.81</v>
      </c>
      <c r="J2213" s="1362">
        <f t="shared" si="688"/>
        <v>3.32E-2</v>
      </c>
      <c r="K2213" s="173">
        <f t="shared" si="689"/>
        <v>1435</v>
      </c>
      <c r="L2213" s="38">
        <f t="shared" si="690"/>
        <v>0</v>
      </c>
      <c r="M2213" s="257">
        <f>ROUND('Plant input detail '!M2215*'WPB2.2 Plant detail-w slippage'!$P$2,0)</f>
        <v>0</v>
      </c>
      <c r="N2213" s="2227">
        <f t="shared" si="691"/>
        <v>379246.81</v>
      </c>
    </row>
    <row r="2214" spans="1:14" x14ac:dyDescent="0.2">
      <c r="A2214" s="31">
        <f t="shared" si="681"/>
        <v>26</v>
      </c>
      <c r="B2214" s="253">
        <v>378.2</v>
      </c>
      <c r="C2214" s="52" t="s">
        <v>1048</v>
      </c>
      <c r="D2214" s="257">
        <f t="shared" si="685"/>
        <v>10085324</v>
      </c>
      <c r="E2214" s="382">
        <f>ROUND('Plant input detail '!E2216*'WPB2.2 Plant detail-w slippage'!$P$2,0)</f>
        <v>37600</v>
      </c>
      <c r="F2214" s="257">
        <f>ROUND('Plant input detail '!F2216*'WPB2.2 Plant detail-w slippage'!$P$2,0)</f>
        <v>-4500</v>
      </c>
      <c r="G2214" s="257">
        <f t="shared" si="686"/>
        <v>10118424</v>
      </c>
      <c r="H2214" s="38"/>
      <c r="I2214" s="257">
        <f t="shared" si="687"/>
        <v>3598838.91</v>
      </c>
      <c r="J2214" s="1362">
        <f t="shared" si="688"/>
        <v>3.32E-2</v>
      </c>
      <c r="K2214" s="173">
        <f t="shared" si="689"/>
        <v>27949</v>
      </c>
      <c r="L2214" s="38">
        <f t="shared" si="690"/>
        <v>4500</v>
      </c>
      <c r="M2214" s="257">
        <f>ROUND('Plant input detail '!M2216*'WPB2.2 Plant detail-w slippage'!$P$2,0)</f>
        <v>-200</v>
      </c>
      <c r="N2214" s="2227">
        <f t="shared" si="691"/>
        <v>3622087.91</v>
      </c>
    </row>
    <row r="2215" spans="1:14" x14ac:dyDescent="0.2">
      <c r="A2215" s="31">
        <f t="shared" si="681"/>
        <v>27</v>
      </c>
      <c r="B2215" s="253">
        <v>378.3</v>
      </c>
      <c r="C2215" s="52" t="s">
        <v>1049</v>
      </c>
      <c r="D2215" s="257">
        <f t="shared" si="685"/>
        <v>45443.08</v>
      </c>
      <c r="E2215" s="382">
        <f>ROUND('Plant input detail '!E2217*'WPB2.2 Plant detail-w slippage'!$P$2,0)</f>
        <v>0</v>
      </c>
      <c r="F2215" s="257">
        <f>ROUND('Plant input detail '!F2217*'WPB2.2 Plant detail-w slippage'!$P$2,0)</f>
        <v>0</v>
      </c>
      <c r="G2215" s="257">
        <f t="shared" si="686"/>
        <v>45443.08</v>
      </c>
      <c r="H2215" s="38"/>
      <c r="I2215" s="257">
        <f t="shared" si="687"/>
        <v>37138.04</v>
      </c>
      <c r="J2215" s="1362">
        <f t="shared" si="688"/>
        <v>3.32E-2</v>
      </c>
      <c r="K2215" s="173">
        <f t="shared" si="689"/>
        <v>126</v>
      </c>
      <c r="L2215" s="38">
        <f t="shared" si="690"/>
        <v>0</v>
      </c>
      <c r="M2215" s="257">
        <f>ROUND('Plant input detail '!M2217*'WPB2.2 Plant detail-w slippage'!$P$2,0)</f>
        <v>0</v>
      </c>
      <c r="N2215" s="2227">
        <f t="shared" si="691"/>
        <v>37264.04</v>
      </c>
    </row>
    <row r="2216" spans="1:14" x14ac:dyDescent="0.2">
      <c r="A2216" s="31">
        <f t="shared" si="681"/>
        <v>28</v>
      </c>
      <c r="B2216" s="253">
        <v>379.1</v>
      </c>
      <c r="C2216" s="52" t="s">
        <v>1050</v>
      </c>
      <c r="D2216" s="257">
        <f t="shared" si="685"/>
        <v>254900.59</v>
      </c>
      <c r="E2216" s="382">
        <f>ROUND('Plant input detail '!E2218*'WPB2.2 Plant detail-w slippage'!$P$2,0)</f>
        <v>0</v>
      </c>
      <c r="F2216" s="257">
        <f>ROUND('Plant input detail '!F2218*'WPB2.2 Plant detail-w slippage'!$P$2,0)</f>
        <v>0</v>
      </c>
      <c r="G2216" s="257">
        <f t="shared" si="686"/>
        <v>254900.59</v>
      </c>
      <c r="H2216" s="38"/>
      <c r="I2216" s="257">
        <f t="shared" si="687"/>
        <v>267730.57</v>
      </c>
      <c r="J2216" s="1362">
        <f t="shared" si="688"/>
        <v>6.0000000000000001E-3</v>
      </c>
      <c r="K2216" s="259">
        <v>0</v>
      </c>
      <c r="L2216" s="38">
        <f t="shared" si="690"/>
        <v>0</v>
      </c>
      <c r="M2216" s="257">
        <f>ROUND('Plant input detail '!M2218*'WPB2.2 Plant detail-w slippage'!$P$2,0)</f>
        <v>0</v>
      </c>
      <c r="N2216" s="2227">
        <f t="shared" si="691"/>
        <v>267730.57</v>
      </c>
    </row>
    <row r="2217" spans="1:14" x14ac:dyDescent="0.2">
      <c r="A2217" s="31">
        <f t="shared" si="681"/>
        <v>29</v>
      </c>
      <c r="B2217" s="253">
        <v>380</v>
      </c>
      <c r="C2217" s="52" t="s">
        <v>1051</v>
      </c>
      <c r="D2217" s="257">
        <f t="shared" si="685"/>
        <v>130825392.77</v>
      </c>
      <c r="E2217" s="382">
        <f>ROUND('Plant input detail '!E2219*'WPB2.2 Plant detail-w slippage'!$P$2,0)</f>
        <v>942946</v>
      </c>
      <c r="F2217" s="257">
        <f>ROUND('Plant input detail '!F2219*'WPB2.2 Plant detail-w slippage'!$P$2,0)</f>
        <v>-113200</v>
      </c>
      <c r="G2217" s="257">
        <f t="shared" si="686"/>
        <v>131655138.77</v>
      </c>
      <c r="H2217" s="38"/>
      <c r="I2217" s="257">
        <f t="shared" si="687"/>
        <v>62550419.520000003</v>
      </c>
      <c r="J2217" s="1362">
        <f t="shared" si="688"/>
        <v>5.0999999999999997E-2</v>
      </c>
      <c r="K2217" s="173">
        <f t="shared" si="689"/>
        <v>557771</v>
      </c>
      <c r="L2217" s="38">
        <f t="shared" si="690"/>
        <v>113200</v>
      </c>
      <c r="M2217" s="257">
        <f>ROUND('Plant input detail '!M2219*'WPB2.2 Plant detail-w slippage'!$P$2,0)</f>
        <v>-56600</v>
      </c>
      <c r="N2217" s="2227">
        <f t="shared" si="691"/>
        <v>62938390.520000003</v>
      </c>
    </row>
    <row r="2218" spans="1:14" x14ac:dyDescent="0.2">
      <c r="A2218" s="170"/>
      <c r="B2218" s="179"/>
      <c r="C2218" s="178"/>
      <c r="D2218" s="181"/>
      <c r="E2218" s="173"/>
      <c r="F2218" s="173"/>
      <c r="G2218" s="181"/>
      <c r="H2218" s="173"/>
      <c r="I2218" s="173"/>
      <c r="J2218" s="173"/>
      <c r="K2218" s="173"/>
      <c r="L2218" s="173"/>
      <c r="M2218" s="171"/>
      <c r="N2218" s="2229"/>
    </row>
    <row r="2219" spans="1:14" x14ac:dyDescent="0.2">
      <c r="A2219" s="2079" t="str">
        <f>co</f>
        <v>COLUMBIA GAS OF KENTUCKY, INC.</v>
      </c>
      <c r="B2219" s="2079"/>
      <c r="C2219" s="2079"/>
      <c r="D2219" s="2079"/>
      <c r="E2219" s="2079"/>
      <c r="F2219" s="2079"/>
      <c r="G2219" s="2079"/>
      <c r="H2219" s="2079"/>
      <c r="I2219" s="2079"/>
      <c r="J2219" s="2079"/>
      <c r="K2219" s="2079"/>
      <c r="L2219" s="2079"/>
      <c r="M2219" s="2079"/>
      <c r="N2219" s="2079"/>
    </row>
    <row r="2220" spans="1:14" x14ac:dyDescent="0.2">
      <c r="A2220" s="2079" t="str">
        <f>case</f>
        <v>CASE NO. 2016 - 00162</v>
      </c>
      <c r="B2220" s="2079"/>
      <c r="C2220" s="2079"/>
      <c r="D2220" s="2079"/>
      <c r="E2220" s="2079"/>
      <c r="F2220" s="2079"/>
      <c r="G2220" s="2079"/>
      <c r="H2220" s="2079"/>
      <c r="I2220" s="2079"/>
      <c r="J2220" s="2079"/>
      <c r="K2220" s="2079"/>
      <c r="L2220" s="2079"/>
      <c r="M2220" s="2079"/>
      <c r="N2220" s="2079"/>
    </row>
    <row r="2221" spans="1:14" x14ac:dyDescent="0.2">
      <c r="A2221" s="2080" t="s">
        <v>1106</v>
      </c>
      <c r="B2221" s="2079"/>
      <c r="C2221" s="2079"/>
      <c r="D2221" s="2079"/>
      <c r="E2221" s="2079"/>
      <c r="F2221" s="2079"/>
      <c r="G2221" s="2079"/>
      <c r="H2221" s="2079"/>
      <c r="I2221" s="2079"/>
      <c r="J2221" s="2079"/>
      <c r="K2221" s="2079"/>
      <c r="L2221" s="2079"/>
      <c r="M2221" s="2079"/>
      <c r="N2221" s="2079"/>
    </row>
    <row r="2222" spans="1:14" x14ac:dyDescent="0.2">
      <c r="A2222" s="2081" t="s">
        <v>2142</v>
      </c>
      <c r="B2222" s="2085"/>
      <c r="C2222" s="2085"/>
      <c r="D2222" s="2085"/>
      <c r="E2222" s="2085"/>
      <c r="F2222" s="2085"/>
      <c r="G2222" s="2085"/>
      <c r="H2222" s="2085"/>
      <c r="I2222" s="2085"/>
      <c r="J2222" s="2085"/>
      <c r="K2222" s="2085"/>
      <c r="L2222" s="2085"/>
      <c r="M2222" s="2085"/>
      <c r="N2222" s="2085"/>
    </row>
    <row r="2224" spans="1:14" x14ac:dyDescent="0.2">
      <c r="A2224" s="285" t="str">
        <f>$A$6</f>
        <v>DATA:__X___BASE PERIOD__X___FORECASTED PERIOD</v>
      </c>
      <c r="C2224" s="171"/>
      <c r="M2224" s="32"/>
      <c r="N2224" s="1258" t="str">
        <f>$N$6</f>
        <v>WPB-2.2</v>
      </c>
    </row>
    <row r="2225" spans="1:14" x14ac:dyDescent="0.2">
      <c r="A2225" s="4" t="str">
        <f>$A$7</f>
        <v>TYPE OF FILING:___X____ORIGINAL________UPDATED</v>
      </c>
      <c r="M2225" s="32"/>
      <c r="N2225" s="2223" t="s">
        <v>1755</v>
      </c>
    </row>
    <row r="2226" spans="1:14" x14ac:dyDescent="0.2">
      <c r="A2226" s="1261" t="str">
        <f>$A$8</f>
        <v xml:space="preserve">WORKPAPER REFERENCE NO(S).: </v>
      </c>
      <c r="B2226" s="202"/>
      <c r="C2226" s="202"/>
      <c r="D2226" s="201"/>
      <c r="E2226" s="202"/>
      <c r="F2226" s="202"/>
      <c r="G2226" s="201"/>
      <c r="H2226" s="201"/>
      <c r="M2226" s="203"/>
      <c r="N2226" s="204" t="str">
        <f>SMK</f>
        <v>WITNESS:  S. M. KATKO</v>
      </c>
    </row>
    <row r="2227" spans="1:14" x14ac:dyDescent="0.2">
      <c r="A2227" s="200"/>
      <c r="B2227" s="201"/>
      <c r="C2227" s="201"/>
      <c r="D2227" s="201"/>
      <c r="E2227" s="202"/>
      <c r="F2227" s="202"/>
      <c r="G2227" s="201"/>
      <c r="H2227" s="201"/>
      <c r="I2227" s="203"/>
      <c r="J2227" s="1357"/>
      <c r="L2227" s="32"/>
      <c r="M2227" s="32"/>
    </row>
    <row r="2228" spans="1:14" x14ac:dyDescent="0.2">
      <c r="A2228" s="200"/>
      <c r="B2228" s="201"/>
      <c r="C2228" s="201"/>
      <c r="D2228" s="2082" t="s">
        <v>1088</v>
      </c>
      <c r="E2228" s="2082"/>
      <c r="F2228" s="2082"/>
      <c r="G2228" s="2082"/>
      <c r="H2228" s="201"/>
      <c r="I2228" s="2083" t="s">
        <v>1093</v>
      </c>
      <c r="J2228" s="2084"/>
      <c r="K2228" s="2084"/>
      <c r="L2228" s="2084"/>
      <c r="M2228" s="2084"/>
      <c r="N2228" s="2084"/>
    </row>
    <row r="2229" spans="1:14" x14ac:dyDescent="0.2">
      <c r="A2229" s="270"/>
      <c r="B2229" s="201"/>
      <c r="C2229" s="201"/>
      <c r="D2229" s="271" t="s">
        <v>1084</v>
      </c>
      <c r="E2229" s="202"/>
      <c r="F2229" s="202"/>
      <c r="G2229" s="269"/>
      <c r="H2229" s="269"/>
      <c r="I2229" s="261" t="s">
        <v>1089</v>
      </c>
      <c r="J2229" s="1358"/>
      <c r="M2229" s="32"/>
    </row>
    <row r="2230" spans="1:14" x14ac:dyDescent="0.2">
      <c r="A2230" s="30"/>
      <c r="D2230" s="261" t="s">
        <v>865</v>
      </c>
      <c r="G2230" s="261" t="s">
        <v>867</v>
      </c>
      <c r="H2230" s="268"/>
      <c r="I2230" s="261" t="s">
        <v>865</v>
      </c>
      <c r="J2230" s="1308" t="s">
        <v>956</v>
      </c>
      <c r="M2230" s="32"/>
      <c r="N2230" s="2225" t="s">
        <v>867</v>
      </c>
    </row>
    <row r="2231" spans="1:14" x14ac:dyDescent="0.2">
      <c r="A2231" s="261" t="s">
        <v>1080</v>
      </c>
      <c r="B2231" s="261" t="s">
        <v>1082</v>
      </c>
      <c r="D2231" s="261" t="s">
        <v>867</v>
      </c>
      <c r="G2231" s="262" t="s">
        <v>1087</v>
      </c>
      <c r="H2231" s="268"/>
      <c r="I2231" s="262" t="s">
        <v>867</v>
      </c>
      <c r="J2231" s="1308" t="s">
        <v>1090</v>
      </c>
      <c r="K2231" s="1308" t="s">
        <v>956</v>
      </c>
      <c r="M2231" s="262" t="s">
        <v>1092</v>
      </c>
      <c r="N2231" s="1259" t="s">
        <v>1087</v>
      </c>
    </row>
    <row r="2232" spans="1:14" x14ac:dyDescent="0.2">
      <c r="A2232" s="272" t="s">
        <v>1081</v>
      </c>
      <c r="B2232" s="272" t="s">
        <v>1081</v>
      </c>
      <c r="C2232" s="273" t="s">
        <v>1083</v>
      </c>
      <c r="D2232" s="274" t="str">
        <f>D2179</f>
        <v>10/31/2017</v>
      </c>
      <c r="E2232" s="275" t="s">
        <v>1085</v>
      </c>
      <c r="F2232" s="275" t="s">
        <v>1086</v>
      </c>
      <c r="G2232" s="274" t="str">
        <f>G2179</f>
        <v>11/30/2017</v>
      </c>
      <c r="H2232" s="268"/>
      <c r="I2232" s="274" t="str">
        <f>D2232</f>
        <v>10/31/2017</v>
      </c>
      <c r="J2232" s="275" t="s">
        <v>1091</v>
      </c>
      <c r="K2232" s="1327" t="s">
        <v>1090</v>
      </c>
      <c r="L2232" s="276" t="s">
        <v>1086</v>
      </c>
      <c r="M2232" s="276" t="s">
        <v>955</v>
      </c>
      <c r="N2232" s="2226" t="str">
        <f>G2232</f>
        <v>11/30/2017</v>
      </c>
    </row>
    <row r="2233" spans="1:14" x14ac:dyDescent="0.2">
      <c r="A2233" s="267"/>
      <c r="B2233" s="267"/>
      <c r="C2233" s="267"/>
      <c r="D2233" s="267" t="str">
        <f>"(1)"</f>
        <v>(1)</v>
      </c>
      <c r="E2233" s="267" t="str">
        <f>"(2)"</f>
        <v>(2)</v>
      </c>
      <c r="F2233" s="267" t="str">
        <f>"(3)"</f>
        <v>(3)</v>
      </c>
      <c r="G2233" s="267" t="str">
        <f>"(4)=(1+2+3)"</f>
        <v>(4)=(1+2+3)</v>
      </c>
      <c r="H2233" s="267"/>
      <c r="I2233" s="267" t="str">
        <f>"(5)"</f>
        <v>(5)</v>
      </c>
      <c r="J2233" s="1328" t="str">
        <f>"(6)"</f>
        <v>(6)</v>
      </c>
      <c r="K2233" s="1328" t="str">
        <f>"(7)=((1+4)/2*6/12))"</f>
        <v>(7)=((1+4)/2*6/12))</v>
      </c>
      <c r="L2233" s="267" t="str">
        <f>"(8)"</f>
        <v>(8)</v>
      </c>
      <c r="M2233" s="267" t="str">
        <f>"(9)"</f>
        <v>(9)</v>
      </c>
      <c r="N2233" s="204" t="str">
        <f>"(10)=(5+7-8+9)"</f>
        <v>(10)=(5+7-8+9)</v>
      </c>
    </row>
    <row r="2234" spans="1:14" x14ac:dyDescent="0.2">
      <c r="D2234" s="31" t="s">
        <v>639</v>
      </c>
      <c r="E2234" s="170" t="s">
        <v>639</v>
      </c>
      <c r="F2234" s="170" t="s">
        <v>639</v>
      </c>
      <c r="G2234" s="31" t="s">
        <v>639</v>
      </c>
      <c r="H2234" s="31"/>
      <c r="I2234" s="31" t="s">
        <v>639</v>
      </c>
      <c r="J2234" s="170" t="s">
        <v>639</v>
      </c>
      <c r="K2234" s="170" t="s">
        <v>639</v>
      </c>
      <c r="L2234" s="31" t="s">
        <v>639</v>
      </c>
      <c r="M2234" s="31" t="s">
        <v>639</v>
      </c>
      <c r="N2234" s="155" t="s">
        <v>639</v>
      </c>
    </row>
    <row r="2235" spans="1:14" x14ac:dyDescent="0.2">
      <c r="C2235" s="36" t="s">
        <v>707</v>
      </c>
      <c r="D2235" s="31"/>
      <c r="E2235" s="170"/>
      <c r="F2235" s="170"/>
      <c r="G2235" s="31"/>
      <c r="J2235" s="170"/>
    </row>
    <row r="2236" spans="1:14" x14ac:dyDescent="0.2">
      <c r="A2236" s="127">
        <v>1</v>
      </c>
      <c r="B2236" s="123">
        <v>381</v>
      </c>
      <c r="C2236" s="52" t="s">
        <v>1052</v>
      </c>
      <c r="D2236" s="257">
        <f t="shared" ref="D2236:D2247" si="692">G2130</f>
        <v>14153508.550000001</v>
      </c>
      <c r="E2236" s="382">
        <f>ROUND('Plant input detail '!E2238*'WPB2.2 Plant detail-w slippage'!$P$2,0)</f>
        <v>54400</v>
      </c>
      <c r="F2236" s="257">
        <f>ROUND('Plant input detail '!F2238*'WPB2.2 Plant detail-w slippage'!$P$2,0)</f>
        <v>-6500</v>
      </c>
      <c r="G2236" s="257">
        <f>SUM(D2236:F2236)</f>
        <v>14201408.550000001</v>
      </c>
      <c r="H2236" s="38"/>
      <c r="I2236" s="257">
        <f t="shared" ref="I2236:I2247" si="693">N2130</f>
        <v>5252727.8899999997</v>
      </c>
      <c r="J2236" s="1362">
        <f t="shared" ref="J2236:J2247" si="694">J2130</f>
        <v>3.3000000000000002E-2</v>
      </c>
      <c r="K2236" s="173">
        <f t="shared" ref="K2236:K2247" si="695">ROUND((G2236+D2236)/2*J2236/12,0)</f>
        <v>38988</v>
      </c>
      <c r="L2236" s="38">
        <f t="shared" ref="L2236:L2247" si="696">-F2236</f>
        <v>6500</v>
      </c>
      <c r="M2236" s="257">
        <f>ROUND('Plant input detail '!M2238*'WPB2.2 Plant detail-w slippage'!$P$2,0)</f>
        <v>0</v>
      </c>
      <c r="N2236" s="2227">
        <f t="shared" ref="N2236:N2247" si="697">I2236+K2236-L2236+M2236</f>
        <v>5285215.8899999997</v>
      </c>
    </row>
    <row r="2237" spans="1:14" x14ac:dyDescent="0.2">
      <c r="A2237" s="127">
        <f>A2236+1</f>
        <v>2</v>
      </c>
      <c r="B2237" s="123">
        <v>381.1</v>
      </c>
      <c r="C2237" s="52" t="s">
        <v>1115</v>
      </c>
      <c r="D2237" s="257">
        <f t="shared" si="692"/>
        <v>8846212.0600000005</v>
      </c>
      <c r="E2237" s="382">
        <f>ROUND('Plant input detail '!E2239*'WPB2.2 Plant detail-w slippage'!$P$2,0)</f>
        <v>5300</v>
      </c>
      <c r="F2237" s="257">
        <f>ROUND('Plant input detail '!F2239*'WPB2.2 Plant detail-w slippage'!$P$2,0)</f>
        <v>-600</v>
      </c>
      <c r="G2237" s="257">
        <f>SUM(D2237:F2237)</f>
        <v>8850912.0600000005</v>
      </c>
      <c r="H2237" s="38"/>
      <c r="I2237" s="257">
        <f t="shared" si="693"/>
        <v>1135768.5</v>
      </c>
      <c r="J2237" s="1362">
        <f t="shared" si="694"/>
        <v>8.0600000000000005E-2</v>
      </c>
      <c r="K2237" s="173">
        <f t="shared" si="695"/>
        <v>59433</v>
      </c>
      <c r="L2237" s="38">
        <f t="shared" si="696"/>
        <v>600</v>
      </c>
      <c r="M2237" s="257">
        <f>ROUND('Plant input detail '!M2239*'WPB2.2 Plant detail-w slippage'!$P$2,0)</f>
        <v>0</v>
      </c>
      <c r="N2237" s="2227">
        <f t="shared" si="697"/>
        <v>1194601.5</v>
      </c>
    </row>
    <row r="2238" spans="1:14" x14ac:dyDescent="0.2">
      <c r="A2238" s="127">
        <f t="shared" ref="A2238:A2248" si="698">A2237+1</f>
        <v>3</v>
      </c>
      <c r="B2238" s="123">
        <v>382</v>
      </c>
      <c r="C2238" s="52" t="s">
        <v>1053</v>
      </c>
      <c r="D2238" s="257">
        <f t="shared" si="692"/>
        <v>9578592.6500000004</v>
      </c>
      <c r="E2238" s="382">
        <f>ROUND('Plant input detail '!E2240*'WPB2.2 Plant detail-w slippage'!$P$2,0)</f>
        <v>32300</v>
      </c>
      <c r="F2238" s="257">
        <f>ROUND('Plant input detail '!F2240*'WPB2.2 Plant detail-w slippage'!$P$2,0)</f>
        <v>-3900</v>
      </c>
      <c r="G2238" s="257">
        <f t="shared" ref="G2238:G2243" si="699">SUM(D2238:F2238)</f>
        <v>9606992.6500000004</v>
      </c>
      <c r="H2238" s="38"/>
      <c r="I2238" s="257">
        <f t="shared" si="693"/>
        <v>4773598.3</v>
      </c>
      <c r="J2238" s="1362">
        <f t="shared" si="694"/>
        <v>2.4400000000000002E-2</v>
      </c>
      <c r="K2238" s="173">
        <f t="shared" si="695"/>
        <v>19505</v>
      </c>
      <c r="L2238" s="38">
        <f t="shared" si="696"/>
        <v>3900</v>
      </c>
      <c r="M2238" s="257">
        <f>ROUND('Plant input detail '!M2240*'WPB2.2 Plant detail-w slippage'!$P$2,0)</f>
        <v>-200</v>
      </c>
      <c r="N2238" s="2227">
        <f t="shared" si="697"/>
        <v>4789003.3</v>
      </c>
    </row>
    <row r="2239" spans="1:14" x14ac:dyDescent="0.2">
      <c r="A2239" s="127">
        <f t="shared" si="698"/>
        <v>4</v>
      </c>
      <c r="B2239" s="123">
        <v>383</v>
      </c>
      <c r="C2239" s="52" t="s">
        <v>1054</v>
      </c>
      <c r="D2239" s="257">
        <f t="shared" si="692"/>
        <v>5829520.7599999998</v>
      </c>
      <c r="E2239" s="382">
        <f>ROUND('Plant input detail '!E2241*'WPB2.2 Plant detail-w slippage'!$P$2,0)</f>
        <v>15800</v>
      </c>
      <c r="F2239" s="257">
        <f>ROUND('Plant input detail '!F2241*'WPB2.2 Plant detail-w slippage'!$P$2,0)</f>
        <v>-1900</v>
      </c>
      <c r="G2239" s="257">
        <f t="shared" si="699"/>
        <v>5843420.7599999998</v>
      </c>
      <c r="H2239" s="38"/>
      <c r="I2239" s="257">
        <f t="shared" si="693"/>
        <v>1612323.41</v>
      </c>
      <c r="J2239" s="1362">
        <f t="shared" si="694"/>
        <v>2.7300000000000001E-2</v>
      </c>
      <c r="K2239" s="173">
        <f t="shared" si="695"/>
        <v>13278</v>
      </c>
      <c r="L2239" s="38">
        <f t="shared" si="696"/>
        <v>1900</v>
      </c>
      <c r="M2239" s="257">
        <f>ROUND('Plant input detail '!M2241*'WPB2.2 Plant detail-w slippage'!$P$2,0)</f>
        <v>-100</v>
      </c>
      <c r="N2239" s="2227">
        <f t="shared" si="697"/>
        <v>1623601.41</v>
      </c>
    </row>
    <row r="2240" spans="1:14" x14ac:dyDescent="0.2">
      <c r="A2240" s="127">
        <f t="shared" si="698"/>
        <v>5</v>
      </c>
      <c r="B2240" s="123">
        <v>384</v>
      </c>
      <c r="C2240" s="52" t="s">
        <v>1055</v>
      </c>
      <c r="D2240" s="257">
        <f t="shared" si="692"/>
        <v>2257522</v>
      </c>
      <c r="E2240" s="382">
        <f>ROUND('Plant input detail '!E2242*'WPB2.2 Plant detail-w slippage'!$P$2,0)</f>
        <v>0</v>
      </c>
      <c r="F2240" s="257">
        <f>ROUND('Plant input detail '!F2242*'WPB2.2 Plant detail-w slippage'!$P$2,0)</f>
        <v>0</v>
      </c>
      <c r="G2240" s="257">
        <f t="shared" si="699"/>
        <v>2257522</v>
      </c>
      <c r="H2240" s="38"/>
      <c r="I2240" s="257">
        <f t="shared" si="693"/>
        <v>1788328.73</v>
      </c>
      <c r="J2240" s="1362">
        <f t="shared" si="694"/>
        <v>1.01E-2</v>
      </c>
      <c r="K2240" s="173">
        <f t="shared" si="695"/>
        <v>1900</v>
      </c>
      <c r="L2240" s="38">
        <f t="shared" si="696"/>
        <v>0</v>
      </c>
      <c r="M2240" s="257">
        <f>ROUND('Plant input detail '!M2242*'WPB2.2 Plant detail-w slippage'!$P$2,0)</f>
        <v>0</v>
      </c>
      <c r="N2240" s="2227">
        <f t="shared" si="697"/>
        <v>1790228.73</v>
      </c>
    </row>
    <row r="2241" spans="1:14" x14ac:dyDescent="0.2">
      <c r="A2241" s="127">
        <f t="shared" si="698"/>
        <v>6</v>
      </c>
      <c r="B2241" s="123">
        <v>385</v>
      </c>
      <c r="C2241" s="52" t="s">
        <v>1056</v>
      </c>
      <c r="D2241" s="257">
        <f t="shared" si="692"/>
        <v>3462883.36</v>
      </c>
      <c r="E2241" s="382">
        <f>ROUND('Plant input detail '!E2243*'WPB2.2 Plant detail-w slippage'!$P$2,0)</f>
        <v>24600</v>
      </c>
      <c r="F2241" s="257">
        <f>ROUND('Plant input detail '!F2243*'WPB2.2 Plant detail-w slippage'!$P$2,0)</f>
        <v>-2900</v>
      </c>
      <c r="G2241" s="257">
        <f t="shared" si="699"/>
        <v>3484583.36</v>
      </c>
      <c r="H2241" s="38"/>
      <c r="I2241" s="257">
        <f t="shared" si="693"/>
        <v>1000952.55</v>
      </c>
      <c r="J2241" s="1362">
        <f t="shared" si="694"/>
        <v>5.0799999999999998E-2</v>
      </c>
      <c r="K2241" s="173">
        <f t="shared" si="695"/>
        <v>14705</v>
      </c>
      <c r="L2241" s="38">
        <f t="shared" si="696"/>
        <v>2900</v>
      </c>
      <c r="M2241" s="257">
        <f>ROUND('Plant input detail '!M2243*'WPB2.2 Plant detail-w slippage'!$P$2,0)</f>
        <v>-100</v>
      </c>
      <c r="N2241" s="2227">
        <f t="shared" si="697"/>
        <v>1012657.55</v>
      </c>
    </row>
    <row r="2242" spans="1:14" x14ac:dyDescent="0.2">
      <c r="A2242" s="127">
        <f t="shared" si="698"/>
        <v>7</v>
      </c>
      <c r="B2242" s="123">
        <v>387.2</v>
      </c>
      <c r="C2242" s="52" t="s">
        <v>1057</v>
      </c>
      <c r="D2242" s="257">
        <f t="shared" si="692"/>
        <v>0</v>
      </c>
      <c r="E2242" s="382">
        <f>ROUND('Plant input detail '!E2244*'WPB2.2 Plant detail-w slippage'!$P$2,0)</f>
        <v>0</v>
      </c>
      <c r="F2242" s="257">
        <f>ROUND('Plant input detail '!F2244*'WPB2.2 Plant detail-w slippage'!$P$2,0)</f>
        <v>0</v>
      </c>
      <c r="G2242" s="257">
        <f t="shared" si="699"/>
        <v>0</v>
      </c>
      <c r="H2242" s="38"/>
      <c r="I2242" s="257">
        <f t="shared" si="693"/>
        <v>-59912.03</v>
      </c>
      <c r="J2242" s="1362">
        <f t="shared" si="694"/>
        <v>0</v>
      </c>
      <c r="K2242" s="173">
        <f t="shared" si="695"/>
        <v>0</v>
      </c>
      <c r="L2242" s="38">
        <f t="shared" si="696"/>
        <v>0</v>
      </c>
      <c r="M2242" s="257">
        <f>ROUND('Plant input detail '!M2244*'WPB2.2 Plant detail-w slippage'!$P$2,0)</f>
        <v>0</v>
      </c>
      <c r="N2242" s="2227">
        <f t="shared" si="697"/>
        <v>-59912.03</v>
      </c>
    </row>
    <row r="2243" spans="1:14" x14ac:dyDescent="0.2">
      <c r="A2243" s="127">
        <f t="shared" si="698"/>
        <v>8</v>
      </c>
      <c r="B2243" s="123">
        <v>387.41</v>
      </c>
      <c r="C2243" s="52" t="s">
        <v>1058</v>
      </c>
      <c r="D2243" s="257">
        <f t="shared" si="692"/>
        <v>735770.76</v>
      </c>
      <c r="E2243" s="382">
        <f>ROUND('Plant input detail '!E2245*'WPB2.2 Plant detail-w slippage'!$P$2,0)</f>
        <v>0</v>
      </c>
      <c r="F2243" s="257">
        <f>ROUND('Plant input detail '!F2245*'WPB2.2 Plant detail-w slippage'!$P$2,0)</f>
        <v>0</v>
      </c>
      <c r="G2243" s="257">
        <f t="shared" si="699"/>
        <v>735770.76</v>
      </c>
      <c r="H2243" s="38"/>
      <c r="I2243" s="257">
        <f t="shared" si="693"/>
        <v>408987.95</v>
      </c>
      <c r="J2243" s="1362">
        <f t="shared" si="694"/>
        <v>3.7400000000000003E-2</v>
      </c>
      <c r="K2243" s="173">
        <f t="shared" si="695"/>
        <v>2293</v>
      </c>
      <c r="L2243" s="38">
        <f t="shared" si="696"/>
        <v>0</v>
      </c>
      <c r="M2243" s="257">
        <f>ROUND('Plant input detail '!M2245*'WPB2.2 Plant detail-w slippage'!$P$2,0)</f>
        <v>0</v>
      </c>
      <c r="N2243" s="2227">
        <f t="shared" si="697"/>
        <v>411280.95</v>
      </c>
    </row>
    <row r="2244" spans="1:14" x14ac:dyDescent="0.2">
      <c r="A2244" s="127">
        <f t="shared" si="698"/>
        <v>9</v>
      </c>
      <c r="B2244" s="123">
        <v>387.42</v>
      </c>
      <c r="C2244" s="52" t="s">
        <v>1059</v>
      </c>
      <c r="D2244" s="257">
        <f t="shared" si="692"/>
        <v>795186.58</v>
      </c>
      <c r="E2244" s="382">
        <f>ROUND('Plant input detail '!E2246*'WPB2.2 Plant detail-w slippage'!$P$2,0)</f>
        <v>0</v>
      </c>
      <c r="F2244" s="257">
        <f>ROUND('Plant input detail '!F2246*'WPB2.2 Plant detail-w slippage'!$P$2,0)</f>
        <v>0</v>
      </c>
      <c r="G2244" s="257">
        <f>SUM(D2244:F2244)</f>
        <v>795186.58</v>
      </c>
      <c r="H2244" s="38"/>
      <c r="I2244" s="257">
        <f t="shared" si="693"/>
        <v>577325.94999999995</v>
      </c>
      <c r="J2244" s="1362">
        <f t="shared" si="694"/>
        <v>3.7400000000000003E-2</v>
      </c>
      <c r="K2244" s="173">
        <f t="shared" si="695"/>
        <v>2478</v>
      </c>
      <c r="L2244" s="38">
        <f t="shared" si="696"/>
        <v>0</v>
      </c>
      <c r="M2244" s="257">
        <f>ROUND('Plant input detail '!M2246*'WPB2.2 Plant detail-w slippage'!$P$2,0)</f>
        <v>0</v>
      </c>
      <c r="N2244" s="2227">
        <f t="shared" si="697"/>
        <v>579803.94999999995</v>
      </c>
    </row>
    <row r="2245" spans="1:14" x14ac:dyDescent="0.2">
      <c r="A2245" s="127">
        <f t="shared" si="698"/>
        <v>10</v>
      </c>
      <c r="B2245" s="123">
        <v>387.44</v>
      </c>
      <c r="C2245" s="52" t="s">
        <v>1060</v>
      </c>
      <c r="D2245" s="257">
        <f t="shared" si="692"/>
        <v>143283.93</v>
      </c>
      <c r="E2245" s="382">
        <f>ROUND('Plant input detail '!E2247*'WPB2.2 Plant detail-w slippage'!$P$2,0)</f>
        <v>0</v>
      </c>
      <c r="F2245" s="257">
        <f>ROUND('Plant input detail '!F2247*'WPB2.2 Plant detail-w slippage'!$P$2,0)</f>
        <v>0</v>
      </c>
      <c r="G2245" s="257">
        <f>SUM(D2245:F2245)</f>
        <v>143283.93</v>
      </c>
      <c r="H2245" s="38"/>
      <c r="I2245" s="257">
        <f t="shared" si="693"/>
        <v>51418.55</v>
      </c>
      <c r="J2245" s="1362">
        <f t="shared" si="694"/>
        <v>3.7400000000000003E-2</v>
      </c>
      <c r="K2245" s="173">
        <f t="shared" si="695"/>
        <v>447</v>
      </c>
      <c r="L2245" s="38">
        <f t="shared" si="696"/>
        <v>0</v>
      </c>
      <c r="M2245" s="257">
        <f>ROUND('Plant input detail '!M2247*'WPB2.2 Plant detail-w slippage'!$P$2,0)</f>
        <v>0</v>
      </c>
      <c r="N2245" s="2227">
        <f t="shared" si="697"/>
        <v>51865.55</v>
      </c>
    </row>
    <row r="2246" spans="1:14" x14ac:dyDescent="0.2">
      <c r="A2246" s="127">
        <f t="shared" si="698"/>
        <v>11</v>
      </c>
      <c r="B2246" s="123">
        <v>387.45</v>
      </c>
      <c r="C2246" s="52" t="s">
        <v>1061</v>
      </c>
      <c r="D2246" s="257">
        <f t="shared" si="692"/>
        <v>4205704.66</v>
      </c>
      <c r="E2246" s="382">
        <f>ROUND('Plant input detail '!E2248*'WPB2.2 Plant detail-w slippage'!$P$2,0)</f>
        <v>182800</v>
      </c>
      <c r="F2246" s="257">
        <f>ROUND('Plant input detail '!F2248*'WPB2.2 Plant detail-w slippage'!$P$2,0)</f>
        <v>-21900</v>
      </c>
      <c r="G2246" s="257">
        <f>SUM(D2246:F2246)</f>
        <v>4366604.66</v>
      </c>
      <c r="H2246" s="38"/>
      <c r="I2246" s="257">
        <f t="shared" si="693"/>
        <v>516286.06000000006</v>
      </c>
      <c r="J2246" s="1362">
        <f t="shared" si="694"/>
        <v>3.7400000000000003E-2</v>
      </c>
      <c r="K2246" s="173">
        <f t="shared" si="695"/>
        <v>13359</v>
      </c>
      <c r="L2246" s="38">
        <f t="shared" si="696"/>
        <v>21900</v>
      </c>
      <c r="M2246" s="257">
        <f>ROUND('Plant input detail '!M2248*'WPB2.2 Plant detail-w slippage'!$P$2,0)</f>
        <v>0</v>
      </c>
      <c r="N2246" s="2227">
        <f t="shared" si="697"/>
        <v>507745.06000000006</v>
      </c>
    </row>
    <row r="2247" spans="1:14" x14ac:dyDescent="0.2">
      <c r="A2247" s="127">
        <f t="shared" si="698"/>
        <v>12</v>
      </c>
      <c r="B2247" s="123">
        <v>387.46</v>
      </c>
      <c r="C2247" s="52" t="s">
        <v>1062</v>
      </c>
      <c r="D2247" s="260">
        <f t="shared" si="692"/>
        <v>113644.47</v>
      </c>
      <c r="E2247" s="265">
        <f>ROUND('Plant input detail '!E2249*'WPB2.2 Plant detail-w slippage'!$P$2,0)</f>
        <v>0</v>
      </c>
      <c r="F2247" s="265">
        <f>ROUND('Plant input detail '!F2249*'WPB2.2 Plant detail-w slippage'!$P$2,0)</f>
        <v>0</v>
      </c>
      <c r="G2247" s="265">
        <f>SUM(D2247:F2247)</f>
        <v>113644.47</v>
      </c>
      <c r="H2247" s="264"/>
      <c r="I2247" s="260">
        <f t="shared" si="693"/>
        <v>115772.83</v>
      </c>
      <c r="J2247" s="1362">
        <f t="shared" si="694"/>
        <v>3.7400000000000003E-2</v>
      </c>
      <c r="K2247" s="260">
        <f t="shared" si="695"/>
        <v>354</v>
      </c>
      <c r="L2247" s="295">
        <f t="shared" si="696"/>
        <v>0</v>
      </c>
      <c r="M2247" s="265">
        <f>ROUND('Plant input detail '!M2249*'WPB2.2 Plant detail-w slippage'!$P$2,0)</f>
        <v>0</v>
      </c>
      <c r="N2247" s="2228">
        <f t="shared" si="697"/>
        <v>116126.83</v>
      </c>
    </row>
    <row r="2248" spans="1:14" x14ac:dyDescent="0.2">
      <c r="A2248" s="127">
        <f t="shared" si="698"/>
        <v>13</v>
      </c>
      <c r="B2248" s="252"/>
      <c r="C2248" s="32" t="s">
        <v>1063</v>
      </c>
      <c r="D2248" s="173">
        <f>SUM(D2236:D2247,D2196:D2217)</f>
        <v>433130854.37999994</v>
      </c>
      <c r="E2248" s="173">
        <f>SUM(E2236:E2247,E2196:E2217)</f>
        <v>4246266</v>
      </c>
      <c r="F2248" s="173">
        <f>SUM(F2236:F2247,F2196:F2217)</f>
        <v>-344800</v>
      </c>
      <c r="G2248" s="173">
        <f>SUM(G2236:G2247,G2196:G2217)</f>
        <v>437032320.37999994</v>
      </c>
      <c r="H2248" s="38"/>
      <c r="I2248" s="173">
        <f>SUM(I2236:I2247,I2196:I2217)</f>
        <v>148969890.76947367</v>
      </c>
      <c r="J2248" s="173"/>
      <c r="K2248" s="173">
        <f>SUM(K2236:K2247,K2196:K2217)</f>
        <v>1217446.0494736843</v>
      </c>
      <c r="L2248" s="173">
        <f>SUM(L2236:L2247,L2196:L2217)</f>
        <v>344800</v>
      </c>
      <c r="M2248" s="173">
        <f>SUM(M2236:M2247,M2196:M2217)</f>
        <v>-84500</v>
      </c>
      <c r="N2248" s="1361">
        <f>SUM(N2236:N2247,N2196:N2217)</f>
        <v>149758036.81894737</v>
      </c>
    </row>
    <row r="2249" spans="1:14" x14ac:dyDescent="0.2">
      <c r="B2249" s="252"/>
      <c r="D2249" s="38"/>
      <c r="E2249" s="173"/>
      <c r="F2249" s="173"/>
      <c r="G2249" s="38"/>
      <c r="H2249" s="38"/>
      <c r="I2249" s="181"/>
      <c r="J2249" s="173"/>
      <c r="K2249" s="173"/>
      <c r="L2249" s="38"/>
      <c r="M2249" s="173"/>
    </row>
    <row r="2250" spans="1:14" x14ac:dyDescent="0.2">
      <c r="A2250" s="127">
        <f>A2248+1</f>
        <v>14</v>
      </c>
      <c r="B2250" s="252"/>
      <c r="C2250" s="36" t="s">
        <v>737</v>
      </c>
      <c r="D2250" s="38"/>
      <c r="E2250" s="173"/>
      <c r="F2250" s="173"/>
      <c r="G2250" s="38"/>
      <c r="H2250" s="38"/>
      <c r="I2250" s="181"/>
      <c r="J2250" s="173"/>
      <c r="K2250" s="173"/>
      <c r="L2250" s="38"/>
      <c r="M2250" s="173"/>
    </row>
    <row r="2251" spans="1:14" x14ac:dyDescent="0.2">
      <c r="A2251" s="31">
        <f>A2250+1</f>
        <v>15</v>
      </c>
      <c r="B2251" s="123">
        <v>391.1</v>
      </c>
      <c r="C2251" s="52" t="s">
        <v>1064</v>
      </c>
      <c r="D2251" s="257">
        <f t="shared" ref="D2251:D2264" si="700">G2145</f>
        <v>713480.71</v>
      </c>
      <c r="E2251" s="382">
        <f>ROUND('Plant input detail '!E2253*'WPB2.2 Plant detail-w slippage'!$P$2,0)</f>
        <v>134550</v>
      </c>
      <c r="F2251" s="257">
        <f>ROUND('Plant input detail '!F2253*'WPB2.2 Plant detail-w slippage'!$P$2,0)</f>
        <v>0</v>
      </c>
      <c r="G2251" s="257">
        <f t="shared" ref="G2251:G2264" si="701">SUM(D2251:F2251)</f>
        <v>848030.71</v>
      </c>
      <c r="H2251" s="38"/>
      <c r="I2251" s="257">
        <f t="shared" ref="I2251:I2264" si="702">N2145</f>
        <v>-20846.22</v>
      </c>
      <c r="J2251" s="1362">
        <f t="shared" ref="J2251:J2264" si="703">J2145</f>
        <v>0.05</v>
      </c>
      <c r="K2251" s="173">
        <f>ROUND((G2251+D2251)/2*J2251/12,0)</f>
        <v>3253</v>
      </c>
      <c r="L2251" s="38">
        <f t="shared" ref="L2251:L2264" si="704">-F2251</f>
        <v>0</v>
      </c>
      <c r="M2251" s="257">
        <f>ROUND('Plant input detail '!M2253*'WPB2.2 Plant detail-w slippage'!$P$2,0)</f>
        <v>0</v>
      </c>
      <c r="N2251" s="2227">
        <f t="shared" ref="N2251:N2264" si="705">I2251+K2251-L2251+M2251</f>
        <v>-17593.22</v>
      </c>
    </row>
    <row r="2252" spans="1:14" x14ac:dyDescent="0.2">
      <c r="A2252" s="31">
        <f t="shared" ref="A2252:A2265" si="706">A2251+1</f>
        <v>16</v>
      </c>
      <c r="B2252" s="123">
        <v>391.11</v>
      </c>
      <c r="C2252" s="52" t="s">
        <v>1065</v>
      </c>
      <c r="D2252" s="257">
        <f t="shared" si="700"/>
        <v>18815.57</v>
      </c>
      <c r="E2252" s="382">
        <f>ROUND('Plant input detail '!E2254*'WPB2.2 Plant detail-w slippage'!$P$2,0)</f>
        <v>0</v>
      </c>
      <c r="F2252" s="257">
        <f>ROUND('Plant input detail '!F2254*'WPB2.2 Plant detail-w slippage'!$P$2,0)</f>
        <v>0</v>
      </c>
      <c r="G2252" s="257">
        <f t="shared" si="701"/>
        <v>18815.57</v>
      </c>
      <c r="H2252" s="38"/>
      <c r="I2252" s="257">
        <f t="shared" si="702"/>
        <v>-10934.77</v>
      </c>
      <c r="J2252" s="1362">
        <f t="shared" si="703"/>
        <v>6.6699999999999995E-2</v>
      </c>
      <c r="K2252" s="173">
        <f>ROUND((G2252+D2252)/2*J2252/12,0)</f>
        <v>105</v>
      </c>
      <c r="L2252" s="38">
        <f t="shared" si="704"/>
        <v>0</v>
      </c>
      <c r="M2252" s="257">
        <f>ROUND('Plant input detail '!M2254*'WPB2.2 Plant detail-w slippage'!$P$2,0)</f>
        <v>0</v>
      </c>
      <c r="N2252" s="2227">
        <f t="shared" si="705"/>
        <v>-10829.77</v>
      </c>
    </row>
    <row r="2253" spans="1:14" x14ac:dyDescent="0.2">
      <c r="A2253" s="31">
        <f t="shared" si="706"/>
        <v>17</v>
      </c>
      <c r="B2253" s="123">
        <v>391.12</v>
      </c>
      <c r="C2253" s="52" t="s">
        <v>1066</v>
      </c>
      <c r="D2253" s="257">
        <f t="shared" si="700"/>
        <v>1407883.4100000001</v>
      </c>
      <c r="E2253" s="382">
        <f>ROUND('Plant input detail '!E2255*'WPB2.2 Plant detail-w slippage'!$P$2,0)</f>
        <v>0</v>
      </c>
      <c r="F2253" s="257">
        <f>ROUND('Plant input detail '!F2255*'WPB2.2 Plant detail-w slippage'!$P$2,0)</f>
        <v>0</v>
      </c>
      <c r="G2253" s="257">
        <f t="shared" si="701"/>
        <v>1407883.4100000001</v>
      </c>
      <c r="H2253" s="38"/>
      <c r="I2253" s="257">
        <f t="shared" si="702"/>
        <v>816295.37</v>
      </c>
      <c r="J2253" s="1362">
        <f t="shared" si="703"/>
        <v>0.2</v>
      </c>
      <c r="K2253" s="173">
        <f>ROUND((G2253+D2253)/2*J2253/12,0)</f>
        <v>23465</v>
      </c>
      <c r="L2253" s="38">
        <f t="shared" si="704"/>
        <v>0</v>
      </c>
      <c r="M2253" s="257">
        <f>ROUND('Plant input detail '!M2255*'WPB2.2 Plant detail-w slippage'!$P$2,0)</f>
        <v>0</v>
      </c>
      <c r="N2253" s="2227">
        <f t="shared" si="705"/>
        <v>839760.37</v>
      </c>
    </row>
    <row r="2254" spans="1:14" x14ac:dyDescent="0.2">
      <c r="A2254" s="31">
        <f t="shared" si="706"/>
        <v>18</v>
      </c>
      <c r="B2254" s="123">
        <v>392.2</v>
      </c>
      <c r="C2254" s="52" t="s">
        <v>1067</v>
      </c>
      <c r="D2254" s="257">
        <f t="shared" si="700"/>
        <v>95778</v>
      </c>
      <c r="E2254" s="382">
        <f>ROUND('Plant input detail '!E2256*'WPB2.2 Plant detail-w slippage'!$P$2,0)</f>
        <v>0</v>
      </c>
      <c r="F2254" s="257">
        <f>ROUND('Plant input detail '!F2256*'WPB2.2 Plant detail-w slippage'!$P$2,0)</f>
        <v>0</v>
      </c>
      <c r="G2254" s="257">
        <f t="shared" si="701"/>
        <v>95778</v>
      </c>
      <c r="H2254" s="38"/>
      <c r="I2254" s="257">
        <f t="shared" si="702"/>
        <v>29955.05</v>
      </c>
      <c r="J2254" s="1362">
        <f t="shared" si="703"/>
        <v>9.1499999999999998E-2</v>
      </c>
      <c r="K2254" s="173">
        <f>ROUND((G2254+D2254)/2*J2254/12,0)</f>
        <v>730</v>
      </c>
      <c r="L2254" s="38">
        <f t="shared" si="704"/>
        <v>0</v>
      </c>
      <c r="M2254" s="257">
        <f>ROUND('Plant input detail '!M2256*'WPB2.2 Plant detail-w slippage'!$P$2,0)</f>
        <v>0</v>
      </c>
      <c r="N2254" s="2227">
        <f t="shared" si="705"/>
        <v>30685.05</v>
      </c>
    </row>
    <row r="2255" spans="1:14" x14ac:dyDescent="0.2">
      <c r="A2255" s="31">
        <f t="shared" si="706"/>
        <v>19</v>
      </c>
      <c r="B2255" s="123">
        <v>392.21</v>
      </c>
      <c r="C2255" s="52" t="s">
        <v>1068</v>
      </c>
      <c r="D2255" s="257">
        <f t="shared" si="700"/>
        <v>24462.2</v>
      </c>
      <c r="E2255" s="382">
        <f>ROUND('Plant input detail '!E2257*'WPB2.2 Plant detail-w slippage'!$P$2,0)</f>
        <v>0</v>
      </c>
      <c r="F2255" s="257">
        <f>ROUND('Plant input detail '!F2257*'WPB2.2 Plant detail-w slippage'!$P$2,0)</f>
        <v>0</v>
      </c>
      <c r="G2255" s="257">
        <f t="shared" si="701"/>
        <v>24462.2</v>
      </c>
      <c r="H2255" s="38"/>
      <c r="I2255" s="257">
        <f t="shared" si="702"/>
        <v>7057.4</v>
      </c>
      <c r="J2255" s="1362">
        <f t="shared" si="703"/>
        <v>9.1499999999999998E-2</v>
      </c>
      <c r="K2255" s="173">
        <f>ROUND((G2255+D2255)/2*J2255/12,0)</f>
        <v>187</v>
      </c>
      <c r="L2255" s="38">
        <f t="shared" si="704"/>
        <v>0</v>
      </c>
      <c r="M2255" s="257">
        <f>ROUND('Plant input detail '!M2257*'WPB2.2 Plant detail-w slippage'!$P$2,0)</f>
        <v>0</v>
      </c>
      <c r="N2255" s="2227">
        <f t="shared" si="705"/>
        <v>7244.4</v>
      </c>
    </row>
    <row r="2256" spans="1:14" x14ac:dyDescent="0.2">
      <c r="A2256" s="31">
        <f t="shared" si="706"/>
        <v>20</v>
      </c>
      <c r="B2256" s="123">
        <v>393</v>
      </c>
      <c r="C2256" s="52" t="s">
        <v>1069</v>
      </c>
      <c r="D2256" s="257">
        <f t="shared" si="700"/>
        <v>0</v>
      </c>
      <c r="E2256" s="382">
        <f>ROUND('Plant input detail '!E2258*'WPB2.2 Plant detail-w slippage'!$P$2,0)</f>
        <v>0</v>
      </c>
      <c r="F2256" s="257">
        <f>ROUND('Plant input detail '!F2258*'WPB2.2 Plant detail-w slippage'!$P$2,0)</f>
        <v>0</v>
      </c>
      <c r="G2256" s="257">
        <f t="shared" si="701"/>
        <v>0</v>
      </c>
      <c r="H2256" s="38"/>
      <c r="I2256" s="257">
        <f t="shared" si="702"/>
        <v>0</v>
      </c>
      <c r="J2256" s="1362" t="str">
        <f t="shared" si="703"/>
        <v>Amort.</v>
      </c>
      <c r="K2256" s="259">
        <v>0</v>
      </c>
      <c r="L2256" s="38">
        <f t="shared" si="704"/>
        <v>0</v>
      </c>
      <c r="M2256" s="257">
        <f>ROUND('Plant input detail '!M2258*'WPB2.2 Plant detail-w slippage'!$P$2,0)</f>
        <v>0</v>
      </c>
      <c r="N2256" s="2227">
        <f t="shared" si="705"/>
        <v>0</v>
      </c>
    </row>
    <row r="2257" spans="1:16" x14ac:dyDescent="0.2">
      <c r="A2257" s="31">
        <f t="shared" si="706"/>
        <v>21</v>
      </c>
      <c r="B2257" s="123">
        <v>394.1</v>
      </c>
      <c r="C2257" s="52" t="s">
        <v>1070</v>
      </c>
      <c r="D2257" s="257">
        <f t="shared" si="700"/>
        <v>24240.799999999999</v>
      </c>
      <c r="E2257" s="382">
        <f>ROUND('Plant input detail '!E2259*'WPB2.2 Plant detail-w slippage'!$P$2,0)</f>
        <v>0</v>
      </c>
      <c r="F2257" s="257">
        <f>ROUND('Plant input detail '!F2259*'WPB2.2 Plant detail-w slippage'!$P$2,0)</f>
        <v>0</v>
      </c>
      <c r="G2257" s="257">
        <f t="shared" si="701"/>
        <v>24240.799999999999</v>
      </c>
      <c r="H2257" s="38"/>
      <c r="I2257" s="257">
        <f t="shared" si="702"/>
        <v>15418.82</v>
      </c>
      <c r="J2257" s="1362">
        <f t="shared" si="703"/>
        <v>0.04</v>
      </c>
      <c r="K2257" s="173">
        <f t="shared" ref="K2257:K2264" si="707">ROUND((G2257+D2257)/2*J2257/12,0)</f>
        <v>81</v>
      </c>
      <c r="L2257" s="38">
        <f t="shared" si="704"/>
        <v>0</v>
      </c>
      <c r="M2257" s="257">
        <f>ROUND('Plant input detail '!M2259*'WPB2.2 Plant detail-w slippage'!$P$2,0)</f>
        <v>0</v>
      </c>
      <c r="N2257" s="2227">
        <f t="shared" si="705"/>
        <v>15499.82</v>
      </c>
    </row>
    <row r="2258" spans="1:16" x14ac:dyDescent="0.2">
      <c r="A2258" s="31">
        <f t="shared" si="706"/>
        <v>22</v>
      </c>
      <c r="B2258" s="123">
        <v>394.11</v>
      </c>
      <c r="C2258" s="52" t="s">
        <v>1071</v>
      </c>
      <c r="D2258" s="257">
        <f t="shared" si="700"/>
        <v>0</v>
      </c>
      <c r="E2258" s="382">
        <f>ROUND('Plant input detail '!E2260*'WPB2.2 Plant detail-w slippage'!$P$2,0)</f>
        <v>0</v>
      </c>
      <c r="F2258" s="257">
        <f>ROUND('Plant input detail '!F2260*'WPB2.2 Plant detail-w slippage'!$P$2,0)</f>
        <v>0</v>
      </c>
      <c r="G2258" s="257">
        <f t="shared" si="701"/>
        <v>0</v>
      </c>
      <c r="H2258" s="38"/>
      <c r="I2258" s="257">
        <f t="shared" si="702"/>
        <v>0</v>
      </c>
      <c r="J2258" s="1362">
        <f t="shared" si="703"/>
        <v>0</v>
      </c>
      <c r="K2258" s="259">
        <v>0</v>
      </c>
      <c r="L2258" s="38">
        <f t="shared" si="704"/>
        <v>0</v>
      </c>
      <c r="M2258" s="257">
        <f>ROUND('Plant input detail '!M2260*'WPB2.2 Plant detail-w slippage'!$P$2,0)</f>
        <v>0</v>
      </c>
      <c r="N2258" s="2227">
        <f t="shared" si="705"/>
        <v>0</v>
      </c>
    </row>
    <row r="2259" spans="1:16" x14ac:dyDescent="0.2">
      <c r="A2259" s="31">
        <f t="shared" si="706"/>
        <v>23</v>
      </c>
      <c r="B2259" s="123">
        <v>394.13</v>
      </c>
      <c r="C2259" s="251" t="s">
        <v>1072</v>
      </c>
      <c r="D2259" s="257">
        <f t="shared" si="700"/>
        <v>0</v>
      </c>
      <c r="E2259" s="382">
        <f>ROUND('Plant input detail '!E2261*'WPB2.2 Plant detail-w slippage'!$P$2,0)</f>
        <v>0</v>
      </c>
      <c r="F2259" s="257">
        <f>ROUND('Plant input detail '!F2261*'WPB2.2 Plant detail-w slippage'!$P$2,0)</f>
        <v>0</v>
      </c>
      <c r="G2259" s="257">
        <f t="shared" si="701"/>
        <v>0</v>
      </c>
      <c r="H2259" s="38"/>
      <c r="I2259" s="257">
        <f t="shared" si="702"/>
        <v>37937.360000000001</v>
      </c>
      <c r="J2259" s="1362" t="str">
        <f t="shared" si="703"/>
        <v>Amort.</v>
      </c>
      <c r="K2259" s="259">
        <v>0</v>
      </c>
      <c r="L2259" s="38">
        <f t="shared" si="704"/>
        <v>0</v>
      </c>
      <c r="M2259" s="257">
        <f>ROUND('Plant input detail '!M2261*'WPB2.2 Plant detail-w slippage'!$P$2,0)</f>
        <v>0</v>
      </c>
      <c r="N2259" s="2227">
        <f t="shared" si="705"/>
        <v>37937.360000000001</v>
      </c>
    </row>
    <row r="2260" spans="1:16" x14ac:dyDescent="0.2">
      <c r="A2260" s="31">
        <f t="shared" si="706"/>
        <v>24</v>
      </c>
      <c r="B2260" s="123">
        <v>394.2</v>
      </c>
      <c r="C2260" s="52" t="s">
        <v>1073</v>
      </c>
      <c r="D2260" s="257">
        <f t="shared" si="700"/>
        <v>0</v>
      </c>
      <c r="E2260" s="382">
        <f>ROUND('Plant input detail '!E2262*'WPB2.2 Plant detail-w slippage'!$P$2,0)</f>
        <v>0</v>
      </c>
      <c r="F2260" s="257">
        <f>ROUND('Plant input detail '!F2262*'WPB2.2 Plant detail-w slippage'!$P$2,0)</f>
        <v>0</v>
      </c>
      <c r="G2260" s="257">
        <f t="shared" si="701"/>
        <v>0</v>
      </c>
      <c r="H2260" s="38"/>
      <c r="I2260" s="257">
        <f t="shared" si="702"/>
        <v>185.21</v>
      </c>
      <c r="J2260" s="1362">
        <f t="shared" si="703"/>
        <v>0.04</v>
      </c>
      <c r="K2260" s="173">
        <f t="shared" si="707"/>
        <v>0</v>
      </c>
      <c r="L2260" s="38">
        <f t="shared" si="704"/>
        <v>0</v>
      </c>
      <c r="M2260" s="257">
        <f>ROUND('Plant input detail '!M2262*'WPB2.2 Plant detail-w slippage'!$P$2,0)</f>
        <v>0</v>
      </c>
      <c r="N2260" s="2227">
        <f t="shared" si="705"/>
        <v>185.21</v>
      </c>
    </row>
    <row r="2261" spans="1:16" x14ac:dyDescent="0.2">
      <c r="A2261" s="31">
        <f t="shared" si="706"/>
        <v>25</v>
      </c>
      <c r="B2261" s="123">
        <v>394.3</v>
      </c>
      <c r="C2261" s="52" t="s">
        <v>1074</v>
      </c>
      <c r="D2261" s="257">
        <f t="shared" si="700"/>
        <v>3288721.16</v>
      </c>
      <c r="E2261" s="382">
        <f>ROUND('Plant input detail '!E2263*'WPB2.2 Plant detail-w slippage'!$P$2,0)</f>
        <v>440400</v>
      </c>
      <c r="F2261" s="257">
        <f>ROUND('Plant input detail '!F2263*'WPB2.2 Plant detail-w slippage'!$P$2,0)</f>
        <v>-8400</v>
      </c>
      <c r="G2261" s="257">
        <f t="shared" si="701"/>
        <v>3720721.16</v>
      </c>
      <c r="H2261" s="38"/>
      <c r="I2261" s="257">
        <f t="shared" si="702"/>
        <v>1365789.15</v>
      </c>
      <c r="J2261" s="1362">
        <f t="shared" si="703"/>
        <v>0.04</v>
      </c>
      <c r="K2261" s="173">
        <f t="shared" si="707"/>
        <v>11682</v>
      </c>
      <c r="L2261" s="38">
        <f t="shared" si="704"/>
        <v>8400</v>
      </c>
      <c r="M2261" s="257">
        <f>ROUND('Plant input detail '!M2263*'WPB2.2 Plant detail-w slippage'!$P$2,0)</f>
        <v>0</v>
      </c>
      <c r="N2261" s="2227">
        <f t="shared" si="705"/>
        <v>1369071.15</v>
      </c>
    </row>
    <row r="2262" spans="1:16" x14ac:dyDescent="0.2">
      <c r="A2262" s="31">
        <f t="shared" si="706"/>
        <v>26</v>
      </c>
      <c r="B2262" s="123">
        <v>395</v>
      </c>
      <c r="C2262" s="52" t="s">
        <v>1075</v>
      </c>
      <c r="D2262" s="257">
        <f t="shared" si="700"/>
        <v>9257.77</v>
      </c>
      <c r="E2262" s="382">
        <f>ROUND('Plant input detail '!E2264*'WPB2.2 Plant detail-w slippage'!$P$2,0)</f>
        <v>0</v>
      </c>
      <c r="F2262" s="257">
        <f>ROUND('Plant input detail '!F2264*'WPB2.2 Plant detail-w slippage'!$P$2,0)</f>
        <v>0</v>
      </c>
      <c r="G2262" s="257">
        <f t="shared" si="701"/>
        <v>9257.77</v>
      </c>
      <c r="H2262" s="38"/>
      <c r="I2262" s="257">
        <f t="shared" si="702"/>
        <v>7919.59</v>
      </c>
      <c r="J2262" s="1362">
        <f t="shared" si="703"/>
        <v>0.05</v>
      </c>
      <c r="K2262" s="173">
        <f t="shared" si="707"/>
        <v>39</v>
      </c>
      <c r="L2262" s="38">
        <f t="shared" si="704"/>
        <v>0</v>
      </c>
      <c r="M2262" s="257">
        <f>ROUND('Plant input detail '!M2264*'WPB2.2 Plant detail-w slippage'!$P$2,0)</f>
        <v>0</v>
      </c>
      <c r="N2262" s="2227">
        <f t="shared" si="705"/>
        <v>7958.59</v>
      </c>
    </row>
    <row r="2263" spans="1:16" x14ac:dyDescent="0.2">
      <c r="A2263" s="31">
        <f t="shared" si="706"/>
        <v>27</v>
      </c>
      <c r="B2263" s="123">
        <v>396</v>
      </c>
      <c r="C2263" s="52" t="s">
        <v>1076</v>
      </c>
      <c r="D2263" s="257">
        <f t="shared" si="700"/>
        <v>253134.72</v>
      </c>
      <c r="E2263" s="382">
        <f>ROUND('Plant input detail '!E2265*'WPB2.2 Plant detail-w slippage'!$P$2,0)</f>
        <v>0</v>
      </c>
      <c r="F2263" s="257">
        <f>ROUND('Plant input detail '!F2265*'WPB2.2 Plant detail-w slippage'!$P$2,0)</f>
        <v>0</v>
      </c>
      <c r="G2263" s="257">
        <f t="shared" si="701"/>
        <v>253134.72</v>
      </c>
      <c r="H2263" s="38"/>
      <c r="I2263" s="257">
        <f t="shared" si="702"/>
        <v>204781.72</v>
      </c>
      <c r="J2263" s="1362">
        <f t="shared" si="703"/>
        <v>2.5899999999999999E-2</v>
      </c>
      <c r="K2263" s="173">
        <f t="shared" si="707"/>
        <v>546</v>
      </c>
      <c r="L2263" s="38">
        <f t="shared" si="704"/>
        <v>0</v>
      </c>
      <c r="M2263" s="257">
        <f>ROUND('Plant input detail '!M2265*'WPB2.2 Plant detail-w slippage'!$P$2,0)</f>
        <v>0</v>
      </c>
      <c r="N2263" s="2227">
        <f t="shared" si="705"/>
        <v>205327.72</v>
      </c>
    </row>
    <row r="2264" spans="1:16" x14ac:dyDescent="0.2">
      <c r="A2264" s="31">
        <f t="shared" si="706"/>
        <v>28</v>
      </c>
      <c r="B2264" s="123">
        <v>398</v>
      </c>
      <c r="C2264" s="52" t="s">
        <v>1077</v>
      </c>
      <c r="D2264" s="260">
        <f t="shared" si="700"/>
        <v>299161.94</v>
      </c>
      <c r="E2264" s="265">
        <f>ROUND('Plant input detail '!E2266*'WPB2.2 Plant detail-w slippage'!$P$2,0)</f>
        <v>9600</v>
      </c>
      <c r="F2264" s="260">
        <f>ROUND('Plant input detail '!F2266*'WPB2.2 Plant detail-w slippage'!$P$2,0)</f>
        <v>-600</v>
      </c>
      <c r="G2264" s="260">
        <f t="shared" si="701"/>
        <v>308161.94</v>
      </c>
      <c r="H2264" s="264"/>
      <c r="I2264" s="260">
        <f t="shared" si="702"/>
        <v>14205.59</v>
      </c>
      <c r="J2264" s="1362">
        <f t="shared" si="703"/>
        <v>6.6699999999999995E-2</v>
      </c>
      <c r="K2264" s="260">
        <f t="shared" si="707"/>
        <v>1688</v>
      </c>
      <c r="L2264" s="295">
        <f t="shared" si="704"/>
        <v>600</v>
      </c>
      <c r="M2264" s="260">
        <f>ROUND('Plant input detail '!M2266*'WPB2.2 Plant detail-w slippage'!$P$2,0)</f>
        <v>0</v>
      </c>
      <c r="N2264" s="2228">
        <f t="shared" si="705"/>
        <v>15293.59</v>
      </c>
    </row>
    <row r="2265" spans="1:16" x14ac:dyDescent="0.2">
      <c r="A2265" s="31">
        <f t="shared" si="706"/>
        <v>29</v>
      </c>
      <c r="C2265" s="32" t="s">
        <v>1078</v>
      </c>
      <c r="D2265" s="264">
        <f>SUM(D2251:D2264)</f>
        <v>6134936.2799999993</v>
      </c>
      <c r="E2265" s="176">
        <f>SUM(E2251:E2264)</f>
        <v>584550</v>
      </c>
      <c r="F2265" s="176">
        <f>SUM(F2251:F2264)</f>
        <v>-9000</v>
      </c>
      <c r="G2265" s="264">
        <f>SUM(G2251:G2264)</f>
        <v>6710486.2799999993</v>
      </c>
      <c r="H2265" s="264"/>
      <c r="I2265" s="264">
        <f>SUM(I2251:I2264)</f>
        <v>2467764.27</v>
      </c>
      <c r="J2265" s="1359"/>
      <c r="K2265" s="176">
        <f>SUM(K2251:K2264)</f>
        <v>41776</v>
      </c>
      <c r="L2265" s="264">
        <f>SUM(L2251:L2264)</f>
        <v>9000</v>
      </c>
      <c r="M2265" s="176">
        <f>SUM(M2251:M2264)</f>
        <v>0</v>
      </c>
      <c r="N2265" s="1359">
        <f>SUM(N2251:N2264)</f>
        <v>2500540.27</v>
      </c>
    </row>
    <row r="2266" spans="1:16" x14ac:dyDescent="0.2">
      <c r="D2266" s="38"/>
      <c r="E2266" s="173"/>
      <c r="F2266" s="173"/>
      <c r="G2266" s="38"/>
      <c r="H2266" s="38"/>
      <c r="I2266" s="173"/>
      <c r="J2266" s="1361"/>
      <c r="K2266" s="173"/>
      <c r="L2266" s="38"/>
      <c r="M2266" s="173"/>
    </row>
    <row r="2267" spans="1:16" x14ac:dyDescent="0.2">
      <c r="A2267" s="1805">
        <f>A2265+1</f>
        <v>30</v>
      </c>
      <c r="B2267" s="252"/>
      <c r="C2267" s="36" t="s">
        <v>2287</v>
      </c>
      <c r="D2267" s="38"/>
      <c r="E2267" s="173"/>
      <c r="F2267" s="173"/>
      <c r="G2267" s="38"/>
      <c r="H2267" s="38"/>
      <c r="I2267" s="181"/>
      <c r="J2267" s="173"/>
      <c r="K2267" s="173"/>
      <c r="L2267" s="38"/>
      <c r="M2267" s="173"/>
      <c r="P2267" s="279"/>
    </row>
    <row r="2268" spans="1:16" x14ac:dyDescent="0.2">
      <c r="A2268" s="31">
        <f>A2267+1</f>
        <v>31</v>
      </c>
      <c r="B2268" s="123">
        <v>378.21</v>
      </c>
      <c r="C2268" s="52" t="s">
        <v>2244</v>
      </c>
      <c r="D2268" s="257">
        <f>G2162</f>
        <v>-777092</v>
      </c>
      <c r="E2268" s="382">
        <f>ROUND('Plant input detail '!E2270*'WPB2.2 Plant detail-w slippage'!$P$2,0)</f>
        <v>0</v>
      </c>
      <c r="F2268" s="257">
        <f>ROUND('Plant input detail '!F2270*'WPB2.2 Plant detail-w slippage'!$P$2,0)</f>
        <v>0</v>
      </c>
      <c r="G2268" s="257">
        <f t="shared" ref="G2268" si="708">SUM(D2268:F2268)</f>
        <v>-777092</v>
      </c>
      <c r="H2268" s="264"/>
      <c r="I2268" s="257">
        <f>N2162</f>
        <v>-63980.863333333255</v>
      </c>
      <c r="J2268" s="296" t="s">
        <v>1094</v>
      </c>
      <c r="K2268" s="1334">
        <v>-2158.5833333333321</v>
      </c>
      <c r="L2268" s="38">
        <f t="shared" ref="L2268" si="709">-F2268</f>
        <v>0</v>
      </c>
      <c r="M2268" s="257">
        <f>ROUND('Plant input detail '!M2270*'WPB2.2 Plant detail-w slippage'!$P$2,0)</f>
        <v>0</v>
      </c>
      <c r="N2268" s="2227">
        <f t="shared" ref="N2268" si="710">I2268+K2268-L2268+M2268</f>
        <v>-66139.446666666583</v>
      </c>
      <c r="O2268" s="292"/>
    </row>
    <row r="2269" spans="1:16" x14ac:dyDescent="0.2">
      <c r="A2269" s="1723"/>
      <c r="D2269" s="38"/>
      <c r="E2269" s="173"/>
      <c r="F2269" s="173"/>
      <c r="G2269" s="38"/>
      <c r="H2269" s="38"/>
      <c r="I2269" s="173"/>
      <c r="J2269" s="1361"/>
      <c r="K2269" s="173"/>
      <c r="L2269" s="38"/>
      <c r="M2269" s="173"/>
    </row>
    <row r="2270" spans="1:16" x14ac:dyDescent="0.2">
      <c r="A2270" s="31">
        <f>A2268+1</f>
        <v>32</v>
      </c>
      <c r="C2270" s="32" t="s">
        <v>774</v>
      </c>
      <c r="D2270" s="40">
        <f>D2265+D2248+D2193+D2189+D2268</f>
        <v>448234153.36999989</v>
      </c>
      <c r="E2270" s="40">
        <f>E2265+E2248+E2193+E2189+E2268</f>
        <v>4830816</v>
      </c>
      <c r="F2270" s="40">
        <f>F2265+F2248+F2193+F2189+F2268</f>
        <v>-353800</v>
      </c>
      <c r="G2270" s="40">
        <f>G2265+G2248+G2193+G2189+G2268</f>
        <v>452711169.36999989</v>
      </c>
      <c r="H2270" s="38"/>
      <c r="I2270" s="40">
        <f>I2265+I2248+I2193+I2189+I2268</f>
        <v>155310100.78758389</v>
      </c>
      <c r="J2270" s="1363"/>
      <c r="K2270" s="40">
        <f>K2265+K2248+K2193+K2189+K2268</f>
        <v>1383056.8402491142</v>
      </c>
      <c r="L2270" s="40">
        <f>L2265+L2248+L2193+L2189+L2268</f>
        <v>353800</v>
      </c>
      <c r="M2270" s="40">
        <f>M2265+M2248+M2193+M2189+M2268</f>
        <v>-84500</v>
      </c>
      <c r="N2270" s="2230">
        <f>N2265+N2248+N2193+N2189+N2268</f>
        <v>156254857.62783304</v>
      </c>
    </row>
    <row r="2272" spans="1:16" x14ac:dyDescent="0.2">
      <c r="A2272" s="2079" t="str">
        <f>co</f>
        <v>COLUMBIA GAS OF KENTUCKY, INC.</v>
      </c>
      <c r="B2272" s="2079"/>
      <c r="C2272" s="2079"/>
      <c r="D2272" s="2079"/>
      <c r="E2272" s="2079"/>
      <c r="F2272" s="2079"/>
      <c r="G2272" s="2079"/>
      <c r="H2272" s="2079"/>
      <c r="I2272" s="2079"/>
      <c r="J2272" s="2079"/>
      <c r="K2272" s="2079"/>
      <c r="L2272" s="2079"/>
      <c r="M2272" s="2079"/>
      <c r="N2272" s="2079"/>
    </row>
    <row r="2273" spans="1:14" x14ac:dyDescent="0.2">
      <c r="A2273" s="2079" t="str">
        <f>case</f>
        <v>CASE NO. 2016 - 00162</v>
      </c>
      <c r="B2273" s="2079"/>
      <c r="C2273" s="2079"/>
      <c r="D2273" s="2079"/>
      <c r="E2273" s="2079"/>
      <c r="F2273" s="2079"/>
      <c r="G2273" s="2079"/>
      <c r="H2273" s="2079"/>
      <c r="I2273" s="2079"/>
      <c r="J2273" s="2079"/>
      <c r="K2273" s="2079"/>
      <c r="L2273" s="2079"/>
      <c r="M2273" s="2079"/>
      <c r="N2273" s="2079"/>
    </row>
    <row r="2274" spans="1:14" x14ac:dyDescent="0.2">
      <c r="A2274" s="2080" t="s">
        <v>1106</v>
      </c>
      <c r="B2274" s="2079"/>
      <c r="C2274" s="2079"/>
      <c r="D2274" s="2079"/>
      <c r="E2274" s="2079"/>
      <c r="F2274" s="2079"/>
      <c r="G2274" s="2079"/>
      <c r="H2274" s="2079"/>
      <c r="I2274" s="2079"/>
      <c r="J2274" s="2079"/>
      <c r="K2274" s="2079"/>
      <c r="L2274" s="2079"/>
      <c r="M2274" s="2079"/>
      <c r="N2274" s="2079"/>
    </row>
    <row r="2275" spans="1:14" x14ac:dyDescent="0.2">
      <c r="A2275" s="2081" t="s">
        <v>2142</v>
      </c>
      <c r="B2275" s="2085"/>
      <c r="C2275" s="2085"/>
      <c r="D2275" s="2085"/>
      <c r="E2275" s="2085"/>
      <c r="F2275" s="2085"/>
      <c r="G2275" s="2085"/>
      <c r="H2275" s="2085"/>
      <c r="I2275" s="2085"/>
      <c r="J2275" s="2085"/>
      <c r="K2275" s="2085"/>
      <c r="L2275" s="2085"/>
      <c r="M2275" s="2085"/>
      <c r="N2275" s="2085"/>
    </row>
    <row r="2277" spans="1:14" x14ac:dyDescent="0.2">
      <c r="A2277" s="285" t="str">
        <f>$A$6</f>
        <v>DATA:__X___BASE PERIOD__X___FORECASTED PERIOD</v>
      </c>
      <c r="C2277" s="171"/>
      <c r="I2277" s="32"/>
      <c r="N2277" s="1258" t="str">
        <f>$N$6</f>
        <v>WPB-2.2</v>
      </c>
    </row>
    <row r="2278" spans="1:14" x14ac:dyDescent="0.2">
      <c r="A2278" s="4" t="str">
        <f>$A$7</f>
        <v>TYPE OF FILING:___X____ORIGINAL________UPDATED</v>
      </c>
      <c r="I2278" s="32"/>
      <c r="N2278" s="2223" t="s">
        <v>1756</v>
      </c>
    </row>
    <row r="2279" spans="1:14" x14ac:dyDescent="0.2">
      <c r="A2279" s="1261" t="str">
        <f>$A$8</f>
        <v xml:space="preserve">WORKPAPER REFERENCE NO(S).: </v>
      </c>
      <c r="B2279" s="202"/>
      <c r="C2279" s="202"/>
      <c r="D2279" s="201"/>
      <c r="E2279" s="202"/>
      <c r="F2279" s="202"/>
      <c r="G2279" s="201"/>
      <c r="H2279" s="201"/>
      <c r="I2279" s="203"/>
      <c r="L2279" s="32"/>
      <c r="M2279" s="32"/>
      <c r="N2279" s="204" t="str">
        <f>SMK</f>
        <v>WITNESS:  S. M. KATKO</v>
      </c>
    </row>
    <row r="2280" spans="1:14" x14ac:dyDescent="0.2">
      <c r="A2280" s="200"/>
      <c r="B2280" s="201"/>
      <c r="C2280" s="201"/>
      <c r="D2280" s="201"/>
      <c r="E2280" s="202"/>
      <c r="F2280" s="202"/>
      <c r="G2280" s="201"/>
      <c r="H2280" s="201"/>
      <c r="I2280" s="203"/>
      <c r="J2280" s="1357"/>
      <c r="L2280" s="32"/>
      <c r="M2280" s="32"/>
    </row>
    <row r="2281" spans="1:14" x14ac:dyDescent="0.2">
      <c r="A2281" s="200"/>
      <c r="B2281" s="201"/>
      <c r="C2281" s="201"/>
      <c r="D2281" s="2082" t="s">
        <v>1088</v>
      </c>
      <c r="E2281" s="2082"/>
      <c r="F2281" s="2082"/>
      <c r="G2281" s="2082"/>
      <c r="H2281" s="201"/>
      <c r="I2281" s="2083" t="s">
        <v>1093</v>
      </c>
      <c r="J2281" s="2084"/>
      <c r="K2281" s="2084"/>
      <c r="L2281" s="2084"/>
      <c r="M2281" s="2084"/>
      <c r="N2281" s="2084"/>
    </row>
    <row r="2282" spans="1:14" x14ac:dyDescent="0.2">
      <c r="A2282" s="270"/>
      <c r="B2282" s="201"/>
      <c r="C2282" s="201"/>
      <c r="D2282" s="271" t="s">
        <v>1084</v>
      </c>
      <c r="E2282" s="202"/>
      <c r="F2282" s="202"/>
      <c r="G2282" s="269"/>
      <c r="H2282" s="269"/>
      <c r="I2282" s="261" t="s">
        <v>1089</v>
      </c>
      <c r="J2282" s="1358"/>
      <c r="M2282" s="32"/>
    </row>
    <row r="2283" spans="1:14" x14ac:dyDescent="0.2">
      <c r="A2283" s="30"/>
      <c r="D2283" s="261" t="s">
        <v>865</v>
      </c>
      <c r="G2283" s="261" t="s">
        <v>867</v>
      </c>
      <c r="H2283" s="268"/>
      <c r="I2283" s="261" t="s">
        <v>865</v>
      </c>
      <c r="J2283" s="1308" t="s">
        <v>956</v>
      </c>
      <c r="M2283" s="32"/>
      <c r="N2283" s="2225" t="s">
        <v>867</v>
      </c>
    </row>
    <row r="2284" spans="1:14" x14ac:dyDescent="0.2">
      <c r="A2284" s="261" t="s">
        <v>1080</v>
      </c>
      <c r="B2284" s="261" t="s">
        <v>1082</v>
      </c>
      <c r="D2284" s="261" t="s">
        <v>867</v>
      </c>
      <c r="G2284" s="262" t="s">
        <v>1087</v>
      </c>
      <c r="H2284" s="268"/>
      <c r="I2284" s="262" t="s">
        <v>867</v>
      </c>
      <c r="J2284" s="1308" t="s">
        <v>1090</v>
      </c>
      <c r="K2284" s="1308" t="s">
        <v>956</v>
      </c>
      <c r="M2284" s="262" t="s">
        <v>1092</v>
      </c>
      <c r="N2284" s="1259" t="s">
        <v>1087</v>
      </c>
    </row>
    <row r="2285" spans="1:14" x14ac:dyDescent="0.2">
      <c r="A2285" s="272" t="s">
        <v>1081</v>
      </c>
      <c r="B2285" s="272" t="s">
        <v>1081</v>
      </c>
      <c r="C2285" s="273" t="s">
        <v>1083</v>
      </c>
      <c r="D2285" s="298" t="str">
        <f>"11/30/2017"</f>
        <v>11/30/2017</v>
      </c>
      <c r="E2285" s="275" t="s">
        <v>1085</v>
      </c>
      <c r="F2285" s="275" t="s">
        <v>1086</v>
      </c>
      <c r="G2285" s="298" t="str">
        <f>"12/31/2017"</f>
        <v>12/31/2017</v>
      </c>
      <c r="H2285" s="268"/>
      <c r="I2285" s="274" t="str">
        <f>D2285</f>
        <v>11/30/2017</v>
      </c>
      <c r="J2285" s="275" t="s">
        <v>1091</v>
      </c>
      <c r="K2285" s="1327" t="s">
        <v>1090</v>
      </c>
      <c r="L2285" s="276" t="s">
        <v>1086</v>
      </c>
      <c r="M2285" s="276" t="s">
        <v>955</v>
      </c>
      <c r="N2285" s="2226" t="str">
        <f>G2285</f>
        <v>12/31/2017</v>
      </c>
    </row>
    <row r="2286" spans="1:14" x14ac:dyDescent="0.2">
      <c r="A2286" s="267"/>
      <c r="B2286" s="267"/>
      <c r="C2286" s="267"/>
      <c r="D2286" s="267" t="str">
        <f>"(1)"</f>
        <v>(1)</v>
      </c>
      <c r="E2286" s="267" t="str">
        <f>"(2)"</f>
        <v>(2)</v>
      </c>
      <c r="F2286" s="267" t="str">
        <f>"(3)"</f>
        <v>(3)</v>
      </c>
      <c r="G2286" s="267" t="str">
        <f>"(4)=(1+2+3)"</f>
        <v>(4)=(1+2+3)</v>
      </c>
      <c r="H2286" s="267"/>
      <c r="I2286" s="267" t="str">
        <f>"(5)"</f>
        <v>(5)</v>
      </c>
      <c r="J2286" s="1328" t="str">
        <f>"(6)"</f>
        <v>(6)</v>
      </c>
      <c r="K2286" s="1328" t="str">
        <f>"(7)=((1+4)/2*6/12))"</f>
        <v>(7)=((1+4)/2*6/12))</v>
      </c>
      <c r="L2286" s="267" t="str">
        <f>"(8)"</f>
        <v>(8)</v>
      </c>
      <c r="M2286" s="267" t="str">
        <f>"(9)"</f>
        <v>(9)</v>
      </c>
      <c r="N2286" s="204" t="str">
        <f>"(10)=(5+7-8+9)"</f>
        <v>(10)=(5+7-8+9)</v>
      </c>
    </row>
    <row r="2287" spans="1:14" x14ac:dyDescent="0.2">
      <c r="D2287" s="31" t="s">
        <v>639</v>
      </c>
      <c r="E2287" s="170" t="s">
        <v>639</v>
      </c>
      <c r="F2287" s="170" t="s">
        <v>639</v>
      </c>
      <c r="G2287" s="31" t="s">
        <v>639</v>
      </c>
      <c r="H2287" s="31"/>
      <c r="I2287" s="31" t="s">
        <v>639</v>
      </c>
      <c r="J2287" s="170" t="s">
        <v>639</v>
      </c>
      <c r="K2287" s="170" t="s">
        <v>639</v>
      </c>
      <c r="L2287" s="31" t="s">
        <v>639</v>
      </c>
      <c r="M2287" s="31" t="s">
        <v>639</v>
      </c>
      <c r="N2287" s="155" t="s">
        <v>639</v>
      </c>
    </row>
    <row r="2288" spans="1:14" x14ac:dyDescent="0.2">
      <c r="A2288" s="31">
        <v>1</v>
      </c>
      <c r="B2288" s="36" t="s">
        <v>1025</v>
      </c>
      <c r="C2288" s="34"/>
      <c r="M2288" s="32"/>
    </row>
    <row r="2289" spans="1:14" x14ac:dyDescent="0.2">
      <c r="A2289" s="31">
        <f>A2288+1</f>
        <v>2</v>
      </c>
      <c r="C2289" s="36" t="s">
        <v>697</v>
      </c>
      <c r="M2289" s="32"/>
    </row>
    <row r="2290" spans="1:14" x14ac:dyDescent="0.2">
      <c r="A2290" s="31">
        <f t="shared" ref="A2290:A2295" si="711">A2289+1</f>
        <v>3</v>
      </c>
      <c r="B2290" s="253">
        <v>301</v>
      </c>
      <c r="C2290" s="52" t="s">
        <v>1026</v>
      </c>
      <c r="D2290" s="257">
        <f>G2184</f>
        <v>521.20000000000005</v>
      </c>
      <c r="E2290" s="382">
        <f>ROUND('Plant input detail '!E2292*'WPB2.2 Plant detail-w slippage'!$P$2,0)</f>
        <v>0</v>
      </c>
      <c r="F2290" s="257">
        <f>ROUND('Plant input detail '!F2292*'WPB2.2 Plant detail-w slippage'!$P$2,0)</f>
        <v>0</v>
      </c>
      <c r="G2290" s="257">
        <f>SUM(D2290:F2290)</f>
        <v>521.20000000000005</v>
      </c>
      <c r="H2290" s="38"/>
      <c r="I2290" s="257">
        <f>N2184</f>
        <v>0</v>
      </c>
      <c r="J2290" s="296" t="s">
        <v>1094</v>
      </c>
      <c r="K2290" s="259">
        <v>0</v>
      </c>
      <c r="L2290" s="38">
        <f>-F2290</f>
        <v>0</v>
      </c>
      <c r="M2290" s="259">
        <v>0</v>
      </c>
      <c r="N2290" s="2227">
        <f>I2290+K2290-L2290+M2290</f>
        <v>0</v>
      </c>
    </row>
    <row r="2291" spans="1:14" x14ac:dyDescent="0.2">
      <c r="A2291" s="31">
        <f t="shared" si="711"/>
        <v>4</v>
      </c>
      <c r="B2291" s="253">
        <v>303</v>
      </c>
      <c r="C2291" s="52" t="s">
        <v>1027</v>
      </c>
      <c r="D2291" s="257">
        <f>G2185</f>
        <v>74347.509999999995</v>
      </c>
      <c r="E2291" s="382">
        <f>ROUND('Plant input detail '!E2293*'WPB2.2 Plant detail-w slippage'!$P$2,0)</f>
        <v>0</v>
      </c>
      <c r="F2291" s="257">
        <f>ROUND('Plant input detail '!F2293*'WPB2.2 Plant detail-w slippage'!$P$2,0)</f>
        <v>0</v>
      </c>
      <c r="G2291" s="257">
        <f>SUM(D2291:F2291)</f>
        <v>74347.509999999995</v>
      </c>
      <c r="H2291" s="38"/>
      <c r="I2291" s="257">
        <f>N2185</f>
        <v>50136.349999999933</v>
      </c>
      <c r="J2291" s="296" t="s">
        <v>1094</v>
      </c>
      <c r="K2291" s="257">
        <f>'WPB2.2a Intan Amort. w slippage'!R$127</f>
        <v>206.52</v>
      </c>
      <c r="L2291" s="38">
        <f>-F2291</f>
        <v>0</v>
      </c>
      <c r="M2291" s="259">
        <v>0</v>
      </c>
      <c r="N2291" s="2227">
        <f>I2291+K2291-L2291+M2291</f>
        <v>50342.86999999993</v>
      </c>
    </row>
    <row r="2292" spans="1:14" x14ac:dyDescent="0.2">
      <c r="A2292" s="31">
        <f t="shared" si="711"/>
        <v>5</v>
      </c>
      <c r="B2292" s="253">
        <v>303.10000000000002</v>
      </c>
      <c r="C2292" s="52" t="s">
        <v>1028</v>
      </c>
      <c r="D2292" s="257">
        <f>G2186</f>
        <v>0</v>
      </c>
      <c r="E2292" s="382">
        <f>ROUND('Plant input detail '!E2294*'WPB2.2 Plant detail-w slippage'!$P$2,0)</f>
        <v>0</v>
      </c>
      <c r="F2292" s="257">
        <f>ROUND('Plant input detail '!F2294*'WPB2.2 Plant detail-w slippage'!$P$2,0)</f>
        <v>0</v>
      </c>
      <c r="G2292" s="257">
        <f>SUM(D2292:F2292)</f>
        <v>0</v>
      </c>
      <c r="H2292" s="38"/>
      <c r="I2292" s="257">
        <f>N2186</f>
        <v>0</v>
      </c>
      <c r="J2292" s="296" t="s">
        <v>1094</v>
      </c>
      <c r="K2292" s="259">
        <v>0</v>
      </c>
      <c r="L2292" s="38">
        <f>-F2292</f>
        <v>0</v>
      </c>
      <c r="M2292" s="259">
        <v>0</v>
      </c>
      <c r="N2292" s="2227">
        <f>I2292+K2292-L2292+M2292</f>
        <v>0</v>
      </c>
    </row>
    <row r="2293" spans="1:14" x14ac:dyDescent="0.2">
      <c r="A2293" s="31">
        <f t="shared" si="711"/>
        <v>6</v>
      </c>
      <c r="B2293" s="253">
        <v>303.2</v>
      </c>
      <c r="C2293" s="52" t="s">
        <v>1029</v>
      </c>
      <c r="D2293" s="257">
        <f>G2187</f>
        <v>0</v>
      </c>
      <c r="E2293" s="382">
        <f>ROUND('Plant input detail '!E2295*'WPB2.2 Plant detail-w slippage'!$P$2,0)</f>
        <v>0</v>
      </c>
      <c r="F2293" s="257">
        <f>ROUND('Plant input detail '!F2295*'WPB2.2 Plant detail-w slippage'!$P$2,0)</f>
        <v>0</v>
      </c>
      <c r="G2293" s="257">
        <f>SUM(D2293:F2293)</f>
        <v>0</v>
      </c>
      <c r="H2293" s="38"/>
      <c r="I2293" s="257">
        <f>N2187</f>
        <v>0</v>
      </c>
      <c r="J2293" s="296" t="s">
        <v>1094</v>
      </c>
      <c r="K2293" s="259">
        <v>0</v>
      </c>
      <c r="L2293" s="38">
        <f>-F2293</f>
        <v>0</v>
      </c>
      <c r="M2293" s="259">
        <v>0</v>
      </c>
      <c r="N2293" s="2227">
        <f>I2293+K2293-L2293+M2293</f>
        <v>0</v>
      </c>
    </row>
    <row r="2294" spans="1:14" x14ac:dyDescent="0.2">
      <c r="A2294" s="31">
        <f t="shared" si="711"/>
        <v>7</v>
      </c>
      <c r="B2294" s="253">
        <v>303.3</v>
      </c>
      <c r="C2294" s="52" t="s">
        <v>1030</v>
      </c>
      <c r="D2294" s="260">
        <f>G2188</f>
        <v>9670586</v>
      </c>
      <c r="E2294" s="265">
        <f>ROUND('Plant input detail '!E2296*'WPB2.2 Plant detail-w slippage'!$P$2,0)</f>
        <v>46600</v>
      </c>
      <c r="F2294" s="265">
        <f>ROUND('Plant input detail '!F2296*'WPB2.2 Plant detail-w slippage'!$P$2,0)</f>
        <v>0</v>
      </c>
      <c r="G2294" s="260">
        <f>SUM(D2294:F2294)</f>
        <v>9717186</v>
      </c>
      <c r="H2294" s="38"/>
      <c r="I2294" s="260">
        <f>N2188</f>
        <v>4012283.635552322</v>
      </c>
      <c r="J2294" s="296" t="s">
        <v>1094</v>
      </c>
      <c r="K2294" s="260">
        <f>'WPB2.2a Intan Amort. w slippage'!R$216</f>
        <v>125014.97264534864</v>
      </c>
      <c r="L2294" s="295">
        <f>-F2294</f>
        <v>0</v>
      </c>
      <c r="M2294" s="263">
        <v>0</v>
      </c>
      <c r="N2294" s="2228">
        <f>I2294+K2294-L2294+M2294</f>
        <v>4137298.6081976704</v>
      </c>
    </row>
    <row r="2295" spans="1:14" x14ac:dyDescent="0.2">
      <c r="A2295" s="31">
        <f t="shared" si="711"/>
        <v>8</v>
      </c>
      <c r="B2295" s="253"/>
      <c r="C2295" s="52" t="s">
        <v>1031</v>
      </c>
      <c r="D2295" s="38">
        <f>SUM(D2290:D2294)</f>
        <v>9745454.7100000009</v>
      </c>
      <c r="E2295" s="173">
        <f>SUM(E2290:E2294)</f>
        <v>46600</v>
      </c>
      <c r="F2295" s="173">
        <f>SUM(F2290:F2294)</f>
        <v>0</v>
      </c>
      <c r="G2295" s="38">
        <f>SUM(G2290:G2294)</f>
        <v>9792054.7100000009</v>
      </c>
      <c r="H2295" s="38"/>
      <c r="I2295" s="38">
        <f>SUM(I2290:I2294)</f>
        <v>4062419.9855523221</v>
      </c>
      <c r="J2295" s="1359"/>
      <c r="K2295" s="173">
        <f>SUM(K2290:K2294)</f>
        <v>125221.49264534864</v>
      </c>
      <c r="L2295" s="38">
        <f>SUM(L2290:L2294)</f>
        <v>0</v>
      </c>
      <c r="M2295" s="173">
        <f>SUM(M2290:M2294)</f>
        <v>0</v>
      </c>
      <c r="N2295" s="1361">
        <f>SUM(N2290:N2294)</f>
        <v>4187641.4781976705</v>
      </c>
    </row>
    <row r="2296" spans="1:14" x14ac:dyDescent="0.2">
      <c r="B2296" s="254"/>
      <c r="D2296" s="38"/>
      <c r="E2296" s="173"/>
      <c r="F2296" s="173"/>
      <c r="G2296" s="38"/>
      <c r="H2296" s="38"/>
      <c r="I2296" s="38"/>
      <c r="J2296" s="1359"/>
      <c r="K2296" s="173"/>
      <c r="L2296" s="38"/>
      <c r="M2296" s="173"/>
    </row>
    <row r="2297" spans="1:14" x14ac:dyDescent="0.2">
      <c r="A2297" s="31">
        <f>A2295+1</f>
        <v>9</v>
      </c>
      <c r="B2297" s="254"/>
      <c r="C2297" s="36" t="s">
        <v>704</v>
      </c>
      <c r="D2297" s="38"/>
      <c r="E2297" s="173"/>
      <c r="F2297" s="173"/>
      <c r="G2297" s="38"/>
      <c r="H2297" s="38"/>
      <c r="I2297" s="38"/>
      <c r="J2297" s="1359"/>
      <c r="K2297" s="173"/>
      <c r="L2297" s="38"/>
      <c r="M2297" s="173"/>
    </row>
    <row r="2298" spans="1:14" x14ac:dyDescent="0.2">
      <c r="A2298" s="31">
        <f>A2297+1</f>
        <v>10</v>
      </c>
      <c r="B2298" s="255">
        <v>304.10000000000002</v>
      </c>
      <c r="C2298" s="41" t="s">
        <v>1032</v>
      </c>
      <c r="D2298" s="260">
        <f>G2192</f>
        <v>0</v>
      </c>
      <c r="E2298" s="265">
        <f>ROUND('Plant input detail '!E2300*'WPB2.2 Plant detail-w slippage'!$P$2,0)</f>
        <v>0</v>
      </c>
      <c r="F2298" s="265">
        <f>ROUND('Plant input detail '!F2300*'WPB2.2 Plant detail-w slippage'!$P$2,0)</f>
        <v>0</v>
      </c>
      <c r="G2298" s="260">
        <f>SUM(D2298:F2298)</f>
        <v>0</v>
      </c>
      <c r="H2298" s="38"/>
      <c r="I2298" s="260">
        <f>N2192</f>
        <v>0</v>
      </c>
      <c r="J2298" s="1360" t="s">
        <v>1102</v>
      </c>
      <c r="K2298" s="266">
        <v>0</v>
      </c>
      <c r="L2298" s="295">
        <f>-F2298</f>
        <v>0</v>
      </c>
      <c r="M2298" s="263">
        <v>0</v>
      </c>
      <c r="N2298" s="2228">
        <f>I2298+K2298-L2298+M2298</f>
        <v>0</v>
      </c>
    </row>
    <row r="2299" spans="1:14" x14ac:dyDescent="0.2">
      <c r="A2299" s="31">
        <f>A2298+1</f>
        <v>11</v>
      </c>
      <c r="B2299" s="255"/>
      <c r="C2299" s="256" t="s">
        <v>1079</v>
      </c>
      <c r="D2299" s="38">
        <f>D2298</f>
        <v>0</v>
      </c>
      <c r="E2299" s="173">
        <f>E2298</f>
        <v>0</v>
      </c>
      <c r="F2299" s="173">
        <f>F2298</f>
        <v>0</v>
      </c>
      <c r="G2299" s="38">
        <f>G2298</f>
        <v>0</v>
      </c>
      <c r="H2299" s="38"/>
      <c r="I2299" s="38">
        <f>I2298</f>
        <v>0</v>
      </c>
      <c r="J2299" s="1361"/>
      <c r="K2299" s="173">
        <f>SUM(K2298)</f>
        <v>0</v>
      </c>
      <c r="L2299" s="38">
        <f>SUM(L2298)</f>
        <v>0</v>
      </c>
      <c r="M2299" s="173">
        <f>M2298</f>
        <v>0</v>
      </c>
      <c r="N2299" s="1361">
        <f>N2298</f>
        <v>0</v>
      </c>
    </row>
    <row r="2300" spans="1:14" x14ac:dyDescent="0.2">
      <c r="B2300" s="254"/>
      <c r="D2300" s="38"/>
      <c r="E2300" s="173"/>
      <c r="F2300" s="173"/>
      <c r="G2300" s="38"/>
      <c r="H2300" s="38"/>
      <c r="I2300" s="38"/>
      <c r="J2300" s="1361"/>
      <c r="K2300" s="173"/>
      <c r="L2300" s="38"/>
      <c r="M2300" s="173"/>
    </row>
    <row r="2301" spans="1:14" x14ac:dyDescent="0.2">
      <c r="A2301" s="31">
        <f>A2299+1</f>
        <v>12</v>
      </c>
      <c r="B2301" s="254"/>
      <c r="C2301" s="36" t="s">
        <v>707</v>
      </c>
      <c r="D2301" s="38"/>
      <c r="E2301" s="173"/>
      <c r="F2301" s="173"/>
      <c r="G2301" s="38"/>
      <c r="H2301" s="38"/>
      <c r="I2301" s="38"/>
      <c r="J2301" s="1361"/>
      <c r="K2301" s="173"/>
      <c r="L2301" s="38"/>
      <c r="M2301" s="173"/>
    </row>
    <row r="2302" spans="1:14" x14ac:dyDescent="0.2">
      <c r="A2302" s="31">
        <f>A2301+1</f>
        <v>13</v>
      </c>
      <c r="B2302" s="253">
        <v>374.1</v>
      </c>
      <c r="C2302" s="52" t="s">
        <v>1035</v>
      </c>
      <c r="D2302" s="257">
        <f t="shared" ref="D2302:D2312" si="712">G2196</f>
        <v>206</v>
      </c>
      <c r="E2302" s="382">
        <f>ROUND('Plant input detail '!E2304*'WPB2.2 Plant detail-w slippage'!$P$2,0)</f>
        <v>0</v>
      </c>
      <c r="F2302" s="257">
        <f>ROUND('Plant input detail '!F2304*'WPB2.2 Plant detail-w slippage'!$P$2,0)</f>
        <v>0</v>
      </c>
      <c r="G2302" s="257">
        <f>SUM(D2302:F2302)</f>
        <v>206</v>
      </c>
      <c r="H2302" s="38"/>
      <c r="I2302" s="257">
        <f t="shared" ref="I2302:I2312" si="713">N2196</f>
        <v>0</v>
      </c>
      <c r="J2302" s="1360" t="s">
        <v>1102</v>
      </c>
      <c r="K2302" s="259">
        <v>0</v>
      </c>
      <c r="L2302" s="38">
        <f t="shared" ref="L2302:L2312" si="714">-F2302</f>
        <v>0</v>
      </c>
      <c r="M2302" s="257">
        <f>ROUND('Plant input detail '!M2304*'WPB2.2 Plant detail-w slippage'!$P$2,0)</f>
        <v>0</v>
      </c>
      <c r="N2302" s="2227">
        <f t="shared" ref="N2302:N2312" si="715">I2302+K2302-L2302+M2302</f>
        <v>0</v>
      </c>
    </row>
    <row r="2303" spans="1:14" x14ac:dyDescent="0.2">
      <c r="A2303" s="31">
        <f t="shared" ref="A2303:A2323" si="716">A2302+1</f>
        <v>14</v>
      </c>
      <c r="B2303" s="253">
        <v>374.2</v>
      </c>
      <c r="C2303" s="52" t="s">
        <v>1036</v>
      </c>
      <c r="D2303" s="257">
        <f t="shared" si="712"/>
        <v>877756.18</v>
      </c>
      <c r="E2303" s="382">
        <f>ROUND('Plant input detail '!E2305*'WPB2.2 Plant detail-w slippage'!$P$2,0)</f>
        <v>0</v>
      </c>
      <c r="F2303" s="257">
        <f>ROUND('Plant input detail '!F2305*'WPB2.2 Plant detail-w slippage'!$P$2,0)</f>
        <v>0</v>
      </c>
      <c r="G2303" s="257">
        <f t="shared" ref="G2303:G2312" si="717">SUM(D2303:F2303)</f>
        <v>877756.18</v>
      </c>
      <c r="H2303" s="38"/>
      <c r="I2303" s="257">
        <f t="shared" si="713"/>
        <v>-523.13</v>
      </c>
      <c r="J2303" s="1360" t="s">
        <v>1102</v>
      </c>
      <c r="K2303" s="259">
        <v>0</v>
      </c>
      <c r="L2303" s="38">
        <f t="shared" si="714"/>
        <v>0</v>
      </c>
      <c r="M2303" s="257">
        <f>ROUND('Plant input detail '!M2305*'WPB2.2 Plant detail-w slippage'!$P$2,0)</f>
        <v>0</v>
      </c>
      <c r="N2303" s="2227">
        <f t="shared" si="715"/>
        <v>-523.13</v>
      </c>
    </row>
    <row r="2304" spans="1:14" x14ac:dyDescent="0.2">
      <c r="A2304" s="31">
        <f t="shared" si="716"/>
        <v>15</v>
      </c>
      <c r="B2304" s="253">
        <v>374.4</v>
      </c>
      <c r="C2304" s="52" t="s">
        <v>1037</v>
      </c>
      <c r="D2304" s="257">
        <f t="shared" si="712"/>
        <v>661305.66</v>
      </c>
      <c r="E2304" s="382">
        <f>ROUND('Plant input detail '!E2306*'WPB2.2 Plant detail-w slippage'!$P$2,0)</f>
        <v>0</v>
      </c>
      <c r="F2304" s="257">
        <f>ROUND('Plant input detail '!F2306*'WPB2.2 Plant detail-w slippage'!$P$2,0)</f>
        <v>0</v>
      </c>
      <c r="G2304" s="257">
        <f t="shared" si="717"/>
        <v>661305.66</v>
      </c>
      <c r="H2304" s="38"/>
      <c r="I2304" s="257">
        <f t="shared" si="713"/>
        <v>189432.36</v>
      </c>
      <c r="J2304" s="1362">
        <f t="shared" ref="J2304:J2310" si="718">J2198</f>
        <v>1.7399999999999999E-2</v>
      </c>
      <c r="K2304" s="173">
        <f>ROUND((G2304+D2304)/2*J2304/12,0)</f>
        <v>959</v>
      </c>
      <c r="L2304" s="38">
        <f t="shared" si="714"/>
        <v>0</v>
      </c>
      <c r="M2304" s="257">
        <f>ROUND('Plant input detail '!M2306*'WPB2.2 Plant detail-w slippage'!$P$2,0)</f>
        <v>0</v>
      </c>
      <c r="N2304" s="2227">
        <f t="shared" si="715"/>
        <v>190391.36</v>
      </c>
    </row>
    <row r="2305" spans="1:14" x14ac:dyDescent="0.2">
      <c r="A2305" s="31">
        <f t="shared" si="716"/>
        <v>16</v>
      </c>
      <c r="B2305" s="253">
        <v>374.5</v>
      </c>
      <c r="C2305" s="52" t="s">
        <v>1038</v>
      </c>
      <c r="D2305" s="257">
        <f t="shared" si="712"/>
        <v>2747772.55</v>
      </c>
      <c r="E2305" s="382">
        <f>ROUND('Plant input detail '!E2307*'WPB2.2 Plant detail-w slippage'!$P$2,0)</f>
        <v>3600</v>
      </c>
      <c r="F2305" s="257">
        <f>ROUND('Plant input detail '!F2307*'WPB2.2 Plant detail-w slippage'!$P$2,0)</f>
        <v>-400</v>
      </c>
      <c r="G2305" s="257">
        <f t="shared" si="717"/>
        <v>2750972.55</v>
      </c>
      <c r="H2305" s="38"/>
      <c r="I2305" s="257">
        <f t="shared" si="713"/>
        <v>954845.23</v>
      </c>
      <c r="J2305" s="1362">
        <f t="shared" si="718"/>
        <v>1.29E-2</v>
      </c>
      <c r="K2305" s="173">
        <f t="shared" ref="K2305:K2310" si="719">ROUND((G2305+D2305)/2*J2305/12,0)</f>
        <v>2956</v>
      </c>
      <c r="L2305" s="38">
        <f t="shared" si="714"/>
        <v>400</v>
      </c>
      <c r="M2305" s="257">
        <f>ROUND('Plant input detail '!M2307*'WPB2.2 Plant detail-w slippage'!$P$2,0)</f>
        <v>0</v>
      </c>
      <c r="N2305" s="2227">
        <f t="shared" si="715"/>
        <v>957401.23</v>
      </c>
    </row>
    <row r="2306" spans="1:14" x14ac:dyDescent="0.2">
      <c r="A2306" s="31">
        <f t="shared" si="716"/>
        <v>17</v>
      </c>
      <c r="B2306" s="253">
        <v>375.2</v>
      </c>
      <c r="C2306" s="52" t="s">
        <v>1039</v>
      </c>
      <c r="D2306" s="257">
        <f t="shared" si="712"/>
        <v>2124.98</v>
      </c>
      <c r="E2306" s="382">
        <f>ROUND('Plant input detail '!E2308*'WPB2.2 Plant detail-w slippage'!$P$2,0)</f>
        <v>0</v>
      </c>
      <c r="F2306" s="257">
        <f>ROUND('Plant input detail '!F2308*'WPB2.2 Plant detail-w slippage'!$P$2,0)</f>
        <v>0</v>
      </c>
      <c r="G2306" s="257">
        <f t="shared" si="717"/>
        <v>2124.98</v>
      </c>
      <c r="H2306" s="38"/>
      <c r="I2306" s="257">
        <f t="shared" si="713"/>
        <v>2093.3199999999997</v>
      </c>
      <c r="J2306" s="1362">
        <f t="shared" si="718"/>
        <v>3.1800000000000002E-2</v>
      </c>
      <c r="K2306" s="173">
        <f t="shared" si="719"/>
        <v>6</v>
      </c>
      <c r="L2306" s="38">
        <f t="shared" si="714"/>
        <v>0</v>
      </c>
      <c r="M2306" s="257">
        <f>ROUND('Plant input detail '!M2308*'WPB2.2 Plant detail-w slippage'!$P$2,0)</f>
        <v>0</v>
      </c>
      <c r="N2306" s="2227">
        <f t="shared" si="715"/>
        <v>2099.3199999999997</v>
      </c>
    </row>
    <row r="2307" spans="1:14" x14ac:dyDescent="0.2">
      <c r="A2307" s="31">
        <f t="shared" si="716"/>
        <v>18</v>
      </c>
      <c r="B2307" s="253">
        <v>375.3</v>
      </c>
      <c r="C2307" s="52" t="s">
        <v>1040</v>
      </c>
      <c r="D2307" s="257">
        <f t="shared" si="712"/>
        <v>0</v>
      </c>
      <c r="E2307" s="382">
        <f>ROUND('Plant input detail '!E2309*'WPB2.2 Plant detail-w slippage'!$P$2,0)</f>
        <v>0</v>
      </c>
      <c r="F2307" s="257">
        <f>ROUND('Plant input detail '!F2309*'WPB2.2 Plant detail-w slippage'!$P$2,0)</f>
        <v>0</v>
      </c>
      <c r="G2307" s="257">
        <f t="shared" si="717"/>
        <v>0</v>
      </c>
      <c r="H2307" s="38"/>
      <c r="I2307" s="257">
        <f t="shared" si="713"/>
        <v>-77.66</v>
      </c>
      <c r="J2307" s="1362">
        <f t="shared" si="718"/>
        <v>3.1800000000000002E-2</v>
      </c>
      <c r="K2307" s="173">
        <f t="shared" si="719"/>
        <v>0</v>
      </c>
      <c r="L2307" s="38">
        <f t="shared" si="714"/>
        <v>0</v>
      </c>
      <c r="M2307" s="257">
        <f>ROUND('Plant input detail '!M2309*'WPB2.2 Plant detail-w slippage'!$P$2,0)</f>
        <v>0</v>
      </c>
      <c r="N2307" s="2227">
        <f t="shared" si="715"/>
        <v>-77.66</v>
      </c>
    </row>
    <row r="2308" spans="1:14" x14ac:dyDescent="0.2">
      <c r="A2308" s="31">
        <f t="shared" si="716"/>
        <v>19</v>
      </c>
      <c r="B2308" s="253">
        <v>375.4</v>
      </c>
      <c r="C2308" s="52" t="s">
        <v>1041</v>
      </c>
      <c r="D2308" s="257">
        <f t="shared" si="712"/>
        <v>2330830.02</v>
      </c>
      <c r="E2308" s="382">
        <f>ROUND('Plant input detail '!E2310*'WPB2.2 Plant detail-w slippage'!$P$2,0)</f>
        <v>23900</v>
      </c>
      <c r="F2308" s="257">
        <f>ROUND('Plant input detail '!F2310*'WPB2.2 Plant detail-w slippage'!$P$2,0)</f>
        <v>-2900</v>
      </c>
      <c r="G2308" s="257">
        <f t="shared" si="717"/>
        <v>2351830.02</v>
      </c>
      <c r="H2308" s="38"/>
      <c r="I2308" s="257">
        <f t="shared" si="713"/>
        <v>513117.37</v>
      </c>
      <c r="J2308" s="1362">
        <f t="shared" si="718"/>
        <v>3.1800000000000002E-2</v>
      </c>
      <c r="K2308" s="173">
        <f t="shared" si="719"/>
        <v>6205</v>
      </c>
      <c r="L2308" s="38">
        <f t="shared" si="714"/>
        <v>2900</v>
      </c>
      <c r="M2308" s="257">
        <f>ROUND('Plant input detail '!M2310*'WPB2.2 Plant detail-w slippage'!$P$2,0)</f>
        <v>-300</v>
      </c>
      <c r="N2308" s="2227">
        <f t="shared" si="715"/>
        <v>516122.37</v>
      </c>
    </row>
    <row r="2309" spans="1:14" x14ac:dyDescent="0.2">
      <c r="A2309" s="31">
        <f t="shared" si="716"/>
        <v>20</v>
      </c>
      <c r="B2309" s="253">
        <v>375.6</v>
      </c>
      <c r="C2309" s="52" t="s">
        <v>1042</v>
      </c>
      <c r="D2309" s="257">
        <f t="shared" si="712"/>
        <v>0</v>
      </c>
      <c r="E2309" s="382">
        <f>ROUND('Plant input detail '!E2311*'WPB2.2 Plant detail-w slippage'!$P$2,0)</f>
        <v>0</v>
      </c>
      <c r="F2309" s="257">
        <f>ROUND('Plant input detail '!F2311*'WPB2.2 Plant detail-w slippage'!$P$2,0)</f>
        <v>0</v>
      </c>
      <c r="G2309" s="257">
        <f t="shared" si="717"/>
        <v>0</v>
      </c>
      <c r="H2309" s="38"/>
      <c r="I2309" s="257">
        <f t="shared" si="713"/>
        <v>0.02</v>
      </c>
      <c r="J2309" s="1362">
        <f t="shared" si="718"/>
        <v>3.1800000000000002E-2</v>
      </c>
      <c r="K2309" s="173">
        <f t="shared" si="719"/>
        <v>0</v>
      </c>
      <c r="L2309" s="38">
        <f t="shared" si="714"/>
        <v>0</v>
      </c>
      <c r="M2309" s="257">
        <f>ROUND('Plant input detail '!M2311*'WPB2.2 Plant detail-w slippage'!$P$2,0)</f>
        <v>0</v>
      </c>
      <c r="N2309" s="2227">
        <f t="shared" si="715"/>
        <v>0.02</v>
      </c>
    </row>
    <row r="2310" spans="1:14" x14ac:dyDescent="0.2">
      <c r="A2310" s="31">
        <f t="shared" si="716"/>
        <v>21</v>
      </c>
      <c r="B2310" s="253">
        <v>375.7</v>
      </c>
      <c r="C2310" s="52" t="s">
        <v>1043</v>
      </c>
      <c r="D2310" s="257">
        <f t="shared" si="712"/>
        <v>10095450.210000001</v>
      </c>
      <c r="E2310" s="382">
        <f>ROUND('Plant input detail '!E2312*'WPB2.2 Plant detail-w slippage'!$P$2,0)</f>
        <v>48300</v>
      </c>
      <c r="F2310" s="257">
        <f>ROUND('Plant input detail '!F2312*'WPB2.2 Plant detail-w slippage'!$P$2,0)</f>
        <v>-5800</v>
      </c>
      <c r="G2310" s="257">
        <f t="shared" si="717"/>
        <v>10137950.210000001</v>
      </c>
      <c r="H2310" s="38"/>
      <c r="I2310" s="257">
        <f t="shared" si="713"/>
        <v>3419370.06</v>
      </c>
      <c r="J2310" s="1362">
        <f t="shared" si="718"/>
        <v>2.1299999999999999E-2</v>
      </c>
      <c r="K2310" s="173">
        <f t="shared" si="719"/>
        <v>17957</v>
      </c>
      <c r="L2310" s="38">
        <f t="shared" si="714"/>
        <v>5800</v>
      </c>
      <c r="M2310" s="257">
        <f>ROUND('Plant input detail '!M2312*'WPB2.2 Plant detail-w slippage'!$P$2,0)</f>
        <v>0</v>
      </c>
      <c r="N2310" s="2227">
        <f t="shared" si="715"/>
        <v>3431527.06</v>
      </c>
    </row>
    <row r="2311" spans="1:14" x14ac:dyDescent="0.2">
      <c r="A2311" s="31">
        <f t="shared" si="716"/>
        <v>22</v>
      </c>
      <c r="B2311" s="253">
        <v>375.71</v>
      </c>
      <c r="C2311" s="52" t="s">
        <v>1044</v>
      </c>
      <c r="D2311" s="257">
        <f t="shared" si="712"/>
        <v>259808.94</v>
      </c>
      <c r="E2311" s="382">
        <f>ROUND('Plant input detail '!E2313*'WPB2.2 Plant detail-w slippage'!$P$2,0)</f>
        <v>0</v>
      </c>
      <c r="F2311" s="257">
        <f>ROUND('Plant input detail '!F2313*'WPB2.2 Plant detail-w slippage'!$P$2,0)</f>
        <v>0</v>
      </c>
      <c r="G2311" s="257">
        <f t="shared" si="717"/>
        <v>259808.94</v>
      </c>
      <c r="H2311" s="38"/>
      <c r="I2311" s="257">
        <f t="shared" si="713"/>
        <v>212990.09894736868</v>
      </c>
      <c r="J2311" s="296" t="s">
        <v>1094</v>
      </c>
      <c r="K2311" s="258">
        <f>104653.88/38</f>
        <v>2754.0494736842106</v>
      </c>
      <c r="L2311" s="38">
        <f t="shared" si="714"/>
        <v>0</v>
      </c>
      <c r="M2311" s="257">
        <f>ROUND('Plant input detail '!M2313*'WPB2.2 Plant detail-w slippage'!$P$2,0)</f>
        <v>0</v>
      </c>
      <c r="N2311" s="2227">
        <f t="shared" si="715"/>
        <v>215744.1484210529</v>
      </c>
    </row>
    <row r="2312" spans="1:14" x14ac:dyDescent="0.2">
      <c r="A2312" s="31">
        <f t="shared" si="716"/>
        <v>23</v>
      </c>
      <c r="B2312" s="253">
        <v>375.8</v>
      </c>
      <c r="C2312" s="52" t="s">
        <v>1045</v>
      </c>
      <c r="D2312" s="257">
        <f t="shared" si="712"/>
        <v>0</v>
      </c>
      <c r="E2312" s="382">
        <f>ROUND('Plant input detail '!E2314*'WPB2.2 Plant detail-w slippage'!$P$2,0)</f>
        <v>0</v>
      </c>
      <c r="F2312" s="257">
        <f>ROUND('Plant input detail '!F2314*'WPB2.2 Plant detail-w slippage'!$P$2,0)</f>
        <v>0</v>
      </c>
      <c r="G2312" s="257">
        <f t="shared" si="717"/>
        <v>0</v>
      </c>
      <c r="H2312" s="38"/>
      <c r="I2312" s="257">
        <f t="shared" si="713"/>
        <v>0</v>
      </c>
      <c r="J2312" s="1362">
        <f>J2206</f>
        <v>0</v>
      </c>
      <c r="K2312" s="259">
        <v>0</v>
      </c>
      <c r="L2312" s="38">
        <f t="shared" si="714"/>
        <v>0</v>
      </c>
      <c r="M2312" s="257">
        <f>ROUND('Plant input detail '!M2314*'WPB2.2 Plant detail-w slippage'!$P$2,0)</f>
        <v>0</v>
      </c>
      <c r="N2312" s="2227">
        <f t="shared" si="715"/>
        <v>0</v>
      </c>
    </row>
    <row r="2313" spans="1:14" x14ac:dyDescent="0.2">
      <c r="A2313" s="31">
        <f>A2312+1</f>
        <v>24</v>
      </c>
      <c r="B2313" s="253">
        <v>376</v>
      </c>
      <c r="C2313" s="251" t="s">
        <v>1096</v>
      </c>
      <c r="D2313" s="257"/>
      <c r="E2313" s="258"/>
      <c r="F2313" s="259"/>
      <c r="G2313" s="257"/>
      <c r="H2313" s="38"/>
      <c r="I2313" s="181"/>
      <c r="J2313" s="1361"/>
      <c r="K2313" s="173"/>
      <c r="L2313" s="38"/>
      <c r="M2313" s="259"/>
    </row>
    <row r="2314" spans="1:14" x14ac:dyDescent="0.2">
      <c r="A2314" s="31"/>
      <c r="B2314" s="253"/>
      <c r="C2314" s="286" t="s">
        <v>1097</v>
      </c>
      <c r="D2314" s="257"/>
      <c r="E2314" s="258"/>
      <c r="F2314" s="259"/>
      <c r="G2314" s="257"/>
      <c r="H2314" s="38"/>
      <c r="I2314" s="257"/>
      <c r="J2314" s="1362"/>
      <c r="K2314" s="173"/>
      <c r="L2314" s="38"/>
      <c r="M2314" s="257"/>
      <c r="N2314" s="2227"/>
    </row>
    <row r="2315" spans="1:14" x14ac:dyDescent="0.2">
      <c r="A2315" s="31"/>
      <c r="B2315" s="253"/>
      <c r="C2315" s="286" t="s">
        <v>1098</v>
      </c>
      <c r="D2315" s="257"/>
      <c r="E2315" s="258"/>
      <c r="F2315" s="259"/>
      <c r="G2315" s="257"/>
      <c r="H2315" s="38"/>
      <c r="I2315" s="257"/>
      <c r="J2315" s="1362"/>
      <c r="K2315" s="173"/>
      <c r="L2315" s="38"/>
      <c r="M2315" s="257"/>
      <c r="N2315" s="2227"/>
    </row>
    <row r="2316" spans="1:14" x14ac:dyDescent="0.2">
      <c r="A2316" s="31"/>
      <c r="B2316" s="253"/>
      <c r="C2316" s="286" t="s">
        <v>1099</v>
      </c>
      <c r="D2316" s="257"/>
      <c r="E2316" s="258"/>
      <c r="F2316" s="259"/>
      <c r="G2316" s="257"/>
      <c r="H2316" s="38"/>
      <c r="I2316" s="257"/>
      <c r="J2316" s="1362"/>
      <c r="K2316" s="173"/>
      <c r="L2316" s="38"/>
      <c r="M2316" s="257"/>
      <c r="N2316" s="2227"/>
    </row>
    <row r="2317" spans="1:14" x14ac:dyDescent="0.2">
      <c r="A2317" s="31"/>
      <c r="B2317" s="253"/>
      <c r="C2317" s="286" t="s">
        <v>1100</v>
      </c>
      <c r="D2317" s="257"/>
      <c r="E2317" s="258"/>
      <c r="F2317" s="259"/>
      <c r="G2317" s="257"/>
      <c r="H2317" s="38"/>
      <c r="I2317" s="257"/>
      <c r="J2317" s="1362"/>
      <c r="K2317" s="173"/>
      <c r="L2317" s="38"/>
      <c r="M2317" s="257"/>
      <c r="N2317" s="2227"/>
    </row>
    <row r="2318" spans="1:14" x14ac:dyDescent="0.2">
      <c r="A2318" s="31"/>
      <c r="B2318" s="253"/>
      <c r="C2318" s="286" t="s">
        <v>1101</v>
      </c>
      <c r="D2318" s="257">
        <f t="shared" ref="D2318:D2323" si="720">G2212</f>
        <v>227065325.44</v>
      </c>
      <c r="E2318" s="382">
        <f>ROUND('Plant input detail '!E2320*'WPB2.2 Plant detail-w slippage'!$P$2,0)</f>
        <v>1241720</v>
      </c>
      <c r="F2318" s="257">
        <f>ROUND('Plant input detail '!F2320*'WPB2.2 Plant detail-w slippage'!$P$2,0)</f>
        <v>-149000</v>
      </c>
      <c r="G2318" s="257">
        <f t="shared" ref="G2318:G2323" si="721">SUM(D2318:F2318)</f>
        <v>228158045.44</v>
      </c>
      <c r="H2318" s="38"/>
      <c r="I2318" s="257">
        <f t="shared" ref="I2318:I2323" si="722">N2212</f>
        <v>59919850.609999999</v>
      </c>
      <c r="J2318" s="1362">
        <f t="shared" ref="J2318:J2323" si="723">J2212</f>
        <v>2.3E-2</v>
      </c>
      <c r="K2318" s="173">
        <f t="shared" ref="K2318:K2323" si="724">ROUND((G2318+D2318)/2*J2318/12,0)</f>
        <v>436256</v>
      </c>
      <c r="L2318" s="38">
        <f t="shared" ref="L2318:L2323" si="725">-F2318</f>
        <v>149000</v>
      </c>
      <c r="M2318" s="257">
        <f>ROUND('Plant input detail '!M2320*'WPB2.2 Plant detail-w slippage'!$P$2,0)</f>
        <v>-22400</v>
      </c>
      <c r="N2318" s="2227">
        <f t="shared" ref="N2318:N2323" si="726">I2318+K2318-L2318+M2318</f>
        <v>60184706.609999999</v>
      </c>
    </row>
    <row r="2319" spans="1:14" x14ac:dyDescent="0.2">
      <c r="A2319" s="31">
        <f>A2313+1</f>
        <v>25</v>
      </c>
      <c r="B2319" s="253">
        <v>378.1</v>
      </c>
      <c r="C2319" s="52" t="s">
        <v>1047</v>
      </c>
      <c r="D2319" s="257">
        <f t="shared" si="720"/>
        <v>518504.18</v>
      </c>
      <c r="E2319" s="382">
        <f>ROUND('Plant input detail '!E2321*'WPB2.2 Plant detail-w slippage'!$P$2,0)</f>
        <v>0</v>
      </c>
      <c r="F2319" s="257">
        <f>ROUND('Plant input detail '!F2321*'WPB2.2 Plant detail-w slippage'!$P$2,0)</f>
        <v>0</v>
      </c>
      <c r="G2319" s="257">
        <f t="shared" si="721"/>
        <v>518504.18</v>
      </c>
      <c r="H2319" s="38"/>
      <c r="I2319" s="257">
        <f t="shared" si="722"/>
        <v>379246.81</v>
      </c>
      <c r="J2319" s="1362">
        <f t="shared" si="723"/>
        <v>3.32E-2</v>
      </c>
      <c r="K2319" s="173">
        <f t="shared" si="724"/>
        <v>1435</v>
      </c>
      <c r="L2319" s="38">
        <f t="shared" si="725"/>
        <v>0</v>
      </c>
      <c r="M2319" s="257">
        <f>ROUND('Plant input detail '!M2321*'WPB2.2 Plant detail-w slippage'!$P$2,0)</f>
        <v>0</v>
      </c>
      <c r="N2319" s="2227">
        <f t="shared" si="726"/>
        <v>380681.81</v>
      </c>
    </row>
    <row r="2320" spans="1:14" x14ac:dyDescent="0.2">
      <c r="A2320" s="31">
        <f t="shared" si="716"/>
        <v>26</v>
      </c>
      <c r="B2320" s="253">
        <v>378.2</v>
      </c>
      <c r="C2320" s="52" t="s">
        <v>1048</v>
      </c>
      <c r="D2320" s="257">
        <f t="shared" si="720"/>
        <v>10118424</v>
      </c>
      <c r="E2320" s="382">
        <f>ROUND('Plant input detail '!E2322*'WPB2.2 Plant detail-w slippage'!$P$2,0)</f>
        <v>37200</v>
      </c>
      <c r="F2320" s="257">
        <f>ROUND('Plant input detail '!F2322*'WPB2.2 Plant detail-w slippage'!$P$2,0)</f>
        <v>-4500</v>
      </c>
      <c r="G2320" s="257">
        <f t="shared" si="721"/>
        <v>10151124</v>
      </c>
      <c r="H2320" s="38"/>
      <c r="I2320" s="257">
        <f t="shared" si="722"/>
        <v>3622087.91</v>
      </c>
      <c r="J2320" s="1362">
        <f t="shared" si="723"/>
        <v>3.32E-2</v>
      </c>
      <c r="K2320" s="173">
        <f t="shared" si="724"/>
        <v>28040</v>
      </c>
      <c r="L2320" s="38">
        <f t="shared" si="725"/>
        <v>4500</v>
      </c>
      <c r="M2320" s="257">
        <f>ROUND('Plant input detail '!M2322*'WPB2.2 Plant detail-w slippage'!$P$2,0)</f>
        <v>-200</v>
      </c>
      <c r="N2320" s="2227">
        <f t="shared" si="726"/>
        <v>3645427.91</v>
      </c>
    </row>
    <row r="2321" spans="1:14" x14ac:dyDescent="0.2">
      <c r="A2321" s="31">
        <f t="shared" si="716"/>
        <v>27</v>
      </c>
      <c r="B2321" s="253">
        <v>378.3</v>
      </c>
      <c r="C2321" s="52" t="s">
        <v>1049</v>
      </c>
      <c r="D2321" s="257">
        <f t="shared" si="720"/>
        <v>45443.08</v>
      </c>
      <c r="E2321" s="382">
        <f>ROUND('Plant input detail '!E2323*'WPB2.2 Plant detail-w slippage'!$P$2,0)</f>
        <v>0</v>
      </c>
      <c r="F2321" s="257">
        <f>ROUND('Plant input detail '!F2323*'WPB2.2 Plant detail-w slippage'!$P$2,0)</f>
        <v>0</v>
      </c>
      <c r="G2321" s="257">
        <f t="shared" si="721"/>
        <v>45443.08</v>
      </c>
      <c r="H2321" s="38"/>
      <c r="I2321" s="257">
        <f t="shared" si="722"/>
        <v>37264.04</v>
      </c>
      <c r="J2321" s="1362">
        <f t="shared" si="723"/>
        <v>3.32E-2</v>
      </c>
      <c r="K2321" s="173">
        <f t="shared" si="724"/>
        <v>126</v>
      </c>
      <c r="L2321" s="38">
        <f t="shared" si="725"/>
        <v>0</v>
      </c>
      <c r="M2321" s="257">
        <f>ROUND('Plant input detail '!M2323*'WPB2.2 Plant detail-w slippage'!$P$2,0)</f>
        <v>0</v>
      </c>
      <c r="N2321" s="2227">
        <f t="shared" si="726"/>
        <v>37390.04</v>
      </c>
    </row>
    <row r="2322" spans="1:14" x14ac:dyDescent="0.2">
      <c r="A2322" s="31">
        <f t="shared" si="716"/>
        <v>28</v>
      </c>
      <c r="B2322" s="253">
        <v>379.1</v>
      </c>
      <c r="C2322" s="52" t="s">
        <v>1050</v>
      </c>
      <c r="D2322" s="257">
        <f t="shared" si="720"/>
        <v>254900.59</v>
      </c>
      <c r="E2322" s="382">
        <f>ROUND('Plant input detail '!E2324*'WPB2.2 Plant detail-w slippage'!$P$2,0)</f>
        <v>0</v>
      </c>
      <c r="F2322" s="257">
        <f>ROUND('Plant input detail '!F2324*'WPB2.2 Plant detail-w slippage'!$P$2,0)</f>
        <v>0</v>
      </c>
      <c r="G2322" s="257">
        <f t="shared" si="721"/>
        <v>254900.59</v>
      </c>
      <c r="H2322" s="38"/>
      <c r="I2322" s="257">
        <f t="shared" si="722"/>
        <v>267730.57</v>
      </c>
      <c r="J2322" s="1362">
        <f t="shared" si="723"/>
        <v>6.0000000000000001E-3</v>
      </c>
      <c r="K2322" s="259">
        <v>0</v>
      </c>
      <c r="L2322" s="38">
        <f t="shared" si="725"/>
        <v>0</v>
      </c>
      <c r="M2322" s="257">
        <f>ROUND('Plant input detail '!M2324*'WPB2.2 Plant detail-w slippage'!$P$2,0)</f>
        <v>0</v>
      </c>
      <c r="N2322" s="2227">
        <f t="shared" si="726"/>
        <v>267730.57</v>
      </c>
    </row>
    <row r="2323" spans="1:14" x14ac:dyDescent="0.2">
      <c r="A2323" s="31">
        <f t="shared" si="716"/>
        <v>29</v>
      </c>
      <c r="B2323" s="253">
        <v>380</v>
      </c>
      <c r="C2323" s="52" t="s">
        <v>1051</v>
      </c>
      <c r="D2323" s="257">
        <f t="shared" si="720"/>
        <v>131655138.77</v>
      </c>
      <c r="E2323" s="382">
        <f>ROUND('Plant input detail '!E2325*'WPB2.2 Plant detail-w slippage'!$P$2,0)</f>
        <v>928446</v>
      </c>
      <c r="F2323" s="257">
        <f>ROUND('Plant input detail '!F2325*'WPB2.2 Plant detail-w slippage'!$P$2,0)</f>
        <v>-111400</v>
      </c>
      <c r="G2323" s="257">
        <f t="shared" si="721"/>
        <v>132472184.77</v>
      </c>
      <c r="H2323" s="38"/>
      <c r="I2323" s="257">
        <f t="shared" si="722"/>
        <v>62938390.520000003</v>
      </c>
      <c r="J2323" s="1362">
        <f t="shared" si="723"/>
        <v>5.0999999999999997E-2</v>
      </c>
      <c r="K2323" s="173">
        <f t="shared" si="724"/>
        <v>561271</v>
      </c>
      <c r="L2323" s="38">
        <f t="shared" si="725"/>
        <v>111400</v>
      </c>
      <c r="M2323" s="257">
        <f>ROUND('Plant input detail '!M2325*'WPB2.2 Plant detail-w slippage'!$P$2,0)</f>
        <v>-55700</v>
      </c>
      <c r="N2323" s="2227">
        <f t="shared" si="726"/>
        <v>63332561.520000003</v>
      </c>
    </row>
    <row r="2324" spans="1:14" x14ac:dyDescent="0.2">
      <c r="A2324" s="170"/>
      <c r="B2324" s="179"/>
      <c r="C2324" s="178"/>
      <c r="D2324" s="181"/>
      <c r="E2324" s="173"/>
      <c r="F2324" s="173"/>
      <c r="G2324" s="181"/>
      <c r="H2324" s="173"/>
      <c r="I2324" s="173"/>
      <c r="J2324" s="173"/>
      <c r="K2324" s="173"/>
      <c r="L2324" s="173"/>
      <c r="M2324" s="171"/>
      <c r="N2324" s="2229"/>
    </row>
    <row r="2325" spans="1:14" x14ac:dyDescent="0.2">
      <c r="A2325" s="2079" t="str">
        <f>co</f>
        <v>COLUMBIA GAS OF KENTUCKY, INC.</v>
      </c>
      <c r="B2325" s="2079"/>
      <c r="C2325" s="2079"/>
      <c r="D2325" s="2079"/>
      <c r="E2325" s="2079"/>
      <c r="F2325" s="2079"/>
      <c r="G2325" s="2079"/>
      <c r="H2325" s="2079"/>
      <c r="I2325" s="2079"/>
      <c r="J2325" s="2079"/>
      <c r="K2325" s="2079"/>
      <c r="L2325" s="2079"/>
      <c r="M2325" s="2079"/>
      <c r="N2325" s="2079"/>
    </row>
    <row r="2326" spans="1:14" x14ac:dyDescent="0.2">
      <c r="A2326" s="2079" t="str">
        <f>case</f>
        <v>CASE NO. 2016 - 00162</v>
      </c>
      <c r="B2326" s="2079"/>
      <c r="C2326" s="2079"/>
      <c r="D2326" s="2079"/>
      <c r="E2326" s="2079"/>
      <c r="F2326" s="2079"/>
      <c r="G2326" s="2079"/>
      <c r="H2326" s="2079"/>
      <c r="I2326" s="2079"/>
      <c r="J2326" s="2079"/>
      <c r="K2326" s="2079"/>
      <c r="L2326" s="2079"/>
      <c r="M2326" s="2079"/>
      <c r="N2326" s="2079"/>
    </row>
    <row r="2327" spans="1:14" x14ac:dyDescent="0.2">
      <c r="A2327" s="2080" t="s">
        <v>1106</v>
      </c>
      <c r="B2327" s="2079"/>
      <c r="C2327" s="2079"/>
      <c r="D2327" s="2079"/>
      <c r="E2327" s="2079"/>
      <c r="F2327" s="2079"/>
      <c r="G2327" s="2079"/>
      <c r="H2327" s="2079"/>
      <c r="I2327" s="2079"/>
      <c r="J2327" s="2079"/>
      <c r="K2327" s="2079"/>
      <c r="L2327" s="2079"/>
      <c r="M2327" s="2079"/>
      <c r="N2327" s="2079"/>
    </row>
    <row r="2328" spans="1:14" x14ac:dyDescent="0.2">
      <c r="A2328" s="2081" t="s">
        <v>2142</v>
      </c>
      <c r="B2328" s="2085"/>
      <c r="C2328" s="2085"/>
      <c r="D2328" s="2085"/>
      <c r="E2328" s="2085"/>
      <c r="F2328" s="2085"/>
      <c r="G2328" s="2085"/>
      <c r="H2328" s="2085"/>
      <c r="I2328" s="2085"/>
      <c r="J2328" s="2085"/>
      <c r="K2328" s="2085"/>
      <c r="L2328" s="2085"/>
      <c r="M2328" s="2085"/>
      <c r="N2328" s="2085"/>
    </row>
    <row r="2330" spans="1:14" x14ac:dyDescent="0.2">
      <c r="A2330" s="285" t="str">
        <f>$A$6</f>
        <v>DATA:__X___BASE PERIOD__X___FORECASTED PERIOD</v>
      </c>
      <c r="C2330" s="171"/>
      <c r="M2330" s="32"/>
      <c r="N2330" s="1258" t="str">
        <f>$N$6</f>
        <v>WPB-2.2</v>
      </c>
    </row>
    <row r="2331" spans="1:14" x14ac:dyDescent="0.2">
      <c r="A2331" s="4" t="str">
        <f>$A$7</f>
        <v>TYPE OF FILING:___X____ORIGINAL________UPDATED</v>
      </c>
      <c r="M2331" s="32"/>
      <c r="N2331" s="2223" t="s">
        <v>1757</v>
      </c>
    </row>
    <row r="2332" spans="1:14" x14ac:dyDescent="0.2">
      <c r="A2332" s="1261" t="str">
        <f>$A$8</f>
        <v xml:space="preserve">WORKPAPER REFERENCE NO(S).: </v>
      </c>
      <c r="B2332" s="202"/>
      <c r="C2332" s="202"/>
      <c r="D2332" s="201"/>
      <c r="E2332" s="202"/>
      <c r="F2332" s="202"/>
      <c r="G2332" s="201"/>
      <c r="H2332" s="201"/>
      <c r="M2332" s="203"/>
      <c r="N2332" s="204" t="str">
        <f>SMK</f>
        <v>WITNESS:  S. M. KATKO</v>
      </c>
    </row>
    <row r="2333" spans="1:14" x14ac:dyDescent="0.2">
      <c r="A2333" s="200"/>
      <c r="B2333" s="201"/>
      <c r="C2333" s="201"/>
      <c r="D2333" s="201"/>
      <c r="E2333" s="202"/>
      <c r="F2333" s="202"/>
      <c r="G2333" s="201"/>
      <c r="H2333" s="201"/>
      <c r="I2333" s="203"/>
      <c r="J2333" s="1357"/>
      <c r="L2333" s="32"/>
      <c r="M2333" s="32"/>
    </row>
    <row r="2334" spans="1:14" x14ac:dyDescent="0.2">
      <c r="A2334" s="200"/>
      <c r="B2334" s="201"/>
      <c r="C2334" s="201"/>
      <c r="D2334" s="2082" t="s">
        <v>1088</v>
      </c>
      <c r="E2334" s="2082"/>
      <c r="F2334" s="2082"/>
      <c r="G2334" s="2082"/>
      <c r="H2334" s="201"/>
      <c r="I2334" s="2083" t="s">
        <v>1093</v>
      </c>
      <c r="J2334" s="2084"/>
      <c r="K2334" s="2084"/>
      <c r="L2334" s="2084"/>
      <c r="M2334" s="2084"/>
      <c r="N2334" s="2084"/>
    </row>
    <row r="2335" spans="1:14" x14ac:dyDescent="0.2">
      <c r="A2335" s="270"/>
      <c r="B2335" s="201"/>
      <c r="C2335" s="201"/>
      <c r="D2335" s="271" t="s">
        <v>1084</v>
      </c>
      <c r="E2335" s="202"/>
      <c r="F2335" s="202"/>
      <c r="G2335" s="269"/>
      <c r="H2335" s="269"/>
      <c r="I2335" s="261" t="s">
        <v>1089</v>
      </c>
      <c r="J2335" s="1358"/>
      <c r="M2335" s="32"/>
    </row>
    <row r="2336" spans="1:14" x14ac:dyDescent="0.2">
      <c r="A2336" s="30"/>
      <c r="D2336" s="261" t="s">
        <v>865</v>
      </c>
      <c r="G2336" s="261" t="s">
        <v>867</v>
      </c>
      <c r="H2336" s="268"/>
      <c r="I2336" s="261" t="s">
        <v>865</v>
      </c>
      <c r="J2336" s="1308" t="s">
        <v>956</v>
      </c>
      <c r="M2336" s="32"/>
      <c r="N2336" s="2225" t="s">
        <v>867</v>
      </c>
    </row>
    <row r="2337" spans="1:14" x14ac:dyDescent="0.2">
      <c r="A2337" s="261" t="s">
        <v>1080</v>
      </c>
      <c r="B2337" s="261" t="s">
        <v>1082</v>
      </c>
      <c r="D2337" s="261" t="s">
        <v>867</v>
      </c>
      <c r="G2337" s="262" t="s">
        <v>1087</v>
      </c>
      <c r="H2337" s="268"/>
      <c r="I2337" s="262" t="s">
        <v>867</v>
      </c>
      <c r="J2337" s="1308" t="s">
        <v>1090</v>
      </c>
      <c r="K2337" s="1308" t="s">
        <v>956</v>
      </c>
      <c r="M2337" s="262" t="s">
        <v>1092</v>
      </c>
      <c r="N2337" s="1259" t="s">
        <v>1087</v>
      </c>
    </row>
    <row r="2338" spans="1:14" x14ac:dyDescent="0.2">
      <c r="A2338" s="272" t="s">
        <v>1081</v>
      </c>
      <c r="B2338" s="272" t="s">
        <v>1081</v>
      </c>
      <c r="C2338" s="273" t="s">
        <v>1083</v>
      </c>
      <c r="D2338" s="274" t="str">
        <f>D2285</f>
        <v>11/30/2017</v>
      </c>
      <c r="E2338" s="275" t="s">
        <v>1085</v>
      </c>
      <c r="F2338" s="275" t="s">
        <v>1086</v>
      </c>
      <c r="G2338" s="274" t="str">
        <f>G2285</f>
        <v>12/31/2017</v>
      </c>
      <c r="H2338" s="268"/>
      <c r="I2338" s="274" t="str">
        <f>D2338</f>
        <v>11/30/2017</v>
      </c>
      <c r="J2338" s="275" t="s">
        <v>1091</v>
      </c>
      <c r="K2338" s="1327" t="s">
        <v>1090</v>
      </c>
      <c r="L2338" s="276" t="s">
        <v>1086</v>
      </c>
      <c r="M2338" s="276" t="s">
        <v>955</v>
      </c>
      <c r="N2338" s="2226" t="str">
        <f>G2338</f>
        <v>12/31/2017</v>
      </c>
    </row>
    <row r="2339" spans="1:14" x14ac:dyDescent="0.2">
      <c r="A2339" s="267"/>
      <c r="B2339" s="267"/>
      <c r="C2339" s="267"/>
      <c r="D2339" s="267" t="str">
        <f>"(1)"</f>
        <v>(1)</v>
      </c>
      <c r="E2339" s="267" t="str">
        <f>"(2)"</f>
        <v>(2)</v>
      </c>
      <c r="F2339" s="267" t="str">
        <f>"(3)"</f>
        <v>(3)</v>
      </c>
      <c r="G2339" s="267" t="str">
        <f>"(4)=(1+2+3)"</f>
        <v>(4)=(1+2+3)</v>
      </c>
      <c r="H2339" s="267"/>
      <c r="I2339" s="267" t="str">
        <f>"(5)"</f>
        <v>(5)</v>
      </c>
      <c r="J2339" s="1328" t="str">
        <f>"(6)"</f>
        <v>(6)</v>
      </c>
      <c r="K2339" s="1328" t="str">
        <f>"(7)=((1+4)/2*6/12))"</f>
        <v>(7)=((1+4)/2*6/12))</v>
      </c>
      <c r="L2339" s="267" t="str">
        <f>"(8)"</f>
        <v>(8)</v>
      </c>
      <c r="M2339" s="267" t="str">
        <f>"(9)"</f>
        <v>(9)</v>
      </c>
      <c r="N2339" s="204" t="str">
        <f>"(10)=(5+7-8+9)"</f>
        <v>(10)=(5+7-8+9)</v>
      </c>
    </row>
    <row r="2340" spans="1:14" x14ac:dyDescent="0.2">
      <c r="D2340" s="31" t="s">
        <v>639</v>
      </c>
      <c r="E2340" s="170" t="s">
        <v>639</v>
      </c>
      <c r="F2340" s="170" t="s">
        <v>639</v>
      </c>
      <c r="G2340" s="31" t="s">
        <v>639</v>
      </c>
      <c r="H2340" s="31"/>
      <c r="I2340" s="31" t="s">
        <v>639</v>
      </c>
      <c r="J2340" s="170" t="s">
        <v>639</v>
      </c>
      <c r="K2340" s="170" t="s">
        <v>639</v>
      </c>
      <c r="L2340" s="31" t="s">
        <v>639</v>
      </c>
      <c r="M2340" s="31" t="s">
        <v>639</v>
      </c>
      <c r="N2340" s="155" t="s">
        <v>639</v>
      </c>
    </row>
    <row r="2341" spans="1:14" x14ac:dyDescent="0.2">
      <c r="C2341" s="36" t="s">
        <v>707</v>
      </c>
      <c r="D2341" s="31"/>
      <c r="E2341" s="170"/>
      <c r="F2341" s="170"/>
      <c r="G2341" s="31"/>
      <c r="J2341" s="170"/>
    </row>
    <row r="2342" spans="1:14" x14ac:dyDescent="0.2">
      <c r="A2342" s="127">
        <v>1</v>
      </c>
      <c r="B2342" s="123">
        <v>381</v>
      </c>
      <c r="C2342" s="52" t="s">
        <v>1052</v>
      </c>
      <c r="D2342" s="257">
        <f t="shared" ref="D2342:D2353" si="727">G2236</f>
        <v>14201408.550000001</v>
      </c>
      <c r="E2342" s="382">
        <f>ROUND('Plant input detail '!E2344*'WPB2.2 Plant detail-w slippage'!$P$2,0)</f>
        <v>54100</v>
      </c>
      <c r="F2342" s="257">
        <f>ROUND('Plant input detail '!F2344*'WPB2.2 Plant detail-w slippage'!$P$2,0)</f>
        <v>-6500</v>
      </c>
      <c r="G2342" s="257">
        <f>SUM(D2342:F2342)</f>
        <v>14249008.550000001</v>
      </c>
      <c r="H2342" s="38"/>
      <c r="I2342" s="257">
        <f t="shared" ref="I2342:I2353" si="728">N2236</f>
        <v>5285215.8899999997</v>
      </c>
      <c r="J2342" s="1362">
        <f t="shared" ref="J2342:J2353" si="729">J2236</f>
        <v>3.3000000000000002E-2</v>
      </c>
      <c r="K2342" s="173">
        <f t="shared" ref="K2342:K2353" si="730">ROUND((G2342+D2342)/2*J2342/12,0)</f>
        <v>39119</v>
      </c>
      <c r="L2342" s="38">
        <f t="shared" ref="L2342:L2353" si="731">-F2342</f>
        <v>6500</v>
      </c>
      <c r="M2342" s="257">
        <f>ROUND('Plant input detail '!M2344*'WPB2.2 Plant detail-w slippage'!$P$2,0)</f>
        <v>0</v>
      </c>
      <c r="N2342" s="2227">
        <f t="shared" ref="N2342:N2353" si="732">I2342+K2342-L2342+M2342</f>
        <v>5317834.8899999997</v>
      </c>
    </row>
    <row r="2343" spans="1:14" x14ac:dyDescent="0.2">
      <c r="A2343" s="127">
        <f>A2342+1</f>
        <v>2</v>
      </c>
      <c r="B2343" s="123">
        <v>381.1</v>
      </c>
      <c r="C2343" s="318" t="s">
        <v>1115</v>
      </c>
      <c r="D2343" s="257">
        <f t="shared" si="727"/>
        <v>8850912.0600000005</v>
      </c>
      <c r="E2343" s="382">
        <f>ROUND('Plant input detail '!E2345*'WPB2.2 Plant detail-w slippage'!$P$2,0)</f>
        <v>5300</v>
      </c>
      <c r="F2343" s="257">
        <f>ROUND('Plant input detail '!F2345*'WPB2.2 Plant detail-w slippage'!$P$2,0)</f>
        <v>-600</v>
      </c>
      <c r="G2343" s="257">
        <f>SUM(D2343:F2343)</f>
        <v>8855612.0600000005</v>
      </c>
      <c r="H2343" s="38"/>
      <c r="I2343" s="257">
        <f t="shared" si="728"/>
        <v>1194601.5</v>
      </c>
      <c r="J2343" s="1362">
        <f t="shared" si="729"/>
        <v>8.0600000000000005E-2</v>
      </c>
      <c r="K2343" s="173">
        <f t="shared" si="730"/>
        <v>59464</v>
      </c>
      <c r="L2343" s="38">
        <f t="shared" si="731"/>
        <v>600</v>
      </c>
      <c r="M2343" s="257">
        <f>ROUND('Plant input detail '!M2345*'WPB2.2 Plant detail-w slippage'!$P$2,0)</f>
        <v>0</v>
      </c>
      <c r="N2343" s="2227">
        <f t="shared" si="732"/>
        <v>1253465.5</v>
      </c>
    </row>
    <row r="2344" spans="1:14" x14ac:dyDescent="0.2">
      <c r="A2344" s="127">
        <f t="shared" ref="A2344:A2354" si="733">A2343+1</f>
        <v>3</v>
      </c>
      <c r="B2344" s="123">
        <v>382</v>
      </c>
      <c r="C2344" s="52" t="s">
        <v>1053</v>
      </c>
      <c r="D2344" s="257">
        <f t="shared" si="727"/>
        <v>9606992.6500000004</v>
      </c>
      <c r="E2344" s="382">
        <f>ROUND('Plant input detail '!E2346*'WPB2.2 Plant detail-w slippage'!$P$2,0)</f>
        <v>30900</v>
      </c>
      <c r="F2344" s="257">
        <f>ROUND('Plant input detail '!F2346*'WPB2.2 Plant detail-w slippage'!$P$2,0)</f>
        <v>-3700</v>
      </c>
      <c r="G2344" s="257">
        <f t="shared" ref="G2344:G2349" si="734">SUM(D2344:F2344)</f>
        <v>9634192.6500000004</v>
      </c>
      <c r="H2344" s="38"/>
      <c r="I2344" s="257">
        <f t="shared" si="728"/>
        <v>4789003.3</v>
      </c>
      <c r="J2344" s="1362">
        <f t="shared" si="729"/>
        <v>2.4400000000000002E-2</v>
      </c>
      <c r="K2344" s="173">
        <f t="shared" si="730"/>
        <v>19562</v>
      </c>
      <c r="L2344" s="38">
        <f t="shared" si="731"/>
        <v>3700</v>
      </c>
      <c r="M2344" s="257">
        <f>ROUND('Plant input detail '!M2346*'WPB2.2 Plant detail-w slippage'!$P$2,0)</f>
        <v>-200</v>
      </c>
      <c r="N2344" s="2227">
        <f t="shared" si="732"/>
        <v>4804665.3</v>
      </c>
    </row>
    <row r="2345" spans="1:14" x14ac:dyDescent="0.2">
      <c r="A2345" s="127">
        <f t="shared" si="733"/>
        <v>4</v>
      </c>
      <c r="B2345" s="123">
        <v>383</v>
      </c>
      <c r="C2345" s="52" t="s">
        <v>1054</v>
      </c>
      <c r="D2345" s="257">
        <f t="shared" si="727"/>
        <v>5843420.7599999998</v>
      </c>
      <c r="E2345" s="382">
        <f>ROUND('Plant input detail '!E2347*'WPB2.2 Plant detail-w slippage'!$P$2,0)</f>
        <v>14400</v>
      </c>
      <c r="F2345" s="257">
        <f>ROUND('Plant input detail '!F2347*'WPB2.2 Plant detail-w slippage'!$P$2,0)</f>
        <v>-1700</v>
      </c>
      <c r="G2345" s="257">
        <f t="shared" si="734"/>
        <v>5856120.7599999998</v>
      </c>
      <c r="H2345" s="38"/>
      <c r="I2345" s="257">
        <f t="shared" si="728"/>
        <v>1623601.41</v>
      </c>
      <c r="J2345" s="1362">
        <f t="shared" si="729"/>
        <v>2.7300000000000001E-2</v>
      </c>
      <c r="K2345" s="173">
        <f t="shared" si="730"/>
        <v>13308</v>
      </c>
      <c r="L2345" s="38">
        <f t="shared" si="731"/>
        <v>1700</v>
      </c>
      <c r="M2345" s="257">
        <f>ROUND('Plant input detail '!M2347*'WPB2.2 Plant detail-w slippage'!$P$2,0)</f>
        <v>-100</v>
      </c>
      <c r="N2345" s="2227">
        <f t="shared" si="732"/>
        <v>1635109.41</v>
      </c>
    </row>
    <row r="2346" spans="1:14" x14ac:dyDescent="0.2">
      <c r="A2346" s="127">
        <f t="shared" si="733"/>
        <v>5</v>
      </c>
      <c r="B2346" s="123">
        <v>384</v>
      </c>
      <c r="C2346" s="52" t="s">
        <v>1055</v>
      </c>
      <c r="D2346" s="257">
        <f t="shared" si="727"/>
        <v>2257522</v>
      </c>
      <c r="E2346" s="382">
        <f>ROUND('Plant input detail '!E2348*'WPB2.2 Plant detail-w slippage'!$P$2,0)</f>
        <v>0</v>
      </c>
      <c r="F2346" s="257">
        <f>ROUND('Plant input detail '!F2348*'WPB2.2 Plant detail-w slippage'!$P$2,0)</f>
        <v>0</v>
      </c>
      <c r="G2346" s="257">
        <f t="shared" si="734"/>
        <v>2257522</v>
      </c>
      <c r="H2346" s="38"/>
      <c r="I2346" s="257">
        <f t="shared" si="728"/>
        <v>1790228.73</v>
      </c>
      <c r="J2346" s="1362">
        <f t="shared" si="729"/>
        <v>1.01E-2</v>
      </c>
      <c r="K2346" s="173">
        <f t="shared" si="730"/>
        <v>1900</v>
      </c>
      <c r="L2346" s="38">
        <f t="shared" si="731"/>
        <v>0</v>
      </c>
      <c r="M2346" s="257">
        <f>ROUND('Plant input detail '!M2348*'WPB2.2 Plant detail-w slippage'!$P$2,0)</f>
        <v>0</v>
      </c>
      <c r="N2346" s="2227">
        <f t="shared" si="732"/>
        <v>1792128.73</v>
      </c>
    </row>
    <row r="2347" spans="1:14" x14ac:dyDescent="0.2">
      <c r="A2347" s="127">
        <f t="shared" si="733"/>
        <v>6</v>
      </c>
      <c r="B2347" s="123">
        <v>385</v>
      </c>
      <c r="C2347" s="52" t="s">
        <v>1056</v>
      </c>
      <c r="D2347" s="257">
        <f t="shared" si="727"/>
        <v>3484583.36</v>
      </c>
      <c r="E2347" s="382">
        <f>ROUND('Plant input detail '!E2349*'WPB2.2 Plant detail-w slippage'!$P$2,0)</f>
        <v>23900</v>
      </c>
      <c r="F2347" s="257">
        <f>ROUND('Plant input detail '!F2349*'WPB2.2 Plant detail-w slippage'!$P$2,0)</f>
        <v>-2900</v>
      </c>
      <c r="G2347" s="257">
        <f t="shared" si="734"/>
        <v>3505583.36</v>
      </c>
      <c r="H2347" s="38"/>
      <c r="I2347" s="257">
        <f t="shared" si="728"/>
        <v>1012657.55</v>
      </c>
      <c r="J2347" s="1362">
        <f t="shared" si="729"/>
        <v>5.0799999999999998E-2</v>
      </c>
      <c r="K2347" s="173">
        <f t="shared" si="730"/>
        <v>14796</v>
      </c>
      <c r="L2347" s="38">
        <f t="shared" si="731"/>
        <v>2900</v>
      </c>
      <c r="M2347" s="257">
        <f>ROUND('Plant input detail '!M2349*'WPB2.2 Plant detail-w slippage'!$P$2,0)</f>
        <v>-100</v>
      </c>
      <c r="N2347" s="2227">
        <f t="shared" si="732"/>
        <v>1024453.55</v>
      </c>
    </row>
    <row r="2348" spans="1:14" x14ac:dyDescent="0.2">
      <c r="A2348" s="127">
        <f t="shared" si="733"/>
        <v>7</v>
      </c>
      <c r="B2348" s="123">
        <v>387.2</v>
      </c>
      <c r="C2348" s="52" t="s">
        <v>1057</v>
      </c>
      <c r="D2348" s="257">
        <f t="shared" si="727"/>
        <v>0</v>
      </c>
      <c r="E2348" s="382">
        <f>ROUND('Plant input detail '!E2350*'WPB2.2 Plant detail-w slippage'!$P$2,0)</f>
        <v>0</v>
      </c>
      <c r="F2348" s="257">
        <f>ROUND('Plant input detail '!F2350*'WPB2.2 Plant detail-w slippage'!$P$2,0)</f>
        <v>0</v>
      </c>
      <c r="G2348" s="257">
        <f t="shared" si="734"/>
        <v>0</v>
      </c>
      <c r="H2348" s="38"/>
      <c r="I2348" s="257">
        <f t="shared" si="728"/>
        <v>-59912.03</v>
      </c>
      <c r="J2348" s="1362">
        <f t="shared" si="729"/>
        <v>0</v>
      </c>
      <c r="K2348" s="173">
        <f t="shared" si="730"/>
        <v>0</v>
      </c>
      <c r="L2348" s="38">
        <f t="shared" si="731"/>
        <v>0</v>
      </c>
      <c r="M2348" s="257">
        <f>ROUND('Plant input detail '!M2350*'WPB2.2 Plant detail-w slippage'!$P$2,0)</f>
        <v>0</v>
      </c>
      <c r="N2348" s="2227">
        <f t="shared" si="732"/>
        <v>-59912.03</v>
      </c>
    </row>
    <row r="2349" spans="1:14" x14ac:dyDescent="0.2">
      <c r="A2349" s="127">
        <f t="shared" si="733"/>
        <v>8</v>
      </c>
      <c r="B2349" s="123">
        <v>387.41</v>
      </c>
      <c r="C2349" s="52" t="s">
        <v>1058</v>
      </c>
      <c r="D2349" s="257">
        <f t="shared" si="727"/>
        <v>735770.76</v>
      </c>
      <c r="E2349" s="382">
        <f>ROUND('Plant input detail '!E2351*'WPB2.2 Plant detail-w slippage'!$P$2,0)</f>
        <v>0</v>
      </c>
      <c r="F2349" s="257">
        <f>ROUND('Plant input detail '!F2351*'WPB2.2 Plant detail-w slippage'!$P$2,0)</f>
        <v>0</v>
      </c>
      <c r="G2349" s="257">
        <f t="shared" si="734"/>
        <v>735770.76</v>
      </c>
      <c r="H2349" s="38"/>
      <c r="I2349" s="257">
        <f t="shared" si="728"/>
        <v>411280.95</v>
      </c>
      <c r="J2349" s="1362">
        <f t="shared" si="729"/>
        <v>3.7400000000000003E-2</v>
      </c>
      <c r="K2349" s="173">
        <f t="shared" si="730"/>
        <v>2293</v>
      </c>
      <c r="L2349" s="38">
        <f t="shared" si="731"/>
        <v>0</v>
      </c>
      <c r="M2349" s="257">
        <f>ROUND('Plant input detail '!M2351*'WPB2.2 Plant detail-w slippage'!$P$2,0)</f>
        <v>0</v>
      </c>
      <c r="N2349" s="2227">
        <f t="shared" si="732"/>
        <v>413573.95</v>
      </c>
    </row>
    <row r="2350" spans="1:14" x14ac:dyDescent="0.2">
      <c r="A2350" s="127">
        <f t="shared" si="733"/>
        <v>9</v>
      </c>
      <c r="B2350" s="123">
        <v>387.42</v>
      </c>
      <c r="C2350" s="52" t="s">
        <v>1059</v>
      </c>
      <c r="D2350" s="257">
        <f t="shared" si="727"/>
        <v>795186.58</v>
      </c>
      <c r="E2350" s="382">
        <f>ROUND('Plant input detail '!E2352*'WPB2.2 Plant detail-w slippage'!$P$2,0)</f>
        <v>0</v>
      </c>
      <c r="F2350" s="257">
        <f>ROUND('Plant input detail '!F2352*'WPB2.2 Plant detail-w slippage'!$P$2,0)</f>
        <v>0</v>
      </c>
      <c r="G2350" s="257">
        <f>SUM(D2350:F2350)</f>
        <v>795186.58</v>
      </c>
      <c r="H2350" s="38"/>
      <c r="I2350" s="257">
        <f t="shared" si="728"/>
        <v>579803.94999999995</v>
      </c>
      <c r="J2350" s="1362">
        <f t="shared" si="729"/>
        <v>3.7400000000000003E-2</v>
      </c>
      <c r="K2350" s="173">
        <f t="shared" si="730"/>
        <v>2478</v>
      </c>
      <c r="L2350" s="38">
        <f t="shared" si="731"/>
        <v>0</v>
      </c>
      <c r="M2350" s="257">
        <f>ROUND('Plant input detail '!M2352*'WPB2.2 Plant detail-w slippage'!$P$2,0)</f>
        <v>0</v>
      </c>
      <c r="N2350" s="2227">
        <f t="shared" si="732"/>
        <v>582281.94999999995</v>
      </c>
    </row>
    <row r="2351" spans="1:14" x14ac:dyDescent="0.2">
      <c r="A2351" s="127">
        <f t="shared" si="733"/>
        <v>10</v>
      </c>
      <c r="B2351" s="123">
        <v>387.44</v>
      </c>
      <c r="C2351" s="52" t="s">
        <v>1060</v>
      </c>
      <c r="D2351" s="257">
        <f t="shared" si="727"/>
        <v>143283.93</v>
      </c>
      <c r="E2351" s="382">
        <f>ROUND('Plant input detail '!E2353*'WPB2.2 Plant detail-w slippage'!$P$2,0)</f>
        <v>0</v>
      </c>
      <c r="F2351" s="257">
        <f>ROUND('Plant input detail '!F2353*'WPB2.2 Plant detail-w slippage'!$P$2,0)</f>
        <v>0</v>
      </c>
      <c r="G2351" s="257">
        <f>SUM(D2351:F2351)</f>
        <v>143283.93</v>
      </c>
      <c r="H2351" s="38"/>
      <c r="I2351" s="257">
        <f t="shared" si="728"/>
        <v>51865.55</v>
      </c>
      <c r="J2351" s="1362">
        <f t="shared" si="729"/>
        <v>3.7400000000000003E-2</v>
      </c>
      <c r="K2351" s="173">
        <f t="shared" si="730"/>
        <v>447</v>
      </c>
      <c r="L2351" s="38">
        <f t="shared" si="731"/>
        <v>0</v>
      </c>
      <c r="M2351" s="257">
        <f>ROUND('Plant input detail '!M2353*'WPB2.2 Plant detail-w slippage'!$P$2,0)</f>
        <v>0</v>
      </c>
      <c r="N2351" s="2227">
        <f t="shared" si="732"/>
        <v>52312.55</v>
      </c>
    </row>
    <row r="2352" spans="1:14" x14ac:dyDescent="0.2">
      <c r="A2352" s="127">
        <f t="shared" si="733"/>
        <v>11</v>
      </c>
      <c r="B2352" s="123">
        <v>387.45</v>
      </c>
      <c r="C2352" s="52" t="s">
        <v>1061</v>
      </c>
      <c r="D2352" s="257">
        <f t="shared" si="727"/>
        <v>4366604.66</v>
      </c>
      <c r="E2352" s="382">
        <f>ROUND('Plant input detail '!E2354*'WPB2.2 Plant detail-w slippage'!$P$2,0)</f>
        <v>139000</v>
      </c>
      <c r="F2352" s="257">
        <f>ROUND('Plant input detail '!F2354*'WPB2.2 Plant detail-w slippage'!$P$2,0)</f>
        <v>-16700</v>
      </c>
      <c r="G2352" s="257">
        <f>SUM(D2352:F2352)</f>
        <v>4488904.66</v>
      </c>
      <c r="H2352" s="38"/>
      <c r="I2352" s="257">
        <f t="shared" si="728"/>
        <v>507745.06000000006</v>
      </c>
      <c r="J2352" s="1362">
        <f t="shared" si="729"/>
        <v>3.7400000000000003E-2</v>
      </c>
      <c r="K2352" s="173">
        <f t="shared" si="730"/>
        <v>13800</v>
      </c>
      <c r="L2352" s="38">
        <f t="shared" si="731"/>
        <v>16700</v>
      </c>
      <c r="M2352" s="257">
        <f>ROUND('Plant input detail '!M2354*'WPB2.2 Plant detail-w slippage'!$P$2,0)</f>
        <v>0</v>
      </c>
      <c r="N2352" s="2227">
        <f t="shared" si="732"/>
        <v>504845.06000000006</v>
      </c>
    </row>
    <row r="2353" spans="1:14" x14ac:dyDescent="0.2">
      <c r="A2353" s="127">
        <f t="shared" si="733"/>
        <v>12</v>
      </c>
      <c r="B2353" s="123">
        <v>387.46</v>
      </c>
      <c r="C2353" s="52" t="s">
        <v>1062</v>
      </c>
      <c r="D2353" s="260">
        <f t="shared" si="727"/>
        <v>113644.47</v>
      </c>
      <c r="E2353" s="265">
        <f>ROUND('Plant input detail '!E2355*'WPB2.2 Plant detail-w slippage'!$P$2,0)</f>
        <v>0</v>
      </c>
      <c r="F2353" s="265">
        <f>ROUND('Plant input detail '!F2355*'WPB2.2 Plant detail-w slippage'!$P$2,0)</f>
        <v>0</v>
      </c>
      <c r="G2353" s="265">
        <f>SUM(D2353:F2353)</f>
        <v>113644.47</v>
      </c>
      <c r="H2353" s="264"/>
      <c r="I2353" s="260">
        <f t="shared" si="728"/>
        <v>116126.83</v>
      </c>
      <c r="J2353" s="1362">
        <f t="shared" si="729"/>
        <v>3.7400000000000003E-2</v>
      </c>
      <c r="K2353" s="260">
        <f t="shared" si="730"/>
        <v>354</v>
      </c>
      <c r="L2353" s="295">
        <f t="shared" si="731"/>
        <v>0</v>
      </c>
      <c r="M2353" s="265">
        <f>ROUND('Plant input detail '!M2355*'WPB2.2 Plant detail-w slippage'!$P$2,0)</f>
        <v>0</v>
      </c>
      <c r="N2353" s="2228">
        <f t="shared" si="732"/>
        <v>116480.83</v>
      </c>
    </row>
    <row r="2354" spans="1:14" x14ac:dyDescent="0.2">
      <c r="A2354" s="127">
        <f t="shared" si="733"/>
        <v>13</v>
      </c>
      <c r="B2354" s="252"/>
      <c r="C2354" s="32" t="s">
        <v>1063</v>
      </c>
      <c r="D2354" s="173">
        <f>SUM(D2342:D2353,D2302:D2323)</f>
        <v>437032320.37999994</v>
      </c>
      <c r="E2354" s="173">
        <f>SUM(E2342:E2353,E2302:E2323)</f>
        <v>2550766</v>
      </c>
      <c r="F2354" s="173">
        <f>SUM(F2342:F2353,F2302:F2323)</f>
        <v>-306100</v>
      </c>
      <c r="G2354" s="173">
        <f>SUM(G2342:G2353,G2302:G2323)</f>
        <v>439276986.37999994</v>
      </c>
      <c r="H2354" s="38"/>
      <c r="I2354" s="173">
        <f>SUM(I2342:I2353,I2302:I2323)</f>
        <v>149758036.81894737</v>
      </c>
      <c r="J2354" s="173"/>
      <c r="K2354" s="173">
        <f>SUM(K2342:K2353,K2302:K2323)</f>
        <v>1225486.0494736843</v>
      </c>
      <c r="L2354" s="173">
        <f>SUM(L2342:L2353,L2302:L2323)</f>
        <v>306100</v>
      </c>
      <c r="M2354" s="173">
        <f>SUM(M2342:M2353,M2302:M2323)</f>
        <v>-79000</v>
      </c>
      <c r="N2354" s="1361">
        <f>SUM(N2342:N2353,N2302:N2323)</f>
        <v>150598422.86842105</v>
      </c>
    </row>
    <row r="2355" spans="1:14" x14ac:dyDescent="0.2">
      <c r="B2355" s="252"/>
      <c r="D2355" s="38"/>
      <c r="E2355" s="173"/>
      <c r="F2355" s="173"/>
      <c r="G2355" s="38"/>
      <c r="H2355" s="38"/>
      <c r="I2355" s="181"/>
      <c r="J2355" s="173"/>
      <c r="K2355" s="173"/>
      <c r="L2355" s="38"/>
      <c r="M2355" s="173"/>
    </row>
    <row r="2356" spans="1:14" x14ac:dyDescent="0.2">
      <c r="A2356" s="127">
        <f>A2354+1</f>
        <v>14</v>
      </c>
      <c r="B2356" s="252"/>
      <c r="C2356" s="36" t="s">
        <v>737</v>
      </c>
      <c r="D2356" s="38"/>
      <c r="E2356" s="173"/>
      <c r="F2356" s="173"/>
      <c r="G2356" s="38"/>
      <c r="H2356" s="38"/>
      <c r="I2356" s="181"/>
      <c r="J2356" s="173"/>
      <c r="K2356" s="173"/>
      <c r="L2356" s="38"/>
      <c r="M2356" s="173"/>
    </row>
    <row r="2357" spans="1:14" x14ac:dyDescent="0.2">
      <c r="A2357" s="31">
        <f>A2356+1</f>
        <v>15</v>
      </c>
      <c r="B2357" s="123">
        <v>391.1</v>
      </c>
      <c r="C2357" s="52" t="s">
        <v>1064</v>
      </c>
      <c r="D2357" s="257">
        <f t="shared" ref="D2357:D2370" si="735">G2251</f>
        <v>848030.71</v>
      </c>
      <c r="E2357" s="382">
        <f>ROUND('Plant input detail '!E2359*'WPB2.2 Plant detail-w slippage'!$P$2,0)</f>
        <v>0</v>
      </c>
      <c r="F2357" s="257">
        <f>ROUND('Plant input detail '!F2359*'WPB2.2 Plant detail-w slippage'!$P$2,0)</f>
        <v>0</v>
      </c>
      <c r="G2357" s="257">
        <f t="shared" ref="G2357:G2370" si="736">SUM(D2357:F2357)</f>
        <v>848030.71</v>
      </c>
      <c r="H2357" s="38"/>
      <c r="I2357" s="257">
        <f t="shared" ref="I2357:I2370" si="737">N2251</f>
        <v>-17593.22</v>
      </c>
      <c r="J2357" s="1362">
        <f t="shared" ref="J2357:J2370" si="738">J2251</f>
        <v>0.05</v>
      </c>
      <c r="K2357" s="173">
        <f>ROUND((G2357+D2357)/2*J2357/12,0)</f>
        <v>3533</v>
      </c>
      <c r="L2357" s="38">
        <f t="shared" ref="L2357:L2370" si="739">-F2357</f>
        <v>0</v>
      </c>
      <c r="M2357" s="257">
        <f>ROUND('Plant input detail '!M2359*'WPB2.2 Plant detail-w slippage'!$P$2,0)</f>
        <v>0</v>
      </c>
      <c r="N2357" s="2227">
        <f t="shared" ref="N2357:N2370" si="740">I2357+K2357-L2357+M2357</f>
        <v>-14060.220000000001</v>
      </c>
    </row>
    <row r="2358" spans="1:14" x14ac:dyDescent="0.2">
      <c r="A2358" s="31">
        <f t="shared" ref="A2358:A2371" si="741">A2357+1</f>
        <v>16</v>
      </c>
      <c r="B2358" s="123">
        <v>391.11</v>
      </c>
      <c r="C2358" s="52" t="s">
        <v>1065</v>
      </c>
      <c r="D2358" s="257">
        <f t="shared" si="735"/>
        <v>18815.57</v>
      </c>
      <c r="E2358" s="382">
        <f>ROUND('Plant input detail '!E2360*'WPB2.2 Plant detail-w slippage'!$P$2,0)</f>
        <v>0</v>
      </c>
      <c r="F2358" s="257">
        <f>ROUND('Plant input detail '!F2360*'WPB2.2 Plant detail-w slippage'!$P$2,0)</f>
        <v>0</v>
      </c>
      <c r="G2358" s="257">
        <f t="shared" si="736"/>
        <v>18815.57</v>
      </c>
      <c r="H2358" s="38"/>
      <c r="I2358" s="257">
        <f t="shared" si="737"/>
        <v>-10829.77</v>
      </c>
      <c r="J2358" s="1362">
        <f t="shared" si="738"/>
        <v>6.6699999999999995E-2</v>
      </c>
      <c r="K2358" s="173">
        <f>ROUND((G2358+D2358)/2*J2358/12,0)</f>
        <v>105</v>
      </c>
      <c r="L2358" s="38">
        <f t="shared" si="739"/>
        <v>0</v>
      </c>
      <c r="M2358" s="257">
        <f>ROUND('Plant input detail '!M2360*'WPB2.2 Plant detail-w slippage'!$P$2,0)</f>
        <v>0</v>
      </c>
      <c r="N2358" s="2227">
        <f t="shared" si="740"/>
        <v>-10724.77</v>
      </c>
    </row>
    <row r="2359" spans="1:14" x14ac:dyDescent="0.2">
      <c r="A2359" s="31">
        <f t="shared" si="741"/>
        <v>17</v>
      </c>
      <c r="B2359" s="123">
        <v>391.12</v>
      </c>
      <c r="C2359" s="52" t="s">
        <v>1066</v>
      </c>
      <c r="D2359" s="257">
        <f t="shared" si="735"/>
        <v>1407883.4100000001</v>
      </c>
      <c r="E2359" s="382">
        <f>ROUND('Plant input detail '!E2361*'WPB2.2 Plant detail-w slippage'!$P$2,0)</f>
        <v>0</v>
      </c>
      <c r="F2359" s="257">
        <f>ROUND('Plant input detail '!F2361*'WPB2.2 Plant detail-w slippage'!$P$2,0)</f>
        <v>0</v>
      </c>
      <c r="G2359" s="257">
        <f t="shared" si="736"/>
        <v>1407883.4100000001</v>
      </c>
      <c r="H2359" s="38"/>
      <c r="I2359" s="257">
        <f t="shared" si="737"/>
        <v>839760.37</v>
      </c>
      <c r="J2359" s="1362">
        <f t="shared" si="738"/>
        <v>0.2</v>
      </c>
      <c r="K2359" s="173">
        <f>ROUND((G2359+D2359)/2*J2359/12,0)</f>
        <v>23465</v>
      </c>
      <c r="L2359" s="38">
        <f t="shared" si="739"/>
        <v>0</v>
      </c>
      <c r="M2359" s="257">
        <f>ROUND('Plant input detail '!M2361*'WPB2.2 Plant detail-w slippage'!$P$2,0)</f>
        <v>0</v>
      </c>
      <c r="N2359" s="2227">
        <f t="shared" si="740"/>
        <v>863225.37</v>
      </c>
    </row>
    <row r="2360" spans="1:14" x14ac:dyDescent="0.2">
      <c r="A2360" s="31">
        <f t="shared" si="741"/>
        <v>18</v>
      </c>
      <c r="B2360" s="123">
        <v>392.2</v>
      </c>
      <c r="C2360" s="52" t="s">
        <v>1067</v>
      </c>
      <c r="D2360" s="257">
        <f t="shared" si="735"/>
        <v>95778</v>
      </c>
      <c r="E2360" s="382">
        <f>ROUND('Plant input detail '!E2362*'WPB2.2 Plant detail-w slippage'!$P$2,0)</f>
        <v>0</v>
      </c>
      <c r="F2360" s="257">
        <f>ROUND('Plant input detail '!F2362*'WPB2.2 Plant detail-w slippage'!$P$2,0)</f>
        <v>0</v>
      </c>
      <c r="G2360" s="257">
        <f t="shared" si="736"/>
        <v>95778</v>
      </c>
      <c r="H2360" s="38"/>
      <c r="I2360" s="257">
        <f t="shared" si="737"/>
        <v>30685.05</v>
      </c>
      <c r="J2360" s="1362">
        <f t="shared" si="738"/>
        <v>9.1499999999999998E-2</v>
      </c>
      <c r="K2360" s="173">
        <f>ROUND((G2360+D2360)/2*J2360/12,0)</f>
        <v>730</v>
      </c>
      <c r="L2360" s="38">
        <f t="shared" si="739"/>
        <v>0</v>
      </c>
      <c r="M2360" s="257">
        <f>ROUND('Plant input detail '!M2362*'WPB2.2 Plant detail-w slippage'!$P$2,0)</f>
        <v>0</v>
      </c>
      <c r="N2360" s="2227">
        <f t="shared" si="740"/>
        <v>31415.05</v>
      </c>
    </row>
    <row r="2361" spans="1:14" x14ac:dyDescent="0.2">
      <c r="A2361" s="31">
        <f t="shared" si="741"/>
        <v>19</v>
      </c>
      <c r="B2361" s="123">
        <v>392.21</v>
      </c>
      <c r="C2361" s="52" t="s">
        <v>1068</v>
      </c>
      <c r="D2361" s="257">
        <f t="shared" si="735"/>
        <v>24462.2</v>
      </c>
      <c r="E2361" s="382">
        <f>ROUND('Plant input detail '!E2363*'WPB2.2 Plant detail-w slippage'!$P$2,0)</f>
        <v>0</v>
      </c>
      <c r="F2361" s="257">
        <f>ROUND('Plant input detail '!F2363*'WPB2.2 Plant detail-w slippage'!$P$2,0)</f>
        <v>0</v>
      </c>
      <c r="G2361" s="257">
        <f t="shared" si="736"/>
        <v>24462.2</v>
      </c>
      <c r="H2361" s="38"/>
      <c r="I2361" s="257">
        <f t="shared" si="737"/>
        <v>7244.4</v>
      </c>
      <c r="J2361" s="1362">
        <f t="shared" si="738"/>
        <v>9.1499999999999998E-2</v>
      </c>
      <c r="K2361" s="173">
        <f>ROUND((G2361+D2361)/2*J2361/12,0)</f>
        <v>187</v>
      </c>
      <c r="L2361" s="38">
        <f t="shared" si="739"/>
        <v>0</v>
      </c>
      <c r="M2361" s="257">
        <f>ROUND('Plant input detail '!M2363*'WPB2.2 Plant detail-w slippage'!$P$2,0)</f>
        <v>0</v>
      </c>
      <c r="N2361" s="2227">
        <f t="shared" si="740"/>
        <v>7431.4</v>
      </c>
    </row>
    <row r="2362" spans="1:14" x14ac:dyDescent="0.2">
      <c r="A2362" s="31">
        <f t="shared" si="741"/>
        <v>20</v>
      </c>
      <c r="B2362" s="123">
        <v>393</v>
      </c>
      <c r="C2362" s="52" t="s">
        <v>1069</v>
      </c>
      <c r="D2362" s="257">
        <f t="shared" si="735"/>
        <v>0</v>
      </c>
      <c r="E2362" s="382">
        <f>ROUND('Plant input detail '!E2364*'WPB2.2 Plant detail-w slippage'!$P$2,0)</f>
        <v>0</v>
      </c>
      <c r="F2362" s="257">
        <f>ROUND('Plant input detail '!F2364*'WPB2.2 Plant detail-w slippage'!$P$2,0)</f>
        <v>0</v>
      </c>
      <c r="G2362" s="257">
        <f t="shared" si="736"/>
        <v>0</v>
      </c>
      <c r="H2362" s="38"/>
      <c r="I2362" s="257">
        <f t="shared" si="737"/>
        <v>0</v>
      </c>
      <c r="J2362" s="1362" t="str">
        <f t="shared" si="738"/>
        <v>Amort.</v>
      </c>
      <c r="K2362" s="259">
        <v>0</v>
      </c>
      <c r="L2362" s="38">
        <f t="shared" si="739"/>
        <v>0</v>
      </c>
      <c r="M2362" s="257">
        <f>ROUND('Plant input detail '!M2364*'WPB2.2 Plant detail-w slippage'!$P$2,0)</f>
        <v>0</v>
      </c>
      <c r="N2362" s="2227">
        <f t="shared" si="740"/>
        <v>0</v>
      </c>
    </row>
    <row r="2363" spans="1:14" x14ac:dyDescent="0.2">
      <c r="A2363" s="31">
        <f t="shared" si="741"/>
        <v>21</v>
      </c>
      <c r="B2363" s="123">
        <v>394.1</v>
      </c>
      <c r="C2363" s="52" t="s">
        <v>1070</v>
      </c>
      <c r="D2363" s="257">
        <f t="shared" si="735"/>
        <v>24240.799999999999</v>
      </c>
      <c r="E2363" s="382">
        <f>ROUND('Plant input detail '!E2365*'WPB2.2 Plant detail-w slippage'!$P$2,0)</f>
        <v>0</v>
      </c>
      <c r="F2363" s="257">
        <f>ROUND('Plant input detail '!F2365*'WPB2.2 Plant detail-w slippage'!$P$2,0)</f>
        <v>0</v>
      </c>
      <c r="G2363" s="257">
        <f t="shared" si="736"/>
        <v>24240.799999999999</v>
      </c>
      <c r="H2363" s="38"/>
      <c r="I2363" s="257">
        <f t="shared" si="737"/>
        <v>15499.82</v>
      </c>
      <c r="J2363" s="1362">
        <f t="shared" si="738"/>
        <v>0.04</v>
      </c>
      <c r="K2363" s="173">
        <f t="shared" ref="K2363:K2370" si="742">ROUND((G2363+D2363)/2*J2363/12,0)</f>
        <v>81</v>
      </c>
      <c r="L2363" s="38">
        <f t="shared" si="739"/>
        <v>0</v>
      </c>
      <c r="M2363" s="257">
        <f>ROUND('Plant input detail '!M2365*'WPB2.2 Plant detail-w slippage'!$P$2,0)</f>
        <v>0</v>
      </c>
      <c r="N2363" s="2227">
        <f t="shared" si="740"/>
        <v>15580.82</v>
      </c>
    </row>
    <row r="2364" spans="1:14" x14ac:dyDescent="0.2">
      <c r="A2364" s="31">
        <f t="shared" si="741"/>
        <v>22</v>
      </c>
      <c r="B2364" s="123">
        <v>394.11</v>
      </c>
      <c r="C2364" s="52" t="s">
        <v>1071</v>
      </c>
      <c r="D2364" s="257">
        <f t="shared" si="735"/>
        <v>0</v>
      </c>
      <c r="E2364" s="382">
        <f>ROUND('Plant input detail '!E2366*'WPB2.2 Plant detail-w slippage'!$P$2,0)</f>
        <v>0</v>
      </c>
      <c r="F2364" s="257">
        <f>ROUND('Plant input detail '!F2366*'WPB2.2 Plant detail-w slippage'!$P$2,0)</f>
        <v>0</v>
      </c>
      <c r="G2364" s="257">
        <f t="shared" si="736"/>
        <v>0</v>
      </c>
      <c r="H2364" s="38"/>
      <c r="I2364" s="257">
        <f t="shared" si="737"/>
        <v>0</v>
      </c>
      <c r="J2364" s="1362">
        <f t="shared" si="738"/>
        <v>0</v>
      </c>
      <c r="K2364" s="259">
        <v>0</v>
      </c>
      <c r="L2364" s="38">
        <f t="shared" si="739"/>
        <v>0</v>
      </c>
      <c r="M2364" s="257">
        <f>ROUND('Plant input detail '!M2366*'WPB2.2 Plant detail-w slippage'!$P$2,0)</f>
        <v>0</v>
      </c>
      <c r="N2364" s="2227">
        <f t="shared" si="740"/>
        <v>0</v>
      </c>
    </row>
    <row r="2365" spans="1:14" x14ac:dyDescent="0.2">
      <c r="A2365" s="31">
        <f t="shared" si="741"/>
        <v>23</v>
      </c>
      <c r="B2365" s="123">
        <v>394.13</v>
      </c>
      <c r="C2365" s="251" t="s">
        <v>1072</v>
      </c>
      <c r="D2365" s="257">
        <f t="shared" si="735"/>
        <v>0</v>
      </c>
      <c r="E2365" s="382">
        <f>ROUND('Plant input detail '!E2367*'WPB2.2 Plant detail-w slippage'!$P$2,0)</f>
        <v>0</v>
      </c>
      <c r="F2365" s="257">
        <f>ROUND('Plant input detail '!F2367*'WPB2.2 Plant detail-w slippage'!$P$2,0)</f>
        <v>0</v>
      </c>
      <c r="G2365" s="257">
        <f t="shared" si="736"/>
        <v>0</v>
      </c>
      <c r="H2365" s="38"/>
      <c r="I2365" s="257">
        <f t="shared" si="737"/>
        <v>37937.360000000001</v>
      </c>
      <c r="J2365" s="1362" t="str">
        <f t="shared" si="738"/>
        <v>Amort.</v>
      </c>
      <c r="K2365" s="259">
        <v>0</v>
      </c>
      <c r="L2365" s="38">
        <f t="shared" si="739"/>
        <v>0</v>
      </c>
      <c r="M2365" s="257">
        <f>ROUND('Plant input detail '!M2367*'WPB2.2 Plant detail-w slippage'!$P$2,0)</f>
        <v>0</v>
      </c>
      <c r="N2365" s="2227">
        <f t="shared" si="740"/>
        <v>37937.360000000001</v>
      </c>
    </row>
    <row r="2366" spans="1:14" x14ac:dyDescent="0.2">
      <c r="A2366" s="31">
        <f t="shared" si="741"/>
        <v>24</v>
      </c>
      <c r="B2366" s="123">
        <v>394.2</v>
      </c>
      <c r="C2366" s="52" t="s">
        <v>1073</v>
      </c>
      <c r="D2366" s="257">
        <f t="shared" si="735"/>
        <v>0</v>
      </c>
      <c r="E2366" s="382">
        <f>ROUND('Plant input detail '!E2368*'WPB2.2 Plant detail-w slippage'!$P$2,0)</f>
        <v>0</v>
      </c>
      <c r="F2366" s="257">
        <f>ROUND('Plant input detail '!F2368*'WPB2.2 Plant detail-w slippage'!$P$2,0)</f>
        <v>0</v>
      </c>
      <c r="G2366" s="257">
        <f t="shared" si="736"/>
        <v>0</v>
      </c>
      <c r="H2366" s="38"/>
      <c r="I2366" s="257">
        <f t="shared" si="737"/>
        <v>185.21</v>
      </c>
      <c r="J2366" s="1362">
        <f t="shared" si="738"/>
        <v>0.04</v>
      </c>
      <c r="K2366" s="173">
        <f t="shared" si="742"/>
        <v>0</v>
      </c>
      <c r="L2366" s="38">
        <f t="shared" si="739"/>
        <v>0</v>
      </c>
      <c r="M2366" s="257">
        <f>ROUND('Plant input detail '!M2368*'WPB2.2 Plant detail-w slippage'!$P$2,0)</f>
        <v>0</v>
      </c>
      <c r="N2366" s="2227">
        <f t="shared" si="740"/>
        <v>185.21</v>
      </c>
    </row>
    <row r="2367" spans="1:14" x14ac:dyDescent="0.2">
      <c r="A2367" s="31">
        <f t="shared" si="741"/>
        <v>25</v>
      </c>
      <c r="B2367" s="123">
        <v>394.3</v>
      </c>
      <c r="C2367" s="52" t="s">
        <v>1074</v>
      </c>
      <c r="D2367" s="257">
        <f t="shared" si="735"/>
        <v>3720721.16</v>
      </c>
      <c r="E2367" s="382">
        <f>ROUND('Plant input detail '!E2369*'WPB2.2 Plant detail-w slippage'!$P$2,0)</f>
        <v>68400</v>
      </c>
      <c r="F2367" s="257">
        <f>ROUND('Plant input detail '!F2369*'WPB2.2 Plant detail-w slippage'!$P$2,0)</f>
        <v>-8200</v>
      </c>
      <c r="G2367" s="257">
        <f t="shared" si="736"/>
        <v>3780921.16</v>
      </c>
      <c r="H2367" s="38"/>
      <c r="I2367" s="257">
        <f t="shared" si="737"/>
        <v>1369071.15</v>
      </c>
      <c r="J2367" s="1362">
        <f t="shared" si="738"/>
        <v>0.04</v>
      </c>
      <c r="K2367" s="173">
        <f t="shared" si="742"/>
        <v>12503</v>
      </c>
      <c r="L2367" s="38">
        <f t="shared" si="739"/>
        <v>8200</v>
      </c>
      <c r="M2367" s="257">
        <f>ROUND('Plant input detail '!M2369*'WPB2.2 Plant detail-w slippage'!$P$2,0)</f>
        <v>0</v>
      </c>
      <c r="N2367" s="2227">
        <f t="shared" si="740"/>
        <v>1373374.15</v>
      </c>
    </row>
    <row r="2368" spans="1:14" x14ac:dyDescent="0.2">
      <c r="A2368" s="31">
        <f t="shared" si="741"/>
        <v>26</v>
      </c>
      <c r="B2368" s="123">
        <v>395</v>
      </c>
      <c r="C2368" s="52" t="s">
        <v>1075</v>
      </c>
      <c r="D2368" s="257">
        <f t="shared" si="735"/>
        <v>9257.77</v>
      </c>
      <c r="E2368" s="382">
        <f>ROUND('Plant input detail '!E2370*'WPB2.2 Plant detail-w slippage'!$P$2,0)</f>
        <v>0</v>
      </c>
      <c r="F2368" s="257">
        <f>ROUND('Plant input detail '!F2370*'WPB2.2 Plant detail-w slippage'!$P$2,0)</f>
        <v>0</v>
      </c>
      <c r="G2368" s="257">
        <f t="shared" si="736"/>
        <v>9257.77</v>
      </c>
      <c r="H2368" s="38"/>
      <c r="I2368" s="257">
        <f t="shared" si="737"/>
        <v>7958.59</v>
      </c>
      <c r="J2368" s="1362">
        <f t="shared" si="738"/>
        <v>0.05</v>
      </c>
      <c r="K2368" s="173">
        <f t="shared" si="742"/>
        <v>39</v>
      </c>
      <c r="L2368" s="38">
        <f t="shared" si="739"/>
        <v>0</v>
      </c>
      <c r="M2368" s="257">
        <f>ROUND('Plant input detail '!M2370*'WPB2.2 Plant detail-w slippage'!$P$2,0)</f>
        <v>0</v>
      </c>
      <c r="N2368" s="2227">
        <f t="shared" si="740"/>
        <v>7997.59</v>
      </c>
    </row>
    <row r="2369" spans="1:16" x14ac:dyDescent="0.2">
      <c r="A2369" s="31">
        <f t="shared" si="741"/>
        <v>27</v>
      </c>
      <c r="B2369" s="123">
        <v>396</v>
      </c>
      <c r="C2369" s="52" t="s">
        <v>1076</v>
      </c>
      <c r="D2369" s="257">
        <f t="shared" si="735"/>
        <v>253134.72</v>
      </c>
      <c r="E2369" s="382">
        <f>ROUND('Plant input detail '!E2371*'WPB2.2 Plant detail-w slippage'!$P$2,0)</f>
        <v>0</v>
      </c>
      <c r="F2369" s="257">
        <f>ROUND('Plant input detail '!F2371*'WPB2.2 Plant detail-w slippage'!$P$2,0)</f>
        <v>0</v>
      </c>
      <c r="G2369" s="257">
        <f t="shared" si="736"/>
        <v>253134.72</v>
      </c>
      <c r="H2369" s="38"/>
      <c r="I2369" s="257">
        <f t="shared" si="737"/>
        <v>205327.72</v>
      </c>
      <c r="J2369" s="1362">
        <f t="shared" si="738"/>
        <v>2.5899999999999999E-2</v>
      </c>
      <c r="K2369" s="173">
        <f t="shared" si="742"/>
        <v>546</v>
      </c>
      <c r="L2369" s="38">
        <f t="shared" si="739"/>
        <v>0</v>
      </c>
      <c r="M2369" s="257">
        <f>ROUND('Plant input detail '!M2371*'WPB2.2 Plant detail-w slippage'!$P$2,0)</f>
        <v>0</v>
      </c>
      <c r="N2369" s="2227">
        <f t="shared" si="740"/>
        <v>205873.72</v>
      </c>
    </row>
    <row r="2370" spans="1:16" x14ac:dyDescent="0.2">
      <c r="A2370" s="31">
        <f t="shared" si="741"/>
        <v>28</v>
      </c>
      <c r="B2370" s="123">
        <v>398</v>
      </c>
      <c r="C2370" s="52" t="s">
        <v>1077</v>
      </c>
      <c r="D2370" s="260">
        <f t="shared" si="735"/>
        <v>308161.94</v>
      </c>
      <c r="E2370" s="265">
        <f>ROUND('Plant input detail '!E2372*'WPB2.2 Plant detail-w slippage'!$P$2,0)</f>
        <v>4600</v>
      </c>
      <c r="F2370" s="260">
        <f>ROUND('Plant input detail '!F2372*'WPB2.2 Plant detail-w slippage'!$P$2,0)</f>
        <v>-600</v>
      </c>
      <c r="G2370" s="260">
        <f t="shared" si="736"/>
        <v>312161.94</v>
      </c>
      <c r="H2370" s="264"/>
      <c r="I2370" s="260">
        <f t="shared" si="737"/>
        <v>15293.59</v>
      </c>
      <c r="J2370" s="1362">
        <f t="shared" si="738"/>
        <v>6.6699999999999995E-2</v>
      </c>
      <c r="K2370" s="260">
        <f t="shared" si="742"/>
        <v>1724</v>
      </c>
      <c r="L2370" s="295">
        <f t="shared" si="739"/>
        <v>600</v>
      </c>
      <c r="M2370" s="260">
        <f>ROUND('Plant input detail '!M2372*'WPB2.2 Plant detail-w slippage'!$P$2,0)</f>
        <v>0</v>
      </c>
      <c r="N2370" s="2228">
        <f t="shared" si="740"/>
        <v>16417.59</v>
      </c>
    </row>
    <row r="2371" spans="1:16" x14ac:dyDescent="0.2">
      <c r="A2371" s="31">
        <f t="shared" si="741"/>
        <v>29</v>
      </c>
      <c r="C2371" s="32" t="s">
        <v>1078</v>
      </c>
      <c r="D2371" s="264">
        <f>SUM(D2357:D2370)</f>
        <v>6710486.2799999993</v>
      </c>
      <c r="E2371" s="176">
        <f>SUM(E2357:E2370)</f>
        <v>73000</v>
      </c>
      <c r="F2371" s="176">
        <f>SUM(F2357:F2370)</f>
        <v>-8800</v>
      </c>
      <c r="G2371" s="264">
        <f>SUM(G2357:G2370)</f>
        <v>6774686.2799999993</v>
      </c>
      <c r="H2371" s="264"/>
      <c r="I2371" s="264">
        <f>SUM(I2357:I2370)</f>
        <v>2500540.27</v>
      </c>
      <c r="J2371" s="1359"/>
      <c r="K2371" s="176">
        <f>SUM(K2357:K2370)</f>
        <v>42913</v>
      </c>
      <c r="L2371" s="264">
        <f>SUM(L2357:L2370)</f>
        <v>8800</v>
      </c>
      <c r="M2371" s="176">
        <f>SUM(M2357:M2370)</f>
        <v>0</v>
      </c>
      <c r="N2371" s="1359">
        <f>SUM(N2357:N2370)</f>
        <v>2534653.27</v>
      </c>
    </row>
    <row r="2372" spans="1:16" x14ac:dyDescent="0.2">
      <c r="D2372" s="38"/>
      <c r="E2372" s="173"/>
      <c r="F2372" s="173"/>
      <c r="G2372" s="38"/>
      <c r="H2372" s="38"/>
      <c r="I2372" s="173"/>
      <c r="J2372" s="1361"/>
      <c r="K2372" s="173"/>
      <c r="L2372" s="38"/>
      <c r="M2372" s="173"/>
    </row>
    <row r="2373" spans="1:16" x14ac:dyDescent="0.2">
      <c r="A2373" s="1805">
        <f>A2371+1</f>
        <v>30</v>
      </c>
      <c r="B2373" s="252"/>
      <c r="C2373" s="36" t="s">
        <v>2287</v>
      </c>
      <c r="D2373" s="38"/>
      <c r="E2373" s="173"/>
      <c r="F2373" s="173"/>
      <c r="G2373" s="38"/>
      <c r="H2373" s="38"/>
      <c r="I2373" s="181"/>
      <c r="J2373" s="173"/>
      <c r="K2373" s="173"/>
      <c r="L2373" s="38"/>
      <c r="M2373" s="173"/>
      <c r="P2373" s="279"/>
    </row>
    <row r="2374" spans="1:16" x14ac:dyDescent="0.2">
      <c r="A2374" s="31">
        <f>A2373+1</f>
        <v>31</v>
      </c>
      <c r="B2374" s="123">
        <v>378.21</v>
      </c>
      <c r="C2374" s="52" t="s">
        <v>2244</v>
      </c>
      <c r="D2374" s="257">
        <f>G2268</f>
        <v>-777092</v>
      </c>
      <c r="E2374" s="382">
        <f>ROUND('Plant input detail '!E2376*'WPB2.2 Plant detail-w slippage'!$P$2,0)</f>
        <v>0</v>
      </c>
      <c r="F2374" s="257">
        <f>ROUND('Plant input detail '!F2376*'WPB2.2 Plant detail-w slippage'!$P$2,0)</f>
        <v>0</v>
      </c>
      <c r="G2374" s="257">
        <f t="shared" ref="G2374" si="743">SUM(D2374:F2374)</f>
        <v>-777092</v>
      </c>
      <c r="H2374" s="264"/>
      <c r="I2374" s="257">
        <f>N2268</f>
        <v>-66139.446666666583</v>
      </c>
      <c r="J2374" s="296" t="s">
        <v>1094</v>
      </c>
      <c r="K2374" s="1334">
        <v>-2158.5833333333321</v>
      </c>
      <c r="L2374" s="38">
        <f t="shared" ref="L2374" si="744">-F2374</f>
        <v>0</v>
      </c>
      <c r="M2374" s="257">
        <f>ROUND('Plant input detail '!M2376*'WPB2.2 Plant detail-w slippage'!$P$2,0)</f>
        <v>0</v>
      </c>
      <c r="N2374" s="2227">
        <f t="shared" ref="N2374" si="745">I2374+K2374-L2374+M2374</f>
        <v>-68298.029999999912</v>
      </c>
      <c r="O2374" s="292"/>
    </row>
    <row r="2375" spans="1:16" x14ac:dyDescent="0.2">
      <c r="A2375" s="1723"/>
      <c r="D2375" s="38"/>
      <c r="E2375" s="173"/>
      <c r="F2375" s="173"/>
      <c r="G2375" s="38"/>
      <c r="H2375" s="38"/>
      <c r="I2375" s="173"/>
      <c r="J2375" s="1361"/>
      <c r="K2375" s="173"/>
      <c r="L2375" s="38"/>
      <c r="M2375" s="173"/>
    </row>
    <row r="2376" spans="1:16" x14ac:dyDescent="0.2">
      <c r="A2376" s="31">
        <f>A2374+1</f>
        <v>32</v>
      </c>
      <c r="C2376" s="32" t="s">
        <v>774</v>
      </c>
      <c r="D2376" s="40">
        <f>D2371+D2354+D2299+D2295+D2374</f>
        <v>452711169.36999989</v>
      </c>
      <c r="E2376" s="40">
        <f>E2371+E2354+E2299+E2295+E2374</f>
        <v>2670366</v>
      </c>
      <c r="F2376" s="40">
        <f>F2371+F2354+F2299+F2295+F2374</f>
        <v>-314900</v>
      </c>
      <c r="G2376" s="40">
        <f>G2371+G2354+G2299+G2295+G2374</f>
        <v>455066635.36999989</v>
      </c>
      <c r="H2376" s="38"/>
      <c r="I2376" s="40">
        <f>I2371+I2354+I2299+I2295+I2374</f>
        <v>156254857.62783304</v>
      </c>
      <c r="J2376" s="1363"/>
      <c r="K2376" s="40">
        <f>K2371+K2354+K2299+K2295+K2374</f>
        <v>1391461.9587856997</v>
      </c>
      <c r="L2376" s="40">
        <f>L2371+L2354+L2299+L2295+L2374</f>
        <v>314900</v>
      </c>
      <c r="M2376" s="40">
        <f>M2371+M2354+M2299+M2295+M2374</f>
        <v>-79000</v>
      </c>
      <c r="N2376" s="2230">
        <f>N2371+N2354+N2299+N2295+N2374</f>
        <v>157252419.58661872</v>
      </c>
    </row>
  </sheetData>
  <mergeCells count="270">
    <mergeCell ref="D10:G10"/>
    <mergeCell ref="I10:N10"/>
    <mergeCell ref="A46:N46"/>
    <mergeCell ref="A47:N47"/>
    <mergeCell ref="A1:N1"/>
    <mergeCell ref="A2:N2"/>
    <mergeCell ref="A3:N3"/>
    <mergeCell ref="A4:N4"/>
    <mergeCell ref="D108:G108"/>
    <mergeCell ref="I108:N108"/>
    <mergeCell ref="A152:N152"/>
    <mergeCell ref="A153:N153"/>
    <mergeCell ref="A99:N99"/>
    <mergeCell ref="A100:N100"/>
    <mergeCell ref="A101:N101"/>
    <mergeCell ref="A102:N102"/>
    <mergeCell ref="A48:N48"/>
    <mergeCell ref="A49:N49"/>
    <mergeCell ref="D55:G55"/>
    <mergeCell ref="I55:N55"/>
    <mergeCell ref="D214:G214"/>
    <mergeCell ref="I214:N214"/>
    <mergeCell ref="A258:N258"/>
    <mergeCell ref="A259:N259"/>
    <mergeCell ref="A205:N205"/>
    <mergeCell ref="A206:N206"/>
    <mergeCell ref="A207:N207"/>
    <mergeCell ref="A208:N208"/>
    <mergeCell ref="A154:N154"/>
    <mergeCell ref="A155:N155"/>
    <mergeCell ref="D161:G161"/>
    <mergeCell ref="I161:N161"/>
    <mergeCell ref="D320:G320"/>
    <mergeCell ref="I320:N320"/>
    <mergeCell ref="A364:N364"/>
    <mergeCell ref="A365:N365"/>
    <mergeCell ref="A311:N311"/>
    <mergeCell ref="A312:N312"/>
    <mergeCell ref="A313:N313"/>
    <mergeCell ref="A314:N314"/>
    <mergeCell ref="A260:N260"/>
    <mergeCell ref="A261:N261"/>
    <mergeCell ref="D267:G267"/>
    <mergeCell ref="I267:N267"/>
    <mergeCell ref="D426:G426"/>
    <mergeCell ref="I426:N426"/>
    <mergeCell ref="A470:N470"/>
    <mergeCell ref="A471:N471"/>
    <mergeCell ref="A417:N417"/>
    <mergeCell ref="A418:N418"/>
    <mergeCell ref="A419:N419"/>
    <mergeCell ref="A420:N420"/>
    <mergeCell ref="A366:N366"/>
    <mergeCell ref="A367:N367"/>
    <mergeCell ref="D373:G373"/>
    <mergeCell ref="I373:N373"/>
    <mergeCell ref="D532:G532"/>
    <mergeCell ref="I532:N532"/>
    <mergeCell ref="A576:N576"/>
    <mergeCell ref="A577:N577"/>
    <mergeCell ref="A523:N523"/>
    <mergeCell ref="A524:N524"/>
    <mergeCell ref="A525:N525"/>
    <mergeCell ref="A526:N526"/>
    <mergeCell ref="A472:N472"/>
    <mergeCell ref="A473:N473"/>
    <mergeCell ref="D479:G479"/>
    <mergeCell ref="I479:N479"/>
    <mergeCell ref="D638:G638"/>
    <mergeCell ref="I638:N638"/>
    <mergeCell ref="A682:N682"/>
    <mergeCell ref="A683:N683"/>
    <mergeCell ref="A629:N629"/>
    <mergeCell ref="A630:N630"/>
    <mergeCell ref="A631:N631"/>
    <mergeCell ref="A632:N632"/>
    <mergeCell ref="A578:N578"/>
    <mergeCell ref="A579:N579"/>
    <mergeCell ref="D585:G585"/>
    <mergeCell ref="I585:N585"/>
    <mergeCell ref="D744:G744"/>
    <mergeCell ref="I744:N744"/>
    <mergeCell ref="A788:N788"/>
    <mergeCell ref="A789:N789"/>
    <mergeCell ref="A735:N735"/>
    <mergeCell ref="A736:N736"/>
    <mergeCell ref="A737:N737"/>
    <mergeCell ref="A738:N738"/>
    <mergeCell ref="A684:N684"/>
    <mergeCell ref="A685:N685"/>
    <mergeCell ref="D691:G691"/>
    <mergeCell ref="I691:N691"/>
    <mergeCell ref="D850:G850"/>
    <mergeCell ref="I850:N850"/>
    <mergeCell ref="A894:N894"/>
    <mergeCell ref="A895:N895"/>
    <mergeCell ref="A841:N841"/>
    <mergeCell ref="A842:N842"/>
    <mergeCell ref="A843:N843"/>
    <mergeCell ref="A844:N844"/>
    <mergeCell ref="A790:N790"/>
    <mergeCell ref="A791:N791"/>
    <mergeCell ref="D797:G797"/>
    <mergeCell ref="I797:N797"/>
    <mergeCell ref="D956:G956"/>
    <mergeCell ref="I956:N956"/>
    <mergeCell ref="A1000:N1000"/>
    <mergeCell ref="A1001:N1001"/>
    <mergeCell ref="A947:N947"/>
    <mergeCell ref="A948:N948"/>
    <mergeCell ref="A949:N949"/>
    <mergeCell ref="A950:N950"/>
    <mergeCell ref="A896:N896"/>
    <mergeCell ref="A897:N897"/>
    <mergeCell ref="D903:G903"/>
    <mergeCell ref="I903:N903"/>
    <mergeCell ref="D1062:G1062"/>
    <mergeCell ref="I1062:N1062"/>
    <mergeCell ref="A1106:N1106"/>
    <mergeCell ref="A1107:N1107"/>
    <mergeCell ref="A1053:N1053"/>
    <mergeCell ref="A1054:N1054"/>
    <mergeCell ref="A1055:N1055"/>
    <mergeCell ref="A1056:N1056"/>
    <mergeCell ref="A1002:N1002"/>
    <mergeCell ref="A1003:N1003"/>
    <mergeCell ref="D1009:G1009"/>
    <mergeCell ref="I1009:N1009"/>
    <mergeCell ref="D1168:G1168"/>
    <mergeCell ref="I1168:N1168"/>
    <mergeCell ref="A1212:N1212"/>
    <mergeCell ref="A1213:N1213"/>
    <mergeCell ref="A1159:N1159"/>
    <mergeCell ref="A1160:N1160"/>
    <mergeCell ref="A1161:N1161"/>
    <mergeCell ref="A1162:N1162"/>
    <mergeCell ref="A1108:N1108"/>
    <mergeCell ref="A1109:N1109"/>
    <mergeCell ref="D1115:G1115"/>
    <mergeCell ref="I1115:N1115"/>
    <mergeCell ref="D1274:G1274"/>
    <mergeCell ref="I1274:N1274"/>
    <mergeCell ref="A1318:N1318"/>
    <mergeCell ref="A1319:N1319"/>
    <mergeCell ref="A1265:N1265"/>
    <mergeCell ref="A1266:N1266"/>
    <mergeCell ref="A1267:N1267"/>
    <mergeCell ref="A1268:N1268"/>
    <mergeCell ref="A1214:N1214"/>
    <mergeCell ref="A1215:N1215"/>
    <mergeCell ref="D1221:G1221"/>
    <mergeCell ref="I1221:N1221"/>
    <mergeCell ref="D1380:G1380"/>
    <mergeCell ref="I1380:N1380"/>
    <mergeCell ref="A1424:N1424"/>
    <mergeCell ref="A1425:N1425"/>
    <mergeCell ref="A1371:N1371"/>
    <mergeCell ref="A1372:N1372"/>
    <mergeCell ref="A1373:N1373"/>
    <mergeCell ref="A1374:N1374"/>
    <mergeCell ref="A1320:N1320"/>
    <mergeCell ref="A1321:N1321"/>
    <mergeCell ref="D1327:G1327"/>
    <mergeCell ref="I1327:N1327"/>
    <mergeCell ref="D1486:G1486"/>
    <mergeCell ref="I1486:N1486"/>
    <mergeCell ref="A1530:N1530"/>
    <mergeCell ref="A1531:N1531"/>
    <mergeCell ref="A1477:N1477"/>
    <mergeCell ref="A1478:N1478"/>
    <mergeCell ref="A1479:N1479"/>
    <mergeCell ref="A1480:N1480"/>
    <mergeCell ref="A1426:N1426"/>
    <mergeCell ref="A1427:N1427"/>
    <mergeCell ref="D1433:G1433"/>
    <mergeCell ref="I1433:N1433"/>
    <mergeCell ref="D1592:G1592"/>
    <mergeCell ref="I1592:N1592"/>
    <mergeCell ref="A1636:N1636"/>
    <mergeCell ref="A1637:N1637"/>
    <mergeCell ref="A1583:N1583"/>
    <mergeCell ref="A1584:N1584"/>
    <mergeCell ref="A1585:N1585"/>
    <mergeCell ref="A1586:N1586"/>
    <mergeCell ref="A1532:N1532"/>
    <mergeCell ref="A1533:N1533"/>
    <mergeCell ref="D1539:G1539"/>
    <mergeCell ref="I1539:N1539"/>
    <mergeCell ref="D1698:G1698"/>
    <mergeCell ref="I1698:N1698"/>
    <mergeCell ref="A1742:N1742"/>
    <mergeCell ref="A1743:N1743"/>
    <mergeCell ref="A1689:N1689"/>
    <mergeCell ref="A1690:N1690"/>
    <mergeCell ref="A1691:N1691"/>
    <mergeCell ref="A1692:N1692"/>
    <mergeCell ref="A1638:N1638"/>
    <mergeCell ref="A1639:N1639"/>
    <mergeCell ref="D1645:G1645"/>
    <mergeCell ref="I1645:N1645"/>
    <mergeCell ref="D1804:G1804"/>
    <mergeCell ref="I1804:N1804"/>
    <mergeCell ref="A1848:N1848"/>
    <mergeCell ref="A1849:N1849"/>
    <mergeCell ref="A1795:N1795"/>
    <mergeCell ref="A1796:N1796"/>
    <mergeCell ref="A1797:N1797"/>
    <mergeCell ref="A1798:N1798"/>
    <mergeCell ref="A1744:N1744"/>
    <mergeCell ref="A1745:N1745"/>
    <mergeCell ref="D1751:G1751"/>
    <mergeCell ref="I1751:N1751"/>
    <mergeCell ref="D1910:G1910"/>
    <mergeCell ref="I1910:N1910"/>
    <mergeCell ref="A1954:N1954"/>
    <mergeCell ref="A1955:N1955"/>
    <mergeCell ref="A1901:N1901"/>
    <mergeCell ref="A1902:N1902"/>
    <mergeCell ref="A1903:N1903"/>
    <mergeCell ref="A1904:N1904"/>
    <mergeCell ref="A1850:N1850"/>
    <mergeCell ref="A1851:N1851"/>
    <mergeCell ref="D1857:G1857"/>
    <mergeCell ref="I1857:N1857"/>
    <mergeCell ref="D2016:G2016"/>
    <mergeCell ref="I2016:N2016"/>
    <mergeCell ref="A2060:N2060"/>
    <mergeCell ref="A2061:N2061"/>
    <mergeCell ref="A2007:N2007"/>
    <mergeCell ref="A2008:N2008"/>
    <mergeCell ref="A2009:N2009"/>
    <mergeCell ref="A2010:N2010"/>
    <mergeCell ref="A1956:N1956"/>
    <mergeCell ref="A1957:N1957"/>
    <mergeCell ref="D1963:G1963"/>
    <mergeCell ref="I1963:N1963"/>
    <mergeCell ref="D2122:G2122"/>
    <mergeCell ref="I2122:N2122"/>
    <mergeCell ref="A2166:N2166"/>
    <mergeCell ref="A2167:N2167"/>
    <mergeCell ref="A2113:N2113"/>
    <mergeCell ref="A2114:N2114"/>
    <mergeCell ref="A2115:N2115"/>
    <mergeCell ref="A2116:N2116"/>
    <mergeCell ref="A2062:N2062"/>
    <mergeCell ref="A2063:N2063"/>
    <mergeCell ref="D2069:G2069"/>
    <mergeCell ref="I2069:N2069"/>
    <mergeCell ref="D2228:G2228"/>
    <mergeCell ref="I2228:N2228"/>
    <mergeCell ref="A2272:N2272"/>
    <mergeCell ref="A2273:N2273"/>
    <mergeCell ref="A2219:N2219"/>
    <mergeCell ref="A2220:N2220"/>
    <mergeCell ref="A2221:N2221"/>
    <mergeCell ref="A2222:N2222"/>
    <mergeCell ref="A2168:N2168"/>
    <mergeCell ref="A2169:N2169"/>
    <mergeCell ref="D2175:G2175"/>
    <mergeCell ref="I2175:N2175"/>
    <mergeCell ref="D2334:G2334"/>
    <mergeCell ref="I2334:N2334"/>
    <mergeCell ref="A2325:N2325"/>
    <mergeCell ref="A2326:N2326"/>
    <mergeCell ref="A2327:N2327"/>
    <mergeCell ref="A2328:N2328"/>
    <mergeCell ref="A2274:N2274"/>
    <mergeCell ref="A2275:N2275"/>
    <mergeCell ref="D2281:G2281"/>
    <mergeCell ref="I2281:N2281"/>
  </mergeCells>
  <phoneticPr fontId="0" type="noConversion"/>
  <pageMargins left="1" right="0.5" top="1" bottom="0.75" header="0.3" footer="0.3"/>
  <pageSetup scale="66" fitToHeight="45" orientation="landscape" r:id="rId1"/>
  <headerFooter>
    <oddHeader>&amp;R&amp;"Arial,Regular"&amp;10KY PSC Case No. 2016-00162, Attachment A to Staff 3-4</oddHeader>
  </headerFooter>
  <rowBreaks count="1" manualBreakCount="1">
    <brk id="45" max="1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X219"/>
  <sheetViews>
    <sheetView view="pageBreakPreview" zoomScale="50" zoomScaleNormal="70" zoomScaleSheetLayoutView="50" workbookViewId="0">
      <selection activeCell="F46" sqref="F46"/>
    </sheetView>
  </sheetViews>
  <sheetFormatPr defaultRowHeight="10.5" x14ac:dyDescent="0.15"/>
  <cols>
    <col min="1" max="1" width="4.6640625" customWidth="1"/>
    <col min="2" max="2" width="55.83203125" bestFit="1" customWidth="1"/>
    <col min="3" max="3" width="14.33203125" customWidth="1"/>
    <col min="4" max="4" width="13.5" bestFit="1" customWidth="1"/>
    <col min="5" max="5" width="7.83203125" customWidth="1"/>
    <col min="6" max="6" width="16.1640625" customWidth="1"/>
    <col min="7" max="7" width="14.1640625" customWidth="1"/>
    <col min="8" max="16" width="14.1640625" bestFit="1" customWidth="1"/>
    <col min="17" max="17" width="15.83203125" customWidth="1"/>
    <col min="18" max="18" width="13.5" bestFit="1" customWidth="1"/>
    <col min="19" max="20" width="11.83203125" bestFit="1" customWidth="1"/>
  </cols>
  <sheetData>
    <row r="1" spans="1:19" ht="12.75" x14ac:dyDescent="0.2">
      <c r="A1" s="2079" t="str">
        <f>co</f>
        <v>COLUMBIA GAS OF KENTUCKY, INC.</v>
      </c>
      <c r="B1" s="2079"/>
      <c r="C1" s="2079"/>
      <c r="D1" s="2079"/>
      <c r="E1" s="2079"/>
      <c r="F1" s="2079"/>
      <c r="G1" s="2079"/>
      <c r="H1" s="2079"/>
      <c r="I1" s="2079"/>
      <c r="J1" s="2079"/>
      <c r="K1" s="2079"/>
      <c r="L1" s="2079"/>
      <c r="M1" s="2079"/>
      <c r="N1" s="2079"/>
      <c r="O1" s="2079"/>
      <c r="P1" s="2079"/>
      <c r="Q1" s="2079"/>
    </row>
    <row r="2" spans="1:19" ht="12.75" x14ac:dyDescent="0.2">
      <c r="A2" s="2079" t="str">
        <f>case</f>
        <v>CASE NO. 2016 - 00162</v>
      </c>
      <c r="B2" s="2079"/>
      <c r="C2" s="2079"/>
      <c r="D2" s="2079"/>
      <c r="E2" s="2079"/>
      <c r="F2" s="2079"/>
      <c r="G2" s="2079"/>
      <c r="H2" s="2079"/>
      <c r="I2" s="2079"/>
      <c r="J2" s="2079"/>
      <c r="K2" s="2079"/>
      <c r="L2" s="2079"/>
      <c r="M2" s="2079"/>
      <c r="N2" s="2079"/>
      <c r="O2" s="2079"/>
      <c r="P2" s="2079"/>
      <c r="Q2" s="2079"/>
    </row>
    <row r="3" spans="1:19" ht="12.75" x14ac:dyDescent="0.2">
      <c r="A3" s="2080" t="s">
        <v>1167</v>
      </c>
      <c r="B3" s="2080"/>
      <c r="C3" s="2080"/>
      <c r="D3" s="2080"/>
      <c r="E3" s="2080"/>
      <c r="F3" s="2080"/>
      <c r="G3" s="2080"/>
      <c r="H3" s="2080"/>
      <c r="I3" s="2080"/>
      <c r="J3" s="2080"/>
      <c r="K3" s="2080"/>
      <c r="L3" s="2080"/>
      <c r="M3" s="2080"/>
      <c r="N3" s="2080"/>
      <c r="O3" s="2080"/>
      <c r="P3" s="2080"/>
      <c r="Q3" s="2080"/>
    </row>
    <row r="4" spans="1:19" ht="12.75" x14ac:dyDescent="0.2">
      <c r="A4" s="2081" t="s">
        <v>2142</v>
      </c>
      <c r="B4" s="2081"/>
      <c r="C4" s="2081"/>
      <c r="D4" s="2081"/>
      <c r="E4" s="2081"/>
      <c r="F4" s="2081"/>
      <c r="G4" s="2081"/>
      <c r="H4" s="2081"/>
      <c r="I4" s="2081"/>
      <c r="J4" s="2081"/>
      <c r="K4" s="2081"/>
      <c r="L4" s="2081"/>
      <c r="M4" s="2081"/>
      <c r="N4" s="2081"/>
      <c r="O4" s="2081"/>
      <c r="P4" s="2081"/>
      <c r="Q4" s="2081"/>
    </row>
    <row r="5" spans="1:19" ht="12.75" x14ac:dyDescent="0.2">
      <c r="A5" s="127"/>
      <c r="B5" s="30"/>
      <c r="C5" s="30"/>
      <c r="D5" s="30"/>
      <c r="E5" s="30"/>
      <c r="F5" s="30"/>
      <c r="G5" s="171"/>
      <c r="H5" s="171"/>
      <c r="I5" s="30"/>
      <c r="J5" s="30"/>
      <c r="K5" s="30"/>
      <c r="L5" s="30"/>
      <c r="M5" s="30"/>
      <c r="N5" s="30"/>
      <c r="O5" s="30"/>
    </row>
    <row r="6" spans="1:19" ht="12.75" x14ac:dyDescent="0.2">
      <c r="A6" s="285" t="s">
        <v>1095</v>
      </c>
      <c r="B6" s="30"/>
      <c r="C6" s="171"/>
      <c r="D6" s="30"/>
      <c r="E6" s="30"/>
      <c r="F6" s="30"/>
      <c r="G6" s="171"/>
      <c r="H6" s="171"/>
      <c r="I6" s="30"/>
      <c r="J6" s="30"/>
      <c r="K6" s="32"/>
      <c r="L6" s="30"/>
      <c r="M6" s="30"/>
      <c r="N6" s="30"/>
      <c r="Q6" s="1257" t="s">
        <v>1761</v>
      </c>
    </row>
    <row r="7" spans="1:19" ht="12.75" x14ac:dyDescent="0.2">
      <c r="A7" s="4" t="s">
        <v>977</v>
      </c>
      <c r="B7" s="30"/>
      <c r="C7" s="30"/>
      <c r="D7" s="30"/>
      <c r="E7" s="30"/>
      <c r="F7" s="30"/>
      <c r="G7" s="171"/>
      <c r="J7" s="30"/>
      <c r="K7" s="32"/>
      <c r="L7" s="30"/>
      <c r="M7" s="30"/>
      <c r="N7" s="30"/>
      <c r="Q7" s="1256" t="s">
        <v>864</v>
      </c>
    </row>
    <row r="8" spans="1:19" ht="12.75" x14ac:dyDescent="0.2">
      <c r="A8" s="200" t="s">
        <v>1712</v>
      </c>
      <c r="B8" s="202"/>
      <c r="C8" s="202"/>
      <c r="D8" s="201"/>
      <c r="E8" s="201"/>
      <c r="F8" s="201"/>
      <c r="G8" s="202"/>
      <c r="I8" s="201"/>
      <c r="J8" s="201"/>
      <c r="K8" s="203"/>
      <c r="L8" s="30"/>
      <c r="M8" s="30"/>
      <c r="N8" s="32"/>
      <c r="Q8" s="211" t="str">
        <f>SMK</f>
        <v>WITNESS:  S. M. KATKO</v>
      </c>
    </row>
    <row r="9" spans="1:19" x14ac:dyDescent="0.15">
      <c r="A9" s="343"/>
      <c r="B9" s="343"/>
      <c r="C9" s="343"/>
      <c r="D9" s="343"/>
      <c r="E9" s="343"/>
      <c r="F9" s="343"/>
      <c r="G9" s="343"/>
      <c r="H9" s="343"/>
      <c r="I9" s="343"/>
      <c r="J9" s="343"/>
      <c r="K9" s="343"/>
      <c r="L9" s="343"/>
      <c r="M9" s="343"/>
      <c r="N9" s="343"/>
    </row>
    <row r="10" spans="1:19" ht="12.75" x14ac:dyDescent="0.2">
      <c r="A10" s="332"/>
      <c r="B10" s="333"/>
      <c r="C10" s="333"/>
      <c r="E10" s="334"/>
      <c r="F10" s="341" t="s">
        <v>1137</v>
      </c>
      <c r="G10" s="340" t="s">
        <v>1089</v>
      </c>
      <c r="H10" s="558">
        <v>42460</v>
      </c>
      <c r="I10" s="558">
        <v>42490</v>
      </c>
      <c r="J10" s="558">
        <v>42521</v>
      </c>
      <c r="K10" s="558">
        <v>42551</v>
      </c>
      <c r="L10" s="558">
        <v>42582</v>
      </c>
      <c r="M10" s="558">
        <v>42613</v>
      </c>
      <c r="N10" s="558">
        <v>42643</v>
      </c>
      <c r="O10" s="558">
        <v>42674</v>
      </c>
      <c r="P10" s="558">
        <v>42704</v>
      </c>
      <c r="Q10" s="558">
        <v>42735</v>
      </c>
    </row>
    <row r="11" spans="1:19" ht="12.75" x14ac:dyDescent="0.2">
      <c r="A11" s="332" t="s">
        <v>1080</v>
      </c>
      <c r="B11" s="333"/>
      <c r="C11" s="332" t="s">
        <v>1138</v>
      </c>
      <c r="D11" s="340" t="s">
        <v>1139</v>
      </c>
      <c r="E11" s="340" t="s">
        <v>1140</v>
      </c>
      <c r="F11" s="341" t="s">
        <v>1141</v>
      </c>
      <c r="G11" s="332" t="s">
        <v>867</v>
      </c>
      <c r="H11" s="332" t="s">
        <v>1142</v>
      </c>
      <c r="I11" s="332" t="s">
        <v>1142</v>
      </c>
      <c r="J11" s="332" t="s">
        <v>1142</v>
      </c>
      <c r="K11" s="332" t="s">
        <v>1142</v>
      </c>
      <c r="L11" s="332" t="s">
        <v>1142</v>
      </c>
      <c r="M11" s="332" t="s">
        <v>1142</v>
      </c>
      <c r="N11" s="332" t="s">
        <v>1142</v>
      </c>
      <c r="O11" s="332" t="s">
        <v>1142</v>
      </c>
      <c r="P11" s="332" t="s">
        <v>1142</v>
      </c>
      <c r="Q11" s="332" t="s">
        <v>1142</v>
      </c>
    </row>
    <row r="12" spans="1:19" ht="12.75" x14ac:dyDescent="0.2">
      <c r="A12" s="344" t="s">
        <v>1081</v>
      </c>
      <c r="B12" s="336" t="s">
        <v>1083</v>
      </c>
      <c r="C12" s="345" t="s">
        <v>1124</v>
      </c>
      <c r="D12" s="346" t="s">
        <v>867</v>
      </c>
      <c r="E12" s="346" t="s">
        <v>1143</v>
      </c>
      <c r="F12" s="557">
        <v>42428</v>
      </c>
      <c r="G12" s="557">
        <v>42428</v>
      </c>
      <c r="H12" s="344" t="s">
        <v>1144</v>
      </c>
      <c r="I12" s="344" t="s">
        <v>1144</v>
      </c>
      <c r="J12" s="344" t="s">
        <v>1144</v>
      </c>
      <c r="K12" s="344" t="s">
        <v>1144</v>
      </c>
      <c r="L12" s="344" t="s">
        <v>1144</v>
      </c>
      <c r="M12" s="344" t="s">
        <v>1144</v>
      </c>
      <c r="N12" s="344" t="s">
        <v>1144</v>
      </c>
      <c r="O12" s="344" t="s">
        <v>1144</v>
      </c>
      <c r="P12" s="344" t="s">
        <v>1144</v>
      </c>
      <c r="Q12" s="344" t="s">
        <v>1144</v>
      </c>
    </row>
    <row r="13" spans="1:19" ht="12.75" x14ac:dyDescent="0.2">
      <c r="A13" s="332"/>
      <c r="B13" s="333"/>
      <c r="C13" s="347" t="s">
        <v>860</v>
      </c>
      <c r="D13" s="347" t="s">
        <v>877</v>
      </c>
      <c r="E13" s="347" t="s">
        <v>878</v>
      </c>
      <c r="F13" s="347" t="s">
        <v>1145</v>
      </c>
      <c r="G13" s="347" t="s">
        <v>1146</v>
      </c>
      <c r="H13" s="347" t="s">
        <v>1147</v>
      </c>
      <c r="I13" s="347" t="s">
        <v>1762</v>
      </c>
      <c r="J13" s="347" t="s">
        <v>1763</v>
      </c>
      <c r="K13" s="347" t="s">
        <v>1764</v>
      </c>
      <c r="L13" s="347" t="s">
        <v>1765</v>
      </c>
      <c r="M13" s="347" t="s">
        <v>1766</v>
      </c>
      <c r="N13" s="347" t="s">
        <v>1767</v>
      </c>
      <c r="O13" s="347" t="s">
        <v>1768</v>
      </c>
      <c r="P13" s="347" t="s">
        <v>1769</v>
      </c>
      <c r="Q13" s="347" t="s">
        <v>1770</v>
      </c>
    </row>
    <row r="14" spans="1:19" ht="12.75" x14ac:dyDescent="0.2">
      <c r="A14" s="333"/>
      <c r="B14" s="333"/>
      <c r="C14" s="333"/>
      <c r="D14" s="333"/>
      <c r="E14" s="333"/>
      <c r="F14" s="334"/>
      <c r="G14" s="334"/>
      <c r="H14" s="335"/>
      <c r="K14" s="334"/>
      <c r="L14" s="333"/>
      <c r="M14" s="343"/>
      <c r="N14" s="343"/>
    </row>
    <row r="15" spans="1:19" ht="12.75" x14ac:dyDescent="0.2">
      <c r="A15" s="332">
        <v>1</v>
      </c>
      <c r="B15" s="336" t="s">
        <v>1164</v>
      </c>
      <c r="D15" s="333"/>
      <c r="E15" s="333"/>
      <c r="F15" s="334"/>
      <c r="G15" s="333"/>
      <c r="H15" s="337"/>
      <c r="K15" s="335"/>
      <c r="L15" s="338"/>
    </row>
    <row r="16" spans="1:19" ht="12.75" x14ac:dyDescent="0.2">
      <c r="A16" s="332">
        <f>A15+1</f>
        <v>2</v>
      </c>
      <c r="B16" s="357" t="s">
        <v>1148</v>
      </c>
      <c r="C16" s="339">
        <v>303</v>
      </c>
      <c r="D16" s="354">
        <v>13384.27</v>
      </c>
      <c r="E16" s="371">
        <v>360</v>
      </c>
      <c r="F16" s="372">
        <v>118.5</v>
      </c>
      <c r="G16" s="356">
        <v>9016.01</v>
      </c>
      <c r="H16" s="354">
        <v>37.18</v>
      </c>
      <c r="I16" s="354">
        <v>37.18</v>
      </c>
      <c r="J16" s="354">
        <v>37.18</v>
      </c>
      <c r="K16" s="354">
        <v>37.18</v>
      </c>
      <c r="L16" s="354">
        <v>37.18</v>
      </c>
      <c r="M16" s="354">
        <v>37.18</v>
      </c>
      <c r="N16" s="354">
        <v>37.18</v>
      </c>
      <c r="O16" s="354">
        <v>37.18</v>
      </c>
      <c r="P16" s="354">
        <v>37.18</v>
      </c>
      <c r="Q16" s="354">
        <v>37.18</v>
      </c>
      <c r="R16" s="360"/>
      <c r="S16" s="360"/>
    </row>
    <row r="17" spans="1:19" ht="12.75" x14ac:dyDescent="0.2">
      <c r="A17" s="332">
        <f>A16+1</f>
        <v>3</v>
      </c>
      <c r="B17" s="357" t="s">
        <v>1149</v>
      </c>
      <c r="C17" s="339">
        <v>303</v>
      </c>
      <c r="D17" s="354">
        <v>45775.63</v>
      </c>
      <c r="E17" s="371">
        <v>360</v>
      </c>
      <c r="F17" s="372">
        <v>154.5</v>
      </c>
      <c r="G17" s="356">
        <v>26257.34</v>
      </c>
      <c r="H17" s="354">
        <v>127.15</v>
      </c>
      <c r="I17" s="354">
        <v>127.15</v>
      </c>
      <c r="J17" s="354">
        <v>127.15</v>
      </c>
      <c r="K17" s="354">
        <v>127.15</v>
      </c>
      <c r="L17" s="354">
        <v>127.15</v>
      </c>
      <c r="M17" s="354">
        <v>127.15</v>
      </c>
      <c r="N17" s="354">
        <v>127.15</v>
      </c>
      <c r="O17" s="354">
        <v>127.15</v>
      </c>
      <c r="P17" s="354">
        <v>127.15</v>
      </c>
      <c r="Q17" s="354">
        <v>127.15</v>
      </c>
      <c r="R17" s="360"/>
      <c r="S17" s="360"/>
    </row>
    <row r="18" spans="1:19" ht="12.75" x14ac:dyDescent="0.2">
      <c r="A18" s="332">
        <f>A17+1</f>
        <v>4</v>
      </c>
      <c r="B18" s="357" t="s">
        <v>1150</v>
      </c>
      <c r="C18" s="339">
        <v>303</v>
      </c>
      <c r="D18" s="355">
        <v>15187.61</v>
      </c>
      <c r="E18" s="371">
        <v>360</v>
      </c>
      <c r="F18" s="372">
        <v>111.5</v>
      </c>
      <c r="G18" s="359">
        <v>10526.08</v>
      </c>
      <c r="H18" s="355">
        <v>42.19</v>
      </c>
      <c r="I18" s="355">
        <v>42.19</v>
      </c>
      <c r="J18" s="355">
        <v>42.19</v>
      </c>
      <c r="K18" s="355">
        <v>42.19</v>
      </c>
      <c r="L18" s="355">
        <v>42.19</v>
      </c>
      <c r="M18" s="355">
        <v>42.19</v>
      </c>
      <c r="N18" s="355">
        <v>42.19</v>
      </c>
      <c r="O18" s="355">
        <v>42.19</v>
      </c>
      <c r="P18" s="355">
        <v>42.19</v>
      </c>
      <c r="Q18" s="355">
        <v>42.19</v>
      </c>
      <c r="R18" s="360"/>
      <c r="S18" s="360"/>
    </row>
    <row r="19" spans="1:19" ht="12.75" x14ac:dyDescent="0.2">
      <c r="A19" s="332">
        <f>A18+1</f>
        <v>5</v>
      </c>
      <c r="B19" s="348" t="s">
        <v>1166</v>
      </c>
      <c r="C19" s="339">
        <v>303</v>
      </c>
      <c r="D19" s="334">
        <f>SUM(D16:D18)</f>
        <v>74347.509999999995</v>
      </c>
      <c r="E19" s="350"/>
      <c r="F19" s="351"/>
      <c r="G19" s="334">
        <f>SUM(G16:G18)</f>
        <v>45799.43</v>
      </c>
      <c r="H19" s="334">
        <f>SUM(H16:H18)</f>
        <v>206.52</v>
      </c>
      <c r="I19" s="334">
        <f t="shared" ref="I19:O19" si="0">SUM(I16:I18)</f>
        <v>206.52</v>
      </c>
      <c r="J19" s="334">
        <f t="shared" si="0"/>
        <v>206.52</v>
      </c>
      <c r="K19" s="334">
        <f t="shared" si="0"/>
        <v>206.52</v>
      </c>
      <c r="L19" s="334">
        <f t="shared" si="0"/>
        <v>206.52</v>
      </c>
      <c r="M19" s="334">
        <f t="shared" si="0"/>
        <v>206.52</v>
      </c>
      <c r="N19" s="334">
        <f t="shared" si="0"/>
        <v>206.52</v>
      </c>
      <c r="O19" s="334">
        <f t="shared" si="0"/>
        <v>206.52</v>
      </c>
      <c r="P19" s="334">
        <f>SUM(P16:P18)</f>
        <v>206.52</v>
      </c>
      <c r="Q19" s="334">
        <f>SUM(Q16:Q18)</f>
        <v>206.52</v>
      </c>
      <c r="R19" s="360"/>
      <c r="S19" s="360"/>
    </row>
    <row r="20" spans="1:19" ht="12.75" x14ac:dyDescent="0.2">
      <c r="A20" s="332"/>
      <c r="B20" s="333"/>
      <c r="C20" s="333"/>
      <c r="D20" s="333"/>
      <c r="E20" s="350"/>
      <c r="F20" s="351"/>
      <c r="G20" s="335"/>
      <c r="H20" s="333"/>
      <c r="I20" s="333"/>
      <c r="J20" s="333"/>
      <c r="R20" s="360"/>
      <c r="S20" s="360"/>
    </row>
    <row r="21" spans="1:19" ht="12.75" x14ac:dyDescent="0.2">
      <c r="A21" s="332">
        <f>A19+1</f>
        <v>6</v>
      </c>
      <c r="B21" s="336" t="s">
        <v>1165</v>
      </c>
      <c r="C21" s="333"/>
      <c r="D21" s="334"/>
      <c r="E21" s="350"/>
      <c r="F21" s="351"/>
      <c r="G21" s="335"/>
      <c r="H21" s="341"/>
      <c r="I21" s="335"/>
      <c r="J21" s="333"/>
      <c r="R21" s="360"/>
      <c r="S21" s="360"/>
    </row>
    <row r="22" spans="1:19" ht="12.75" x14ac:dyDescent="0.2">
      <c r="A22" s="332">
        <f>A21+1</f>
        <v>7</v>
      </c>
      <c r="B22" s="348" t="s">
        <v>2159</v>
      </c>
      <c r="C22" s="339">
        <v>303.3</v>
      </c>
      <c r="D22" s="356">
        <v>33686.44</v>
      </c>
      <c r="E22" s="371">
        <v>60</v>
      </c>
      <c r="F22" s="372">
        <v>45.5</v>
      </c>
      <c r="G22" s="356">
        <v>8702.77</v>
      </c>
      <c r="H22" s="356">
        <v>549.09164835164836</v>
      </c>
      <c r="I22" s="356">
        <v>549.09164835164836</v>
      </c>
      <c r="J22" s="356">
        <v>549.09164835164836</v>
      </c>
      <c r="K22" s="356">
        <v>549.09164835164836</v>
      </c>
      <c r="L22" s="356">
        <v>549.09164835164836</v>
      </c>
      <c r="M22" s="356">
        <v>549.09164835164836</v>
      </c>
      <c r="N22" s="356">
        <v>549.09164835164836</v>
      </c>
      <c r="O22" s="356">
        <v>549.09164835164836</v>
      </c>
      <c r="P22" s="356">
        <v>549.09164835164836</v>
      </c>
      <c r="Q22" s="356">
        <v>549.09164835164836</v>
      </c>
      <c r="R22" s="360"/>
      <c r="S22" s="360"/>
    </row>
    <row r="23" spans="1:19" ht="12.75" x14ac:dyDescent="0.2">
      <c r="A23" s="332">
        <f t="shared" ref="A23:A99" si="1">A22+1</f>
        <v>8</v>
      </c>
      <c r="B23" s="348" t="s">
        <v>2160</v>
      </c>
      <c r="C23" s="339">
        <v>303.3</v>
      </c>
      <c r="D23" s="356">
        <v>21052.62</v>
      </c>
      <c r="E23" s="371">
        <v>60</v>
      </c>
      <c r="F23" s="372">
        <v>28.5</v>
      </c>
      <c r="G23" s="356">
        <v>11403.56</v>
      </c>
      <c r="H23" s="356">
        <v>338.56350877192983</v>
      </c>
      <c r="I23" s="356">
        <v>338.56350877192983</v>
      </c>
      <c r="J23" s="356">
        <v>338.56350877192983</v>
      </c>
      <c r="K23" s="356">
        <v>338.56350877192983</v>
      </c>
      <c r="L23" s="356">
        <v>338.56350877192983</v>
      </c>
      <c r="M23" s="356">
        <v>338.56350877192983</v>
      </c>
      <c r="N23" s="356">
        <v>338.56350877192983</v>
      </c>
      <c r="O23" s="356">
        <v>338.56350877192983</v>
      </c>
      <c r="P23" s="356">
        <v>338.56350877192983</v>
      </c>
      <c r="Q23" s="356">
        <v>338.56350877192983</v>
      </c>
      <c r="R23" s="360"/>
      <c r="S23" s="360"/>
    </row>
    <row r="24" spans="1:19" ht="12.75" x14ac:dyDescent="0.2">
      <c r="A24" s="332">
        <f t="shared" si="1"/>
        <v>9</v>
      </c>
      <c r="B24" s="348" t="s">
        <v>2161</v>
      </c>
      <c r="C24" s="339">
        <v>303.3</v>
      </c>
      <c r="D24" s="356">
        <v>26251.919999999998</v>
      </c>
      <c r="E24" s="371">
        <v>60</v>
      </c>
      <c r="F24" s="372">
        <v>35.5</v>
      </c>
      <c r="G24" s="356">
        <v>11054.48</v>
      </c>
      <c r="H24" s="356">
        <v>428.09690140845066</v>
      </c>
      <c r="I24" s="356">
        <v>428.09690140845066</v>
      </c>
      <c r="J24" s="356">
        <v>428.09690140845066</v>
      </c>
      <c r="K24" s="356">
        <v>428.09690140845066</v>
      </c>
      <c r="L24" s="356">
        <v>428.09690140845066</v>
      </c>
      <c r="M24" s="356">
        <v>428.09690140845066</v>
      </c>
      <c r="N24" s="356">
        <v>428.09690140845066</v>
      </c>
      <c r="O24" s="356">
        <v>428.09690140845066</v>
      </c>
      <c r="P24" s="356">
        <v>428.09690140845066</v>
      </c>
      <c r="Q24" s="356">
        <v>428.09690140845066</v>
      </c>
      <c r="R24" s="360"/>
      <c r="S24" s="360"/>
    </row>
    <row r="25" spans="1:19" ht="12.75" x14ac:dyDescent="0.2">
      <c r="A25" s="332">
        <f t="shared" si="1"/>
        <v>10</v>
      </c>
      <c r="B25" s="348" t="s">
        <v>1159</v>
      </c>
      <c r="C25" s="339">
        <v>303.3</v>
      </c>
      <c r="D25" s="356">
        <v>172144.07</v>
      </c>
      <c r="E25" s="371">
        <v>60</v>
      </c>
      <c r="F25" s="372">
        <v>10.5</v>
      </c>
      <c r="G25" s="356">
        <v>145040.81</v>
      </c>
      <c r="H25" s="356">
        <v>2581.2628571428581</v>
      </c>
      <c r="I25" s="356">
        <v>2581.2628571428581</v>
      </c>
      <c r="J25" s="356">
        <v>2581.2628571428581</v>
      </c>
      <c r="K25" s="356">
        <v>2581.2628571428581</v>
      </c>
      <c r="L25" s="356">
        <v>2581.2628571428581</v>
      </c>
      <c r="M25" s="356">
        <v>2581.2628571428581</v>
      </c>
      <c r="N25" s="356">
        <v>2581.2628571428581</v>
      </c>
      <c r="O25" s="356">
        <v>2581.2628571428581</v>
      </c>
      <c r="P25" s="356">
        <v>2581.2628571428581</v>
      </c>
      <c r="Q25" s="356">
        <v>2581.2628571428581</v>
      </c>
      <c r="R25" s="360"/>
      <c r="S25" s="360"/>
    </row>
    <row r="26" spans="1:19" ht="12.75" x14ac:dyDescent="0.2">
      <c r="A26" s="332">
        <f t="shared" si="1"/>
        <v>11</v>
      </c>
      <c r="B26" s="348" t="s">
        <v>2162</v>
      </c>
      <c r="C26" s="339">
        <v>303.3</v>
      </c>
      <c r="D26" s="356">
        <v>54664.73</v>
      </c>
      <c r="E26" s="371">
        <v>60</v>
      </c>
      <c r="F26" s="372">
        <v>6.5</v>
      </c>
      <c r="G26" s="356">
        <v>49633.23</v>
      </c>
      <c r="H26" s="356">
        <v>774.07692307692309</v>
      </c>
      <c r="I26" s="356">
        <v>774.07692307692309</v>
      </c>
      <c r="J26" s="356">
        <v>774.07692307692309</v>
      </c>
      <c r="K26" s="356">
        <v>774.07692307692309</v>
      </c>
      <c r="L26" s="356">
        <v>774.07692307692309</v>
      </c>
      <c r="M26" s="356">
        <v>774.07692307692309</v>
      </c>
      <c r="N26" s="356">
        <v>387.03846153846155</v>
      </c>
      <c r="O26" s="356">
        <v>0</v>
      </c>
      <c r="P26" s="356">
        <v>0</v>
      </c>
      <c r="Q26" s="356">
        <v>0</v>
      </c>
      <c r="R26" s="360"/>
      <c r="S26" s="360"/>
    </row>
    <row r="27" spans="1:19" ht="12.75" x14ac:dyDescent="0.2">
      <c r="A27" s="332">
        <f t="shared" si="1"/>
        <v>12</v>
      </c>
      <c r="B27" s="348" t="s">
        <v>2163</v>
      </c>
      <c r="C27" s="339">
        <v>303.3</v>
      </c>
      <c r="D27" s="356">
        <v>124184.16</v>
      </c>
      <c r="E27" s="371">
        <v>60</v>
      </c>
      <c r="F27" s="372">
        <v>22.5</v>
      </c>
      <c r="G27" s="356">
        <v>77818.59</v>
      </c>
      <c r="H27" s="356">
        <v>2060.6920000000005</v>
      </c>
      <c r="I27" s="356">
        <v>2060.6920000000005</v>
      </c>
      <c r="J27" s="356">
        <v>2060.6920000000005</v>
      </c>
      <c r="K27" s="356">
        <v>2060.6920000000005</v>
      </c>
      <c r="L27" s="356">
        <v>2060.6920000000005</v>
      </c>
      <c r="M27" s="356">
        <v>2060.6920000000005</v>
      </c>
      <c r="N27" s="356">
        <v>2060.6920000000005</v>
      </c>
      <c r="O27" s="356">
        <v>2060.6920000000005</v>
      </c>
      <c r="P27" s="356">
        <v>2060.6920000000005</v>
      </c>
      <c r="Q27" s="356">
        <v>2060.6920000000005</v>
      </c>
      <c r="R27" s="360"/>
      <c r="S27" s="360"/>
    </row>
    <row r="28" spans="1:19" ht="12.75" x14ac:dyDescent="0.2">
      <c r="A28" s="332">
        <f t="shared" si="1"/>
        <v>13</v>
      </c>
      <c r="B28" s="348" t="s">
        <v>2164</v>
      </c>
      <c r="C28" s="339">
        <v>303.3</v>
      </c>
      <c r="D28" s="356">
        <v>11675.47</v>
      </c>
      <c r="E28" s="371">
        <v>60</v>
      </c>
      <c r="F28" s="372">
        <v>46.5</v>
      </c>
      <c r="G28" s="356">
        <v>2813.31</v>
      </c>
      <c r="H28" s="356">
        <v>190.58408602150539</v>
      </c>
      <c r="I28" s="356">
        <v>190.58408602150539</v>
      </c>
      <c r="J28" s="356">
        <v>190.58408602150539</v>
      </c>
      <c r="K28" s="356">
        <v>190.58408602150539</v>
      </c>
      <c r="L28" s="356">
        <v>190.58408602150539</v>
      </c>
      <c r="M28" s="356">
        <v>190.58408602150539</v>
      </c>
      <c r="N28" s="356">
        <v>190.58408602150539</v>
      </c>
      <c r="O28" s="356">
        <v>190.58408602150539</v>
      </c>
      <c r="P28" s="356">
        <v>190.58408602150539</v>
      </c>
      <c r="Q28" s="356">
        <v>190.58408602150539</v>
      </c>
      <c r="R28" s="360"/>
      <c r="S28" s="360"/>
    </row>
    <row r="29" spans="1:19" ht="12.75" x14ac:dyDescent="0.2">
      <c r="A29" s="332">
        <f t="shared" si="1"/>
        <v>14</v>
      </c>
      <c r="B29" s="348" t="s">
        <v>2165</v>
      </c>
      <c r="C29" s="339">
        <v>303.3</v>
      </c>
      <c r="D29" s="356">
        <v>60215.95</v>
      </c>
      <c r="E29" s="371">
        <v>60</v>
      </c>
      <c r="F29" s="372">
        <v>57.5</v>
      </c>
      <c r="G29" s="356">
        <v>3507.06</v>
      </c>
      <c r="H29" s="356">
        <v>986.24156521739133</v>
      </c>
      <c r="I29" s="356">
        <v>986.24156521739133</v>
      </c>
      <c r="J29" s="356">
        <v>986.24156521739133</v>
      </c>
      <c r="K29" s="356">
        <v>986.24156521739133</v>
      </c>
      <c r="L29" s="356">
        <v>986.24156521739133</v>
      </c>
      <c r="M29" s="356">
        <v>986.24156521739133</v>
      </c>
      <c r="N29" s="356">
        <v>986.24156521739133</v>
      </c>
      <c r="O29" s="356">
        <v>986.24156521739133</v>
      </c>
      <c r="P29" s="356">
        <v>986.24156521739133</v>
      </c>
      <c r="Q29" s="356">
        <v>986.24156521739133</v>
      </c>
      <c r="R29" s="360"/>
      <c r="S29" s="360"/>
    </row>
    <row r="30" spans="1:19" ht="12.75" x14ac:dyDescent="0.2">
      <c r="A30" s="332">
        <f t="shared" si="1"/>
        <v>15</v>
      </c>
      <c r="B30" s="348" t="s">
        <v>2166</v>
      </c>
      <c r="C30" s="339">
        <v>303.3</v>
      </c>
      <c r="D30" s="356">
        <v>19521.439999999999</v>
      </c>
      <c r="E30" s="371">
        <v>60</v>
      </c>
      <c r="F30" s="372">
        <v>34.5</v>
      </c>
      <c r="G30" s="356">
        <v>8622.0400000000009</v>
      </c>
      <c r="H30" s="356">
        <v>315.92463768115937</v>
      </c>
      <c r="I30" s="356">
        <v>315.92463768115937</v>
      </c>
      <c r="J30" s="356">
        <v>315.92463768115937</v>
      </c>
      <c r="K30" s="356">
        <v>315.92463768115937</v>
      </c>
      <c r="L30" s="356">
        <v>315.92463768115937</v>
      </c>
      <c r="M30" s="356">
        <v>315.92463768115937</v>
      </c>
      <c r="N30" s="356">
        <v>315.92463768115937</v>
      </c>
      <c r="O30" s="356">
        <v>315.92463768115937</v>
      </c>
      <c r="P30" s="356">
        <v>315.92463768115937</v>
      </c>
      <c r="Q30" s="356">
        <v>315.92463768115937</v>
      </c>
      <c r="R30" s="360"/>
      <c r="S30" s="360"/>
    </row>
    <row r="31" spans="1:19" ht="12.75" x14ac:dyDescent="0.2">
      <c r="A31" s="332">
        <f t="shared" si="1"/>
        <v>16</v>
      </c>
      <c r="B31" s="348" t="s">
        <v>1155</v>
      </c>
      <c r="C31" s="339">
        <v>303.3</v>
      </c>
      <c r="D31" s="356">
        <v>60312.77</v>
      </c>
      <c r="E31" s="371">
        <v>60</v>
      </c>
      <c r="F31" s="372">
        <v>10.5</v>
      </c>
      <c r="G31" s="356">
        <v>50649.57</v>
      </c>
      <c r="H31" s="356">
        <v>920.30476190476168</v>
      </c>
      <c r="I31" s="356">
        <v>920.30476190476168</v>
      </c>
      <c r="J31" s="356">
        <v>920.30476190476168</v>
      </c>
      <c r="K31" s="356">
        <v>920.30476190476168</v>
      </c>
      <c r="L31" s="356">
        <v>920.30476190476168</v>
      </c>
      <c r="M31" s="356">
        <v>920.30476190476168</v>
      </c>
      <c r="N31" s="356">
        <v>920.30476190476168</v>
      </c>
      <c r="O31" s="356">
        <v>920.30476190476168</v>
      </c>
      <c r="P31" s="356">
        <v>920.30476190476168</v>
      </c>
      <c r="Q31" s="356">
        <v>920.30476190476168</v>
      </c>
      <c r="R31" s="360"/>
      <c r="S31" s="360"/>
    </row>
    <row r="32" spans="1:19" ht="12.75" x14ac:dyDescent="0.2">
      <c r="A32" s="332">
        <f t="shared" si="1"/>
        <v>17</v>
      </c>
      <c r="B32" s="348" t="s">
        <v>2167</v>
      </c>
      <c r="C32" s="339">
        <v>303.3</v>
      </c>
      <c r="D32" s="356">
        <v>58959.88</v>
      </c>
      <c r="E32" s="371">
        <v>60</v>
      </c>
      <c r="F32" s="372">
        <v>19.5</v>
      </c>
      <c r="G32" s="356">
        <v>40788.53</v>
      </c>
      <c r="H32" s="356">
        <v>931.8641025641025</v>
      </c>
      <c r="I32" s="356">
        <v>931.8641025641025</v>
      </c>
      <c r="J32" s="356">
        <v>931.8641025641025</v>
      </c>
      <c r="K32" s="356">
        <v>931.8641025641025</v>
      </c>
      <c r="L32" s="356">
        <v>931.8641025641025</v>
      </c>
      <c r="M32" s="356">
        <v>931.8641025641025</v>
      </c>
      <c r="N32" s="356">
        <v>931.8641025641025</v>
      </c>
      <c r="O32" s="356">
        <v>931.8641025641025</v>
      </c>
      <c r="P32" s="356">
        <v>931.8641025641025</v>
      </c>
      <c r="Q32" s="356">
        <v>931.8641025641025</v>
      </c>
      <c r="R32" s="360"/>
      <c r="S32" s="360"/>
    </row>
    <row r="33" spans="1:19" ht="12.75" x14ac:dyDescent="0.2">
      <c r="A33" s="332">
        <f t="shared" si="1"/>
        <v>18</v>
      </c>
      <c r="B33" s="348" t="s">
        <v>2168</v>
      </c>
      <c r="C33" s="339">
        <v>303.3</v>
      </c>
      <c r="D33" s="356">
        <v>4425.5200000000004</v>
      </c>
      <c r="E33" s="371">
        <v>60</v>
      </c>
      <c r="F33" s="372">
        <v>60</v>
      </c>
      <c r="G33" s="356">
        <v>36.880000000000003</v>
      </c>
      <c r="H33" s="356">
        <v>73.144000000000005</v>
      </c>
      <c r="I33" s="356">
        <v>73.144000000000005</v>
      </c>
      <c r="J33" s="356">
        <v>73.144000000000005</v>
      </c>
      <c r="K33" s="356">
        <v>73.144000000000005</v>
      </c>
      <c r="L33" s="356">
        <v>73.144000000000005</v>
      </c>
      <c r="M33" s="356">
        <v>73.144000000000005</v>
      </c>
      <c r="N33" s="356">
        <v>73.144000000000005</v>
      </c>
      <c r="O33" s="356">
        <v>73.144000000000005</v>
      </c>
      <c r="P33" s="356">
        <v>73.144000000000005</v>
      </c>
      <c r="Q33" s="356">
        <v>73.144000000000005</v>
      </c>
      <c r="R33" s="360"/>
      <c r="S33" s="360"/>
    </row>
    <row r="34" spans="1:19" ht="12.75" x14ac:dyDescent="0.2">
      <c r="A34" s="332">
        <f t="shared" si="1"/>
        <v>19</v>
      </c>
      <c r="B34" s="348" t="s">
        <v>2169</v>
      </c>
      <c r="C34" s="339">
        <v>303.3</v>
      </c>
      <c r="D34" s="356">
        <v>5588.83</v>
      </c>
      <c r="E34" s="371">
        <v>60</v>
      </c>
      <c r="F34" s="372">
        <v>51.5</v>
      </c>
      <c r="G34" s="356">
        <v>842.11</v>
      </c>
      <c r="H34" s="356">
        <v>92.169320388349519</v>
      </c>
      <c r="I34" s="356">
        <v>92.169320388349519</v>
      </c>
      <c r="J34" s="356">
        <v>92.169320388349519</v>
      </c>
      <c r="K34" s="356">
        <v>92.169320388349519</v>
      </c>
      <c r="L34" s="356">
        <v>92.169320388349519</v>
      </c>
      <c r="M34" s="356">
        <v>92.169320388349519</v>
      </c>
      <c r="N34" s="356">
        <v>92.169320388349519</v>
      </c>
      <c r="O34" s="356">
        <v>92.169320388349519</v>
      </c>
      <c r="P34" s="356">
        <v>92.169320388349519</v>
      </c>
      <c r="Q34" s="356">
        <v>92.169320388349519</v>
      </c>
      <c r="R34" s="360"/>
      <c r="S34" s="360"/>
    </row>
    <row r="35" spans="1:19" ht="12.75" x14ac:dyDescent="0.2">
      <c r="A35" s="332">
        <f t="shared" si="1"/>
        <v>20</v>
      </c>
      <c r="B35" s="348" t="s">
        <v>1162</v>
      </c>
      <c r="C35" s="339">
        <v>303.3</v>
      </c>
      <c r="D35" s="356">
        <v>10899.97</v>
      </c>
      <c r="E35" s="371">
        <v>60</v>
      </c>
      <c r="F35" s="372">
        <v>16.5</v>
      </c>
      <c r="G35" s="356">
        <v>7980.62</v>
      </c>
      <c r="H35" s="356">
        <v>176.93030303030301</v>
      </c>
      <c r="I35" s="356">
        <v>176.93030303030301</v>
      </c>
      <c r="J35" s="356">
        <v>176.93030303030301</v>
      </c>
      <c r="K35" s="356">
        <v>176.93030303030301</v>
      </c>
      <c r="L35" s="356">
        <v>176.93030303030301</v>
      </c>
      <c r="M35" s="356">
        <v>176.93030303030301</v>
      </c>
      <c r="N35" s="356">
        <v>176.93030303030301</v>
      </c>
      <c r="O35" s="356">
        <v>176.93030303030301</v>
      </c>
      <c r="P35" s="356">
        <v>176.93030303030301</v>
      </c>
      <c r="Q35" s="356">
        <v>176.93030303030301</v>
      </c>
      <c r="R35" s="360"/>
      <c r="S35" s="360"/>
    </row>
    <row r="36" spans="1:19" ht="12.75" x14ac:dyDescent="0.2">
      <c r="A36" s="332">
        <f t="shared" si="1"/>
        <v>21</v>
      </c>
      <c r="B36" s="348" t="s">
        <v>2170</v>
      </c>
      <c r="C36" s="339">
        <v>303.3</v>
      </c>
      <c r="D36" s="356">
        <v>19885.14</v>
      </c>
      <c r="E36" s="371">
        <v>60</v>
      </c>
      <c r="F36" s="372">
        <v>49.5</v>
      </c>
      <c r="G36" s="356">
        <v>3811.33</v>
      </c>
      <c r="H36" s="356">
        <v>324.72343434343435</v>
      </c>
      <c r="I36" s="356">
        <v>324.72343434343435</v>
      </c>
      <c r="J36" s="356">
        <v>324.72343434343435</v>
      </c>
      <c r="K36" s="356">
        <v>324.72343434343435</v>
      </c>
      <c r="L36" s="356">
        <v>324.72343434343435</v>
      </c>
      <c r="M36" s="356">
        <v>324.72343434343435</v>
      </c>
      <c r="N36" s="356">
        <v>324.72343434343435</v>
      </c>
      <c r="O36" s="356">
        <v>324.72343434343435</v>
      </c>
      <c r="P36" s="356">
        <v>324.72343434343435</v>
      </c>
      <c r="Q36" s="356">
        <v>324.72343434343435</v>
      </c>
      <c r="R36" s="360"/>
      <c r="S36" s="360"/>
    </row>
    <row r="37" spans="1:19" ht="12.75" x14ac:dyDescent="0.2">
      <c r="A37" s="332">
        <f t="shared" si="1"/>
        <v>22</v>
      </c>
      <c r="B37" s="348" t="s">
        <v>2171</v>
      </c>
      <c r="C37" s="339">
        <v>303.3</v>
      </c>
      <c r="D37" s="356">
        <v>8698.25</v>
      </c>
      <c r="E37" s="371">
        <v>60</v>
      </c>
      <c r="F37" s="372">
        <v>38.5</v>
      </c>
      <c r="G37" s="356">
        <v>3244.9</v>
      </c>
      <c r="H37" s="356">
        <v>141.64545454545456</v>
      </c>
      <c r="I37" s="356">
        <v>141.64545454545456</v>
      </c>
      <c r="J37" s="356">
        <v>141.64545454545456</v>
      </c>
      <c r="K37" s="356">
        <v>141.64545454545456</v>
      </c>
      <c r="L37" s="356">
        <v>141.64545454545456</v>
      </c>
      <c r="M37" s="356">
        <v>141.64545454545456</v>
      </c>
      <c r="N37" s="356">
        <v>141.64545454545456</v>
      </c>
      <c r="O37" s="356">
        <v>141.64545454545456</v>
      </c>
      <c r="P37" s="356">
        <v>141.64545454545456</v>
      </c>
      <c r="Q37" s="356">
        <v>141.64545454545456</v>
      </c>
      <c r="R37" s="360"/>
      <c r="S37" s="360"/>
    </row>
    <row r="38" spans="1:19" ht="12.75" x14ac:dyDescent="0.2">
      <c r="A38" s="332">
        <f t="shared" si="1"/>
        <v>23</v>
      </c>
      <c r="B38" s="348" t="s">
        <v>1152</v>
      </c>
      <c r="C38" s="339">
        <v>303.3</v>
      </c>
      <c r="D38" s="356">
        <v>194017.09999999998</v>
      </c>
      <c r="E38" s="371">
        <v>60</v>
      </c>
      <c r="F38" s="372">
        <v>6.5</v>
      </c>
      <c r="G38" s="356">
        <v>175901.50000000003</v>
      </c>
      <c r="H38" s="356">
        <v>2787.0153846153767</v>
      </c>
      <c r="I38" s="356">
        <v>2787.0153846153767</v>
      </c>
      <c r="J38" s="356">
        <v>2787.0153846153767</v>
      </c>
      <c r="K38" s="356">
        <v>2787.0153846153767</v>
      </c>
      <c r="L38" s="356">
        <v>2787.0153846153767</v>
      </c>
      <c r="M38" s="356">
        <v>2787.0153846153767</v>
      </c>
      <c r="N38" s="356">
        <v>1393.5076923076883</v>
      </c>
      <c r="O38" s="356">
        <v>0</v>
      </c>
      <c r="P38" s="356">
        <v>0</v>
      </c>
      <c r="Q38" s="356">
        <v>0</v>
      </c>
      <c r="R38" s="360"/>
      <c r="S38" s="360"/>
    </row>
    <row r="39" spans="1:19" ht="12.75" x14ac:dyDescent="0.2">
      <c r="A39" s="332">
        <f t="shared" si="1"/>
        <v>24</v>
      </c>
      <c r="B39" s="348" t="s">
        <v>2172</v>
      </c>
      <c r="C39" s="339">
        <v>303.3</v>
      </c>
      <c r="D39" s="356">
        <v>4386.42</v>
      </c>
      <c r="E39" s="371">
        <v>60</v>
      </c>
      <c r="F39" s="372">
        <v>51.5</v>
      </c>
      <c r="G39" s="356">
        <v>694.54</v>
      </c>
      <c r="H39" s="356">
        <v>71.686990291262134</v>
      </c>
      <c r="I39" s="356">
        <v>71.686990291262134</v>
      </c>
      <c r="J39" s="356">
        <v>71.686990291262134</v>
      </c>
      <c r="K39" s="356">
        <v>71.686990291262134</v>
      </c>
      <c r="L39" s="356">
        <v>71.686990291262134</v>
      </c>
      <c r="M39" s="356">
        <v>71.686990291262134</v>
      </c>
      <c r="N39" s="356">
        <v>71.686990291262134</v>
      </c>
      <c r="O39" s="356">
        <v>71.686990291262134</v>
      </c>
      <c r="P39" s="356">
        <v>71.686990291262134</v>
      </c>
      <c r="Q39" s="356">
        <v>71.686990291262134</v>
      </c>
      <c r="R39" s="360"/>
      <c r="S39" s="360"/>
    </row>
    <row r="40" spans="1:19" ht="12.75" x14ac:dyDescent="0.2">
      <c r="A40" s="332">
        <f t="shared" si="1"/>
        <v>25</v>
      </c>
      <c r="B40" s="348" t="s">
        <v>2173</v>
      </c>
      <c r="C40" s="339">
        <v>303.3</v>
      </c>
      <c r="D40" s="356">
        <v>5530.12</v>
      </c>
      <c r="E40" s="371">
        <v>60</v>
      </c>
      <c r="F40" s="373">
        <v>56.5</v>
      </c>
      <c r="G40" s="356">
        <v>414.76</v>
      </c>
      <c r="H40" s="356">
        <v>90.537345132743354</v>
      </c>
      <c r="I40" s="356">
        <v>90.537345132743354</v>
      </c>
      <c r="J40" s="356">
        <v>90.537345132743354</v>
      </c>
      <c r="K40" s="356">
        <v>90.537345132743354</v>
      </c>
      <c r="L40" s="356">
        <v>90.537345132743354</v>
      </c>
      <c r="M40" s="356">
        <v>90.537345132743354</v>
      </c>
      <c r="N40" s="356">
        <v>90.537345132743354</v>
      </c>
      <c r="O40" s="356">
        <v>90.537345132743354</v>
      </c>
      <c r="P40" s="356">
        <v>90.537345132743354</v>
      </c>
      <c r="Q40" s="356">
        <v>90.537345132743354</v>
      </c>
      <c r="R40" s="360"/>
      <c r="S40" s="360"/>
    </row>
    <row r="41" spans="1:19" ht="12.75" x14ac:dyDescent="0.2">
      <c r="A41" s="332">
        <f t="shared" si="1"/>
        <v>26</v>
      </c>
      <c r="B41" s="348" t="s">
        <v>1151</v>
      </c>
      <c r="C41" s="339">
        <v>303.3</v>
      </c>
      <c r="D41" s="356">
        <v>720309.13</v>
      </c>
      <c r="E41" s="371">
        <v>120</v>
      </c>
      <c r="F41" s="373">
        <v>58.5</v>
      </c>
      <c r="G41" s="356">
        <v>346348.97</v>
      </c>
      <c r="H41" s="356">
        <v>6392.4813675213682</v>
      </c>
      <c r="I41" s="356">
        <v>6392.4813675213682</v>
      </c>
      <c r="J41" s="356">
        <v>6392.4813675213682</v>
      </c>
      <c r="K41" s="356">
        <v>6392.4813675213682</v>
      </c>
      <c r="L41" s="356">
        <v>6392.4813675213682</v>
      </c>
      <c r="M41" s="356">
        <v>6392.4813675213682</v>
      </c>
      <c r="N41" s="356">
        <v>6392.4813675213682</v>
      </c>
      <c r="O41" s="356">
        <v>6392.4813675213682</v>
      </c>
      <c r="P41" s="356">
        <v>6392.4813675213682</v>
      </c>
      <c r="Q41" s="356">
        <v>6392.4813675213682</v>
      </c>
      <c r="R41" s="360"/>
      <c r="S41" s="360"/>
    </row>
    <row r="42" spans="1:19" ht="12.75" x14ac:dyDescent="0.2">
      <c r="A42" s="332">
        <f t="shared" si="1"/>
        <v>27</v>
      </c>
      <c r="B42" s="348" t="s">
        <v>2174</v>
      </c>
      <c r="C42" s="339">
        <v>303.3</v>
      </c>
      <c r="D42" s="356">
        <v>26993.55</v>
      </c>
      <c r="E42" s="371">
        <v>60</v>
      </c>
      <c r="F42" s="373">
        <v>32.5</v>
      </c>
      <c r="G42" s="356">
        <v>12801.95</v>
      </c>
      <c r="H42" s="356">
        <v>436.66461538461533</v>
      </c>
      <c r="I42" s="356">
        <v>436.66461538461533</v>
      </c>
      <c r="J42" s="356">
        <v>436.66461538461533</v>
      </c>
      <c r="K42" s="356">
        <v>436.66461538461533</v>
      </c>
      <c r="L42" s="356">
        <v>436.66461538461533</v>
      </c>
      <c r="M42" s="356">
        <v>436.66461538461533</v>
      </c>
      <c r="N42" s="356">
        <v>436.66461538461533</v>
      </c>
      <c r="O42" s="356">
        <v>436.66461538461533</v>
      </c>
      <c r="P42" s="356">
        <v>436.66461538461533</v>
      </c>
      <c r="Q42" s="356">
        <v>436.66461538461533</v>
      </c>
      <c r="R42" s="360"/>
      <c r="S42" s="360"/>
    </row>
    <row r="43" spans="1:19" ht="12.75" x14ac:dyDescent="0.2">
      <c r="A43" s="332">
        <f t="shared" si="1"/>
        <v>28</v>
      </c>
      <c r="B43" s="348" t="s">
        <v>1161</v>
      </c>
      <c r="C43" s="339">
        <v>303.3</v>
      </c>
      <c r="D43" s="356">
        <v>4202.96</v>
      </c>
      <c r="E43" s="371">
        <v>60</v>
      </c>
      <c r="F43" s="373">
        <v>17.5</v>
      </c>
      <c r="G43" s="356">
        <v>3047.17</v>
      </c>
      <c r="H43" s="356">
        <v>66.045142857142849</v>
      </c>
      <c r="I43" s="356">
        <v>66.045142857142849</v>
      </c>
      <c r="J43" s="356">
        <v>66.045142857142849</v>
      </c>
      <c r="K43" s="356">
        <v>66.045142857142849</v>
      </c>
      <c r="L43" s="356">
        <v>66.045142857142849</v>
      </c>
      <c r="M43" s="356">
        <v>66.045142857142849</v>
      </c>
      <c r="N43" s="356">
        <v>66.045142857142849</v>
      </c>
      <c r="O43" s="356">
        <v>66.045142857142849</v>
      </c>
      <c r="P43" s="356">
        <v>66.045142857142849</v>
      </c>
      <c r="Q43" s="356">
        <v>66.045142857142849</v>
      </c>
      <c r="R43" s="360"/>
      <c r="S43" s="360"/>
    </row>
    <row r="44" spans="1:19" ht="12.75" x14ac:dyDescent="0.2">
      <c r="A44" s="332">
        <f t="shared" si="1"/>
        <v>29</v>
      </c>
      <c r="B44" s="349" t="s">
        <v>1153</v>
      </c>
      <c r="C44" s="339">
        <v>303.3</v>
      </c>
      <c r="D44" s="356">
        <v>8748</v>
      </c>
      <c r="E44" s="371">
        <v>60</v>
      </c>
      <c r="F44" s="373">
        <v>9.5</v>
      </c>
      <c r="G44" s="356">
        <v>7508.7</v>
      </c>
      <c r="H44" s="356">
        <v>130.45263157894738</v>
      </c>
      <c r="I44" s="356">
        <v>130.45263157894738</v>
      </c>
      <c r="J44" s="356">
        <v>130.45263157894738</v>
      </c>
      <c r="K44" s="356">
        <v>130.45263157894738</v>
      </c>
      <c r="L44" s="356">
        <v>130.45263157894738</v>
      </c>
      <c r="M44" s="356">
        <v>130.45263157894738</v>
      </c>
      <c r="N44" s="356">
        <v>130.45263157894738</v>
      </c>
      <c r="O44" s="356">
        <v>130.45263157894738</v>
      </c>
      <c r="P44" s="356">
        <v>130.45263157894738</v>
      </c>
      <c r="Q44" s="356">
        <v>65.226315789473688</v>
      </c>
      <c r="R44" s="360"/>
      <c r="S44" s="360"/>
    </row>
    <row r="45" spans="1:19" ht="12.75" x14ac:dyDescent="0.2">
      <c r="A45" s="332">
        <f t="shared" si="1"/>
        <v>30</v>
      </c>
      <c r="B45" s="349" t="s">
        <v>2175</v>
      </c>
      <c r="C45" s="339">
        <v>303.3</v>
      </c>
      <c r="D45" s="356">
        <v>10982.039999999999</v>
      </c>
      <c r="E45" s="371">
        <v>120</v>
      </c>
      <c r="F45" s="373">
        <v>28.5</v>
      </c>
      <c r="G45" s="356">
        <v>5912.7999999999993</v>
      </c>
      <c r="H45" s="356">
        <v>177.86807017543859</v>
      </c>
      <c r="I45" s="356">
        <v>177.86807017543859</v>
      </c>
      <c r="J45" s="356">
        <v>177.86807017543859</v>
      </c>
      <c r="K45" s="356">
        <v>177.86807017543859</v>
      </c>
      <c r="L45" s="356">
        <v>177.86807017543859</v>
      </c>
      <c r="M45" s="356">
        <v>177.86807017543859</v>
      </c>
      <c r="N45" s="356">
        <v>177.86807017543859</v>
      </c>
      <c r="O45" s="356">
        <v>177.86807017543859</v>
      </c>
      <c r="P45" s="356">
        <v>177.86807017543859</v>
      </c>
      <c r="Q45" s="356">
        <v>177.86807017543859</v>
      </c>
      <c r="R45" s="360"/>
      <c r="S45" s="360"/>
    </row>
    <row r="46" spans="1:19" ht="12.75" x14ac:dyDescent="0.2">
      <c r="A46" s="332">
        <f t="shared" si="1"/>
        <v>31</v>
      </c>
      <c r="B46" s="349" t="s">
        <v>2176</v>
      </c>
      <c r="C46" s="339">
        <v>303.3</v>
      </c>
      <c r="D46" s="356">
        <v>31298.02</v>
      </c>
      <c r="E46" s="371">
        <v>60</v>
      </c>
      <c r="F46" s="373">
        <v>55.5</v>
      </c>
      <c r="G46" s="356">
        <v>2698.38</v>
      </c>
      <c r="H46" s="356">
        <v>515.30882882882884</v>
      </c>
      <c r="I46" s="356">
        <v>515.30882882882884</v>
      </c>
      <c r="J46" s="356">
        <v>515.30882882882884</v>
      </c>
      <c r="K46" s="356">
        <v>515.30882882882884</v>
      </c>
      <c r="L46" s="356">
        <v>515.30882882882884</v>
      </c>
      <c r="M46" s="356">
        <v>515.30882882882884</v>
      </c>
      <c r="N46" s="356">
        <v>515.30882882882884</v>
      </c>
      <c r="O46" s="356">
        <v>515.30882882882884</v>
      </c>
      <c r="P46" s="356">
        <v>515.30882882882884</v>
      </c>
      <c r="Q46" s="356">
        <v>515.30882882882884</v>
      </c>
      <c r="R46" s="360"/>
      <c r="S46" s="360"/>
    </row>
    <row r="47" spans="1:19" ht="12.75" x14ac:dyDescent="0.2">
      <c r="A47" s="332">
        <f t="shared" si="1"/>
        <v>32</v>
      </c>
      <c r="B47" s="349" t="s">
        <v>2177</v>
      </c>
      <c r="C47" s="339">
        <v>303.3</v>
      </c>
      <c r="D47" s="356">
        <v>25314.240000000002</v>
      </c>
      <c r="E47" s="371">
        <v>60</v>
      </c>
      <c r="F47" s="373">
        <v>28.5</v>
      </c>
      <c r="G47" s="356">
        <v>13711.85</v>
      </c>
      <c r="H47" s="356">
        <v>407.10140350877197</v>
      </c>
      <c r="I47" s="356">
        <v>407.10140350877197</v>
      </c>
      <c r="J47" s="356">
        <v>407.10140350877197</v>
      </c>
      <c r="K47" s="356">
        <v>407.10140350877197</v>
      </c>
      <c r="L47" s="356">
        <v>407.10140350877197</v>
      </c>
      <c r="M47" s="356">
        <v>407.10140350877197</v>
      </c>
      <c r="N47" s="356">
        <v>407.10140350877197</v>
      </c>
      <c r="O47" s="356">
        <v>407.10140350877197</v>
      </c>
      <c r="P47" s="356">
        <v>407.10140350877197</v>
      </c>
      <c r="Q47" s="356">
        <v>407.10140350877197</v>
      </c>
      <c r="R47" s="360"/>
      <c r="S47" s="360"/>
    </row>
    <row r="48" spans="1:19" ht="12.75" x14ac:dyDescent="0.2">
      <c r="A48" s="332">
        <f t="shared" si="1"/>
        <v>33</v>
      </c>
      <c r="B48" s="349" t="s">
        <v>2178</v>
      </c>
      <c r="C48" s="339">
        <v>303.3</v>
      </c>
      <c r="D48" s="356">
        <v>366402.08</v>
      </c>
      <c r="E48" s="371">
        <v>84</v>
      </c>
      <c r="F48" s="373">
        <v>22.5</v>
      </c>
      <c r="G48" s="356">
        <v>272279.55</v>
      </c>
      <c r="H48" s="356">
        <v>4183.2235555555571</v>
      </c>
      <c r="I48" s="356">
        <v>4183.2235555555571</v>
      </c>
      <c r="J48" s="356">
        <v>4183.2235555555571</v>
      </c>
      <c r="K48" s="356">
        <v>4183.2235555555571</v>
      </c>
      <c r="L48" s="356">
        <v>4183.2235555555571</v>
      </c>
      <c r="M48" s="356">
        <v>4183.2235555555571</v>
      </c>
      <c r="N48" s="356">
        <v>4183.2235555555571</v>
      </c>
      <c r="O48" s="356">
        <v>4183.2235555555571</v>
      </c>
      <c r="P48" s="356">
        <v>4183.2235555555571</v>
      </c>
      <c r="Q48" s="356">
        <v>4183.2235555555571</v>
      </c>
      <c r="R48" s="360"/>
      <c r="S48" s="360"/>
    </row>
    <row r="49" spans="1:19" ht="12.75" x14ac:dyDescent="0.2">
      <c r="A49" s="332">
        <f t="shared" si="1"/>
        <v>34</v>
      </c>
      <c r="B49" s="349" t="s">
        <v>2179</v>
      </c>
      <c r="C49" s="339">
        <v>303.3</v>
      </c>
      <c r="D49" s="356">
        <v>16263.67</v>
      </c>
      <c r="E49" s="371">
        <v>60</v>
      </c>
      <c r="F49" s="373">
        <v>54.5</v>
      </c>
      <c r="G49" s="356">
        <v>1754.31</v>
      </c>
      <c r="H49" s="356">
        <v>266.2267889908257</v>
      </c>
      <c r="I49" s="356">
        <v>266.2267889908257</v>
      </c>
      <c r="J49" s="356">
        <v>266.2267889908257</v>
      </c>
      <c r="K49" s="356">
        <v>266.2267889908257</v>
      </c>
      <c r="L49" s="356">
        <v>266.2267889908257</v>
      </c>
      <c r="M49" s="356">
        <v>266.2267889908257</v>
      </c>
      <c r="N49" s="356">
        <v>266.2267889908257</v>
      </c>
      <c r="O49" s="356">
        <v>266.2267889908257</v>
      </c>
      <c r="P49" s="356">
        <v>266.2267889908257</v>
      </c>
      <c r="Q49" s="356">
        <v>266.2267889908257</v>
      </c>
      <c r="R49" s="360"/>
      <c r="S49" s="360"/>
    </row>
    <row r="50" spans="1:19" ht="12.75" x14ac:dyDescent="0.2">
      <c r="A50" s="332">
        <f t="shared" si="1"/>
        <v>35</v>
      </c>
      <c r="B50" s="349" t="s">
        <v>1158</v>
      </c>
      <c r="C50" s="339">
        <v>303.3</v>
      </c>
      <c r="D50" s="356">
        <v>3070.27</v>
      </c>
      <c r="E50" s="371">
        <v>84</v>
      </c>
      <c r="F50" s="373">
        <v>34.5</v>
      </c>
      <c r="G50" s="356">
        <v>1845.78</v>
      </c>
      <c r="H50" s="356">
        <v>35.49246376811594</v>
      </c>
      <c r="I50" s="356">
        <v>35.49246376811594</v>
      </c>
      <c r="J50" s="356">
        <v>35.49246376811594</v>
      </c>
      <c r="K50" s="356">
        <v>35.49246376811594</v>
      </c>
      <c r="L50" s="356">
        <v>35.49246376811594</v>
      </c>
      <c r="M50" s="356">
        <v>35.49246376811594</v>
      </c>
      <c r="N50" s="356">
        <v>35.49246376811594</v>
      </c>
      <c r="O50" s="356">
        <v>35.49246376811594</v>
      </c>
      <c r="P50" s="356">
        <v>35.49246376811594</v>
      </c>
      <c r="Q50" s="356">
        <v>35.49246376811594</v>
      </c>
      <c r="R50" s="360"/>
      <c r="S50" s="360"/>
    </row>
    <row r="51" spans="1:19" ht="12.75" x14ac:dyDescent="0.2">
      <c r="A51" s="332">
        <f t="shared" si="1"/>
        <v>36</v>
      </c>
      <c r="B51" s="349" t="s">
        <v>1163</v>
      </c>
      <c r="C51" s="339">
        <v>303.3</v>
      </c>
      <c r="D51" s="356">
        <v>137759.26999999999</v>
      </c>
      <c r="E51" s="371">
        <v>60</v>
      </c>
      <c r="F51" s="373">
        <v>20.5</v>
      </c>
      <c r="G51" s="356">
        <v>90204.13</v>
      </c>
      <c r="H51" s="356">
        <v>2319.7629268292676</v>
      </c>
      <c r="I51" s="356">
        <v>2319.7629268292676</v>
      </c>
      <c r="J51" s="356">
        <v>2319.7629268292676</v>
      </c>
      <c r="K51" s="356">
        <v>2319.7629268292676</v>
      </c>
      <c r="L51" s="356">
        <v>2319.7629268292676</v>
      </c>
      <c r="M51" s="356">
        <v>2319.7629268292676</v>
      </c>
      <c r="N51" s="356">
        <v>2319.7629268292676</v>
      </c>
      <c r="O51" s="356">
        <v>2319.7629268292676</v>
      </c>
      <c r="P51" s="356">
        <v>2319.7629268292676</v>
      </c>
      <c r="Q51" s="356">
        <v>2319.7629268292676</v>
      </c>
      <c r="R51" s="360"/>
      <c r="S51" s="360"/>
    </row>
    <row r="52" spans="1:19" ht="12.75" x14ac:dyDescent="0.2">
      <c r="A52" s="332">
        <f t="shared" si="1"/>
        <v>37</v>
      </c>
      <c r="B52" s="349" t="s">
        <v>2180</v>
      </c>
      <c r="C52" s="339">
        <v>303.3</v>
      </c>
      <c r="D52" s="356">
        <v>5569.39</v>
      </c>
      <c r="E52" s="371">
        <v>60</v>
      </c>
      <c r="F52" s="373">
        <v>54.5</v>
      </c>
      <c r="G52" s="356">
        <v>570.70000000000005</v>
      </c>
      <c r="H52" s="356">
        <v>91.719082568807352</v>
      </c>
      <c r="I52" s="356">
        <v>91.719082568807352</v>
      </c>
      <c r="J52" s="356">
        <v>91.719082568807352</v>
      </c>
      <c r="K52" s="356">
        <v>91.719082568807352</v>
      </c>
      <c r="L52" s="356">
        <v>91.719082568807352</v>
      </c>
      <c r="M52" s="356">
        <v>91.719082568807352</v>
      </c>
      <c r="N52" s="356">
        <v>91.719082568807352</v>
      </c>
      <c r="O52" s="356">
        <v>91.719082568807352</v>
      </c>
      <c r="P52" s="356">
        <v>91.719082568807352</v>
      </c>
      <c r="Q52" s="356">
        <v>91.719082568807352</v>
      </c>
      <c r="R52" s="360"/>
      <c r="S52" s="360"/>
    </row>
    <row r="53" spans="1:19" ht="12.75" x14ac:dyDescent="0.2">
      <c r="A53" s="332">
        <f t="shared" si="1"/>
        <v>38</v>
      </c>
      <c r="B53" s="349" t="s">
        <v>2181</v>
      </c>
      <c r="C53" s="339">
        <v>303.3</v>
      </c>
      <c r="D53" s="356">
        <v>565661.80000000005</v>
      </c>
      <c r="E53" s="371">
        <v>60</v>
      </c>
      <c r="F53" s="373">
        <v>46.5</v>
      </c>
      <c r="G53" s="356">
        <v>130734.88</v>
      </c>
      <c r="H53" s="356">
        <v>9353.2670967741942</v>
      </c>
      <c r="I53" s="356">
        <v>9353.2670967741942</v>
      </c>
      <c r="J53" s="356">
        <v>9353.2670967741942</v>
      </c>
      <c r="K53" s="356">
        <v>9353.2670967741942</v>
      </c>
      <c r="L53" s="356">
        <v>9353.2670967741942</v>
      </c>
      <c r="M53" s="356">
        <v>9353.2670967741942</v>
      </c>
      <c r="N53" s="356">
        <v>9353.2670967741942</v>
      </c>
      <c r="O53" s="356">
        <v>9353.2670967741942</v>
      </c>
      <c r="P53" s="356">
        <v>9353.2670967741942</v>
      </c>
      <c r="Q53" s="356">
        <v>9353.2670967741942</v>
      </c>
      <c r="R53" s="360"/>
      <c r="S53" s="360"/>
    </row>
    <row r="54" spans="1:19" ht="12.75" x14ac:dyDescent="0.2">
      <c r="A54" s="332">
        <f t="shared" si="1"/>
        <v>39</v>
      </c>
      <c r="B54" s="349" t="s">
        <v>2182</v>
      </c>
      <c r="C54" s="339">
        <v>303.3</v>
      </c>
      <c r="D54" s="356">
        <v>182.95</v>
      </c>
      <c r="E54" s="371">
        <v>60</v>
      </c>
      <c r="F54" s="373">
        <v>34.5</v>
      </c>
      <c r="G54" s="356">
        <v>80.819999999999993</v>
      </c>
      <c r="H54" s="356">
        <v>2.9602898550724634</v>
      </c>
      <c r="I54" s="356">
        <v>2.9602898550724634</v>
      </c>
      <c r="J54" s="356">
        <v>2.9602898550724634</v>
      </c>
      <c r="K54" s="356">
        <v>2.9602898550724634</v>
      </c>
      <c r="L54" s="356">
        <v>2.9602898550724634</v>
      </c>
      <c r="M54" s="356">
        <v>2.9602898550724634</v>
      </c>
      <c r="N54" s="356">
        <v>2.9602898550724634</v>
      </c>
      <c r="O54" s="356">
        <v>2.9602898550724634</v>
      </c>
      <c r="P54" s="356">
        <v>2.9602898550724634</v>
      </c>
      <c r="Q54" s="356">
        <v>2.9602898550724634</v>
      </c>
      <c r="R54" s="360"/>
      <c r="S54" s="360"/>
    </row>
    <row r="55" spans="1:19" ht="12.75" x14ac:dyDescent="0.2">
      <c r="A55" s="332">
        <f t="shared" si="1"/>
        <v>40</v>
      </c>
      <c r="B55" s="349" t="s">
        <v>2183</v>
      </c>
      <c r="C55" s="339">
        <v>303.3</v>
      </c>
      <c r="D55" s="356">
        <v>1540.84</v>
      </c>
      <c r="E55" s="371">
        <v>60</v>
      </c>
      <c r="F55" s="373">
        <v>46.5</v>
      </c>
      <c r="G55" s="356">
        <v>372.37</v>
      </c>
      <c r="H55" s="356">
        <v>25.12838709677419</v>
      </c>
      <c r="I55" s="356">
        <v>25.12838709677419</v>
      </c>
      <c r="J55" s="356">
        <v>25.12838709677419</v>
      </c>
      <c r="K55" s="356">
        <v>25.12838709677419</v>
      </c>
      <c r="L55" s="356">
        <v>25.12838709677419</v>
      </c>
      <c r="M55" s="356">
        <v>25.12838709677419</v>
      </c>
      <c r="N55" s="356">
        <v>25.12838709677419</v>
      </c>
      <c r="O55" s="356">
        <v>25.12838709677419</v>
      </c>
      <c r="P55" s="356">
        <v>25.12838709677419</v>
      </c>
      <c r="Q55" s="356">
        <v>25.12838709677419</v>
      </c>
      <c r="R55" s="360"/>
      <c r="S55" s="360"/>
    </row>
    <row r="56" spans="1:19" ht="12.75" x14ac:dyDescent="0.2">
      <c r="A56" s="332">
        <f t="shared" si="1"/>
        <v>41</v>
      </c>
      <c r="B56" s="349" t="s">
        <v>2184</v>
      </c>
      <c r="C56" s="339">
        <v>303.3</v>
      </c>
      <c r="D56" s="356">
        <v>29224.48</v>
      </c>
      <c r="E56" s="371">
        <v>60</v>
      </c>
      <c r="F56" s="373">
        <v>43.5</v>
      </c>
      <c r="G56" s="356">
        <v>8284.52</v>
      </c>
      <c r="H56" s="356">
        <v>481.3783908045977</v>
      </c>
      <c r="I56" s="356">
        <v>481.3783908045977</v>
      </c>
      <c r="J56" s="356">
        <v>481.3783908045977</v>
      </c>
      <c r="K56" s="356">
        <v>481.3783908045977</v>
      </c>
      <c r="L56" s="356">
        <v>481.3783908045977</v>
      </c>
      <c r="M56" s="356">
        <v>481.3783908045977</v>
      </c>
      <c r="N56" s="356">
        <v>481.3783908045977</v>
      </c>
      <c r="O56" s="356">
        <v>481.3783908045977</v>
      </c>
      <c r="P56" s="356">
        <v>481.3783908045977</v>
      </c>
      <c r="Q56" s="356">
        <v>481.3783908045977</v>
      </c>
      <c r="R56" s="360"/>
      <c r="S56" s="360"/>
    </row>
    <row r="57" spans="1:19" ht="12.75" x14ac:dyDescent="0.2">
      <c r="A57" s="332">
        <f t="shared" si="1"/>
        <v>42</v>
      </c>
      <c r="B57" s="349" t="s">
        <v>2185</v>
      </c>
      <c r="C57" s="339">
        <v>303.3</v>
      </c>
      <c r="D57" s="356">
        <v>63317.91</v>
      </c>
      <c r="E57" s="371">
        <v>60</v>
      </c>
      <c r="F57" s="373">
        <v>40.5</v>
      </c>
      <c r="G57" s="356">
        <v>21152.15</v>
      </c>
      <c r="H57" s="356">
        <v>1041.12987654321</v>
      </c>
      <c r="I57" s="356">
        <v>1041.12987654321</v>
      </c>
      <c r="J57" s="356">
        <v>1041.12987654321</v>
      </c>
      <c r="K57" s="356">
        <v>1041.12987654321</v>
      </c>
      <c r="L57" s="356">
        <v>1041.12987654321</v>
      </c>
      <c r="M57" s="356">
        <v>1041.12987654321</v>
      </c>
      <c r="N57" s="356">
        <v>1041.12987654321</v>
      </c>
      <c r="O57" s="356">
        <v>1041.12987654321</v>
      </c>
      <c r="P57" s="356">
        <v>1041.12987654321</v>
      </c>
      <c r="Q57" s="356">
        <v>1041.12987654321</v>
      </c>
      <c r="R57" s="360"/>
      <c r="S57" s="360"/>
    </row>
    <row r="58" spans="1:19" ht="12.75" x14ac:dyDescent="0.2">
      <c r="A58" s="332">
        <f t="shared" si="1"/>
        <v>43</v>
      </c>
      <c r="B58" s="349" t="s">
        <v>2186</v>
      </c>
      <c r="C58" s="339">
        <v>303.3</v>
      </c>
      <c r="D58" s="356">
        <v>71586.31</v>
      </c>
      <c r="E58" s="371">
        <v>60</v>
      </c>
      <c r="F58" s="373">
        <v>52.5</v>
      </c>
      <c r="G58" s="356">
        <v>9855.94</v>
      </c>
      <c r="H58" s="356">
        <v>1175.8165714285713</v>
      </c>
      <c r="I58" s="356">
        <v>1175.8165714285713</v>
      </c>
      <c r="J58" s="356">
        <v>1175.8165714285713</v>
      </c>
      <c r="K58" s="356">
        <v>1175.8165714285713</v>
      </c>
      <c r="L58" s="356">
        <v>1175.8165714285713</v>
      </c>
      <c r="M58" s="356">
        <v>1175.8165714285713</v>
      </c>
      <c r="N58" s="356">
        <v>1175.8165714285713</v>
      </c>
      <c r="O58" s="356">
        <v>1175.8165714285713</v>
      </c>
      <c r="P58" s="356">
        <v>1175.8165714285713</v>
      </c>
      <c r="Q58" s="356">
        <v>1175.8165714285713</v>
      </c>
      <c r="R58" s="360"/>
      <c r="S58" s="360"/>
    </row>
    <row r="59" spans="1:19" ht="12.75" x14ac:dyDescent="0.2">
      <c r="A59" s="332">
        <f t="shared" si="1"/>
        <v>44</v>
      </c>
      <c r="B59" s="349" t="s">
        <v>2187</v>
      </c>
      <c r="C59" s="339">
        <v>303.3</v>
      </c>
      <c r="D59" s="356">
        <v>29708.19</v>
      </c>
      <c r="E59" s="371">
        <v>60</v>
      </c>
      <c r="F59" s="373">
        <v>59.5</v>
      </c>
      <c r="G59" s="356">
        <v>742.71</v>
      </c>
      <c r="H59" s="356">
        <v>486.8147899159664</v>
      </c>
      <c r="I59" s="356">
        <v>486.8147899159664</v>
      </c>
      <c r="J59" s="356">
        <v>486.8147899159664</v>
      </c>
      <c r="K59" s="356">
        <v>486.8147899159664</v>
      </c>
      <c r="L59" s="356">
        <v>486.8147899159664</v>
      </c>
      <c r="M59" s="356">
        <v>486.8147899159664</v>
      </c>
      <c r="N59" s="356">
        <v>486.8147899159664</v>
      </c>
      <c r="O59" s="356">
        <v>486.8147899159664</v>
      </c>
      <c r="P59" s="356">
        <v>486.8147899159664</v>
      </c>
      <c r="Q59" s="356">
        <v>486.8147899159664</v>
      </c>
      <c r="R59" s="360"/>
      <c r="S59" s="360"/>
    </row>
    <row r="60" spans="1:19" ht="12.75" x14ac:dyDescent="0.2">
      <c r="A60" s="332">
        <f t="shared" si="1"/>
        <v>45</v>
      </c>
      <c r="B60" s="349" t="s">
        <v>1156</v>
      </c>
      <c r="C60" s="339">
        <v>303.3</v>
      </c>
      <c r="D60" s="356">
        <v>5033.0600000000004</v>
      </c>
      <c r="E60" s="371">
        <v>60</v>
      </c>
      <c r="F60" s="373">
        <v>10.5</v>
      </c>
      <c r="G60" s="356">
        <v>4236.1499999999996</v>
      </c>
      <c r="H60" s="356">
        <v>75.896190476190554</v>
      </c>
      <c r="I60" s="356">
        <v>75.896190476190554</v>
      </c>
      <c r="J60" s="356">
        <v>75.896190476190554</v>
      </c>
      <c r="K60" s="356">
        <v>75.896190476190554</v>
      </c>
      <c r="L60" s="356">
        <v>75.896190476190554</v>
      </c>
      <c r="M60" s="356">
        <v>75.896190476190554</v>
      </c>
      <c r="N60" s="356">
        <v>75.896190476190554</v>
      </c>
      <c r="O60" s="356">
        <v>75.896190476190554</v>
      </c>
      <c r="P60" s="356">
        <v>75.896190476190554</v>
      </c>
      <c r="Q60" s="356">
        <v>75.896190476190554</v>
      </c>
      <c r="R60" s="360"/>
      <c r="S60" s="360"/>
    </row>
    <row r="61" spans="1:19" ht="12.75" x14ac:dyDescent="0.2">
      <c r="A61" s="332">
        <f t="shared" si="1"/>
        <v>46</v>
      </c>
      <c r="B61" s="349" t="s">
        <v>2188</v>
      </c>
      <c r="C61" s="339">
        <v>303.3</v>
      </c>
      <c r="D61" s="356">
        <v>60748.75</v>
      </c>
      <c r="E61" s="371">
        <v>60</v>
      </c>
      <c r="F61" s="373">
        <v>38.5</v>
      </c>
      <c r="G61" s="356">
        <v>21269.3</v>
      </c>
      <c r="H61" s="356">
        <v>1025.4402597402598</v>
      </c>
      <c r="I61" s="356">
        <v>1025.4402597402598</v>
      </c>
      <c r="J61" s="356">
        <v>1025.4402597402598</v>
      </c>
      <c r="K61" s="356">
        <v>1025.4402597402598</v>
      </c>
      <c r="L61" s="356">
        <v>1025.4402597402598</v>
      </c>
      <c r="M61" s="356">
        <v>1025.4402597402598</v>
      </c>
      <c r="N61" s="356">
        <v>1025.4402597402598</v>
      </c>
      <c r="O61" s="356">
        <v>1025.4402597402598</v>
      </c>
      <c r="P61" s="356">
        <v>1025.4402597402598</v>
      </c>
      <c r="Q61" s="356">
        <v>1025.4402597402598</v>
      </c>
      <c r="R61" s="360"/>
      <c r="S61" s="360"/>
    </row>
    <row r="62" spans="1:19" ht="12.75" x14ac:dyDescent="0.2">
      <c r="A62" s="332">
        <f t="shared" si="1"/>
        <v>47</v>
      </c>
      <c r="B62" s="349" t="s">
        <v>2189</v>
      </c>
      <c r="C62" s="339">
        <v>303.3</v>
      </c>
      <c r="D62" s="356">
        <v>31262.27</v>
      </c>
      <c r="E62" s="371">
        <v>60</v>
      </c>
      <c r="F62" s="373">
        <v>41.5</v>
      </c>
      <c r="G62" s="356">
        <v>9512.06</v>
      </c>
      <c r="H62" s="356">
        <v>524.10144578313248</v>
      </c>
      <c r="I62" s="356">
        <v>524.10144578313248</v>
      </c>
      <c r="J62" s="356">
        <v>524.10144578313248</v>
      </c>
      <c r="K62" s="356">
        <v>524.10144578313248</v>
      </c>
      <c r="L62" s="356">
        <v>524.10144578313248</v>
      </c>
      <c r="M62" s="356">
        <v>524.10144578313248</v>
      </c>
      <c r="N62" s="356">
        <v>524.10144578313248</v>
      </c>
      <c r="O62" s="356">
        <v>524.10144578313248</v>
      </c>
      <c r="P62" s="356">
        <v>524.10144578313248</v>
      </c>
      <c r="Q62" s="356">
        <v>524.10144578313248</v>
      </c>
      <c r="R62" s="360"/>
      <c r="S62" s="360"/>
    </row>
    <row r="63" spans="1:19" ht="12.75" x14ac:dyDescent="0.2">
      <c r="A63" s="332">
        <f t="shared" si="1"/>
        <v>48</v>
      </c>
      <c r="B63" s="349" t="s">
        <v>2190</v>
      </c>
      <c r="C63" s="339">
        <v>303.3</v>
      </c>
      <c r="D63" s="356">
        <v>1683018.79</v>
      </c>
      <c r="E63" s="371">
        <v>120</v>
      </c>
      <c r="F63" s="373">
        <v>97.5</v>
      </c>
      <c r="G63" s="356">
        <v>329902</v>
      </c>
      <c r="H63" s="356">
        <v>13878.120923076924</v>
      </c>
      <c r="I63" s="356">
        <v>13878.120923076924</v>
      </c>
      <c r="J63" s="356">
        <v>13878.120923076924</v>
      </c>
      <c r="K63" s="356">
        <v>13878.120923076924</v>
      </c>
      <c r="L63" s="356">
        <v>13878.120923076924</v>
      </c>
      <c r="M63" s="356">
        <v>13878.120923076924</v>
      </c>
      <c r="N63" s="356">
        <v>13878.120923076924</v>
      </c>
      <c r="O63" s="356">
        <v>13878.120923076924</v>
      </c>
      <c r="P63" s="356">
        <v>13878.120923076924</v>
      </c>
      <c r="Q63" s="356">
        <v>13878.120923076924</v>
      </c>
      <c r="R63" s="360"/>
      <c r="S63" s="360"/>
    </row>
    <row r="64" spans="1:19" ht="12.75" x14ac:dyDescent="0.2">
      <c r="A64" s="332">
        <f t="shared" si="1"/>
        <v>49</v>
      </c>
      <c r="B64" s="349" t="s">
        <v>2191</v>
      </c>
      <c r="C64" s="339">
        <v>303.3</v>
      </c>
      <c r="D64" s="356">
        <v>2590.56</v>
      </c>
      <c r="E64" s="371">
        <v>60</v>
      </c>
      <c r="F64" s="373">
        <v>45.5</v>
      </c>
      <c r="G64" s="356">
        <v>669.27</v>
      </c>
      <c r="H64" s="356">
        <v>42.226153846153842</v>
      </c>
      <c r="I64" s="356">
        <v>42.226153846153842</v>
      </c>
      <c r="J64" s="356">
        <v>42.226153846153842</v>
      </c>
      <c r="K64" s="356">
        <v>42.226153846153842</v>
      </c>
      <c r="L64" s="356">
        <v>42.226153846153842</v>
      </c>
      <c r="M64" s="356">
        <v>42.226153846153842</v>
      </c>
      <c r="N64" s="356">
        <v>42.226153846153842</v>
      </c>
      <c r="O64" s="356">
        <v>42.226153846153842</v>
      </c>
      <c r="P64" s="356">
        <v>42.226153846153842</v>
      </c>
      <c r="Q64" s="356">
        <v>42.226153846153842</v>
      </c>
      <c r="R64" s="360"/>
      <c r="S64" s="360"/>
    </row>
    <row r="65" spans="1:19" ht="12.75" x14ac:dyDescent="0.2">
      <c r="A65" s="332">
        <f t="shared" si="1"/>
        <v>50</v>
      </c>
      <c r="B65" s="349" t="s">
        <v>2192</v>
      </c>
      <c r="C65" s="339">
        <v>303.3</v>
      </c>
      <c r="D65" s="356">
        <v>4841.08</v>
      </c>
      <c r="E65" s="371">
        <v>60</v>
      </c>
      <c r="F65" s="373">
        <v>51.5</v>
      </c>
      <c r="G65" s="356">
        <v>766.51</v>
      </c>
      <c r="H65" s="356">
        <v>79.117864077669893</v>
      </c>
      <c r="I65" s="356">
        <v>79.117864077669893</v>
      </c>
      <c r="J65" s="356">
        <v>79.117864077669893</v>
      </c>
      <c r="K65" s="356">
        <v>79.117864077669893</v>
      </c>
      <c r="L65" s="356">
        <v>79.117864077669893</v>
      </c>
      <c r="M65" s="356">
        <v>79.117864077669893</v>
      </c>
      <c r="N65" s="356">
        <v>79.117864077669893</v>
      </c>
      <c r="O65" s="356">
        <v>79.117864077669893</v>
      </c>
      <c r="P65" s="356">
        <v>79.117864077669893</v>
      </c>
      <c r="Q65" s="356">
        <v>79.117864077669893</v>
      </c>
      <c r="R65" s="360"/>
      <c r="S65" s="360"/>
    </row>
    <row r="66" spans="1:19" ht="12.75" x14ac:dyDescent="0.2">
      <c r="A66" s="332">
        <f t="shared" si="1"/>
        <v>51</v>
      </c>
      <c r="B66" s="349" t="s">
        <v>2193</v>
      </c>
      <c r="C66" s="339">
        <v>303.3</v>
      </c>
      <c r="D66" s="356">
        <v>34012.699999999997</v>
      </c>
      <c r="E66" s="371">
        <v>120</v>
      </c>
      <c r="F66" s="373">
        <v>37.5</v>
      </c>
      <c r="G66" s="356">
        <v>13321.68</v>
      </c>
      <c r="H66" s="356">
        <v>551.76053333333323</v>
      </c>
      <c r="I66" s="356">
        <v>551.76053333333323</v>
      </c>
      <c r="J66" s="356">
        <v>551.76053333333323</v>
      </c>
      <c r="K66" s="356">
        <v>551.76053333333323</v>
      </c>
      <c r="L66" s="356">
        <v>551.76053333333323</v>
      </c>
      <c r="M66" s="356">
        <v>551.76053333333323</v>
      </c>
      <c r="N66" s="356">
        <v>551.76053333333323</v>
      </c>
      <c r="O66" s="356">
        <v>551.76053333333323</v>
      </c>
      <c r="P66" s="356">
        <v>551.76053333333323</v>
      </c>
      <c r="Q66" s="356">
        <v>551.76053333333323</v>
      </c>
      <c r="R66" s="360"/>
      <c r="S66" s="360"/>
    </row>
    <row r="67" spans="1:19" ht="12.75" x14ac:dyDescent="0.2">
      <c r="A67" s="1663">
        <f t="shared" si="1"/>
        <v>52</v>
      </c>
      <c r="B67" s="349" t="s">
        <v>2194</v>
      </c>
      <c r="C67" s="339">
        <v>303.3</v>
      </c>
      <c r="D67" s="356">
        <v>42700.58</v>
      </c>
      <c r="E67" s="371">
        <v>120</v>
      </c>
      <c r="F67" s="373">
        <v>37.5</v>
      </c>
      <c r="G67" s="356">
        <v>16724.45</v>
      </c>
      <c r="H67" s="356">
        <v>692.69680000000005</v>
      </c>
      <c r="I67" s="356">
        <v>692.69680000000005</v>
      </c>
      <c r="J67" s="356">
        <v>692.69680000000005</v>
      </c>
      <c r="K67" s="356">
        <v>692.69680000000005</v>
      </c>
      <c r="L67" s="356">
        <v>692.69680000000005</v>
      </c>
      <c r="M67" s="356">
        <v>692.69680000000005</v>
      </c>
      <c r="N67" s="356">
        <v>692.69680000000005</v>
      </c>
      <c r="O67" s="356">
        <v>692.69680000000005</v>
      </c>
      <c r="P67" s="356">
        <v>692.69680000000005</v>
      </c>
      <c r="Q67" s="356">
        <v>692.69680000000005</v>
      </c>
      <c r="R67" s="360"/>
      <c r="S67" s="360"/>
    </row>
    <row r="68" spans="1:19" ht="12.75" x14ac:dyDescent="0.2">
      <c r="A68" s="1663">
        <f t="shared" si="1"/>
        <v>53</v>
      </c>
      <c r="B68" s="349" t="s">
        <v>1160</v>
      </c>
      <c r="C68" s="339">
        <v>303.3</v>
      </c>
      <c r="D68" s="356">
        <v>68192.58</v>
      </c>
      <c r="E68" s="371">
        <v>120</v>
      </c>
      <c r="F68" s="373">
        <v>15.5</v>
      </c>
      <c r="G68" s="356">
        <v>51382.8</v>
      </c>
      <c r="H68" s="356">
        <v>1084.501935483871</v>
      </c>
      <c r="I68" s="356">
        <v>1084.501935483871</v>
      </c>
      <c r="J68" s="356">
        <v>1084.501935483871</v>
      </c>
      <c r="K68" s="356">
        <v>1084.501935483871</v>
      </c>
      <c r="L68" s="356">
        <v>1084.501935483871</v>
      </c>
      <c r="M68" s="356">
        <v>1084.501935483871</v>
      </c>
      <c r="N68" s="356">
        <v>1084.501935483871</v>
      </c>
      <c r="O68" s="356">
        <v>1084.501935483871</v>
      </c>
      <c r="P68" s="356">
        <v>1084.501935483871</v>
      </c>
      <c r="Q68" s="356">
        <v>1084.501935483871</v>
      </c>
      <c r="R68" s="360"/>
      <c r="S68" s="360"/>
    </row>
    <row r="69" spans="1:19" ht="12.75" x14ac:dyDescent="0.2">
      <c r="A69" s="1663">
        <f t="shared" si="1"/>
        <v>54</v>
      </c>
      <c r="B69" s="349" t="s">
        <v>2195</v>
      </c>
      <c r="C69" s="339">
        <v>303.3</v>
      </c>
      <c r="D69" s="356">
        <v>15020.8</v>
      </c>
      <c r="E69" s="371">
        <v>60</v>
      </c>
      <c r="F69" s="373">
        <v>28.5</v>
      </c>
      <c r="G69" s="356">
        <v>8136.31</v>
      </c>
      <c r="H69" s="356">
        <v>241.56105263157892</v>
      </c>
      <c r="I69" s="356">
        <v>241.56105263157892</v>
      </c>
      <c r="J69" s="356">
        <v>241.56105263157892</v>
      </c>
      <c r="K69" s="356">
        <v>241.56105263157892</v>
      </c>
      <c r="L69" s="356">
        <v>241.56105263157892</v>
      </c>
      <c r="M69" s="356">
        <v>241.56105263157892</v>
      </c>
      <c r="N69" s="356">
        <v>241.56105263157892</v>
      </c>
      <c r="O69" s="356">
        <v>241.56105263157892</v>
      </c>
      <c r="P69" s="356">
        <v>241.56105263157892</v>
      </c>
      <c r="Q69" s="356">
        <v>241.56105263157892</v>
      </c>
      <c r="R69" s="360"/>
      <c r="S69" s="360"/>
    </row>
    <row r="70" spans="1:19" ht="12.75" x14ac:dyDescent="0.2">
      <c r="A70" s="1663">
        <f t="shared" si="1"/>
        <v>55</v>
      </c>
      <c r="B70" s="349" t="s">
        <v>1157</v>
      </c>
      <c r="C70" s="339">
        <v>303.3</v>
      </c>
      <c r="D70" s="356">
        <v>5570.38</v>
      </c>
      <c r="E70" s="371">
        <v>60</v>
      </c>
      <c r="F70" s="373">
        <v>10.5</v>
      </c>
      <c r="G70" s="356">
        <v>4679.04</v>
      </c>
      <c r="H70" s="356">
        <v>84.889523809523823</v>
      </c>
      <c r="I70" s="356">
        <v>84.889523809523823</v>
      </c>
      <c r="J70" s="356">
        <v>84.889523809523823</v>
      </c>
      <c r="K70" s="356">
        <v>84.889523809523823</v>
      </c>
      <c r="L70" s="356">
        <v>84.889523809523823</v>
      </c>
      <c r="M70" s="356">
        <v>84.889523809523823</v>
      </c>
      <c r="N70" s="356">
        <v>84.889523809523823</v>
      </c>
      <c r="O70" s="356">
        <v>84.889523809523823</v>
      </c>
      <c r="P70" s="356">
        <v>84.889523809523823</v>
      </c>
      <c r="Q70" s="356">
        <v>84.889523809523823</v>
      </c>
      <c r="R70" s="360"/>
      <c r="S70" s="360"/>
    </row>
    <row r="71" spans="1:19" ht="12.75" x14ac:dyDescent="0.2">
      <c r="A71" s="1663">
        <f t="shared" si="1"/>
        <v>56</v>
      </c>
      <c r="B71" s="349" t="s">
        <v>1154</v>
      </c>
      <c r="C71" s="339">
        <v>303.3</v>
      </c>
      <c r="D71" s="356">
        <v>105456.53</v>
      </c>
      <c r="E71" s="371">
        <v>60</v>
      </c>
      <c r="F71" s="373">
        <v>10.5</v>
      </c>
      <c r="G71" s="356">
        <v>88759.239999999991</v>
      </c>
      <c r="H71" s="356">
        <v>1590.2180952380961</v>
      </c>
      <c r="I71" s="356">
        <v>1590.2180952380961</v>
      </c>
      <c r="J71" s="356">
        <v>1590.2180952380961</v>
      </c>
      <c r="K71" s="356">
        <v>1590.2180952380961</v>
      </c>
      <c r="L71" s="356">
        <v>1590.2180952380961</v>
      </c>
      <c r="M71" s="356">
        <v>1590.2180952380961</v>
      </c>
      <c r="N71" s="356">
        <v>1590.2180952380961</v>
      </c>
      <c r="O71" s="356">
        <v>1590.2180952380961</v>
      </c>
      <c r="P71" s="356">
        <v>1590.2180952380961</v>
      </c>
      <c r="Q71" s="356">
        <v>1590.2180952380961</v>
      </c>
      <c r="R71" s="360"/>
      <c r="S71" s="360"/>
    </row>
    <row r="72" spans="1:19" ht="12.75" x14ac:dyDescent="0.2">
      <c r="A72" s="1663">
        <f t="shared" si="1"/>
        <v>57</v>
      </c>
      <c r="B72" s="349" t="s">
        <v>2196</v>
      </c>
      <c r="C72" s="339">
        <v>303.3</v>
      </c>
      <c r="D72" s="356">
        <v>17363.849999999999</v>
      </c>
      <c r="E72" s="371">
        <v>60</v>
      </c>
      <c r="F72" s="373">
        <v>58.5</v>
      </c>
      <c r="G72" s="356">
        <v>714.94</v>
      </c>
      <c r="H72" s="356">
        <v>284.59675213675212</v>
      </c>
      <c r="I72" s="356">
        <v>284.59675213675212</v>
      </c>
      <c r="J72" s="356">
        <v>284.59675213675212</v>
      </c>
      <c r="K72" s="356">
        <v>284.59675213675212</v>
      </c>
      <c r="L72" s="356">
        <v>284.59675213675212</v>
      </c>
      <c r="M72" s="356">
        <v>284.59675213675212</v>
      </c>
      <c r="N72" s="356">
        <v>284.59675213675212</v>
      </c>
      <c r="O72" s="356">
        <v>284.59675213675212</v>
      </c>
      <c r="P72" s="356">
        <v>284.59675213675212</v>
      </c>
      <c r="Q72" s="356">
        <v>284.59675213675212</v>
      </c>
      <c r="R72" s="360"/>
      <c r="S72" s="360"/>
    </row>
    <row r="73" spans="1:19" ht="12.75" x14ac:dyDescent="0.2">
      <c r="A73" s="1663">
        <f t="shared" si="1"/>
        <v>58</v>
      </c>
      <c r="B73" s="349" t="s">
        <v>2197</v>
      </c>
      <c r="C73" s="339">
        <v>303.3</v>
      </c>
      <c r="D73" s="356">
        <v>30379.37</v>
      </c>
      <c r="E73" s="371">
        <v>60</v>
      </c>
      <c r="F73" s="373">
        <v>40.5</v>
      </c>
      <c r="G73" s="356">
        <v>7885.09</v>
      </c>
      <c r="H73" s="356">
        <v>555.41432098765426</v>
      </c>
      <c r="I73" s="356">
        <v>555.41432098765426</v>
      </c>
      <c r="J73" s="356">
        <v>555.41432098765426</v>
      </c>
      <c r="K73" s="356">
        <v>555.41432098765426</v>
      </c>
      <c r="L73" s="356">
        <v>555.41432098765426</v>
      </c>
      <c r="M73" s="356">
        <v>555.41432098765426</v>
      </c>
      <c r="N73" s="356">
        <v>555.41432098765426</v>
      </c>
      <c r="O73" s="356">
        <v>555.41432098765426</v>
      </c>
      <c r="P73" s="356">
        <v>555.41432098765426</v>
      </c>
      <c r="Q73" s="356">
        <v>555.41432098765426</v>
      </c>
      <c r="R73" s="360"/>
      <c r="S73" s="360"/>
    </row>
    <row r="74" spans="1:19" ht="12.75" x14ac:dyDescent="0.2">
      <c r="A74" s="1663">
        <f t="shared" si="1"/>
        <v>59</v>
      </c>
      <c r="B74" s="349" t="s">
        <v>2198</v>
      </c>
      <c r="C74" s="339">
        <v>303.3</v>
      </c>
      <c r="D74" s="356">
        <v>41940.620000000003</v>
      </c>
      <c r="E74" s="371">
        <v>60</v>
      </c>
      <c r="F74" s="373">
        <v>33.5</v>
      </c>
      <c r="G74" s="356">
        <v>18900.07</v>
      </c>
      <c r="H74" s="356">
        <v>687.77761194029858</v>
      </c>
      <c r="I74" s="356">
        <v>687.77761194029858</v>
      </c>
      <c r="J74" s="356">
        <v>687.77761194029858</v>
      </c>
      <c r="K74" s="356">
        <v>687.77761194029858</v>
      </c>
      <c r="L74" s="356">
        <v>687.77761194029858</v>
      </c>
      <c r="M74" s="356">
        <v>687.77761194029858</v>
      </c>
      <c r="N74" s="356">
        <v>687.77761194029858</v>
      </c>
      <c r="O74" s="356">
        <v>687.77761194029858</v>
      </c>
      <c r="P74" s="356">
        <v>687.77761194029858</v>
      </c>
      <c r="Q74" s="356">
        <v>687.77761194029858</v>
      </c>
      <c r="R74" s="360"/>
      <c r="S74" s="360"/>
    </row>
    <row r="75" spans="1:19" ht="12.75" x14ac:dyDescent="0.2">
      <c r="A75" s="1663">
        <f t="shared" si="1"/>
        <v>60</v>
      </c>
      <c r="B75" s="349" t="s">
        <v>2199</v>
      </c>
      <c r="C75" s="339">
        <v>303.3</v>
      </c>
      <c r="D75" s="356">
        <v>7414.54</v>
      </c>
      <c r="E75" s="371">
        <v>60</v>
      </c>
      <c r="F75" s="373">
        <v>35.5</v>
      </c>
      <c r="G75" s="356">
        <v>3151.2</v>
      </c>
      <c r="H75" s="356">
        <v>120.09408450704225</v>
      </c>
      <c r="I75" s="356">
        <v>120.09408450704225</v>
      </c>
      <c r="J75" s="356">
        <v>120.09408450704225</v>
      </c>
      <c r="K75" s="356">
        <v>120.09408450704225</v>
      </c>
      <c r="L75" s="356">
        <v>120.09408450704225</v>
      </c>
      <c r="M75" s="356">
        <v>120.09408450704225</v>
      </c>
      <c r="N75" s="356">
        <v>120.09408450704225</v>
      </c>
      <c r="O75" s="356">
        <v>120.09408450704225</v>
      </c>
      <c r="P75" s="356">
        <v>120.09408450704225</v>
      </c>
      <c r="Q75" s="356">
        <v>120.09408450704225</v>
      </c>
      <c r="R75" s="360"/>
      <c r="S75" s="360"/>
    </row>
    <row r="76" spans="1:19" ht="12.75" x14ac:dyDescent="0.2">
      <c r="A76" s="1663">
        <f t="shared" si="1"/>
        <v>61</v>
      </c>
      <c r="B76" s="349" t="s">
        <v>2200</v>
      </c>
      <c r="C76" s="339" t="s">
        <v>2245</v>
      </c>
      <c r="D76" s="356">
        <v>3270.66</v>
      </c>
      <c r="E76" s="371">
        <v>60</v>
      </c>
      <c r="F76" s="373">
        <v>43.5</v>
      </c>
      <c r="G76" s="356">
        <v>953.77</v>
      </c>
      <c r="H76" s="356">
        <v>53.261839080459765</v>
      </c>
      <c r="I76" s="356">
        <v>53.261839080459765</v>
      </c>
      <c r="J76" s="356">
        <v>53.261839080459765</v>
      </c>
      <c r="K76" s="356">
        <v>53.261839080459765</v>
      </c>
      <c r="L76" s="356">
        <v>53.261839080459765</v>
      </c>
      <c r="M76" s="356">
        <v>53.261839080459765</v>
      </c>
      <c r="N76" s="356">
        <v>53.261839080459765</v>
      </c>
      <c r="O76" s="356">
        <v>53.261839080459765</v>
      </c>
      <c r="P76" s="356">
        <v>53.261839080459765</v>
      </c>
      <c r="Q76" s="356">
        <v>53.261839080459765</v>
      </c>
      <c r="R76" s="360"/>
      <c r="S76" s="360"/>
    </row>
    <row r="77" spans="1:19" ht="12.75" x14ac:dyDescent="0.2">
      <c r="A77" s="1663">
        <f t="shared" si="1"/>
        <v>62</v>
      </c>
      <c r="B77" s="349" t="s">
        <v>2201</v>
      </c>
      <c r="C77" s="339">
        <v>303.3</v>
      </c>
      <c r="D77" s="356">
        <v>12084.06</v>
      </c>
      <c r="E77" s="371">
        <v>60</v>
      </c>
      <c r="F77" s="373">
        <v>60</v>
      </c>
      <c r="G77" s="356">
        <v>100.7</v>
      </c>
      <c r="H77" s="356">
        <v>199.72266666666664</v>
      </c>
      <c r="I77" s="356">
        <v>199.72266666666664</v>
      </c>
      <c r="J77" s="356">
        <v>199.72266666666664</v>
      </c>
      <c r="K77" s="356">
        <v>199.72266666666664</v>
      </c>
      <c r="L77" s="356">
        <v>199.72266666666664</v>
      </c>
      <c r="M77" s="356">
        <v>199.72266666666664</v>
      </c>
      <c r="N77" s="356">
        <v>199.72266666666664</v>
      </c>
      <c r="O77" s="356">
        <v>199.72266666666664</v>
      </c>
      <c r="P77" s="356">
        <v>199.72266666666664</v>
      </c>
      <c r="Q77" s="356">
        <v>199.72266666666664</v>
      </c>
      <c r="R77" s="360"/>
      <c r="S77" s="360"/>
    </row>
    <row r="78" spans="1:19" ht="12.75" x14ac:dyDescent="0.2">
      <c r="A78" s="1663">
        <f t="shared" si="1"/>
        <v>63</v>
      </c>
      <c r="B78" s="349" t="s">
        <v>2202</v>
      </c>
      <c r="C78" s="339">
        <v>303.3</v>
      </c>
      <c r="D78" s="356">
        <v>116623.47</v>
      </c>
      <c r="E78" s="371">
        <v>60</v>
      </c>
      <c r="F78" s="373">
        <v>37.5</v>
      </c>
      <c r="G78" s="356">
        <v>36358.550000000003</v>
      </c>
      <c r="H78" s="356">
        <v>2140.3978666666667</v>
      </c>
      <c r="I78" s="356">
        <v>2140.3978666666667</v>
      </c>
      <c r="J78" s="356">
        <v>2140.3978666666667</v>
      </c>
      <c r="K78" s="356">
        <v>2140.3978666666667</v>
      </c>
      <c r="L78" s="356">
        <v>2140.3978666666667</v>
      </c>
      <c r="M78" s="356">
        <v>2140.3978666666667</v>
      </c>
      <c r="N78" s="356">
        <v>2140.3978666666667</v>
      </c>
      <c r="O78" s="356">
        <v>2140.3978666666667</v>
      </c>
      <c r="P78" s="356">
        <v>2140.3978666666667</v>
      </c>
      <c r="Q78" s="356">
        <v>2140.3978666666667</v>
      </c>
      <c r="R78" s="360"/>
      <c r="S78" s="360"/>
    </row>
    <row r="79" spans="1:19" ht="12.75" x14ac:dyDescent="0.2">
      <c r="A79" s="332"/>
      <c r="B79" s="349"/>
      <c r="C79" s="339"/>
      <c r="D79" s="356"/>
      <c r="E79" s="371"/>
      <c r="F79" s="373"/>
      <c r="G79" s="356"/>
      <c r="H79" s="356"/>
      <c r="I79" s="356"/>
      <c r="J79" s="356"/>
      <c r="K79" s="356"/>
      <c r="L79" s="356"/>
      <c r="M79" s="356"/>
      <c r="N79" s="356"/>
      <c r="O79" s="356"/>
      <c r="P79" s="356"/>
      <c r="Q79" s="356"/>
      <c r="R79" s="360"/>
    </row>
    <row r="80" spans="1:19" ht="12.75" x14ac:dyDescent="0.2">
      <c r="A80" s="2079" t="str">
        <f>co</f>
        <v>COLUMBIA GAS OF KENTUCKY, INC.</v>
      </c>
      <c r="B80" s="2079"/>
      <c r="C80" s="2079"/>
      <c r="D80" s="2079"/>
      <c r="E80" s="2079"/>
      <c r="F80" s="2079"/>
      <c r="G80" s="2079"/>
      <c r="H80" s="2079"/>
      <c r="I80" s="2079"/>
      <c r="J80" s="2079"/>
      <c r="K80" s="2079"/>
      <c r="L80" s="2079"/>
      <c r="M80" s="2079"/>
      <c r="N80" s="2079"/>
      <c r="O80" s="2079"/>
      <c r="P80" s="2079"/>
      <c r="Q80" s="2079"/>
      <c r="R80" s="360"/>
    </row>
    <row r="81" spans="1:24" ht="12.75" x14ac:dyDescent="0.2">
      <c r="A81" s="2079" t="str">
        <f>case</f>
        <v>CASE NO. 2016 - 00162</v>
      </c>
      <c r="B81" s="2079"/>
      <c r="C81" s="2079"/>
      <c r="D81" s="2079"/>
      <c r="E81" s="2079"/>
      <c r="F81" s="2079"/>
      <c r="G81" s="2079"/>
      <c r="H81" s="2079"/>
      <c r="I81" s="2079"/>
      <c r="J81" s="2079"/>
      <c r="K81" s="2079"/>
      <c r="L81" s="2079"/>
      <c r="M81" s="2079"/>
      <c r="N81" s="2079"/>
      <c r="O81" s="2079"/>
      <c r="P81" s="2079"/>
      <c r="Q81" s="2079"/>
      <c r="R81" s="360"/>
    </row>
    <row r="82" spans="1:24" ht="12.75" x14ac:dyDescent="0.2">
      <c r="A82" s="2080" t="s">
        <v>1167</v>
      </c>
      <c r="B82" s="2080"/>
      <c r="C82" s="2080"/>
      <c r="D82" s="2080"/>
      <c r="E82" s="2080"/>
      <c r="F82" s="2080"/>
      <c r="G82" s="2080"/>
      <c r="H82" s="2080"/>
      <c r="I82" s="2080"/>
      <c r="J82" s="2080"/>
      <c r="K82" s="2080"/>
      <c r="L82" s="2080"/>
      <c r="M82" s="2080"/>
      <c r="N82" s="2080"/>
      <c r="O82" s="2080"/>
      <c r="P82" s="2080"/>
      <c r="Q82" s="2080"/>
      <c r="R82" s="360"/>
    </row>
    <row r="83" spans="1:24" ht="12.75" x14ac:dyDescent="0.2">
      <c r="A83" s="2081" t="s">
        <v>2142</v>
      </c>
      <c r="B83" s="2081"/>
      <c r="C83" s="2081"/>
      <c r="D83" s="2081"/>
      <c r="E83" s="2081"/>
      <c r="F83" s="2081"/>
      <c r="G83" s="2081"/>
      <c r="H83" s="2081"/>
      <c r="I83" s="2081"/>
      <c r="J83" s="2081"/>
      <c r="K83" s="2081"/>
      <c r="L83" s="2081"/>
      <c r="M83" s="2081"/>
      <c r="N83" s="2081"/>
      <c r="O83" s="2081"/>
      <c r="P83" s="2081"/>
      <c r="Q83" s="2081"/>
      <c r="R83" s="360"/>
    </row>
    <row r="84" spans="1:24" ht="12.75" x14ac:dyDescent="0.2">
      <c r="A84" s="2086"/>
      <c r="B84" s="2086"/>
      <c r="C84" s="2086"/>
      <c r="D84" s="2086"/>
      <c r="E84" s="2086"/>
      <c r="F84" s="2086"/>
      <c r="G84" s="2086"/>
      <c r="H84" s="2086"/>
      <c r="I84" s="2086"/>
      <c r="J84" s="2086"/>
      <c r="K84" s="2086"/>
      <c r="L84" s="2086"/>
      <c r="M84" s="2086"/>
      <c r="N84" s="2086"/>
      <c r="O84" s="2086"/>
      <c r="P84" s="2086"/>
      <c r="Q84" s="2086"/>
      <c r="R84" s="360"/>
    </row>
    <row r="85" spans="1:24" ht="12.75" x14ac:dyDescent="0.2">
      <c r="A85" s="285" t="s">
        <v>1095</v>
      </c>
      <c r="B85" s="30"/>
      <c r="C85" s="171"/>
      <c r="D85" s="30"/>
      <c r="E85" s="30"/>
      <c r="F85" s="30"/>
      <c r="G85" s="171"/>
      <c r="H85" s="171"/>
      <c r="I85" s="30"/>
      <c r="J85" s="30"/>
      <c r="K85" s="32"/>
      <c r="L85" s="30"/>
      <c r="M85" s="30"/>
      <c r="N85" s="30"/>
      <c r="Q85" s="1257" t="s">
        <v>1761</v>
      </c>
      <c r="R85" s="360"/>
    </row>
    <row r="86" spans="1:24" ht="12.75" x14ac:dyDescent="0.2">
      <c r="A86" s="4" t="s">
        <v>977</v>
      </c>
      <c r="B86" s="30"/>
      <c r="C86" s="30"/>
      <c r="D86" s="30"/>
      <c r="E86" s="30"/>
      <c r="F86" s="30"/>
      <c r="G86" s="171"/>
      <c r="J86" s="30"/>
      <c r="K86" s="32"/>
      <c r="L86" s="30"/>
      <c r="M86" s="30"/>
      <c r="N86" s="30"/>
      <c r="Q86" s="1256" t="s">
        <v>869</v>
      </c>
      <c r="R86" s="360"/>
    </row>
    <row r="87" spans="1:24" ht="12.75" x14ac:dyDescent="0.2">
      <c r="A87" s="200" t="s">
        <v>1712</v>
      </c>
      <c r="B87" s="202"/>
      <c r="C87" s="202"/>
      <c r="D87" s="201"/>
      <c r="E87" s="201"/>
      <c r="F87" s="201"/>
      <c r="G87" s="202"/>
      <c r="I87" s="201"/>
      <c r="J87" s="201"/>
      <c r="K87" s="203"/>
      <c r="L87" s="30"/>
      <c r="M87" s="30"/>
      <c r="N87" s="32"/>
      <c r="Q87" s="211" t="str">
        <f>SMK</f>
        <v>WITNESS:  S. M. KATKO</v>
      </c>
      <c r="R87" s="360"/>
    </row>
    <row r="88" spans="1:24" x14ac:dyDescent="0.15">
      <c r="A88" s="343"/>
      <c r="B88" s="343"/>
      <c r="C88" s="343"/>
      <c r="D88" s="343"/>
      <c r="E88" s="343"/>
      <c r="F88" s="343"/>
      <c r="G88" s="343"/>
      <c r="H88" s="343"/>
      <c r="I88" s="343"/>
      <c r="J88" s="343"/>
      <c r="K88" s="343"/>
      <c r="L88" s="343"/>
      <c r="M88" s="343"/>
      <c r="N88" s="343"/>
      <c r="R88" s="360"/>
    </row>
    <row r="89" spans="1:24" ht="12.75" x14ac:dyDescent="0.2">
      <c r="A89" s="332"/>
      <c r="B89" s="333"/>
      <c r="C89" s="333"/>
      <c r="E89" s="334"/>
      <c r="F89" s="341" t="s">
        <v>1137</v>
      </c>
      <c r="G89" s="340" t="s">
        <v>1089</v>
      </c>
      <c r="H89" s="558">
        <v>42460</v>
      </c>
      <c r="I89" s="558">
        <v>42490</v>
      </c>
      <c r="J89" s="558">
        <v>42521</v>
      </c>
      <c r="K89" s="558">
        <v>42551</v>
      </c>
      <c r="L89" s="558">
        <v>42582</v>
      </c>
      <c r="M89" s="558">
        <v>42613</v>
      </c>
      <c r="N89" s="558">
        <v>42643</v>
      </c>
      <c r="O89" s="558">
        <v>42674</v>
      </c>
      <c r="P89" s="558">
        <v>42704</v>
      </c>
      <c r="Q89" s="558">
        <v>42735</v>
      </c>
      <c r="R89" s="360"/>
    </row>
    <row r="90" spans="1:24" ht="12.75" x14ac:dyDescent="0.2">
      <c r="A90" s="332" t="s">
        <v>1080</v>
      </c>
      <c r="B90" s="333"/>
      <c r="C90" s="332" t="s">
        <v>1138</v>
      </c>
      <c r="D90" s="340" t="s">
        <v>1139</v>
      </c>
      <c r="E90" s="340" t="s">
        <v>1140</v>
      </c>
      <c r="F90" s="341" t="s">
        <v>1141</v>
      </c>
      <c r="G90" s="332" t="s">
        <v>867</v>
      </c>
      <c r="H90" s="332" t="s">
        <v>1142</v>
      </c>
      <c r="I90" s="332" t="s">
        <v>1142</v>
      </c>
      <c r="J90" s="332" t="s">
        <v>1142</v>
      </c>
      <c r="K90" s="332" t="s">
        <v>1142</v>
      </c>
      <c r="L90" s="332" t="s">
        <v>1142</v>
      </c>
      <c r="M90" s="332" t="s">
        <v>1142</v>
      </c>
      <c r="N90" s="332" t="s">
        <v>1142</v>
      </c>
      <c r="O90" s="332" t="s">
        <v>1142</v>
      </c>
      <c r="P90" s="332" t="s">
        <v>1142</v>
      </c>
      <c r="Q90" s="332" t="s">
        <v>1142</v>
      </c>
      <c r="R90" s="360"/>
    </row>
    <row r="91" spans="1:24" ht="12.75" x14ac:dyDescent="0.2">
      <c r="A91" s="344" t="s">
        <v>1081</v>
      </c>
      <c r="B91" s="336" t="s">
        <v>1083</v>
      </c>
      <c r="C91" s="345" t="s">
        <v>1124</v>
      </c>
      <c r="D91" s="346" t="s">
        <v>867</v>
      </c>
      <c r="E91" s="346" t="s">
        <v>1143</v>
      </c>
      <c r="F91" s="557">
        <v>42428</v>
      </c>
      <c r="G91" s="557">
        <v>42428</v>
      </c>
      <c r="H91" s="344" t="s">
        <v>1144</v>
      </c>
      <c r="I91" s="344" t="s">
        <v>1144</v>
      </c>
      <c r="J91" s="344" t="s">
        <v>1144</v>
      </c>
      <c r="K91" s="344" t="s">
        <v>1144</v>
      </c>
      <c r="L91" s="344" t="s">
        <v>1144</v>
      </c>
      <c r="M91" s="344" t="s">
        <v>1144</v>
      </c>
      <c r="N91" s="344" t="s">
        <v>1144</v>
      </c>
      <c r="O91" s="344" t="s">
        <v>1144</v>
      </c>
      <c r="P91" s="344" t="s">
        <v>1144</v>
      </c>
      <c r="Q91" s="344" t="s">
        <v>1144</v>
      </c>
      <c r="R91" s="360"/>
    </row>
    <row r="92" spans="1:24" ht="12.75" x14ac:dyDescent="0.2">
      <c r="A92" s="332"/>
      <c r="B92" s="333"/>
      <c r="C92" s="347" t="s">
        <v>860</v>
      </c>
      <c r="D92" s="347" t="s">
        <v>877</v>
      </c>
      <c r="E92" s="347" t="s">
        <v>878</v>
      </c>
      <c r="F92" s="347" t="s">
        <v>1145</v>
      </c>
      <c r="G92" s="347" t="s">
        <v>1146</v>
      </c>
      <c r="H92" s="347" t="s">
        <v>1147</v>
      </c>
      <c r="I92" s="347" t="s">
        <v>1762</v>
      </c>
      <c r="J92" s="347" t="s">
        <v>1763</v>
      </c>
      <c r="K92" s="347" t="s">
        <v>1764</v>
      </c>
      <c r="L92" s="347" t="s">
        <v>1765</v>
      </c>
      <c r="M92" s="347" t="s">
        <v>1766</v>
      </c>
      <c r="N92" s="347" t="s">
        <v>1767</v>
      </c>
      <c r="O92" s="347" t="s">
        <v>1768</v>
      </c>
      <c r="P92" s="347" t="s">
        <v>1769</v>
      </c>
      <c r="Q92" s="347" t="s">
        <v>1770</v>
      </c>
      <c r="R92" s="360"/>
    </row>
    <row r="93" spans="1:24" ht="12.75" x14ac:dyDescent="0.2">
      <c r="A93" s="332"/>
      <c r="B93" s="349"/>
      <c r="C93" s="339"/>
      <c r="D93" s="356"/>
      <c r="E93" s="371"/>
      <c r="F93" s="373"/>
      <c r="G93" s="356"/>
      <c r="H93" s="356"/>
      <c r="I93" s="356"/>
      <c r="J93" s="356"/>
      <c r="K93" s="356"/>
      <c r="L93" s="356"/>
      <c r="M93" s="356"/>
      <c r="N93" s="356"/>
      <c r="O93" s="356"/>
      <c r="P93" s="356"/>
      <c r="Q93" s="356"/>
      <c r="R93" s="360"/>
    </row>
    <row r="94" spans="1:24" ht="12.75" x14ac:dyDescent="0.2">
      <c r="A94" s="332">
        <v>1</v>
      </c>
      <c r="B94" s="1695" t="s">
        <v>2415</v>
      </c>
      <c r="C94" s="1691">
        <v>303.3</v>
      </c>
      <c r="D94" s="342">
        <f>ROUND('Intangible Amort.'!D81*'WPB2.2 Plant detail-w slippage'!$P$2,0)</f>
        <v>52132</v>
      </c>
      <c r="E94" s="371">
        <v>60</v>
      </c>
      <c r="F94" s="353"/>
      <c r="G94" s="356"/>
      <c r="H94" s="342">
        <f>ROUND(($D$94/$E$94)/2,0)</f>
        <v>434</v>
      </c>
      <c r="I94" s="342">
        <f>ROUND($D$94/$E$94,0)</f>
        <v>869</v>
      </c>
      <c r="J94" s="342">
        <f t="shared" ref="J94:Q94" si="2">ROUND($D$94/$E$94,0)</f>
        <v>869</v>
      </c>
      <c r="K94" s="342">
        <f t="shared" si="2"/>
        <v>869</v>
      </c>
      <c r="L94" s="342">
        <f t="shared" si="2"/>
        <v>869</v>
      </c>
      <c r="M94" s="342">
        <f t="shared" si="2"/>
        <v>869</v>
      </c>
      <c r="N94" s="342">
        <f t="shared" si="2"/>
        <v>869</v>
      </c>
      <c r="O94" s="342">
        <f t="shared" si="2"/>
        <v>869</v>
      </c>
      <c r="P94" s="342">
        <f t="shared" si="2"/>
        <v>869</v>
      </c>
      <c r="Q94" s="342">
        <f t="shared" si="2"/>
        <v>869</v>
      </c>
      <c r="R94" s="360"/>
      <c r="T94" s="1140"/>
    </row>
    <row r="95" spans="1:24" ht="12.75" x14ac:dyDescent="0.2">
      <c r="A95" s="332">
        <f>+A94+1</f>
        <v>2</v>
      </c>
      <c r="B95" s="1702" t="s">
        <v>2416</v>
      </c>
      <c r="C95" s="1691">
        <v>303.3</v>
      </c>
      <c r="D95" s="342">
        <f>ROUND('Intangible Amort.'!D82*'WPB2.2 Plant detail-w slippage'!$P$2,0)</f>
        <v>94979</v>
      </c>
      <c r="E95" s="371">
        <v>60</v>
      </c>
      <c r="F95" s="353"/>
      <c r="G95" s="356"/>
      <c r="H95" s="356"/>
      <c r="I95" s="342">
        <f>ROUND(($D$95/$E$95)/2,0)</f>
        <v>791</v>
      </c>
      <c r="J95" s="342">
        <f>ROUND($D$95/$E$95,0)</f>
        <v>1583</v>
      </c>
      <c r="K95" s="342">
        <f t="shared" ref="K95:Q97" si="3">ROUND($D95/$E95,0)</f>
        <v>1583</v>
      </c>
      <c r="L95" s="342">
        <f t="shared" si="3"/>
        <v>1583</v>
      </c>
      <c r="M95" s="342">
        <f t="shared" si="3"/>
        <v>1583</v>
      </c>
      <c r="N95" s="342">
        <f t="shared" si="3"/>
        <v>1583</v>
      </c>
      <c r="O95" s="342">
        <f t="shared" si="3"/>
        <v>1583</v>
      </c>
      <c r="P95" s="342">
        <f t="shared" si="3"/>
        <v>1583</v>
      </c>
      <c r="Q95" s="342">
        <f t="shared" si="3"/>
        <v>1583</v>
      </c>
      <c r="R95" s="360"/>
      <c r="T95" s="1140"/>
    </row>
    <row r="96" spans="1:24" ht="12.75" x14ac:dyDescent="0.2">
      <c r="A96" s="332">
        <f t="shared" si="1"/>
        <v>3</v>
      </c>
      <c r="B96" s="1702" t="s">
        <v>2417</v>
      </c>
      <c r="C96" s="1691">
        <v>303.3</v>
      </c>
      <c r="D96" s="342">
        <f>ROUND('Intangible Amort.'!D83*'WPB2.2 Plant detail-w slippage'!$P$2,0)</f>
        <v>162266</v>
      </c>
      <c r="E96" s="371">
        <v>60</v>
      </c>
      <c r="F96" s="353"/>
      <c r="G96" s="356"/>
      <c r="H96" s="356"/>
      <c r="I96" s="356"/>
      <c r="J96" s="342">
        <f t="shared" ref="J96:K97" si="4">ROUND(($D96/$E96)/2,0)</f>
        <v>1352</v>
      </c>
      <c r="K96" s="342">
        <f t="shared" si="3"/>
        <v>2704</v>
      </c>
      <c r="L96" s="342">
        <f t="shared" si="3"/>
        <v>2704</v>
      </c>
      <c r="M96" s="342">
        <f t="shared" si="3"/>
        <v>2704</v>
      </c>
      <c r="N96" s="342">
        <f t="shared" si="3"/>
        <v>2704</v>
      </c>
      <c r="O96" s="342">
        <f t="shared" si="3"/>
        <v>2704</v>
      </c>
      <c r="P96" s="342">
        <f t="shared" si="3"/>
        <v>2704</v>
      </c>
      <c r="Q96" s="342">
        <f t="shared" si="3"/>
        <v>2704</v>
      </c>
      <c r="R96" s="2054"/>
      <c r="S96" s="2054"/>
      <c r="T96" s="2054"/>
      <c r="U96" s="2054"/>
      <c r="V96" s="2054"/>
      <c r="W96" s="2054"/>
      <c r="X96" s="2054"/>
    </row>
    <row r="97" spans="1:20" ht="12.75" x14ac:dyDescent="0.2">
      <c r="A97" s="332">
        <f t="shared" si="1"/>
        <v>4</v>
      </c>
      <c r="B97" s="1702" t="s">
        <v>2418</v>
      </c>
      <c r="C97" s="1691">
        <v>303.3</v>
      </c>
      <c r="D97" s="342">
        <f>ROUND('Intangible Amort.'!D84*'WPB2.2 Plant detail-w slippage'!$P$2,0)</f>
        <v>109735</v>
      </c>
      <c r="E97" s="371">
        <v>60</v>
      </c>
      <c r="F97" s="353"/>
      <c r="G97" s="356"/>
      <c r="H97" s="356"/>
      <c r="I97" s="356"/>
      <c r="J97" s="356"/>
      <c r="K97" s="342">
        <f t="shared" si="4"/>
        <v>914</v>
      </c>
      <c r="L97" s="342">
        <f t="shared" si="3"/>
        <v>1829</v>
      </c>
      <c r="M97" s="342">
        <f t="shared" si="3"/>
        <v>1829</v>
      </c>
      <c r="N97" s="342">
        <f t="shared" si="3"/>
        <v>1829</v>
      </c>
      <c r="O97" s="342">
        <f t="shared" si="3"/>
        <v>1829</v>
      </c>
      <c r="P97" s="342">
        <f t="shared" si="3"/>
        <v>1829</v>
      </c>
      <c r="Q97" s="342">
        <f t="shared" si="3"/>
        <v>1829</v>
      </c>
      <c r="R97" s="360"/>
      <c r="T97" s="1140"/>
    </row>
    <row r="98" spans="1:20" ht="12.75" x14ac:dyDescent="0.2">
      <c r="A98" s="2044">
        <f t="shared" si="1"/>
        <v>5</v>
      </c>
      <c r="B98" s="1702" t="s">
        <v>2419</v>
      </c>
      <c r="C98" s="1691">
        <v>303.3</v>
      </c>
      <c r="D98" s="342">
        <f>ROUND('Intangible Amort.'!D85*'WPB2.2 Plant detail-w slippage'!$P$2,0)</f>
        <v>99219</v>
      </c>
      <c r="E98" s="371">
        <v>60</v>
      </c>
      <c r="F98" s="353"/>
      <c r="G98" s="356"/>
      <c r="H98" s="356"/>
      <c r="I98" s="356"/>
      <c r="J98" s="356"/>
      <c r="K98" s="356"/>
      <c r="L98" s="342">
        <f t="shared" ref="L98:Q103" si="5">ROUND(($D98/$E98)/2,0)</f>
        <v>827</v>
      </c>
      <c r="M98" s="342">
        <f t="shared" ref="M98:Q102" si="6">ROUND($D98/$E98,0)</f>
        <v>1654</v>
      </c>
      <c r="N98" s="342">
        <f t="shared" si="6"/>
        <v>1654</v>
      </c>
      <c r="O98" s="342">
        <f t="shared" si="6"/>
        <v>1654</v>
      </c>
      <c r="P98" s="342">
        <f t="shared" si="6"/>
        <v>1654</v>
      </c>
      <c r="Q98" s="342">
        <f t="shared" si="6"/>
        <v>1654</v>
      </c>
      <c r="R98" s="360"/>
      <c r="T98" s="1140"/>
    </row>
    <row r="99" spans="1:20" ht="12.75" x14ac:dyDescent="0.2">
      <c r="A99" s="2044">
        <f t="shared" si="1"/>
        <v>6</v>
      </c>
      <c r="B99" s="1702" t="s">
        <v>2420</v>
      </c>
      <c r="C99" s="1691">
        <v>303.3</v>
      </c>
      <c r="D99" s="342">
        <f>ROUND('Intangible Amort.'!D86*'WPB2.2 Plant detail-w slippage'!$P$2,0)</f>
        <v>202119</v>
      </c>
      <c r="E99" s="371">
        <v>60</v>
      </c>
      <c r="F99" s="353"/>
      <c r="G99" s="356"/>
      <c r="H99" s="356"/>
      <c r="I99" s="356"/>
      <c r="J99" s="356"/>
      <c r="K99" s="356"/>
      <c r="L99" s="356"/>
      <c r="M99" s="342">
        <f t="shared" si="5"/>
        <v>1684</v>
      </c>
      <c r="N99" s="342">
        <f t="shared" si="6"/>
        <v>3369</v>
      </c>
      <c r="O99" s="342">
        <f t="shared" si="6"/>
        <v>3369</v>
      </c>
      <c r="P99" s="342">
        <f t="shared" si="6"/>
        <v>3369</v>
      </c>
      <c r="Q99" s="342">
        <f t="shared" si="6"/>
        <v>3369</v>
      </c>
      <c r="R99" s="360"/>
      <c r="T99" s="1140"/>
    </row>
    <row r="100" spans="1:20" ht="12.75" x14ac:dyDescent="0.2">
      <c r="A100" s="2044">
        <f t="shared" ref="A100:A104" si="7">A99+1</f>
        <v>7</v>
      </c>
      <c r="B100" s="1702" t="s">
        <v>2421</v>
      </c>
      <c r="C100" s="1691">
        <v>303.3</v>
      </c>
      <c r="D100" s="342">
        <f>ROUND('Intangible Amort.'!D87*'WPB2.2 Plant detail-w slippage'!$P$2,0)</f>
        <v>202119</v>
      </c>
      <c r="E100" s="371">
        <v>60</v>
      </c>
      <c r="F100" s="353"/>
      <c r="G100" s="1717"/>
      <c r="H100" s="1717"/>
      <c r="I100" s="1717"/>
      <c r="J100" s="1717"/>
      <c r="K100" s="1717"/>
      <c r="L100" s="1717"/>
      <c r="M100" s="913"/>
      <c r="N100" s="342">
        <f t="shared" si="5"/>
        <v>1684</v>
      </c>
      <c r="O100" s="342">
        <f t="shared" si="6"/>
        <v>3369</v>
      </c>
      <c r="P100" s="342">
        <f t="shared" si="6"/>
        <v>3369</v>
      </c>
      <c r="Q100" s="342">
        <f t="shared" si="6"/>
        <v>3369</v>
      </c>
      <c r="R100" s="360"/>
      <c r="T100" s="1140"/>
    </row>
    <row r="101" spans="1:20" ht="12.75" x14ac:dyDescent="0.2">
      <c r="A101" s="2044">
        <f t="shared" si="7"/>
        <v>8</v>
      </c>
      <c r="B101" s="1702" t="s">
        <v>2422</v>
      </c>
      <c r="C101" s="1691">
        <v>303.3</v>
      </c>
      <c r="D101" s="342">
        <f>ROUND('Intangible Amort.'!D88*'WPB2.2 Plant detail-w slippage'!$P$2,0)</f>
        <v>202119</v>
      </c>
      <c r="E101" s="371">
        <v>60</v>
      </c>
      <c r="F101" s="353"/>
      <c r="G101" s="1717"/>
      <c r="H101" s="1717"/>
      <c r="I101" s="1717"/>
      <c r="J101" s="1717"/>
      <c r="K101" s="1717"/>
      <c r="L101" s="1717"/>
      <c r="M101" s="913"/>
      <c r="N101" s="342"/>
      <c r="O101" s="342">
        <f t="shared" si="5"/>
        <v>1684</v>
      </c>
      <c r="P101" s="342">
        <f t="shared" si="6"/>
        <v>3369</v>
      </c>
      <c r="Q101" s="342">
        <f t="shared" si="6"/>
        <v>3369</v>
      </c>
      <c r="R101" s="360"/>
      <c r="T101" s="1140"/>
    </row>
    <row r="102" spans="1:20" ht="12.75" x14ac:dyDescent="0.2">
      <c r="A102" s="2044">
        <f t="shared" si="7"/>
        <v>9</v>
      </c>
      <c r="B102" s="1702" t="s">
        <v>2423</v>
      </c>
      <c r="C102" s="1691">
        <v>303.3</v>
      </c>
      <c r="D102" s="342">
        <f>ROUND('Intangible Amort.'!D89*'WPB2.2 Plant detail-w slippage'!$P$2,0)</f>
        <v>202119</v>
      </c>
      <c r="E102" s="371">
        <v>60</v>
      </c>
      <c r="F102" s="353"/>
      <c r="G102" s="1717"/>
      <c r="H102" s="1717"/>
      <c r="I102" s="1717"/>
      <c r="J102" s="1717"/>
      <c r="K102" s="1717"/>
      <c r="L102" s="1717"/>
      <c r="M102" s="913"/>
      <c r="N102" s="342"/>
      <c r="O102" s="342"/>
      <c r="P102" s="342">
        <f t="shared" si="5"/>
        <v>1684</v>
      </c>
      <c r="Q102" s="342">
        <f t="shared" si="6"/>
        <v>3369</v>
      </c>
      <c r="R102" s="360"/>
      <c r="T102" s="1140"/>
    </row>
    <row r="103" spans="1:20" ht="12.75" x14ac:dyDescent="0.2">
      <c r="A103" s="2044">
        <f t="shared" si="7"/>
        <v>10</v>
      </c>
      <c r="B103" s="1702" t="s">
        <v>2424</v>
      </c>
      <c r="C103" s="1691">
        <v>303.3</v>
      </c>
      <c r="D103" s="342">
        <f>ROUND('Intangible Amort.'!D90*'WPB2.2 Plant detail-w slippage'!$P$2,0)</f>
        <v>202118</v>
      </c>
      <c r="E103" s="371">
        <v>60</v>
      </c>
      <c r="F103" s="353"/>
      <c r="G103" s="1717"/>
      <c r="H103" s="1717"/>
      <c r="I103" s="1717"/>
      <c r="J103" s="1717"/>
      <c r="K103" s="1717"/>
      <c r="L103" s="1717"/>
      <c r="M103" s="913"/>
      <c r="N103" s="913"/>
      <c r="O103" s="913"/>
      <c r="P103" s="913"/>
      <c r="Q103" s="342">
        <f t="shared" si="5"/>
        <v>1684</v>
      </c>
      <c r="R103" s="360"/>
      <c r="T103" s="1140"/>
    </row>
    <row r="104" spans="1:20" ht="12.75" x14ac:dyDescent="0.2">
      <c r="A104" s="2044">
        <f t="shared" si="7"/>
        <v>11</v>
      </c>
      <c r="B104" s="349" t="s">
        <v>1166</v>
      </c>
      <c r="C104" s="339"/>
      <c r="D104" s="342"/>
      <c r="E104" s="352"/>
      <c r="F104" s="353"/>
      <c r="G104" s="1718">
        <f>SUM(G22:G78,G94:G103)</f>
        <v>2150291.4000000004</v>
      </c>
      <c r="H104" s="1718">
        <f>SUM(H22:H78,H94:H103)</f>
        <v>65769.193423955992</v>
      </c>
      <c r="I104" s="1718">
        <f>SUM(I22:I78,I94:I103)</f>
        <v>66995.193423955992</v>
      </c>
      <c r="J104" s="1718">
        <f>SUM(J22:J78,J94:J103)</f>
        <v>69139.193423955992</v>
      </c>
      <c r="K104" s="1718">
        <f>SUM(K22:K78,K94:K103)</f>
        <v>71405.193423955992</v>
      </c>
      <c r="L104" s="1718">
        <f>SUM(L22:L78,L94:L103)</f>
        <v>73147.193423955992</v>
      </c>
      <c r="M104" s="1718">
        <f>SUM(M22:M78,M94:M103)</f>
        <v>75658.193423955992</v>
      </c>
      <c r="N104" s="1718">
        <f>SUM(N22:N78,N94:N103)</f>
        <v>77246.647270109839</v>
      </c>
      <c r="O104" s="1718">
        <f>SUM(O22:O78,O94:O103)</f>
        <v>78835.101116263686</v>
      </c>
      <c r="P104" s="1718">
        <f>SUM(P22:P78,P94:P103)</f>
        <v>82204.101116263686</v>
      </c>
      <c r="Q104" s="1718">
        <f>SUM(Q22:Q78,Q94:Q103)</f>
        <v>85507.874800474208</v>
      </c>
    </row>
    <row r="105" spans="1:20" ht="12.75" x14ac:dyDescent="0.2">
      <c r="B105" s="349"/>
      <c r="D105" s="342"/>
      <c r="E105" s="352"/>
      <c r="F105" s="353"/>
    </row>
    <row r="106" spans="1:20" ht="13.5" thickBot="1" x14ac:dyDescent="0.25">
      <c r="A106" s="1248">
        <f>A104+1</f>
        <v>12</v>
      </c>
      <c r="B106" s="358" t="s">
        <v>1031</v>
      </c>
      <c r="C106" s="1266"/>
      <c r="D106" s="1267"/>
      <c r="E106" s="1266"/>
      <c r="F106" s="1266"/>
      <c r="G106" s="1265">
        <f>G104+G19</f>
        <v>2196090.8300000005</v>
      </c>
      <c r="H106" s="1265">
        <f>H104+H19</f>
        <v>65975.713423955996</v>
      </c>
      <c r="I106" s="1265">
        <f>I104+I19</f>
        <v>67201.713423955996</v>
      </c>
      <c r="J106" s="1265">
        <f>J104+J19</f>
        <v>69345.713423955996</v>
      </c>
      <c r="K106" s="1265">
        <f>K104+K19</f>
        <v>71611.713423955996</v>
      </c>
      <c r="L106" s="1265">
        <f>L104+L19</f>
        <v>73353.713423955996</v>
      </c>
      <c r="M106" s="1265">
        <f>M104+M19</f>
        <v>75864.713423955996</v>
      </c>
      <c r="N106" s="1265">
        <f>N104+N19</f>
        <v>77453.167270109843</v>
      </c>
      <c r="O106" s="1265">
        <f>O104+O19</f>
        <v>79041.62111626369</v>
      </c>
      <c r="P106" s="1265">
        <f>P104+P19</f>
        <v>82410.62111626369</v>
      </c>
      <c r="Q106" s="1265">
        <f>Q104+Q19</f>
        <v>85714.394800474212</v>
      </c>
    </row>
    <row r="107" spans="1:20" ht="11.25" thickTop="1" x14ac:dyDescent="0.15"/>
    <row r="109" spans="1:20" ht="12.75" x14ac:dyDescent="0.2">
      <c r="A109" s="2079" t="str">
        <f>co</f>
        <v>COLUMBIA GAS OF KENTUCKY, INC.</v>
      </c>
      <c r="B109" s="2079"/>
      <c r="C109" s="2079"/>
      <c r="D109" s="2079"/>
      <c r="E109" s="2079"/>
      <c r="F109" s="2079"/>
      <c r="G109" s="2079"/>
      <c r="H109" s="2079"/>
      <c r="I109" s="2079"/>
      <c r="J109" s="2079"/>
      <c r="K109" s="2079"/>
      <c r="L109" s="2079"/>
      <c r="M109" s="2079"/>
      <c r="N109" s="2079"/>
      <c r="O109" s="2079"/>
      <c r="P109" s="2079"/>
      <c r="Q109" s="2079"/>
      <c r="R109" s="2079"/>
    </row>
    <row r="110" spans="1:20" ht="12.75" x14ac:dyDescent="0.2">
      <c r="A110" s="2079" t="str">
        <f>case</f>
        <v>CASE NO. 2016 - 00162</v>
      </c>
      <c r="B110" s="2079"/>
      <c r="C110" s="2079"/>
      <c r="D110" s="2079"/>
      <c r="E110" s="2079"/>
      <c r="F110" s="2079"/>
      <c r="G110" s="2079"/>
      <c r="H110" s="2079"/>
      <c r="I110" s="2079"/>
      <c r="J110" s="2079"/>
      <c r="K110" s="2079"/>
      <c r="L110" s="2079"/>
      <c r="M110" s="2079"/>
      <c r="N110" s="2079"/>
      <c r="O110" s="2079"/>
      <c r="P110" s="2079"/>
      <c r="Q110" s="2079"/>
      <c r="R110" s="2079"/>
    </row>
    <row r="111" spans="1:20" ht="12.75" x14ac:dyDescent="0.2">
      <c r="A111" s="2080" t="s">
        <v>1167</v>
      </c>
      <c r="B111" s="2080"/>
      <c r="C111" s="2080"/>
      <c r="D111" s="2080"/>
      <c r="E111" s="2080"/>
      <c r="F111" s="2080"/>
      <c r="G111" s="2080"/>
      <c r="H111" s="2080"/>
      <c r="I111" s="2080"/>
      <c r="J111" s="2080"/>
      <c r="K111" s="2080"/>
      <c r="L111" s="2080"/>
      <c r="M111" s="2080"/>
      <c r="N111" s="2080"/>
      <c r="O111" s="2080"/>
      <c r="P111" s="2080"/>
      <c r="Q111" s="2080"/>
      <c r="R111" s="2080"/>
    </row>
    <row r="112" spans="1:20" ht="12.75" x14ac:dyDescent="0.2">
      <c r="A112" s="2081" t="s">
        <v>2142</v>
      </c>
      <c r="B112" s="2081"/>
      <c r="C112" s="2081"/>
      <c r="D112" s="2081"/>
      <c r="E112" s="2081"/>
      <c r="F112" s="2081"/>
      <c r="G112" s="2081"/>
      <c r="H112" s="2081"/>
      <c r="I112" s="2081"/>
      <c r="J112" s="2081"/>
      <c r="K112" s="2081"/>
      <c r="L112" s="2081"/>
      <c r="M112" s="2081"/>
      <c r="N112" s="2081"/>
      <c r="O112" s="2081"/>
      <c r="P112" s="2081"/>
      <c r="Q112" s="2081"/>
      <c r="R112" s="2081"/>
    </row>
    <row r="113" spans="1:18" ht="12.75" x14ac:dyDescent="0.2">
      <c r="A113" s="127"/>
      <c r="B113" s="30"/>
      <c r="C113" s="30"/>
      <c r="D113" s="30"/>
      <c r="E113" s="30"/>
      <c r="F113" s="30"/>
      <c r="G113" s="171"/>
      <c r="H113" s="171"/>
      <c r="I113" s="30"/>
      <c r="J113" s="30"/>
      <c r="K113" s="30"/>
      <c r="L113" s="30"/>
      <c r="M113" s="30"/>
      <c r="N113" s="30"/>
      <c r="O113" s="30"/>
    </row>
    <row r="114" spans="1:18" ht="12.75" x14ac:dyDescent="0.2">
      <c r="A114" s="285" t="s">
        <v>1095</v>
      </c>
      <c r="B114" s="30"/>
      <c r="C114" s="171"/>
      <c r="D114" s="30"/>
      <c r="E114" s="30"/>
      <c r="F114" s="30"/>
      <c r="G114" s="171"/>
      <c r="H114" s="171"/>
      <c r="I114" s="30"/>
      <c r="J114" s="30"/>
      <c r="K114" s="32"/>
      <c r="L114" s="30"/>
      <c r="M114" s="30"/>
      <c r="N114" s="30"/>
      <c r="R114" s="1257" t="s">
        <v>1761</v>
      </c>
    </row>
    <row r="115" spans="1:18" ht="12.75" x14ac:dyDescent="0.2">
      <c r="A115" s="4" t="s">
        <v>977</v>
      </c>
      <c r="B115" s="30"/>
      <c r="C115" s="30"/>
      <c r="D115" s="30"/>
      <c r="E115" s="30"/>
      <c r="F115" s="30"/>
      <c r="G115" s="171"/>
      <c r="J115" s="30"/>
      <c r="K115" s="32"/>
      <c r="L115" s="30"/>
      <c r="M115" s="30"/>
      <c r="N115" s="30"/>
      <c r="R115" s="1256" t="s">
        <v>567</v>
      </c>
    </row>
    <row r="116" spans="1:18" ht="12.75" x14ac:dyDescent="0.2">
      <c r="A116" s="200" t="s">
        <v>1712</v>
      </c>
      <c r="B116" s="202"/>
      <c r="C116" s="202"/>
      <c r="D116" s="201"/>
      <c r="E116" s="201"/>
      <c r="F116" s="201"/>
      <c r="G116" s="202"/>
      <c r="I116" s="201"/>
      <c r="J116" s="201"/>
      <c r="K116" s="203"/>
      <c r="L116" s="30"/>
      <c r="M116" s="30"/>
      <c r="N116" s="32"/>
      <c r="R116" s="211" t="str">
        <f>SMK</f>
        <v>WITNESS:  S. M. KATKO</v>
      </c>
    </row>
    <row r="118" spans="1:18" ht="12.75" x14ac:dyDescent="0.2">
      <c r="A118" s="332"/>
      <c r="B118" s="333"/>
      <c r="C118" s="333"/>
      <c r="E118" s="334"/>
      <c r="F118" s="341" t="s">
        <v>1137</v>
      </c>
      <c r="G118" s="559">
        <v>42766</v>
      </c>
      <c r="H118" s="559">
        <v>42794</v>
      </c>
      <c r="I118" s="559">
        <v>42825</v>
      </c>
      <c r="J118" s="559">
        <v>42855</v>
      </c>
      <c r="K118" s="559">
        <v>42886</v>
      </c>
      <c r="L118" s="559">
        <v>42916</v>
      </c>
      <c r="M118" s="559">
        <v>42947</v>
      </c>
      <c r="N118" s="559">
        <v>42978</v>
      </c>
      <c r="O118" s="559">
        <v>43008</v>
      </c>
      <c r="P118" s="559">
        <v>43039</v>
      </c>
      <c r="Q118" s="559">
        <v>43069</v>
      </c>
      <c r="R118" s="559">
        <v>43100</v>
      </c>
    </row>
    <row r="119" spans="1:18" ht="12.75" x14ac:dyDescent="0.2">
      <c r="A119" s="332" t="s">
        <v>1080</v>
      </c>
      <c r="B119" s="333"/>
      <c r="C119" s="332" t="s">
        <v>1138</v>
      </c>
      <c r="D119" s="340" t="s">
        <v>1139</v>
      </c>
      <c r="E119" s="340" t="s">
        <v>1140</v>
      </c>
      <c r="F119" s="341" t="s">
        <v>1141</v>
      </c>
      <c r="G119" s="332" t="s">
        <v>1142</v>
      </c>
      <c r="H119" s="332" t="s">
        <v>1142</v>
      </c>
      <c r="I119" s="332" t="s">
        <v>1142</v>
      </c>
      <c r="J119" s="332" t="s">
        <v>1142</v>
      </c>
      <c r="K119" s="332" t="s">
        <v>1142</v>
      </c>
      <c r="L119" s="332" t="s">
        <v>1142</v>
      </c>
      <c r="M119" s="332" t="s">
        <v>1142</v>
      </c>
      <c r="N119" s="332" t="s">
        <v>1142</v>
      </c>
      <c r="O119" s="332" t="s">
        <v>1142</v>
      </c>
      <c r="P119" s="332" t="s">
        <v>1142</v>
      </c>
      <c r="Q119" s="332" t="s">
        <v>1142</v>
      </c>
      <c r="R119" s="332" t="s">
        <v>1142</v>
      </c>
    </row>
    <row r="120" spans="1:18" ht="12.75" x14ac:dyDescent="0.2">
      <c r="A120" s="344" t="s">
        <v>1081</v>
      </c>
      <c r="B120" s="336" t="s">
        <v>1083</v>
      </c>
      <c r="C120" s="345" t="s">
        <v>1124</v>
      </c>
      <c r="D120" s="346" t="s">
        <v>867</v>
      </c>
      <c r="E120" s="346" t="s">
        <v>1143</v>
      </c>
      <c r="F120" s="557">
        <v>42428</v>
      </c>
      <c r="G120" s="344" t="s">
        <v>1144</v>
      </c>
      <c r="H120" s="344" t="s">
        <v>1144</v>
      </c>
      <c r="I120" s="344" t="s">
        <v>1144</v>
      </c>
      <c r="J120" s="344" t="s">
        <v>1144</v>
      </c>
      <c r="K120" s="344" t="s">
        <v>1144</v>
      </c>
      <c r="L120" s="344" t="s">
        <v>1144</v>
      </c>
      <c r="M120" s="344" t="s">
        <v>1144</v>
      </c>
      <c r="N120" s="344" t="s">
        <v>1144</v>
      </c>
      <c r="O120" s="344" t="s">
        <v>1144</v>
      </c>
      <c r="P120" s="344" t="s">
        <v>1144</v>
      </c>
      <c r="Q120" s="344" t="s">
        <v>1144</v>
      </c>
      <c r="R120" s="344" t="s">
        <v>1144</v>
      </c>
    </row>
    <row r="121" spans="1:18" ht="12.75" x14ac:dyDescent="0.2">
      <c r="A121" s="332"/>
      <c r="B121" s="333"/>
      <c r="C121" s="347" t="s">
        <v>860</v>
      </c>
      <c r="D121" s="347" t="s">
        <v>877</v>
      </c>
      <c r="E121" s="347" t="s">
        <v>878</v>
      </c>
      <c r="F121" s="347" t="s">
        <v>1145</v>
      </c>
      <c r="G121" s="347" t="s">
        <v>1146</v>
      </c>
      <c r="H121" s="347" t="s">
        <v>1147</v>
      </c>
      <c r="I121" s="347" t="s">
        <v>1762</v>
      </c>
      <c r="J121" s="347" t="s">
        <v>1763</v>
      </c>
      <c r="K121" s="347" t="s">
        <v>1764</v>
      </c>
      <c r="L121" s="347" t="s">
        <v>1765</v>
      </c>
      <c r="M121" s="347" t="s">
        <v>1766</v>
      </c>
      <c r="N121" s="347" t="s">
        <v>1767</v>
      </c>
      <c r="O121" s="347" t="s">
        <v>1768</v>
      </c>
      <c r="P121" s="347" t="s">
        <v>1769</v>
      </c>
      <c r="Q121" s="347" t="s">
        <v>1770</v>
      </c>
      <c r="R121" s="347" t="s">
        <v>1771</v>
      </c>
    </row>
    <row r="122" spans="1:18" ht="12.75" x14ac:dyDescent="0.2">
      <c r="A122" s="333"/>
      <c r="B122" s="333"/>
      <c r="C122" s="333"/>
      <c r="D122" s="333"/>
      <c r="E122" s="333"/>
      <c r="F122" s="334"/>
    </row>
    <row r="123" spans="1:18" ht="12.75" x14ac:dyDescent="0.2">
      <c r="A123" s="332">
        <v>1</v>
      </c>
      <c r="B123" s="336" t="s">
        <v>1164</v>
      </c>
      <c r="D123" s="333"/>
      <c r="E123" s="333"/>
      <c r="F123" s="334"/>
    </row>
    <row r="124" spans="1:18" ht="12.75" x14ac:dyDescent="0.2">
      <c r="A124" s="332">
        <f>A123+1</f>
        <v>2</v>
      </c>
      <c r="B124" s="357" t="s">
        <v>1148</v>
      </c>
      <c r="C124" s="339">
        <v>303</v>
      </c>
      <c r="D124" s="354">
        <v>13384.27</v>
      </c>
      <c r="E124" s="371">
        <v>360</v>
      </c>
      <c r="F124" s="372">
        <v>118.5</v>
      </c>
      <c r="G124" s="354">
        <v>37.18</v>
      </c>
      <c r="H124" s="354">
        <v>37.18</v>
      </c>
      <c r="I124" s="354">
        <v>37.18</v>
      </c>
      <c r="J124" s="354">
        <v>37.18</v>
      </c>
      <c r="K124" s="354">
        <v>37.18</v>
      </c>
      <c r="L124" s="354">
        <v>37.18</v>
      </c>
      <c r="M124" s="354">
        <v>37.18</v>
      </c>
      <c r="N124" s="354">
        <v>37.18</v>
      </c>
      <c r="O124" s="354">
        <v>37.18</v>
      </c>
      <c r="P124" s="354">
        <v>37.18</v>
      </c>
      <c r="Q124" s="354">
        <v>37.18</v>
      </c>
      <c r="R124" s="354">
        <v>37.18</v>
      </c>
    </row>
    <row r="125" spans="1:18" ht="12.75" x14ac:dyDescent="0.2">
      <c r="A125" s="332">
        <f>A124+1</f>
        <v>3</v>
      </c>
      <c r="B125" s="357" t="s">
        <v>1149</v>
      </c>
      <c r="C125" s="339">
        <v>303</v>
      </c>
      <c r="D125" s="354">
        <v>45775.63</v>
      </c>
      <c r="E125" s="371">
        <v>360</v>
      </c>
      <c r="F125" s="372">
        <v>154.5</v>
      </c>
      <c r="G125" s="354">
        <v>127.15</v>
      </c>
      <c r="H125" s="354">
        <v>127.15</v>
      </c>
      <c r="I125" s="354">
        <v>127.15</v>
      </c>
      <c r="J125" s="354">
        <v>127.15</v>
      </c>
      <c r="K125" s="354">
        <v>127.15</v>
      </c>
      <c r="L125" s="354">
        <v>127.15</v>
      </c>
      <c r="M125" s="354">
        <v>127.15</v>
      </c>
      <c r="N125" s="354">
        <v>127.15</v>
      </c>
      <c r="O125" s="354">
        <v>127.15</v>
      </c>
      <c r="P125" s="354">
        <v>127.15</v>
      </c>
      <c r="Q125" s="354">
        <v>127.15</v>
      </c>
      <c r="R125" s="354">
        <v>127.15</v>
      </c>
    </row>
    <row r="126" spans="1:18" ht="12.75" x14ac:dyDescent="0.2">
      <c r="A126" s="332">
        <f>A125+1</f>
        <v>4</v>
      </c>
      <c r="B126" s="357" t="s">
        <v>1150</v>
      </c>
      <c r="C126" s="339">
        <v>303</v>
      </c>
      <c r="D126" s="355">
        <v>15187.61</v>
      </c>
      <c r="E126" s="371">
        <v>360</v>
      </c>
      <c r="F126" s="372">
        <v>111.5</v>
      </c>
      <c r="G126" s="355">
        <v>42.19</v>
      </c>
      <c r="H126" s="355">
        <v>42.19</v>
      </c>
      <c r="I126" s="355">
        <v>42.19</v>
      </c>
      <c r="J126" s="355">
        <v>42.19</v>
      </c>
      <c r="K126" s="355">
        <v>42.19</v>
      </c>
      <c r="L126" s="355">
        <v>42.19</v>
      </c>
      <c r="M126" s="355">
        <v>42.19</v>
      </c>
      <c r="N126" s="355">
        <v>42.19</v>
      </c>
      <c r="O126" s="355">
        <v>42.19</v>
      </c>
      <c r="P126" s="355">
        <v>42.19</v>
      </c>
      <c r="Q126" s="355">
        <v>42.19</v>
      </c>
      <c r="R126" s="355">
        <v>42.19</v>
      </c>
    </row>
    <row r="127" spans="1:18" ht="12.75" x14ac:dyDescent="0.2">
      <c r="A127" s="332">
        <f>A126+1</f>
        <v>5</v>
      </c>
      <c r="B127" s="348" t="s">
        <v>1166</v>
      </c>
      <c r="C127" s="339">
        <v>303</v>
      </c>
      <c r="D127" s="334">
        <f>SUM(D124:D126)</f>
        <v>74347.509999999995</v>
      </c>
      <c r="E127" s="371"/>
      <c r="F127" s="372"/>
      <c r="G127" s="334">
        <f t="shared" ref="G127:R127" si="8">SUM(G124:G126)</f>
        <v>206.52</v>
      </c>
      <c r="H127" s="334">
        <f t="shared" si="8"/>
        <v>206.52</v>
      </c>
      <c r="I127" s="334">
        <f t="shared" si="8"/>
        <v>206.52</v>
      </c>
      <c r="J127" s="334">
        <f t="shared" si="8"/>
        <v>206.52</v>
      </c>
      <c r="K127" s="334">
        <f t="shared" si="8"/>
        <v>206.52</v>
      </c>
      <c r="L127" s="334">
        <f t="shared" si="8"/>
        <v>206.52</v>
      </c>
      <c r="M127" s="334">
        <f t="shared" si="8"/>
        <v>206.52</v>
      </c>
      <c r="N127" s="334">
        <f t="shared" si="8"/>
        <v>206.52</v>
      </c>
      <c r="O127" s="334">
        <f t="shared" si="8"/>
        <v>206.52</v>
      </c>
      <c r="P127" s="334">
        <f t="shared" si="8"/>
        <v>206.52</v>
      </c>
      <c r="Q127" s="334">
        <f t="shared" si="8"/>
        <v>206.52</v>
      </c>
      <c r="R127" s="334">
        <f t="shared" si="8"/>
        <v>206.52</v>
      </c>
    </row>
    <row r="128" spans="1:18" ht="12.75" x14ac:dyDescent="0.2">
      <c r="A128" s="332"/>
      <c r="B128" s="333"/>
      <c r="C128" s="333"/>
      <c r="D128" s="333"/>
      <c r="E128" s="371"/>
      <c r="F128" s="372"/>
    </row>
    <row r="129" spans="1:19" ht="12.75" x14ac:dyDescent="0.2">
      <c r="A129" s="332">
        <f>A127+1</f>
        <v>6</v>
      </c>
      <c r="B129" s="336" t="s">
        <v>1165</v>
      </c>
      <c r="C129" s="333"/>
      <c r="D129" s="334"/>
      <c r="E129" s="371"/>
      <c r="F129" s="372"/>
    </row>
    <row r="130" spans="1:19" ht="12.75" x14ac:dyDescent="0.2">
      <c r="A130" s="332">
        <f>A129+1</f>
        <v>7</v>
      </c>
      <c r="B130" s="348" t="s">
        <v>2159</v>
      </c>
      <c r="C130" s="339">
        <v>303.3</v>
      </c>
      <c r="D130" s="356">
        <v>33686.44</v>
      </c>
      <c r="E130" s="371">
        <v>60</v>
      </c>
      <c r="F130" s="372">
        <v>45.5</v>
      </c>
      <c r="G130" s="356">
        <v>549.09164835164836</v>
      </c>
      <c r="H130" s="356">
        <v>549.09164835164836</v>
      </c>
      <c r="I130" s="356">
        <v>549.09164835164836</v>
      </c>
      <c r="J130" s="356">
        <v>549.09164835164836</v>
      </c>
      <c r="K130" s="356">
        <v>549.09164835164836</v>
      </c>
      <c r="L130" s="356">
        <v>549.09164835164836</v>
      </c>
      <c r="M130" s="356">
        <v>549.09164835164836</v>
      </c>
      <c r="N130" s="356">
        <v>549.09164835164836</v>
      </c>
      <c r="O130" s="356">
        <v>549.09164835164836</v>
      </c>
      <c r="P130" s="356">
        <v>549.09164835164836</v>
      </c>
      <c r="Q130" s="356">
        <v>549.09164835164836</v>
      </c>
      <c r="R130" s="356">
        <v>549.09164835164836</v>
      </c>
      <c r="S130" s="1140"/>
    </row>
    <row r="131" spans="1:19" ht="12.75" x14ac:dyDescent="0.2">
      <c r="A131" s="332">
        <f t="shared" ref="A131:A212" si="9">A130+1</f>
        <v>8</v>
      </c>
      <c r="B131" s="348" t="s">
        <v>2160</v>
      </c>
      <c r="C131" s="339">
        <v>303.3</v>
      </c>
      <c r="D131" s="356">
        <v>21052.62</v>
      </c>
      <c r="E131" s="371">
        <v>60</v>
      </c>
      <c r="F131" s="372">
        <v>28.5</v>
      </c>
      <c r="G131" s="356">
        <v>338.56350877192983</v>
      </c>
      <c r="H131" s="356">
        <v>338.56350877192983</v>
      </c>
      <c r="I131" s="356">
        <v>338.56350877192983</v>
      </c>
      <c r="J131" s="356">
        <v>338.56350877192983</v>
      </c>
      <c r="K131" s="356">
        <v>338.56350877192983</v>
      </c>
      <c r="L131" s="356">
        <v>338.56350877192983</v>
      </c>
      <c r="M131" s="356">
        <v>338.56350877192983</v>
      </c>
      <c r="N131" s="356">
        <v>338.56350877192983</v>
      </c>
      <c r="O131" s="356">
        <v>338.56350877192983</v>
      </c>
      <c r="P131" s="356">
        <v>338.56350877192983</v>
      </c>
      <c r="Q131" s="356">
        <v>338.56350877192983</v>
      </c>
      <c r="R131" s="356">
        <v>338.56350877192983</v>
      </c>
      <c r="S131" s="1140"/>
    </row>
    <row r="132" spans="1:19" ht="12.75" x14ac:dyDescent="0.2">
      <c r="A132" s="332">
        <f t="shared" si="9"/>
        <v>9</v>
      </c>
      <c r="B132" s="348" t="s">
        <v>2161</v>
      </c>
      <c r="C132" s="339">
        <v>303.3</v>
      </c>
      <c r="D132" s="356">
        <v>26251.919999999998</v>
      </c>
      <c r="E132" s="371">
        <v>60</v>
      </c>
      <c r="F132" s="372">
        <v>35.5</v>
      </c>
      <c r="G132" s="356">
        <v>428.09690140845066</v>
      </c>
      <c r="H132" s="356">
        <v>428.09690140845066</v>
      </c>
      <c r="I132" s="356">
        <v>428.09690140845066</v>
      </c>
      <c r="J132" s="356">
        <v>428.09690140845066</v>
      </c>
      <c r="K132" s="356">
        <v>428.09690140845066</v>
      </c>
      <c r="L132" s="356">
        <v>428.09690140845066</v>
      </c>
      <c r="M132" s="356">
        <v>428.09690140845066</v>
      </c>
      <c r="N132" s="356">
        <v>428.09690140845066</v>
      </c>
      <c r="O132" s="356">
        <v>428.09690140845066</v>
      </c>
      <c r="P132" s="356">
        <v>428.09690140845066</v>
      </c>
      <c r="Q132" s="356">
        <v>428.09690140845066</v>
      </c>
      <c r="R132" s="356">
        <v>428.09690140845066</v>
      </c>
      <c r="S132" s="1140"/>
    </row>
    <row r="133" spans="1:19" ht="12.75" x14ac:dyDescent="0.2">
      <c r="A133" s="332">
        <f t="shared" si="9"/>
        <v>10</v>
      </c>
      <c r="B133" s="348" t="s">
        <v>1159</v>
      </c>
      <c r="C133" s="339">
        <v>303.3</v>
      </c>
      <c r="D133" s="356">
        <v>172144.07</v>
      </c>
      <c r="E133" s="371">
        <v>60</v>
      </c>
      <c r="F133" s="372">
        <v>10.5</v>
      </c>
      <c r="G133" s="356">
        <v>1290.6314285714291</v>
      </c>
      <c r="H133" s="356">
        <v>0</v>
      </c>
      <c r="I133" s="356">
        <v>0</v>
      </c>
      <c r="J133" s="356">
        <v>0</v>
      </c>
      <c r="K133" s="356">
        <v>0</v>
      </c>
      <c r="L133" s="356">
        <v>0</v>
      </c>
      <c r="M133" s="356">
        <v>0</v>
      </c>
      <c r="N133" s="356">
        <v>0</v>
      </c>
      <c r="O133" s="356">
        <v>0</v>
      </c>
      <c r="P133" s="356">
        <v>0</v>
      </c>
      <c r="Q133" s="356">
        <v>0</v>
      </c>
      <c r="R133" s="356">
        <v>0</v>
      </c>
      <c r="S133" s="1140"/>
    </row>
    <row r="134" spans="1:19" ht="12.75" x14ac:dyDescent="0.2">
      <c r="A134" s="332">
        <f t="shared" si="9"/>
        <v>11</v>
      </c>
      <c r="B134" s="348" t="s">
        <v>2162</v>
      </c>
      <c r="C134" s="339">
        <v>303.3</v>
      </c>
      <c r="D134" s="356">
        <v>54664.73</v>
      </c>
      <c r="E134" s="371">
        <v>60</v>
      </c>
      <c r="F134" s="372">
        <v>6.5</v>
      </c>
      <c r="G134" s="356">
        <v>0</v>
      </c>
      <c r="H134" s="356">
        <v>0</v>
      </c>
      <c r="I134" s="356">
        <v>0</v>
      </c>
      <c r="J134" s="356">
        <v>0</v>
      </c>
      <c r="K134" s="356">
        <v>0</v>
      </c>
      <c r="L134" s="356">
        <v>0</v>
      </c>
      <c r="M134" s="356">
        <v>0</v>
      </c>
      <c r="N134" s="356">
        <v>0</v>
      </c>
      <c r="O134" s="356">
        <v>0</v>
      </c>
      <c r="P134" s="356">
        <v>0</v>
      </c>
      <c r="Q134" s="356">
        <v>0</v>
      </c>
      <c r="R134" s="356">
        <v>0</v>
      </c>
      <c r="S134" s="1140"/>
    </row>
    <row r="135" spans="1:19" ht="12.75" x14ac:dyDescent="0.2">
      <c r="A135" s="332">
        <f t="shared" si="9"/>
        <v>12</v>
      </c>
      <c r="B135" s="348" t="s">
        <v>2163</v>
      </c>
      <c r="C135" s="339">
        <v>303.3</v>
      </c>
      <c r="D135" s="356">
        <v>124184.16</v>
      </c>
      <c r="E135" s="371">
        <v>60</v>
      </c>
      <c r="F135" s="372">
        <v>22.5</v>
      </c>
      <c r="G135" s="356">
        <v>2060.6920000000005</v>
      </c>
      <c r="H135" s="356">
        <v>2060.6920000000005</v>
      </c>
      <c r="I135" s="356">
        <v>2060.6920000000005</v>
      </c>
      <c r="J135" s="356">
        <v>2060.6920000000005</v>
      </c>
      <c r="K135" s="356">
        <v>2060.6920000000005</v>
      </c>
      <c r="L135" s="356">
        <v>2060.6920000000005</v>
      </c>
      <c r="M135" s="356">
        <v>2060.6920000000005</v>
      </c>
      <c r="N135" s="356">
        <v>2060.6920000000005</v>
      </c>
      <c r="O135" s="356">
        <v>2060.6920000000005</v>
      </c>
      <c r="P135" s="356">
        <v>2060.6920000000005</v>
      </c>
      <c r="Q135" s="356">
        <v>2060.6920000000005</v>
      </c>
      <c r="R135" s="356">
        <v>2060.6920000000005</v>
      </c>
      <c r="S135" s="1140"/>
    </row>
    <row r="136" spans="1:19" ht="12.75" x14ac:dyDescent="0.2">
      <c r="A136" s="332">
        <f t="shared" si="9"/>
        <v>13</v>
      </c>
      <c r="B136" s="348" t="s">
        <v>2164</v>
      </c>
      <c r="C136" s="339">
        <v>303.3</v>
      </c>
      <c r="D136" s="356">
        <v>11675.47</v>
      </c>
      <c r="E136" s="371">
        <v>60</v>
      </c>
      <c r="F136" s="372">
        <v>46.5</v>
      </c>
      <c r="G136" s="356">
        <v>190.58408602150539</v>
      </c>
      <c r="H136" s="356">
        <v>190.58408602150539</v>
      </c>
      <c r="I136" s="356">
        <v>190.58408602150539</v>
      </c>
      <c r="J136" s="356">
        <v>190.58408602150539</v>
      </c>
      <c r="K136" s="356">
        <v>190.58408602150539</v>
      </c>
      <c r="L136" s="356">
        <v>190.58408602150539</v>
      </c>
      <c r="M136" s="356">
        <v>190.58408602150539</v>
      </c>
      <c r="N136" s="356">
        <v>190.58408602150539</v>
      </c>
      <c r="O136" s="356">
        <v>190.58408602150539</v>
      </c>
      <c r="P136" s="356">
        <v>190.58408602150539</v>
      </c>
      <c r="Q136" s="356">
        <v>190.58408602150539</v>
      </c>
      <c r="R136" s="356">
        <v>190.58408602150539</v>
      </c>
      <c r="S136" s="1140"/>
    </row>
    <row r="137" spans="1:19" ht="12.75" x14ac:dyDescent="0.2">
      <c r="A137" s="332">
        <f t="shared" si="9"/>
        <v>14</v>
      </c>
      <c r="B137" s="348" t="s">
        <v>2165</v>
      </c>
      <c r="C137" s="339">
        <v>303.3</v>
      </c>
      <c r="D137" s="356">
        <v>60215.95</v>
      </c>
      <c r="E137" s="371">
        <v>60</v>
      </c>
      <c r="F137" s="372">
        <v>57.5</v>
      </c>
      <c r="G137" s="356">
        <v>986.24156521739133</v>
      </c>
      <c r="H137" s="356">
        <v>986.24156521739133</v>
      </c>
      <c r="I137" s="356">
        <v>986.24156521739133</v>
      </c>
      <c r="J137" s="356">
        <v>986.24156521739133</v>
      </c>
      <c r="K137" s="356">
        <v>986.24156521739133</v>
      </c>
      <c r="L137" s="356">
        <v>986.24156521739133</v>
      </c>
      <c r="M137" s="356">
        <v>986.24156521739133</v>
      </c>
      <c r="N137" s="356">
        <v>986.24156521739133</v>
      </c>
      <c r="O137" s="356">
        <v>986.24156521739133</v>
      </c>
      <c r="P137" s="356">
        <v>986.24156521739133</v>
      </c>
      <c r="Q137" s="356">
        <v>986.24156521739133</v>
      </c>
      <c r="R137" s="356">
        <v>986.24156521739133</v>
      </c>
      <c r="S137" s="1140"/>
    </row>
    <row r="138" spans="1:19" ht="12.75" x14ac:dyDescent="0.2">
      <c r="A138" s="332">
        <f t="shared" si="9"/>
        <v>15</v>
      </c>
      <c r="B138" s="348" t="s">
        <v>2166</v>
      </c>
      <c r="C138" s="339">
        <v>303.3</v>
      </c>
      <c r="D138" s="356">
        <v>19521.439999999999</v>
      </c>
      <c r="E138" s="371">
        <v>60</v>
      </c>
      <c r="F138" s="372">
        <v>34.5</v>
      </c>
      <c r="G138" s="356">
        <v>315.92463768115937</v>
      </c>
      <c r="H138" s="356">
        <v>315.92463768115937</v>
      </c>
      <c r="I138" s="356">
        <v>315.92463768115937</v>
      </c>
      <c r="J138" s="356">
        <v>315.92463768115937</v>
      </c>
      <c r="K138" s="356">
        <v>315.92463768115937</v>
      </c>
      <c r="L138" s="356">
        <v>315.92463768115937</v>
      </c>
      <c r="M138" s="356">
        <v>315.92463768115937</v>
      </c>
      <c r="N138" s="356">
        <v>315.92463768115937</v>
      </c>
      <c r="O138" s="356">
        <v>315.92463768115937</v>
      </c>
      <c r="P138" s="356">
        <v>315.92463768115937</v>
      </c>
      <c r="Q138" s="356">
        <v>315.92463768115937</v>
      </c>
      <c r="R138" s="356">
        <v>315.92463768115937</v>
      </c>
      <c r="S138" s="1140"/>
    </row>
    <row r="139" spans="1:19" ht="12.75" x14ac:dyDescent="0.2">
      <c r="A139" s="332">
        <f t="shared" si="9"/>
        <v>16</v>
      </c>
      <c r="B139" s="348" t="s">
        <v>1155</v>
      </c>
      <c r="C139" s="339">
        <v>303.3</v>
      </c>
      <c r="D139" s="356">
        <v>60312.77</v>
      </c>
      <c r="E139" s="371">
        <v>60</v>
      </c>
      <c r="F139" s="372">
        <v>10.5</v>
      </c>
      <c r="G139" s="356">
        <v>460.15238095238084</v>
      </c>
      <c r="H139" s="356">
        <v>0</v>
      </c>
      <c r="I139" s="356">
        <v>0</v>
      </c>
      <c r="J139" s="356">
        <v>0</v>
      </c>
      <c r="K139" s="356">
        <v>0</v>
      </c>
      <c r="L139" s="356">
        <v>0</v>
      </c>
      <c r="M139" s="356">
        <v>0</v>
      </c>
      <c r="N139" s="356">
        <v>0</v>
      </c>
      <c r="O139" s="356">
        <v>0</v>
      </c>
      <c r="P139" s="356">
        <v>0</v>
      </c>
      <c r="Q139" s="356">
        <v>0</v>
      </c>
      <c r="R139" s="356">
        <v>0</v>
      </c>
      <c r="S139" s="1140"/>
    </row>
    <row r="140" spans="1:19" ht="12.75" x14ac:dyDescent="0.2">
      <c r="A140" s="332">
        <f t="shared" si="9"/>
        <v>17</v>
      </c>
      <c r="B140" s="348" t="s">
        <v>2167</v>
      </c>
      <c r="C140" s="339">
        <v>303.3</v>
      </c>
      <c r="D140" s="356">
        <v>58959.88</v>
      </c>
      <c r="E140" s="371">
        <v>60</v>
      </c>
      <c r="F140" s="372">
        <v>19.5</v>
      </c>
      <c r="G140" s="356">
        <v>931.8641025641025</v>
      </c>
      <c r="H140" s="356">
        <v>931.8641025641025</v>
      </c>
      <c r="I140" s="356">
        <v>931.8641025641025</v>
      </c>
      <c r="J140" s="356">
        <v>931.8641025641025</v>
      </c>
      <c r="K140" s="356">
        <v>931.8641025641025</v>
      </c>
      <c r="L140" s="356">
        <v>931.8641025641025</v>
      </c>
      <c r="M140" s="356">
        <v>931.8641025641025</v>
      </c>
      <c r="N140" s="356">
        <v>931.8641025641025</v>
      </c>
      <c r="O140" s="356">
        <v>931.8641025641025</v>
      </c>
      <c r="P140" s="356">
        <v>465.93205128205125</v>
      </c>
      <c r="Q140" s="356">
        <v>0</v>
      </c>
      <c r="R140" s="356">
        <v>0</v>
      </c>
      <c r="S140" s="1140"/>
    </row>
    <row r="141" spans="1:19" ht="12.75" x14ac:dyDescent="0.2">
      <c r="A141" s="332">
        <f t="shared" si="9"/>
        <v>18</v>
      </c>
      <c r="B141" s="348" t="s">
        <v>2168</v>
      </c>
      <c r="C141" s="339">
        <v>303.3</v>
      </c>
      <c r="D141" s="356">
        <v>4425.5200000000004</v>
      </c>
      <c r="E141" s="371">
        <v>60</v>
      </c>
      <c r="F141" s="372">
        <v>60</v>
      </c>
      <c r="G141" s="356">
        <v>73.144000000000005</v>
      </c>
      <c r="H141" s="356">
        <v>73.144000000000005</v>
      </c>
      <c r="I141" s="356">
        <v>73.144000000000005</v>
      </c>
      <c r="J141" s="356">
        <v>73.144000000000005</v>
      </c>
      <c r="K141" s="356">
        <v>73.144000000000005</v>
      </c>
      <c r="L141" s="356">
        <v>73.144000000000005</v>
      </c>
      <c r="M141" s="356">
        <v>73.144000000000005</v>
      </c>
      <c r="N141" s="356">
        <v>73.144000000000005</v>
      </c>
      <c r="O141" s="356">
        <v>73.144000000000005</v>
      </c>
      <c r="P141" s="356">
        <v>73.144000000000005</v>
      </c>
      <c r="Q141" s="356">
        <v>73.144000000000005</v>
      </c>
      <c r="R141" s="356">
        <v>73.144000000000005</v>
      </c>
      <c r="S141" s="1140"/>
    </row>
    <row r="142" spans="1:19" ht="12.75" x14ac:dyDescent="0.2">
      <c r="A142" s="332">
        <f t="shared" si="9"/>
        <v>19</v>
      </c>
      <c r="B142" s="348" t="s">
        <v>2169</v>
      </c>
      <c r="C142" s="339">
        <v>303.3</v>
      </c>
      <c r="D142" s="356">
        <v>5588.83</v>
      </c>
      <c r="E142" s="371">
        <v>60</v>
      </c>
      <c r="F142" s="372">
        <v>51.5</v>
      </c>
      <c r="G142" s="356">
        <v>92.169320388349519</v>
      </c>
      <c r="H142" s="356">
        <v>92.169320388349519</v>
      </c>
      <c r="I142" s="356">
        <v>92.169320388349519</v>
      </c>
      <c r="J142" s="356">
        <v>92.169320388349519</v>
      </c>
      <c r="K142" s="356">
        <v>92.169320388349519</v>
      </c>
      <c r="L142" s="356">
        <v>92.169320388349519</v>
      </c>
      <c r="M142" s="356">
        <v>92.169320388349519</v>
      </c>
      <c r="N142" s="356">
        <v>92.169320388349519</v>
      </c>
      <c r="O142" s="356">
        <v>92.169320388349519</v>
      </c>
      <c r="P142" s="356">
        <v>92.169320388349519</v>
      </c>
      <c r="Q142" s="356">
        <v>92.169320388349519</v>
      </c>
      <c r="R142" s="356">
        <v>92.169320388349519</v>
      </c>
      <c r="S142" s="1140"/>
    </row>
    <row r="143" spans="1:19" ht="12.75" x14ac:dyDescent="0.2">
      <c r="A143" s="332">
        <f t="shared" si="9"/>
        <v>20</v>
      </c>
      <c r="B143" s="348" t="s">
        <v>1162</v>
      </c>
      <c r="C143" s="339">
        <v>303.3</v>
      </c>
      <c r="D143" s="356">
        <v>10899.97</v>
      </c>
      <c r="E143" s="371">
        <v>60</v>
      </c>
      <c r="F143" s="372">
        <v>16.5</v>
      </c>
      <c r="G143" s="356">
        <v>176.93030303030301</v>
      </c>
      <c r="H143" s="356">
        <v>176.93030303030301</v>
      </c>
      <c r="I143" s="356">
        <v>176.93030303030301</v>
      </c>
      <c r="J143" s="356">
        <v>176.93030303030301</v>
      </c>
      <c r="K143" s="356">
        <v>176.93030303030301</v>
      </c>
      <c r="L143" s="356">
        <v>176.93030303030301</v>
      </c>
      <c r="M143" s="356">
        <v>88.465151515151504</v>
      </c>
      <c r="N143" s="356">
        <v>0</v>
      </c>
      <c r="O143" s="356">
        <v>0</v>
      </c>
      <c r="P143" s="356">
        <v>0</v>
      </c>
      <c r="Q143" s="356">
        <v>0</v>
      </c>
      <c r="R143" s="356">
        <v>0</v>
      </c>
      <c r="S143" s="1140"/>
    </row>
    <row r="144" spans="1:19" ht="12.75" x14ac:dyDescent="0.2">
      <c r="A144" s="332">
        <f t="shared" si="9"/>
        <v>21</v>
      </c>
      <c r="B144" s="348" t="s">
        <v>2170</v>
      </c>
      <c r="C144" s="339">
        <v>303.3</v>
      </c>
      <c r="D144" s="356">
        <v>19885.14</v>
      </c>
      <c r="E144" s="371">
        <v>60</v>
      </c>
      <c r="F144" s="372">
        <v>49.5</v>
      </c>
      <c r="G144" s="356">
        <v>324.72343434343435</v>
      </c>
      <c r="H144" s="356">
        <v>324.72343434343435</v>
      </c>
      <c r="I144" s="356">
        <v>324.72343434343435</v>
      </c>
      <c r="J144" s="356">
        <v>324.72343434343435</v>
      </c>
      <c r="K144" s="356">
        <v>324.72343434343435</v>
      </c>
      <c r="L144" s="356">
        <v>324.72343434343435</v>
      </c>
      <c r="M144" s="356">
        <v>324.72343434343435</v>
      </c>
      <c r="N144" s="356">
        <v>324.72343434343435</v>
      </c>
      <c r="O144" s="356">
        <v>324.72343434343435</v>
      </c>
      <c r="P144" s="356">
        <v>324.72343434343435</v>
      </c>
      <c r="Q144" s="356">
        <v>324.72343434343435</v>
      </c>
      <c r="R144" s="356">
        <v>324.72343434343435</v>
      </c>
      <c r="S144" s="1140"/>
    </row>
    <row r="145" spans="1:19" ht="12.75" x14ac:dyDescent="0.2">
      <c r="A145" s="332">
        <f t="shared" si="9"/>
        <v>22</v>
      </c>
      <c r="B145" s="348" t="s">
        <v>2171</v>
      </c>
      <c r="C145" s="339">
        <v>303.3</v>
      </c>
      <c r="D145" s="356">
        <v>8698.25</v>
      </c>
      <c r="E145" s="371">
        <v>60</v>
      </c>
      <c r="F145" s="372">
        <v>38.5</v>
      </c>
      <c r="G145" s="356">
        <v>141.64545454545456</v>
      </c>
      <c r="H145" s="356">
        <v>141.64545454545456</v>
      </c>
      <c r="I145" s="356">
        <v>141.64545454545456</v>
      </c>
      <c r="J145" s="356">
        <v>141.64545454545456</v>
      </c>
      <c r="K145" s="356">
        <v>141.64545454545456</v>
      </c>
      <c r="L145" s="356">
        <v>141.64545454545456</v>
      </c>
      <c r="M145" s="356">
        <v>141.64545454545456</v>
      </c>
      <c r="N145" s="356">
        <v>141.64545454545456</v>
      </c>
      <c r="O145" s="356">
        <v>141.64545454545456</v>
      </c>
      <c r="P145" s="356">
        <v>141.64545454545456</v>
      </c>
      <c r="Q145" s="356">
        <v>141.64545454545456</v>
      </c>
      <c r="R145" s="356">
        <v>141.64545454545456</v>
      </c>
      <c r="S145" s="1140"/>
    </row>
    <row r="146" spans="1:19" ht="12.75" x14ac:dyDescent="0.2">
      <c r="A146" s="332">
        <f t="shared" si="9"/>
        <v>23</v>
      </c>
      <c r="B146" s="348" t="s">
        <v>1152</v>
      </c>
      <c r="C146" s="339">
        <v>303.3</v>
      </c>
      <c r="D146" s="356">
        <v>194017.09999999998</v>
      </c>
      <c r="E146" s="371">
        <v>60</v>
      </c>
      <c r="F146" s="372">
        <v>6.5</v>
      </c>
      <c r="G146" s="356">
        <v>0</v>
      </c>
      <c r="H146" s="356">
        <v>0</v>
      </c>
      <c r="I146" s="356">
        <v>0</v>
      </c>
      <c r="J146" s="356">
        <v>0</v>
      </c>
      <c r="K146" s="356">
        <v>0</v>
      </c>
      <c r="L146" s="356">
        <v>0</v>
      </c>
      <c r="M146" s="356">
        <v>0</v>
      </c>
      <c r="N146" s="356">
        <v>0</v>
      </c>
      <c r="O146" s="356">
        <v>0</v>
      </c>
      <c r="P146" s="356">
        <v>0</v>
      </c>
      <c r="Q146" s="356">
        <v>0</v>
      </c>
      <c r="R146" s="356">
        <v>0</v>
      </c>
      <c r="S146" s="1140"/>
    </row>
    <row r="147" spans="1:19" ht="12.75" x14ac:dyDescent="0.2">
      <c r="A147" s="332">
        <f t="shared" si="9"/>
        <v>24</v>
      </c>
      <c r="B147" s="348" t="s">
        <v>2172</v>
      </c>
      <c r="C147" s="339">
        <v>303.3</v>
      </c>
      <c r="D147" s="356">
        <v>4386.42</v>
      </c>
      <c r="E147" s="371">
        <v>60</v>
      </c>
      <c r="F147" s="372">
        <v>51.5</v>
      </c>
      <c r="G147" s="356">
        <v>71.686990291262134</v>
      </c>
      <c r="H147" s="356">
        <v>71.686990291262134</v>
      </c>
      <c r="I147" s="356">
        <v>71.686990291262134</v>
      </c>
      <c r="J147" s="356">
        <v>71.686990291262134</v>
      </c>
      <c r="K147" s="356">
        <v>71.686990291262134</v>
      </c>
      <c r="L147" s="356">
        <v>71.686990291262134</v>
      </c>
      <c r="M147" s="356">
        <v>71.686990291262134</v>
      </c>
      <c r="N147" s="356">
        <v>71.686990291262134</v>
      </c>
      <c r="O147" s="356">
        <v>71.686990291262134</v>
      </c>
      <c r="P147" s="356">
        <v>71.686990291262134</v>
      </c>
      <c r="Q147" s="356">
        <v>71.686990291262134</v>
      </c>
      <c r="R147" s="356">
        <v>71.686990291262134</v>
      </c>
      <c r="S147" s="1140"/>
    </row>
    <row r="148" spans="1:19" ht="12.75" x14ac:dyDescent="0.2">
      <c r="A148" s="332">
        <f t="shared" si="9"/>
        <v>25</v>
      </c>
      <c r="B148" s="348" t="s">
        <v>2173</v>
      </c>
      <c r="C148" s="339">
        <v>303.3</v>
      </c>
      <c r="D148" s="356">
        <v>5530.12</v>
      </c>
      <c r="E148" s="371">
        <v>60</v>
      </c>
      <c r="F148" s="373">
        <v>56.5</v>
      </c>
      <c r="G148" s="356">
        <v>90.537345132743354</v>
      </c>
      <c r="H148" s="356">
        <v>90.537345132743354</v>
      </c>
      <c r="I148" s="356">
        <v>90.537345132743354</v>
      </c>
      <c r="J148" s="356">
        <v>90.537345132743354</v>
      </c>
      <c r="K148" s="356">
        <v>90.537345132743354</v>
      </c>
      <c r="L148" s="356">
        <v>90.537345132743354</v>
      </c>
      <c r="M148" s="356">
        <v>90.537345132743354</v>
      </c>
      <c r="N148" s="356">
        <v>90.537345132743354</v>
      </c>
      <c r="O148" s="356">
        <v>90.537345132743354</v>
      </c>
      <c r="P148" s="356">
        <v>90.537345132743354</v>
      </c>
      <c r="Q148" s="356">
        <v>90.537345132743354</v>
      </c>
      <c r="R148" s="356">
        <v>90.537345132743354</v>
      </c>
      <c r="S148" s="1140"/>
    </row>
    <row r="149" spans="1:19" ht="12.75" x14ac:dyDescent="0.2">
      <c r="A149" s="332">
        <f t="shared" si="9"/>
        <v>26</v>
      </c>
      <c r="B149" s="348" t="s">
        <v>1151</v>
      </c>
      <c r="C149" s="339">
        <v>303.3</v>
      </c>
      <c r="D149" s="356">
        <v>720309.13</v>
      </c>
      <c r="E149" s="371">
        <v>120</v>
      </c>
      <c r="F149" s="373">
        <v>58.5</v>
      </c>
      <c r="G149" s="356">
        <v>6392.4813675213682</v>
      </c>
      <c r="H149" s="356">
        <v>6392.4813675213682</v>
      </c>
      <c r="I149" s="356">
        <v>6392.4813675213682</v>
      </c>
      <c r="J149" s="356">
        <v>6392.4813675213682</v>
      </c>
      <c r="K149" s="356">
        <v>6392.4813675213682</v>
      </c>
      <c r="L149" s="356">
        <v>6392.4813675213682</v>
      </c>
      <c r="M149" s="356">
        <v>6392.4813675213682</v>
      </c>
      <c r="N149" s="356">
        <v>6392.4813675213682</v>
      </c>
      <c r="O149" s="356">
        <v>6392.4813675213682</v>
      </c>
      <c r="P149" s="356">
        <v>6392.4813675213682</v>
      </c>
      <c r="Q149" s="356">
        <v>6392.4813675213682</v>
      </c>
      <c r="R149" s="356">
        <v>6392.4813675213682</v>
      </c>
      <c r="S149" s="1140"/>
    </row>
    <row r="150" spans="1:19" ht="12.75" x14ac:dyDescent="0.2">
      <c r="A150" s="332">
        <f t="shared" si="9"/>
        <v>27</v>
      </c>
      <c r="B150" s="348" t="s">
        <v>2174</v>
      </c>
      <c r="C150" s="339">
        <v>303.3</v>
      </c>
      <c r="D150" s="356">
        <v>26993.55</v>
      </c>
      <c r="E150" s="371">
        <v>60</v>
      </c>
      <c r="F150" s="373">
        <v>32.5</v>
      </c>
      <c r="G150" s="356">
        <v>436.66461538461533</v>
      </c>
      <c r="H150" s="356">
        <v>436.66461538461533</v>
      </c>
      <c r="I150" s="356">
        <v>436.66461538461533</v>
      </c>
      <c r="J150" s="356">
        <v>436.66461538461533</v>
      </c>
      <c r="K150" s="356">
        <v>436.66461538461533</v>
      </c>
      <c r="L150" s="356">
        <v>436.66461538461533</v>
      </c>
      <c r="M150" s="356">
        <v>436.66461538461533</v>
      </c>
      <c r="N150" s="356">
        <v>436.66461538461533</v>
      </c>
      <c r="O150" s="356">
        <v>436.66461538461533</v>
      </c>
      <c r="P150" s="356">
        <v>436.66461538461533</v>
      </c>
      <c r="Q150" s="356">
        <v>436.66461538461533</v>
      </c>
      <c r="R150" s="356">
        <v>436.66461538461533</v>
      </c>
      <c r="S150" s="1140"/>
    </row>
    <row r="151" spans="1:19" ht="12.75" x14ac:dyDescent="0.2">
      <c r="A151" s="332">
        <f t="shared" si="9"/>
        <v>28</v>
      </c>
      <c r="B151" s="348" t="s">
        <v>1161</v>
      </c>
      <c r="C151" s="339">
        <v>303.3</v>
      </c>
      <c r="D151" s="356">
        <v>4202.96</v>
      </c>
      <c r="E151" s="371">
        <v>60</v>
      </c>
      <c r="F151" s="373">
        <v>17.5</v>
      </c>
      <c r="G151" s="356">
        <v>66.045142857142849</v>
      </c>
      <c r="H151" s="356">
        <v>66.045142857142849</v>
      </c>
      <c r="I151" s="356">
        <v>66.045142857142849</v>
      </c>
      <c r="J151" s="356">
        <v>66.045142857142849</v>
      </c>
      <c r="K151" s="356">
        <v>66.045142857142849</v>
      </c>
      <c r="L151" s="356">
        <v>66.045142857142849</v>
      </c>
      <c r="M151" s="356">
        <v>66.045142857142849</v>
      </c>
      <c r="N151" s="356">
        <v>33.022571428571425</v>
      </c>
      <c r="O151" s="356">
        <v>0</v>
      </c>
      <c r="P151" s="356">
        <v>0</v>
      </c>
      <c r="Q151" s="356">
        <v>0</v>
      </c>
      <c r="R151" s="356">
        <v>0</v>
      </c>
      <c r="S151" s="1140"/>
    </row>
    <row r="152" spans="1:19" ht="12.75" x14ac:dyDescent="0.2">
      <c r="A152" s="332">
        <f t="shared" si="9"/>
        <v>29</v>
      </c>
      <c r="B152" s="349" t="s">
        <v>1153</v>
      </c>
      <c r="C152" s="339">
        <v>303.3</v>
      </c>
      <c r="D152" s="356">
        <v>8748</v>
      </c>
      <c r="E152" s="371">
        <v>60</v>
      </c>
      <c r="F152" s="373">
        <v>9.5</v>
      </c>
      <c r="G152" s="356">
        <v>0</v>
      </c>
      <c r="H152" s="356">
        <v>0</v>
      </c>
      <c r="I152" s="356">
        <v>0</v>
      </c>
      <c r="J152" s="356">
        <v>0</v>
      </c>
      <c r="K152" s="356">
        <v>0</v>
      </c>
      <c r="L152" s="356">
        <v>0</v>
      </c>
      <c r="M152" s="356">
        <v>0</v>
      </c>
      <c r="N152" s="356">
        <v>0</v>
      </c>
      <c r="O152" s="356">
        <v>0</v>
      </c>
      <c r="P152" s="356">
        <v>0</v>
      </c>
      <c r="Q152" s="356">
        <v>0</v>
      </c>
      <c r="R152" s="356">
        <v>0</v>
      </c>
      <c r="S152" s="1140"/>
    </row>
    <row r="153" spans="1:19" ht="12.75" x14ac:dyDescent="0.2">
      <c r="A153" s="332">
        <f t="shared" si="9"/>
        <v>30</v>
      </c>
      <c r="B153" s="349" t="s">
        <v>2175</v>
      </c>
      <c r="C153" s="339">
        <v>303.3</v>
      </c>
      <c r="D153" s="356">
        <v>10982.039999999999</v>
      </c>
      <c r="E153" s="371">
        <v>120</v>
      </c>
      <c r="F153" s="373">
        <v>28.5</v>
      </c>
      <c r="G153" s="356">
        <v>177.86807017543859</v>
      </c>
      <c r="H153" s="356">
        <v>177.86807017543859</v>
      </c>
      <c r="I153" s="356">
        <v>177.86807017543859</v>
      </c>
      <c r="J153" s="356">
        <v>177.86807017543859</v>
      </c>
      <c r="K153" s="356">
        <v>177.86807017543859</v>
      </c>
      <c r="L153" s="356">
        <v>177.86807017543859</v>
      </c>
      <c r="M153" s="356">
        <v>177.86807017543859</v>
      </c>
      <c r="N153" s="356">
        <v>177.86807017543859</v>
      </c>
      <c r="O153" s="356">
        <v>177.86807017543859</v>
      </c>
      <c r="P153" s="356">
        <v>177.86807017543859</v>
      </c>
      <c r="Q153" s="356">
        <v>177.86807017543859</v>
      </c>
      <c r="R153" s="356">
        <v>177.86807017543859</v>
      </c>
      <c r="S153" s="1140"/>
    </row>
    <row r="154" spans="1:19" ht="12.75" x14ac:dyDescent="0.2">
      <c r="A154" s="332">
        <f t="shared" si="9"/>
        <v>31</v>
      </c>
      <c r="B154" s="349" t="s">
        <v>2176</v>
      </c>
      <c r="C154" s="339">
        <v>303.3</v>
      </c>
      <c r="D154" s="356">
        <v>31298.02</v>
      </c>
      <c r="E154" s="371">
        <v>60</v>
      </c>
      <c r="F154" s="373">
        <v>55.5</v>
      </c>
      <c r="G154" s="356">
        <v>515.30882882882884</v>
      </c>
      <c r="H154" s="356">
        <v>515.30882882882884</v>
      </c>
      <c r="I154" s="356">
        <v>515.30882882882884</v>
      </c>
      <c r="J154" s="356">
        <v>515.30882882882884</v>
      </c>
      <c r="K154" s="356">
        <v>515.30882882882884</v>
      </c>
      <c r="L154" s="356">
        <v>515.30882882882884</v>
      </c>
      <c r="M154" s="356">
        <v>515.30882882882884</v>
      </c>
      <c r="N154" s="356">
        <v>515.30882882882884</v>
      </c>
      <c r="O154" s="356">
        <v>515.30882882882884</v>
      </c>
      <c r="P154" s="356">
        <v>515.30882882882884</v>
      </c>
      <c r="Q154" s="356">
        <v>515.30882882882884</v>
      </c>
      <c r="R154" s="356">
        <v>515.30882882882884</v>
      </c>
      <c r="S154" s="1140"/>
    </row>
    <row r="155" spans="1:19" ht="12.75" x14ac:dyDescent="0.2">
      <c r="A155" s="332">
        <f t="shared" si="9"/>
        <v>32</v>
      </c>
      <c r="B155" s="349" t="s">
        <v>2177</v>
      </c>
      <c r="C155" s="339">
        <v>303.3</v>
      </c>
      <c r="D155" s="356">
        <v>25314.240000000002</v>
      </c>
      <c r="E155" s="371">
        <v>60</v>
      </c>
      <c r="F155" s="373">
        <v>28.5</v>
      </c>
      <c r="G155" s="356">
        <v>407.10140350877197</v>
      </c>
      <c r="H155" s="356">
        <v>407.10140350877197</v>
      </c>
      <c r="I155" s="356">
        <v>407.10140350877197</v>
      </c>
      <c r="J155" s="356">
        <v>407.10140350877197</v>
      </c>
      <c r="K155" s="356">
        <v>407.10140350877197</v>
      </c>
      <c r="L155" s="356">
        <v>407.10140350877197</v>
      </c>
      <c r="M155" s="356">
        <v>407.10140350877197</v>
      </c>
      <c r="N155" s="356">
        <v>407.10140350877197</v>
      </c>
      <c r="O155" s="356">
        <v>407.10140350877197</v>
      </c>
      <c r="P155" s="356">
        <v>407.10140350877197</v>
      </c>
      <c r="Q155" s="356">
        <v>407.10140350877197</v>
      </c>
      <c r="R155" s="356">
        <v>407.10140350877197</v>
      </c>
      <c r="S155" s="1140"/>
    </row>
    <row r="156" spans="1:19" ht="12.75" x14ac:dyDescent="0.2">
      <c r="A156" s="332">
        <f t="shared" si="9"/>
        <v>33</v>
      </c>
      <c r="B156" s="349" t="s">
        <v>2178</v>
      </c>
      <c r="C156" s="339">
        <v>303.3</v>
      </c>
      <c r="D156" s="356">
        <v>366402.08</v>
      </c>
      <c r="E156" s="371">
        <v>84</v>
      </c>
      <c r="F156" s="373">
        <v>22.5</v>
      </c>
      <c r="G156" s="356">
        <v>4183.2235555555571</v>
      </c>
      <c r="H156" s="356">
        <v>4183.2235555555571</v>
      </c>
      <c r="I156" s="356">
        <v>4183.2235555555571</v>
      </c>
      <c r="J156" s="356">
        <v>4183.2235555555571</v>
      </c>
      <c r="K156" s="356">
        <v>4183.2235555555571</v>
      </c>
      <c r="L156" s="356">
        <v>4183.2235555555571</v>
      </c>
      <c r="M156" s="356">
        <v>4183.2235555555571</v>
      </c>
      <c r="N156" s="356">
        <v>4183.2235555555571</v>
      </c>
      <c r="O156" s="356">
        <v>4183.2235555555571</v>
      </c>
      <c r="P156" s="356">
        <v>4183.2235555555571</v>
      </c>
      <c r="Q156" s="356">
        <v>4183.2235555555571</v>
      </c>
      <c r="R156" s="356">
        <v>4183.2235555555571</v>
      </c>
      <c r="S156" s="1140"/>
    </row>
    <row r="157" spans="1:19" ht="12.75" x14ac:dyDescent="0.2">
      <c r="A157" s="332">
        <f t="shared" si="9"/>
        <v>34</v>
      </c>
      <c r="B157" s="349" t="s">
        <v>2179</v>
      </c>
      <c r="C157" s="339">
        <v>303.3</v>
      </c>
      <c r="D157" s="356">
        <v>16263.67</v>
      </c>
      <c r="E157" s="371">
        <v>60</v>
      </c>
      <c r="F157" s="373">
        <v>54.5</v>
      </c>
      <c r="G157" s="356">
        <v>266.2267889908257</v>
      </c>
      <c r="H157" s="356">
        <v>266.2267889908257</v>
      </c>
      <c r="I157" s="356">
        <v>266.2267889908257</v>
      </c>
      <c r="J157" s="356">
        <v>266.2267889908257</v>
      </c>
      <c r="K157" s="356">
        <v>266.2267889908257</v>
      </c>
      <c r="L157" s="356">
        <v>266.2267889908257</v>
      </c>
      <c r="M157" s="356">
        <v>266.2267889908257</v>
      </c>
      <c r="N157" s="356">
        <v>266.2267889908257</v>
      </c>
      <c r="O157" s="356">
        <v>266.2267889908257</v>
      </c>
      <c r="P157" s="356">
        <v>266.2267889908257</v>
      </c>
      <c r="Q157" s="356">
        <v>266.2267889908257</v>
      </c>
      <c r="R157" s="356">
        <v>266.2267889908257</v>
      </c>
      <c r="S157" s="1140"/>
    </row>
    <row r="158" spans="1:19" ht="12.75" x14ac:dyDescent="0.2">
      <c r="A158" s="332">
        <f t="shared" si="9"/>
        <v>35</v>
      </c>
      <c r="B158" s="349" t="s">
        <v>1158</v>
      </c>
      <c r="C158" s="339">
        <v>303.3</v>
      </c>
      <c r="D158" s="356">
        <v>3070.27</v>
      </c>
      <c r="E158" s="371">
        <v>84</v>
      </c>
      <c r="F158" s="373">
        <v>34.5</v>
      </c>
      <c r="G158" s="356">
        <v>35.49246376811594</v>
      </c>
      <c r="H158" s="356">
        <v>35.49246376811594</v>
      </c>
      <c r="I158" s="356">
        <v>35.49246376811594</v>
      </c>
      <c r="J158" s="356">
        <v>35.49246376811594</v>
      </c>
      <c r="K158" s="356">
        <v>35.49246376811594</v>
      </c>
      <c r="L158" s="356">
        <v>35.49246376811594</v>
      </c>
      <c r="M158" s="356">
        <v>35.49246376811594</v>
      </c>
      <c r="N158" s="356">
        <v>35.49246376811594</v>
      </c>
      <c r="O158" s="356">
        <v>35.49246376811594</v>
      </c>
      <c r="P158" s="356">
        <v>35.49246376811594</v>
      </c>
      <c r="Q158" s="356">
        <v>35.49246376811594</v>
      </c>
      <c r="R158" s="356">
        <v>35.49246376811594</v>
      </c>
      <c r="S158" s="1140"/>
    </row>
    <row r="159" spans="1:19" ht="12.75" x14ac:dyDescent="0.2">
      <c r="A159" s="332">
        <f t="shared" si="9"/>
        <v>36</v>
      </c>
      <c r="B159" s="349" t="s">
        <v>1163</v>
      </c>
      <c r="C159" s="339">
        <v>303.3</v>
      </c>
      <c r="D159" s="356">
        <v>137759.26999999999</v>
      </c>
      <c r="E159" s="371">
        <v>60</v>
      </c>
      <c r="F159" s="373">
        <v>20.5</v>
      </c>
      <c r="G159" s="356">
        <v>2319.7629268292676</v>
      </c>
      <c r="H159" s="356">
        <v>2319.7629268292676</v>
      </c>
      <c r="I159" s="356">
        <v>2319.7629268292676</v>
      </c>
      <c r="J159" s="356">
        <v>2319.7629268292676</v>
      </c>
      <c r="K159" s="356">
        <v>2319.7629268292676</v>
      </c>
      <c r="L159" s="356">
        <v>2319.7629268292676</v>
      </c>
      <c r="M159" s="356">
        <v>2319.7629268292676</v>
      </c>
      <c r="N159" s="356">
        <v>2319.7629268292676</v>
      </c>
      <c r="O159" s="356">
        <v>2319.7629268292676</v>
      </c>
      <c r="P159" s="356">
        <v>2319.7629268292676</v>
      </c>
      <c r="Q159" s="356">
        <v>1159.8814634146338</v>
      </c>
      <c r="R159" s="356">
        <v>0</v>
      </c>
      <c r="S159" s="1140"/>
    </row>
    <row r="160" spans="1:19" ht="12.75" x14ac:dyDescent="0.2">
      <c r="A160" s="332">
        <f t="shared" si="9"/>
        <v>37</v>
      </c>
      <c r="B160" s="349" t="s">
        <v>2180</v>
      </c>
      <c r="C160" s="339">
        <v>303.3</v>
      </c>
      <c r="D160" s="356">
        <v>5569.39</v>
      </c>
      <c r="E160" s="371">
        <v>60</v>
      </c>
      <c r="F160" s="373">
        <v>54.5</v>
      </c>
      <c r="G160" s="356">
        <v>91.719082568807352</v>
      </c>
      <c r="H160" s="356">
        <v>91.719082568807352</v>
      </c>
      <c r="I160" s="356">
        <v>91.719082568807352</v>
      </c>
      <c r="J160" s="356">
        <v>91.719082568807352</v>
      </c>
      <c r="K160" s="356">
        <v>91.719082568807352</v>
      </c>
      <c r="L160" s="356">
        <v>91.719082568807352</v>
      </c>
      <c r="M160" s="356">
        <v>91.719082568807352</v>
      </c>
      <c r="N160" s="356">
        <v>91.719082568807352</v>
      </c>
      <c r="O160" s="356">
        <v>91.719082568807352</v>
      </c>
      <c r="P160" s="356">
        <v>91.719082568807352</v>
      </c>
      <c r="Q160" s="356">
        <v>91.719082568807352</v>
      </c>
      <c r="R160" s="356">
        <v>91.719082568807352</v>
      </c>
      <c r="S160" s="1140"/>
    </row>
    <row r="161" spans="1:19" ht="12.75" x14ac:dyDescent="0.2">
      <c r="A161" s="332">
        <f t="shared" si="9"/>
        <v>38</v>
      </c>
      <c r="B161" s="349" t="s">
        <v>2181</v>
      </c>
      <c r="C161" s="339">
        <v>303.3</v>
      </c>
      <c r="D161" s="356">
        <v>565661.80000000005</v>
      </c>
      <c r="E161" s="371">
        <v>60</v>
      </c>
      <c r="F161" s="373">
        <v>46.5</v>
      </c>
      <c r="G161" s="356">
        <v>9353.2670967741942</v>
      </c>
      <c r="H161" s="356">
        <v>9353.2670967741942</v>
      </c>
      <c r="I161" s="356">
        <v>9353.2670967741942</v>
      </c>
      <c r="J161" s="356">
        <v>9353.2670967741942</v>
      </c>
      <c r="K161" s="356">
        <v>9353.2670967741942</v>
      </c>
      <c r="L161" s="356">
        <v>9353.2670967741942</v>
      </c>
      <c r="M161" s="356">
        <v>9353.2670967741942</v>
      </c>
      <c r="N161" s="356">
        <v>9353.2670967741942</v>
      </c>
      <c r="O161" s="356">
        <v>9353.2670967741942</v>
      </c>
      <c r="P161" s="356">
        <v>9353.2670967741942</v>
      </c>
      <c r="Q161" s="356">
        <v>9353.2670967741942</v>
      </c>
      <c r="R161" s="356">
        <v>9353.2670967741942</v>
      </c>
      <c r="S161" s="1140"/>
    </row>
    <row r="162" spans="1:19" ht="12.75" x14ac:dyDescent="0.2">
      <c r="A162" s="332">
        <f t="shared" si="9"/>
        <v>39</v>
      </c>
      <c r="B162" s="349" t="s">
        <v>2182</v>
      </c>
      <c r="C162" s="339">
        <v>303.3</v>
      </c>
      <c r="D162" s="356">
        <v>182.95</v>
      </c>
      <c r="E162" s="371">
        <v>60</v>
      </c>
      <c r="F162" s="373">
        <v>34.5</v>
      </c>
      <c r="G162" s="356">
        <v>2.9602898550724634</v>
      </c>
      <c r="H162" s="356">
        <v>2.9602898550724634</v>
      </c>
      <c r="I162" s="356">
        <v>2.9602898550724634</v>
      </c>
      <c r="J162" s="356">
        <v>2.9602898550724634</v>
      </c>
      <c r="K162" s="356">
        <v>2.9602898550724634</v>
      </c>
      <c r="L162" s="356">
        <v>2.9602898550724634</v>
      </c>
      <c r="M162" s="356">
        <v>2.9602898550724634</v>
      </c>
      <c r="N162" s="356">
        <v>2.9602898550724634</v>
      </c>
      <c r="O162" s="356">
        <v>2.9602898550724634</v>
      </c>
      <c r="P162" s="356">
        <v>2.9602898550724634</v>
      </c>
      <c r="Q162" s="356">
        <v>2.9602898550724634</v>
      </c>
      <c r="R162" s="356">
        <v>2.9602898550724634</v>
      </c>
      <c r="S162" s="1140"/>
    </row>
    <row r="163" spans="1:19" ht="12.75" x14ac:dyDescent="0.2">
      <c r="A163" s="332">
        <f t="shared" si="9"/>
        <v>40</v>
      </c>
      <c r="B163" s="349" t="s">
        <v>2183</v>
      </c>
      <c r="C163" s="339">
        <v>303.3</v>
      </c>
      <c r="D163" s="356">
        <v>1540.84</v>
      </c>
      <c r="E163" s="371">
        <v>60</v>
      </c>
      <c r="F163" s="373">
        <v>46.5</v>
      </c>
      <c r="G163" s="356">
        <v>25.12838709677419</v>
      </c>
      <c r="H163" s="356">
        <v>25.12838709677419</v>
      </c>
      <c r="I163" s="356">
        <v>25.12838709677419</v>
      </c>
      <c r="J163" s="356">
        <v>25.12838709677419</v>
      </c>
      <c r="K163" s="356">
        <v>25.12838709677419</v>
      </c>
      <c r="L163" s="356">
        <v>25.12838709677419</v>
      </c>
      <c r="M163" s="356">
        <v>25.12838709677419</v>
      </c>
      <c r="N163" s="356">
        <v>25.12838709677419</v>
      </c>
      <c r="O163" s="356">
        <v>25.12838709677419</v>
      </c>
      <c r="P163" s="356">
        <v>25.12838709677419</v>
      </c>
      <c r="Q163" s="356">
        <v>25.12838709677419</v>
      </c>
      <c r="R163" s="356">
        <v>25.12838709677419</v>
      </c>
      <c r="S163" s="1140"/>
    </row>
    <row r="164" spans="1:19" ht="12.75" x14ac:dyDescent="0.2">
      <c r="A164" s="332">
        <f t="shared" si="9"/>
        <v>41</v>
      </c>
      <c r="B164" s="349" t="s">
        <v>2184</v>
      </c>
      <c r="C164" s="339">
        <v>303.3</v>
      </c>
      <c r="D164" s="356">
        <v>29224.48</v>
      </c>
      <c r="E164" s="371">
        <v>60</v>
      </c>
      <c r="F164" s="373">
        <v>43.5</v>
      </c>
      <c r="G164" s="356">
        <v>481.3783908045977</v>
      </c>
      <c r="H164" s="356">
        <v>481.3783908045977</v>
      </c>
      <c r="I164" s="356">
        <v>481.3783908045977</v>
      </c>
      <c r="J164" s="356">
        <v>481.3783908045977</v>
      </c>
      <c r="K164" s="356">
        <v>481.3783908045977</v>
      </c>
      <c r="L164" s="356">
        <v>481.3783908045977</v>
      </c>
      <c r="M164" s="356">
        <v>481.3783908045977</v>
      </c>
      <c r="N164" s="356">
        <v>481.3783908045977</v>
      </c>
      <c r="O164" s="356">
        <v>481.3783908045977</v>
      </c>
      <c r="P164" s="356">
        <v>481.3783908045977</v>
      </c>
      <c r="Q164" s="356">
        <v>481.3783908045977</v>
      </c>
      <c r="R164" s="356">
        <v>481.3783908045977</v>
      </c>
      <c r="S164" s="1140"/>
    </row>
    <row r="165" spans="1:19" ht="12.75" x14ac:dyDescent="0.2">
      <c r="A165" s="332">
        <f t="shared" si="9"/>
        <v>42</v>
      </c>
      <c r="B165" s="349" t="s">
        <v>2185</v>
      </c>
      <c r="C165" s="339">
        <v>303.3</v>
      </c>
      <c r="D165" s="356">
        <v>63317.91</v>
      </c>
      <c r="E165" s="371">
        <v>60</v>
      </c>
      <c r="F165" s="373">
        <v>40.5</v>
      </c>
      <c r="G165" s="356">
        <v>1041.12987654321</v>
      </c>
      <c r="H165" s="356">
        <v>1041.12987654321</v>
      </c>
      <c r="I165" s="356">
        <v>1041.12987654321</v>
      </c>
      <c r="J165" s="356">
        <v>1041.12987654321</v>
      </c>
      <c r="K165" s="356">
        <v>1041.12987654321</v>
      </c>
      <c r="L165" s="356">
        <v>1041.12987654321</v>
      </c>
      <c r="M165" s="356">
        <v>1041.12987654321</v>
      </c>
      <c r="N165" s="356">
        <v>1041.12987654321</v>
      </c>
      <c r="O165" s="356">
        <v>1041.12987654321</v>
      </c>
      <c r="P165" s="356">
        <v>1041.12987654321</v>
      </c>
      <c r="Q165" s="356">
        <v>1041.12987654321</v>
      </c>
      <c r="R165" s="356">
        <v>1041.12987654321</v>
      </c>
      <c r="S165" s="1140"/>
    </row>
    <row r="166" spans="1:19" ht="12.75" x14ac:dyDescent="0.2">
      <c r="A166" s="332">
        <f t="shared" si="9"/>
        <v>43</v>
      </c>
      <c r="B166" s="349" t="s">
        <v>2186</v>
      </c>
      <c r="C166" s="339">
        <v>303.3</v>
      </c>
      <c r="D166" s="356">
        <v>71586.31</v>
      </c>
      <c r="E166" s="371">
        <v>60</v>
      </c>
      <c r="F166" s="373">
        <v>52.5</v>
      </c>
      <c r="G166" s="356">
        <v>1175.8165714285713</v>
      </c>
      <c r="H166" s="356">
        <v>1175.8165714285713</v>
      </c>
      <c r="I166" s="356">
        <v>1175.8165714285713</v>
      </c>
      <c r="J166" s="356">
        <v>1175.8165714285713</v>
      </c>
      <c r="K166" s="356">
        <v>1175.8165714285713</v>
      </c>
      <c r="L166" s="356">
        <v>1175.8165714285713</v>
      </c>
      <c r="M166" s="356">
        <v>1175.8165714285713</v>
      </c>
      <c r="N166" s="356">
        <v>1175.8165714285713</v>
      </c>
      <c r="O166" s="356">
        <v>1175.8165714285713</v>
      </c>
      <c r="P166" s="356">
        <v>1175.8165714285713</v>
      </c>
      <c r="Q166" s="356">
        <v>1175.8165714285713</v>
      </c>
      <c r="R166" s="356">
        <v>1175.8165714285713</v>
      </c>
      <c r="S166" s="1140"/>
    </row>
    <row r="167" spans="1:19" ht="12.75" x14ac:dyDescent="0.2">
      <c r="A167" s="332">
        <f t="shared" si="9"/>
        <v>44</v>
      </c>
      <c r="B167" s="349" t="s">
        <v>2187</v>
      </c>
      <c r="C167" s="339">
        <v>303.3</v>
      </c>
      <c r="D167" s="356">
        <v>29708.19</v>
      </c>
      <c r="E167" s="371">
        <v>60</v>
      </c>
      <c r="F167" s="373">
        <v>59.5</v>
      </c>
      <c r="G167" s="356">
        <v>486.8147899159664</v>
      </c>
      <c r="H167" s="356">
        <v>486.8147899159664</v>
      </c>
      <c r="I167" s="356">
        <v>486.8147899159664</v>
      </c>
      <c r="J167" s="356">
        <v>486.8147899159664</v>
      </c>
      <c r="K167" s="356">
        <v>486.8147899159664</v>
      </c>
      <c r="L167" s="356">
        <v>486.8147899159664</v>
      </c>
      <c r="M167" s="356">
        <v>486.8147899159664</v>
      </c>
      <c r="N167" s="356">
        <v>486.8147899159664</v>
      </c>
      <c r="O167" s="356">
        <v>486.8147899159664</v>
      </c>
      <c r="P167" s="356">
        <v>486.8147899159664</v>
      </c>
      <c r="Q167" s="356">
        <v>486.8147899159664</v>
      </c>
      <c r="R167" s="356">
        <v>486.8147899159664</v>
      </c>
      <c r="S167" s="1140"/>
    </row>
    <row r="168" spans="1:19" ht="12.75" x14ac:dyDescent="0.2">
      <c r="A168" s="332">
        <f t="shared" si="9"/>
        <v>45</v>
      </c>
      <c r="B168" s="349" t="s">
        <v>1156</v>
      </c>
      <c r="C168" s="339">
        <v>303.3</v>
      </c>
      <c r="D168" s="356">
        <v>5033.0600000000004</v>
      </c>
      <c r="E168" s="371">
        <v>60</v>
      </c>
      <c r="F168" s="373">
        <v>10.5</v>
      </c>
      <c r="G168" s="356">
        <v>37.948095238095277</v>
      </c>
      <c r="H168" s="356">
        <v>0</v>
      </c>
      <c r="I168" s="356">
        <v>0</v>
      </c>
      <c r="J168" s="356">
        <v>0</v>
      </c>
      <c r="K168" s="356">
        <v>0</v>
      </c>
      <c r="L168" s="356">
        <v>0</v>
      </c>
      <c r="M168" s="356">
        <v>0</v>
      </c>
      <c r="N168" s="356">
        <v>0</v>
      </c>
      <c r="O168" s="356">
        <v>0</v>
      </c>
      <c r="P168" s="356">
        <v>0</v>
      </c>
      <c r="Q168" s="356">
        <v>0</v>
      </c>
      <c r="R168" s="356">
        <v>0</v>
      </c>
      <c r="S168" s="1140"/>
    </row>
    <row r="169" spans="1:19" ht="12.75" x14ac:dyDescent="0.2">
      <c r="A169" s="332">
        <f t="shared" si="9"/>
        <v>46</v>
      </c>
      <c r="B169" s="349" t="s">
        <v>2188</v>
      </c>
      <c r="C169" s="339">
        <v>303.3</v>
      </c>
      <c r="D169" s="356">
        <v>60748.75</v>
      </c>
      <c r="E169" s="371">
        <v>60</v>
      </c>
      <c r="F169" s="373">
        <v>38.5</v>
      </c>
      <c r="G169" s="356">
        <v>1025.4402597402598</v>
      </c>
      <c r="H169" s="356">
        <v>1025.4402597402598</v>
      </c>
      <c r="I169" s="356">
        <v>1025.4402597402598</v>
      </c>
      <c r="J169" s="356">
        <v>1025.4402597402598</v>
      </c>
      <c r="K169" s="356">
        <v>1025.4402597402598</v>
      </c>
      <c r="L169" s="356">
        <v>1025.4402597402598</v>
      </c>
      <c r="M169" s="356">
        <v>1025.4402597402598</v>
      </c>
      <c r="N169" s="356">
        <v>1025.4402597402598</v>
      </c>
      <c r="O169" s="356">
        <v>1025.4402597402598</v>
      </c>
      <c r="P169" s="356">
        <v>1025.4402597402598</v>
      </c>
      <c r="Q169" s="356">
        <v>1025.4402597402598</v>
      </c>
      <c r="R169" s="356">
        <v>1025.4402597402598</v>
      </c>
      <c r="S169" s="1140"/>
    </row>
    <row r="170" spans="1:19" ht="12.75" x14ac:dyDescent="0.2">
      <c r="A170" s="332">
        <f t="shared" si="9"/>
        <v>47</v>
      </c>
      <c r="B170" s="349" t="s">
        <v>2189</v>
      </c>
      <c r="C170" s="339">
        <v>303.3</v>
      </c>
      <c r="D170" s="356">
        <v>31262.27</v>
      </c>
      <c r="E170" s="371">
        <v>60</v>
      </c>
      <c r="F170" s="373">
        <v>41.5</v>
      </c>
      <c r="G170" s="356">
        <v>524.10144578313248</v>
      </c>
      <c r="H170" s="356">
        <v>524.10144578313248</v>
      </c>
      <c r="I170" s="356">
        <v>524.10144578313248</v>
      </c>
      <c r="J170" s="356">
        <v>524.10144578313248</v>
      </c>
      <c r="K170" s="356">
        <v>524.10144578313248</v>
      </c>
      <c r="L170" s="356">
        <v>524.10144578313248</v>
      </c>
      <c r="M170" s="356">
        <v>524.10144578313248</v>
      </c>
      <c r="N170" s="356">
        <v>524.10144578313248</v>
      </c>
      <c r="O170" s="356">
        <v>524.10144578313248</v>
      </c>
      <c r="P170" s="356">
        <v>524.10144578313248</v>
      </c>
      <c r="Q170" s="356">
        <v>524.10144578313248</v>
      </c>
      <c r="R170" s="356">
        <v>524.10144578313248</v>
      </c>
      <c r="S170" s="1140"/>
    </row>
    <row r="171" spans="1:19" ht="12.75" x14ac:dyDescent="0.2">
      <c r="A171" s="332">
        <f t="shared" si="9"/>
        <v>48</v>
      </c>
      <c r="B171" s="349" t="s">
        <v>2190</v>
      </c>
      <c r="C171" s="339">
        <v>303.3</v>
      </c>
      <c r="D171" s="356">
        <v>1683018.79</v>
      </c>
      <c r="E171" s="371">
        <v>120</v>
      </c>
      <c r="F171" s="373">
        <v>97.5</v>
      </c>
      <c r="G171" s="356">
        <v>13878.120923076924</v>
      </c>
      <c r="H171" s="356">
        <v>13878.120923076924</v>
      </c>
      <c r="I171" s="356">
        <v>13878.120923076924</v>
      </c>
      <c r="J171" s="356">
        <v>13878.120923076924</v>
      </c>
      <c r="K171" s="356">
        <v>13878.120923076924</v>
      </c>
      <c r="L171" s="356">
        <v>13878.120923076924</v>
      </c>
      <c r="M171" s="356">
        <v>13878.120923076924</v>
      </c>
      <c r="N171" s="356">
        <v>13878.120923076924</v>
      </c>
      <c r="O171" s="356">
        <v>13878.120923076924</v>
      </c>
      <c r="P171" s="356">
        <v>13878.120923076924</v>
      </c>
      <c r="Q171" s="356">
        <v>13878.120923076924</v>
      </c>
      <c r="R171" s="356">
        <v>13878.120923076924</v>
      </c>
      <c r="S171" s="1140"/>
    </row>
    <row r="172" spans="1:19" ht="12.75" x14ac:dyDescent="0.2">
      <c r="A172" s="332">
        <f t="shared" si="9"/>
        <v>49</v>
      </c>
      <c r="B172" s="349" t="s">
        <v>2191</v>
      </c>
      <c r="C172" s="339">
        <v>303.3</v>
      </c>
      <c r="D172" s="356">
        <v>2590.56</v>
      </c>
      <c r="E172" s="371">
        <v>60</v>
      </c>
      <c r="F172" s="373">
        <v>45.5</v>
      </c>
      <c r="G172" s="356">
        <v>42.226153846153842</v>
      </c>
      <c r="H172" s="356">
        <v>42.226153846153842</v>
      </c>
      <c r="I172" s="356">
        <v>42.226153846153842</v>
      </c>
      <c r="J172" s="356">
        <v>42.226153846153842</v>
      </c>
      <c r="K172" s="356">
        <v>42.226153846153842</v>
      </c>
      <c r="L172" s="356">
        <v>42.226153846153842</v>
      </c>
      <c r="M172" s="356">
        <v>42.226153846153842</v>
      </c>
      <c r="N172" s="356">
        <v>42.226153846153842</v>
      </c>
      <c r="O172" s="356">
        <v>42.226153846153842</v>
      </c>
      <c r="P172" s="356">
        <v>42.226153846153842</v>
      </c>
      <c r="Q172" s="356">
        <v>42.226153846153842</v>
      </c>
      <c r="R172" s="356">
        <v>42.226153846153842</v>
      </c>
      <c r="S172" s="1140"/>
    </row>
    <row r="173" spans="1:19" ht="12.75" x14ac:dyDescent="0.2">
      <c r="A173" s="332">
        <f t="shared" si="9"/>
        <v>50</v>
      </c>
      <c r="B173" s="349" t="s">
        <v>2192</v>
      </c>
      <c r="C173" s="339">
        <v>303.3</v>
      </c>
      <c r="D173" s="356">
        <v>4841.08</v>
      </c>
      <c r="E173" s="371">
        <v>60</v>
      </c>
      <c r="F173" s="373">
        <v>51.5</v>
      </c>
      <c r="G173" s="356">
        <v>79.117864077669893</v>
      </c>
      <c r="H173" s="356">
        <v>79.117864077669893</v>
      </c>
      <c r="I173" s="356">
        <v>79.117864077669893</v>
      </c>
      <c r="J173" s="356">
        <v>79.117864077669893</v>
      </c>
      <c r="K173" s="356">
        <v>79.117864077669893</v>
      </c>
      <c r="L173" s="356">
        <v>79.117864077669893</v>
      </c>
      <c r="M173" s="356">
        <v>79.117864077669893</v>
      </c>
      <c r="N173" s="356">
        <v>79.117864077669893</v>
      </c>
      <c r="O173" s="356">
        <v>79.117864077669893</v>
      </c>
      <c r="P173" s="356">
        <v>79.117864077669893</v>
      </c>
      <c r="Q173" s="356">
        <v>79.117864077669893</v>
      </c>
      <c r="R173" s="356">
        <v>79.117864077669893</v>
      </c>
      <c r="S173" s="1140"/>
    </row>
    <row r="174" spans="1:19" ht="12.75" x14ac:dyDescent="0.2">
      <c r="A174" s="332">
        <f t="shared" si="9"/>
        <v>51</v>
      </c>
      <c r="B174" s="349" t="s">
        <v>2193</v>
      </c>
      <c r="C174" s="339">
        <v>303.3</v>
      </c>
      <c r="D174" s="356">
        <v>34012.699999999997</v>
      </c>
      <c r="E174" s="371">
        <v>120</v>
      </c>
      <c r="F174" s="373">
        <v>37.5</v>
      </c>
      <c r="G174" s="356">
        <v>551.76053333333323</v>
      </c>
      <c r="H174" s="356">
        <v>551.76053333333323</v>
      </c>
      <c r="I174" s="356">
        <v>551.76053333333323</v>
      </c>
      <c r="J174" s="356">
        <v>551.76053333333323</v>
      </c>
      <c r="K174" s="356">
        <v>551.76053333333323</v>
      </c>
      <c r="L174" s="356">
        <v>551.76053333333323</v>
      </c>
      <c r="M174" s="356">
        <v>551.76053333333323</v>
      </c>
      <c r="N174" s="356">
        <v>551.76053333333323</v>
      </c>
      <c r="O174" s="356">
        <v>551.76053333333323</v>
      </c>
      <c r="P174" s="356">
        <v>551.76053333333323</v>
      </c>
      <c r="Q174" s="356">
        <v>551.76053333333323</v>
      </c>
      <c r="R174" s="356">
        <v>551.76053333333323</v>
      </c>
      <c r="S174" s="1140"/>
    </row>
    <row r="175" spans="1:19" ht="12.75" x14ac:dyDescent="0.2">
      <c r="A175" s="1663">
        <f t="shared" si="9"/>
        <v>52</v>
      </c>
      <c r="B175" s="349" t="s">
        <v>2194</v>
      </c>
      <c r="C175" s="339">
        <v>303.3</v>
      </c>
      <c r="D175" s="356">
        <v>42700.58</v>
      </c>
      <c r="E175" s="371">
        <v>120</v>
      </c>
      <c r="F175" s="373">
        <v>37.5</v>
      </c>
      <c r="G175" s="356">
        <v>692.69680000000005</v>
      </c>
      <c r="H175" s="356">
        <v>692.69680000000005</v>
      </c>
      <c r="I175" s="356">
        <v>692.69680000000005</v>
      </c>
      <c r="J175" s="356">
        <v>692.69680000000005</v>
      </c>
      <c r="K175" s="356">
        <v>692.69680000000005</v>
      </c>
      <c r="L175" s="356">
        <v>692.69680000000005</v>
      </c>
      <c r="M175" s="356">
        <v>692.69680000000005</v>
      </c>
      <c r="N175" s="356">
        <v>692.69680000000005</v>
      </c>
      <c r="O175" s="356">
        <v>692.69680000000005</v>
      </c>
      <c r="P175" s="356">
        <v>692.69680000000005</v>
      </c>
      <c r="Q175" s="356">
        <v>692.69680000000005</v>
      </c>
      <c r="R175" s="356">
        <v>692.69680000000005</v>
      </c>
      <c r="S175" s="1140"/>
    </row>
    <row r="176" spans="1:19" ht="12.75" x14ac:dyDescent="0.2">
      <c r="A176" s="1663">
        <f t="shared" si="9"/>
        <v>53</v>
      </c>
      <c r="B176" s="349" t="s">
        <v>1160</v>
      </c>
      <c r="C176" s="339">
        <v>303.3</v>
      </c>
      <c r="D176" s="356">
        <v>68192.58</v>
      </c>
      <c r="E176" s="371">
        <v>120</v>
      </c>
      <c r="F176" s="373">
        <v>15.5</v>
      </c>
      <c r="G176" s="356">
        <v>1084.501935483871</v>
      </c>
      <c r="H176" s="356">
        <v>1084.501935483871</v>
      </c>
      <c r="I176" s="356">
        <v>1084.501935483871</v>
      </c>
      <c r="J176" s="356">
        <v>1084.501935483871</v>
      </c>
      <c r="K176" s="356">
        <v>1084.501935483871</v>
      </c>
      <c r="L176" s="356">
        <v>542.25096774193548</v>
      </c>
      <c r="M176" s="356">
        <v>0</v>
      </c>
      <c r="N176" s="356">
        <v>0</v>
      </c>
      <c r="O176" s="356">
        <v>0</v>
      </c>
      <c r="P176" s="356">
        <v>0</v>
      </c>
      <c r="Q176" s="356">
        <v>0</v>
      </c>
      <c r="R176" s="356">
        <v>0</v>
      </c>
      <c r="S176" s="1140"/>
    </row>
    <row r="177" spans="1:19" ht="12.75" x14ac:dyDescent="0.2">
      <c r="A177" s="1663">
        <f t="shared" si="9"/>
        <v>54</v>
      </c>
      <c r="B177" s="349" t="s">
        <v>2195</v>
      </c>
      <c r="C177" s="339">
        <v>303.3</v>
      </c>
      <c r="D177" s="356">
        <v>15020.8</v>
      </c>
      <c r="E177" s="371">
        <v>60</v>
      </c>
      <c r="F177" s="373">
        <v>28.5</v>
      </c>
      <c r="G177" s="356">
        <v>241.56105263157892</v>
      </c>
      <c r="H177" s="356">
        <v>241.56105263157892</v>
      </c>
      <c r="I177" s="356">
        <v>241.56105263157892</v>
      </c>
      <c r="J177" s="356">
        <v>241.56105263157892</v>
      </c>
      <c r="K177" s="356">
        <v>241.56105263157892</v>
      </c>
      <c r="L177" s="356">
        <v>241.56105263157892</v>
      </c>
      <c r="M177" s="356">
        <v>241.56105263157892</v>
      </c>
      <c r="N177" s="356">
        <v>241.56105263157892</v>
      </c>
      <c r="O177" s="356">
        <v>241.56105263157892</v>
      </c>
      <c r="P177" s="356">
        <v>241.56105263157892</v>
      </c>
      <c r="Q177" s="356">
        <v>241.56105263157892</v>
      </c>
      <c r="R177" s="356">
        <v>241.56105263157892</v>
      </c>
      <c r="S177" s="1140"/>
    </row>
    <row r="178" spans="1:19" ht="12.75" x14ac:dyDescent="0.2">
      <c r="A178" s="1663">
        <f t="shared" si="9"/>
        <v>55</v>
      </c>
      <c r="B178" s="349" t="s">
        <v>1157</v>
      </c>
      <c r="C178" s="339">
        <v>303.3</v>
      </c>
      <c r="D178" s="356">
        <v>5570.38</v>
      </c>
      <c r="E178" s="371">
        <v>60</v>
      </c>
      <c r="F178" s="373">
        <v>10.5</v>
      </c>
      <c r="G178" s="356">
        <v>42.444761904761911</v>
      </c>
      <c r="H178" s="356">
        <v>0</v>
      </c>
      <c r="I178" s="356">
        <v>0</v>
      </c>
      <c r="J178" s="356">
        <v>0</v>
      </c>
      <c r="K178" s="356">
        <v>0</v>
      </c>
      <c r="L178" s="356">
        <v>0</v>
      </c>
      <c r="M178" s="356">
        <v>0</v>
      </c>
      <c r="N178" s="356">
        <v>0</v>
      </c>
      <c r="O178" s="356">
        <v>0</v>
      </c>
      <c r="P178" s="356">
        <v>0</v>
      </c>
      <c r="Q178" s="356">
        <v>0</v>
      </c>
      <c r="R178" s="356">
        <v>0</v>
      </c>
      <c r="S178" s="1140"/>
    </row>
    <row r="179" spans="1:19" ht="12.75" x14ac:dyDescent="0.2">
      <c r="A179" s="1663">
        <f t="shared" si="9"/>
        <v>56</v>
      </c>
      <c r="B179" s="349" t="s">
        <v>1154</v>
      </c>
      <c r="C179" s="339">
        <v>303.3</v>
      </c>
      <c r="D179" s="356">
        <v>105456.53</v>
      </c>
      <c r="E179" s="371">
        <v>60</v>
      </c>
      <c r="F179" s="373">
        <v>10.5</v>
      </c>
      <c r="G179" s="356">
        <v>795.10904761904806</v>
      </c>
      <c r="H179" s="356">
        <v>0</v>
      </c>
      <c r="I179" s="356">
        <v>0</v>
      </c>
      <c r="J179" s="356">
        <v>0</v>
      </c>
      <c r="K179" s="356">
        <v>0</v>
      </c>
      <c r="L179" s="356">
        <v>0</v>
      </c>
      <c r="M179" s="356">
        <v>0</v>
      </c>
      <c r="N179" s="356">
        <v>0</v>
      </c>
      <c r="O179" s="356">
        <v>0</v>
      </c>
      <c r="P179" s="356">
        <v>0</v>
      </c>
      <c r="Q179" s="356">
        <v>0</v>
      </c>
      <c r="R179" s="356">
        <v>0</v>
      </c>
      <c r="S179" s="1140"/>
    </row>
    <row r="180" spans="1:19" ht="12.75" x14ac:dyDescent="0.2">
      <c r="A180" s="1663">
        <f t="shared" si="9"/>
        <v>57</v>
      </c>
      <c r="B180" s="349" t="s">
        <v>2196</v>
      </c>
      <c r="C180" s="339">
        <v>303.3</v>
      </c>
      <c r="D180" s="356">
        <v>17363.849999999999</v>
      </c>
      <c r="E180" s="371">
        <v>60</v>
      </c>
      <c r="F180" s="373">
        <v>58.5</v>
      </c>
      <c r="G180" s="356">
        <v>284.59675213675212</v>
      </c>
      <c r="H180" s="356">
        <v>284.59675213675212</v>
      </c>
      <c r="I180" s="356">
        <v>284.59675213675212</v>
      </c>
      <c r="J180" s="356">
        <v>284.59675213675212</v>
      </c>
      <c r="K180" s="356">
        <v>284.59675213675212</v>
      </c>
      <c r="L180" s="356">
        <v>284.59675213675212</v>
      </c>
      <c r="M180" s="356">
        <v>284.59675213675212</v>
      </c>
      <c r="N180" s="356">
        <v>284.59675213675212</v>
      </c>
      <c r="O180" s="356">
        <v>284.59675213675212</v>
      </c>
      <c r="P180" s="356">
        <v>284.59675213675212</v>
      </c>
      <c r="Q180" s="356">
        <v>284.59675213675212</v>
      </c>
      <c r="R180" s="356">
        <v>284.59675213675212</v>
      </c>
      <c r="S180" s="1140"/>
    </row>
    <row r="181" spans="1:19" ht="12.75" x14ac:dyDescent="0.2">
      <c r="A181" s="1663">
        <f t="shared" si="9"/>
        <v>58</v>
      </c>
      <c r="B181" s="349" t="s">
        <v>2197</v>
      </c>
      <c r="C181" s="339">
        <v>303.3</v>
      </c>
      <c r="D181" s="356">
        <v>30379.37</v>
      </c>
      <c r="E181" s="371">
        <v>60</v>
      </c>
      <c r="F181" s="373">
        <v>40.5</v>
      </c>
      <c r="G181" s="356">
        <v>555.41432098765426</v>
      </c>
      <c r="H181" s="356">
        <v>555.41432098765426</v>
      </c>
      <c r="I181" s="356">
        <v>555.41432098765426</v>
      </c>
      <c r="J181" s="356">
        <v>555.41432098765426</v>
      </c>
      <c r="K181" s="356">
        <v>555.41432098765426</v>
      </c>
      <c r="L181" s="356">
        <v>555.41432098765426</v>
      </c>
      <c r="M181" s="356">
        <v>555.41432098765426</v>
      </c>
      <c r="N181" s="356">
        <v>555.41432098765426</v>
      </c>
      <c r="O181" s="356">
        <v>555.41432098765426</v>
      </c>
      <c r="P181" s="356">
        <v>555.41432098765426</v>
      </c>
      <c r="Q181" s="356">
        <v>555.41432098765426</v>
      </c>
      <c r="R181" s="356">
        <v>555.41432098765426</v>
      </c>
      <c r="S181" s="1140"/>
    </row>
    <row r="182" spans="1:19" ht="12.75" x14ac:dyDescent="0.2">
      <c r="A182" s="1663">
        <f t="shared" si="9"/>
        <v>59</v>
      </c>
      <c r="B182" s="349" t="s">
        <v>2198</v>
      </c>
      <c r="C182" s="339">
        <v>303.3</v>
      </c>
      <c r="D182" s="356">
        <v>41940.620000000003</v>
      </c>
      <c r="E182" s="371">
        <v>60</v>
      </c>
      <c r="F182" s="373">
        <v>33.5</v>
      </c>
      <c r="G182" s="356">
        <v>687.77761194029858</v>
      </c>
      <c r="H182" s="356">
        <v>687.77761194029858</v>
      </c>
      <c r="I182" s="356">
        <v>687.77761194029858</v>
      </c>
      <c r="J182" s="356">
        <v>687.77761194029858</v>
      </c>
      <c r="K182" s="356">
        <v>687.77761194029858</v>
      </c>
      <c r="L182" s="356">
        <v>687.77761194029858</v>
      </c>
      <c r="M182" s="356">
        <v>687.77761194029858</v>
      </c>
      <c r="N182" s="356">
        <v>687.77761194029858</v>
      </c>
      <c r="O182" s="356">
        <v>687.77761194029858</v>
      </c>
      <c r="P182" s="356">
        <v>687.77761194029858</v>
      </c>
      <c r="Q182" s="356">
        <v>687.77761194029858</v>
      </c>
      <c r="R182" s="356">
        <v>687.77761194029858</v>
      </c>
      <c r="S182" s="1140"/>
    </row>
    <row r="183" spans="1:19" ht="12.75" x14ac:dyDescent="0.2">
      <c r="A183" s="1663">
        <f t="shared" si="9"/>
        <v>60</v>
      </c>
      <c r="B183" s="349" t="s">
        <v>2199</v>
      </c>
      <c r="C183" s="339">
        <v>303.3</v>
      </c>
      <c r="D183" s="356">
        <v>7414.54</v>
      </c>
      <c r="E183" s="371">
        <v>60</v>
      </c>
      <c r="F183" s="373">
        <v>35.5</v>
      </c>
      <c r="G183" s="356">
        <v>120.09408450704225</v>
      </c>
      <c r="H183" s="356">
        <v>120.09408450704225</v>
      </c>
      <c r="I183" s="356">
        <v>120.09408450704225</v>
      </c>
      <c r="J183" s="356">
        <v>120.09408450704225</v>
      </c>
      <c r="K183" s="356">
        <v>120.09408450704225</v>
      </c>
      <c r="L183" s="356">
        <v>120.09408450704225</v>
      </c>
      <c r="M183" s="356">
        <v>120.09408450704225</v>
      </c>
      <c r="N183" s="356">
        <v>120.09408450704225</v>
      </c>
      <c r="O183" s="356">
        <v>120.09408450704225</v>
      </c>
      <c r="P183" s="356">
        <v>120.09408450704225</v>
      </c>
      <c r="Q183" s="356">
        <v>120.09408450704225</v>
      </c>
      <c r="R183" s="356">
        <v>120.09408450704225</v>
      </c>
      <c r="S183" s="1140"/>
    </row>
    <row r="184" spans="1:19" ht="12.75" x14ac:dyDescent="0.2">
      <c r="A184" s="1663">
        <f t="shared" si="9"/>
        <v>61</v>
      </c>
      <c r="B184" s="349" t="s">
        <v>2200</v>
      </c>
      <c r="C184" s="339">
        <v>303.3</v>
      </c>
      <c r="D184" s="356">
        <v>3270.66</v>
      </c>
      <c r="E184" s="371">
        <v>60</v>
      </c>
      <c r="F184" s="373">
        <v>43.5</v>
      </c>
      <c r="G184" s="356">
        <v>53.261839080459765</v>
      </c>
      <c r="H184" s="356">
        <v>53.261839080459765</v>
      </c>
      <c r="I184" s="356">
        <v>53.261839080459765</v>
      </c>
      <c r="J184" s="356">
        <v>53.261839080459765</v>
      </c>
      <c r="K184" s="356">
        <v>53.261839080459765</v>
      </c>
      <c r="L184" s="356">
        <v>53.261839080459765</v>
      </c>
      <c r="M184" s="356">
        <v>53.261839080459765</v>
      </c>
      <c r="N184" s="356">
        <v>53.261839080459765</v>
      </c>
      <c r="O184" s="356">
        <v>53.261839080459765</v>
      </c>
      <c r="P184" s="356">
        <v>53.261839080459765</v>
      </c>
      <c r="Q184" s="356">
        <v>53.261839080459765</v>
      </c>
      <c r="R184" s="356">
        <v>53.261839080459765</v>
      </c>
      <c r="S184" s="1140"/>
    </row>
    <row r="185" spans="1:19" ht="12.75" x14ac:dyDescent="0.2">
      <c r="A185" s="1663">
        <f t="shared" si="9"/>
        <v>62</v>
      </c>
      <c r="B185" s="349" t="s">
        <v>2201</v>
      </c>
      <c r="C185" s="339">
        <v>303.3</v>
      </c>
      <c r="D185" s="356">
        <v>12084.06</v>
      </c>
      <c r="E185" s="371">
        <v>60</v>
      </c>
      <c r="F185" s="373">
        <v>60</v>
      </c>
      <c r="G185" s="356">
        <v>199.72266666666664</v>
      </c>
      <c r="H185" s="356">
        <v>199.72266666666664</v>
      </c>
      <c r="I185" s="356">
        <v>199.72266666666664</v>
      </c>
      <c r="J185" s="356">
        <v>199.72266666666664</v>
      </c>
      <c r="K185" s="356">
        <v>199.72266666666664</v>
      </c>
      <c r="L185" s="356">
        <v>199.72266666666664</v>
      </c>
      <c r="M185" s="356">
        <v>199.72266666666664</v>
      </c>
      <c r="N185" s="356">
        <v>199.72266666666664</v>
      </c>
      <c r="O185" s="356">
        <v>199.72266666666664</v>
      </c>
      <c r="P185" s="356">
        <v>199.72266666666664</v>
      </c>
      <c r="Q185" s="356">
        <v>199.72266666666664</v>
      </c>
      <c r="R185" s="356">
        <v>199.72266666666664</v>
      </c>
      <c r="S185" s="1140"/>
    </row>
    <row r="186" spans="1:19" ht="12.75" x14ac:dyDescent="0.2">
      <c r="A186" s="1663">
        <f t="shared" si="9"/>
        <v>63</v>
      </c>
      <c r="B186" s="349" t="s">
        <v>2202</v>
      </c>
      <c r="C186" s="339">
        <v>303.3</v>
      </c>
      <c r="D186" s="356">
        <v>116623.47</v>
      </c>
      <c r="E186" s="371">
        <v>60</v>
      </c>
      <c r="F186" s="373">
        <v>37.5</v>
      </c>
      <c r="G186" s="356">
        <v>2140.3978666666667</v>
      </c>
      <c r="H186" s="356">
        <v>2140.3978666666667</v>
      </c>
      <c r="I186" s="356">
        <v>2140.3978666666667</v>
      </c>
      <c r="J186" s="356">
        <v>2140.3978666666667</v>
      </c>
      <c r="K186" s="356">
        <v>2140.3978666666667</v>
      </c>
      <c r="L186" s="356">
        <v>2140.3978666666667</v>
      </c>
      <c r="M186" s="356">
        <v>2140.3978666666667</v>
      </c>
      <c r="N186" s="356">
        <v>2140.3978666666667</v>
      </c>
      <c r="O186" s="356">
        <v>2140.3978666666667</v>
      </c>
      <c r="P186" s="356">
        <v>2140.3978666666667</v>
      </c>
      <c r="Q186" s="356">
        <v>2140.3978666666667</v>
      </c>
      <c r="R186" s="356">
        <v>2140.3978666666667</v>
      </c>
      <c r="S186" s="1140"/>
    </row>
    <row r="187" spans="1:19" ht="12.75" x14ac:dyDescent="0.2">
      <c r="A187" s="332"/>
      <c r="B187" s="349"/>
      <c r="C187" s="339"/>
      <c r="D187" s="356"/>
      <c r="E187" s="371"/>
      <c r="F187" s="373"/>
      <c r="G187" s="356"/>
      <c r="H187" s="356"/>
      <c r="I187" s="356"/>
      <c r="J187" s="356"/>
      <c r="K187" s="356"/>
      <c r="L187" s="356"/>
      <c r="M187" s="356"/>
      <c r="N187" s="356"/>
      <c r="O187" s="356"/>
      <c r="P187" s="356"/>
      <c r="Q187" s="356"/>
      <c r="R187" s="356"/>
    </row>
    <row r="188" spans="1:19" ht="12.75" x14ac:dyDescent="0.2">
      <c r="A188" s="2079" t="str">
        <f>co</f>
        <v>COLUMBIA GAS OF KENTUCKY, INC.</v>
      </c>
      <c r="B188" s="2079"/>
      <c r="C188" s="2079"/>
      <c r="D188" s="2079"/>
      <c r="E188" s="2079"/>
      <c r="F188" s="2079"/>
      <c r="G188" s="2079"/>
      <c r="H188" s="2079"/>
      <c r="I188" s="2079"/>
      <c r="J188" s="2079"/>
      <c r="K188" s="2079"/>
      <c r="L188" s="2079"/>
      <c r="M188" s="2079"/>
      <c r="N188" s="2079"/>
      <c r="O188" s="2079"/>
      <c r="P188" s="2079"/>
      <c r="Q188" s="2079"/>
      <c r="R188" s="2079"/>
    </row>
    <row r="189" spans="1:19" ht="12.75" x14ac:dyDescent="0.2">
      <c r="A189" s="2079" t="str">
        <f>case</f>
        <v>CASE NO. 2016 - 00162</v>
      </c>
      <c r="B189" s="2079"/>
      <c r="C189" s="2079"/>
      <c r="D189" s="2079"/>
      <c r="E189" s="2079"/>
      <c r="F189" s="2079"/>
      <c r="G189" s="2079"/>
      <c r="H189" s="2079"/>
      <c r="I189" s="2079"/>
      <c r="J189" s="2079"/>
      <c r="K189" s="2079"/>
      <c r="L189" s="2079"/>
      <c r="M189" s="2079"/>
      <c r="N189" s="2079"/>
      <c r="O189" s="2079"/>
      <c r="P189" s="2079"/>
      <c r="Q189" s="2079"/>
      <c r="R189" s="2079"/>
    </row>
    <row r="190" spans="1:19" ht="12.75" x14ac:dyDescent="0.2">
      <c r="A190" s="2080" t="s">
        <v>1167</v>
      </c>
      <c r="B190" s="2080"/>
      <c r="C190" s="2080"/>
      <c r="D190" s="2080"/>
      <c r="E190" s="2080"/>
      <c r="F190" s="2080"/>
      <c r="G190" s="2080"/>
      <c r="H190" s="2080"/>
      <c r="I190" s="2080"/>
      <c r="J190" s="2080"/>
      <c r="K190" s="2080"/>
      <c r="L190" s="2080"/>
      <c r="M190" s="2080"/>
      <c r="N190" s="2080"/>
      <c r="O190" s="2080"/>
      <c r="P190" s="2080"/>
      <c r="Q190" s="2080"/>
      <c r="R190" s="2080"/>
    </row>
    <row r="191" spans="1:19" ht="12.75" x14ac:dyDescent="0.2">
      <c r="A191" s="2081" t="s">
        <v>2142</v>
      </c>
      <c r="B191" s="2081"/>
      <c r="C191" s="2081"/>
      <c r="D191" s="2081"/>
      <c r="E191" s="2081"/>
      <c r="F191" s="2081"/>
      <c r="G191" s="2081"/>
      <c r="H191" s="2081"/>
      <c r="I191" s="2081"/>
      <c r="J191" s="2081"/>
      <c r="K191" s="2081"/>
      <c r="L191" s="2081"/>
      <c r="M191" s="2081"/>
      <c r="N191" s="2081"/>
      <c r="O191" s="2081"/>
      <c r="P191" s="2081"/>
      <c r="Q191" s="2081"/>
      <c r="R191" s="2081"/>
    </row>
    <row r="192" spans="1:19" ht="12.75" x14ac:dyDescent="0.2">
      <c r="A192" s="127"/>
      <c r="B192" s="30"/>
      <c r="C192" s="30"/>
      <c r="D192" s="30"/>
      <c r="E192" s="30"/>
      <c r="F192" s="30"/>
      <c r="G192" s="171"/>
      <c r="H192" s="171"/>
      <c r="I192" s="30"/>
      <c r="J192" s="30"/>
      <c r="K192" s="30"/>
      <c r="L192" s="30"/>
      <c r="M192" s="30"/>
      <c r="N192" s="30"/>
      <c r="O192" s="30"/>
    </row>
    <row r="193" spans="1:18" ht="12.75" x14ac:dyDescent="0.2">
      <c r="A193" s="285" t="s">
        <v>1095</v>
      </c>
      <c r="B193" s="30"/>
      <c r="C193" s="171"/>
      <c r="D193" s="30"/>
      <c r="E193" s="30"/>
      <c r="F193" s="30"/>
      <c r="G193" s="171"/>
      <c r="H193" s="171"/>
      <c r="I193" s="30"/>
      <c r="J193" s="30"/>
      <c r="K193" s="32"/>
      <c r="L193" s="30"/>
      <c r="M193" s="30"/>
      <c r="N193" s="30"/>
      <c r="R193" s="1257" t="s">
        <v>1761</v>
      </c>
    </row>
    <row r="194" spans="1:18" ht="12.75" x14ac:dyDescent="0.2">
      <c r="A194" s="4" t="s">
        <v>977</v>
      </c>
      <c r="B194" s="30"/>
      <c r="C194" s="30"/>
      <c r="D194" s="30"/>
      <c r="E194" s="30"/>
      <c r="F194" s="30"/>
      <c r="G194" s="171"/>
      <c r="J194" s="30"/>
      <c r="K194" s="32"/>
      <c r="L194" s="30"/>
      <c r="M194" s="30"/>
      <c r="N194" s="30"/>
      <c r="R194" s="1256" t="s">
        <v>603</v>
      </c>
    </row>
    <row r="195" spans="1:18" ht="12.75" x14ac:dyDescent="0.2">
      <c r="A195" s="200" t="s">
        <v>1712</v>
      </c>
      <c r="B195" s="202"/>
      <c r="C195" s="202"/>
      <c r="D195" s="201"/>
      <c r="E195" s="201"/>
      <c r="F195" s="201"/>
      <c r="G195" s="202"/>
      <c r="I195" s="201"/>
      <c r="J195" s="201"/>
      <c r="K195" s="203"/>
      <c r="L195" s="30"/>
      <c r="M195" s="30"/>
      <c r="N195" s="32"/>
      <c r="R195" s="211" t="str">
        <f>SMK</f>
        <v>WITNESS:  S. M. KATKO</v>
      </c>
    </row>
    <row r="197" spans="1:18" ht="12.75" x14ac:dyDescent="0.2">
      <c r="A197" s="332"/>
      <c r="B197" s="333"/>
      <c r="C197" s="333"/>
      <c r="E197" s="334"/>
      <c r="F197" s="341" t="s">
        <v>1137</v>
      </c>
      <c r="G197" s="559">
        <v>42766</v>
      </c>
      <c r="H197" s="559">
        <v>42794</v>
      </c>
      <c r="I197" s="559">
        <v>42825</v>
      </c>
      <c r="J197" s="559">
        <v>42855</v>
      </c>
      <c r="K197" s="559">
        <v>42886</v>
      </c>
      <c r="L197" s="559">
        <v>42916</v>
      </c>
      <c r="M197" s="559">
        <v>42947</v>
      </c>
      <c r="N197" s="559">
        <v>42978</v>
      </c>
      <c r="O197" s="559">
        <v>43008</v>
      </c>
      <c r="P197" s="559">
        <v>43039</v>
      </c>
      <c r="Q197" s="559">
        <v>43069</v>
      </c>
      <c r="R197" s="559">
        <v>43100</v>
      </c>
    </row>
    <row r="198" spans="1:18" ht="12.75" x14ac:dyDescent="0.2">
      <c r="A198" s="332" t="s">
        <v>1080</v>
      </c>
      <c r="B198" s="333"/>
      <c r="C198" s="332" t="s">
        <v>1138</v>
      </c>
      <c r="D198" s="340" t="s">
        <v>1139</v>
      </c>
      <c r="E198" s="340" t="s">
        <v>1140</v>
      </c>
      <c r="F198" s="341" t="s">
        <v>1141</v>
      </c>
      <c r="G198" s="332" t="s">
        <v>1142</v>
      </c>
      <c r="H198" s="332" t="s">
        <v>1142</v>
      </c>
      <c r="I198" s="332" t="s">
        <v>1142</v>
      </c>
      <c r="J198" s="332" t="s">
        <v>1142</v>
      </c>
      <c r="K198" s="332" t="s">
        <v>1142</v>
      </c>
      <c r="L198" s="332" t="s">
        <v>1142</v>
      </c>
      <c r="M198" s="332" t="s">
        <v>1142</v>
      </c>
      <c r="N198" s="332" t="s">
        <v>1142</v>
      </c>
      <c r="O198" s="332" t="s">
        <v>1142</v>
      </c>
      <c r="P198" s="332" t="s">
        <v>1142</v>
      </c>
      <c r="Q198" s="332" t="s">
        <v>1142</v>
      </c>
      <c r="R198" s="332" t="s">
        <v>1142</v>
      </c>
    </row>
    <row r="199" spans="1:18" ht="12.75" x14ac:dyDescent="0.2">
      <c r="A199" s="344" t="s">
        <v>1081</v>
      </c>
      <c r="B199" s="336" t="s">
        <v>1083</v>
      </c>
      <c r="C199" s="345" t="s">
        <v>1124</v>
      </c>
      <c r="D199" s="346" t="s">
        <v>867</v>
      </c>
      <c r="E199" s="346" t="s">
        <v>1143</v>
      </c>
      <c r="F199" s="557">
        <v>42428</v>
      </c>
      <c r="G199" s="344" t="s">
        <v>1144</v>
      </c>
      <c r="H199" s="344" t="s">
        <v>1144</v>
      </c>
      <c r="I199" s="344" t="s">
        <v>1144</v>
      </c>
      <c r="J199" s="344" t="s">
        <v>1144</v>
      </c>
      <c r="K199" s="344" t="s">
        <v>1144</v>
      </c>
      <c r="L199" s="344" t="s">
        <v>1144</v>
      </c>
      <c r="M199" s="344" t="s">
        <v>1144</v>
      </c>
      <c r="N199" s="344" t="s">
        <v>1144</v>
      </c>
      <c r="O199" s="344" t="s">
        <v>1144</v>
      </c>
      <c r="P199" s="344" t="s">
        <v>1144</v>
      </c>
      <c r="Q199" s="344" t="s">
        <v>1144</v>
      </c>
      <c r="R199" s="344" t="s">
        <v>1144</v>
      </c>
    </row>
    <row r="200" spans="1:18" ht="12.75" x14ac:dyDescent="0.2">
      <c r="A200" s="332"/>
      <c r="B200" s="333"/>
      <c r="C200" s="347" t="s">
        <v>860</v>
      </c>
      <c r="D200" s="347" t="s">
        <v>877</v>
      </c>
      <c r="E200" s="347" t="s">
        <v>878</v>
      </c>
      <c r="F200" s="347" t="s">
        <v>1145</v>
      </c>
      <c r="G200" s="347" t="s">
        <v>1146</v>
      </c>
      <c r="H200" s="347" t="s">
        <v>1147</v>
      </c>
      <c r="I200" s="347" t="s">
        <v>1762</v>
      </c>
      <c r="J200" s="347" t="s">
        <v>1763</v>
      </c>
      <c r="K200" s="347" t="s">
        <v>1764</v>
      </c>
      <c r="L200" s="347" t="s">
        <v>1765</v>
      </c>
      <c r="M200" s="347" t="s">
        <v>1766</v>
      </c>
      <c r="N200" s="347" t="s">
        <v>1767</v>
      </c>
      <c r="O200" s="347" t="s">
        <v>1768</v>
      </c>
      <c r="P200" s="347" t="s">
        <v>1769</v>
      </c>
      <c r="Q200" s="347" t="s">
        <v>1770</v>
      </c>
      <c r="R200" s="347" t="s">
        <v>1771</v>
      </c>
    </row>
    <row r="201" spans="1:18" ht="12.75" x14ac:dyDescent="0.2">
      <c r="A201" s="332"/>
      <c r="B201" s="349"/>
      <c r="C201" s="339"/>
      <c r="D201" s="356"/>
      <c r="E201" s="371"/>
      <c r="F201" s="373"/>
      <c r="G201" s="356"/>
      <c r="H201" s="356"/>
      <c r="I201" s="356"/>
      <c r="J201" s="356"/>
      <c r="K201" s="356"/>
      <c r="L201" s="356"/>
      <c r="M201" s="356"/>
      <c r="N201" s="356"/>
      <c r="O201" s="356"/>
      <c r="P201" s="356"/>
      <c r="Q201" s="356"/>
      <c r="R201" s="356"/>
    </row>
    <row r="202" spans="1:18" ht="12.75" x14ac:dyDescent="0.2">
      <c r="A202" s="332">
        <v>1</v>
      </c>
      <c r="B202" s="1695" t="s">
        <v>2415</v>
      </c>
      <c r="C202" s="1691">
        <v>303.3</v>
      </c>
      <c r="D202" s="342">
        <f>ROUND('Intangible Amort.'!D172*'WPB2.2 Plant detail-w slippage'!$P$2,0)</f>
        <v>52132</v>
      </c>
      <c r="E202" s="371">
        <v>60</v>
      </c>
      <c r="F202" s="373"/>
      <c r="G202" s="342">
        <f t="shared" ref="G202:R211" si="10">ROUND($D202/$E202,0)</f>
        <v>869</v>
      </c>
      <c r="H202" s="342">
        <f t="shared" ref="H202:R202" si="11">ROUND($D$202/$E$202,0)</f>
        <v>869</v>
      </c>
      <c r="I202" s="342">
        <f t="shared" si="11"/>
        <v>869</v>
      </c>
      <c r="J202" s="342">
        <f t="shared" si="11"/>
        <v>869</v>
      </c>
      <c r="K202" s="342">
        <f t="shared" si="11"/>
        <v>869</v>
      </c>
      <c r="L202" s="342">
        <f t="shared" si="11"/>
        <v>869</v>
      </c>
      <c r="M202" s="342">
        <f t="shared" si="11"/>
        <v>869</v>
      </c>
      <c r="N202" s="342">
        <f t="shared" si="11"/>
        <v>869</v>
      </c>
      <c r="O202" s="342">
        <f t="shared" si="11"/>
        <v>869</v>
      </c>
      <c r="P202" s="342">
        <f t="shared" si="11"/>
        <v>869</v>
      </c>
      <c r="Q202" s="342">
        <f t="shared" si="11"/>
        <v>869</v>
      </c>
      <c r="R202" s="342">
        <f t="shared" si="11"/>
        <v>869</v>
      </c>
    </row>
    <row r="203" spans="1:18" ht="12.75" x14ac:dyDescent="0.2">
      <c r="A203" s="332">
        <f t="shared" si="9"/>
        <v>2</v>
      </c>
      <c r="B203" s="1702" t="s">
        <v>2416</v>
      </c>
      <c r="C203" s="1691">
        <v>303.3</v>
      </c>
      <c r="D203" s="342">
        <f>ROUND('Intangible Amort.'!D173*'WPB2.2 Plant detail-w slippage'!$P$2,0)</f>
        <v>94979</v>
      </c>
      <c r="E203" s="371">
        <v>60</v>
      </c>
      <c r="F203" s="373"/>
      <c r="G203" s="342">
        <f t="shared" si="10"/>
        <v>1583</v>
      </c>
      <c r="H203" s="342">
        <f t="shared" si="10"/>
        <v>1583</v>
      </c>
      <c r="I203" s="342">
        <f t="shared" si="10"/>
        <v>1583</v>
      </c>
      <c r="J203" s="342">
        <f t="shared" si="10"/>
        <v>1583</v>
      </c>
      <c r="K203" s="342">
        <f t="shared" si="10"/>
        <v>1583</v>
      </c>
      <c r="L203" s="342">
        <f t="shared" si="10"/>
        <v>1583</v>
      </c>
      <c r="M203" s="342">
        <f t="shared" si="10"/>
        <v>1583</v>
      </c>
      <c r="N203" s="342">
        <f t="shared" si="10"/>
        <v>1583</v>
      </c>
      <c r="O203" s="342">
        <f t="shared" si="10"/>
        <v>1583</v>
      </c>
      <c r="P203" s="342">
        <f t="shared" si="10"/>
        <v>1583</v>
      </c>
      <c r="Q203" s="342">
        <f t="shared" si="10"/>
        <v>1583</v>
      </c>
      <c r="R203" s="342">
        <f t="shared" si="10"/>
        <v>1583</v>
      </c>
    </row>
    <row r="204" spans="1:18" ht="12.75" x14ac:dyDescent="0.2">
      <c r="A204" s="332">
        <f t="shared" si="9"/>
        <v>3</v>
      </c>
      <c r="B204" s="1702" t="s">
        <v>2417</v>
      </c>
      <c r="C204" s="1691">
        <v>303.3</v>
      </c>
      <c r="D204" s="342">
        <f>ROUND('Intangible Amort.'!D174*'WPB2.2 Plant detail-w slippage'!$P$2,0)</f>
        <v>162266</v>
      </c>
      <c r="E204" s="371">
        <v>60</v>
      </c>
      <c r="F204" s="373"/>
      <c r="G204" s="342">
        <f t="shared" si="10"/>
        <v>2704</v>
      </c>
      <c r="H204" s="342">
        <f t="shared" si="10"/>
        <v>2704</v>
      </c>
      <c r="I204" s="342">
        <f t="shared" si="10"/>
        <v>2704</v>
      </c>
      <c r="J204" s="342">
        <f t="shared" si="10"/>
        <v>2704</v>
      </c>
      <c r="K204" s="342">
        <f t="shared" si="10"/>
        <v>2704</v>
      </c>
      <c r="L204" s="342">
        <f t="shared" si="10"/>
        <v>2704</v>
      </c>
      <c r="M204" s="342">
        <f t="shared" si="10"/>
        <v>2704</v>
      </c>
      <c r="N204" s="342">
        <f t="shared" si="10"/>
        <v>2704</v>
      </c>
      <c r="O204" s="342">
        <f t="shared" si="10"/>
        <v>2704</v>
      </c>
      <c r="P204" s="342">
        <f t="shared" si="10"/>
        <v>2704</v>
      </c>
      <c r="Q204" s="342">
        <f t="shared" si="10"/>
        <v>2704</v>
      </c>
      <c r="R204" s="342">
        <f t="shared" si="10"/>
        <v>2704</v>
      </c>
    </row>
    <row r="205" spans="1:18" ht="12.75" x14ac:dyDescent="0.2">
      <c r="A205" s="332">
        <f t="shared" si="9"/>
        <v>4</v>
      </c>
      <c r="B205" s="1702" t="s">
        <v>2418</v>
      </c>
      <c r="C205" s="1691">
        <v>303.3</v>
      </c>
      <c r="D205" s="342">
        <f>ROUND('Intangible Amort.'!D175*'WPB2.2 Plant detail-w slippage'!$P$2,0)</f>
        <v>109735</v>
      </c>
      <c r="E205" s="371">
        <v>60</v>
      </c>
      <c r="F205" s="373"/>
      <c r="G205" s="342">
        <f>ROUND($D205/$E205,0)</f>
        <v>1829</v>
      </c>
      <c r="H205" s="342">
        <f t="shared" si="10"/>
        <v>1829</v>
      </c>
      <c r="I205" s="342">
        <f t="shared" si="10"/>
        <v>1829</v>
      </c>
      <c r="J205" s="342">
        <f t="shared" si="10"/>
        <v>1829</v>
      </c>
      <c r="K205" s="342">
        <f t="shared" si="10"/>
        <v>1829</v>
      </c>
      <c r="L205" s="342">
        <f t="shared" si="10"/>
        <v>1829</v>
      </c>
      <c r="M205" s="342">
        <f t="shared" si="10"/>
        <v>1829</v>
      </c>
      <c r="N205" s="342">
        <f t="shared" si="10"/>
        <v>1829</v>
      </c>
      <c r="O205" s="342">
        <f t="shared" si="10"/>
        <v>1829</v>
      </c>
      <c r="P205" s="342">
        <f t="shared" si="10"/>
        <v>1829</v>
      </c>
      <c r="Q205" s="342">
        <f t="shared" si="10"/>
        <v>1829</v>
      </c>
      <c r="R205" s="342">
        <f t="shared" si="10"/>
        <v>1829</v>
      </c>
    </row>
    <row r="206" spans="1:18" ht="12.75" x14ac:dyDescent="0.2">
      <c r="A206" s="332">
        <f t="shared" si="9"/>
        <v>5</v>
      </c>
      <c r="B206" s="1702" t="s">
        <v>2419</v>
      </c>
      <c r="C206" s="1691">
        <v>303.3</v>
      </c>
      <c r="D206" s="342">
        <f>ROUND('Intangible Amort.'!D176*'WPB2.2 Plant detail-w slippage'!$P$2,0)</f>
        <v>99219</v>
      </c>
      <c r="E206" s="371">
        <v>60</v>
      </c>
      <c r="F206" s="373"/>
      <c r="G206" s="342">
        <f t="shared" si="10"/>
        <v>1654</v>
      </c>
      <c r="H206" s="342">
        <f t="shared" si="10"/>
        <v>1654</v>
      </c>
      <c r="I206" s="342">
        <f t="shared" si="10"/>
        <v>1654</v>
      </c>
      <c r="J206" s="342">
        <f t="shared" si="10"/>
        <v>1654</v>
      </c>
      <c r="K206" s="342">
        <f t="shared" si="10"/>
        <v>1654</v>
      </c>
      <c r="L206" s="342">
        <f t="shared" si="10"/>
        <v>1654</v>
      </c>
      <c r="M206" s="342">
        <f t="shared" si="10"/>
        <v>1654</v>
      </c>
      <c r="N206" s="342">
        <f t="shared" si="10"/>
        <v>1654</v>
      </c>
      <c r="O206" s="342">
        <f t="shared" si="10"/>
        <v>1654</v>
      </c>
      <c r="P206" s="342">
        <f t="shared" si="10"/>
        <v>1654</v>
      </c>
      <c r="Q206" s="342">
        <f t="shared" si="10"/>
        <v>1654</v>
      </c>
      <c r="R206" s="342">
        <f t="shared" si="10"/>
        <v>1654</v>
      </c>
    </row>
    <row r="207" spans="1:18" ht="12.75" x14ac:dyDescent="0.2">
      <c r="A207" s="332">
        <f t="shared" si="9"/>
        <v>6</v>
      </c>
      <c r="B207" s="1702" t="s">
        <v>2420</v>
      </c>
      <c r="C207" s="1691">
        <v>303.3</v>
      </c>
      <c r="D207" s="342">
        <f>ROUND('Intangible Amort.'!D177*'WPB2.2 Plant detail-w slippage'!$P$2,0)</f>
        <v>202119</v>
      </c>
      <c r="E207" s="371">
        <v>60</v>
      </c>
      <c r="F207" s="373"/>
      <c r="G207" s="342">
        <f t="shared" si="10"/>
        <v>3369</v>
      </c>
      <c r="H207" s="342">
        <f t="shared" si="10"/>
        <v>3369</v>
      </c>
      <c r="I207" s="342">
        <f t="shared" si="10"/>
        <v>3369</v>
      </c>
      <c r="J207" s="342">
        <f t="shared" si="10"/>
        <v>3369</v>
      </c>
      <c r="K207" s="342">
        <f t="shared" si="10"/>
        <v>3369</v>
      </c>
      <c r="L207" s="342">
        <f t="shared" si="10"/>
        <v>3369</v>
      </c>
      <c r="M207" s="342">
        <f t="shared" si="10"/>
        <v>3369</v>
      </c>
      <c r="N207" s="342">
        <f t="shared" si="10"/>
        <v>3369</v>
      </c>
      <c r="O207" s="342">
        <f t="shared" si="10"/>
        <v>3369</v>
      </c>
      <c r="P207" s="342">
        <f t="shared" si="10"/>
        <v>3369</v>
      </c>
      <c r="Q207" s="342">
        <f t="shared" si="10"/>
        <v>3369</v>
      </c>
      <c r="R207" s="342">
        <f t="shared" si="10"/>
        <v>3369</v>
      </c>
    </row>
    <row r="208" spans="1:18" ht="12.75" x14ac:dyDescent="0.2">
      <c r="A208" s="332">
        <f t="shared" si="9"/>
        <v>7</v>
      </c>
      <c r="B208" s="1702" t="s">
        <v>2421</v>
      </c>
      <c r="C208" s="1691">
        <v>303.3</v>
      </c>
      <c r="D208" s="342">
        <f>ROUND('Intangible Amort.'!D178*'WPB2.2 Plant detail-w slippage'!$P$2,0)</f>
        <v>202119</v>
      </c>
      <c r="E208" s="371">
        <v>60</v>
      </c>
      <c r="F208" s="373"/>
      <c r="G208" s="342">
        <f t="shared" si="10"/>
        <v>3369</v>
      </c>
      <c r="H208" s="342">
        <f t="shared" si="10"/>
        <v>3369</v>
      </c>
      <c r="I208" s="342">
        <f t="shared" si="10"/>
        <v>3369</v>
      </c>
      <c r="J208" s="342">
        <f t="shared" si="10"/>
        <v>3369</v>
      </c>
      <c r="K208" s="342">
        <f t="shared" si="10"/>
        <v>3369</v>
      </c>
      <c r="L208" s="342">
        <f t="shared" si="10"/>
        <v>3369</v>
      </c>
      <c r="M208" s="342">
        <f t="shared" si="10"/>
        <v>3369</v>
      </c>
      <c r="N208" s="342">
        <f t="shared" si="10"/>
        <v>3369</v>
      </c>
      <c r="O208" s="342">
        <f t="shared" si="10"/>
        <v>3369</v>
      </c>
      <c r="P208" s="342">
        <f t="shared" si="10"/>
        <v>3369</v>
      </c>
      <c r="Q208" s="342">
        <f t="shared" si="10"/>
        <v>3369</v>
      </c>
      <c r="R208" s="342">
        <f t="shared" si="10"/>
        <v>3369</v>
      </c>
    </row>
    <row r="209" spans="1:18" ht="12.75" x14ac:dyDescent="0.2">
      <c r="A209" s="332">
        <f t="shared" si="9"/>
        <v>8</v>
      </c>
      <c r="B209" s="1702" t="s">
        <v>2422</v>
      </c>
      <c r="C209" s="1691">
        <v>303.3</v>
      </c>
      <c r="D209" s="342">
        <f>ROUND('Intangible Amort.'!D179*'WPB2.2 Plant detail-w slippage'!$P$2,0)</f>
        <v>202119</v>
      </c>
      <c r="E209" s="371">
        <v>60</v>
      </c>
      <c r="F209" s="373"/>
      <c r="G209" s="342">
        <f t="shared" si="10"/>
        <v>3369</v>
      </c>
      <c r="H209" s="342">
        <f t="shared" si="10"/>
        <v>3369</v>
      </c>
      <c r="I209" s="342">
        <f t="shared" si="10"/>
        <v>3369</v>
      </c>
      <c r="J209" s="342">
        <f t="shared" si="10"/>
        <v>3369</v>
      </c>
      <c r="K209" s="342">
        <f t="shared" si="10"/>
        <v>3369</v>
      </c>
      <c r="L209" s="342">
        <f t="shared" si="10"/>
        <v>3369</v>
      </c>
      <c r="M209" s="342">
        <f t="shared" si="10"/>
        <v>3369</v>
      </c>
      <c r="N209" s="342">
        <f t="shared" si="10"/>
        <v>3369</v>
      </c>
      <c r="O209" s="342">
        <f t="shared" si="10"/>
        <v>3369</v>
      </c>
      <c r="P209" s="342">
        <f t="shared" si="10"/>
        <v>3369</v>
      </c>
      <c r="Q209" s="342">
        <f t="shared" si="10"/>
        <v>3369</v>
      </c>
      <c r="R209" s="342">
        <f t="shared" si="10"/>
        <v>3369</v>
      </c>
    </row>
    <row r="210" spans="1:18" ht="12.75" x14ac:dyDescent="0.2">
      <c r="A210" s="332">
        <f t="shared" si="9"/>
        <v>9</v>
      </c>
      <c r="B210" s="1702" t="s">
        <v>2423</v>
      </c>
      <c r="C210" s="1691">
        <v>303.3</v>
      </c>
      <c r="D210" s="342">
        <f>ROUND('Intangible Amort.'!D180*'WPB2.2 Plant detail-w slippage'!$P$2,0)</f>
        <v>202119</v>
      </c>
      <c r="E210" s="371">
        <v>60</v>
      </c>
      <c r="F210" s="373"/>
      <c r="G210" s="342">
        <f t="shared" si="10"/>
        <v>3369</v>
      </c>
      <c r="H210" s="342">
        <f t="shared" si="10"/>
        <v>3369</v>
      </c>
      <c r="I210" s="342">
        <f t="shared" si="10"/>
        <v>3369</v>
      </c>
      <c r="J210" s="342">
        <f t="shared" si="10"/>
        <v>3369</v>
      </c>
      <c r="K210" s="342">
        <f t="shared" si="10"/>
        <v>3369</v>
      </c>
      <c r="L210" s="342">
        <f t="shared" si="10"/>
        <v>3369</v>
      </c>
      <c r="M210" s="342">
        <f t="shared" si="10"/>
        <v>3369</v>
      </c>
      <c r="N210" s="342">
        <f t="shared" si="10"/>
        <v>3369</v>
      </c>
      <c r="O210" s="342">
        <f t="shared" si="10"/>
        <v>3369</v>
      </c>
      <c r="P210" s="342">
        <f t="shared" si="10"/>
        <v>3369</v>
      </c>
      <c r="Q210" s="342">
        <f t="shared" si="10"/>
        <v>3369</v>
      </c>
      <c r="R210" s="342">
        <f t="shared" si="10"/>
        <v>3369</v>
      </c>
    </row>
    <row r="211" spans="1:18" ht="12.75" x14ac:dyDescent="0.2">
      <c r="A211" s="332">
        <f t="shared" si="9"/>
        <v>10</v>
      </c>
      <c r="B211" s="1702" t="s">
        <v>2424</v>
      </c>
      <c r="C211" s="1691">
        <v>303.3</v>
      </c>
      <c r="D211" s="342">
        <f>ROUND('Intangible Amort.'!D181*'WPB2.2 Plant detail-w slippage'!$P$2,0)</f>
        <v>202118</v>
      </c>
      <c r="E211" s="371">
        <v>60</v>
      </c>
      <c r="F211" s="373"/>
      <c r="G211" s="342">
        <f t="shared" si="10"/>
        <v>3369</v>
      </c>
      <c r="H211" s="342">
        <f t="shared" si="10"/>
        <v>3369</v>
      </c>
      <c r="I211" s="342">
        <f t="shared" si="10"/>
        <v>3369</v>
      </c>
      <c r="J211" s="342">
        <f t="shared" si="10"/>
        <v>3369</v>
      </c>
      <c r="K211" s="342">
        <f t="shared" si="10"/>
        <v>3369</v>
      </c>
      <c r="L211" s="342">
        <f t="shared" si="10"/>
        <v>3369</v>
      </c>
      <c r="M211" s="342">
        <f t="shared" si="10"/>
        <v>3369</v>
      </c>
      <c r="N211" s="342">
        <f t="shared" si="10"/>
        <v>3369</v>
      </c>
      <c r="O211" s="342">
        <f t="shared" si="10"/>
        <v>3369</v>
      </c>
      <c r="P211" s="342">
        <f t="shared" si="10"/>
        <v>3369</v>
      </c>
      <c r="Q211" s="342">
        <f t="shared" si="10"/>
        <v>3369</v>
      </c>
      <c r="R211" s="342">
        <f t="shared" si="10"/>
        <v>3369</v>
      </c>
    </row>
    <row r="212" spans="1:18" ht="12.75" x14ac:dyDescent="0.2">
      <c r="A212" s="2053">
        <f t="shared" si="9"/>
        <v>11</v>
      </c>
      <c r="B212" s="1695" t="s">
        <v>2203</v>
      </c>
      <c r="C212" s="1691">
        <v>303.3</v>
      </c>
      <c r="D212" s="342">
        <f>ROUND('Intangible Amort.'!D182*'WPB2.2 Plant detail-w slippage'!$P$2,0)</f>
        <v>187860</v>
      </c>
      <c r="E212" s="371">
        <v>60</v>
      </c>
      <c r="F212" s="373"/>
      <c r="G212" s="356"/>
      <c r="H212" s="356"/>
      <c r="I212" s="356"/>
      <c r="J212" s="342">
        <f t="shared" ref="J212" si="12">ROUND(($D212/$E212)/2,0)</f>
        <v>1566</v>
      </c>
      <c r="K212" s="342">
        <f t="shared" ref="K212:R213" si="13">ROUND(($D212/$E212),0)</f>
        <v>3131</v>
      </c>
      <c r="L212" s="342">
        <f t="shared" si="13"/>
        <v>3131</v>
      </c>
      <c r="M212" s="342">
        <f t="shared" si="13"/>
        <v>3131</v>
      </c>
      <c r="N212" s="342">
        <f t="shared" si="13"/>
        <v>3131</v>
      </c>
      <c r="O212" s="342">
        <f t="shared" si="13"/>
        <v>3131</v>
      </c>
      <c r="P212" s="342">
        <f t="shared" si="13"/>
        <v>3131</v>
      </c>
      <c r="Q212" s="342">
        <f t="shared" si="13"/>
        <v>3131</v>
      </c>
      <c r="R212" s="342">
        <f t="shared" si="13"/>
        <v>3131</v>
      </c>
    </row>
    <row r="213" spans="1:18" ht="12.75" x14ac:dyDescent="0.2">
      <c r="A213" s="2053">
        <f t="shared" ref="A213:A216" si="14">A212+1</f>
        <v>12</v>
      </c>
      <c r="B213" s="1695" t="s">
        <v>2206</v>
      </c>
      <c r="C213" s="1691">
        <v>303.3</v>
      </c>
      <c r="D213" s="342">
        <f>ROUND('Intangible Amort.'!D183*'WPB2.2 Plant detail-w slippage'!$P$2,0)</f>
        <v>2652000</v>
      </c>
      <c r="E213" s="371">
        <v>60</v>
      </c>
      <c r="F213" s="373"/>
      <c r="G213" s="356"/>
      <c r="H213" s="356"/>
      <c r="I213" s="356"/>
      <c r="J213" s="356"/>
      <c r="K213" s="356"/>
      <c r="L213" s="356"/>
      <c r="M213" s="342">
        <f t="shared" ref="M213" si="15">ROUND(($D213/$E213)/2,0)</f>
        <v>22100</v>
      </c>
      <c r="N213" s="342">
        <f t="shared" si="13"/>
        <v>44200</v>
      </c>
      <c r="O213" s="342">
        <f t="shared" si="13"/>
        <v>44200</v>
      </c>
      <c r="P213" s="342">
        <f t="shared" si="13"/>
        <v>44200</v>
      </c>
      <c r="Q213" s="342">
        <f t="shared" si="13"/>
        <v>44200</v>
      </c>
      <c r="R213" s="342">
        <f t="shared" si="13"/>
        <v>44200</v>
      </c>
    </row>
    <row r="214" spans="1:18" ht="12.75" x14ac:dyDescent="0.2">
      <c r="A214" s="2053">
        <f t="shared" si="14"/>
        <v>13</v>
      </c>
      <c r="B214" s="1695" t="s">
        <v>2204</v>
      </c>
      <c r="C214" s="1691">
        <v>303.3</v>
      </c>
      <c r="D214" s="342">
        <f>ROUND('Intangible Amort.'!D184*'WPB2.2 Plant detail-w slippage'!$P$2,0)</f>
        <v>11760</v>
      </c>
      <c r="E214" s="371">
        <v>60</v>
      </c>
      <c r="F214" s="373"/>
      <c r="G214" s="356"/>
      <c r="H214" s="356"/>
      <c r="I214" s="356"/>
      <c r="J214" s="356"/>
      <c r="K214" s="356"/>
      <c r="L214" s="356"/>
      <c r="M214" s="342"/>
      <c r="N214" s="342"/>
      <c r="O214" s="342"/>
      <c r="P214" s="342"/>
      <c r="Q214" s="342"/>
      <c r="R214" s="342">
        <f t="shared" ref="R214:R215" si="16">ROUND(($D214/$E214)/2,0)</f>
        <v>98</v>
      </c>
    </row>
    <row r="215" spans="1:18" ht="12.75" x14ac:dyDescent="0.2">
      <c r="A215" s="2053">
        <f t="shared" si="14"/>
        <v>14</v>
      </c>
      <c r="B215" s="1695" t="s">
        <v>2205</v>
      </c>
      <c r="C215" s="1691">
        <v>303.3</v>
      </c>
      <c r="D215" s="342">
        <f>ROUND('Intangible Amort.'!D185*'WPB2.2 Plant detail-w slippage'!$P$2,0)</f>
        <v>34845</v>
      </c>
      <c r="E215" s="371">
        <v>60</v>
      </c>
      <c r="F215" s="373"/>
      <c r="G215" s="1264"/>
      <c r="H215" s="1264"/>
      <c r="I215" s="1264"/>
      <c r="J215" s="1264"/>
      <c r="K215" s="1264"/>
      <c r="L215" s="1264"/>
      <c r="M215" s="1264"/>
      <c r="N215" s="1264"/>
      <c r="O215" s="1264"/>
      <c r="P215" s="1264"/>
      <c r="Q215" s="1264"/>
      <c r="R215" s="1720">
        <f t="shared" si="16"/>
        <v>290</v>
      </c>
    </row>
    <row r="216" spans="1:18" ht="12.75" x14ac:dyDescent="0.2">
      <c r="A216" s="2053">
        <f t="shared" si="14"/>
        <v>15</v>
      </c>
      <c r="B216" s="349" t="s">
        <v>1166</v>
      </c>
      <c r="C216" s="339"/>
      <c r="D216" s="342"/>
      <c r="E216" s="371"/>
      <c r="F216" s="373"/>
      <c r="G216" s="342">
        <f t="shared" ref="G216:R216" si="17">SUM(G202:G215,G130:G186)</f>
        <v>84501.362770399035</v>
      </c>
      <c r="H216" s="342">
        <f t="shared" si="17"/>
        <v>81875.077056113325</v>
      </c>
      <c r="I216" s="342">
        <f t="shared" si="17"/>
        <v>81875.077056113325</v>
      </c>
      <c r="J216" s="342">
        <f t="shared" si="17"/>
        <v>83441.077056113325</v>
      </c>
      <c r="K216" s="342">
        <f t="shared" si="17"/>
        <v>85006.077056113325</v>
      </c>
      <c r="L216" s="342">
        <f t="shared" si="17"/>
        <v>84463.826088371381</v>
      </c>
      <c r="M216" s="342">
        <f t="shared" si="17"/>
        <v>105933.10996911427</v>
      </c>
      <c r="N216" s="342">
        <f t="shared" si="17"/>
        <v>127911.62224617059</v>
      </c>
      <c r="O216" s="342">
        <f t="shared" si="17"/>
        <v>127878.599674742</v>
      </c>
      <c r="P216" s="342">
        <f t="shared" si="17"/>
        <v>127412.66762345997</v>
      </c>
      <c r="Q216" s="342">
        <f t="shared" si="17"/>
        <v>125786.85410876328</v>
      </c>
      <c r="R216" s="342">
        <f t="shared" si="17"/>
        <v>125014.97264534864</v>
      </c>
    </row>
    <row r="217" spans="1:18" ht="12.75" x14ac:dyDescent="0.2">
      <c r="B217" s="349"/>
      <c r="D217" s="342"/>
      <c r="E217" s="371"/>
      <c r="F217" s="373"/>
      <c r="G217" s="342"/>
    </row>
    <row r="218" spans="1:18" ht="13.5" thickBot="1" x14ac:dyDescent="0.25">
      <c r="A218" s="1248">
        <f>A216+1</f>
        <v>16</v>
      </c>
      <c r="B218" s="358" t="s">
        <v>1031</v>
      </c>
      <c r="D218" s="342"/>
      <c r="E218" s="374"/>
      <c r="F218" s="374"/>
      <c r="G218" s="1265">
        <f t="shared" ref="G218:R218" si="18">G216+G127</f>
        <v>84707.882770399039</v>
      </c>
      <c r="H218" s="1265">
        <f t="shared" si="18"/>
        <v>82081.597056113329</v>
      </c>
      <c r="I218" s="1265">
        <f t="shared" si="18"/>
        <v>82081.597056113329</v>
      </c>
      <c r="J218" s="1265">
        <f t="shared" si="18"/>
        <v>83647.597056113329</v>
      </c>
      <c r="K218" s="1265">
        <f t="shared" si="18"/>
        <v>85212.597056113329</v>
      </c>
      <c r="L218" s="1265">
        <f t="shared" si="18"/>
        <v>84670.346088371385</v>
      </c>
      <c r="M218" s="1265">
        <f t="shared" si="18"/>
        <v>106139.62996911428</v>
      </c>
      <c r="N218" s="1265">
        <f t="shared" si="18"/>
        <v>128118.1422461706</v>
      </c>
      <c r="O218" s="1265">
        <f t="shared" si="18"/>
        <v>128085.119674742</v>
      </c>
      <c r="P218" s="1265">
        <f t="shared" si="18"/>
        <v>127619.18762345998</v>
      </c>
      <c r="Q218" s="1265">
        <f t="shared" si="18"/>
        <v>125993.37410876328</v>
      </c>
      <c r="R218" s="1265">
        <f t="shared" si="18"/>
        <v>125221.49264534864</v>
      </c>
    </row>
    <row r="219" spans="1:18" ht="11.25" thickTop="1" x14ac:dyDescent="0.15"/>
  </sheetData>
  <mergeCells count="17">
    <mergeCell ref="A84:Q84"/>
    <mergeCell ref="A83:Q83"/>
    <mergeCell ref="A80:Q80"/>
    <mergeCell ref="A191:R191"/>
    <mergeCell ref="A190:R190"/>
    <mergeCell ref="A189:R189"/>
    <mergeCell ref="A188:R188"/>
    <mergeCell ref="A112:R112"/>
    <mergeCell ref="A111:R111"/>
    <mergeCell ref="A110:R110"/>
    <mergeCell ref="A109:R109"/>
    <mergeCell ref="A1:Q1"/>
    <mergeCell ref="A2:Q2"/>
    <mergeCell ref="A3:Q3"/>
    <mergeCell ref="A82:Q82"/>
    <mergeCell ref="A81:Q81"/>
    <mergeCell ref="A4:Q4"/>
  </mergeCells>
  <phoneticPr fontId="0" type="noConversion"/>
  <pageMargins left="1" right="0.5" top="1" bottom="0.75" header="0.3" footer="0.3"/>
  <pageSetup scale="38" fitToHeight="4" orientation="landscape" r:id="rId1"/>
  <headerFooter>
    <oddHeader>&amp;R&amp;"Arial,Regular"&amp;10KY PSC Case No. 2016-00162, Attachment A to Staff 3-4</oddHeader>
  </headerFooter>
  <rowBreaks count="2" manualBreakCount="2">
    <brk id="79" max="17" man="1"/>
    <brk id="108" max="17" man="1"/>
  </rowBreaks>
  <ignoredErrors>
    <ignoredError sqref="C13:Q13 C92:Q92 C121:R121 C200:R200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99">
    <pageSetUpPr fitToPage="1"/>
  </sheetPr>
  <dimension ref="A1:P27"/>
  <sheetViews>
    <sheetView showGridLines="0" view="pageBreakPreview" zoomScale="60" zoomScaleNormal="100" workbookViewId="0">
      <selection activeCell="F46" sqref="F46"/>
    </sheetView>
  </sheetViews>
  <sheetFormatPr defaultColWidth="9.83203125" defaultRowHeight="12.75" x14ac:dyDescent="0.2"/>
  <cols>
    <col min="1" max="1" width="7.83203125" style="129" customWidth="1"/>
    <col min="2" max="2" width="3.83203125" style="129" customWidth="1"/>
    <col min="3" max="3" width="7.5" style="129" bestFit="1" customWidth="1"/>
    <col min="4" max="4" width="3.83203125" style="129" customWidth="1"/>
    <col min="5" max="5" width="13.5" style="129" bestFit="1" customWidth="1"/>
    <col min="6" max="6" width="3.83203125" style="129" customWidth="1"/>
    <col min="7" max="7" width="15.5" style="129" bestFit="1" customWidth="1"/>
    <col min="8" max="8" width="3.83203125" style="129" customWidth="1"/>
    <col min="9" max="9" width="18.5" style="129" bestFit="1" customWidth="1"/>
    <col min="10" max="10" width="3.83203125" style="129" customWidth="1"/>
    <col min="11" max="11" width="15.83203125" style="129" customWidth="1"/>
    <col min="12" max="12" width="3.83203125" style="129" customWidth="1"/>
    <col min="13" max="13" width="19.33203125" style="129" bestFit="1" customWidth="1"/>
    <col min="14" max="14" width="3.83203125" style="129" customWidth="1"/>
    <col min="15" max="15" width="32" style="129" bestFit="1" customWidth="1"/>
    <col min="16" max="16384" width="9.83203125" style="129"/>
  </cols>
  <sheetData>
    <row r="1" spans="1:16" x14ac:dyDescent="0.2">
      <c r="A1" s="2088" t="str">
        <f>co</f>
        <v>COLUMBIA GAS OF KENTUCKY, INC.</v>
      </c>
      <c r="B1" s="2088"/>
      <c r="C1" s="2088"/>
      <c r="D1" s="2088"/>
      <c r="E1" s="2088"/>
      <c r="F1" s="2088"/>
      <c r="G1" s="2088"/>
      <c r="H1" s="2088"/>
      <c r="I1" s="2088"/>
      <c r="J1" s="2088"/>
      <c r="K1" s="2088"/>
      <c r="L1" s="2088"/>
      <c r="M1" s="2088"/>
      <c r="N1" s="2088"/>
      <c r="O1" s="2088"/>
      <c r="P1" s="212"/>
    </row>
    <row r="2" spans="1:16" x14ac:dyDescent="0.2">
      <c r="A2" s="2088" t="str">
        <f>case</f>
        <v>CASE NO. 2016 - 00162</v>
      </c>
      <c r="B2" s="2088"/>
      <c r="C2" s="2088"/>
      <c r="D2" s="2088"/>
      <c r="E2" s="2088"/>
      <c r="F2" s="2088"/>
      <c r="G2" s="2088"/>
      <c r="H2" s="2088"/>
      <c r="I2" s="2088"/>
      <c r="J2" s="2088"/>
      <c r="K2" s="2088"/>
      <c r="L2" s="2088"/>
      <c r="M2" s="2088"/>
      <c r="N2" s="2088"/>
      <c r="O2" s="2088"/>
      <c r="P2" s="212"/>
    </row>
    <row r="3" spans="1:16" x14ac:dyDescent="0.2">
      <c r="A3" s="2061" t="s">
        <v>753</v>
      </c>
      <c r="B3" s="2061"/>
      <c r="C3" s="2061"/>
      <c r="D3" s="2061"/>
      <c r="E3" s="2061"/>
      <c r="F3" s="2061"/>
      <c r="G3" s="2061"/>
      <c r="H3" s="2061"/>
      <c r="I3" s="2061"/>
      <c r="J3" s="2061"/>
      <c r="K3" s="2061"/>
      <c r="L3" s="2061"/>
      <c r="M3" s="2061"/>
      <c r="N3" s="2061"/>
      <c r="O3" s="2061"/>
      <c r="P3" s="213"/>
    </row>
    <row r="4" spans="1:16" x14ac:dyDescent="0.2">
      <c r="A4" s="2088" t="str">
        <f>dateb</f>
        <v>AS OF AUGUST 31, 2016</v>
      </c>
      <c r="B4" s="2088"/>
      <c r="C4" s="2088"/>
      <c r="D4" s="2088"/>
      <c r="E4" s="2088"/>
      <c r="F4" s="2088"/>
      <c r="G4" s="2088"/>
      <c r="H4" s="2088"/>
      <c r="I4" s="2088"/>
      <c r="J4" s="2088"/>
      <c r="K4" s="2088"/>
      <c r="L4" s="2088"/>
      <c r="M4" s="2088"/>
      <c r="N4" s="2088"/>
      <c r="O4" s="2088"/>
      <c r="P4" s="212"/>
    </row>
    <row r="6" spans="1:16" x14ac:dyDescent="0.2">
      <c r="A6" s="160" t="s">
        <v>976</v>
      </c>
      <c r="M6" s="160"/>
      <c r="O6" s="164" t="s">
        <v>754</v>
      </c>
    </row>
    <row r="7" spans="1:16" x14ac:dyDescent="0.2">
      <c r="A7" s="160" t="s">
        <v>977</v>
      </c>
      <c r="M7" s="160"/>
      <c r="O7" s="164" t="s">
        <v>628</v>
      </c>
    </row>
    <row r="8" spans="1:16" x14ac:dyDescent="0.2">
      <c r="A8" s="165" t="s">
        <v>978</v>
      </c>
      <c r="B8" s="166"/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5"/>
      <c r="N8" s="166"/>
      <c r="O8" s="211" t="str">
        <f>SMK</f>
        <v>WITNESS:  S. M. KATKO</v>
      </c>
    </row>
    <row r="9" spans="1:16" x14ac:dyDescent="0.2">
      <c r="G9" s="159" t="s">
        <v>670</v>
      </c>
      <c r="O9" s="159" t="s">
        <v>755</v>
      </c>
    </row>
    <row r="10" spans="1:16" x14ac:dyDescent="0.2">
      <c r="A10" s="159" t="s">
        <v>632</v>
      </c>
      <c r="C10" s="159" t="s">
        <v>692</v>
      </c>
      <c r="E10" s="159" t="s">
        <v>756</v>
      </c>
      <c r="G10" s="159" t="s">
        <v>675</v>
      </c>
      <c r="I10" s="159" t="s">
        <v>671</v>
      </c>
      <c r="K10" s="159" t="s">
        <v>671</v>
      </c>
      <c r="M10" s="159" t="s">
        <v>757</v>
      </c>
      <c r="O10" s="159" t="s">
        <v>758</v>
      </c>
    </row>
    <row r="11" spans="1:16" x14ac:dyDescent="0.2">
      <c r="A11" s="167" t="s">
        <v>635</v>
      </c>
      <c r="B11" s="166"/>
      <c r="C11" s="167" t="s">
        <v>635</v>
      </c>
      <c r="D11" s="166"/>
      <c r="E11" s="167" t="s">
        <v>759</v>
      </c>
      <c r="F11" s="166"/>
      <c r="G11" s="167" t="s">
        <v>760</v>
      </c>
      <c r="H11" s="166"/>
      <c r="I11" s="167" t="s">
        <v>676</v>
      </c>
      <c r="J11" s="166"/>
      <c r="K11" s="167" t="s">
        <v>677</v>
      </c>
      <c r="L11" s="166"/>
      <c r="M11" s="167" t="s">
        <v>761</v>
      </c>
      <c r="N11" s="166"/>
      <c r="O11" s="167" t="s">
        <v>760</v>
      </c>
    </row>
    <row r="12" spans="1:16" x14ac:dyDescent="0.2">
      <c r="G12" s="159"/>
      <c r="K12" s="159"/>
    </row>
    <row r="14" spans="1:16" x14ac:dyDescent="0.2">
      <c r="G14" s="10"/>
      <c r="I14" s="128"/>
      <c r="J14" s="10"/>
      <c r="K14" s="10"/>
      <c r="L14" s="10"/>
      <c r="M14" s="10"/>
      <c r="O14" s="10"/>
    </row>
    <row r="15" spans="1:16" x14ac:dyDescent="0.2">
      <c r="G15" s="10"/>
      <c r="J15" s="10"/>
      <c r="K15" s="10"/>
      <c r="L15" s="10"/>
      <c r="M15" s="10"/>
    </row>
    <row r="16" spans="1:16" x14ac:dyDescent="0.2">
      <c r="E16" s="2087" t="s">
        <v>2388</v>
      </c>
      <c r="F16" s="2087"/>
      <c r="G16" s="2087"/>
      <c r="H16" s="2087"/>
      <c r="I16" s="2087"/>
      <c r="J16" s="2087"/>
      <c r="K16" s="2087"/>
      <c r="L16" s="2087"/>
      <c r="M16" s="2087"/>
      <c r="N16" s="2087"/>
      <c r="O16" s="10"/>
    </row>
    <row r="17" spans="5:15" x14ac:dyDescent="0.2">
      <c r="E17" s="2087" t="s">
        <v>2386</v>
      </c>
      <c r="F17" s="2087"/>
      <c r="G17" s="2087"/>
      <c r="H17" s="2087"/>
      <c r="I17" s="2087"/>
      <c r="J17" s="2087"/>
      <c r="K17" s="2087"/>
      <c r="L17" s="2087"/>
      <c r="M17" s="2087"/>
      <c r="N17" s="2087"/>
      <c r="O17" s="10"/>
    </row>
    <row r="18" spans="5:15" x14ac:dyDescent="0.2">
      <c r="G18" s="10"/>
      <c r="I18" s="128"/>
      <c r="J18" s="10"/>
      <c r="K18" s="10"/>
      <c r="L18" s="10"/>
      <c r="M18" s="10"/>
      <c r="O18" s="10"/>
    </row>
    <row r="19" spans="5:15" x14ac:dyDescent="0.2">
      <c r="G19" s="10"/>
      <c r="J19" s="10"/>
      <c r="K19" s="10"/>
      <c r="L19" s="10"/>
      <c r="M19" s="10"/>
      <c r="O19" s="10"/>
    </row>
    <row r="20" spans="5:15" x14ac:dyDescent="0.2">
      <c r="G20" s="10"/>
      <c r="I20" s="128"/>
      <c r="J20" s="10"/>
      <c r="K20" s="10"/>
      <c r="L20" s="10"/>
      <c r="M20" s="10"/>
      <c r="O20" s="10"/>
    </row>
    <row r="21" spans="5:15" x14ac:dyDescent="0.2">
      <c r="G21" s="10"/>
      <c r="J21" s="10"/>
      <c r="K21" s="10"/>
      <c r="L21" s="10"/>
      <c r="M21" s="10"/>
      <c r="O21" s="10"/>
    </row>
    <row r="22" spans="5:15" x14ac:dyDescent="0.2">
      <c r="G22" s="10"/>
      <c r="I22" s="128"/>
      <c r="J22" s="10"/>
      <c r="K22" s="10"/>
      <c r="L22" s="10"/>
      <c r="M22" s="10"/>
      <c r="O22" s="10"/>
    </row>
    <row r="23" spans="5:15" x14ac:dyDescent="0.2">
      <c r="G23" s="10"/>
      <c r="J23" s="10"/>
      <c r="K23" s="10"/>
      <c r="L23" s="10"/>
      <c r="M23" s="10"/>
      <c r="O23" s="10"/>
    </row>
    <row r="24" spans="5:15" x14ac:dyDescent="0.2">
      <c r="G24" s="10"/>
      <c r="I24" s="128"/>
      <c r="J24" s="10"/>
      <c r="K24" s="10"/>
      <c r="L24" s="10"/>
      <c r="M24" s="10"/>
      <c r="O24" s="10"/>
    </row>
    <row r="25" spans="5:15" x14ac:dyDescent="0.2">
      <c r="G25" s="10"/>
      <c r="J25" s="10"/>
      <c r="K25" s="10"/>
      <c r="L25" s="10"/>
      <c r="M25" s="10"/>
      <c r="O25" s="10"/>
    </row>
    <row r="26" spans="5:15" x14ac:dyDescent="0.2">
      <c r="G26" s="10"/>
      <c r="I26" s="128"/>
      <c r="J26" s="10"/>
      <c r="K26" s="10"/>
      <c r="L26" s="10"/>
      <c r="M26" s="10"/>
      <c r="O26" s="10"/>
    </row>
    <row r="27" spans="5:15" x14ac:dyDescent="0.2">
      <c r="G27" s="10"/>
      <c r="J27" s="10"/>
      <c r="K27" s="10"/>
      <c r="L27" s="10"/>
      <c r="M27" s="10"/>
      <c r="O27" s="10"/>
    </row>
  </sheetData>
  <mergeCells count="6">
    <mergeCell ref="E17:N17"/>
    <mergeCell ref="A1:O1"/>
    <mergeCell ref="A2:O2"/>
    <mergeCell ref="A3:O3"/>
    <mergeCell ref="A4:O4"/>
    <mergeCell ref="E16:N16"/>
  </mergeCells>
  <pageMargins left="1" right="0.5" top="1" bottom="0.75" header="0.3" footer="0.3"/>
  <pageSetup scale="71" fitToHeight="0" orientation="portrait" r:id="rId1"/>
  <headerFooter>
    <oddHeader>&amp;R&amp;"Arial,Regular"&amp;10KY PSC Case No. 2016-00162, Attachment A to Staff 3-4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98">
    <pageSetUpPr fitToPage="1"/>
  </sheetPr>
  <dimension ref="A1:P27"/>
  <sheetViews>
    <sheetView showGridLines="0" view="pageBreakPreview" zoomScale="60" zoomScaleNormal="100" workbookViewId="0">
      <selection activeCell="F46" sqref="F46"/>
    </sheetView>
  </sheetViews>
  <sheetFormatPr defaultColWidth="9.83203125" defaultRowHeight="12.75" x14ac:dyDescent="0.2"/>
  <cols>
    <col min="1" max="1" width="7.83203125" style="129" customWidth="1"/>
    <col min="2" max="2" width="3.83203125" style="129" customWidth="1"/>
    <col min="3" max="3" width="7.5" style="129" bestFit="1" customWidth="1"/>
    <col min="4" max="4" width="3.83203125" style="129" customWidth="1"/>
    <col min="5" max="5" width="13.5" style="129" bestFit="1" customWidth="1"/>
    <col min="6" max="6" width="3.83203125" style="129" customWidth="1"/>
    <col min="7" max="7" width="15.5" style="129" bestFit="1" customWidth="1"/>
    <col min="8" max="8" width="3.83203125" style="129" customWidth="1"/>
    <col min="9" max="9" width="18.5" style="129" bestFit="1" customWidth="1"/>
    <col min="10" max="10" width="3.83203125" style="129" customWidth="1"/>
    <col min="11" max="11" width="15.83203125" style="129" customWidth="1"/>
    <col min="12" max="12" width="3.83203125" style="129" customWidth="1"/>
    <col min="13" max="13" width="19.33203125" style="129" bestFit="1" customWidth="1"/>
    <col min="14" max="14" width="3.83203125" style="129" customWidth="1"/>
    <col min="15" max="15" width="32" style="129" bestFit="1" customWidth="1"/>
    <col min="16" max="16384" width="9.83203125" style="129"/>
  </cols>
  <sheetData>
    <row r="1" spans="1:16" x14ac:dyDescent="0.2">
      <c r="A1" s="2088" t="str">
        <f>co</f>
        <v>COLUMBIA GAS OF KENTUCKY, INC.</v>
      </c>
      <c r="B1" s="2088"/>
      <c r="C1" s="2088"/>
      <c r="D1" s="2088"/>
      <c r="E1" s="2088"/>
      <c r="F1" s="2088"/>
      <c r="G1" s="2088"/>
      <c r="H1" s="2088"/>
      <c r="I1" s="2088"/>
      <c r="J1" s="2088"/>
      <c r="K1" s="2088"/>
      <c r="L1" s="2088"/>
      <c r="M1" s="2088"/>
      <c r="N1" s="2088"/>
      <c r="O1" s="2088"/>
      <c r="P1" s="212"/>
    </row>
    <row r="2" spans="1:16" x14ac:dyDescent="0.2">
      <c r="A2" s="2088" t="str">
        <f>case</f>
        <v>CASE NO. 2016 - 00162</v>
      </c>
      <c r="B2" s="2088"/>
      <c r="C2" s="2088"/>
      <c r="D2" s="2088"/>
      <c r="E2" s="2088"/>
      <c r="F2" s="2088"/>
      <c r="G2" s="2088"/>
      <c r="H2" s="2088"/>
      <c r="I2" s="2088"/>
      <c r="J2" s="2088"/>
      <c r="K2" s="2088"/>
      <c r="L2" s="2088"/>
      <c r="M2" s="2088"/>
      <c r="N2" s="2088"/>
      <c r="O2" s="2088"/>
      <c r="P2" s="212"/>
    </row>
    <row r="3" spans="1:16" x14ac:dyDescent="0.2">
      <c r="A3" s="2061" t="s">
        <v>753</v>
      </c>
      <c r="B3" s="2061"/>
      <c r="C3" s="2061"/>
      <c r="D3" s="2061"/>
      <c r="E3" s="2061"/>
      <c r="F3" s="2061"/>
      <c r="G3" s="2061"/>
      <c r="H3" s="2061"/>
      <c r="I3" s="2061"/>
      <c r="J3" s="2061"/>
      <c r="K3" s="2061"/>
      <c r="L3" s="2061"/>
      <c r="M3" s="2061"/>
      <c r="N3" s="2061"/>
      <c r="O3" s="2061"/>
      <c r="P3" s="213"/>
    </row>
    <row r="4" spans="1:16" x14ac:dyDescent="0.2">
      <c r="A4" s="2088" t="str">
        <f>datef</f>
        <v>AS OF DECEMBER 31, 2017</v>
      </c>
      <c r="B4" s="2088"/>
      <c r="C4" s="2088"/>
      <c r="D4" s="2088"/>
      <c r="E4" s="2088"/>
      <c r="F4" s="2088"/>
      <c r="G4" s="2088"/>
      <c r="H4" s="2088"/>
      <c r="I4" s="2088"/>
      <c r="J4" s="2088"/>
      <c r="K4" s="2088"/>
      <c r="L4" s="2088"/>
      <c r="M4" s="2088"/>
      <c r="N4" s="2088"/>
      <c r="O4" s="2088"/>
      <c r="P4" s="212"/>
    </row>
    <row r="6" spans="1:16" x14ac:dyDescent="0.2">
      <c r="A6" s="508" t="s">
        <v>1109</v>
      </c>
      <c r="M6" s="160"/>
      <c r="O6" s="164" t="s">
        <v>754</v>
      </c>
    </row>
    <row r="7" spans="1:16" x14ac:dyDescent="0.2">
      <c r="A7" s="160" t="s">
        <v>977</v>
      </c>
      <c r="M7" s="160"/>
      <c r="O7" s="1251" t="s">
        <v>1111</v>
      </c>
    </row>
    <row r="8" spans="1:16" x14ac:dyDescent="0.2">
      <c r="A8" s="165" t="s">
        <v>978</v>
      </c>
      <c r="B8" s="166"/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5"/>
      <c r="N8" s="166"/>
      <c r="O8" s="211" t="str">
        <f>SMK</f>
        <v>WITNESS:  S. M. KATKO</v>
      </c>
    </row>
    <row r="9" spans="1:16" x14ac:dyDescent="0.2">
      <c r="G9" s="159" t="s">
        <v>670</v>
      </c>
      <c r="O9" s="159" t="s">
        <v>755</v>
      </c>
    </row>
    <row r="10" spans="1:16" x14ac:dyDescent="0.2">
      <c r="A10" s="159" t="s">
        <v>632</v>
      </c>
      <c r="C10" s="159" t="s">
        <v>692</v>
      </c>
      <c r="E10" s="159" t="s">
        <v>756</v>
      </c>
      <c r="G10" s="159" t="s">
        <v>675</v>
      </c>
      <c r="I10" s="159" t="s">
        <v>671</v>
      </c>
      <c r="K10" s="159" t="s">
        <v>671</v>
      </c>
      <c r="M10" s="159" t="s">
        <v>757</v>
      </c>
      <c r="O10" s="159" t="s">
        <v>758</v>
      </c>
    </row>
    <row r="11" spans="1:16" x14ac:dyDescent="0.2">
      <c r="A11" s="167" t="s">
        <v>635</v>
      </c>
      <c r="B11" s="166"/>
      <c r="C11" s="167" t="s">
        <v>635</v>
      </c>
      <c r="D11" s="166"/>
      <c r="E11" s="167" t="s">
        <v>759</v>
      </c>
      <c r="F11" s="166"/>
      <c r="G11" s="167" t="s">
        <v>760</v>
      </c>
      <c r="H11" s="166"/>
      <c r="I11" s="167" t="s">
        <v>676</v>
      </c>
      <c r="J11" s="166"/>
      <c r="K11" s="167" t="s">
        <v>677</v>
      </c>
      <c r="L11" s="166"/>
      <c r="M11" s="167" t="s">
        <v>761</v>
      </c>
      <c r="N11" s="166"/>
      <c r="O11" s="167" t="s">
        <v>760</v>
      </c>
    </row>
    <row r="12" spans="1:16" x14ac:dyDescent="0.2">
      <c r="G12" s="159"/>
      <c r="K12" s="159"/>
    </row>
    <row r="14" spans="1:16" x14ac:dyDescent="0.2">
      <c r="G14" s="10"/>
      <c r="I14" s="128"/>
      <c r="J14" s="10"/>
      <c r="K14" s="10"/>
      <c r="L14" s="10"/>
      <c r="M14" s="10"/>
      <c r="O14" s="10"/>
    </row>
    <row r="15" spans="1:16" x14ac:dyDescent="0.2">
      <c r="G15" s="10"/>
      <c r="J15" s="10"/>
      <c r="K15" s="10"/>
      <c r="L15" s="10"/>
      <c r="M15" s="10"/>
    </row>
    <row r="16" spans="1:16" x14ac:dyDescent="0.2">
      <c r="E16" s="2087" t="s">
        <v>2388</v>
      </c>
      <c r="F16" s="2087"/>
      <c r="G16" s="2087"/>
      <c r="H16" s="2087"/>
      <c r="I16" s="2087"/>
      <c r="J16" s="2087"/>
      <c r="K16" s="2087"/>
      <c r="L16" s="2087"/>
      <c r="M16" s="2087"/>
      <c r="N16" s="2087"/>
      <c r="O16" s="10"/>
    </row>
    <row r="17" spans="5:15" x14ac:dyDescent="0.2">
      <c r="E17" s="2087" t="s">
        <v>2386</v>
      </c>
      <c r="F17" s="2087"/>
      <c r="G17" s="2087"/>
      <c r="H17" s="2087"/>
      <c r="I17" s="2087"/>
      <c r="J17" s="2087"/>
      <c r="K17" s="2087"/>
      <c r="L17" s="2087"/>
      <c r="M17" s="2087"/>
      <c r="N17" s="2087"/>
      <c r="O17" s="10"/>
    </row>
    <row r="18" spans="5:15" x14ac:dyDescent="0.2">
      <c r="G18" s="10"/>
      <c r="I18" s="128"/>
      <c r="J18" s="10"/>
      <c r="K18" s="10"/>
      <c r="L18" s="10"/>
      <c r="M18" s="10"/>
      <c r="O18" s="10"/>
    </row>
    <row r="19" spans="5:15" x14ac:dyDescent="0.2">
      <c r="G19" s="10"/>
      <c r="J19" s="10"/>
      <c r="K19" s="10"/>
      <c r="L19" s="10"/>
      <c r="M19" s="10"/>
      <c r="O19" s="10"/>
    </row>
    <row r="20" spans="5:15" x14ac:dyDescent="0.2">
      <c r="G20" s="10"/>
      <c r="I20" s="128"/>
      <c r="J20" s="10"/>
      <c r="K20" s="10"/>
      <c r="L20" s="10"/>
      <c r="M20" s="10"/>
      <c r="O20" s="10"/>
    </row>
    <row r="21" spans="5:15" x14ac:dyDescent="0.2">
      <c r="G21" s="10"/>
      <c r="J21" s="10"/>
      <c r="K21" s="10"/>
      <c r="L21" s="10"/>
      <c r="M21" s="10"/>
      <c r="O21" s="10"/>
    </row>
    <row r="22" spans="5:15" x14ac:dyDescent="0.2">
      <c r="G22" s="10"/>
      <c r="I22" s="128"/>
      <c r="J22" s="10"/>
      <c r="K22" s="10"/>
      <c r="L22" s="10"/>
      <c r="M22" s="10"/>
      <c r="O22" s="10"/>
    </row>
    <row r="23" spans="5:15" x14ac:dyDescent="0.2">
      <c r="G23" s="10"/>
      <c r="J23" s="10"/>
      <c r="K23" s="10"/>
      <c r="L23" s="10"/>
      <c r="M23" s="10"/>
      <c r="O23" s="10"/>
    </row>
    <row r="24" spans="5:15" x14ac:dyDescent="0.2">
      <c r="G24" s="10"/>
      <c r="I24" s="128"/>
      <c r="J24" s="10"/>
      <c r="K24" s="10"/>
      <c r="L24" s="10"/>
      <c r="M24" s="10"/>
      <c r="O24" s="10"/>
    </row>
    <row r="25" spans="5:15" x14ac:dyDescent="0.2">
      <c r="G25" s="10"/>
      <c r="J25" s="10"/>
      <c r="K25" s="10"/>
      <c r="L25" s="10"/>
      <c r="M25" s="10"/>
      <c r="O25" s="10"/>
    </row>
    <row r="26" spans="5:15" x14ac:dyDescent="0.2">
      <c r="G26" s="10"/>
      <c r="I26" s="128"/>
      <c r="J26" s="10"/>
      <c r="K26" s="10"/>
      <c r="L26" s="10"/>
      <c r="M26" s="10"/>
      <c r="O26" s="10"/>
    </row>
    <row r="27" spans="5:15" x14ac:dyDescent="0.2">
      <c r="G27" s="10"/>
      <c r="J27" s="10"/>
      <c r="K27" s="10"/>
      <c r="L27" s="10"/>
      <c r="M27" s="10"/>
      <c r="O27" s="10"/>
    </row>
  </sheetData>
  <mergeCells count="6">
    <mergeCell ref="E17:N17"/>
    <mergeCell ref="A1:O1"/>
    <mergeCell ref="A2:O2"/>
    <mergeCell ref="A3:O3"/>
    <mergeCell ref="A4:O4"/>
    <mergeCell ref="E16:N16"/>
  </mergeCells>
  <pageMargins left="1" right="0.5" top="1" bottom="0.75" header="0.3" footer="0.3"/>
  <pageSetup scale="71" fitToHeight="0" orientation="portrait" r:id="rId1"/>
  <headerFooter>
    <oddHeader>&amp;R&amp;"Arial,Regular"&amp;10KY PSC Case No. 2016-00162, Attachment A to Staff 3-4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6">
    <pageSetUpPr fitToPage="1"/>
  </sheetPr>
  <dimension ref="A1:Q140"/>
  <sheetViews>
    <sheetView showGridLines="0" view="pageBreakPreview" zoomScale="90" zoomScaleNormal="90" zoomScaleSheetLayoutView="90" workbookViewId="0">
      <selection activeCell="F46" sqref="F46"/>
    </sheetView>
  </sheetViews>
  <sheetFormatPr defaultColWidth="8.33203125" defaultRowHeight="12.75" x14ac:dyDescent="0.2"/>
  <cols>
    <col min="1" max="1" width="5.1640625" style="127" customWidth="1"/>
    <col min="2" max="2" width="9.33203125" style="30" customWidth="1"/>
    <col min="3" max="3" width="45.6640625" style="30" customWidth="1"/>
    <col min="4" max="4" width="16.5" style="30" bestFit="1" customWidth="1"/>
    <col min="5" max="5" width="13.5" style="171" bestFit="1" customWidth="1"/>
    <col min="6" max="6" width="17.33203125" style="171" bestFit="1" customWidth="1"/>
    <col min="7" max="7" width="14.83203125" style="171" bestFit="1" customWidth="1"/>
    <col min="8" max="8" width="16.5" style="30" customWidth="1"/>
    <col min="9" max="9" width="18.83203125" style="1756" bestFit="1" customWidth="1"/>
    <col min="10" max="11" width="16.1640625" style="277" customWidth="1"/>
    <col min="12" max="12" width="15.1640625" style="277" bestFit="1" customWidth="1"/>
    <col min="13" max="13" width="14.1640625" style="277" bestFit="1" customWidth="1"/>
    <col min="14" max="14" width="8.33203125" style="30"/>
    <col min="15" max="16" width="18.83203125" style="30" bestFit="1" customWidth="1"/>
    <col min="17" max="17" width="9" style="30" bestFit="1" customWidth="1"/>
    <col min="18" max="16384" width="8.33203125" style="30"/>
  </cols>
  <sheetData>
    <row r="1" spans="1:12" x14ac:dyDescent="0.2">
      <c r="A1" s="2079" t="str">
        <f>co</f>
        <v>COLUMBIA GAS OF KENTUCKY, INC.</v>
      </c>
      <c r="B1" s="2079"/>
      <c r="C1" s="2079"/>
      <c r="D1" s="2079"/>
      <c r="E1" s="2079"/>
      <c r="F1" s="2079"/>
      <c r="G1" s="2079"/>
      <c r="H1" s="2079"/>
    </row>
    <row r="2" spans="1:12" x14ac:dyDescent="0.2">
      <c r="A2" s="2079" t="str">
        <f>case</f>
        <v>CASE NO. 2016 - 00162</v>
      </c>
      <c r="B2" s="2079"/>
      <c r="C2" s="2079"/>
      <c r="D2" s="2079"/>
      <c r="E2" s="2079"/>
      <c r="F2" s="2079"/>
      <c r="G2" s="2079"/>
      <c r="H2" s="2079"/>
    </row>
    <row r="3" spans="1:12" x14ac:dyDescent="0.2">
      <c r="A3" s="2079" t="s">
        <v>762</v>
      </c>
      <c r="B3" s="2079"/>
      <c r="C3" s="2079"/>
      <c r="D3" s="2079"/>
      <c r="E3" s="2079"/>
      <c r="F3" s="2079"/>
      <c r="G3" s="2079"/>
      <c r="H3" s="2079"/>
    </row>
    <row r="4" spans="1:12" x14ac:dyDescent="0.2">
      <c r="A4" s="2081" t="s">
        <v>2028</v>
      </c>
      <c r="B4" s="2085"/>
      <c r="C4" s="2085"/>
      <c r="D4" s="2085"/>
      <c r="E4" s="2085"/>
      <c r="F4" s="2085"/>
      <c r="G4" s="2085"/>
      <c r="H4" s="2085"/>
    </row>
    <row r="6" spans="1:12" x14ac:dyDescent="0.2">
      <c r="A6" s="4" t="s">
        <v>976</v>
      </c>
      <c r="H6" s="155" t="s">
        <v>763</v>
      </c>
    </row>
    <row r="7" spans="1:12" x14ac:dyDescent="0.2">
      <c r="A7" s="4" t="s">
        <v>977</v>
      </c>
      <c r="H7" s="1256" t="s">
        <v>864</v>
      </c>
    </row>
    <row r="8" spans="1:12" x14ac:dyDescent="0.2">
      <c r="A8" s="200" t="s">
        <v>1759</v>
      </c>
      <c r="B8" s="202"/>
      <c r="C8" s="202"/>
      <c r="D8" s="201"/>
      <c r="E8" s="202"/>
      <c r="F8" s="202"/>
      <c r="G8" s="202"/>
      <c r="H8" s="211" t="str">
        <f>SMK</f>
        <v>WITNESS:  S. M. KATKO</v>
      </c>
      <c r="J8" s="500"/>
      <c r="K8" s="500"/>
      <c r="L8" s="500"/>
    </row>
    <row r="9" spans="1:12" x14ac:dyDescent="0.2">
      <c r="A9" s="200"/>
      <c r="B9" s="201"/>
      <c r="C9" s="201"/>
      <c r="D9" s="201"/>
      <c r="E9" s="202"/>
      <c r="F9" s="202"/>
      <c r="G9" s="202"/>
      <c r="H9" s="204"/>
      <c r="J9" s="500"/>
      <c r="K9" s="500"/>
      <c r="L9" s="500"/>
    </row>
    <row r="10" spans="1:12" x14ac:dyDescent="0.2">
      <c r="A10" s="200"/>
      <c r="B10" s="201"/>
      <c r="C10" s="201"/>
      <c r="D10" s="201"/>
      <c r="E10" s="202"/>
      <c r="F10" s="202"/>
      <c r="G10" s="202"/>
      <c r="H10" s="204"/>
      <c r="J10" s="500"/>
      <c r="K10" s="500"/>
      <c r="L10" s="500"/>
    </row>
    <row r="11" spans="1:12" x14ac:dyDescent="0.2">
      <c r="A11" s="205"/>
      <c r="B11" s="206"/>
      <c r="C11" s="206"/>
      <c r="D11" s="208" t="s">
        <v>830</v>
      </c>
      <c r="E11" s="207"/>
      <c r="F11" s="207"/>
      <c r="G11" s="456"/>
      <c r="H11" s="208" t="s">
        <v>830</v>
      </c>
      <c r="L11" s="500"/>
    </row>
    <row r="12" spans="1:12" x14ac:dyDescent="0.2">
      <c r="A12" s="31" t="s">
        <v>632</v>
      </c>
      <c r="B12" s="31" t="s">
        <v>692</v>
      </c>
      <c r="D12" s="31" t="s">
        <v>764</v>
      </c>
      <c r="H12" s="31" t="s">
        <v>766</v>
      </c>
      <c r="L12" s="500"/>
    </row>
    <row r="13" spans="1:12" x14ac:dyDescent="0.2">
      <c r="A13" s="35" t="s">
        <v>635</v>
      </c>
      <c r="B13" s="35" t="s">
        <v>635</v>
      </c>
      <c r="C13" s="33" t="s">
        <v>767</v>
      </c>
      <c r="D13" s="35" t="s">
        <v>768</v>
      </c>
      <c r="E13" s="172" t="s">
        <v>769</v>
      </c>
      <c r="F13" s="172" t="s">
        <v>770</v>
      </c>
      <c r="G13" s="499" t="s">
        <v>1176</v>
      </c>
      <c r="H13" s="35" t="s">
        <v>768</v>
      </c>
      <c r="L13" s="500"/>
    </row>
    <row r="14" spans="1:12" x14ac:dyDescent="0.2">
      <c r="D14" s="31" t="s">
        <v>639</v>
      </c>
      <c r="E14" s="170" t="s">
        <v>639</v>
      </c>
      <c r="F14" s="170" t="s">
        <v>639</v>
      </c>
      <c r="G14" s="170" t="s">
        <v>639</v>
      </c>
      <c r="H14" s="31" t="s">
        <v>639</v>
      </c>
      <c r="L14" s="500"/>
    </row>
    <row r="15" spans="1:12" x14ac:dyDescent="0.2">
      <c r="A15" s="31">
        <v>1</v>
      </c>
      <c r="B15" s="36" t="s">
        <v>1024</v>
      </c>
      <c r="C15" s="34"/>
      <c r="J15" s="2089"/>
      <c r="K15" s="2089"/>
      <c r="L15" s="2089"/>
    </row>
    <row r="16" spans="1:12" x14ac:dyDescent="0.2">
      <c r="A16" s="31">
        <f>A15+1</f>
        <v>2</v>
      </c>
      <c r="C16" s="36" t="s">
        <v>697</v>
      </c>
      <c r="D16" s="171"/>
      <c r="J16" s="501"/>
      <c r="K16" s="501"/>
      <c r="L16" s="501"/>
    </row>
    <row r="17" spans="1:17" x14ac:dyDescent="0.2">
      <c r="A17" s="31">
        <f t="shared" ref="A17:A22" si="0">A16+1</f>
        <v>3</v>
      </c>
      <c r="B17" s="49">
        <v>301</v>
      </c>
      <c r="C17" s="52" t="s">
        <v>1026</v>
      </c>
      <c r="D17" s="259">
        <v>521.20000000000005</v>
      </c>
      <c r="E17" s="258">
        <v>0</v>
      </c>
      <c r="F17" s="258">
        <v>0</v>
      </c>
      <c r="G17" s="181">
        <v>0</v>
      </c>
      <c r="H17" s="38">
        <f>SUM(D17:G17)</f>
        <v>521.20000000000005</v>
      </c>
      <c r="I17" s="2051"/>
      <c r="J17" s="502"/>
      <c r="K17" s="502"/>
      <c r="L17" s="502"/>
      <c r="M17" s="502"/>
      <c r="O17" s="1756"/>
      <c r="P17" s="1756"/>
      <c r="Q17" s="1757"/>
    </row>
    <row r="18" spans="1:17" x14ac:dyDescent="0.2">
      <c r="A18" s="31">
        <f t="shared" si="0"/>
        <v>4</v>
      </c>
      <c r="B18" s="49">
        <v>303</v>
      </c>
      <c r="C18" s="52" t="s">
        <v>1027</v>
      </c>
      <c r="D18" s="259">
        <v>74347.509999999995</v>
      </c>
      <c r="E18" s="258">
        <v>0</v>
      </c>
      <c r="F18" s="258">
        <v>0</v>
      </c>
      <c r="G18" s="181">
        <v>0</v>
      </c>
      <c r="H18" s="38">
        <f>SUM(D18:G18)</f>
        <v>74347.509999999995</v>
      </c>
      <c r="I18" s="2051"/>
      <c r="J18" s="502"/>
      <c r="K18" s="502"/>
      <c r="L18" s="502"/>
      <c r="M18" s="502"/>
      <c r="O18" s="1756"/>
      <c r="P18" s="1756"/>
      <c r="Q18" s="1757"/>
    </row>
    <row r="19" spans="1:17" x14ac:dyDescent="0.2">
      <c r="A19" s="31">
        <f t="shared" si="0"/>
        <v>5</v>
      </c>
      <c r="B19" s="49">
        <v>303.10000000000002</v>
      </c>
      <c r="C19" s="52" t="s">
        <v>1028</v>
      </c>
      <c r="D19" s="259">
        <v>0</v>
      </c>
      <c r="E19" s="258">
        <v>0</v>
      </c>
      <c r="F19" s="258">
        <v>0</v>
      </c>
      <c r="G19" s="181">
        <v>0</v>
      </c>
      <c r="H19" s="38">
        <f>SUM(D19:G19)</f>
        <v>0</v>
      </c>
      <c r="I19" s="2051"/>
      <c r="J19" s="502"/>
      <c r="K19" s="502"/>
      <c r="L19" s="502"/>
      <c r="M19" s="502"/>
      <c r="O19" s="1756"/>
      <c r="P19" s="1756"/>
      <c r="Q19" s="1757"/>
    </row>
    <row r="20" spans="1:17" x14ac:dyDescent="0.2">
      <c r="A20" s="31">
        <f t="shared" si="0"/>
        <v>6</v>
      </c>
      <c r="B20" s="49">
        <v>303.2</v>
      </c>
      <c r="C20" s="52" t="s">
        <v>1029</v>
      </c>
      <c r="D20" s="259">
        <v>0</v>
      </c>
      <c r="E20" s="258">
        <v>0</v>
      </c>
      <c r="F20" s="258">
        <v>0</v>
      </c>
      <c r="G20" s="181">
        <v>0</v>
      </c>
      <c r="H20" s="38">
        <f>SUM(D20:G20)</f>
        <v>0</v>
      </c>
      <c r="I20" s="2051"/>
      <c r="J20" s="502"/>
      <c r="K20" s="502"/>
      <c r="L20" s="502"/>
      <c r="M20" s="502"/>
      <c r="O20" s="1756"/>
      <c r="P20" s="1756"/>
      <c r="Q20" s="1757"/>
    </row>
    <row r="21" spans="1:17" x14ac:dyDescent="0.2">
      <c r="A21" s="31">
        <f t="shared" si="0"/>
        <v>7</v>
      </c>
      <c r="B21" s="49">
        <v>303.3</v>
      </c>
      <c r="C21" s="52" t="s">
        <v>1030</v>
      </c>
      <c r="D21" s="1130">
        <v>5149228.96</v>
      </c>
      <c r="E21" s="1130">
        <f>164712.37+953772</f>
        <v>1118484.3700000001</v>
      </c>
      <c r="F21" s="1130">
        <f>-12180.78</f>
        <v>-12180.78</v>
      </c>
      <c r="G21" s="497">
        <v>0</v>
      </c>
      <c r="H21" s="39">
        <f>SUM(D21:G21)</f>
        <v>6255532.5499999998</v>
      </c>
      <c r="I21" s="2051"/>
      <c r="J21" s="502"/>
      <c r="K21" s="502"/>
      <c r="L21" s="502"/>
      <c r="M21" s="2052"/>
      <c r="O21" s="1756"/>
      <c r="P21" s="1756"/>
      <c r="Q21" s="1757"/>
    </row>
    <row r="22" spans="1:17" x14ac:dyDescent="0.2">
      <c r="A22" s="31">
        <f t="shared" si="0"/>
        <v>8</v>
      </c>
      <c r="B22" s="49"/>
      <c r="C22" s="52" t="s">
        <v>1031</v>
      </c>
      <c r="D22" s="173">
        <f>SUM(D17:D21)</f>
        <v>5224097.67</v>
      </c>
      <c r="E22" s="173">
        <f>SUM(E17:E21)</f>
        <v>1118484.3700000001</v>
      </c>
      <c r="F22" s="173">
        <f>SUM(F17:F21)</f>
        <v>-12180.78</v>
      </c>
      <c r="G22" s="173">
        <f>SUM(G17:G21)</f>
        <v>0</v>
      </c>
      <c r="H22" s="38">
        <f>SUM(H17:H21)</f>
        <v>6330401.2599999998</v>
      </c>
      <c r="I22" s="2051"/>
      <c r="J22" s="502"/>
      <c r="K22" s="502"/>
      <c r="O22" s="1756"/>
      <c r="P22" s="1756"/>
      <c r="Q22" s="1757"/>
    </row>
    <row r="23" spans="1:17" x14ac:dyDescent="0.2">
      <c r="D23" s="173"/>
      <c r="E23" s="173"/>
      <c r="F23" s="173"/>
      <c r="G23" s="173"/>
      <c r="H23" s="38"/>
      <c r="I23" s="2051"/>
      <c r="J23" s="502"/>
      <c r="K23" s="502"/>
      <c r="O23" s="1756"/>
      <c r="P23" s="1756"/>
      <c r="Q23" s="1757"/>
    </row>
    <row r="24" spans="1:17" x14ac:dyDescent="0.2">
      <c r="A24" s="31">
        <f>A22+1</f>
        <v>9</v>
      </c>
      <c r="C24" s="36" t="s">
        <v>704</v>
      </c>
      <c r="D24" s="173"/>
      <c r="E24" s="173"/>
      <c r="F24" s="173"/>
      <c r="G24" s="173"/>
      <c r="H24" s="38"/>
      <c r="I24" s="2051"/>
      <c r="J24" s="502"/>
      <c r="K24" s="502"/>
      <c r="O24" s="1756"/>
      <c r="P24" s="1756"/>
      <c r="Q24" s="1757"/>
    </row>
    <row r="25" spans="1:17" x14ac:dyDescent="0.2">
      <c r="A25" s="31">
        <f>A24+1</f>
        <v>10</v>
      </c>
      <c r="B25" s="37">
        <v>304.10000000000002</v>
      </c>
      <c r="C25" s="41" t="s">
        <v>1032</v>
      </c>
      <c r="D25" s="1130">
        <v>0</v>
      </c>
      <c r="E25" s="1130">
        <v>0</v>
      </c>
      <c r="F25" s="1130">
        <v>0</v>
      </c>
      <c r="G25" s="498">
        <v>0</v>
      </c>
      <c r="H25" s="126">
        <f>SUM(D25:G25)</f>
        <v>0</v>
      </c>
      <c r="I25" s="2051"/>
      <c r="J25" s="502"/>
      <c r="K25" s="502"/>
      <c r="O25" s="1756"/>
      <c r="P25" s="1756"/>
      <c r="Q25" s="1757"/>
    </row>
    <row r="26" spans="1:17" x14ac:dyDescent="0.2">
      <c r="A26" s="31">
        <f>A25+1</f>
        <v>11</v>
      </c>
      <c r="B26" s="37"/>
      <c r="C26" s="41" t="s">
        <v>1033</v>
      </c>
      <c r="D26" s="173">
        <f>D25</f>
        <v>0</v>
      </c>
      <c r="E26" s="173">
        <f>E25</f>
        <v>0</v>
      </c>
      <c r="F26" s="173">
        <f>F25</f>
        <v>0</v>
      </c>
      <c r="G26" s="173">
        <f>G25</f>
        <v>0</v>
      </c>
      <c r="H26" s="38">
        <f>D26+E26-F26+G26</f>
        <v>0</v>
      </c>
      <c r="I26" s="2051"/>
      <c r="J26" s="502"/>
      <c r="K26" s="502"/>
      <c r="O26" s="1756"/>
      <c r="P26" s="1756"/>
      <c r="Q26" s="1757"/>
    </row>
    <row r="27" spans="1:17" x14ac:dyDescent="0.2">
      <c r="D27" s="173"/>
      <c r="E27" s="173"/>
      <c r="F27" s="173"/>
      <c r="G27" s="173"/>
      <c r="H27" s="38"/>
      <c r="I27" s="2051"/>
      <c r="J27" s="502"/>
      <c r="K27" s="502"/>
      <c r="O27" s="1756"/>
      <c r="P27" s="1756"/>
      <c r="Q27" s="1757"/>
    </row>
    <row r="28" spans="1:17" x14ac:dyDescent="0.2">
      <c r="A28" s="31">
        <f>A26+1</f>
        <v>12</v>
      </c>
      <c r="C28" s="36" t="s">
        <v>1034</v>
      </c>
      <c r="D28" s="38"/>
      <c r="E28" s="173"/>
      <c r="F28" s="173"/>
      <c r="G28" s="173"/>
      <c r="H28" s="38"/>
      <c r="I28" s="2051"/>
      <c r="J28" s="502"/>
      <c r="K28" s="502"/>
      <c r="O28" s="1756"/>
      <c r="Q28" s="1757"/>
    </row>
    <row r="29" spans="1:17" x14ac:dyDescent="0.2">
      <c r="A29" s="31">
        <f>A28+1</f>
        <v>13</v>
      </c>
      <c r="B29" s="49">
        <v>374.1</v>
      </c>
      <c r="C29" s="52" t="s">
        <v>1035</v>
      </c>
      <c r="D29" s="259">
        <v>206</v>
      </c>
      <c r="E29" s="259">
        <v>0</v>
      </c>
      <c r="F29" s="259">
        <v>0</v>
      </c>
      <c r="G29" s="181">
        <v>0</v>
      </c>
      <c r="H29" s="38">
        <f t="shared" ref="H29:H45" si="1">SUM(D29:G29)</f>
        <v>206</v>
      </c>
      <c r="I29" s="2051"/>
      <c r="J29" s="502"/>
      <c r="K29" s="502"/>
      <c r="O29" s="1756"/>
      <c r="P29" s="1756"/>
      <c r="Q29" s="1757"/>
    </row>
    <row r="30" spans="1:17" x14ac:dyDescent="0.2">
      <c r="A30" s="31">
        <f t="shared" ref="A30:A45" si="2">A29+1</f>
        <v>14</v>
      </c>
      <c r="B30" s="49">
        <v>374.2</v>
      </c>
      <c r="C30" s="52" t="s">
        <v>1036</v>
      </c>
      <c r="D30" s="259">
        <v>877756.18</v>
      </c>
      <c r="E30" s="259">
        <v>0</v>
      </c>
      <c r="F30" s="259">
        <v>0</v>
      </c>
      <c r="G30" s="181">
        <v>0</v>
      </c>
      <c r="H30" s="38">
        <f t="shared" si="1"/>
        <v>877756.18</v>
      </c>
      <c r="I30" s="2051"/>
      <c r="J30" s="502"/>
      <c r="K30" s="502"/>
      <c r="O30" s="1756"/>
      <c r="P30" s="1756"/>
      <c r="Q30" s="1757"/>
    </row>
    <row r="31" spans="1:17" x14ac:dyDescent="0.2">
      <c r="A31" s="31">
        <f t="shared" si="2"/>
        <v>15</v>
      </c>
      <c r="B31" s="49">
        <v>374.4</v>
      </c>
      <c r="C31" s="52" t="s">
        <v>1037</v>
      </c>
      <c r="D31" s="259">
        <v>661305.65999999992</v>
      </c>
      <c r="E31" s="259">
        <v>0</v>
      </c>
      <c r="F31" s="259">
        <v>0</v>
      </c>
      <c r="G31" s="181">
        <v>0</v>
      </c>
      <c r="H31" s="38">
        <f t="shared" si="1"/>
        <v>661305.65999999992</v>
      </c>
      <c r="I31" s="2051"/>
      <c r="J31" s="502"/>
      <c r="K31" s="502"/>
      <c r="O31" s="1756"/>
      <c r="P31" s="1756"/>
      <c r="Q31" s="1757"/>
    </row>
    <row r="32" spans="1:17" x14ac:dyDescent="0.2">
      <c r="A32" s="31">
        <f t="shared" si="2"/>
        <v>16</v>
      </c>
      <c r="B32" s="49">
        <v>374.5</v>
      </c>
      <c r="C32" s="52" t="s">
        <v>1038</v>
      </c>
      <c r="D32" s="259">
        <v>2666574.69</v>
      </c>
      <c r="E32" s="259">
        <f>35632+1</f>
        <v>35633</v>
      </c>
      <c r="F32" s="259">
        <v>-4275</v>
      </c>
      <c r="G32" s="181">
        <v>0</v>
      </c>
      <c r="H32" s="38">
        <f t="shared" si="1"/>
        <v>2697932.69</v>
      </c>
      <c r="I32" s="2051"/>
      <c r="J32" s="502"/>
      <c r="K32" s="502"/>
      <c r="L32" s="502"/>
      <c r="O32" s="1756"/>
      <c r="P32" s="1756"/>
      <c r="Q32" s="1757"/>
    </row>
    <row r="33" spans="1:17" x14ac:dyDescent="0.2">
      <c r="A33" s="31">
        <f t="shared" si="2"/>
        <v>17</v>
      </c>
      <c r="B33" s="49">
        <v>375.2</v>
      </c>
      <c r="C33" s="52" t="s">
        <v>1039</v>
      </c>
      <c r="D33" s="259">
        <v>2124.98</v>
      </c>
      <c r="E33" s="259">
        <v>0</v>
      </c>
      <c r="F33" s="259">
        <v>0</v>
      </c>
      <c r="G33" s="181">
        <v>0</v>
      </c>
      <c r="H33" s="38">
        <f t="shared" si="1"/>
        <v>2124.98</v>
      </c>
      <c r="I33" s="2051"/>
      <c r="J33" s="502"/>
      <c r="K33" s="502"/>
      <c r="O33" s="1756"/>
      <c r="P33" s="1756"/>
      <c r="Q33" s="1757"/>
    </row>
    <row r="34" spans="1:17" x14ac:dyDescent="0.2">
      <c r="A34" s="31">
        <f t="shared" si="2"/>
        <v>18</v>
      </c>
      <c r="B34" s="49">
        <v>375.3</v>
      </c>
      <c r="C34" s="52" t="s">
        <v>1040</v>
      </c>
      <c r="D34" s="259">
        <v>0</v>
      </c>
      <c r="E34" s="259">
        <v>0</v>
      </c>
      <c r="F34" s="259">
        <v>0</v>
      </c>
      <c r="G34" s="181">
        <v>0</v>
      </c>
      <c r="H34" s="38">
        <f t="shared" si="1"/>
        <v>0</v>
      </c>
      <c r="I34" s="2051"/>
      <c r="J34" s="502"/>
      <c r="K34" s="502"/>
      <c r="O34" s="1756"/>
      <c r="P34" s="1756"/>
      <c r="Q34" s="1757"/>
    </row>
    <row r="35" spans="1:17" x14ac:dyDescent="0.2">
      <c r="A35" s="31">
        <f t="shared" si="2"/>
        <v>19</v>
      </c>
      <c r="B35" s="49">
        <v>375.4</v>
      </c>
      <c r="C35" s="52" t="s">
        <v>1041</v>
      </c>
      <c r="D35" s="259">
        <v>1762372.48</v>
      </c>
      <c r="E35" s="259">
        <f>114333.43+56815</f>
        <v>171148.43</v>
      </c>
      <c r="F35" s="259">
        <f>-5264.89-6818</f>
        <v>-12082.89</v>
      </c>
      <c r="G35" s="181">
        <v>0</v>
      </c>
      <c r="H35" s="38">
        <f t="shared" si="1"/>
        <v>1921438.02</v>
      </c>
      <c r="I35" s="2051"/>
      <c r="J35" s="502"/>
      <c r="K35" s="502"/>
      <c r="L35" s="502"/>
      <c r="O35" s="1756"/>
      <c r="P35" s="1756"/>
      <c r="Q35" s="1757"/>
    </row>
    <row r="36" spans="1:17" x14ac:dyDescent="0.2">
      <c r="A36" s="31">
        <f t="shared" si="2"/>
        <v>20</v>
      </c>
      <c r="B36" s="49">
        <v>375.6</v>
      </c>
      <c r="C36" s="52" t="s">
        <v>1042</v>
      </c>
      <c r="D36" s="259">
        <v>0</v>
      </c>
      <c r="E36" s="259">
        <v>0</v>
      </c>
      <c r="F36" s="259">
        <v>0</v>
      </c>
      <c r="G36" s="181">
        <v>0</v>
      </c>
      <c r="H36" s="38">
        <f t="shared" si="1"/>
        <v>0</v>
      </c>
      <c r="I36" s="2051"/>
      <c r="J36" s="502"/>
      <c r="K36" s="502"/>
      <c r="O36" s="1756"/>
      <c r="P36" s="1756"/>
      <c r="Q36" s="1757"/>
    </row>
    <row r="37" spans="1:17" x14ac:dyDescent="0.2">
      <c r="A37" s="31">
        <f t="shared" si="2"/>
        <v>21</v>
      </c>
      <c r="B37" s="49">
        <v>375.7</v>
      </c>
      <c r="C37" s="52" t="s">
        <v>1043</v>
      </c>
      <c r="D37" s="259">
        <v>7416801.3799999999</v>
      </c>
      <c r="E37" s="259">
        <f>564188+73597</f>
        <v>637785</v>
      </c>
      <c r="F37" s="259">
        <v>-8832</v>
      </c>
      <c r="G37" s="181">
        <v>0</v>
      </c>
      <c r="H37" s="38">
        <f t="shared" si="1"/>
        <v>8045754.3799999999</v>
      </c>
      <c r="I37" s="2051"/>
      <c r="J37" s="502"/>
      <c r="K37" s="502"/>
      <c r="L37" s="502"/>
      <c r="O37" s="1756"/>
      <c r="P37" s="1756"/>
      <c r="Q37" s="1757"/>
    </row>
    <row r="38" spans="1:17" x14ac:dyDescent="0.2">
      <c r="A38" s="31">
        <f t="shared" si="2"/>
        <v>22</v>
      </c>
      <c r="B38" s="49">
        <v>375.71</v>
      </c>
      <c r="C38" s="52" t="s">
        <v>1044</v>
      </c>
      <c r="D38" s="259">
        <v>256845.24</v>
      </c>
      <c r="E38" s="259">
        <f>2963.7</f>
        <v>2963.7</v>
      </c>
      <c r="F38" s="259">
        <v>0</v>
      </c>
      <c r="G38" s="181">
        <v>0</v>
      </c>
      <c r="H38" s="38">
        <f t="shared" si="1"/>
        <v>259808.94</v>
      </c>
      <c r="I38" s="2051"/>
      <c r="J38" s="502"/>
      <c r="K38" s="502"/>
      <c r="O38" s="1756"/>
      <c r="P38" s="1756"/>
      <c r="Q38" s="1757"/>
    </row>
    <row r="39" spans="1:17" x14ac:dyDescent="0.2">
      <c r="A39" s="31">
        <f t="shared" si="2"/>
        <v>23</v>
      </c>
      <c r="B39" s="49">
        <v>375.8</v>
      </c>
      <c r="C39" s="52" t="s">
        <v>1045</v>
      </c>
      <c r="D39" s="259">
        <v>0</v>
      </c>
      <c r="E39" s="259">
        <v>0</v>
      </c>
      <c r="F39" s="259">
        <v>0</v>
      </c>
      <c r="G39" s="181">
        <v>0</v>
      </c>
      <c r="H39" s="38">
        <f t="shared" si="1"/>
        <v>0</v>
      </c>
      <c r="I39" s="2051"/>
      <c r="J39" s="502"/>
      <c r="K39" s="502"/>
      <c r="O39" s="1756"/>
      <c r="P39" s="1756"/>
      <c r="Q39" s="1757"/>
    </row>
    <row r="40" spans="1:17" x14ac:dyDescent="0.2">
      <c r="A40" s="1804">
        <f t="shared" si="2"/>
        <v>24</v>
      </c>
      <c r="B40" s="179">
        <v>376</v>
      </c>
      <c r="C40" s="178" t="s">
        <v>1046</v>
      </c>
      <c r="D40" s="259">
        <v>192769030.22</v>
      </c>
      <c r="E40" s="259">
        <f>8167551.66+10639554</f>
        <v>18807105.66</v>
      </c>
      <c r="F40" s="259">
        <f>-469128.44-1276746</f>
        <v>-1745874.44</v>
      </c>
      <c r="G40" s="181">
        <v>0</v>
      </c>
      <c r="H40" s="173">
        <f t="shared" si="1"/>
        <v>209830261.44</v>
      </c>
      <c r="I40" s="2051"/>
      <c r="J40" s="502"/>
      <c r="K40" s="502"/>
      <c r="L40" s="502"/>
      <c r="O40" s="1756"/>
      <c r="P40" s="1756"/>
      <c r="Q40" s="1757"/>
    </row>
    <row r="41" spans="1:17" x14ac:dyDescent="0.2">
      <c r="A41" s="31">
        <f t="shared" si="2"/>
        <v>25</v>
      </c>
      <c r="B41" s="49">
        <v>378.1</v>
      </c>
      <c r="C41" s="52" t="s">
        <v>1047</v>
      </c>
      <c r="D41" s="259">
        <v>513595.73</v>
      </c>
      <c r="E41" s="259">
        <f>4908.45</f>
        <v>4908.45</v>
      </c>
      <c r="F41" s="259">
        <v>0</v>
      </c>
      <c r="G41" s="181">
        <v>0</v>
      </c>
      <c r="H41" s="38">
        <f t="shared" si="1"/>
        <v>518504.18</v>
      </c>
      <c r="I41" s="2051"/>
      <c r="J41" s="502"/>
      <c r="K41" s="502"/>
      <c r="O41" s="1756"/>
      <c r="P41" s="1756"/>
      <c r="Q41" s="1757"/>
    </row>
    <row r="42" spans="1:17" x14ac:dyDescent="0.2">
      <c r="A42" s="31">
        <f t="shared" si="2"/>
        <v>26</v>
      </c>
      <c r="B42" s="49">
        <v>378.2</v>
      </c>
      <c r="C42" s="52" t="s">
        <v>1048</v>
      </c>
      <c r="D42" s="259">
        <v>8295455.0300000003</v>
      </c>
      <c r="E42" s="259">
        <f>1267404.91+116620</f>
        <v>1384024.91</v>
      </c>
      <c r="F42" s="259">
        <f>-67506.12-13994</f>
        <v>-81500.12</v>
      </c>
      <c r="G42" s="181">
        <v>0</v>
      </c>
      <c r="H42" s="38">
        <f t="shared" si="1"/>
        <v>9597979.8200000003</v>
      </c>
      <c r="I42" s="2051"/>
      <c r="J42" s="502"/>
      <c r="K42" s="502"/>
      <c r="L42" s="502"/>
      <c r="O42" s="1756"/>
      <c r="P42" s="1756"/>
      <c r="Q42" s="1757"/>
    </row>
    <row r="43" spans="1:17" x14ac:dyDescent="0.2">
      <c r="A43" s="31">
        <f t="shared" si="2"/>
        <v>27</v>
      </c>
      <c r="B43" s="49">
        <v>378.3</v>
      </c>
      <c r="C43" s="52" t="s">
        <v>1049</v>
      </c>
      <c r="D43" s="259">
        <v>45443.08</v>
      </c>
      <c r="E43" s="259">
        <v>0</v>
      </c>
      <c r="F43" s="259">
        <v>0</v>
      </c>
      <c r="G43" s="181">
        <v>0</v>
      </c>
      <c r="H43" s="38">
        <f t="shared" si="1"/>
        <v>45443.08</v>
      </c>
      <c r="I43" s="2051"/>
      <c r="J43" s="502"/>
      <c r="K43" s="502"/>
      <c r="O43" s="1756"/>
      <c r="P43" s="1756"/>
      <c r="Q43" s="1757"/>
    </row>
    <row r="44" spans="1:17" x14ac:dyDescent="0.2">
      <c r="A44" s="31">
        <f t="shared" si="2"/>
        <v>28</v>
      </c>
      <c r="B44" s="49">
        <v>379.1</v>
      </c>
      <c r="C44" s="52" t="s">
        <v>1050</v>
      </c>
      <c r="D44" s="259">
        <v>254900.59</v>
      </c>
      <c r="E44" s="259">
        <v>0</v>
      </c>
      <c r="F44" s="259">
        <v>0</v>
      </c>
      <c r="G44" s="181">
        <v>0</v>
      </c>
      <c r="H44" s="38">
        <f t="shared" si="1"/>
        <v>254900.59</v>
      </c>
      <c r="I44" s="2051"/>
      <c r="J44" s="502"/>
      <c r="K44" s="502"/>
      <c r="O44" s="1756"/>
      <c r="P44" s="1756"/>
      <c r="Q44" s="1757"/>
    </row>
    <row r="45" spans="1:17" x14ac:dyDescent="0.2">
      <c r="A45" s="31">
        <f t="shared" si="2"/>
        <v>29</v>
      </c>
      <c r="B45" s="49">
        <v>380</v>
      </c>
      <c r="C45" s="52" t="s">
        <v>1051</v>
      </c>
      <c r="D45" s="259">
        <v>112120038.88999999</v>
      </c>
      <c r="E45" s="259">
        <f>4773025.48+4872139</f>
        <v>9645164.4800000004</v>
      </c>
      <c r="F45" s="259">
        <f>-548720.6-584658</f>
        <v>-1133378.6000000001</v>
      </c>
      <c r="G45" s="181">
        <v>0</v>
      </c>
      <c r="H45" s="38">
        <f t="shared" si="1"/>
        <v>120631824.77</v>
      </c>
      <c r="I45" s="2051"/>
      <c r="J45" s="502"/>
      <c r="K45" s="502"/>
      <c r="L45" s="502"/>
      <c r="O45" s="1756"/>
      <c r="P45" s="1756"/>
      <c r="Q45" s="1757"/>
    </row>
    <row r="46" spans="1:17" x14ac:dyDescent="0.2">
      <c r="A46" s="2079" t="str">
        <f>co</f>
        <v>COLUMBIA GAS OF KENTUCKY, INC.</v>
      </c>
      <c r="B46" s="2079"/>
      <c r="C46" s="2079"/>
      <c r="D46" s="2079"/>
      <c r="E46" s="2079"/>
      <c r="F46" s="2079"/>
      <c r="G46" s="2079"/>
      <c r="H46" s="2079"/>
      <c r="Q46" s="1757"/>
    </row>
    <row r="47" spans="1:17" x14ac:dyDescent="0.2">
      <c r="A47" s="2079" t="str">
        <f>case</f>
        <v>CASE NO. 2016 - 00162</v>
      </c>
      <c r="B47" s="2079"/>
      <c r="C47" s="2079"/>
      <c r="D47" s="2079"/>
      <c r="E47" s="2079"/>
      <c r="F47" s="2079"/>
      <c r="G47" s="2079"/>
      <c r="H47" s="2079"/>
      <c r="Q47" s="1757"/>
    </row>
    <row r="48" spans="1:17" x14ac:dyDescent="0.2">
      <c r="A48" s="2079" t="s">
        <v>762</v>
      </c>
      <c r="B48" s="2079"/>
      <c r="C48" s="2079"/>
      <c r="D48" s="2079"/>
      <c r="E48" s="2079"/>
      <c r="F48" s="2079"/>
      <c r="G48" s="2079"/>
      <c r="H48" s="2079"/>
      <c r="Q48" s="1757"/>
    </row>
    <row r="49" spans="1:17" x14ac:dyDescent="0.2">
      <c r="A49" s="2079" t="str">
        <f>A4</f>
        <v>SEPTEMBER 2015 TO AUGUST 2016</v>
      </c>
      <c r="B49" s="2079"/>
      <c r="C49" s="2079"/>
      <c r="D49" s="2079"/>
      <c r="E49" s="2079"/>
      <c r="F49" s="2079"/>
      <c r="G49" s="2079"/>
      <c r="H49" s="2079"/>
      <c r="Q49" s="1757"/>
    </row>
    <row r="50" spans="1:17" x14ac:dyDescent="0.2">
      <c r="Q50" s="1757"/>
    </row>
    <row r="51" spans="1:17" x14ac:dyDescent="0.2">
      <c r="A51" s="4" t="s">
        <v>976</v>
      </c>
      <c r="H51" s="155" t="s">
        <v>763</v>
      </c>
      <c r="Q51" s="1757"/>
    </row>
    <row r="52" spans="1:17" x14ac:dyDescent="0.2">
      <c r="A52" s="4" t="s">
        <v>977</v>
      </c>
      <c r="H52" s="1256" t="s">
        <v>869</v>
      </c>
      <c r="Q52" s="1757"/>
    </row>
    <row r="53" spans="1:17" x14ac:dyDescent="0.2">
      <c r="A53" s="83" t="str">
        <f>A8</f>
        <v>WORKPAPER REFERENCE NO(S).: WPB-2.1, 2.2</v>
      </c>
      <c r="B53" s="201"/>
      <c r="C53" s="201"/>
      <c r="D53" s="201"/>
      <c r="E53" s="202"/>
      <c r="F53" s="202"/>
      <c r="G53" s="202"/>
      <c r="H53" s="211" t="str">
        <f>SMK</f>
        <v>WITNESS:  S. M. KATKO</v>
      </c>
      <c r="Q53" s="1757"/>
    </row>
    <row r="54" spans="1:17" x14ac:dyDescent="0.2">
      <c r="A54" s="200"/>
      <c r="B54" s="201"/>
      <c r="C54" s="201"/>
      <c r="D54" s="201"/>
      <c r="E54" s="202"/>
      <c r="F54" s="202"/>
      <c r="G54" s="202"/>
      <c r="H54" s="204"/>
      <c r="J54" s="500"/>
      <c r="K54" s="500"/>
      <c r="L54" s="500"/>
      <c r="Q54" s="1757"/>
    </row>
    <row r="55" spans="1:17" x14ac:dyDescent="0.2">
      <c r="A55" s="200"/>
      <c r="B55" s="201"/>
      <c r="C55" s="201"/>
      <c r="D55" s="201"/>
      <c r="E55" s="202"/>
      <c r="F55" s="202"/>
      <c r="G55" s="202"/>
      <c r="H55" s="204"/>
      <c r="J55" s="500"/>
      <c r="K55" s="500"/>
      <c r="L55" s="500"/>
      <c r="Q55" s="1757"/>
    </row>
    <row r="56" spans="1:17" x14ac:dyDescent="0.2">
      <c r="A56" s="205"/>
      <c r="B56" s="206"/>
      <c r="C56" s="206"/>
      <c r="D56" s="208" t="s">
        <v>830</v>
      </c>
      <c r="E56" s="207"/>
      <c r="F56" s="207"/>
      <c r="G56" s="456"/>
      <c r="H56" s="208" t="s">
        <v>830</v>
      </c>
      <c r="L56" s="500"/>
      <c r="Q56" s="1757"/>
    </row>
    <row r="57" spans="1:17" x14ac:dyDescent="0.2">
      <c r="A57" s="31" t="s">
        <v>632</v>
      </c>
      <c r="B57" s="31" t="s">
        <v>692</v>
      </c>
      <c r="D57" s="31" t="s">
        <v>764</v>
      </c>
      <c r="H57" s="31" t="s">
        <v>766</v>
      </c>
      <c r="L57" s="500"/>
      <c r="Q57" s="1757"/>
    </row>
    <row r="58" spans="1:17" x14ac:dyDescent="0.2">
      <c r="A58" s="35" t="s">
        <v>635</v>
      </c>
      <c r="B58" s="35" t="s">
        <v>635</v>
      </c>
      <c r="C58" s="33" t="s">
        <v>767</v>
      </c>
      <c r="D58" s="35" t="s">
        <v>768</v>
      </c>
      <c r="E58" s="172" t="s">
        <v>769</v>
      </c>
      <c r="F58" s="172" t="s">
        <v>770</v>
      </c>
      <c r="G58" s="499" t="s">
        <v>1176</v>
      </c>
      <c r="H58" s="35" t="s">
        <v>768</v>
      </c>
      <c r="L58" s="500"/>
      <c r="Q58" s="1757"/>
    </row>
    <row r="59" spans="1:17" x14ac:dyDescent="0.2">
      <c r="D59" s="31" t="s">
        <v>639</v>
      </c>
      <c r="E59" s="170" t="s">
        <v>639</v>
      </c>
      <c r="F59" s="170" t="s">
        <v>639</v>
      </c>
      <c r="G59" s="170" t="s">
        <v>639</v>
      </c>
      <c r="H59" s="31" t="s">
        <v>639</v>
      </c>
      <c r="Q59" s="1757"/>
    </row>
    <row r="60" spans="1:17" x14ac:dyDescent="0.2">
      <c r="D60" s="31"/>
      <c r="E60" s="170"/>
      <c r="F60" s="170"/>
      <c r="G60" s="170"/>
      <c r="H60" s="31"/>
      <c r="Q60" s="1757"/>
    </row>
    <row r="61" spans="1:17" x14ac:dyDescent="0.2">
      <c r="A61" s="127">
        <v>1</v>
      </c>
      <c r="B61" s="49">
        <v>381</v>
      </c>
      <c r="C61" s="52" t="s">
        <v>1052</v>
      </c>
      <c r="D61" s="259">
        <v>13219369.23</v>
      </c>
      <c r="E61" s="1131">
        <f>312628+321372</f>
        <v>634000</v>
      </c>
      <c r="F61" s="1131">
        <f>-173556.43-38564</f>
        <v>-212120.43</v>
      </c>
      <c r="G61" s="181">
        <v>0</v>
      </c>
      <c r="H61" s="38">
        <f t="shared" ref="H61:H72" si="3">SUM(D61:G61)</f>
        <v>13641248.800000001</v>
      </c>
      <c r="I61" s="2051"/>
      <c r="J61" s="502"/>
      <c r="K61" s="502"/>
      <c r="L61" s="502"/>
      <c r="O61" s="1756"/>
      <c r="P61" s="1756"/>
      <c r="Q61" s="1757"/>
    </row>
    <row r="62" spans="1:17" x14ac:dyDescent="0.2">
      <c r="A62" s="127">
        <f>A61+1</f>
        <v>2</v>
      </c>
      <c r="B62" s="49">
        <v>381.1</v>
      </c>
      <c r="C62" s="251" t="s">
        <v>1115</v>
      </c>
      <c r="D62" s="259">
        <v>8607905.0600000005</v>
      </c>
      <c r="E62" s="1131">
        <f>97174+67865</f>
        <v>165039</v>
      </c>
      <c r="F62" s="1131">
        <v>-8144</v>
      </c>
      <c r="G62" s="181">
        <v>0</v>
      </c>
      <c r="H62" s="38">
        <f t="shared" si="3"/>
        <v>8764800.0600000005</v>
      </c>
      <c r="I62" s="2051"/>
      <c r="J62" s="502"/>
      <c r="K62" s="502"/>
      <c r="L62" s="502"/>
      <c r="O62" s="1756"/>
      <c r="P62" s="1756"/>
      <c r="Q62" s="1757"/>
    </row>
    <row r="63" spans="1:17" x14ac:dyDescent="0.2">
      <c r="A63" s="127">
        <f t="shared" ref="A63:A69" si="4">A62+1</f>
        <v>3</v>
      </c>
      <c r="B63" s="49">
        <v>382</v>
      </c>
      <c r="C63" s="52" t="s">
        <v>1053</v>
      </c>
      <c r="D63" s="259">
        <v>8631041.1799999997</v>
      </c>
      <c r="E63" s="1131">
        <f>395418.96+114347</f>
        <v>509765.96</v>
      </c>
      <c r="F63" s="1131">
        <f>-17189.49-13721</f>
        <v>-30910.49</v>
      </c>
      <c r="G63" s="181">
        <v>0</v>
      </c>
      <c r="H63" s="38">
        <f t="shared" si="3"/>
        <v>9109896.6500000004</v>
      </c>
      <c r="I63" s="2051"/>
      <c r="J63" s="502"/>
      <c r="K63" s="502"/>
      <c r="L63" s="502"/>
      <c r="O63" s="1756"/>
      <c r="P63" s="1756"/>
      <c r="Q63" s="1757"/>
    </row>
    <row r="64" spans="1:17" x14ac:dyDescent="0.2">
      <c r="A64" s="127">
        <f t="shared" si="4"/>
        <v>4</v>
      </c>
      <c r="B64" s="49">
        <v>383</v>
      </c>
      <c r="C64" s="52" t="s">
        <v>1054</v>
      </c>
      <c r="D64" s="259">
        <v>5422699.8999999994</v>
      </c>
      <c r="E64" s="1131">
        <f>104873.98+73255</f>
        <v>178128.97999999998</v>
      </c>
      <c r="F64" s="1131">
        <f>-1429.12-8791</f>
        <v>-10220.119999999999</v>
      </c>
      <c r="G64" s="181">
        <v>0</v>
      </c>
      <c r="H64" s="38">
        <f t="shared" si="3"/>
        <v>5590608.7599999988</v>
      </c>
      <c r="I64" s="2051"/>
      <c r="J64" s="502"/>
      <c r="K64" s="502"/>
      <c r="L64" s="502"/>
      <c r="O64" s="1756"/>
      <c r="P64" s="1756"/>
      <c r="Q64" s="1757"/>
    </row>
    <row r="65" spans="1:17" x14ac:dyDescent="0.2">
      <c r="A65" s="127">
        <f t="shared" si="4"/>
        <v>5</v>
      </c>
      <c r="B65" s="49">
        <v>384</v>
      </c>
      <c r="C65" s="52" t="s">
        <v>1055</v>
      </c>
      <c r="D65" s="259">
        <v>2255592.4</v>
      </c>
      <c r="E65" s="1131">
        <f>1929.6</f>
        <v>1929.6</v>
      </c>
      <c r="F65" s="1131">
        <v>0</v>
      </c>
      <c r="G65" s="181">
        <v>0</v>
      </c>
      <c r="H65" s="38">
        <f t="shared" si="3"/>
        <v>2257522</v>
      </c>
      <c r="I65" s="2051"/>
      <c r="J65" s="502"/>
      <c r="K65" s="502"/>
      <c r="L65" s="502"/>
      <c r="O65" s="1756"/>
      <c r="P65" s="1756"/>
      <c r="Q65" s="1757"/>
    </row>
    <row r="66" spans="1:17" x14ac:dyDescent="0.2">
      <c r="A66" s="127">
        <f t="shared" si="4"/>
        <v>6</v>
      </c>
      <c r="B66" s="49">
        <v>385</v>
      </c>
      <c r="C66" s="52" t="s">
        <v>1056</v>
      </c>
      <c r="D66" s="259">
        <v>3061300.36</v>
      </c>
      <c r="E66" s="1131">
        <f>17039+143824</f>
        <v>160863</v>
      </c>
      <c r="F66" s="1131">
        <f>-28941-17259</f>
        <v>-46200</v>
      </c>
      <c r="G66" s="181">
        <v>0</v>
      </c>
      <c r="H66" s="38">
        <f t="shared" si="3"/>
        <v>3175963.36</v>
      </c>
      <c r="I66" s="2051"/>
      <c r="J66" s="502"/>
      <c r="K66" s="502"/>
      <c r="L66" s="502"/>
      <c r="O66" s="1756"/>
      <c r="P66" s="1756"/>
      <c r="Q66" s="1757"/>
    </row>
    <row r="67" spans="1:17" x14ac:dyDescent="0.2">
      <c r="A67" s="127">
        <f t="shared" si="4"/>
        <v>7</v>
      </c>
      <c r="B67" s="49">
        <v>387.2</v>
      </c>
      <c r="C67" s="52" t="s">
        <v>1057</v>
      </c>
      <c r="D67" s="259">
        <v>0</v>
      </c>
      <c r="E67" s="1131">
        <v>0</v>
      </c>
      <c r="F67" s="1131">
        <v>0</v>
      </c>
      <c r="G67" s="181">
        <v>0</v>
      </c>
      <c r="H67" s="38">
        <f t="shared" si="3"/>
        <v>0</v>
      </c>
      <c r="I67" s="2051"/>
      <c r="J67" s="502"/>
      <c r="K67" s="502"/>
      <c r="L67" s="502"/>
      <c r="O67" s="1756"/>
      <c r="P67" s="1756"/>
      <c r="Q67" s="1757"/>
    </row>
    <row r="68" spans="1:17" x14ac:dyDescent="0.2">
      <c r="A68" s="127">
        <f t="shared" si="4"/>
        <v>8</v>
      </c>
      <c r="B68" s="49">
        <v>387.41</v>
      </c>
      <c r="C68" s="52" t="s">
        <v>1058</v>
      </c>
      <c r="D68" s="259">
        <v>735336.35</v>
      </c>
      <c r="E68" s="1131">
        <f>434.41</f>
        <v>434.41</v>
      </c>
      <c r="F68" s="1131">
        <v>0</v>
      </c>
      <c r="G68" s="181">
        <v>0</v>
      </c>
      <c r="H68" s="38">
        <f t="shared" si="3"/>
        <v>735770.76</v>
      </c>
      <c r="I68" s="2051"/>
      <c r="J68" s="502"/>
      <c r="K68" s="502"/>
      <c r="L68" s="502"/>
      <c r="O68" s="1756"/>
      <c r="P68" s="1756"/>
      <c r="Q68" s="1757"/>
    </row>
    <row r="69" spans="1:17" x14ac:dyDescent="0.2">
      <c r="A69" s="127">
        <f t="shared" si="4"/>
        <v>9</v>
      </c>
      <c r="B69" s="49">
        <v>387.42</v>
      </c>
      <c r="C69" s="52" t="s">
        <v>1059</v>
      </c>
      <c r="D69" s="259">
        <v>796184.94</v>
      </c>
      <c r="E69" s="1131">
        <f>418</f>
        <v>418</v>
      </c>
      <c r="F69" s="1131">
        <v>-1416.36</v>
      </c>
      <c r="G69" s="181">
        <v>0</v>
      </c>
      <c r="H69" s="38">
        <f t="shared" si="3"/>
        <v>795186.58</v>
      </c>
      <c r="I69" s="2051"/>
      <c r="J69" s="502"/>
      <c r="K69" s="502"/>
      <c r="L69" s="502"/>
      <c r="O69" s="1756"/>
      <c r="P69" s="1756"/>
      <c r="Q69" s="1757"/>
    </row>
    <row r="70" spans="1:17" x14ac:dyDescent="0.2">
      <c r="A70" s="127">
        <f>A69+1</f>
        <v>10</v>
      </c>
      <c r="B70" s="49">
        <v>387.44</v>
      </c>
      <c r="C70" s="52" t="s">
        <v>1060</v>
      </c>
      <c r="D70" s="259">
        <v>165500.07</v>
      </c>
      <c r="E70" s="1131">
        <v>11016</v>
      </c>
      <c r="F70" s="1131">
        <f>-31910.14-1322</f>
        <v>-33232.14</v>
      </c>
      <c r="G70" s="181">
        <v>0</v>
      </c>
      <c r="H70" s="38">
        <f t="shared" si="3"/>
        <v>143283.93</v>
      </c>
      <c r="I70" s="2051"/>
      <c r="J70" s="502"/>
      <c r="K70" s="502"/>
      <c r="L70" s="502"/>
      <c r="O70" s="1756"/>
      <c r="P70" s="1756"/>
      <c r="Q70" s="1757"/>
    </row>
    <row r="71" spans="1:17" x14ac:dyDescent="0.2">
      <c r="A71" s="127">
        <f>A70+1</f>
        <v>11</v>
      </c>
      <c r="B71" s="49">
        <v>387.45</v>
      </c>
      <c r="C71" s="52" t="s">
        <v>1061</v>
      </c>
      <c r="D71" s="259">
        <v>2296542.35</v>
      </c>
      <c r="E71" s="1131">
        <f>462737.57+187317</f>
        <v>650054.57000000007</v>
      </c>
      <c r="F71" s="1131">
        <f>-15049.26-22479</f>
        <v>-37528.26</v>
      </c>
      <c r="G71" s="181">
        <v>0</v>
      </c>
      <c r="H71" s="38">
        <f t="shared" si="3"/>
        <v>2909068.66</v>
      </c>
      <c r="I71" s="2051"/>
      <c r="J71" s="502"/>
      <c r="K71" s="502"/>
      <c r="L71" s="502"/>
      <c r="O71" s="1756"/>
      <c r="P71" s="1756"/>
      <c r="Q71" s="1757"/>
    </row>
    <row r="72" spans="1:17" x14ac:dyDescent="0.2">
      <c r="A72" s="127">
        <f>A71+1</f>
        <v>12</v>
      </c>
      <c r="B72" s="49">
        <v>387.46</v>
      </c>
      <c r="C72" s="52" t="s">
        <v>1062</v>
      </c>
      <c r="D72" s="1130">
        <v>113644.47</v>
      </c>
      <c r="E72" s="1132">
        <v>0</v>
      </c>
      <c r="F72" s="1132">
        <v>0</v>
      </c>
      <c r="G72" s="497">
        <v>0</v>
      </c>
      <c r="H72" s="39">
        <f t="shared" si="3"/>
        <v>113644.47</v>
      </c>
      <c r="I72" s="2051"/>
      <c r="J72" s="502"/>
      <c r="K72" s="502"/>
      <c r="L72" s="502"/>
      <c r="O72" s="1756"/>
      <c r="P72" s="1756"/>
      <c r="Q72" s="1757"/>
    </row>
    <row r="73" spans="1:17" x14ac:dyDescent="0.2">
      <c r="A73" s="127">
        <f>A72+1</f>
        <v>13</v>
      </c>
      <c r="C73" s="32" t="s">
        <v>1063</v>
      </c>
      <c r="D73" s="173">
        <f>SUM(D61:D72,D29:D45)</f>
        <v>372947566.45999998</v>
      </c>
      <c r="E73" s="173">
        <f>SUM(E61:E72,E29:E45)</f>
        <v>33000383.150000002</v>
      </c>
      <c r="F73" s="173">
        <f>SUM(F61:F72,F29:F45)</f>
        <v>-3365714.85</v>
      </c>
      <c r="G73" s="173">
        <f>SUM(G61:G72,G29:G45)</f>
        <v>0</v>
      </c>
      <c r="H73" s="173">
        <f>SUM(H61:H72,H29:H45)</f>
        <v>402582234.75999993</v>
      </c>
      <c r="I73" s="2051"/>
      <c r="J73" s="502"/>
      <c r="K73" s="502"/>
      <c r="O73" s="1756"/>
      <c r="P73" s="1756"/>
      <c r="Q73" s="1757"/>
    </row>
    <row r="74" spans="1:17" x14ac:dyDescent="0.2">
      <c r="D74" s="173"/>
      <c r="E74" s="173"/>
      <c r="F74" s="173"/>
      <c r="G74" s="173"/>
      <c r="H74" s="38"/>
      <c r="I74" s="2051"/>
      <c r="J74" s="502"/>
      <c r="K74" s="502"/>
      <c r="O74" s="1756"/>
      <c r="P74" s="1756"/>
      <c r="Q74" s="1757"/>
    </row>
    <row r="75" spans="1:17" x14ac:dyDescent="0.2">
      <c r="A75" s="127">
        <f>A73+1</f>
        <v>14</v>
      </c>
      <c r="C75" s="36" t="s">
        <v>737</v>
      </c>
      <c r="D75" s="173"/>
      <c r="E75" s="173"/>
      <c r="F75" s="173"/>
      <c r="G75" s="173"/>
      <c r="H75" s="38"/>
      <c r="I75" s="2051"/>
      <c r="J75" s="502"/>
      <c r="K75" s="502"/>
      <c r="O75" s="1756"/>
      <c r="P75" s="1756"/>
      <c r="Q75" s="1757"/>
    </row>
    <row r="76" spans="1:17" x14ac:dyDescent="0.2">
      <c r="A76" s="31">
        <f>A75+1</f>
        <v>15</v>
      </c>
      <c r="B76" s="123">
        <v>391.1</v>
      </c>
      <c r="C76" s="52" t="s">
        <v>2245</v>
      </c>
      <c r="D76" s="259">
        <v>224371.31</v>
      </c>
      <c r="E76" s="1131">
        <f>490295.76+19200</f>
        <v>509495.76</v>
      </c>
      <c r="F76" s="1131">
        <f>-1186.36-2304</f>
        <v>-3490.3599999999997</v>
      </c>
      <c r="G76" s="181">
        <v>0</v>
      </c>
      <c r="H76" s="38">
        <f t="shared" ref="H76:H89" si="5">SUM(D76:G76)</f>
        <v>730376.71000000008</v>
      </c>
      <c r="I76" s="2051"/>
      <c r="J76" s="502"/>
      <c r="K76" s="502"/>
      <c r="L76" s="502"/>
      <c r="O76" s="1756"/>
      <c r="P76" s="1756"/>
      <c r="Q76" s="1757"/>
    </row>
    <row r="77" spans="1:17" x14ac:dyDescent="0.2">
      <c r="A77" s="31">
        <f t="shared" ref="A77:A90" si="6">A76+1</f>
        <v>16</v>
      </c>
      <c r="B77" s="123">
        <v>391.11</v>
      </c>
      <c r="C77" s="52" t="s">
        <v>1065</v>
      </c>
      <c r="D77" s="259">
        <v>18815.57</v>
      </c>
      <c r="E77" s="1131">
        <v>0</v>
      </c>
      <c r="F77" s="1131">
        <v>0</v>
      </c>
      <c r="G77" s="181">
        <v>0</v>
      </c>
      <c r="H77" s="38">
        <f t="shared" si="5"/>
        <v>18815.57</v>
      </c>
      <c r="I77" s="2051"/>
      <c r="J77" s="502"/>
      <c r="K77" s="502"/>
      <c r="L77" s="502"/>
      <c r="O77" s="1756"/>
      <c r="P77" s="1756"/>
      <c r="Q77" s="1757"/>
    </row>
    <row r="78" spans="1:17" x14ac:dyDescent="0.2">
      <c r="A78" s="31">
        <f t="shared" si="6"/>
        <v>17</v>
      </c>
      <c r="B78" s="123">
        <v>391.12</v>
      </c>
      <c r="C78" s="52" t="s">
        <v>1066</v>
      </c>
      <c r="D78" s="259">
        <v>612194.80000000005</v>
      </c>
      <c r="E78" s="1131">
        <f>241288.61</f>
        <v>241288.61</v>
      </c>
      <c r="F78" s="1131">
        <v>0</v>
      </c>
      <c r="G78" s="181">
        <v>0</v>
      </c>
      <c r="H78" s="38">
        <f t="shared" si="5"/>
        <v>853483.41</v>
      </c>
      <c r="I78" s="2051"/>
      <c r="J78" s="502"/>
      <c r="K78" s="502"/>
      <c r="L78" s="502"/>
      <c r="O78" s="1756"/>
      <c r="P78" s="1756"/>
      <c r="Q78" s="1757"/>
    </row>
    <row r="79" spans="1:17" x14ac:dyDescent="0.2">
      <c r="A79" s="31">
        <f t="shared" si="6"/>
        <v>18</v>
      </c>
      <c r="B79" s="123">
        <v>392.2</v>
      </c>
      <c r="C79" s="52" t="s">
        <v>1067</v>
      </c>
      <c r="D79" s="259">
        <v>95778</v>
      </c>
      <c r="E79" s="1131">
        <v>0</v>
      </c>
      <c r="F79" s="1131">
        <v>0</v>
      </c>
      <c r="G79" s="181">
        <v>0</v>
      </c>
      <c r="H79" s="38">
        <f t="shared" si="5"/>
        <v>95778</v>
      </c>
      <c r="I79" s="2051"/>
      <c r="J79" s="502"/>
      <c r="K79" s="502"/>
      <c r="L79" s="502"/>
      <c r="O79" s="1756"/>
      <c r="P79" s="1756"/>
      <c r="Q79" s="1757"/>
    </row>
    <row r="80" spans="1:17" x14ac:dyDescent="0.2">
      <c r="A80" s="31">
        <f t="shared" si="6"/>
        <v>19</v>
      </c>
      <c r="B80" s="123">
        <v>392.21</v>
      </c>
      <c r="C80" s="52" t="s">
        <v>1068</v>
      </c>
      <c r="D80" s="259">
        <v>24462.2</v>
      </c>
      <c r="E80" s="1131">
        <v>0</v>
      </c>
      <c r="F80" s="1131">
        <v>0</v>
      </c>
      <c r="G80" s="181">
        <v>0</v>
      </c>
      <c r="H80" s="38">
        <f t="shared" si="5"/>
        <v>24462.2</v>
      </c>
      <c r="I80" s="2051"/>
      <c r="J80" s="502"/>
      <c r="K80" s="502"/>
      <c r="L80" s="502"/>
      <c r="O80" s="1756"/>
      <c r="P80" s="1756"/>
      <c r="Q80" s="1757"/>
    </row>
    <row r="81" spans="1:17" x14ac:dyDescent="0.2">
      <c r="A81" s="31">
        <f t="shared" si="6"/>
        <v>20</v>
      </c>
      <c r="B81" s="123">
        <v>393</v>
      </c>
      <c r="C81" s="52" t="s">
        <v>1069</v>
      </c>
      <c r="D81" s="259">
        <v>0</v>
      </c>
      <c r="E81" s="1131">
        <v>0</v>
      </c>
      <c r="F81" s="1131">
        <v>0</v>
      </c>
      <c r="G81" s="181">
        <v>0</v>
      </c>
      <c r="H81" s="38">
        <f t="shared" si="5"/>
        <v>0</v>
      </c>
      <c r="I81" s="2051"/>
      <c r="J81" s="502"/>
      <c r="K81" s="502"/>
      <c r="L81" s="502"/>
      <c r="O81" s="1756"/>
      <c r="P81" s="1756"/>
      <c r="Q81" s="1757"/>
    </row>
    <row r="82" spans="1:17" x14ac:dyDescent="0.2">
      <c r="A82" s="31">
        <f t="shared" si="6"/>
        <v>21</v>
      </c>
      <c r="B82" s="123">
        <v>394.1</v>
      </c>
      <c r="C82" s="52" t="s">
        <v>1070</v>
      </c>
      <c r="D82" s="259">
        <v>24240.799999999999</v>
      </c>
      <c r="E82" s="1131">
        <v>0</v>
      </c>
      <c r="F82" s="1131">
        <v>0</v>
      </c>
      <c r="G82" s="181">
        <v>0</v>
      </c>
      <c r="H82" s="38">
        <f t="shared" si="5"/>
        <v>24240.799999999999</v>
      </c>
      <c r="I82" s="2051"/>
      <c r="J82" s="502"/>
      <c r="K82" s="502"/>
      <c r="L82" s="502"/>
      <c r="O82" s="1756"/>
      <c r="P82" s="1756"/>
      <c r="Q82" s="1757"/>
    </row>
    <row r="83" spans="1:17" x14ac:dyDescent="0.2">
      <c r="A83" s="31">
        <f t="shared" si="6"/>
        <v>22</v>
      </c>
      <c r="B83" s="123">
        <v>394.11</v>
      </c>
      <c r="C83" s="52" t="s">
        <v>1071</v>
      </c>
      <c r="D83" s="259">
        <v>0</v>
      </c>
      <c r="E83" s="1131">
        <v>0</v>
      </c>
      <c r="F83" s="1131">
        <v>0</v>
      </c>
      <c r="G83" s="181">
        <v>0</v>
      </c>
      <c r="H83" s="38">
        <f t="shared" si="5"/>
        <v>0</v>
      </c>
      <c r="I83" s="2051"/>
      <c r="J83" s="502"/>
      <c r="K83" s="502"/>
      <c r="L83" s="502"/>
      <c r="O83" s="1756"/>
      <c r="P83" s="1756"/>
      <c r="Q83" s="1757"/>
    </row>
    <row r="84" spans="1:17" x14ac:dyDescent="0.2">
      <c r="A84" s="31">
        <f t="shared" si="6"/>
        <v>23</v>
      </c>
      <c r="B84" s="123">
        <v>394.13</v>
      </c>
      <c r="C84" s="251" t="s">
        <v>1072</v>
      </c>
      <c r="D84" s="259">
        <v>0</v>
      </c>
      <c r="E84" s="1131">
        <v>0</v>
      </c>
      <c r="F84" s="1131">
        <v>0</v>
      </c>
      <c r="G84" s="181">
        <v>0</v>
      </c>
      <c r="H84" s="38">
        <f t="shared" si="5"/>
        <v>0</v>
      </c>
      <c r="I84" s="2051"/>
      <c r="J84" s="502"/>
      <c r="K84" s="502"/>
      <c r="L84" s="502"/>
      <c r="O84" s="1756"/>
      <c r="P84" s="1756"/>
      <c r="Q84" s="1757"/>
    </row>
    <row r="85" spans="1:17" x14ac:dyDescent="0.2">
      <c r="A85" s="31">
        <f t="shared" si="6"/>
        <v>24</v>
      </c>
      <c r="B85" s="123">
        <v>394.2</v>
      </c>
      <c r="C85" s="52" t="s">
        <v>1073</v>
      </c>
      <c r="D85" s="259">
        <v>0</v>
      </c>
      <c r="E85" s="1131">
        <v>0</v>
      </c>
      <c r="F85" s="1131">
        <v>0</v>
      </c>
      <c r="G85" s="181">
        <v>0</v>
      </c>
      <c r="H85" s="38">
        <f t="shared" si="5"/>
        <v>0</v>
      </c>
      <c r="I85" s="2051"/>
      <c r="J85" s="502"/>
      <c r="K85" s="502"/>
      <c r="L85" s="502"/>
      <c r="O85" s="1756"/>
      <c r="P85" s="1756"/>
      <c r="Q85" s="1757"/>
    </row>
    <row r="86" spans="1:17" x14ac:dyDescent="0.2">
      <c r="A86" s="31">
        <f t="shared" si="6"/>
        <v>25</v>
      </c>
      <c r="B86" s="123">
        <v>394.3</v>
      </c>
      <c r="C86" s="52" t="s">
        <v>1074</v>
      </c>
      <c r="D86" s="259">
        <v>2932959.88</v>
      </c>
      <c r="E86" s="1131">
        <f>6470.07+227235</f>
        <v>233705.07</v>
      </c>
      <c r="F86" s="1131">
        <f>-28815.79-27268</f>
        <v>-56083.79</v>
      </c>
      <c r="G86" s="181">
        <v>0</v>
      </c>
      <c r="H86" s="38">
        <f t="shared" si="5"/>
        <v>3110581.1599999997</v>
      </c>
      <c r="I86" s="2051"/>
      <c r="J86" s="502"/>
      <c r="K86" s="502"/>
      <c r="L86" s="502"/>
      <c r="O86" s="1756"/>
      <c r="P86" s="1756"/>
      <c r="Q86" s="1757"/>
    </row>
    <row r="87" spans="1:17" x14ac:dyDescent="0.2">
      <c r="A87" s="31">
        <f t="shared" si="6"/>
        <v>26</v>
      </c>
      <c r="B87" s="123">
        <v>395</v>
      </c>
      <c r="C87" s="52" t="s">
        <v>1075</v>
      </c>
      <c r="D87" s="259">
        <v>9257.77</v>
      </c>
      <c r="E87" s="1131">
        <v>0</v>
      </c>
      <c r="F87" s="1131">
        <v>0</v>
      </c>
      <c r="G87" s="181">
        <v>0</v>
      </c>
      <c r="H87" s="38">
        <f t="shared" si="5"/>
        <v>9257.77</v>
      </c>
      <c r="I87" s="2051"/>
      <c r="J87" s="502"/>
      <c r="K87" s="502"/>
      <c r="L87" s="502"/>
      <c r="O87" s="1756"/>
      <c r="P87" s="1756"/>
      <c r="Q87" s="1757"/>
    </row>
    <row r="88" spans="1:17" x14ac:dyDescent="0.2">
      <c r="A88" s="31">
        <f t="shared" si="6"/>
        <v>27</v>
      </c>
      <c r="B88" s="123">
        <v>396</v>
      </c>
      <c r="C88" s="52" t="s">
        <v>1076</v>
      </c>
      <c r="D88" s="259">
        <v>258254.72</v>
      </c>
      <c r="E88" s="1131">
        <v>0</v>
      </c>
      <c r="F88" s="1131">
        <v>-5120</v>
      </c>
      <c r="G88" s="181">
        <v>0</v>
      </c>
      <c r="H88" s="38">
        <f t="shared" si="5"/>
        <v>253134.72</v>
      </c>
      <c r="I88" s="2051"/>
      <c r="J88" s="502"/>
      <c r="K88" s="502"/>
      <c r="L88" s="502"/>
      <c r="O88" s="1756"/>
      <c r="P88" s="1756"/>
      <c r="Q88" s="1757"/>
    </row>
    <row r="89" spans="1:17" x14ac:dyDescent="0.2">
      <c r="A89" s="31">
        <f t="shared" si="6"/>
        <v>28</v>
      </c>
      <c r="B89" s="123">
        <v>398</v>
      </c>
      <c r="C89" s="52" t="s">
        <v>1077</v>
      </c>
      <c r="D89" s="1130">
        <v>104078.57</v>
      </c>
      <c r="E89" s="1132">
        <v>38201</v>
      </c>
      <c r="F89" s="1132">
        <f>-13001.63-4584</f>
        <v>-17585.629999999997</v>
      </c>
      <c r="G89" s="497">
        <v>0</v>
      </c>
      <c r="H89" s="39">
        <f t="shared" si="5"/>
        <v>124693.94</v>
      </c>
      <c r="I89" s="2051"/>
      <c r="J89" s="502"/>
      <c r="K89" s="502"/>
      <c r="L89" s="502"/>
      <c r="O89" s="1756"/>
      <c r="P89" s="1756"/>
      <c r="Q89" s="1757"/>
    </row>
    <row r="90" spans="1:17" x14ac:dyDescent="0.2">
      <c r="A90" s="31">
        <f t="shared" si="6"/>
        <v>29</v>
      </c>
      <c r="C90" s="32" t="s">
        <v>1078</v>
      </c>
      <c r="D90" s="173">
        <f>SUM(D76:D89)</f>
        <v>4304413.62</v>
      </c>
      <c r="E90" s="173">
        <f>SUM(E76:E89)</f>
        <v>1022690.44</v>
      </c>
      <c r="F90" s="173">
        <f>SUM(F76:F89)</f>
        <v>-82279.78</v>
      </c>
      <c r="G90" s="173">
        <f>SUM(G76:G89)</f>
        <v>0</v>
      </c>
      <c r="H90" s="38">
        <f>SUM(H76:H89)</f>
        <v>5244824.2799999993</v>
      </c>
      <c r="I90" s="2051"/>
      <c r="J90" s="502"/>
      <c r="K90" s="502"/>
      <c r="O90" s="1756"/>
      <c r="P90" s="1756"/>
      <c r="Q90" s="1757"/>
    </row>
    <row r="91" spans="1:17" x14ac:dyDescent="0.2">
      <c r="A91" s="31"/>
      <c r="C91" s="32"/>
      <c r="D91" s="173"/>
      <c r="E91" s="173"/>
      <c r="F91" s="173"/>
      <c r="G91" s="173"/>
      <c r="H91" s="38"/>
      <c r="I91" s="2051"/>
      <c r="J91" s="502"/>
      <c r="K91" s="502"/>
      <c r="O91" s="1756"/>
      <c r="P91" s="1756"/>
      <c r="Q91" s="1757"/>
    </row>
    <row r="92" spans="1:17" x14ac:dyDescent="0.2">
      <c r="A92" s="1805">
        <f>A90+1</f>
        <v>30</v>
      </c>
      <c r="C92" s="36" t="s">
        <v>2287</v>
      </c>
      <c r="D92" s="173"/>
      <c r="E92" s="173"/>
      <c r="F92" s="173"/>
      <c r="G92" s="173"/>
      <c r="H92" s="38"/>
      <c r="I92" s="2051"/>
      <c r="J92" s="502"/>
      <c r="K92" s="502"/>
      <c r="O92" s="1756"/>
      <c r="P92" s="1756"/>
      <c r="Q92" s="1757"/>
    </row>
    <row r="93" spans="1:17" x14ac:dyDescent="0.2">
      <c r="A93" s="31">
        <f>A92+1</f>
        <v>31</v>
      </c>
      <c r="B93" s="30">
        <v>378.21</v>
      </c>
      <c r="C93" s="32" t="s">
        <v>2244</v>
      </c>
      <c r="D93" s="259">
        <v>-777092</v>
      </c>
      <c r="E93" s="1131">
        <v>0</v>
      </c>
      <c r="F93" s="1131">
        <v>0</v>
      </c>
      <c r="G93" s="181">
        <v>0</v>
      </c>
      <c r="H93" s="38">
        <f t="shared" ref="H93" si="7">SUM(D93:G93)</f>
        <v>-777092</v>
      </c>
      <c r="I93" s="2051"/>
      <c r="J93" s="502"/>
      <c r="K93" s="502"/>
      <c r="O93" s="1756"/>
      <c r="P93" s="1756"/>
      <c r="Q93" s="1757"/>
    </row>
    <row r="94" spans="1:17" x14ac:dyDescent="0.2">
      <c r="D94" s="38"/>
      <c r="E94" s="173"/>
      <c r="F94" s="173"/>
      <c r="G94" s="173"/>
      <c r="H94" s="38"/>
      <c r="I94" s="2051"/>
      <c r="J94" s="502"/>
      <c r="K94" s="502"/>
      <c r="O94" s="1756"/>
      <c r="P94" s="1756"/>
      <c r="Q94" s="1757"/>
    </row>
    <row r="95" spans="1:17" x14ac:dyDescent="0.2">
      <c r="A95" s="31">
        <f>A93+1</f>
        <v>32</v>
      </c>
      <c r="C95" s="32" t="s">
        <v>774</v>
      </c>
      <c r="D95" s="40">
        <f>D90+D73+D26+D22+D93</f>
        <v>381698985.75</v>
      </c>
      <c r="E95" s="174">
        <f>E90+E73+E26+E22+E93</f>
        <v>35141557.960000001</v>
      </c>
      <c r="F95" s="174">
        <f>F90+F73+F26+F22+F93</f>
        <v>-3460175.4099999997</v>
      </c>
      <c r="G95" s="174">
        <f>G90+G73+G26+G22+G93</f>
        <v>0</v>
      </c>
      <c r="H95" s="40">
        <f>H90+H73+H26+H22+H93</f>
        <v>413380368.29999989</v>
      </c>
      <c r="I95" s="2051"/>
      <c r="J95" s="502"/>
      <c r="K95" s="502"/>
      <c r="O95" s="1756"/>
      <c r="P95" s="1756"/>
      <c r="Q95" s="1757"/>
    </row>
    <row r="96" spans="1:17" x14ac:dyDescent="0.2">
      <c r="A96" s="31"/>
      <c r="C96" s="32"/>
      <c r="D96" s="38"/>
      <c r="E96" s="173"/>
      <c r="F96" s="173"/>
      <c r="G96" s="173"/>
      <c r="H96" s="38"/>
      <c r="I96" s="2051"/>
      <c r="J96" s="502"/>
      <c r="K96" s="502"/>
    </row>
    <row r="98" spans="4:11" x14ac:dyDescent="0.2">
      <c r="D98" s="38"/>
      <c r="E98" s="173"/>
      <c r="F98" s="173"/>
      <c r="G98" s="173"/>
      <c r="H98" s="38"/>
      <c r="I98" s="2051"/>
      <c r="J98" s="502"/>
      <c r="K98" s="502"/>
    </row>
    <row r="99" spans="4:11" x14ac:dyDescent="0.2">
      <c r="D99" s="38"/>
      <c r="E99" s="173"/>
      <c r="F99" s="173"/>
      <c r="G99" s="173"/>
      <c r="H99" s="38"/>
      <c r="I99" s="2051"/>
      <c r="J99" s="502"/>
      <c r="K99" s="502"/>
    </row>
    <row r="100" spans="4:11" x14ac:dyDescent="0.2">
      <c r="D100" s="38"/>
      <c r="E100" s="173"/>
      <c r="F100" s="173"/>
      <c r="G100" s="173"/>
      <c r="H100" s="38"/>
      <c r="I100" s="2051"/>
      <c r="J100" s="502"/>
      <c r="K100" s="502"/>
    </row>
    <row r="101" spans="4:11" x14ac:dyDescent="0.2">
      <c r="D101" s="38"/>
      <c r="E101" s="173"/>
      <c r="F101" s="173"/>
      <c r="G101" s="173"/>
      <c r="H101" s="38"/>
      <c r="I101" s="2051"/>
      <c r="J101" s="502"/>
      <c r="K101" s="502"/>
    </row>
    <row r="102" spans="4:11" x14ac:dyDescent="0.2">
      <c r="D102" s="38"/>
      <c r="E102" s="173"/>
      <c r="F102" s="173"/>
      <c r="G102" s="173"/>
      <c r="H102" s="38"/>
      <c r="I102" s="2051"/>
      <c r="J102" s="502"/>
      <c r="K102" s="502"/>
    </row>
    <row r="103" spans="4:11" x14ac:dyDescent="0.2">
      <c r="D103" s="38"/>
      <c r="E103" s="173"/>
      <c r="F103" s="173"/>
      <c r="G103" s="173"/>
      <c r="H103" s="38"/>
      <c r="I103" s="2051"/>
      <c r="J103" s="502"/>
      <c r="K103" s="502"/>
    </row>
    <row r="104" spans="4:11" x14ac:dyDescent="0.2">
      <c r="D104" s="38"/>
      <c r="E104" s="173"/>
      <c r="F104" s="173"/>
      <c r="G104" s="173"/>
      <c r="H104" s="38"/>
      <c r="I104" s="2051"/>
      <c r="J104" s="502"/>
      <c r="K104" s="502"/>
    </row>
    <row r="105" spans="4:11" x14ac:dyDescent="0.2">
      <c r="D105" s="38"/>
      <c r="E105" s="173"/>
      <c r="F105" s="173"/>
      <c r="G105" s="173"/>
      <c r="H105" s="38"/>
      <c r="I105" s="2051"/>
      <c r="J105" s="502"/>
      <c r="K105" s="502"/>
    </row>
    <row r="106" spans="4:11" x14ac:dyDescent="0.2">
      <c r="D106" s="38"/>
      <c r="E106" s="173"/>
      <c r="F106" s="173"/>
      <c r="G106" s="173"/>
      <c r="H106" s="38"/>
      <c r="I106" s="2051"/>
      <c r="J106" s="502"/>
      <c r="K106" s="502"/>
    </row>
    <row r="107" spans="4:11" x14ac:dyDescent="0.2">
      <c r="D107" s="38"/>
      <c r="E107" s="173"/>
      <c r="F107" s="173"/>
      <c r="G107" s="173"/>
      <c r="H107" s="38"/>
      <c r="I107" s="2051"/>
      <c r="J107" s="502"/>
      <c r="K107" s="502"/>
    </row>
    <row r="108" spans="4:11" x14ac:dyDescent="0.2">
      <c r="D108" s="38"/>
      <c r="E108" s="173"/>
      <c r="F108" s="173"/>
      <c r="G108" s="173"/>
      <c r="H108" s="38"/>
      <c r="I108" s="2051"/>
      <c r="J108" s="502"/>
      <c r="K108" s="502"/>
    </row>
    <row r="109" spans="4:11" x14ac:dyDescent="0.2">
      <c r="D109" s="38"/>
      <c r="E109" s="173"/>
      <c r="F109" s="173"/>
      <c r="G109" s="173"/>
      <c r="H109" s="38"/>
      <c r="I109" s="2051"/>
      <c r="J109" s="502"/>
      <c r="K109" s="502"/>
    </row>
    <row r="110" spans="4:11" x14ac:dyDescent="0.2">
      <c r="D110" s="38"/>
      <c r="E110" s="173"/>
      <c r="F110" s="173"/>
      <c r="G110" s="173"/>
      <c r="H110" s="38"/>
      <c r="I110" s="2051"/>
      <c r="J110" s="502"/>
      <c r="K110" s="502"/>
    </row>
    <row r="111" spans="4:11" x14ac:dyDescent="0.2">
      <c r="D111" s="38"/>
      <c r="E111" s="173"/>
      <c r="F111" s="173"/>
      <c r="G111" s="173"/>
      <c r="H111" s="38"/>
      <c r="I111" s="2051"/>
      <c r="J111" s="502"/>
      <c r="K111" s="502"/>
    </row>
    <row r="112" spans="4:11" x14ac:dyDescent="0.2">
      <c r="D112" s="38"/>
      <c r="E112" s="173"/>
      <c r="F112" s="173"/>
      <c r="G112" s="173"/>
      <c r="H112" s="38"/>
      <c r="I112" s="2051"/>
      <c r="J112" s="502"/>
      <c r="K112" s="502"/>
    </row>
    <row r="113" spans="4:11" x14ac:dyDescent="0.2">
      <c r="D113" s="38"/>
      <c r="E113" s="173"/>
      <c r="F113" s="173"/>
      <c r="G113" s="173"/>
      <c r="H113" s="38"/>
      <c r="I113" s="2051"/>
      <c r="J113" s="502"/>
      <c r="K113" s="502"/>
    </row>
    <row r="114" spans="4:11" x14ac:dyDescent="0.2">
      <c r="D114" s="38"/>
      <c r="E114" s="173"/>
      <c r="F114" s="173"/>
      <c r="G114" s="173"/>
      <c r="H114" s="38"/>
      <c r="I114" s="2051"/>
      <c r="J114" s="502"/>
      <c r="K114" s="502"/>
    </row>
    <row r="115" spans="4:11" x14ac:dyDescent="0.2">
      <c r="D115" s="38"/>
      <c r="E115" s="173"/>
      <c r="F115" s="173"/>
      <c r="G115" s="173"/>
      <c r="H115" s="38"/>
      <c r="I115" s="2051"/>
      <c r="J115" s="502"/>
      <c r="K115" s="502"/>
    </row>
    <row r="116" spans="4:11" x14ac:dyDescent="0.2">
      <c r="D116" s="38"/>
      <c r="E116" s="173"/>
      <c r="F116" s="173"/>
      <c r="G116" s="173"/>
      <c r="H116" s="38"/>
      <c r="I116" s="2051"/>
      <c r="J116" s="502"/>
      <c r="K116" s="502"/>
    </row>
    <row r="117" spans="4:11" x14ac:dyDescent="0.2">
      <c r="D117" s="38"/>
      <c r="E117" s="173"/>
      <c r="F117" s="173"/>
      <c r="G117" s="173"/>
      <c r="H117" s="38"/>
      <c r="I117" s="2051"/>
      <c r="J117" s="502"/>
      <c r="K117" s="502"/>
    </row>
    <row r="118" spans="4:11" x14ac:dyDescent="0.2">
      <c r="D118" s="38"/>
      <c r="E118" s="173"/>
      <c r="F118" s="173"/>
      <c r="G118" s="173"/>
      <c r="H118" s="38"/>
      <c r="I118" s="2051"/>
      <c r="J118" s="502"/>
      <c r="K118" s="502"/>
    </row>
    <row r="119" spans="4:11" x14ac:dyDescent="0.2">
      <c r="D119" s="38"/>
      <c r="E119" s="173"/>
      <c r="F119" s="173"/>
      <c r="G119" s="173"/>
      <c r="H119" s="38"/>
      <c r="I119" s="2051"/>
      <c r="J119" s="502"/>
      <c r="K119" s="502"/>
    </row>
    <row r="120" spans="4:11" x14ac:dyDescent="0.2">
      <c r="D120" s="38"/>
      <c r="E120" s="173"/>
      <c r="F120" s="173"/>
      <c r="G120" s="173"/>
      <c r="H120" s="38"/>
      <c r="I120" s="2051"/>
      <c r="J120" s="502"/>
      <c r="K120" s="502"/>
    </row>
    <row r="121" spans="4:11" x14ac:dyDescent="0.2">
      <c r="D121" s="38"/>
      <c r="E121" s="173"/>
      <c r="F121" s="173"/>
      <c r="G121" s="173"/>
      <c r="H121" s="38"/>
      <c r="I121" s="2051"/>
      <c r="J121" s="502"/>
      <c r="K121" s="502"/>
    </row>
    <row r="122" spans="4:11" x14ac:dyDescent="0.2">
      <c r="D122" s="38"/>
      <c r="E122" s="173"/>
      <c r="F122" s="173"/>
      <c r="G122" s="173"/>
      <c r="H122" s="38"/>
      <c r="I122" s="2051"/>
      <c r="J122" s="502"/>
      <c r="K122" s="502"/>
    </row>
    <row r="123" spans="4:11" x14ac:dyDescent="0.2">
      <c r="D123" s="38"/>
      <c r="E123" s="173"/>
      <c r="F123" s="173"/>
      <c r="G123" s="173"/>
      <c r="H123" s="38"/>
      <c r="I123" s="2051"/>
      <c r="J123" s="502"/>
      <c r="K123" s="502"/>
    </row>
    <row r="124" spans="4:11" x14ac:dyDescent="0.2">
      <c r="D124" s="38"/>
      <c r="E124" s="173"/>
      <c r="F124" s="173"/>
      <c r="G124" s="173"/>
      <c r="H124" s="38"/>
      <c r="I124" s="2051"/>
      <c r="J124" s="502"/>
      <c r="K124" s="502"/>
    </row>
    <row r="125" spans="4:11" x14ac:dyDescent="0.2">
      <c r="D125" s="38"/>
      <c r="E125" s="173"/>
      <c r="F125" s="173"/>
      <c r="G125" s="173"/>
      <c r="H125" s="38"/>
      <c r="I125" s="2051"/>
      <c r="J125" s="502"/>
      <c r="K125" s="502"/>
    </row>
    <row r="126" spans="4:11" x14ac:dyDescent="0.2">
      <c r="D126" s="38"/>
      <c r="E126" s="173"/>
      <c r="F126" s="173"/>
      <c r="G126" s="173"/>
      <c r="H126" s="38"/>
      <c r="I126" s="2051"/>
      <c r="J126" s="502"/>
      <c r="K126" s="502"/>
    </row>
    <row r="127" spans="4:11" x14ac:dyDescent="0.2">
      <c r="D127" s="38"/>
      <c r="E127" s="173"/>
      <c r="F127" s="173"/>
      <c r="G127" s="173"/>
      <c r="H127" s="38"/>
      <c r="I127" s="2051"/>
      <c r="J127" s="502"/>
      <c r="K127" s="502"/>
    </row>
    <row r="128" spans="4:11" x14ac:dyDescent="0.2">
      <c r="D128" s="38"/>
      <c r="E128" s="173"/>
      <c r="F128" s="173"/>
      <c r="G128" s="173"/>
      <c r="H128" s="38"/>
      <c r="I128" s="2051"/>
      <c r="J128" s="502"/>
      <c r="K128" s="502"/>
    </row>
    <row r="129" spans="4:11" x14ac:dyDescent="0.2">
      <c r="D129" s="38"/>
      <c r="E129" s="173"/>
      <c r="F129" s="173"/>
      <c r="G129" s="173"/>
      <c r="H129" s="38"/>
      <c r="I129" s="2051"/>
      <c r="J129" s="502"/>
      <c r="K129" s="502"/>
    </row>
    <row r="130" spans="4:11" x14ac:dyDescent="0.2">
      <c r="D130" s="38"/>
      <c r="E130" s="173"/>
      <c r="F130" s="173"/>
      <c r="G130" s="173"/>
      <c r="H130" s="38"/>
      <c r="I130" s="2051"/>
      <c r="J130" s="502"/>
      <c r="K130" s="502"/>
    </row>
    <row r="131" spans="4:11" x14ac:dyDescent="0.2">
      <c r="D131" s="38"/>
      <c r="E131" s="173"/>
      <c r="F131" s="173"/>
      <c r="G131" s="173"/>
      <c r="H131" s="38"/>
      <c r="I131" s="2051"/>
      <c r="J131" s="502"/>
      <c r="K131" s="502"/>
    </row>
    <row r="132" spans="4:11" x14ac:dyDescent="0.2">
      <c r="D132" s="38"/>
      <c r="E132" s="173"/>
      <c r="F132" s="173"/>
      <c r="G132" s="173"/>
      <c r="H132" s="38"/>
      <c r="I132" s="2051"/>
      <c r="J132" s="502"/>
      <c r="K132" s="502"/>
    </row>
    <row r="133" spans="4:11" x14ac:dyDescent="0.2">
      <c r="D133" s="38"/>
      <c r="E133" s="173"/>
      <c r="F133" s="173"/>
      <c r="G133" s="173"/>
      <c r="H133" s="38"/>
      <c r="I133" s="2051"/>
      <c r="J133" s="502"/>
      <c r="K133" s="502"/>
    </row>
    <row r="134" spans="4:11" x14ac:dyDescent="0.2">
      <c r="D134" s="38"/>
      <c r="E134" s="173"/>
      <c r="F134" s="173"/>
      <c r="G134" s="173"/>
      <c r="H134" s="38"/>
      <c r="I134" s="2051"/>
      <c r="J134" s="502"/>
      <c r="K134" s="502"/>
    </row>
    <row r="135" spans="4:11" x14ac:dyDescent="0.2">
      <c r="D135" s="38"/>
      <c r="E135" s="173"/>
      <c r="F135" s="173"/>
      <c r="G135" s="173"/>
      <c r="H135" s="38"/>
      <c r="I135" s="2051"/>
      <c r="J135" s="502"/>
      <c r="K135" s="502"/>
    </row>
    <row r="136" spans="4:11" x14ac:dyDescent="0.2">
      <c r="D136" s="38"/>
      <c r="E136" s="173"/>
      <c r="F136" s="173"/>
      <c r="G136" s="173"/>
      <c r="H136" s="38"/>
      <c r="I136" s="2051"/>
      <c r="J136" s="502"/>
      <c r="K136" s="502"/>
    </row>
    <row r="137" spans="4:11" x14ac:dyDescent="0.2">
      <c r="D137" s="38"/>
      <c r="E137" s="173"/>
      <c r="F137" s="173"/>
      <c r="G137" s="173"/>
      <c r="H137" s="38"/>
      <c r="I137" s="2051"/>
      <c r="J137" s="502"/>
      <c r="K137" s="502"/>
    </row>
    <row r="138" spans="4:11" x14ac:dyDescent="0.2">
      <c r="D138" s="38"/>
      <c r="E138" s="173"/>
      <c r="F138" s="173"/>
      <c r="G138" s="173"/>
      <c r="H138" s="38"/>
      <c r="I138" s="2051"/>
      <c r="J138" s="502"/>
      <c r="K138" s="502"/>
    </row>
    <row r="139" spans="4:11" x14ac:dyDescent="0.2">
      <c r="D139" s="38"/>
      <c r="E139" s="173"/>
      <c r="F139" s="173"/>
      <c r="G139" s="173"/>
      <c r="H139" s="38"/>
      <c r="I139" s="2051"/>
      <c r="J139" s="502"/>
      <c r="K139" s="502"/>
    </row>
    <row r="140" spans="4:11" x14ac:dyDescent="0.2">
      <c r="D140" s="38"/>
      <c r="E140" s="173"/>
      <c r="F140" s="173"/>
      <c r="G140" s="173"/>
      <c r="H140" s="38"/>
      <c r="I140" s="2051"/>
      <c r="J140" s="502"/>
      <c r="K140" s="502"/>
    </row>
  </sheetData>
  <mergeCells count="9">
    <mergeCell ref="A4:H4"/>
    <mergeCell ref="A3:H3"/>
    <mergeCell ref="A2:H2"/>
    <mergeCell ref="A1:H1"/>
    <mergeCell ref="A49:H49"/>
    <mergeCell ref="A48:H48"/>
    <mergeCell ref="A47:H47"/>
    <mergeCell ref="A46:H46"/>
    <mergeCell ref="J15:L15"/>
  </mergeCells>
  <phoneticPr fontId="3" type="noConversion"/>
  <pageMargins left="1" right="0.5" top="1" bottom="0.75" header="0.3" footer="0.3"/>
  <pageSetup scale="80" fitToHeight="0" orientation="portrait" r:id="rId1"/>
  <headerFooter>
    <oddHeader>&amp;R&amp;"Arial,Regular"&amp;10KY PSC Case No. 2016-00162, Attachment A to Staff 3-4</oddHeader>
  </headerFooter>
  <rowBreaks count="1" manualBreakCount="1">
    <brk id="45" max="7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00">
    <pageSetUpPr fitToPage="1"/>
  </sheetPr>
  <dimension ref="A1:L140"/>
  <sheetViews>
    <sheetView showGridLines="0" view="pageBreakPreview" zoomScale="90" zoomScaleNormal="90" zoomScaleSheetLayoutView="90" workbookViewId="0">
      <selection activeCell="F46" sqref="F46"/>
    </sheetView>
  </sheetViews>
  <sheetFormatPr defaultColWidth="8.33203125" defaultRowHeight="12.75" x14ac:dyDescent="0.2"/>
  <cols>
    <col min="1" max="1" width="5.1640625" style="127" customWidth="1"/>
    <col min="2" max="2" width="9.6640625" style="30" customWidth="1"/>
    <col min="3" max="3" width="45.6640625" style="30" customWidth="1"/>
    <col min="4" max="4" width="16.5" style="30" bestFit="1" customWidth="1"/>
    <col min="5" max="5" width="13.5" style="171" bestFit="1" customWidth="1"/>
    <col min="6" max="6" width="17.33203125" style="171" bestFit="1" customWidth="1"/>
    <col min="7" max="7" width="14.83203125" style="171" bestFit="1" customWidth="1"/>
    <col min="8" max="8" width="16.5" style="30" customWidth="1"/>
    <col min="9" max="9" width="15.83203125" style="30" customWidth="1"/>
    <col min="10" max="10" width="16.1640625" style="277" customWidth="1"/>
    <col min="11" max="11" width="15.1640625" style="277" bestFit="1" customWidth="1"/>
    <col min="12" max="12" width="3.5" style="277" customWidth="1"/>
    <col min="13" max="16384" width="8.33203125" style="30"/>
  </cols>
  <sheetData>
    <row r="1" spans="1:11" x14ac:dyDescent="0.2">
      <c r="A1" s="2079" t="str">
        <f>co</f>
        <v>COLUMBIA GAS OF KENTUCKY, INC.</v>
      </c>
      <c r="B1" s="2079"/>
      <c r="C1" s="2079"/>
      <c r="D1" s="2079"/>
      <c r="E1" s="2079"/>
      <c r="F1" s="2079"/>
      <c r="G1" s="2079"/>
      <c r="H1" s="2079"/>
      <c r="I1" s="2079"/>
    </row>
    <row r="2" spans="1:11" x14ac:dyDescent="0.2">
      <c r="A2" s="2079" t="str">
        <f>case</f>
        <v>CASE NO. 2016 - 00162</v>
      </c>
      <c r="B2" s="2079"/>
      <c r="C2" s="2079"/>
      <c r="D2" s="2079"/>
      <c r="E2" s="2079"/>
      <c r="F2" s="2079"/>
      <c r="G2" s="2079"/>
      <c r="H2" s="2079"/>
      <c r="I2" s="2079"/>
    </row>
    <row r="3" spans="1:11" x14ac:dyDescent="0.2">
      <c r="A3" s="2079" t="s">
        <v>762</v>
      </c>
      <c r="B3" s="2079"/>
      <c r="C3" s="2079"/>
      <c r="D3" s="2079"/>
      <c r="E3" s="2079"/>
      <c r="F3" s="2079"/>
      <c r="G3" s="2079"/>
      <c r="H3" s="2079"/>
      <c r="I3" s="2079"/>
    </row>
    <row r="4" spans="1:11" x14ac:dyDescent="0.2">
      <c r="A4" s="2081" t="s">
        <v>2029</v>
      </c>
      <c r="B4" s="2081"/>
      <c r="C4" s="2081"/>
      <c r="D4" s="2081"/>
      <c r="E4" s="2081"/>
      <c r="F4" s="2081"/>
      <c r="G4" s="2081"/>
      <c r="H4" s="2081"/>
      <c r="I4" s="2081"/>
    </row>
    <row r="6" spans="1:11" x14ac:dyDescent="0.2">
      <c r="A6" s="285" t="s">
        <v>1109</v>
      </c>
      <c r="I6" s="155" t="s">
        <v>763</v>
      </c>
    </row>
    <row r="7" spans="1:11" x14ac:dyDescent="0.2">
      <c r="A7" s="160" t="s">
        <v>977</v>
      </c>
      <c r="B7" s="171"/>
      <c r="C7" s="171"/>
      <c r="I7" s="1256" t="s">
        <v>567</v>
      </c>
    </row>
    <row r="8" spans="1:11" x14ac:dyDescent="0.2">
      <c r="A8" s="200" t="s">
        <v>1759</v>
      </c>
      <c r="B8" s="202"/>
      <c r="C8" s="202"/>
      <c r="D8" s="201"/>
      <c r="E8" s="202"/>
      <c r="F8" s="202"/>
      <c r="G8" s="202"/>
      <c r="I8" s="211" t="str">
        <f>SMK</f>
        <v>WITNESS:  S. M. KATKO</v>
      </c>
      <c r="J8" s="500"/>
      <c r="K8" s="500"/>
    </row>
    <row r="9" spans="1:11" x14ac:dyDescent="0.2">
      <c r="A9" s="200"/>
      <c r="B9" s="201"/>
      <c r="C9" s="201"/>
      <c r="D9" s="201"/>
      <c r="E9" s="202"/>
      <c r="F9" s="202"/>
      <c r="G9" s="202"/>
      <c r="H9" s="204"/>
      <c r="J9" s="500"/>
      <c r="K9" s="500"/>
    </row>
    <row r="10" spans="1:11" x14ac:dyDescent="0.2">
      <c r="A10" s="200"/>
      <c r="B10" s="201"/>
      <c r="C10" s="201"/>
      <c r="D10" s="201"/>
      <c r="E10" s="202"/>
      <c r="F10" s="202"/>
      <c r="G10" s="202"/>
      <c r="H10" s="204"/>
      <c r="J10" s="500"/>
      <c r="K10" s="500"/>
    </row>
    <row r="11" spans="1:11" x14ac:dyDescent="0.2">
      <c r="A11" s="205"/>
      <c r="B11" s="206"/>
      <c r="C11" s="206"/>
      <c r="D11" s="208" t="s">
        <v>1258</v>
      </c>
      <c r="E11" s="207"/>
      <c r="F11" s="207"/>
      <c r="G11" s="456"/>
      <c r="H11" s="208" t="s">
        <v>1258</v>
      </c>
      <c r="I11" s="208"/>
      <c r="K11" s="500"/>
    </row>
    <row r="12" spans="1:11" x14ac:dyDescent="0.2">
      <c r="A12" s="31" t="s">
        <v>632</v>
      </c>
      <c r="B12" s="31" t="s">
        <v>692</v>
      </c>
      <c r="D12" s="31" t="s">
        <v>764</v>
      </c>
      <c r="H12" s="31" t="s">
        <v>766</v>
      </c>
      <c r="I12" s="1255" t="s">
        <v>673</v>
      </c>
      <c r="K12" s="500"/>
    </row>
    <row r="13" spans="1:11" x14ac:dyDescent="0.2">
      <c r="A13" s="35" t="s">
        <v>635</v>
      </c>
      <c r="B13" s="35" t="s">
        <v>635</v>
      </c>
      <c r="C13" s="33" t="s">
        <v>767</v>
      </c>
      <c r="D13" s="35" t="s">
        <v>768</v>
      </c>
      <c r="E13" s="172" t="s">
        <v>769</v>
      </c>
      <c r="F13" s="172" t="s">
        <v>770</v>
      </c>
      <c r="G13" s="499" t="s">
        <v>1176</v>
      </c>
      <c r="H13" s="35" t="s">
        <v>768</v>
      </c>
      <c r="I13" s="499" t="s">
        <v>631</v>
      </c>
      <c r="K13" s="500"/>
    </row>
    <row r="14" spans="1:11" x14ac:dyDescent="0.2">
      <c r="D14" s="31" t="s">
        <v>639</v>
      </c>
      <c r="E14" s="170" t="s">
        <v>639</v>
      </c>
      <c r="F14" s="170" t="s">
        <v>639</v>
      </c>
      <c r="G14" s="170" t="s">
        <v>639</v>
      </c>
      <c r="H14" s="31" t="s">
        <v>639</v>
      </c>
      <c r="I14" s="31" t="s">
        <v>639</v>
      </c>
      <c r="K14" s="500"/>
    </row>
    <row r="15" spans="1:11" x14ac:dyDescent="0.2">
      <c r="A15" s="31">
        <v>1</v>
      </c>
      <c r="B15" s="36" t="s">
        <v>1024</v>
      </c>
      <c r="C15" s="34"/>
      <c r="J15" s="2089"/>
      <c r="K15" s="2089"/>
    </row>
    <row r="16" spans="1:11" x14ac:dyDescent="0.2">
      <c r="A16" s="31">
        <f>A15+1</f>
        <v>2</v>
      </c>
      <c r="C16" s="36" t="s">
        <v>697</v>
      </c>
      <c r="D16" s="171"/>
      <c r="J16" s="501"/>
      <c r="K16" s="501"/>
    </row>
    <row r="17" spans="1:12" x14ac:dyDescent="0.2">
      <c r="A17" s="31">
        <f t="shared" ref="A17:A22" si="0">A16+1</f>
        <v>3</v>
      </c>
      <c r="B17" s="49">
        <v>301</v>
      </c>
      <c r="C17" s="52" t="s">
        <v>1026</v>
      </c>
      <c r="D17" s="257">
        <f>'WPB2.2 Plant detail-w slippage'!D1124</f>
        <v>521.20000000000005</v>
      </c>
      <c r="E17" s="382">
        <f>'WPB2.2 Plant detail-w slippage'!E1124+'WPB2.2 Plant detail-w slippage'!E1230+'WPB2.2 Plant detail-w slippage'!E1336+'WPB2.2 Plant detail-w slippage'!E1442+'WPB2.2 Plant detail-w slippage'!E1548+'WPB2.2 Plant detail-w slippage'!E1654+'WPB2.2 Plant detail-w slippage'!E1760+'WPB2.2 Plant detail-w slippage'!E1866+'WPB2.2 Plant detail-w slippage'!E1972+'WPB2.2 Plant detail-w slippage'!E2078+'WPB2.2 Plant detail-w slippage'!E2184+'WPB2.2 Plant detail-w slippage'!E2290</f>
        <v>0</v>
      </c>
      <c r="F17" s="382">
        <f>'WPB2.2 Plant detail-w slippage'!F1124+'WPB2.2 Plant detail-w slippage'!F1230+'WPB2.2 Plant detail-w slippage'!F1336+'WPB2.2 Plant detail-w slippage'!F1442+'WPB2.2 Plant detail-w slippage'!F1548+'WPB2.2 Plant detail-w slippage'!F1654+'WPB2.2 Plant detail-w slippage'!F1760+'WPB2.2 Plant detail-w slippage'!F1866+'WPB2.2 Plant detail-w slippage'!F1972+'WPB2.2 Plant detail-w slippage'!F2078+'WPB2.2 Plant detail-w slippage'!F2184+'WPB2.2 Plant detail-w slippage'!F2290</f>
        <v>0</v>
      </c>
      <c r="G17" s="181">
        <v>0</v>
      </c>
      <c r="H17" s="38">
        <f>SUM(D17:G17)</f>
        <v>521.20000000000005</v>
      </c>
      <c r="I17" s="38">
        <f>'WPB-2.1 13 mo avg'!S14</f>
        <v>521.19999999999993</v>
      </c>
      <c r="J17" s="502"/>
      <c r="K17" s="502"/>
      <c r="L17" s="502"/>
    </row>
    <row r="18" spans="1:12" x14ac:dyDescent="0.2">
      <c r="A18" s="31">
        <f t="shared" si="0"/>
        <v>4</v>
      </c>
      <c r="B18" s="49">
        <v>303</v>
      </c>
      <c r="C18" s="52" t="s">
        <v>1027</v>
      </c>
      <c r="D18" s="257">
        <f>'WPB2.2 Plant detail-w slippage'!D1125</f>
        <v>74347.509999999995</v>
      </c>
      <c r="E18" s="382">
        <f>'WPB2.2 Plant detail-w slippage'!E1125+'WPB2.2 Plant detail-w slippage'!E1231+'WPB2.2 Plant detail-w slippage'!E1337+'WPB2.2 Plant detail-w slippage'!E1443+'WPB2.2 Plant detail-w slippage'!E1549+'WPB2.2 Plant detail-w slippage'!E1655+'WPB2.2 Plant detail-w slippage'!E1761+'WPB2.2 Plant detail-w slippage'!E1867+'WPB2.2 Plant detail-w slippage'!E1973+'WPB2.2 Plant detail-w slippage'!E2079+'WPB2.2 Plant detail-w slippage'!E2185+'WPB2.2 Plant detail-w slippage'!E2291</f>
        <v>0</v>
      </c>
      <c r="F18" s="382">
        <f>'WPB2.2 Plant detail-w slippage'!F1125+'WPB2.2 Plant detail-w slippage'!F1231+'WPB2.2 Plant detail-w slippage'!F1337+'WPB2.2 Plant detail-w slippage'!F1443+'WPB2.2 Plant detail-w slippage'!F1549+'WPB2.2 Plant detail-w slippage'!F1655+'WPB2.2 Plant detail-w slippage'!F1761+'WPB2.2 Plant detail-w slippage'!F1867+'WPB2.2 Plant detail-w slippage'!F1973+'WPB2.2 Plant detail-w slippage'!F2079+'WPB2.2 Plant detail-w slippage'!F2185+'WPB2.2 Plant detail-w slippage'!F2291</f>
        <v>0</v>
      </c>
      <c r="G18" s="181">
        <v>0</v>
      </c>
      <c r="H18" s="38">
        <f>SUM(D18:G18)</f>
        <v>74347.509999999995</v>
      </c>
      <c r="I18" s="38">
        <f>'WPB-2.1 13 mo avg'!S15</f>
        <v>74347.509999999995</v>
      </c>
      <c r="J18" s="502"/>
      <c r="K18" s="502"/>
      <c r="L18" s="502"/>
    </row>
    <row r="19" spans="1:12" x14ac:dyDescent="0.2">
      <c r="A19" s="31">
        <f t="shared" si="0"/>
        <v>5</v>
      </c>
      <c r="B19" s="49">
        <v>303.10000000000002</v>
      </c>
      <c r="C19" s="52" t="s">
        <v>1028</v>
      </c>
      <c r="D19" s="257">
        <f>'WPB2.2 Plant detail-w slippage'!D1126</f>
        <v>0</v>
      </c>
      <c r="E19" s="382">
        <f>'WPB2.2 Plant detail-w slippage'!E1126+'WPB2.2 Plant detail-w slippage'!E1232+'WPB2.2 Plant detail-w slippage'!E1338+'WPB2.2 Plant detail-w slippage'!E1444+'WPB2.2 Plant detail-w slippage'!E1550+'WPB2.2 Plant detail-w slippage'!E1656+'WPB2.2 Plant detail-w slippage'!E1762+'WPB2.2 Plant detail-w slippage'!E1868+'WPB2.2 Plant detail-w slippage'!E1974+'WPB2.2 Plant detail-w slippage'!E2080+'WPB2.2 Plant detail-w slippage'!E2186+'WPB2.2 Plant detail-w slippage'!E2292</f>
        <v>0</v>
      </c>
      <c r="F19" s="382">
        <f>'WPB2.2 Plant detail-w slippage'!F1126+'WPB2.2 Plant detail-w slippage'!F1232+'WPB2.2 Plant detail-w slippage'!F1338+'WPB2.2 Plant detail-w slippage'!F1444+'WPB2.2 Plant detail-w slippage'!F1550+'WPB2.2 Plant detail-w slippage'!F1656+'WPB2.2 Plant detail-w slippage'!F1762+'WPB2.2 Plant detail-w slippage'!F1868+'WPB2.2 Plant detail-w slippage'!F1974+'WPB2.2 Plant detail-w slippage'!F2080+'WPB2.2 Plant detail-w slippage'!F2186+'WPB2.2 Plant detail-w slippage'!F2292</f>
        <v>0</v>
      </c>
      <c r="G19" s="181">
        <v>0</v>
      </c>
      <c r="H19" s="38">
        <f>SUM(D19:G19)</f>
        <v>0</v>
      </c>
      <c r="I19" s="38">
        <f>'WPB-2.1 13 mo avg'!S16</f>
        <v>0</v>
      </c>
      <c r="J19" s="502"/>
      <c r="K19" s="502"/>
      <c r="L19" s="502"/>
    </row>
    <row r="20" spans="1:12" x14ac:dyDescent="0.2">
      <c r="A20" s="31">
        <f t="shared" si="0"/>
        <v>6</v>
      </c>
      <c r="B20" s="49">
        <v>303.2</v>
      </c>
      <c r="C20" s="52" t="s">
        <v>1029</v>
      </c>
      <c r="D20" s="257">
        <f>'WPB2.2 Plant detail-w slippage'!D1127</f>
        <v>0</v>
      </c>
      <c r="E20" s="382">
        <f>'WPB2.2 Plant detail-w slippage'!E1127+'WPB2.2 Plant detail-w slippage'!E1233+'WPB2.2 Plant detail-w slippage'!E1339+'WPB2.2 Plant detail-w slippage'!E1445+'WPB2.2 Plant detail-w slippage'!E1551+'WPB2.2 Plant detail-w slippage'!E1657+'WPB2.2 Plant detail-w slippage'!E1763+'WPB2.2 Plant detail-w slippage'!E1869+'WPB2.2 Plant detail-w slippage'!E1975+'WPB2.2 Plant detail-w slippage'!E2081+'WPB2.2 Plant detail-w slippage'!E2187+'WPB2.2 Plant detail-w slippage'!E2293</f>
        <v>0</v>
      </c>
      <c r="F20" s="382">
        <f>'WPB2.2 Plant detail-w slippage'!F1127+'WPB2.2 Plant detail-w slippage'!F1233+'WPB2.2 Plant detail-w slippage'!F1339+'WPB2.2 Plant detail-w slippage'!F1445+'WPB2.2 Plant detail-w slippage'!F1551+'WPB2.2 Plant detail-w slippage'!F1657+'WPB2.2 Plant detail-w slippage'!F1763+'WPB2.2 Plant detail-w slippage'!F1869+'WPB2.2 Plant detail-w slippage'!F1975+'WPB2.2 Plant detail-w slippage'!F2081+'WPB2.2 Plant detail-w slippage'!F2187+'WPB2.2 Plant detail-w slippage'!F2293</f>
        <v>0</v>
      </c>
      <c r="G20" s="181">
        <v>0</v>
      </c>
      <c r="H20" s="38">
        <f>SUM(D20:G20)</f>
        <v>0</v>
      </c>
      <c r="I20" s="38">
        <f>'WPB-2.1 13 mo avg'!S17</f>
        <v>0</v>
      </c>
      <c r="J20" s="502"/>
      <c r="K20" s="502"/>
      <c r="L20" s="502"/>
    </row>
    <row r="21" spans="1:12" x14ac:dyDescent="0.2">
      <c r="A21" s="31">
        <f t="shared" si="0"/>
        <v>7</v>
      </c>
      <c r="B21" s="49">
        <v>303.3</v>
      </c>
      <c r="C21" s="52" t="s">
        <v>1030</v>
      </c>
      <c r="D21" s="1252">
        <f>'WPB2.2 Plant detail-w slippage'!D1128</f>
        <v>6830686</v>
      </c>
      <c r="E21" s="1252">
        <f>'WPB2.2 Plant detail-w slippage'!E1128+'WPB2.2 Plant detail-w slippage'!E1234+'WPB2.2 Plant detail-w slippage'!E1340+'WPB2.2 Plant detail-w slippage'!E1446+'WPB2.2 Plant detail-w slippage'!E1552+'WPB2.2 Plant detail-w slippage'!E1658+'WPB2.2 Plant detail-w slippage'!E1764+'WPB2.2 Plant detail-w slippage'!E1870+'WPB2.2 Plant detail-w slippage'!E1976+'WPB2.2 Plant detail-w slippage'!E2082+'WPB2.2 Plant detail-w slippage'!E2188+'WPB2.2 Plant detail-w slippage'!E2294</f>
        <v>2886500</v>
      </c>
      <c r="F21" s="1252">
        <f>'WPB2.2 Plant detail-w slippage'!F1128+'WPB2.2 Plant detail-w slippage'!F1234+'WPB2.2 Plant detail-w slippage'!F1340+'WPB2.2 Plant detail-w slippage'!F1446+'WPB2.2 Plant detail-w slippage'!F1552+'WPB2.2 Plant detail-w slippage'!F1658+'WPB2.2 Plant detail-w slippage'!F1764+'WPB2.2 Plant detail-w slippage'!F1870+'WPB2.2 Plant detail-w slippage'!F1976+'WPB2.2 Plant detail-w slippage'!F2082+'WPB2.2 Plant detail-w slippage'!F2188+'WPB2.2 Plant detail-w slippage'!F2294</f>
        <v>0</v>
      </c>
      <c r="G21" s="497">
        <v>0</v>
      </c>
      <c r="H21" s="39">
        <f>SUM(D21:G21)</f>
        <v>9717186</v>
      </c>
      <c r="I21" s="126">
        <f>'WPB-2.1 13 mo avg'!S18</f>
        <v>8188355.230769231</v>
      </c>
      <c r="J21" s="502"/>
      <c r="K21" s="502"/>
      <c r="L21" s="502"/>
    </row>
    <row r="22" spans="1:12" x14ac:dyDescent="0.2">
      <c r="A22" s="31">
        <f t="shared" si="0"/>
        <v>8</v>
      </c>
      <c r="B22" s="49"/>
      <c r="C22" s="52" t="s">
        <v>1031</v>
      </c>
      <c r="D22" s="173">
        <f t="shared" ref="D22:I22" si="1">SUM(D17:D21)</f>
        <v>6905554.71</v>
      </c>
      <c r="E22" s="173">
        <f t="shared" si="1"/>
        <v>2886500</v>
      </c>
      <c r="F22" s="173">
        <f t="shared" si="1"/>
        <v>0</v>
      </c>
      <c r="G22" s="173">
        <f t="shared" si="1"/>
        <v>0</v>
      </c>
      <c r="H22" s="38">
        <f t="shared" si="1"/>
        <v>9792054.7100000009</v>
      </c>
      <c r="I22" s="38">
        <f t="shared" si="1"/>
        <v>8263223.9407692309</v>
      </c>
      <c r="J22" s="502"/>
    </row>
    <row r="23" spans="1:12" x14ac:dyDescent="0.2">
      <c r="D23" s="173"/>
      <c r="E23" s="173"/>
      <c r="F23" s="173"/>
      <c r="G23" s="173"/>
      <c r="H23" s="38"/>
      <c r="I23" s="38"/>
      <c r="J23" s="502"/>
    </row>
    <row r="24" spans="1:12" x14ac:dyDescent="0.2">
      <c r="A24" s="31">
        <f>A22+1</f>
        <v>9</v>
      </c>
      <c r="C24" s="36" t="s">
        <v>704</v>
      </c>
      <c r="D24" s="173"/>
      <c r="E24" s="173"/>
      <c r="F24" s="173"/>
      <c r="G24" s="173"/>
      <c r="H24" s="38"/>
      <c r="I24" s="38"/>
      <c r="J24" s="502"/>
    </row>
    <row r="25" spans="1:12" x14ac:dyDescent="0.2">
      <c r="A25" s="31">
        <f>A24+1</f>
        <v>10</v>
      </c>
      <c r="B25" s="37">
        <v>304.10000000000002</v>
      </c>
      <c r="C25" s="41" t="s">
        <v>1032</v>
      </c>
      <c r="D25" s="1252">
        <f>'WPB2.2 Plant detail-w slippage'!D1132</f>
        <v>0</v>
      </c>
      <c r="E25" s="1252">
        <f>'WPB2.2 Plant detail-w slippage'!E1132+'WPB2.2 Plant detail-w slippage'!E1238+'WPB2.2 Plant detail-w slippage'!E1344+'WPB2.2 Plant detail-w slippage'!E1450+'WPB2.2 Plant detail-w slippage'!E1556+'WPB2.2 Plant detail-w slippage'!E1662+'WPB2.2 Plant detail-w slippage'!E1768+'WPB2.2 Plant detail-w slippage'!E1874+'WPB2.2 Plant detail-w slippage'!E1980+'WPB2.2 Plant detail-w slippage'!E2086+'WPB2.2 Plant detail-w slippage'!E2192+'WPB2.2 Plant detail-w slippage'!E2298</f>
        <v>0</v>
      </c>
      <c r="F25" s="1252">
        <f>'WPB2.2 Plant detail-w slippage'!F1132+'WPB2.2 Plant detail-w slippage'!F1238+'WPB2.2 Plant detail-w slippage'!F1344+'WPB2.2 Plant detail-w slippage'!F1450+'WPB2.2 Plant detail-w slippage'!F1556+'WPB2.2 Plant detail-w slippage'!F1662+'WPB2.2 Plant detail-w slippage'!F1768+'WPB2.2 Plant detail-w slippage'!F1874+'WPB2.2 Plant detail-w slippage'!F1980+'WPB2.2 Plant detail-w slippage'!F2086+'WPB2.2 Plant detail-w slippage'!F2192+'WPB2.2 Plant detail-w slippage'!F2298</f>
        <v>0</v>
      </c>
      <c r="G25" s="498">
        <v>0</v>
      </c>
      <c r="H25" s="126">
        <f>SUM(D25:G25)</f>
        <v>0</v>
      </c>
      <c r="I25" s="126">
        <f>'WPB-2.1 13 mo avg'!S22</f>
        <v>0</v>
      </c>
      <c r="J25" s="502"/>
    </row>
    <row r="26" spans="1:12" x14ac:dyDescent="0.2">
      <c r="A26" s="31">
        <f>A25+1</f>
        <v>11</v>
      </c>
      <c r="B26" s="37"/>
      <c r="C26" s="41" t="s">
        <v>1033</v>
      </c>
      <c r="D26" s="173">
        <f>D25</f>
        <v>0</v>
      </c>
      <c r="E26" s="173">
        <f>E25</f>
        <v>0</v>
      </c>
      <c r="F26" s="173">
        <f>F25</f>
        <v>0</v>
      </c>
      <c r="G26" s="173">
        <f>G25</f>
        <v>0</v>
      </c>
      <c r="H26" s="38">
        <f>D26+E26-F26+G26</f>
        <v>0</v>
      </c>
      <c r="I26" s="38">
        <f>SUM(I25)</f>
        <v>0</v>
      </c>
      <c r="J26" s="502"/>
    </row>
    <row r="27" spans="1:12" x14ac:dyDescent="0.2">
      <c r="D27" s="173"/>
      <c r="E27" s="173"/>
      <c r="F27" s="173"/>
      <c r="G27" s="173"/>
      <c r="H27" s="38"/>
      <c r="I27" s="38"/>
      <c r="J27" s="502"/>
    </row>
    <row r="28" spans="1:12" x14ac:dyDescent="0.2">
      <c r="A28" s="31">
        <f>A26+1</f>
        <v>12</v>
      </c>
      <c r="C28" s="36" t="s">
        <v>1034</v>
      </c>
      <c r="D28" s="38"/>
      <c r="E28" s="173"/>
      <c r="F28" s="173"/>
      <c r="G28" s="173"/>
      <c r="H28" s="38"/>
      <c r="I28" s="38"/>
      <c r="J28" s="502"/>
    </row>
    <row r="29" spans="1:12" x14ac:dyDescent="0.2">
      <c r="A29" s="31">
        <f>A28+1</f>
        <v>13</v>
      </c>
      <c r="B29" s="49">
        <v>374.1</v>
      </c>
      <c r="C29" s="52" t="s">
        <v>1035</v>
      </c>
      <c r="D29" s="257">
        <f>'WPB2.2 Plant detail-w slippage'!D1136</f>
        <v>206</v>
      </c>
      <c r="E29" s="382">
        <f>'WPB2.2 Plant detail-w slippage'!E1136+'WPB2.2 Plant detail-w slippage'!E1242+'WPB2.2 Plant detail-w slippage'!E1348+'WPB2.2 Plant detail-w slippage'!E1454+'WPB2.2 Plant detail-w slippage'!E1560+'WPB2.2 Plant detail-w slippage'!E1666+'WPB2.2 Plant detail-w slippage'!E1772+'WPB2.2 Plant detail-w slippage'!E1878+'WPB2.2 Plant detail-w slippage'!E1984+'WPB2.2 Plant detail-w slippage'!E2090+'WPB2.2 Plant detail-w slippage'!E2196+'WPB2.2 Plant detail-w slippage'!E2302</f>
        <v>0</v>
      </c>
      <c r="F29" s="382">
        <f>'WPB2.2 Plant detail-w slippage'!F1136+'WPB2.2 Plant detail-w slippage'!F1242+'WPB2.2 Plant detail-w slippage'!F1348+'WPB2.2 Plant detail-w slippage'!F1454+'WPB2.2 Plant detail-w slippage'!F1560+'WPB2.2 Plant detail-w slippage'!F1666+'WPB2.2 Plant detail-w slippage'!F1772+'WPB2.2 Plant detail-w slippage'!F1878+'WPB2.2 Plant detail-w slippage'!F1984+'WPB2.2 Plant detail-w slippage'!F2090+'WPB2.2 Plant detail-w slippage'!F2196+'WPB2.2 Plant detail-w slippage'!F2302</f>
        <v>0</v>
      </c>
      <c r="G29" s="181">
        <v>0</v>
      </c>
      <c r="H29" s="38">
        <f t="shared" ref="H29:H45" si="2">SUM(D29:G29)</f>
        <v>206</v>
      </c>
      <c r="I29" s="38">
        <f>'WPB-2.1 13 mo avg'!S26</f>
        <v>206</v>
      </c>
      <c r="J29" s="502"/>
    </row>
    <row r="30" spans="1:12" x14ac:dyDescent="0.2">
      <c r="A30" s="31">
        <f t="shared" ref="A30:A45" si="3">A29+1</f>
        <v>14</v>
      </c>
      <c r="B30" s="49">
        <v>374.2</v>
      </c>
      <c r="C30" s="52" t="s">
        <v>1036</v>
      </c>
      <c r="D30" s="257">
        <f>'WPB2.2 Plant detail-w slippage'!D1137</f>
        <v>877756.18</v>
      </c>
      <c r="E30" s="382">
        <f>'WPB2.2 Plant detail-w slippage'!E1137+'WPB2.2 Plant detail-w slippage'!E1243+'WPB2.2 Plant detail-w slippage'!E1349+'WPB2.2 Plant detail-w slippage'!E1455+'WPB2.2 Plant detail-w slippage'!E1561+'WPB2.2 Plant detail-w slippage'!E1667+'WPB2.2 Plant detail-w slippage'!E1773+'WPB2.2 Plant detail-w slippage'!E1879+'WPB2.2 Plant detail-w slippage'!E1985+'WPB2.2 Plant detail-w slippage'!E2091+'WPB2.2 Plant detail-w slippage'!E2197+'WPB2.2 Plant detail-w slippage'!E2303</f>
        <v>0</v>
      </c>
      <c r="F30" s="382">
        <f>'WPB2.2 Plant detail-w slippage'!F1137+'WPB2.2 Plant detail-w slippage'!F1243+'WPB2.2 Plant detail-w slippage'!F1349+'WPB2.2 Plant detail-w slippage'!F1455+'WPB2.2 Plant detail-w slippage'!F1561+'WPB2.2 Plant detail-w slippage'!F1667+'WPB2.2 Plant detail-w slippage'!F1773+'WPB2.2 Plant detail-w slippage'!F1879+'WPB2.2 Plant detail-w slippage'!F1985+'WPB2.2 Plant detail-w slippage'!F2091+'WPB2.2 Plant detail-w slippage'!F2197+'WPB2.2 Plant detail-w slippage'!F2303</f>
        <v>0</v>
      </c>
      <c r="G30" s="181">
        <v>0</v>
      </c>
      <c r="H30" s="38">
        <f t="shared" si="2"/>
        <v>877756.18</v>
      </c>
      <c r="I30" s="38">
        <f>'WPB-2.1 13 mo avg'!S27</f>
        <v>877756.17999999982</v>
      </c>
      <c r="J30" s="502"/>
    </row>
    <row r="31" spans="1:12" x14ac:dyDescent="0.2">
      <c r="A31" s="31">
        <f t="shared" si="3"/>
        <v>15</v>
      </c>
      <c r="B31" s="49">
        <v>374.4</v>
      </c>
      <c r="C31" s="52" t="s">
        <v>1037</v>
      </c>
      <c r="D31" s="257">
        <f>'WPB2.2 Plant detail-w slippage'!D1138</f>
        <v>661305.66</v>
      </c>
      <c r="E31" s="382">
        <f>'WPB2.2 Plant detail-w slippage'!E1138+'WPB2.2 Plant detail-w slippage'!E1244+'WPB2.2 Plant detail-w slippage'!E1350+'WPB2.2 Plant detail-w slippage'!E1456+'WPB2.2 Plant detail-w slippage'!E1562+'WPB2.2 Plant detail-w slippage'!E1668+'WPB2.2 Plant detail-w slippage'!E1774+'WPB2.2 Plant detail-w slippage'!E1880+'WPB2.2 Plant detail-w slippage'!E1986+'WPB2.2 Plant detail-w slippage'!E2092+'WPB2.2 Plant detail-w slippage'!E2198+'WPB2.2 Plant detail-w slippage'!E2304</f>
        <v>0</v>
      </c>
      <c r="F31" s="382">
        <f>'WPB2.2 Plant detail-w slippage'!F1138+'WPB2.2 Plant detail-w slippage'!F1244+'WPB2.2 Plant detail-w slippage'!F1350+'WPB2.2 Plant detail-w slippage'!F1456+'WPB2.2 Plant detail-w slippage'!F1562+'WPB2.2 Plant detail-w slippage'!F1668+'WPB2.2 Plant detail-w slippage'!F1774+'WPB2.2 Plant detail-w slippage'!F1880+'WPB2.2 Plant detail-w slippage'!F1986+'WPB2.2 Plant detail-w slippage'!F2092+'WPB2.2 Plant detail-w slippage'!F2198+'WPB2.2 Plant detail-w slippage'!F2304</f>
        <v>0</v>
      </c>
      <c r="G31" s="181">
        <v>0</v>
      </c>
      <c r="H31" s="38">
        <f t="shared" si="2"/>
        <v>661305.66</v>
      </c>
      <c r="I31" s="38">
        <f>'WPB-2.1 13 mo avg'!S28</f>
        <v>661305.66</v>
      </c>
      <c r="J31" s="502"/>
    </row>
    <row r="32" spans="1:12" x14ac:dyDescent="0.2">
      <c r="A32" s="31">
        <f t="shared" si="3"/>
        <v>16</v>
      </c>
      <c r="B32" s="49">
        <v>374.5</v>
      </c>
      <c r="C32" s="52" t="s">
        <v>1038</v>
      </c>
      <c r="D32" s="257">
        <f>'WPB2.2 Plant detail-w slippage'!D1139</f>
        <v>2703772.55</v>
      </c>
      <c r="E32" s="382">
        <f>'WPB2.2 Plant detail-w slippage'!E1139+'WPB2.2 Plant detail-w slippage'!E1245+'WPB2.2 Plant detail-w slippage'!E1351+'WPB2.2 Plant detail-w slippage'!E1457+'WPB2.2 Plant detail-w slippage'!E1563+'WPB2.2 Plant detail-w slippage'!E1669+'WPB2.2 Plant detail-w slippage'!E1775+'WPB2.2 Plant detail-w slippage'!E1881+'WPB2.2 Plant detail-w slippage'!E1987+'WPB2.2 Plant detail-w slippage'!E2093+'WPB2.2 Plant detail-w slippage'!E2199+'WPB2.2 Plant detail-w slippage'!E2305</f>
        <v>53800</v>
      </c>
      <c r="F32" s="382">
        <f>'WPB2.2 Plant detail-w slippage'!F1139+'WPB2.2 Plant detail-w slippage'!F1245+'WPB2.2 Plant detail-w slippage'!F1351+'WPB2.2 Plant detail-w slippage'!F1457+'WPB2.2 Plant detail-w slippage'!F1563+'WPB2.2 Plant detail-w slippage'!F1669+'WPB2.2 Plant detail-w slippage'!F1775+'WPB2.2 Plant detail-w slippage'!F1881+'WPB2.2 Plant detail-w slippage'!F1987+'WPB2.2 Plant detail-w slippage'!F2093+'WPB2.2 Plant detail-w slippage'!F2199+'WPB2.2 Plant detail-w slippage'!F2305</f>
        <v>-6600</v>
      </c>
      <c r="G32" s="181">
        <v>0</v>
      </c>
      <c r="H32" s="38">
        <f t="shared" si="2"/>
        <v>2750972.55</v>
      </c>
      <c r="I32" s="38">
        <f>'WPB-2.1 13 mo avg'!S29</f>
        <v>2726641.7807692313</v>
      </c>
      <c r="J32" s="502"/>
    </row>
    <row r="33" spans="1:10" x14ac:dyDescent="0.2">
      <c r="A33" s="31">
        <f t="shared" si="3"/>
        <v>17</v>
      </c>
      <c r="B33" s="49">
        <v>375.2</v>
      </c>
      <c r="C33" s="52" t="s">
        <v>1039</v>
      </c>
      <c r="D33" s="257">
        <f>'WPB2.2 Plant detail-w slippage'!D1140</f>
        <v>2124.98</v>
      </c>
      <c r="E33" s="382">
        <f>'WPB2.2 Plant detail-w slippage'!E1140+'WPB2.2 Plant detail-w slippage'!E1246+'WPB2.2 Plant detail-w slippage'!E1352+'WPB2.2 Plant detail-w slippage'!E1458+'WPB2.2 Plant detail-w slippage'!E1564+'WPB2.2 Plant detail-w slippage'!E1670+'WPB2.2 Plant detail-w slippage'!E1776+'WPB2.2 Plant detail-w slippage'!E1882+'WPB2.2 Plant detail-w slippage'!E1988+'WPB2.2 Plant detail-w slippage'!E2094+'WPB2.2 Plant detail-w slippage'!E2200+'WPB2.2 Plant detail-w slippage'!E2306</f>
        <v>0</v>
      </c>
      <c r="F33" s="382">
        <f>'WPB2.2 Plant detail-w slippage'!F1140+'WPB2.2 Plant detail-w slippage'!F1246+'WPB2.2 Plant detail-w slippage'!F1352+'WPB2.2 Plant detail-w slippage'!F1458+'WPB2.2 Plant detail-w slippage'!F1564+'WPB2.2 Plant detail-w slippage'!F1670+'WPB2.2 Plant detail-w slippage'!F1776+'WPB2.2 Plant detail-w slippage'!F1882+'WPB2.2 Plant detail-w slippage'!F1988+'WPB2.2 Plant detail-w slippage'!F2094+'WPB2.2 Plant detail-w slippage'!F2200+'WPB2.2 Plant detail-w slippage'!F2306</f>
        <v>0</v>
      </c>
      <c r="G33" s="181">
        <v>0</v>
      </c>
      <c r="H33" s="38">
        <f t="shared" si="2"/>
        <v>2124.98</v>
      </c>
      <c r="I33" s="38">
        <f>'WPB-2.1 13 mo avg'!S30</f>
        <v>2124.98</v>
      </c>
      <c r="J33" s="502"/>
    </row>
    <row r="34" spans="1:10" x14ac:dyDescent="0.2">
      <c r="A34" s="31">
        <f t="shared" si="3"/>
        <v>18</v>
      </c>
      <c r="B34" s="49">
        <v>375.3</v>
      </c>
      <c r="C34" s="52" t="s">
        <v>1040</v>
      </c>
      <c r="D34" s="257">
        <f>'WPB2.2 Plant detail-w slippage'!D1141</f>
        <v>0</v>
      </c>
      <c r="E34" s="382">
        <f>'WPB2.2 Plant detail-w slippage'!E1141+'WPB2.2 Plant detail-w slippage'!E1247+'WPB2.2 Plant detail-w slippage'!E1353+'WPB2.2 Plant detail-w slippage'!E1459+'WPB2.2 Plant detail-w slippage'!E1565+'WPB2.2 Plant detail-w slippage'!E1671+'WPB2.2 Plant detail-w slippage'!E1777+'WPB2.2 Plant detail-w slippage'!E1883+'WPB2.2 Plant detail-w slippage'!E1989+'WPB2.2 Plant detail-w slippage'!E2095+'WPB2.2 Plant detail-w slippage'!E2201+'WPB2.2 Plant detail-w slippage'!E2307</f>
        <v>0</v>
      </c>
      <c r="F34" s="382">
        <f>'WPB2.2 Plant detail-w slippage'!F1141+'WPB2.2 Plant detail-w slippage'!F1247+'WPB2.2 Plant detail-w slippage'!F1353+'WPB2.2 Plant detail-w slippage'!F1459+'WPB2.2 Plant detail-w slippage'!F1565+'WPB2.2 Plant detail-w slippage'!F1671+'WPB2.2 Plant detail-w slippage'!F1777+'WPB2.2 Plant detail-w slippage'!F1883+'WPB2.2 Plant detail-w slippage'!F1989+'WPB2.2 Plant detail-w slippage'!F2095+'WPB2.2 Plant detail-w slippage'!F2201+'WPB2.2 Plant detail-w slippage'!F2307</f>
        <v>0</v>
      </c>
      <c r="G34" s="181">
        <v>0</v>
      </c>
      <c r="H34" s="38">
        <f t="shared" si="2"/>
        <v>0</v>
      </c>
      <c r="I34" s="38">
        <f>'WPB-2.1 13 mo avg'!S31</f>
        <v>0</v>
      </c>
      <c r="J34" s="502"/>
    </row>
    <row r="35" spans="1:10" x14ac:dyDescent="0.2">
      <c r="A35" s="31">
        <f t="shared" si="3"/>
        <v>19</v>
      </c>
      <c r="B35" s="49">
        <v>375.4</v>
      </c>
      <c r="C35" s="52" t="s">
        <v>1041</v>
      </c>
      <c r="D35" s="257">
        <f>'WPB2.2 Plant detail-w slippage'!D1142</f>
        <v>2098430.02</v>
      </c>
      <c r="E35" s="382">
        <f>'WPB2.2 Plant detail-w slippage'!E1142+'WPB2.2 Plant detail-w slippage'!E1248+'WPB2.2 Plant detail-w slippage'!E1354+'WPB2.2 Plant detail-w slippage'!E1460+'WPB2.2 Plant detail-w slippage'!E1566+'WPB2.2 Plant detail-w slippage'!E1672+'WPB2.2 Plant detail-w slippage'!E1778+'WPB2.2 Plant detail-w slippage'!E1884+'WPB2.2 Plant detail-w slippage'!E1990+'WPB2.2 Plant detail-w slippage'!E2096+'WPB2.2 Plant detail-w slippage'!E2202+'WPB2.2 Plant detail-w slippage'!E2308</f>
        <v>288000</v>
      </c>
      <c r="F35" s="382">
        <f>'WPB2.2 Plant detail-w slippage'!F1142+'WPB2.2 Plant detail-w slippage'!F1248+'WPB2.2 Plant detail-w slippage'!F1354+'WPB2.2 Plant detail-w slippage'!F1460+'WPB2.2 Plant detail-w slippage'!F1566+'WPB2.2 Plant detail-w slippage'!F1672+'WPB2.2 Plant detail-w slippage'!F1778+'WPB2.2 Plant detail-w slippage'!F1884+'WPB2.2 Plant detail-w slippage'!F1990+'WPB2.2 Plant detail-w slippage'!F2096+'WPB2.2 Plant detail-w slippage'!F2202+'WPB2.2 Plant detail-w slippage'!F2308</f>
        <v>-34600</v>
      </c>
      <c r="G35" s="181">
        <v>0</v>
      </c>
      <c r="H35" s="38">
        <f t="shared" si="2"/>
        <v>2351830.02</v>
      </c>
      <c r="I35" s="38">
        <f>'WPB-2.1 13 mo avg'!S32</f>
        <v>2205199.2507692305</v>
      </c>
      <c r="J35" s="502"/>
    </row>
    <row r="36" spans="1:10" x14ac:dyDescent="0.2">
      <c r="A36" s="31">
        <f t="shared" si="3"/>
        <v>20</v>
      </c>
      <c r="B36" s="49">
        <v>375.6</v>
      </c>
      <c r="C36" s="52" t="s">
        <v>1042</v>
      </c>
      <c r="D36" s="257">
        <f>'WPB2.2 Plant detail-w slippage'!D1143</f>
        <v>0</v>
      </c>
      <c r="E36" s="382">
        <f>'WPB2.2 Plant detail-w slippage'!E1143+'WPB2.2 Plant detail-w slippage'!E1249+'WPB2.2 Plant detail-w slippage'!E1355+'WPB2.2 Plant detail-w slippage'!E1461+'WPB2.2 Plant detail-w slippage'!E1567+'WPB2.2 Plant detail-w slippage'!E1673+'WPB2.2 Plant detail-w slippage'!E1779+'WPB2.2 Plant detail-w slippage'!E1885+'WPB2.2 Plant detail-w slippage'!E1991+'WPB2.2 Plant detail-w slippage'!E2097+'WPB2.2 Plant detail-w slippage'!E2203+'WPB2.2 Plant detail-w slippage'!E2309</f>
        <v>0</v>
      </c>
      <c r="F36" s="382">
        <f>'WPB2.2 Plant detail-w slippage'!F1143+'WPB2.2 Plant detail-w slippage'!F1249+'WPB2.2 Plant detail-w slippage'!F1355+'WPB2.2 Plant detail-w slippage'!F1461+'WPB2.2 Plant detail-w slippage'!F1567+'WPB2.2 Plant detail-w slippage'!F1673+'WPB2.2 Plant detail-w slippage'!F1779+'WPB2.2 Plant detail-w slippage'!F1885+'WPB2.2 Plant detail-w slippage'!F1991+'WPB2.2 Plant detail-w slippage'!F2097+'WPB2.2 Plant detail-w slippage'!F2203+'WPB2.2 Plant detail-w slippage'!F2309</f>
        <v>0</v>
      </c>
      <c r="G36" s="181">
        <v>0</v>
      </c>
      <c r="H36" s="38">
        <f t="shared" si="2"/>
        <v>0</v>
      </c>
      <c r="I36" s="38">
        <f>'WPB-2.1 13 mo avg'!S33</f>
        <v>0</v>
      </c>
      <c r="J36" s="502"/>
    </row>
    <row r="37" spans="1:10" x14ac:dyDescent="0.2">
      <c r="A37" s="31">
        <f t="shared" si="3"/>
        <v>21</v>
      </c>
      <c r="B37" s="49">
        <v>375.7</v>
      </c>
      <c r="C37" s="52" t="s">
        <v>1043</v>
      </c>
      <c r="D37" s="257">
        <f>'WPB2.2 Plant detail-w slippage'!D1144</f>
        <v>8255550.21</v>
      </c>
      <c r="E37" s="382">
        <f>'WPB2.2 Plant detail-w slippage'!E1144+'WPB2.2 Plant detail-w slippage'!E1250+'WPB2.2 Plant detail-w slippage'!E1356+'WPB2.2 Plant detail-w slippage'!E1462+'WPB2.2 Plant detail-w slippage'!E1568+'WPB2.2 Plant detail-w slippage'!E1674+'WPB2.2 Plant detail-w slippage'!E1780+'WPB2.2 Plant detail-w slippage'!E1886+'WPB2.2 Plant detail-w slippage'!E1992+'WPB2.2 Plant detail-w slippage'!E2098+'WPB2.2 Plant detail-w slippage'!E2204+'WPB2.2 Plant detail-w slippage'!E2310</f>
        <v>1952000</v>
      </c>
      <c r="F37" s="382">
        <f>'WPB2.2 Plant detail-w slippage'!F1144+'WPB2.2 Plant detail-w slippage'!F1250+'WPB2.2 Plant detail-w slippage'!F1356+'WPB2.2 Plant detail-w slippage'!F1462+'WPB2.2 Plant detail-w slippage'!F1568+'WPB2.2 Plant detail-w slippage'!F1674+'WPB2.2 Plant detail-w slippage'!F1780+'WPB2.2 Plant detail-w slippage'!F1886+'WPB2.2 Plant detail-w slippage'!F1992+'WPB2.2 Plant detail-w slippage'!F2098+'WPB2.2 Plant detail-w slippage'!F2204+'WPB2.2 Plant detail-w slippage'!F2310</f>
        <v>-69600</v>
      </c>
      <c r="G37" s="181">
        <v>0</v>
      </c>
      <c r="H37" s="38">
        <f t="shared" si="2"/>
        <v>10137950.210000001</v>
      </c>
      <c r="I37" s="38">
        <f>'WPB-2.1 13 mo avg'!S34</f>
        <v>8721688.6715384647</v>
      </c>
      <c r="J37" s="502"/>
    </row>
    <row r="38" spans="1:10" x14ac:dyDescent="0.2">
      <c r="A38" s="31">
        <f t="shared" si="3"/>
        <v>22</v>
      </c>
      <c r="B38" s="49">
        <v>375.71</v>
      </c>
      <c r="C38" s="52" t="s">
        <v>1044</v>
      </c>
      <c r="D38" s="257">
        <f>'WPB2.2 Plant detail-w slippage'!D1145</f>
        <v>259808.94</v>
      </c>
      <c r="E38" s="382">
        <f>'WPB2.2 Plant detail-w slippage'!E1145+'WPB2.2 Plant detail-w slippage'!E1251+'WPB2.2 Plant detail-w slippage'!E1357+'WPB2.2 Plant detail-w slippage'!E1463+'WPB2.2 Plant detail-w slippage'!E1569+'WPB2.2 Plant detail-w slippage'!E1675+'WPB2.2 Plant detail-w slippage'!E1781+'WPB2.2 Plant detail-w slippage'!E1887+'WPB2.2 Plant detail-w slippage'!E1993+'WPB2.2 Plant detail-w slippage'!E2099+'WPB2.2 Plant detail-w slippage'!E2205+'WPB2.2 Plant detail-w slippage'!E2311</f>
        <v>0</v>
      </c>
      <c r="F38" s="382">
        <f>'WPB2.2 Plant detail-w slippage'!F1145+'WPB2.2 Plant detail-w slippage'!F1251+'WPB2.2 Plant detail-w slippage'!F1357+'WPB2.2 Plant detail-w slippage'!F1463+'WPB2.2 Plant detail-w slippage'!F1569+'WPB2.2 Plant detail-w slippage'!F1675+'WPB2.2 Plant detail-w slippage'!F1781+'WPB2.2 Plant detail-w slippage'!F1887+'WPB2.2 Plant detail-w slippage'!F1993+'WPB2.2 Plant detail-w slippage'!F2099+'WPB2.2 Plant detail-w slippage'!F2205+'WPB2.2 Plant detail-w slippage'!F2311</f>
        <v>0</v>
      </c>
      <c r="G38" s="181">
        <v>0</v>
      </c>
      <c r="H38" s="38">
        <f t="shared" si="2"/>
        <v>259808.94</v>
      </c>
      <c r="I38" s="38">
        <f>'WPB-2.1 13 mo avg'!S35</f>
        <v>259808.93999999997</v>
      </c>
      <c r="J38" s="502"/>
    </row>
    <row r="39" spans="1:10" x14ac:dyDescent="0.2">
      <c r="A39" s="31">
        <f t="shared" si="3"/>
        <v>23</v>
      </c>
      <c r="B39" s="49">
        <v>375.8</v>
      </c>
      <c r="C39" s="52" t="s">
        <v>1045</v>
      </c>
      <c r="D39" s="257">
        <f>'WPB2.2 Plant detail-w slippage'!D1146</f>
        <v>0</v>
      </c>
      <c r="E39" s="382">
        <f>'WPB2.2 Plant detail-w slippage'!E1146+'WPB2.2 Plant detail-w slippage'!E1252+'WPB2.2 Plant detail-w slippage'!E1358+'WPB2.2 Plant detail-w slippage'!E1464+'WPB2.2 Plant detail-w slippage'!E1570+'WPB2.2 Plant detail-w slippage'!E1676+'WPB2.2 Plant detail-w slippage'!E1782+'WPB2.2 Plant detail-w slippage'!E1888+'WPB2.2 Plant detail-w slippage'!E1994+'WPB2.2 Plant detail-w slippage'!E2100+'WPB2.2 Plant detail-w slippage'!E2206+'WPB2.2 Plant detail-w slippage'!E2312</f>
        <v>0</v>
      </c>
      <c r="F39" s="382">
        <f>'WPB2.2 Plant detail-w slippage'!F1146+'WPB2.2 Plant detail-w slippage'!F1252+'WPB2.2 Plant detail-w slippage'!F1358+'WPB2.2 Plant detail-w slippage'!F1464+'WPB2.2 Plant detail-w slippage'!F1570+'WPB2.2 Plant detail-w slippage'!F1676+'WPB2.2 Plant detail-w slippage'!F1782+'WPB2.2 Plant detail-w slippage'!F1888+'WPB2.2 Plant detail-w slippage'!F1994+'WPB2.2 Plant detail-w slippage'!F2100+'WPB2.2 Plant detail-w slippage'!F2206+'WPB2.2 Plant detail-w slippage'!F2312</f>
        <v>0</v>
      </c>
      <c r="G39" s="181">
        <v>0</v>
      </c>
      <c r="H39" s="38">
        <f t="shared" si="2"/>
        <v>0</v>
      </c>
      <c r="I39" s="38">
        <f>'WPB-2.1 13 mo avg'!S36</f>
        <v>0</v>
      </c>
      <c r="J39" s="502"/>
    </row>
    <row r="40" spans="1:10" x14ac:dyDescent="0.2">
      <c r="A40" s="31">
        <f t="shared" si="3"/>
        <v>24</v>
      </c>
      <c r="B40" s="49">
        <v>376</v>
      </c>
      <c r="C40" s="52" t="s">
        <v>1046</v>
      </c>
      <c r="D40" s="257">
        <f>SUM('WPB2.2 Plant detail-w slippage'!D1148:D1152)</f>
        <v>213379005.44</v>
      </c>
      <c r="E40" s="257">
        <f>SUM('WPB2.2 Plant detail-w slippage'!E1152,'WPB2.2 Plant detail-w slippage'!E1258,'WPB2.2 Plant detail-w slippage'!E1364,'WPB2.2 Plant detail-w slippage'!E1470,'WPB2.2 Plant detail-w slippage'!E1576,'WPB2.2 Plant detail-w slippage'!E1682,'WPB2.2 Plant detail-w slippage'!E1788,'WPB2.2 Plant detail-w slippage'!E1894,'WPB2.2 Plant detail-w slippage'!E2000,'WPB2.2 Plant detail-w slippage'!E2106,'WPB2.2 Plant detail-w slippage'!E2212,'WPB2.2 Plant detail-w slippage'!E2318)</f>
        <v>16794240</v>
      </c>
      <c r="F40" s="257">
        <f>SUM('WPB2.2 Plant detail-w slippage'!F1152,'WPB2.2 Plant detail-w slippage'!F1258,'WPB2.2 Plant detail-w slippage'!F1364,'WPB2.2 Plant detail-w slippage'!F1470,'WPB2.2 Plant detail-w slippage'!F1576,'WPB2.2 Plant detail-w slippage'!F1682,'WPB2.2 Plant detail-w slippage'!F1788,'WPB2.2 Plant detail-w slippage'!F1894,'WPB2.2 Plant detail-w slippage'!F2000,'WPB2.2 Plant detail-w slippage'!F2106,'WPB2.2 Plant detail-w slippage'!F2212,'WPB2.2 Plant detail-w slippage'!F2318)</f>
        <v>-2015200</v>
      </c>
      <c r="G40" s="181">
        <v>0</v>
      </c>
      <c r="H40" s="38">
        <f t="shared" si="2"/>
        <v>228158045.44</v>
      </c>
      <c r="I40" s="38">
        <f>'WPB-2.1 13 mo avg'!S37</f>
        <v>219567763.90153849</v>
      </c>
      <c r="J40" s="502"/>
    </row>
    <row r="41" spans="1:10" x14ac:dyDescent="0.2">
      <c r="A41" s="31">
        <f t="shared" si="3"/>
        <v>25</v>
      </c>
      <c r="B41" s="49">
        <v>378.1</v>
      </c>
      <c r="C41" s="52" t="s">
        <v>1047</v>
      </c>
      <c r="D41" s="257">
        <f>'WPB2.2 Plant detail-w slippage'!D1153</f>
        <v>518504.18</v>
      </c>
      <c r="E41" s="257">
        <f>'WPB2.2 Plant detail-w slippage'!E1153+'WPB2.2 Plant detail-w slippage'!E1259+'WPB2.2 Plant detail-w slippage'!E1365+'WPB2.2 Plant detail-w slippage'!E1471+'WPB2.2 Plant detail-w slippage'!E1577+'WPB2.2 Plant detail-w slippage'!E1683+'WPB2.2 Plant detail-w slippage'!E1789+'WPB2.2 Plant detail-w slippage'!E1895+'WPB2.2 Plant detail-w slippage'!E2001+'WPB2.2 Plant detail-w slippage'!E2107+'WPB2.2 Plant detail-w slippage'!E2213+'WPB2.2 Plant detail-w slippage'!E2319</f>
        <v>0</v>
      </c>
      <c r="F41" s="257">
        <f>'WPB2.2 Plant detail-w slippage'!F1153+'WPB2.2 Plant detail-w slippage'!F1259+'WPB2.2 Plant detail-w slippage'!F1365+'WPB2.2 Plant detail-w slippage'!F1471+'WPB2.2 Plant detail-w slippage'!F1577+'WPB2.2 Plant detail-w slippage'!F1683+'WPB2.2 Plant detail-w slippage'!F1789+'WPB2.2 Plant detail-w slippage'!F1895+'WPB2.2 Plant detail-w slippage'!F2001+'WPB2.2 Plant detail-w slippage'!F2107+'WPB2.2 Plant detail-w slippage'!F2213+'WPB2.2 Plant detail-w slippage'!F2319</f>
        <v>0</v>
      </c>
      <c r="G41" s="181">
        <v>0</v>
      </c>
      <c r="H41" s="38">
        <f t="shared" si="2"/>
        <v>518504.18</v>
      </c>
      <c r="I41" s="38">
        <f>'WPB-2.1 13 mo avg'!S38</f>
        <v>518504.17999999993</v>
      </c>
      <c r="J41" s="502"/>
    </row>
    <row r="42" spans="1:10" x14ac:dyDescent="0.2">
      <c r="A42" s="31">
        <f t="shared" si="3"/>
        <v>26</v>
      </c>
      <c r="B42" s="49">
        <v>378.2</v>
      </c>
      <c r="C42" s="52" t="s">
        <v>1048</v>
      </c>
      <c r="D42" s="257">
        <f>'WPB2.2 Plant detail-w slippage'!D1154</f>
        <v>9783924</v>
      </c>
      <c r="E42" s="257">
        <f>'WPB2.2 Plant detail-w slippage'!E1154+'WPB2.2 Plant detail-w slippage'!E1260+'WPB2.2 Plant detail-w slippage'!E1366+'WPB2.2 Plant detail-w slippage'!E1472+'WPB2.2 Plant detail-w slippage'!E1578+'WPB2.2 Plant detail-w slippage'!E1684+'WPB2.2 Plant detail-w slippage'!E1790+'WPB2.2 Plant detail-w slippage'!E1896+'WPB2.2 Plant detail-w slippage'!E2002+'WPB2.2 Plant detail-w slippage'!E2108+'WPB2.2 Plant detail-w slippage'!E2214+'WPB2.2 Plant detail-w slippage'!E2320</f>
        <v>417200</v>
      </c>
      <c r="F42" s="257">
        <f>'WPB2.2 Plant detail-w slippage'!F1154+'WPB2.2 Plant detail-w slippage'!F1260+'WPB2.2 Plant detail-w slippage'!F1366+'WPB2.2 Plant detail-w slippage'!F1472+'WPB2.2 Plant detail-w slippage'!F1578+'WPB2.2 Plant detail-w slippage'!F1684+'WPB2.2 Plant detail-w slippage'!F1790+'WPB2.2 Plant detail-w slippage'!F1896+'WPB2.2 Plant detail-w slippage'!F2002+'WPB2.2 Plant detail-w slippage'!F2108+'WPB2.2 Plant detail-w slippage'!F2214+'WPB2.2 Plant detail-w slippage'!F2320</f>
        <v>-50000</v>
      </c>
      <c r="G42" s="181">
        <v>0</v>
      </c>
      <c r="H42" s="38">
        <f t="shared" si="2"/>
        <v>10151124</v>
      </c>
      <c r="I42" s="38">
        <f>'WPB-2.1 13 mo avg'!S39</f>
        <v>9929885.538461538</v>
      </c>
      <c r="J42" s="502"/>
    </row>
    <row r="43" spans="1:10" x14ac:dyDescent="0.2">
      <c r="A43" s="31">
        <f t="shared" si="3"/>
        <v>27</v>
      </c>
      <c r="B43" s="49">
        <v>378.3</v>
      </c>
      <c r="C43" s="52" t="s">
        <v>1049</v>
      </c>
      <c r="D43" s="257">
        <f>'WPB2.2 Plant detail-w slippage'!D1155</f>
        <v>45443.08</v>
      </c>
      <c r="E43" s="257">
        <f>'WPB2.2 Plant detail-w slippage'!E1155+'WPB2.2 Plant detail-w slippage'!E1261+'WPB2.2 Plant detail-w slippage'!E1367+'WPB2.2 Plant detail-w slippage'!E1473+'WPB2.2 Plant detail-w slippage'!E1579+'WPB2.2 Plant detail-w slippage'!E1685+'WPB2.2 Plant detail-w slippage'!E1791+'WPB2.2 Plant detail-w slippage'!E1897+'WPB2.2 Plant detail-w slippage'!E2003+'WPB2.2 Plant detail-w slippage'!E2109+'WPB2.2 Plant detail-w slippage'!E2215+'WPB2.2 Plant detail-w slippage'!E2321</f>
        <v>0</v>
      </c>
      <c r="F43" s="257">
        <f>'WPB2.2 Plant detail-w slippage'!F1155+'WPB2.2 Plant detail-w slippage'!F1261+'WPB2.2 Plant detail-w slippage'!F1367+'WPB2.2 Plant detail-w slippage'!F1473+'WPB2.2 Plant detail-w slippage'!F1579+'WPB2.2 Plant detail-w slippage'!F1685+'WPB2.2 Plant detail-w slippage'!F1791+'WPB2.2 Plant detail-w slippage'!F1897+'WPB2.2 Plant detail-w slippage'!F2003+'WPB2.2 Plant detail-w slippage'!F2109+'WPB2.2 Plant detail-w slippage'!F2215+'WPB2.2 Plant detail-w slippage'!F2321</f>
        <v>0</v>
      </c>
      <c r="G43" s="181">
        <v>0</v>
      </c>
      <c r="H43" s="38">
        <f t="shared" si="2"/>
        <v>45443.08</v>
      </c>
      <c r="I43" s="38">
        <f>'WPB-2.1 13 mo avg'!S40</f>
        <v>45443.08</v>
      </c>
      <c r="J43" s="502"/>
    </row>
    <row r="44" spans="1:10" x14ac:dyDescent="0.2">
      <c r="A44" s="31">
        <f t="shared" si="3"/>
        <v>28</v>
      </c>
      <c r="B44" s="49">
        <v>379.1</v>
      </c>
      <c r="C44" s="52" t="s">
        <v>1050</v>
      </c>
      <c r="D44" s="257">
        <f>'WPB2.2 Plant detail-w slippage'!D1156</f>
        <v>254900.59</v>
      </c>
      <c r="E44" s="257">
        <f>'WPB2.2 Plant detail-w slippage'!E1156+'WPB2.2 Plant detail-w slippage'!E1262+'WPB2.2 Plant detail-w slippage'!E1368+'WPB2.2 Plant detail-w slippage'!E1474+'WPB2.2 Plant detail-w slippage'!E1580+'WPB2.2 Plant detail-w slippage'!E1686+'WPB2.2 Plant detail-w slippage'!E1792+'WPB2.2 Plant detail-w slippage'!E1898+'WPB2.2 Plant detail-w slippage'!E2004+'WPB2.2 Plant detail-w slippage'!E2110+'WPB2.2 Plant detail-w slippage'!E2216+'WPB2.2 Plant detail-w slippage'!E2322</f>
        <v>0</v>
      </c>
      <c r="F44" s="257">
        <f>'WPB2.2 Plant detail-w slippage'!F1156+'WPB2.2 Plant detail-w slippage'!F1262+'WPB2.2 Plant detail-w slippage'!F1368+'WPB2.2 Plant detail-w slippage'!F1474+'WPB2.2 Plant detail-w slippage'!F1580+'WPB2.2 Plant detail-w slippage'!F1686+'WPB2.2 Plant detail-w slippage'!F1792+'WPB2.2 Plant detail-w slippage'!F1898+'WPB2.2 Plant detail-w slippage'!F2004+'WPB2.2 Plant detail-w slippage'!F2110+'WPB2.2 Plant detail-w slippage'!F2216+'WPB2.2 Plant detail-w slippage'!F2322</f>
        <v>0</v>
      </c>
      <c r="G44" s="181">
        <v>0</v>
      </c>
      <c r="H44" s="38">
        <f t="shared" si="2"/>
        <v>254900.59</v>
      </c>
      <c r="I44" s="38">
        <f>'WPB-2.1 13 mo avg'!S41</f>
        <v>254900.58999999997</v>
      </c>
      <c r="J44" s="502"/>
    </row>
    <row r="45" spans="1:10" x14ac:dyDescent="0.2">
      <c r="A45" s="31">
        <f t="shared" si="3"/>
        <v>29</v>
      </c>
      <c r="B45" s="49">
        <v>380</v>
      </c>
      <c r="C45" s="52" t="s">
        <v>1051</v>
      </c>
      <c r="D45" s="257">
        <f>'WPB2.2 Plant detail-w slippage'!D1157</f>
        <v>123059032.77</v>
      </c>
      <c r="E45" s="257">
        <f>'WPB2.2 Plant detail-w slippage'!E1157+'WPB2.2 Plant detail-w slippage'!E1263+'WPB2.2 Plant detail-w slippage'!E1369+'WPB2.2 Plant detail-w slippage'!E1475+'WPB2.2 Plant detail-w slippage'!E1581+'WPB2.2 Plant detail-w slippage'!E1687+'WPB2.2 Plant detail-w slippage'!E1793+'WPB2.2 Plant detail-w slippage'!E1899+'WPB2.2 Plant detail-w slippage'!E2005+'WPB2.2 Plant detail-w slippage'!E2111+'WPB2.2 Plant detail-w slippage'!E2217+'WPB2.2 Plant detail-w slippage'!E2323</f>
        <v>10696852</v>
      </c>
      <c r="F45" s="257">
        <f>'WPB2.2 Plant detail-w slippage'!F1157+'WPB2.2 Plant detail-w slippage'!F1263+'WPB2.2 Plant detail-w slippage'!F1369+'WPB2.2 Plant detail-w slippage'!F1475+'WPB2.2 Plant detail-w slippage'!F1581+'WPB2.2 Plant detail-w slippage'!F1687+'WPB2.2 Plant detail-w slippage'!F1793+'WPB2.2 Plant detail-w slippage'!F1899+'WPB2.2 Plant detail-w slippage'!F2005+'WPB2.2 Plant detail-w slippage'!F2111+'WPB2.2 Plant detail-w slippage'!F2217+'WPB2.2 Plant detail-w slippage'!F2323</f>
        <v>-1283700</v>
      </c>
      <c r="G45" s="181">
        <v>0</v>
      </c>
      <c r="H45" s="38">
        <f t="shared" si="2"/>
        <v>132472184.77</v>
      </c>
      <c r="I45" s="38">
        <f>'WPB-2.1 13 mo avg'!S42</f>
        <v>126907585.69307692</v>
      </c>
      <c r="J45" s="502"/>
    </row>
    <row r="46" spans="1:10" x14ac:dyDescent="0.2">
      <c r="A46" s="2079" t="str">
        <f>co</f>
        <v>COLUMBIA GAS OF KENTUCKY, INC.</v>
      </c>
      <c r="B46" s="2079"/>
      <c r="C46" s="2079"/>
      <c r="D46" s="2079"/>
      <c r="E46" s="2079"/>
      <c r="F46" s="2079"/>
      <c r="G46" s="2079"/>
      <c r="H46" s="2079"/>
      <c r="I46" s="2079"/>
    </row>
    <row r="47" spans="1:10" x14ac:dyDescent="0.2">
      <c r="A47" s="2079" t="str">
        <f>case</f>
        <v>CASE NO. 2016 - 00162</v>
      </c>
      <c r="B47" s="2079"/>
      <c r="C47" s="2079"/>
      <c r="D47" s="2079"/>
      <c r="E47" s="2079"/>
      <c r="F47" s="2079"/>
      <c r="G47" s="2079"/>
      <c r="H47" s="2079"/>
      <c r="I47" s="2079"/>
    </row>
    <row r="48" spans="1:10" x14ac:dyDescent="0.2">
      <c r="A48" s="2079" t="s">
        <v>762</v>
      </c>
      <c r="B48" s="2079"/>
      <c r="C48" s="2079"/>
      <c r="D48" s="2079"/>
      <c r="E48" s="2079"/>
      <c r="F48" s="2079"/>
      <c r="G48" s="2079"/>
      <c r="H48" s="2079"/>
      <c r="I48" s="2079"/>
    </row>
    <row r="49" spans="1:11" x14ac:dyDescent="0.2">
      <c r="A49" s="2079" t="str">
        <f>A4</f>
        <v>JANUARY 2017 TO DECEMBER 2017</v>
      </c>
      <c r="B49" s="2079"/>
      <c r="C49" s="2079"/>
      <c r="D49" s="2079"/>
      <c r="E49" s="2079"/>
      <c r="F49" s="2079"/>
      <c r="G49" s="2079"/>
      <c r="H49" s="2079"/>
      <c r="I49" s="2079"/>
    </row>
    <row r="51" spans="1:11" x14ac:dyDescent="0.2">
      <c r="A51" s="285" t="s">
        <v>1109</v>
      </c>
      <c r="I51" s="155" t="s">
        <v>763</v>
      </c>
    </row>
    <row r="52" spans="1:11" x14ac:dyDescent="0.2">
      <c r="A52" s="4" t="s">
        <v>977</v>
      </c>
      <c r="I52" s="1256" t="s">
        <v>603</v>
      </c>
    </row>
    <row r="53" spans="1:11" x14ac:dyDescent="0.2">
      <c r="A53" s="83" t="str">
        <f>A8</f>
        <v>WORKPAPER REFERENCE NO(S).: WPB-2.1, 2.2</v>
      </c>
      <c r="B53" s="201"/>
      <c r="C53" s="201"/>
      <c r="D53" s="201"/>
      <c r="E53" s="202"/>
      <c r="F53" s="202"/>
      <c r="G53" s="202"/>
      <c r="I53" s="211" t="str">
        <f>SMK</f>
        <v>WITNESS:  S. M. KATKO</v>
      </c>
    </row>
    <row r="54" spans="1:11" x14ac:dyDescent="0.2">
      <c r="A54" s="200"/>
      <c r="B54" s="201"/>
      <c r="C54" s="201"/>
      <c r="D54" s="201"/>
      <c r="E54" s="202"/>
      <c r="F54" s="202"/>
      <c r="G54" s="202"/>
      <c r="H54" s="204"/>
      <c r="J54" s="500"/>
      <c r="K54" s="500"/>
    </row>
    <row r="55" spans="1:11" x14ac:dyDescent="0.2">
      <c r="A55" s="200"/>
      <c r="B55" s="201"/>
      <c r="C55" s="201"/>
      <c r="D55" s="201"/>
      <c r="E55" s="202"/>
      <c r="F55" s="202"/>
      <c r="G55" s="202"/>
      <c r="H55" s="204"/>
      <c r="J55" s="500"/>
      <c r="K55" s="500"/>
    </row>
    <row r="56" spans="1:11" x14ac:dyDescent="0.2">
      <c r="A56" s="205"/>
      <c r="B56" s="206"/>
      <c r="C56" s="206"/>
      <c r="D56" s="208" t="s">
        <v>1258</v>
      </c>
      <c r="E56" s="207"/>
      <c r="F56" s="207"/>
      <c r="G56" s="456"/>
      <c r="H56" s="208" t="s">
        <v>1258</v>
      </c>
      <c r="I56" s="208"/>
      <c r="K56" s="500"/>
    </row>
    <row r="57" spans="1:11" x14ac:dyDescent="0.2">
      <c r="A57" s="31" t="s">
        <v>632</v>
      </c>
      <c r="B57" s="31" t="s">
        <v>692</v>
      </c>
      <c r="D57" s="31" t="s">
        <v>764</v>
      </c>
      <c r="H57" s="31" t="s">
        <v>766</v>
      </c>
      <c r="I57" s="1255" t="s">
        <v>673</v>
      </c>
      <c r="K57" s="500"/>
    </row>
    <row r="58" spans="1:11" x14ac:dyDescent="0.2">
      <c r="A58" s="35" t="s">
        <v>635</v>
      </c>
      <c r="B58" s="35" t="s">
        <v>635</v>
      </c>
      <c r="C58" s="33" t="s">
        <v>767</v>
      </c>
      <c r="D58" s="35" t="s">
        <v>768</v>
      </c>
      <c r="E58" s="172" t="s">
        <v>769</v>
      </c>
      <c r="F58" s="172" t="s">
        <v>770</v>
      </c>
      <c r="G58" s="499" t="s">
        <v>1176</v>
      </c>
      <c r="H58" s="35" t="s">
        <v>768</v>
      </c>
      <c r="I58" s="499" t="s">
        <v>631</v>
      </c>
      <c r="K58" s="500"/>
    </row>
    <row r="59" spans="1:11" x14ac:dyDescent="0.2">
      <c r="D59" s="31" t="s">
        <v>639</v>
      </c>
      <c r="E59" s="170" t="s">
        <v>639</v>
      </c>
      <c r="F59" s="170" t="s">
        <v>639</v>
      </c>
      <c r="G59" s="170" t="s">
        <v>639</v>
      </c>
      <c r="H59" s="31" t="s">
        <v>639</v>
      </c>
      <c r="I59" s="31" t="s">
        <v>639</v>
      </c>
    </row>
    <row r="60" spans="1:11" x14ac:dyDescent="0.2">
      <c r="D60" s="31"/>
      <c r="E60" s="170"/>
      <c r="F60" s="170"/>
      <c r="G60" s="170"/>
      <c r="H60" s="31"/>
    </row>
    <row r="61" spans="1:11" x14ac:dyDescent="0.2">
      <c r="A61" s="127">
        <v>1</v>
      </c>
      <c r="B61" s="49">
        <v>381</v>
      </c>
      <c r="C61" s="52" t="s">
        <v>1052</v>
      </c>
      <c r="D61" s="257">
        <f>'WPB2.2 Plant detail-w slippage'!D1176</f>
        <v>13721908.550000001</v>
      </c>
      <c r="E61" s="1253">
        <f>'WPB2.2 Plant detail-w slippage'!E1176+'WPB2.2 Plant detail-w slippage'!E1282+'WPB2.2 Plant detail-w slippage'!E1388+'WPB2.2 Plant detail-w slippage'!E1494+'WPB2.2 Plant detail-w slippage'!E1600+'WPB2.2 Plant detail-w slippage'!E1706+'WPB2.2 Plant detail-w slippage'!E1812+'WPB2.2 Plant detail-w slippage'!E1918+'WPB2.2 Plant detail-w slippage'!E2024+'WPB2.2 Plant detail-w slippage'!E2130+'WPB2.2 Plant detail-w slippage'!E2236+'WPB2.2 Plant detail-w slippage'!E2342</f>
        <v>598900</v>
      </c>
      <c r="F61" s="1253">
        <f>'WPB2.2 Plant detail-w slippage'!F1176+'WPB2.2 Plant detail-w slippage'!F1282+'WPB2.2 Plant detail-w slippage'!F1388+'WPB2.2 Plant detail-w slippage'!F1494+'WPB2.2 Plant detail-w slippage'!F1600+'WPB2.2 Plant detail-w slippage'!F1706+'WPB2.2 Plant detail-w slippage'!F1812+'WPB2.2 Plant detail-w slippage'!F1918+'WPB2.2 Plant detail-w slippage'!F2024+'WPB2.2 Plant detail-w slippage'!F2130+'WPB2.2 Plant detail-w slippage'!F2236+'WPB2.2 Plant detail-w slippage'!F2342</f>
        <v>-71800</v>
      </c>
      <c r="G61" s="181">
        <v>0</v>
      </c>
      <c r="H61" s="38">
        <f t="shared" ref="H61:H72" si="4">SUM(D61:G61)</f>
        <v>14249008.550000001</v>
      </c>
      <c r="I61" s="38">
        <f>'WPB-2.1 13 mo avg'!S56</f>
        <v>13929423.934615387</v>
      </c>
      <c r="J61" s="502"/>
    </row>
    <row r="62" spans="1:11" x14ac:dyDescent="0.2">
      <c r="A62" s="127">
        <f>A61+1</f>
        <v>2</v>
      </c>
      <c r="B62" s="49">
        <v>381.1</v>
      </c>
      <c r="C62" s="251" t="s">
        <v>1115</v>
      </c>
      <c r="D62" s="257">
        <f>'WPB2.2 Plant detail-w slippage'!D1177</f>
        <v>8776012.0600000005</v>
      </c>
      <c r="E62" s="1253">
        <f>'WPB2.2 Plant detail-w slippage'!E1177+'WPB2.2 Plant detail-w slippage'!E1283+'WPB2.2 Plant detail-w slippage'!E1389+'WPB2.2 Plant detail-w slippage'!E1495+'WPB2.2 Plant detail-w slippage'!E1601+'WPB2.2 Plant detail-w slippage'!E1707+'WPB2.2 Plant detail-w slippage'!E1813+'WPB2.2 Plant detail-w slippage'!E1919+'WPB2.2 Plant detail-w slippage'!E2025+'WPB2.2 Plant detail-w slippage'!E2131+'WPB2.2 Plant detail-w slippage'!E2237+'WPB2.2 Plant detail-w slippage'!E2343</f>
        <v>90100</v>
      </c>
      <c r="F62" s="1253">
        <f>'WPB2.2 Plant detail-w slippage'!F1177+'WPB2.2 Plant detail-w slippage'!F1283+'WPB2.2 Plant detail-w slippage'!F1389+'WPB2.2 Plant detail-w slippage'!F1495+'WPB2.2 Plant detail-w slippage'!F1601+'WPB2.2 Plant detail-w slippage'!F1707+'WPB2.2 Plant detail-w slippage'!F1813+'WPB2.2 Plant detail-w slippage'!F1919+'WPB2.2 Plant detail-w slippage'!F2025+'WPB2.2 Plant detail-w slippage'!F2131+'WPB2.2 Plant detail-w slippage'!F2237+'WPB2.2 Plant detail-w slippage'!F2343</f>
        <v>-10500</v>
      </c>
      <c r="G62" s="181">
        <v>0</v>
      </c>
      <c r="H62" s="38">
        <f t="shared" si="4"/>
        <v>8855612.0600000005</v>
      </c>
      <c r="I62" s="38">
        <f>'WPB-2.1 13 mo avg'!S57</f>
        <v>8824212.0600000005</v>
      </c>
      <c r="J62" s="502"/>
    </row>
    <row r="63" spans="1:11" x14ac:dyDescent="0.2">
      <c r="A63" s="127">
        <f t="shared" ref="A63:A69" si="5">A62+1</f>
        <v>3</v>
      </c>
      <c r="B63" s="49">
        <v>382</v>
      </c>
      <c r="C63" s="52" t="s">
        <v>1053</v>
      </c>
      <c r="D63" s="257">
        <f>'WPB2.2 Plant detail-w slippage'!D1178</f>
        <v>9287592.6500000004</v>
      </c>
      <c r="E63" s="1253">
        <f>'WPB2.2 Plant detail-w slippage'!E1178+'WPB2.2 Plant detail-w slippage'!E1284+'WPB2.2 Plant detail-w slippage'!E1390+'WPB2.2 Plant detail-w slippage'!E1496+'WPB2.2 Plant detail-w slippage'!E1602+'WPB2.2 Plant detail-w slippage'!E1708+'WPB2.2 Plant detail-w slippage'!E1814+'WPB2.2 Plant detail-w slippage'!E1920+'WPB2.2 Plant detail-w slippage'!E2026+'WPB2.2 Plant detail-w slippage'!E2132+'WPB2.2 Plant detail-w slippage'!E2238+'WPB2.2 Plant detail-w slippage'!E2344</f>
        <v>393900</v>
      </c>
      <c r="F63" s="1253">
        <f>'WPB2.2 Plant detail-w slippage'!F1178+'WPB2.2 Plant detail-w slippage'!F1284+'WPB2.2 Plant detail-w slippage'!F1390+'WPB2.2 Plant detail-w slippage'!F1496+'WPB2.2 Plant detail-w slippage'!F1602+'WPB2.2 Plant detail-w slippage'!F1708+'WPB2.2 Plant detail-w slippage'!F1814+'WPB2.2 Plant detail-w slippage'!F1920+'WPB2.2 Plant detail-w slippage'!F2026+'WPB2.2 Plant detail-w slippage'!F2132+'WPB2.2 Plant detail-w slippage'!F2238+'WPB2.2 Plant detail-w slippage'!F2344</f>
        <v>-47300</v>
      </c>
      <c r="G63" s="181">
        <v>0</v>
      </c>
      <c r="H63" s="38">
        <f t="shared" si="4"/>
        <v>9634192.6500000004</v>
      </c>
      <c r="I63" s="38">
        <f>'WPB-2.1 13 mo avg'!S58</f>
        <v>9439600.3423076943</v>
      </c>
      <c r="J63" s="502"/>
    </row>
    <row r="64" spans="1:11" x14ac:dyDescent="0.2">
      <c r="A64" s="127">
        <f t="shared" si="5"/>
        <v>4</v>
      </c>
      <c r="B64" s="49">
        <v>383</v>
      </c>
      <c r="C64" s="52" t="s">
        <v>1054</v>
      </c>
      <c r="D64" s="257">
        <f>'WPB2.2 Plant detail-w slippage'!D1179</f>
        <v>5666420.7599999998</v>
      </c>
      <c r="E64" s="1253">
        <f>'WPB2.2 Plant detail-w slippage'!E1179+'WPB2.2 Plant detail-w slippage'!E1285+'WPB2.2 Plant detail-w slippage'!E1391+'WPB2.2 Plant detail-w slippage'!E1497+'WPB2.2 Plant detail-w slippage'!E1603+'WPB2.2 Plant detail-w slippage'!E1709+'WPB2.2 Plant detail-w slippage'!E1815+'WPB2.2 Plant detail-w slippage'!E1921+'WPB2.2 Plant detail-w slippage'!E2027+'WPB2.2 Plant detail-w slippage'!E2133+'WPB2.2 Plant detail-w slippage'!E2239+'WPB2.2 Plant detail-w slippage'!E2345</f>
        <v>215600</v>
      </c>
      <c r="F64" s="1253">
        <f>'WPB2.2 Plant detail-w slippage'!F1179+'WPB2.2 Plant detail-w slippage'!F1285+'WPB2.2 Plant detail-w slippage'!F1391+'WPB2.2 Plant detail-w slippage'!F1497+'WPB2.2 Plant detail-w slippage'!F1603+'WPB2.2 Plant detail-w slippage'!F1709+'WPB2.2 Plant detail-w slippage'!F1815+'WPB2.2 Plant detail-w slippage'!F1921+'WPB2.2 Plant detail-w slippage'!F2027+'WPB2.2 Plant detail-w slippage'!F2133+'WPB2.2 Plant detail-w slippage'!F2239+'WPB2.2 Plant detail-w slippage'!F2345</f>
        <v>-25900</v>
      </c>
      <c r="G64" s="181">
        <v>0</v>
      </c>
      <c r="H64" s="38">
        <f t="shared" si="4"/>
        <v>5856120.7599999998</v>
      </c>
      <c r="I64" s="38">
        <f>'WPB-2.1 13 mo avg'!S59</f>
        <v>5757997.6830769228</v>
      </c>
      <c r="J64" s="502"/>
    </row>
    <row r="65" spans="1:10" x14ac:dyDescent="0.2">
      <c r="A65" s="127">
        <f t="shared" si="5"/>
        <v>5</v>
      </c>
      <c r="B65" s="49">
        <v>384</v>
      </c>
      <c r="C65" s="52" t="s">
        <v>1055</v>
      </c>
      <c r="D65" s="257">
        <f>'WPB2.2 Plant detail-w slippage'!D1180</f>
        <v>2257522</v>
      </c>
      <c r="E65" s="1253">
        <f>'WPB2.2 Plant detail-w slippage'!E1180+'WPB2.2 Plant detail-w slippage'!E1286+'WPB2.2 Plant detail-w slippage'!E1392+'WPB2.2 Plant detail-w slippage'!E1498+'WPB2.2 Plant detail-w slippage'!E1604+'WPB2.2 Plant detail-w slippage'!E1710+'WPB2.2 Plant detail-w slippage'!E1816+'WPB2.2 Plant detail-w slippage'!E1922+'WPB2.2 Plant detail-w slippage'!E2028+'WPB2.2 Plant detail-w slippage'!E2134+'WPB2.2 Plant detail-w slippage'!E2240+'WPB2.2 Plant detail-w slippage'!E2346</f>
        <v>0</v>
      </c>
      <c r="F65" s="1253">
        <f>'WPB2.2 Plant detail-w slippage'!F1180+'WPB2.2 Plant detail-w slippage'!F1286+'WPB2.2 Plant detail-w slippage'!F1392+'WPB2.2 Plant detail-w slippage'!F1498+'WPB2.2 Plant detail-w slippage'!F1604+'WPB2.2 Plant detail-w slippage'!F1710+'WPB2.2 Plant detail-w slippage'!F1816+'WPB2.2 Plant detail-w slippage'!F1922+'WPB2.2 Plant detail-w slippage'!F2028+'WPB2.2 Plant detail-w slippage'!F2134+'WPB2.2 Plant detail-w slippage'!F2240+'WPB2.2 Plant detail-w slippage'!F2346</f>
        <v>0</v>
      </c>
      <c r="G65" s="181">
        <v>0</v>
      </c>
      <c r="H65" s="38">
        <f t="shared" si="4"/>
        <v>2257522</v>
      </c>
      <c r="I65" s="38">
        <f>'WPB-2.1 13 mo avg'!S60</f>
        <v>2257522</v>
      </c>
      <c r="J65" s="502"/>
    </row>
    <row r="66" spans="1:10" x14ac:dyDescent="0.2">
      <c r="A66" s="127">
        <f t="shared" si="5"/>
        <v>6</v>
      </c>
      <c r="B66" s="49">
        <v>385</v>
      </c>
      <c r="C66" s="52" t="s">
        <v>1056</v>
      </c>
      <c r="D66" s="257">
        <f>'WPB2.2 Plant detail-w slippage'!D1181</f>
        <v>3252183.36</v>
      </c>
      <c r="E66" s="1253">
        <f>'WPB2.2 Plant detail-w slippage'!E1181+'WPB2.2 Plant detail-w slippage'!E1287+'WPB2.2 Plant detail-w slippage'!E1393+'WPB2.2 Plant detail-w slippage'!E1499+'WPB2.2 Plant detail-w slippage'!E1605+'WPB2.2 Plant detail-w slippage'!E1711+'WPB2.2 Plant detail-w slippage'!E1817+'WPB2.2 Plant detail-w slippage'!E1923+'WPB2.2 Plant detail-w slippage'!E2029+'WPB2.2 Plant detail-w slippage'!E2135+'WPB2.2 Plant detail-w slippage'!E2241+'WPB2.2 Plant detail-w slippage'!E2347</f>
        <v>288000</v>
      </c>
      <c r="F66" s="1253">
        <f>'WPB2.2 Plant detail-w slippage'!F1181+'WPB2.2 Plant detail-w slippage'!F1287+'WPB2.2 Plant detail-w slippage'!F1393+'WPB2.2 Plant detail-w slippage'!F1499+'WPB2.2 Plant detail-w slippage'!F1605+'WPB2.2 Plant detail-w slippage'!F1711+'WPB2.2 Plant detail-w slippage'!F1817+'WPB2.2 Plant detail-w slippage'!F1923+'WPB2.2 Plant detail-w slippage'!F2029+'WPB2.2 Plant detail-w slippage'!F2135+'WPB2.2 Plant detail-w slippage'!F2241+'WPB2.2 Plant detail-w slippage'!F2347</f>
        <v>-34600</v>
      </c>
      <c r="G66" s="181">
        <v>0</v>
      </c>
      <c r="H66" s="38">
        <f t="shared" si="4"/>
        <v>3505583.36</v>
      </c>
      <c r="I66" s="38">
        <f>'WPB-2.1 13 mo avg'!S61</f>
        <v>3358952.5907692309</v>
      </c>
      <c r="J66" s="502"/>
    </row>
    <row r="67" spans="1:10" x14ac:dyDescent="0.2">
      <c r="A67" s="127">
        <f t="shared" si="5"/>
        <v>7</v>
      </c>
      <c r="B67" s="49">
        <v>387.2</v>
      </c>
      <c r="C67" s="52" t="s">
        <v>1057</v>
      </c>
      <c r="D67" s="257">
        <f>'WPB2.2 Plant detail-w slippage'!D1182</f>
        <v>0</v>
      </c>
      <c r="E67" s="1253">
        <f>'WPB2.2 Plant detail-w slippage'!E1182+'WPB2.2 Plant detail-w slippage'!E1288+'WPB2.2 Plant detail-w slippage'!E1394+'WPB2.2 Plant detail-w slippage'!E1500+'WPB2.2 Plant detail-w slippage'!E1606+'WPB2.2 Plant detail-w slippage'!E1712+'WPB2.2 Plant detail-w slippage'!E1818+'WPB2.2 Plant detail-w slippage'!E1924+'WPB2.2 Plant detail-w slippage'!E2030+'WPB2.2 Plant detail-w slippage'!E2136+'WPB2.2 Plant detail-w slippage'!E2242+'WPB2.2 Plant detail-w slippage'!E2348</f>
        <v>0</v>
      </c>
      <c r="F67" s="1253">
        <f>'WPB2.2 Plant detail-w slippage'!F1182+'WPB2.2 Plant detail-w slippage'!F1288+'WPB2.2 Plant detail-w slippage'!F1394+'WPB2.2 Plant detail-w slippage'!F1500+'WPB2.2 Plant detail-w slippage'!F1606+'WPB2.2 Plant detail-w slippage'!F1712+'WPB2.2 Plant detail-w slippage'!F1818+'WPB2.2 Plant detail-w slippage'!F1924+'WPB2.2 Plant detail-w slippage'!F2030+'WPB2.2 Plant detail-w slippage'!F2136+'WPB2.2 Plant detail-w slippage'!F2242+'WPB2.2 Plant detail-w slippage'!F2348</f>
        <v>0</v>
      </c>
      <c r="G67" s="181">
        <v>0</v>
      </c>
      <c r="H67" s="38">
        <f t="shared" si="4"/>
        <v>0</v>
      </c>
      <c r="I67" s="38">
        <f>'WPB-2.1 13 mo avg'!S62</f>
        <v>0</v>
      </c>
      <c r="J67" s="502"/>
    </row>
    <row r="68" spans="1:10" x14ac:dyDescent="0.2">
      <c r="A68" s="127">
        <f t="shared" si="5"/>
        <v>8</v>
      </c>
      <c r="B68" s="49">
        <v>387.41</v>
      </c>
      <c r="C68" s="52" t="s">
        <v>1058</v>
      </c>
      <c r="D68" s="257">
        <f>'WPB2.2 Plant detail-w slippage'!D1183</f>
        <v>735770.76</v>
      </c>
      <c r="E68" s="1253">
        <f>'WPB2.2 Plant detail-w slippage'!E1183+'WPB2.2 Plant detail-w slippage'!E1289+'WPB2.2 Plant detail-w slippage'!E1395+'WPB2.2 Plant detail-w slippage'!E1501+'WPB2.2 Plant detail-w slippage'!E1607+'WPB2.2 Plant detail-w slippage'!E1713+'WPB2.2 Plant detail-w slippage'!E1819+'WPB2.2 Plant detail-w slippage'!E1925+'WPB2.2 Plant detail-w slippage'!E2031+'WPB2.2 Plant detail-w slippage'!E2137+'WPB2.2 Plant detail-w slippage'!E2243+'WPB2.2 Plant detail-w slippage'!E2349</f>
        <v>0</v>
      </c>
      <c r="F68" s="1253">
        <f>'WPB2.2 Plant detail-w slippage'!F1183+'WPB2.2 Plant detail-w slippage'!F1289+'WPB2.2 Plant detail-w slippage'!F1395+'WPB2.2 Plant detail-w slippage'!F1501+'WPB2.2 Plant detail-w slippage'!F1607+'WPB2.2 Plant detail-w slippage'!F1713+'WPB2.2 Plant detail-w slippage'!F1819+'WPB2.2 Plant detail-w slippage'!F1925+'WPB2.2 Plant detail-w slippage'!F2031+'WPB2.2 Plant detail-w slippage'!F2137+'WPB2.2 Plant detail-w slippage'!F2243+'WPB2.2 Plant detail-w slippage'!F2349</f>
        <v>0</v>
      </c>
      <c r="G68" s="181">
        <v>0</v>
      </c>
      <c r="H68" s="38">
        <f t="shared" si="4"/>
        <v>735770.76</v>
      </c>
      <c r="I68" s="38">
        <f>'WPB-2.1 13 mo avg'!S63</f>
        <v>735770.75999999989</v>
      </c>
      <c r="J68" s="502"/>
    </row>
    <row r="69" spans="1:10" x14ac:dyDescent="0.2">
      <c r="A69" s="127">
        <f t="shared" si="5"/>
        <v>9</v>
      </c>
      <c r="B69" s="49">
        <v>387.42</v>
      </c>
      <c r="C69" s="52" t="s">
        <v>1059</v>
      </c>
      <c r="D69" s="257">
        <f>'WPB2.2 Plant detail-w slippage'!D1184</f>
        <v>795186.58</v>
      </c>
      <c r="E69" s="1253">
        <f>'WPB2.2 Plant detail-w slippage'!E1184+'WPB2.2 Plant detail-w slippage'!E1290+'WPB2.2 Plant detail-w slippage'!E1396+'WPB2.2 Plant detail-w slippage'!E1502+'WPB2.2 Plant detail-w slippage'!E1608+'WPB2.2 Plant detail-w slippage'!E1714+'WPB2.2 Plant detail-w slippage'!E1820+'WPB2.2 Plant detail-w slippage'!E1926+'WPB2.2 Plant detail-w slippage'!E2032+'WPB2.2 Plant detail-w slippage'!E2138+'WPB2.2 Plant detail-w slippage'!E2244+'WPB2.2 Plant detail-w slippage'!E2350</f>
        <v>0</v>
      </c>
      <c r="F69" s="1253">
        <f>'WPB2.2 Plant detail-w slippage'!F1184+'WPB2.2 Plant detail-w slippage'!F1290+'WPB2.2 Plant detail-w slippage'!F1396+'WPB2.2 Plant detail-w slippage'!F1502+'WPB2.2 Plant detail-w slippage'!F1608+'WPB2.2 Plant detail-w slippage'!F1714+'WPB2.2 Plant detail-w slippage'!F1820+'WPB2.2 Plant detail-w slippage'!F1926+'WPB2.2 Plant detail-w slippage'!F2032+'WPB2.2 Plant detail-w slippage'!F2138+'WPB2.2 Plant detail-w slippage'!F2244+'WPB2.2 Plant detail-w slippage'!F2350</f>
        <v>0</v>
      </c>
      <c r="G69" s="181">
        <v>0</v>
      </c>
      <c r="H69" s="38">
        <f t="shared" si="4"/>
        <v>795186.58</v>
      </c>
      <c r="I69" s="38">
        <f>'WPB-2.1 13 mo avg'!S64</f>
        <v>795186.58</v>
      </c>
      <c r="J69" s="502"/>
    </row>
    <row r="70" spans="1:10" x14ac:dyDescent="0.2">
      <c r="A70" s="127">
        <f>A69+1</f>
        <v>10</v>
      </c>
      <c r="B70" s="49">
        <v>387.44</v>
      </c>
      <c r="C70" s="52" t="s">
        <v>1060</v>
      </c>
      <c r="D70" s="257">
        <f>'WPB2.2 Plant detail-w slippage'!D1185</f>
        <v>143283.93</v>
      </c>
      <c r="E70" s="1253">
        <f>'WPB2.2 Plant detail-w slippage'!E1185+'WPB2.2 Plant detail-w slippage'!E1291+'WPB2.2 Plant detail-w slippage'!E1397+'WPB2.2 Plant detail-w slippage'!E1503+'WPB2.2 Plant detail-w slippage'!E1609+'WPB2.2 Plant detail-w slippage'!E1715+'WPB2.2 Plant detail-w slippage'!E1821+'WPB2.2 Plant detail-w slippage'!E1927+'WPB2.2 Plant detail-w slippage'!E2033+'WPB2.2 Plant detail-w slippage'!E2139+'WPB2.2 Plant detail-w slippage'!E2245+'WPB2.2 Plant detail-w slippage'!E2351</f>
        <v>0</v>
      </c>
      <c r="F70" s="1253">
        <f>'WPB2.2 Plant detail-w slippage'!F1185+'WPB2.2 Plant detail-w slippage'!F1291+'WPB2.2 Plant detail-w slippage'!F1397+'WPB2.2 Plant detail-w slippage'!F1503+'WPB2.2 Plant detail-w slippage'!F1609+'WPB2.2 Plant detail-w slippage'!F1715+'WPB2.2 Plant detail-w slippage'!F1821+'WPB2.2 Plant detail-w slippage'!F1927+'WPB2.2 Plant detail-w slippage'!F2033+'WPB2.2 Plant detail-w slippage'!F2139+'WPB2.2 Plant detail-w slippage'!F2245+'WPB2.2 Plant detail-w slippage'!F2351</f>
        <v>0</v>
      </c>
      <c r="G70" s="181">
        <v>0</v>
      </c>
      <c r="H70" s="38">
        <f t="shared" si="4"/>
        <v>143283.93</v>
      </c>
      <c r="I70" s="38">
        <f>'WPB-2.1 13 mo avg'!S65</f>
        <v>143283.92999999996</v>
      </c>
      <c r="J70" s="502"/>
    </row>
    <row r="71" spans="1:10" x14ac:dyDescent="0.2">
      <c r="A71" s="127">
        <f>A70+1</f>
        <v>11</v>
      </c>
      <c r="B71" s="49">
        <v>387.45</v>
      </c>
      <c r="C71" s="52" t="s">
        <v>1061</v>
      </c>
      <c r="D71" s="257">
        <f>'WPB2.2 Plant detail-w slippage'!D1186</f>
        <v>3265504.66</v>
      </c>
      <c r="E71" s="1253">
        <f>'WPB2.2 Plant detail-w slippage'!E1186+'WPB2.2 Plant detail-w slippage'!E1292+'WPB2.2 Plant detail-w slippage'!E1398+'WPB2.2 Plant detail-w slippage'!E1504+'WPB2.2 Plant detail-w slippage'!E1610+'WPB2.2 Plant detail-w slippage'!E1716+'WPB2.2 Plant detail-w slippage'!E1822+'WPB2.2 Plant detail-w slippage'!E1928+'WPB2.2 Plant detail-w slippage'!E2034+'WPB2.2 Plant detail-w slippage'!E2140+'WPB2.2 Plant detail-w slippage'!E2246+'WPB2.2 Plant detail-w slippage'!E2352</f>
        <v>1390100</v>
      </c>
      <c r="F71" s="1253">
        <f>'WPB2.2 Plant detail-w slippage'!F1186+'WPB2.2 Plant detail-w slippage'!F1292+'WPB2.2 Plant detail-w slippage'!F1398+'WPB2.2 Plant detail-w slippage'!F1504+'WPB2.2 Plant detail-w slippage'!F1610+'WPB2.2 Plant detail-w slippage'!F1716+'WPB2.2 Plant detail-w slippage'!F1822+'WPB2.2 Plant detail-w slippage'!F1928+'WPB2.2 Plant detail-w slippage'!F2034+'WPB2.2 Plant detail-w slippage'!F2140+'WPB2.2 Plant detail-w slippage'!F2246+'WPB2.2 Plant detail-w slippage'!F2352</f>
        <v>-166700</v>
      </c>
      <c r="G71" s="181">
        <v>0</v>
      </c>
      <c r="H71" s="38">
        <f t="shared" si="4"/>
        <v>4488904.66</v>
      </c>
      <c r="I71" s="38">
        <f>'WPB-2.1 13 mo avg'!S66</f>
        <v>3717650.8138461537</v>
      </c>
      <c r="J71" s="502"/>
    </row>
    <row r="72" spans="1:10" x14ac:dyDescent="0.2">
      <c r="A72" s="127">
        <f>A71+1</f>
        <v>12</v>
      </c>
      <c r="B72" s="49">
        <v>387.46</v>
      </c>
      <c r="C72" s="52" t="s">
        <v>1062</v>
      </c>
      <c r="D72" s="1252">
        <f>'WPB2.2 Plant detail-w slippage'!D1187</f>
        <v>113644.47</v>
      </c>
      <c r="E72" s="1254">
        <f>'WPB2.2 Plant detail-w slippage'!E1187+'WPB2.2 Plant detail-w slippage'!E1293+'WPB2.2 Plant detail-w slippage'!E1399+'WPB2.2 Plant detail-w slippage'!E1505+'WPB2.2 Plant detail-w slippage'!E1611+'WPB2.2 Plant detail-w slippage'!E1717+'WPB2.2 Plant detail-w slippage'!E1823+'WPB2.2 Plant detail-w slippage'!E1929+'WPB2.2 Plant detail-w slippage'!E2035+'WPB2.2 Plant detail-w slippage'!E2141+'WPB2.2 Plant detail-w slippage'!E2247+'WPB2.2 Plant detail-w slippage'!E2353</f>
        <v>0</v>
      </c>
      <c r="F72" s="1254">
        <f>'WPB2.2 Plant detail-w slippage'!F1187+'WPB2.2 Plant detail-w slippage'!F1293+'WPB2.2 Plant detail-w slippage'!F1399+'WPB2.2 Plant detail-w slippage'!F1505+'WPB2.2 Plant detail-w slippage'!F1611+'WPB2.2 Plant detail-w slippage'!F1717+'WPB2.2 Plant detail-w slippage'!F1823+'WPB2.2 Plant detail-w slippage'!F1929+'WPB2.2 Plant detail-w slippage'!F2035+'WPB2.2 Plant detail-w slippage'!F2141+'WPB2.2 Plant detail-w slippage'!F2247+'WPB2.2 Plant detail-w slippage'!F2353</f>
        <v>0</v>
      </c>
      <c r="G72" s="497">
        <v>0</v>
      </c>
      <c r="H72" s="39">
        <f t="shared" si="4"/>
        <v>113644.47</v>
      </c>
      <c r="I72" s="126">
        <f>'WPB-2.1 13 mo avg'!S67</f>
        <v>113644.46999999999</v>
      </c>
      <c r="J72" s="502"/>
    </row>
    <row r="73" spans="1:10" x14ac:dyDescent="0.2">
      <c r="A73" s="127">
        <f>A72+1</f>
        <v>13</v>
      </c>
      <c r="C73" s="32" t="s">
        <v>1063</v>
      </c>
      <c r="D73" s="173">
        <f t="shared" ref="D73:I73" si="6">SUM(D61:D72,D29:D45)</f>
        <v>409914794.37999994</v>
      </c>
      <c r="E73" s="173">
        <f t="shared" si="6"/>
        <v>33178692</v>
      </c>
      <c r="F73" s="173">
        <f t="shared" si="6"/>
        <v>-3816500</v>
      </c>
      <c r="G73" s="173">
        <f t="shared" si="6"/>
        <v>0</v>
      </c>
      <c r="H73" s="173">
        <f t="shared" si="6"/>
        <v>439276986.37999994</v>
      </c>
      <c r="I73" s="173">
        <f t="shared" si="6"/>
        <v>421752059.61076921</v>
      </c>
      <c r="J73" s="502"/>
    </row>
    <row r="74" spans="1:10" x14ac:dyDescent="0.2">
      <c r="D74" s="173"/>
      <c r="E74" s="173"/>
      <c r="F74" s="173"/>
      <c r="G74" s="173"/>
      <c r="H74" s="38"/>
      <c r="I74" s="38"/>
      <c r="J74" s="502"/>
    </row>
    <row r="75" spans="1:10" x14ac:dyDescent="0.2">
      <c r="A75" s="127">
        <f>A73+1</f>
        <v>14</v>
      </c>
      <c r="C75" s="36" t="s">
        <v>737</v>
      </c>
      <c r="D75" s="173"/>
      <c r="E75" s="173"/>
      <c r="F75" s="173"/>
      <c r="G75" s="173"/>
      <c r="H75" s="38"/>
      <c r="I75" s="38"/>
      <c r="J75" s="502"/>
    </row>
    <row r="76" spans="1:10" x14ac:dyDescent="0.2">
      <c r="A76" s="31">
        <f>A75+1</f>
        <v>15</v>
      </c>
      <c r="B76" s="123">
        <v>391.1</v>
      </c>
      <c r="C76" s="52" t="s">
        <v>2245</v>
      </c>
      <c r="D76" s="257">
        <f>'WPB2.2 Plant detail-w slippage'!D1191</f>
        <v>713480.71</v>
      </c>
      <c r="E76" s="1253">
        <f>'WPB2.2 Plant detail-w slippage'!E1191+'WPB2.2 Plant detail-w slippage'!E1297+'WPB2.2 Plant detail-w slippage'!E1403+'WPB2.2 Plant detail-w slippage'!E1509+'WPB2.2 Plant detail-w slippage'!E1615+'WPB2.2 Plant detail-w slippage'!E1721+'WPB2.2 Plant detail-w slippage'!E1827+'WPB2.2 Plant detail-w slippage'!E1933+'WPB2.2 Plant detail-w slippage'!E2039+'WPB2.2 Plant detail-w slippage'!E2145+'WPB2.2 Plant detail-w slippage'!E2251+'WPB2.2 Plant detail-w slippage'!E2357</f>
        <v>134550</v>
      </c>
      <c r="F76" s="1253">
        <f>'WPB2.2 Plant detail-w slippage'!F1191+'WPB2.2 Plant detail-w slippage'!F1297+'WPB2.2 Plant detail-w slippage'!F1403+'WPB2.2 Plant detail-w slippage'!F1509+'WPB2.2 Plant detail-w slippage'!F1615+'WPB2.2 Plant detail-w slippage'!F1721+'WPB2.2 Plant detail-w slippage'!F1827+'WPB2.2 Plant detail-w slippage'!F1933+'WPB2.2 Plant detail-w slippage'!F2039+'WPB2.2 Plant detail-w slippage'!F2145+'WPB2.2 Plant detail-w slippage'!F2251+'WPB2.2 Plant detail-w slippage'!F2357</f>
        <v>0</v>
      </c>
      <c r="G76" s="181">
        <v>0</v>
      </c>
      <c r="H76" s="38">
        <f t="shared" ref="H76:H89" si="7">SUM(D76:G76)</f>
        <v>848030.71</v>
      </c>
      <c r="I76" s="38">
        <f>'WPB-2.1 13 mo avg'!S71</f>
        <v>734180.71000000008</v>
      </c>
      <c r="J76" s="502"/>
    </row>
    <row r="77" spans="1:10" x14ac:dyDescent="0.2">
      <c r="A77" s="31">
        <f t="shared" ref="A77:A90" si="8">A76+1</f>
        <v>16</v>
      </c>
      <c r="B77" s="123">
        <v>391.11</v>
      </c>
      <c r="C77" s="52" t="s">
        <v>1065</v>
      </c>
      <c r="D77" s="257">
        <f>'WPB2.2 Plant detail-w slippage'!D1192</f>
        <v>18815.57</v>
      </c>
      <c r="E77" s="1253">
        <f>'WPB2.2 Plant detail-w slippage'!E1192+'WPB2.2 Plant detail-w slippage'!E1298+'WPB2.2 Plant detail-w slippage'!E1404+'WPB2.2 Plant detail-w slippage'!E1510+'WPB2.2 Plant detail-w slippage'!E1616+'WPB2.2 Plant detail-w slippage'!E1722+'WPB2.2 Plant detail-w slippage'!E1828+'WPB2.2 Plant detail-w slippage'!E1934+'WPB2.2 Plant detail-w slippage'!E2040+'WPB2.2 Plant detail-w slippage'!E2146+'WPB2.2 Plant detail-w slippage'!E2252+'WPB2.2 Plant detail-w slippage'!E2358</f>
        <v>0</v>
      </c>
      <c r="F77" s="1253">
        <f>'WPB2.2 Plant detail-w slippage'!F1192+'WPB2.2 Plant detail-w slippage'!F1298+'WPB2.2 Plant detail-w slippage'!F1404+'WPB2.2 Plant detail-w slippage'!F1510+'WPB2.2 Plant detail-w slippage'!F1616+'WPB2.2 Plant detail-w slippage'!F1722+'WPB2.2 Plant detail-w slippage'!F1828+'WPB2.2 Plant detail-w slippage'!F1934+'WPB2.2 Plant detail-w slippage'!F2040+'WPB2.2 Plant detail-w slippage'!F2146+'WPB2.2 Plant detail-w slippage'!F2252+'WPB2.2 Plant detail-w slippage'!F2358</f>
        <v>0</v>
      </c>
      <c r="G77" s="181">
        <v>0</v>
      </c>
      <c r="H77" s="38">
        <f t="shared" si="7"/>
        <v>18815.57</v>
      </c>
      <c r="I77" s="38">
        <f>'WPB-2.1 13 mo avg'!S72</f>
        <v>18815.570000000003</v>
      </c>
      <c r="J77" s="502"/>
    </row>
    <row r="78" spans="1:10" x14ac:dyDescent="0.2">
      <c r="A78" s="31">
        <f t="shared" si="8"/>
        <v>17</v>
      </c>
      <c r="B78" s="123">
        <v>391.12</v>
      </c>
      <c r="C78" s="52" t="s">
        <v>1066</v>
      </c>
      <c r="D78" s="257">
        <f>'WPB2.2 Plant detail-w slippage'!D1193</f>
        <v>853483.41</v>
      </c>
      <c r="E78" s="1253">
        <f>'WPB2.2 Plant detail-w slippage'!E1193+'WPB2.2 Plant detail-w slippage'!E1299+'WPB2.2 Plant detail-w slippage'!E1405+'WPB2.2 Plant detail-w slippage'!E1511+'WPB2.2 Plant detail-w slippage'!E1617+'WPB2.2 Plant detail-w slippage'!E1723+'WPB2.2 Plant detail-w slippage'!E1829+'WPB2.2 Plant detail-w slippage'!E1935+'WPB2.2 Plant detail-w slippage'!E2041+'WPB2.2 Plant detail-w slippage'!E2147+'WPB2.2 Plant detail-w slippage'!E2253+'WPB2.2 Plant detail-w slippage'!E2359</f>
        <v>630000</v>
      </c>
      <c r="F78" s="1253">
        <f>'WPB2.2 Plant detail-w slippage'!F1193+'WPB2.2 Plant detail-w slippage'!F1299+'WPB2.2 Plant detail-w slippage'!F1405+'WPB2.2 Plant detail-w slippage'!F1511+'WPB2.2 Plant detail-w slippage'!F1617+'WPB2.2 Plant detail-w slippage'!F1723+'WPB2.2 Plant detail-w slippage'!F1829+'WPB2.2 Plant detail-w slippage'!F1935+'WPB2.2 Plant detail-w slippage'!F2041+'WPB2.2 Plant detail-w slippage'!F2147+'WPB2.2 Plant detail-w slippage'!F2253+'WPB2.2 Plant detail-w slippage'!F2359</f>
        <v>-75600</v>
      </c>
      <c r="G78" s="181">
        <v>0</v>
      </c>
      <c r="H78" s="38">
        <f t="shared" si="7"/>
        <v>1407883.4100000001</v>
      </c>
      <c r="I78" s="38">
        <f>'WPB-2.1 13 mo avg'!S73</f>
        <v>1237298.7946153847</v>
      </c>
      <c r="J78" s="502"/>
    </row>
    <row r="79" spans="1:10" x14ac:dyDescent="0.2">
      <c r="A79" s="31">
        <f t="shared" si="8"/>
        <v>18</v>
      </c>
      <c r="B79" s="123">
        <v>392.2</v>
      </c>
      <c r="C79" s="52" t="s">
        <v>1067</v>
      </c>
      <c r="D79" s="257">
        <f>'WPB2.2 Plant detail-w slippage'!D1194</f>
        <v>95778</v>
      </c>
      <c r="E79" s="1253">
        <f>'WPB2.2 Plant detail-w slippage'!E1194+'WPB2.2 Plant detail-w slippage'!E1300+'WPB2.2 Plant detail-w slippage'!E1406+'WPB2.2 Plant detail-w slippage'!E1512+'WPB2.2 Plant detail-w slippage'!E1618+'WPB2.2 Plant detail-w slippage'!E1724+'WPB2.2 Plant detail-w slippage'!E1830+'WPB2.2 Plant detail-w slippage'!E1936+'WPB2.2 Plant detail-w slippage'!E2042+'WPB2.2 Plant detail-w slippage'!E2148+'WPB2.2 Plant detail-w slippage'!E2254+'WPB2.2 Plant detail-w slippage'!E2360</f>
        <v>0</v>
      </c>
      <c r="F79" s="1253">
        <f>'WPB2.2 Plant detail-w slippage'!F1194+'WPB2.2 Plant detail-w slippage'!F1300+'WPB2.2 Plant detail-w slippage'!F1406+'WPB2.2 Plant detail-w slippage'!F1512+'WPB2.2 Plant detail-w slippage'!F1618+'WPB2.2 Plant detail-w slippage'!F1724+'WPB2.2 Plant detail-w slippage'!F1830+'WPB2.2 Plant detail-w slippage'!F1936+'WPB2.2 Plant detail-w slippage'!F2042+'WPB2.2 Plant detail-w slippage'!F2148+'WPB2.2 Plant detail-w slippage'!F2254+'WPB2.2 Plant detail-w slippage'!F2360</f>
        <v>0</v>
      </c>
      <c r="G79" s="181">
        <v>0</v>
      </c>
      <c r="H79" s="38">
        <f t="shared" si="7"/>
        <v>95778</v>
      </c>
      <c r="I79" s="38">
        <f>'WPB-2.1 13 mo avg'!S74</f>
        <v>95778</v>
      </c>
      <c r="J79" s="502"/>
    </row>
    <row r="80" spans="1:10" x14ac:dyDescent="0.2">
      <c r="A80" s="31">
        <f t="shared" si="8"/>
        <v>19</v>
      </c>
      <c r="B80" s="123">
        <v>392.21</v>
      </c>
      <c r="C80" s="52" t="s">
        <v>1068</v>
      </c>
      <c r="D80" s="257">
        <f>'WPB2.2 Plant detail-w slippage'!D1195</f>
        <v>24462.2</v>
      </c>
      <c r="E80" s="1253">
        <f>'WPB2.2 Plant detail-w slippage'!E1195+'WPB2.2 Plant detail-w slippage'!E1301+'WPB2.2 Plant detail-w slippage'!E1407+'WPB2.2 Plant detail-w slippage'!E1513+'WPB2.2 Plant detail-w slippage'!E1619+'WPB2.2 Plant detail-w slippage'!E1725+'WPB2.2 Plant detail-w slippage'!E1831+'WPB2.2 Plant detail-w slippage'!E1937+'WPB2.2 Plant detail-w slippage'!E2043+'WPB2.2 Plant detail-w slippage'!E2149+'WPB2.2 Plant detail-w slippage'!E2255+'WPB2.2 Plant detail-w slippage'!E2361</f>
        <v>0</v>
      </c>
      <c r="F80" s="1253">
        <f>'WPB2.2 Plant detail-w slippage'!F1195+'WPB2.2 Plant detail-w slippage'!F1301+'WPB2.2 Plant detail-w slippage'!F1407+'WPB2.2 Plant detail-w slippage'!F1513+'WPB2.2 Plant detail-w slippage'!F1619+'WPB2.2 Plant detail-w slippage'!F1725+'WPB2.2 Plant detail-w slippage'!F1831+'WPB2.2 Plant detail-w slippage'!F1937+'WPB2.2 Plant detail-w slippage'!F2043+'WPB2.2 Plant detail-w slippage'!F2149+'WPB2.2 Plant detail-w slippage'!F2255+'WPB2.2 Plant detail-w slippage'!F2361</f>
        <v>0</v>
      </c>
      <c r="G80" s="181">
        <v>0</v>
      </c>
      <c r="H80" s="38">
        <f t="shared" si="7"/>
        <v>24462.2</v>
      </c>
      <c r="I80" s="38">
        <f>'WPB-2.1 13 mo avg'!S75</f>
        <v>24462.200000000008</v>
      </c>
      <c r="J80" s="502"/>
    </row>
    <row r="81" spans="1:10" x14ac:dyDescent="0.2">
      <c r="A81" s="31">
        <f t="shared" si="8"/>
        <v>20</v>
      </c>
      <c r="B81" s="123">
        <v>393</v>
      </c>
      <c r="C81" s="52" t="s">
        <v>1069</v>
      </c>
      <c r="D81" s="257">
        <f>'WPB2.2 Plant detail-w slippage'!D1196</f>
        <v>0</v>
      </c>
      <c r="E81" s="1253">
        <f>'WPB2.2 Plant detail-w slippage'!E1196+'WPB2.2 Plant detail-w slippage'!E1302+'WPB2.2 Plant detail-w slippage'!E1408+'WPB2.2 Plant detail-w slippage'!E1514+'WPB2.2 Plant detail-w slippage'!E1620+'WPB2.2 Plant detail-w slippage'!E1726+'WPB2.2 Plant detail-w slippage'!E1832+'WPB2.2 Plant detail-w slippage'!E1938+'WPB2.2 Plant detail-w slippage'!E2044+'WPB2.2 Plant detail-w slippage'!E2150+'WPB2.2 Plant detail-w slippage'!E2256+'WPB2.2 Plant detail-w slippage'!E2362</f>
        <v>0</v>
      </c>
      <c r="F81" s="1253">
        <f>'WPB2.2 Plant detail-w slippage'!F1196+'WPB2.2 Plant detail-w slippage'!F1302+'WPB2.2 Plant detail-w slippage'!F1408+'WPB2.2 Plant detail-w slippage'!F1514+'WPB2.2 Plant detail-w slippage'!F1620+'WPB2.2 Plant detail-w slippage'!F1726+'WPB2.2 Plant detail-w slippage'!F1832+'WPB2.2 Plant detail-w slippage'!F1938+'WPB2.2 Plant detail-w slippage'!F2044+'WPB2.2 Plant detail-w slippage'!F2150+'WPB2.2 Plant detail-w slippage'!F2256+'WPB2.2 Plant detail-w slippage'!F2362</f>
        <v>0</v>
      </c>
      <c r="G81" s="181">
        <v>0</v>
      </c>
      <c r="H81" s="38">
        <f t="shared" si="7"/>
        <v>0</v>
      </c>
      <c r="I81" s="38">
        <f>'WPB-2.1 13 mo avg'!S76</f>
        <v>0</v>
      </c>
      <c r="J81" s="502"/>
    </row>
    <row r="82" spans="1:10" x14ac:dyDescent="0.2">
      <c r="A82" s="31">
        <f t="shared" si="8"/>
        <v>21</v>
      </c>
      <c r="B82" s="123">
        <v>394.1</v>
      </c>
      <c r="C82" s="52" t="s">
        <v>1070</v>
      </c>
      <c r="D82" s="257">
        <f>'WPB2.2 Plant detail-w slippage'!D1197</f>
        <v>24240.799999999999</v>
      </c>
      <c r="E82" s="1253">
        <f>'WPB2.2 Plant detail-w slippage'!E1197+'WPB2.2 Plant detail-w slippage'!E1303+'WPB2.2 Plant detail-w slippage'!E1409+'WPB2.2 Plant detail-w slippage'!E1515+'WPB2.2 Plant detail-w slippage'!E1621+'WPB2.2 Plant detail-w slippage'!E1727+'WPB2.2 Plant detail-w slippage'!E1833+'WPB2.2 Plant detail-w slippage'!E1939+'WPB2.2 Plant detail-w slippage'!E2045+'WPB2.2 Plant detail-w slippage'!E2151+'WPB2.2 Plant detail-w slippage'!E2257+'WPB2.2 Plant detail-w slippage'!E2363</f>
        <v>0</v>
      </c>
      <c r="F82" s="1253">
        <f>'WPB2.2 Plant detail-w slippage'!F1197+'WPB2.2 Plant detail-w slippage'!F1303+'WPB2.2 Plant detail-w slippage'!F1409+'WPB2.2 Plant detail-w slippage'!F1515+'WPB2.2 Plant detail-w slippage'!F1621+'WPB2.2 Plant detail-w slippage'!F1727+'WPB2.2 Plant detail-w slippage'!F1833+'WPB2.2 Plant detail-w slippage'!F1939+'WPB2.2 Plant detail-w slippage'!F2045+'WPB2.2 Plant detail-w slippage'!F2151+'WPB2.2 Plant detail-w slippage'!F2257+'WPB2.2 Plant detail-w slippage'!F2363</f>
        <v>0</v>
      </c>
      <c r="G82" s="181">
        <v>0</v>
      </c>
      <c r="H82" s="38">
        <f t="shared" si="7"/>
        <v>24240.799999999999</v>
      </c>
      <c r="I82" s="38">
        <f>'WPB-2.1 13 mo avg'!S77</f>
        <v>24240.799999999992</v>
      </c>
      <c r="J82" s="502"/>
    </row>
    <row r="83" spans="1:10" x14ac:dyDescent="0.2">
      <c r="A83" s="31">
        <f t="shared" si="8"/>
        <v>22</v>
      </c>
      <c r="B83" s="123">
        <v>394.11</v>
      </c>
      <c r="C83" s="52" t="s">
        <v>1071</v>
      </c>
      <c r="D83" s="257">
        <f>'WPB2.2 Plant detail-w slippage'!D1198</f>
        <v>0</v>
      </c>
      <c r="E83" s="1253">
        <f>'WPB2.2 Plant detail-w slippage'!E1198+'WPB2.2 Plant detail-w slippage'!E1304+'WPB2.2 Plant detail-w slippage'!E1410+'WPB2.2 Plant detail-w slippage'!E1516+'WPB2.2 Plant detail-w slippage'!E1622+'WPB2.2 Plant detail-w slippage'!E1728+'WPB2.2 Plant detail-w slippage'!E1834+'WPB2.2 Plant detail-w slippage'!E1940+'WPB2.2 Plant detail-w slippage'!E2046+'WPB2.2 Plant detail-w slippage'!E2152+'WPB2.2 Plant detail-w slippage'!E2258+'WPB2.2 Plant detail-w slippage'!E2364</f>
        <v>0</v>
      </c>
      <c r="F83" s="1253">
        <f>'WPB2.2 Plant detail-w slippage'!F1198+'WPB2.2 Plant detail-w slippage'!F1304+'WPB2.2 Plant detail-w slippage'!F1410+'WPB2.2 Plant detail-w slippage'!F1516+'WPB2.2 Plant detail-w slippage'!F1622+'WPB2.2 Plant detail-w slippage'!F1728+'WPB2.2 Plant detail-w slippage'!F1834+'WPB2.2 Plant detail-w slippage'!F1940+'WPB2.2 Plant detail-w slippage'!F2046+'WPB2.2 Plant detail-w slippage'!F2152+'WPB2.2 Plant detail-w slippage'!F2258+'WPB2.2 Plant detail-w slippage'!F2364</f>
        <v>0</v>
      </c>
      <c r="G83" s="181">
        <v>0</v>
      </c>
      <c r="H83" s="38">
        <f t="shared" si="7"/>
        <v>0</v>
      </c>
      <c r="I83" s="38">
        <f>'WPB-2.1 13 mo avg'!S78</f>
        <v>0</v>
      </c>
      <c r="J83" s="502"/>
    </row>
    <row r="84" spans="1:10" x14ac:dyDescent="0.2">
      <c r="A84" s="31">
        <f t="shared" si="8"/>
        <v>23</v>
      </c>
      <c r="B84" s="123">
        <v>394.13</v>
      </c>
      <c r="C84" s="251" t="s">
        <v>1072</v>
      </c>
      <c r="D84" s="257">
        <f>'WPB2.2 Plant detail-w slippage'!D1199</f>
        <v>0</v>
      </c>
      <c r="E84" s="1253">
        <f>'WPB2.2 Plant detail-w slippage'!E1199+'WPB2.2 Plant detail-w slippage'!E1305+'WPB2.2 Plant detail-w slippage'!E1411+'WPB2.2 Plant detail-w slippage'!E1517+'WPB2.2 Plant detail-w slippage'!E1623+'WPB2.2 Plant detail-w slippage'!E1729+'WPB2.2 Plant detail-w slippage'!E1835+'WPB2.2 Plant detail-w slippage'!E1941+'WPB2.2 Plant detail-w slippage'!E2047+'WPB2.2 Plant detail-w slippage'!E2153+'WPB2.2 Plant detail-w slippage'!E2259+'WPB2.2 Plant detail-w slippage'!E2365</f>
        <v>0</v>
      </c>
      <c r="F84" s="1253">
        <f>'WPB2.2 Plant detail-w slippage'!F1199+'WPB2.2 Plant detail-w slippage'!F1305+'WPB2.2 Plant detail-w slippage'!F1411+'WPB2.2 Plant detail-w slippage'!F1517+'WPB2.2 Plant detail-w slippage'!F1623+'WPB2.2 Plant detail-w slippage'!F1729+'WPB2.2 Plant detail-w slippage'!F1835+'WPB2.2 Plant detail-w slippage'!F1941+'WPB2.2 Plant detail-w slippage'!F2047+'WPB2.2 Plant detail-w slippage'!F2153+'WPB2.2 Plant detail-w slippage'!F2259+'WPB2.2 Plant detail-w slippage'!F2365</f>
        <v>0</v>
      </c>
      <c r="G84" s="181">
        <v>0</v>
      </c>
      <c r="H84" s="38">
        <f t="shared" si="7"/>
        <v>0</v>
      </c>
      <c r="I84" s="38">
        <f>'WPB-2.1 13 mo avg'!S79</f>
        <v>0</v>
      </c>
      <c r="J84" s="502"/>
    </row>
    <row r="85" spans="1:10" x14ac:dyDescent="0.2">
      <c r="A85" s="31">
        <f t="shared" si="8"/>
        <v>24</v>
      </c>
      <c r="B85" s="123">
        <v>394.2</v>
      </c>
      <c r="C85" s="52" t="s">
        <v>1073</v>
      </c>
      <c r="D85" s="257">
        <f>'WPB2.2 Plant detail-w slippage'!D1200</f>
        <v>0</v>
      </c>
      <c r="E85" s="1253">
        <f>'WPB2.2 Plant detail-w slippage'!E1200+'WPB2.2 Plant detail-w slippage'!E1306+'WPB2.2 Plant detail-w slippage'!E1412+'WPB2.2 Plant detail-w slippage'!E1518+'WPB2.2 Plant detail-w slippage'!E1624+'WPB2.2 Plant detail-w slippage'!E1730+'WPB2.2 Plant detail-w slippage'!E1836+'WPB2.2 Plant detail-w slippage'!E1942+'WPB2.2 Plant detail-w slippage'!E2048+'WPB2.2 Plant detail-w slippage'!E2154+'WPB2.2 Plant detail-w slippage'!E2260+'WPB2.2 Plant detail-w slippage'!E2366</f>
        <v>0</v>
      </c>
      <c r="F85" s="1253">
        <f>'WPB2.2 Plant detail-w slippage'!F1200+'WPB2.2 Plant detail-w slippage'!F1306+'WPB2.2 Plant detail-w slippage'!F1412+'WPB2.2 Plant detail-w slippage'!F1518+'WPB2.2 Plant detail-w slippage'!F1624+'WPB2.2 Plant detail-w slippage'!F1730+'WPB2.2 Plant detail-w slippage'!F1836+'WPB2.2 Plant detail-w slippage'!F1942+'WPB2.2 Plant detail-w slippage'!F2048+'WPB2.2 Plant detail-w slippage'!F2154+'WPB2.2 Plant detail-w slippage'!F2260+'WPB2.2 Plant detail-w slippage'!F2366</f>
        <v>0</v>
      </c>
      <c r="G85" s="181">
        <v>0</v>
      </c>
      <c r="H85" s="38">
        <f t="shared" si="7"/>
        <v>0</v>
      </c>
      <c r="I85" s="38">
        <f>'WPB-2.1 13 mo avg'!S80</f>
        <v>0</v>
      </c>
      <c r="J85" s="502"/>
    </row>
    <row r="86" spans="1:10" x14ac:dyDescent="0.2">
      <c r="A86" s="31">
        <f t="shared" si="8"/>
        <v>25</v>
      </c>
      <c r="B86" s="123">
        <v>394.3</v>
      </c>
      <c r="C86" s="52" t="s">
        <v>1074</v>
      </c>
      <c r="D86" s="257">
        <f>'WPB2.2 Plant detail-w slippage'!D1201</f>
        <v>3103121.16</v>
      </c>
      <c r="E86" s="1253">
        <f>'WPB2.2 Plant detail-w slippage'!E1201+'WPB2.2 Plant detail-w slippage'!E1307+'WPB2.2 Plant detail-w slippage'!E1413+'WPB2.2 Plant detail-w slippage'!E1519+'WPB2.2 Plant detail-w slippage'!E1625+'WPB2.2 Plant detail-w slippage'!E1731+'WPB2.2 Plant detail-w slippage'!E1837+'WPB2.2 Plant detail-w slippage'!E1943+'WPB2.2 Plant detail-w slippage'!E2049+'WPB2.2 Plant detail-w slippage'!E2155+'WPB2.2 Plant detail-w slippage'!E2261+'WPB2.2 Plant detail-w slippage'!E2367</f>
        <v>719800</v>
      </c>
      <c r="F86" s="1253">
        <f>'WPB2.2 Plant detail-w slippage'!F1201+'WPB2.2 Plant detail-w slippage'!F1307+'WPB2.2 Plant detail-w slippage'!F1413+'WPB2.2 Plant detail-w slippage'!F1519+'WPB2.2 Plant detail-w slippage'!F1625+'WPB2.2 Plant detail-w slippage'!F1731+'WPB2.2 Plant detail-w slippage'!F1837+'WPB2.2 Plant detail-w slippage'!F1943+'WPB2.2 Plant detail-w slippage'!F2049+'WPB2.2 Plant detail-w slippage'!F2155+'WPB2.2 Plant detail-w slippage'!F2261+'WPB2.2 Plant detail-w slippage'!F2367</f>
        <v>-42000</v>
      </c>
      <c r="G86" s="181">
        <v>0</v>
      </c>
      <c r="H86" s="38">
        <f t="shared" si="7"/>
        <v>3780921.16</v>
      </c>
      <c r="I86" s="38">
        <f>'WPB-2.1 13 mo avg'!S81</f>
        <v>3241398.0830769232</v>
      </c>
      <c r="J86" s="502"/>
    </row>
    <row r="87" spans="1:10" x14ac:dyDescent="0.2">
      <c r="A87" s="31">
        <f t="shared" si="8"/>
        <v>26</v>
      </c>
      <c r="B87" s="123">
        <v>395</v>
      </c>
      <c r="C87" s="52" t="s">
        <v>1075</v>
      </c>
      <c r="D87" s="257">
        <f>'WPB2.2 Plant detail-w slippage'!D1202</f>
        <v>9257.77</v>
      </c>
      <c r="E87" s="1253">
        <f>'WPB2.2 Plant detail-w slippage'!E1202+'WPB2.2 Plant detail-w slippage'!E1308+'WPB2.2 Plant detail-w slippage'!E1414+'WPB2.2 Plant detail-w slippage'!E1520+'WPB2.2 Plant detail-w slippage'!E1626+'WPB2.2 Plant detail-w slippage'!E1732+'WPB2.2 Plant detail-w slippage'!E1838+'WPB2.2 Plant detail-w slippage'!E1944+'WPB2.2 Plant detail-w slippage'!E2050+'WPB2.2 Plant detail-w slippage'!E2156+'WPB2.2 Plant detail-w slippage'!E2262+'WPB2.2 Plant detail-w slippage'!E2368</f>
        <v>0</v>
      </c>
      <c r="F87" s="1253">
        <f>'WPB2.2 Plant detail-w slippage'!F1202+'WPB2.2 Plant detail-w slippage'!F1308+'WPB2.2 Plant detail-w slippage'!F1414+'WPB2.2 Plant detail-w slippage'!F1520+'WPB2.2 Plant detail-w slippage'!F1626+'WPB2.2 Plant detail-w slippage'!F1732+'WPB2.2 Plant detail-w slippage'!F1838+'WPB2.2 Plant detail-w slippage'!F1944+'WPB2.2 Plant detail-w slippage'!F2050+'WPB2.2 Plant detail-w slippage'!F2156+'WPB2.2 Plant detail-w slippage'!F2262+'WPB2.2 Plant detail-w slippage'!F2368</f>
        <v>0</v>
      </c>
      <c r="G87" s="181">
        <v>0</v>
      </c>
      <c r="H87" s="38">
        <f t="shared" si="7"/>
        <v>9257.77</v>
      </c>
      <c r="I87" s="38">
        <f>'WPB-2.1 13 mo avg'!S82</f>
        <v>9257.7700000000023</v>
      </c>
      <c r="J87" s="502"/>
    </row>
    <row r="88" spans="1:10" x14ac:dyDescent="0.2">
      <c r="A88" s="31">
        <f t="shared" si="8"/>
        <v>27</v>
      </c>
      <c r="B88" s="123">
        <v>396</v>
      </c>
      <c r="C88" s="52" t="s">
        <v>1076</v>
      </c>
      <c r="D88" s="257">
        <f>'WPB2.2 Plant detail-w slippage'!D1203</f>
        <v>253134.72</v>
      </c>
      <c r="E88" s="1253">
        <f>'WPB2.2 Plant detail-w slippage'!E1203+'WPB2.2 Plant detail-w slippage'!E1309+'WPB2.2 Plant detail-w slippage'!E1415+'WPB2.2 Plant detail-w slippage'!E1521+'WPB2.2 Plant detail-w slippage'!E1627+'WPB2.2 Plant detail-w slippage'!E1733+'WPB2.2 Plant detail-w slippage'!E1839+'WPB2.2 Plant detail-w slippage'!E1945+'WPB2.2 Plant detail-w slippage'!E2051+'WPB2.2 Plant detail-w slippage'!E2157+'WPB2.2 Plant detail-w slippage'!E2263+'WPB2.2 Plant detail-w slippage'!E2369</f>
        <v>0</v>
      </c>
      <c r="F88" s="1253">
        <f>'WPB2.2 Plant detail-w slippage'!F1203+'WPB2.2 Plant detail-w slippage'!F1309+'WPB2.2 Plant detail-w slippage'!F1415+'WPB2.2 Plant detail-w slippage'!F1521+'WPB2.2 Plant detail-w slippage'!F1627+'WPB2.2 Plant detail-w slippage'!F1733+'WPB2.2 Plant detail-w slippage'!F1839+'WPB2.2 Plant detail-w slippage'!F1945+'WPB2.2 Plant detail-w slippage'!F2051+'WPB2.2 Plant detail-w slippage'!F2157+'WPB2.2 Plant detail-w slippage'!F2263+'WPB2.2 Plant detail-w slippage'!F2369</f>
        <v>0</v>
      </c>
      <c r="G88" s="181">
        <v>0</v>
      </c>
      <c r="H88" s="38">
        <f t="shared" si="7"/>
        <v>253134.72</v>
      </c>
      <c r="I88" s="38">
        <f>'WPB-2.1 13 mo avg'!S83</f>
        <v>253134.72000000006</v>
      </c>
      <c r="J88" s="502"/>
    </row>
    <row r="89" spans="1:10" x14ac:dyDescent="0.2">
      <c r="A89" s="31">
        <f t="shared" si="8"/>
        <v>28</v>
      </c>
      <c r="B89" s="123">
        <v>398</v>
      </c>
      <c r="C89" s="52" t="s">
        <v>1077</v>
      </c>
      <c r="D89" s="1252">
        <f>'WPB2.2 Plant detail-w slippage'!D1204</f>
        <v>259161.94</v>
      </c>
      <c r="E89" s="1254">
        <f>'WPB2.2 Plant detail-w slippage'!E1204+'WPB2.2 Plant detail-w slippage'!E1310+'WPB2.2 Plant detail-w slippage'!E1416+'WPB2.2 Plant detail-w slippage'!E1522+'WPB2.2 Plant detail-w slippage'!E1628+'WPB2.2 Plant detail-w slippage'!E1734+'WPB2.2 Plant detail-w slippage'!E1840+'WPB2.2 Plant detail-w slippage'!E1946+'WPB2.2 Plant detail-w slippage'!E2052+'WPB2.2 Plant detail-w slippage'!E2158+'WPB2.2 Plant detail-w slippage'!E2264+'WPB2.2 Plant detail-w slippage'!E2370</f>
        <v>60200</v>
      </c>
      <c r="F89" s="1254">
        <f>'WPB2.2 Plant detail-w slippage'!F1204+'WPB2.2 Plant detail-w slippage'!F1310+'WPB2.2 Plant detail-w slippage'!F1416+'WPB2.2 Plant detail-w slippage'!F1522+'WPB2.2 Plant detail-w slippage'!F1628+'WPB2.2 Plant detail-w slippage'!F1734+'WPB2.2 Plant detail-w slippage'!F1840+'WPB2.2 Plant detail-w slippage'!F1946+'WPB2.2 Plant detail-w slippage'!F2052+'WPB2.2 Plant detail-w slippage'!F2158+'WPB2.2 Plant detail-w slippage'!F2264+'WPB2.2 Plant detail-w slippage'!F2370</f>
        <v>-7200</v>
      </c>
      <c r="G89" s="497">
        <v>0</v>
      </c>
      <c r="H89" s="39">
        <f t="shared" si="7"/>
        <v>312161.94</v>
      </c>
      <c r="I89" s="126">
        <f>'WPB-2.1 13 mo avg'!S84</f>
        <v>283931.17076923075</v>
      </c>
      <c r="J89" s="502"/>
    </row>
    <row r="90" spans="1:10" x14ac:dyDescent="0.2">
      <c r="A90" s="31">
        <f t="shared" si="8"/>
        <v>29</v>
      </c>
      <c r="C90" s="32" t="s">
        <v>1078</v>
      </c>
      <c r="D90" s="173">
        <f t="shared" ref="D90:I90" si="9">SUM(D76:D89)</f>
        <v>5354936.2799999993</v>
      </c>
      <c r="E90" s="173">
        <f t="shared" si="9"/>
        <v>1544550</v>
      </c>
      <c r="F90" s="173">
        <f t="shared" si="9"/>
        <v>-124800</v>
      </c>
      <c r="G90" s="173">
        <f t="shared" si="9"/>
        <v>0</v>
      </c>
      <c r="H90" s="38">
        <f t="shared" si="9"/>
        <v>6774686.2799999993</v>
      </c>
      <c r="I90" s="38">
        <f t="shared" si="9"/>
        <v>5922497.8184615374</v>
      </c>
      <c r="J90" s="502"/>
    </row>
    <row r="91" spans="1:10" x14ac:dyDescent="0.2">
      <c r="D91" s="38"/>
      <c r="E91" s="173"/>
      <c r="F91" s="173"/>
      <c r="G91" s="173"/>
      <c r="H91" s="38"/>
      <c r="I91" s="38"/>
      <c r="J91" s="502"/>
    </row>
    <row r="92" spans="1:10" x14ac:dyDescent="0.2">
      <c r="A92" s="1805">
        <f>A90+1</f>
        <v>30</v>
      </c>
      <c r="C92" s="36" t="s">
        <v>2287</v>
      </c>
      <c r="D92" s="173"/>
      <c r="E92" s="173"/>
      <c r="F92" s="173"/>
      <c r="G92" s="173"/>
      <c r="H92" s="38"/>
      <c r="I92" s="38"/>
      <c r="J92" s="502"/>
    </row>
    <row r="93" spans="1:10" x14ac:dyDescent="0.2">
      <c r="A93" s="31">
        <f>A92+1</f>
        <v>31</v>
      </c>
      <c r="B93" s="30">
        <v>378.21</v>
      </c>
      <c r="C93" s="32" t="s">
        <v>2244</v>
      </c>
      <c r="D93" s="257">
        <f>'WPB2.2 Plant detail-w slippage'!D1208</f>
        <v>-777092</v>
      </c>
      <c r="E93" s="1253">
        <f>'WPB2.2 Plant detail-w slippage'!E1208+'WPB2.2 Plant detail-w slippage'!E1314+'WPB2.2 Plant detail-w slippage'!E1420+'WPB2.2 Plant detail-w slippage'!E1526+'WPB2.2 Plant detail-w slippage'!E1632+'WPB2.2 Plant detail-w slippage'!E1738+'WPB2.2 Plant detail-w slippage'!E1844+'WPB2.2 Plant detail-w slippage'!E1950+'WPB2.2 Plant detail-w slippage'!E2056+'WPB2.2 Plant detail-w slippage'!E2162+'WPB2.2 Plant detail-w slippage'!E2268+'WPB2.2 Plant detail-w slippage'!E2374</f>
        <v>0</v>
      </c>
      <c r="F93" s="1253">
        <f>'WPB2.2 Plant detail-w slippage'!F1208+'WPB2.2 Plant detail-w slippage'!F1314+'WPB2.2 Plant detail-w slippage'!F1420+'WPB2.2 Plant detail-w slippage'!F1526+'WPB2.2 Plant detail-w slippage'!F1632+'WPB2.2 Plant detail-w slippage'!F1738+'WPB2.2 Plant detail-w slippage'!F1844+'WPB2.2 Plant detail-w slippage'!F1950+'WPB2.2 Plant detail-w slippage'!F2056+'WPB2.2 Plant detail-w slippage'!F2162+'WPB2.2 Plant detail-w slippage'!F2268+'WPB2.2 Plant detail-w slippage'!F2374</f>
        <v>0</v>
      </c>
      <c r="G93" s="181">
        <v>0</v>
      </c>
      <c r="H93" s="38">
        <f t="shared" ref="H93" si="10">SUM(D93:G93)</f>
        <v>-777092</v>
      </c>
      <c r="I93" s="38">
        <f>'WPB-2.1 13 mo avg'!S87</f>
        <v>-777092</v>
      </c>
      <c r="J93" s="502"/>
    </row>
    <row r="94" spans="1:10" x14ac:dyDescent="0.2">
      <c r="A94" s="1723"/>
      <c r="D94" s="38"/>
      <c r="E94" s="173"/>
      <c r="F94" s="173"/>
      <c r="G94" s="173"/>
      <c r="H94" s="38"/>
      <c r="I94" s="38"/>
      <c r="J94" s="502"/>
    </row>
    <row r="95" spans="1:10" x14ac:dyDescent="0.2">
      <c r="A95" s="31">
        <f>A93+1</f>
        <v>32</v>
      </c>
      <c r="C95" s="32" t="s">
        <v>774</v>
      </c>
      <c r="D95" s="40">
        <f t="shared" ref="D95:I95" si="11">D90+D73+D26+D22+D93</f>
        <v>421398193.36999989</v>
      </c>
      <c r="E95" s="174">
        <f t="shared" si="11"/>
        <v>37609742</v>
      </c>
      <c r="F95" s="174">
        <f t="shared" si="11"/>
        <v>-3941300</v>
      </c>
      <c r="G95" s="174">
        <f t="shared" si="11"/>
        <v>0</v>
      </c>
      <c r="H95" s="40">
        <f t="shared" si="11"/>
        <v>455066635.36999989</v>
      </c>
      <c r="I95" s="40">
        <f t="shared" si="11"/>
        <v>435160689.37</v>
      </c>
      <c r="J95" s="502"/>
    </row>
    <row r="96" spans="1:10" x14ac:dyDescent="0.2">
      <c r="A96" s="31"/>
      <c r="C96" s="32"/>
      <c r="D96" s="38"/>
      <c r="E96" s="173"/>
      <c r="F96" s="173"/>
      <c r="G96" s="173"/>
      <c r="H96" s="38"/>
      <c r="I96" s="38"/>
      <c r="J96" s="502"/>
    </row>
    <row r="98" spans="4:10" x14ac:dyDescent="0.2">
      <c r="D98" s="38"/>
      <c r="E98" s="173"/>
      <c r="F98" s="173"/>
      <c r="G98" s="173"/>
      <c r="H98" s="38"/>
      <c r="I98" s="38"/>
      <c r="J98" s="502"/>
    </row>
    <row r="99" spans="4:10" x14ac:dyDescent="0.2">
      <c r="D99" s="38"/>
      <c r="E99" s="173"/>
      <c r="F99" s="173"/>
      <c r="G99" s="173"/>
      <c r="H99" s="38"/>
      <c r="I99" s="38"/>
      <c r="J99" s="502"/>
    </row>
    <row r="100" spans="4:10" x14ac:dyDescent="0.2">
      <c r="D100" s="38"/>
      <c r="E100" s="173"/>
      <c r="F100" s="173"/>
      <c r="G100" s="173"/>
      <c r="H100" s="38"/>
      <c r="I100" s="38"/>
      <c r="J100" s="502"/>
    </row>
    <row r="101" spans="4:10" x14ac:dyDescent="0.2">
      <c r="D101" s="38"/>
      <c r="E101" s="173"/>
      <c r="F101" s="173"/>
      <c r="G101" s="173"/>
      <c r="H101" s="38"/>
      <c r="I101" s="38"/>
      <c r="J101" s="502"/>
    </row>
    <row r="102" spans="4:10" x14ac:dyDescent="0.2">
      <c r="D102" s="38"/>
      <c r="E102" s="173"/>
      <c r="F102" s="173"/>
      <c r="G102" s="173"/>
      <c r="H102" s="38"/>
      <c r="I102" s="38"/>
      <c r="J102" s="502"/>
    </row>
    <row r="103" spans="4:10" x14ac:dyDescent="0.2">
      <c r="D103" s="38"/>
      <c r="E103" s="173"/>
      <c r="F103" s="173"/>
      <c r="G103" s="173"/>
      <c r="H103" s="38"/>
      <c r="I103" s="38"/>
      <c r="J103" s="502"/>
    </row>
    <row r="104" spans="4:10" x14ac:dyDescent="0.2">
      <c r="D104" s="38"/>
      <c r="E104" s="173"/>
      <c r="F104" s="173"/>
      <c r="G104" s="173"/>
      <c r="H104" s="38"/>
      <c r="I104" s="38"/>
      <c r="J104" s="502"/>
    </row>
    <row r="105" spans="4:10" x14ac:dyDescent="0.2">
      <c r="D105" s="38"/>
      <c r="E105" s="173"/>
      <c r="F105" s="173"/>
      <c r="G105" s="173"/>
      <c r="H105" s="38"/>
      <c r="I105" s="38"/>
      <c r="J105" s="502"/>
    </row>
    <row r="106" spans="4:10" x14ac:dyDescent="0.2">
      <c r="D106" s="38"/>
      <c r="E106" s="173"/>
      <c r="F106" s="173"/>
      <c r="G106" s="173"/>
      <c r="H106" s="38"/>
      <c r="I106" s="38"/>
      <c r="J106" s="502"/>
    </row>
    <row r="107" spans="4:10" x14ac:dyDescent="0.2">
      <c r="D107" s="38"/>
      <c r="E107" s="173"/>
      <c r="F107" s="173"/>
      <c r="G107" s="173"/>
      <c r="H107" s="38"/>
      <c r="I107" s="38"/>
      <c r="J107" s="502"/>
    </row>
    <row r="108" spans="4:10" x14ac:dyDescent="0.2">
      <c r="D108" s="38"/>
      <c r="E108" s="173"/>
      <c r="F108" s="173"/>
      <c r="G108" s="173"/>
      <c r="H108" s="38"/>
      <c r="I108" s="38"/>
      <c r="J108" s="502"/>
    </row>
    <row r="109" spans="4:10" x14ac:dyDescent="0.2">
      <c r="D109" s="38"/>
      <c r="E109" s="173"/>
      <c r="F109" s="173"/>
      <c r="G109" s="173"/>
      <c r="H109" s="38"/>
      <c r="I109" s="38"/>
      <c r="J109" s="502"/>
    </row>
    <row r="110" spans="4:10" x14ac:dyDescent="0.2">
      <c r="D110" s="38"/>
      <c r="E110" s="173"/>
      <c r="F110" s="173"/>
      <c r="G110" s="173"/>
      <c r="H110" s="38"/>
      <c r="I110" s="38"/>
      <c r="J110" s="502"/>
    </row>
    <row r="111" spans="4:10" x14ac:dyDescent="0.2">
      <c r="D111" s="38"/>
      <c r="E111" s="173"/>
      <c r="F111" s="173"/>
      <c r="G111" s="173"/>
      <c r="H111" s="38"/>
      <c r="I111" s="38"/>
      <c r="J111" s="502"/>
    </row>
    <row r="112" spans="4:10" x14ac:dyDescent="0.2">
      <c r="D112" s="38"/>
      <c r="E112" s="173"/>
      <c r="F112" s="173"/>
      <c r="G112" s="173"/>
      <c r="H112" s="38"/>
      <c r="I112" s="38"/>
      <c r="J112" s="502"/>
    </row>
    <row r="113" spans="4:10" x14ac:dyDescent="0.2">
      <c r="D113" s="38"/>
      <c r="E113" s="173"/>
      <c r="F113" s="173"/>
      <c r="G113" s="173"/>
      <c r="H113" s="38"/>
      <c r="I113" s="38"/>
      <c r="J113" s="502"/>
    </row>
    <row r="114" spans="4:10" x14ac:dyDescent="0.2">
      <c r="D114" s="38"/>
      <c r="E114" s="173"/>
      <c r="F114" s="173"/>
      <c r="G114" s="173"/>
      <c r="H114" s="38"/>
      <c r="I114" s="38"/>
      <c r="J114" s="502"/>
    </row>
    <row r="115" spans="4:10" x14ac:dyDescent="0.2">
      <c r="D115" s="38"/>
      <c r="E115" s="173"/>
      <c r="F115" s="173"/>
      <c r="G115" s="173"/>
      <c r="H115" s="38"/>
      <c r="I115" s="38"/>
      <c r="J115" s="502"/>
    </row>
    <row r="116" spans="4:10" x14ac:dyDescent="0.2">
      <c r="D116" s="38"/>
      <c r="E116" s="173"/>
      <c r="F116" s="173"/>
      <c r="G116" s="173"/>
      <c r="H116" s="38"/>
      <c r="I116" s="38"/>
      <c r="J116" s="502"/>
    </row>
    <row r="117" spans="4:10" x14ac:dyDescent="0.2">
      <c r="D117" s="38"/>
      <c r="E117" s="173"/>
      <c r="F117" s="173"/>
      <c r="G117" s="173"/>
      <c r="H117" s="38"/>
      <c r="I117" s="38"/>
      <c r="J117" s="502"/>
    </row>
    <row r="118" spans="4:10" x14ac:dyDescent="0.2">
      <c r="D118" s="38"/>
      <c r="E118" s="173"/>
      <c r="F118" s="173"/>
      <c r="G118" s="173"/>
      <c r="H118" s="38"/>
      <c r="I118" s="38"/>
      <c r="J118" s="502"/>
    </row>
    <row r="119" spans="4:10" x14ac:dyDescent="0.2">
      <c r="D119" s="38"/>
      <c r="E119" s="173"/>
      <c r="F119" s="173"/>
      <c r="G119" s="173"/>
      <c r="H119" s="38"/>
      <c r="I119" s="38"/>
      <c r="J119" s="502"/>
    </row>
    <row r="120" spans="4:10" x14ac:dyDescent="0.2">
      <c r="D120" s="38"/>
      <c r="E120" s="173"/>
      <c r="F120" s="173"/>
      <c r="G120" s="173"/>
      <c r="H120" s="38"/>
      <c r="I120" s="38"/>
      <c r="J120" s="502"/>
    </row>
    <row r="121" spans="4:10" x14ac:dyDescent="0.2">
      <c r="D121" s="38"/>
      <c r="E121" s="173"/>
      <c r="F121" s="173"/>
      <c r="G121" s="173"/>
      <c r="H121" s="38"/>
      <c r="I121" s="38"/>
      <c r="J121" s="502"/>
    </row>
    <row r="122" spans="4:10" x14ac:dyDescent="0.2">
      <c r="D122" s="38"/>
      <c r="E122" s="173"/>
      <c r="F122" s="173"/>
      <c r="G122" s="173"/>
      <c r="H122" s="38"/>
      <c r="I122" s="38"/>
      <c r="J122" s="502"/>
    </row>
    <row r="123" spans="4:10" x14ac:dyDescent="0.2">
      <c r="D123" s="38"/>
      <c r="E123" s="173"/>
      <c r="F123" s="173"/>
      <c r="G123" s="173"/>
      <c r="H123" s="38"/>
      <c r="I123" s="38"/>
      <c r="J123" s="502"/>
    </row>
    <row r="124" spans="4:10" x14ac:dyDescent="0.2">
      <c r="D124" s="38"/>
      <c r="E124" s="173"/>
      <c r="F124" s="173"/>
      <c r="G124" s="173"/>
      <c r="H124" s="38"/>
      <c r="I124" s="38"/>
      <c r="J124" s="502"/>
    </row>
    <row r="125" spans="4:10" x14ac:dyDescent="0.2">
      <c r="D125" s="38"/>
      <c r="E125" s="173"/>
      <c r="F125" s="173"/>
      <c r="G125" s="173"/>
      <c r="H125" s="38"/>
      <c r="I125" s="38"/>
      <c r="J125" s="502"/>
    </row>
    <row r="126" spans="4:10" x14ac:dyDescent="0.2">
      <c r="D126" s="38"/>
      <c r="E126" s="173"/>
      <c r="F126" s="173"/>
      <c r="G126" s="173"/>
      <c r="H126" s="38"/>
      <c r="I126" s="38"/>
      <c r="J126" s="502"/>
    </row>
    <row r="127" spans="4:10" x14ac:dyDescent="0.2">
      <c r="D127" s="38"/>
      <c r="E127" s="173"/>
      <c r="F127" s="173"/>
      <c r="G127" s="173"/>
      <c r="H127" s="38"/>
      <c r="I127" s="38"/>
      <c r="J127" s="502"/>
    </row>
    <row r="128" spans="4:10" x14ac:dyDescent="0.2">
      <c r="D128" s="38"/>
      <c r="E128" s="173"/>
      <c r="F128" s="173"/>
      <c r="G128" s="173"/>
      <c r="H128" s="38"/>
      <c r="I128" s="38"/>
      <c r="J128" s="502"/>
    </row>
    <row r="129" spans="4:10" x14ac:dyDescent="0.2">
      <c r="D129" s="38"/>
      <c r="E129" s="173"/>
      <c r="F129" s="173"/>
      <c r="G129" s="173"/>
      <c r="H129" s="38"/>
      <c r="I129" s="38"/>
      <c r="J129" s="502"/>
    </row>
    <row r="130" spans="4:10" x14ac:dyDescent="0.2">
      <c r="D130" s="38"/>
      <c r="E130" s="173"/>
      <c r="F130" s="173"/>
      <c r="G130" s="173"/>
      <c r="H130" s="38"/>
      <c r="I130" s="38"/>
      <c r="J130" s="502"/>
    </row>
    <row r="131" spans="4:10" x14ac:dyDescent="0.2">
      <c r="D131" s="38"/>
      <c r="E131" s="173"/>
      <c r="F131" s="173"/>
      <c r="G131" s="173"/>
      <c r="H131" s="38"/>
      <c r="I131" s="38"/>
      <c r="J131" s="502"/>
    </row>
    <row r="132" spans="4:10" x14ac:dyDescent="0.2">
      <c r="D132" s="38"/>
      <c r="E132" s="173"/>
      <c r="F132" s="173"/>
      <c r="G132" s="173"/>
      <c r="H132" s="38"/>
      <c r="I132" s="38"/>
      <c r="J132" s="502"/>
    </row>
    <row r="133" spans="4:10" x14ac:dyDescent="0.2">
      <c r="D133" s="38"/>
      <c r="E133" s="173"/>
      <c r="F133" s="173"/>
      <c r="G133" s="173"/>
      <c r="H133" s="38"/>
      <c r="I133" s="38"/>
      <c r="J133" s="502"/>
    </row>
    <row r="134" spans="4:10" x14ac:dyDescent="0.2">
      <c r="D134" s="38"/>
      <c r="E134" s="173"/>
      <c r="F134" s="173"/>
      <c r="G134" s="173"/>
      <c r="H134" s="38"/>
      <c r="I134" s="38"/>
      <c r="J134" s="502"/>
    </row>
    <row r="135" spans="4:10" x14ac:dyDescent="0.2">
      <c r="D135" s="38"/>
      <c r="E135" s="173"/>
      <c r="F135" s="173"/>
      <c r="G135" s="173"/>
      <c r="H135" s="38"/>
      <c r="I135" s="38"/>
      <c r="J135" s="502"/>
    </row>
    <row r="136" spans="4:10" x14ac:dyDescent="0.2">
      <c r="D136" s="38"/>
      <c r="E136" s="173"/>
      <c r="F136" s="173"/>
      <c r="G136" s="173"/>
      <c r="H136" s="38"/>
      <c r="I136" s="38"/>
      <c r="J136" s="502"/>
    </row>
    <row r="137" spans="4:10" x14ac:dyDescent="0.2">
      <c r="D137" s="38"/>
      <c r="E137" s="173"/>
      <c r="F137" s="173"/>
      <c r="G137" s="173"/>
      <c r="H137" s="38"/>
      <c r="I137" s="38"/>
      <c r="J137" s="502"/>
    </row>
    <row r="138" spans="4:10" x14ac:dyDescent="0.2">
      <c r="D138" s="38"/>
      <c r="E138" s="173"/>
      <c r="F138" s="173"/>
      <c r="G138" s="173"/>
      <c r="H138" s="38"/>
      <c r="I138" s="38"/>
      <c r="J138" s="502"/>
    </row>
    <row r="139" spans="4:10" x14ac:dyDescent="0.2">
      <c r="D139" s="38"/>
      <c r="E139" s="173"/>
      <c r="F139" s="173"/>
      <c r="G139" s="173"/>
      <c r="H139" s="38"/>
      <c r="I139" s="38"/>
      <c r="J139" s="502"/>
    </row>
    <row r="140" spans="4:10" x14ac:dyDescent="0.2">
      <c r="D140" s="38"/>
      <c r="E140" s="173"/>
      <c r="F140" s="173"/>
      <c r="G140" s="173"/>
      <c r="H140" s="38"/>
      <c r="I140" s="38"/>
      <c r="J140" s="502"/>
    </row>
  </sheetData>
  <mergeCells count="9">
    <mergeCell ref="J15:K15"/>
    <mergeCell ref="A49:I49"/>
    <mergeCell ref="A1:I1"/>
    <mergeCell ref="A48:I48"/>
    <mergeCell ref="A47:I47"/>
    <mergeCell ref="A46:I46"/>
    <mergeCell ref="A4:I4"/>
    <mergeCell ref="A3:I3"/>
    <mergeCell ref="A2:I2"/>
  </mergeCells>
  <pageMargins left="1" right="0.5" top="1" bottom="0.75" header="0.3" footer="0.3"/>
  <pageSetup scale="73" fitToHeight="0" orientation="portrait" r:id="rId1"/>
  <headerFooter>
    <oddHeader>&amp;R&amp;"Arial,Regular"&amp;10KY PSC Case No. 2016-00162, Attachment A to Staff 3-4</oddHeader>
  </headerFooter>
  <rowBreaks count="1" manualBreakCount="1">
    <brk id="45" max="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M67"/>
  <sheetViews>
    <sheetView tabSelected="1" view="pageBreakPreview" zoomScale="60" zoomScaleNormal="100" workbookViewId="0">
      <selection activeCell="F46" sqref="F46"/>
    </sheetView>
  </sheetViews>
  <sheetFormatPr defaultRowHeight="10.5" x14ac:dyDescent="0.15"/>
  <cols>
    <col min="1" max="1" width="13.1640625" customWidth="1"/>
    <col min="2" max="2" width="49.6640625" bestFit="1" customWidth="1"/>
    <col min="3" max="3" width="10.1640625" customWidth="1"/>
    <col min="4" max="4" width="18.6640625" customWidth="1"/>
    <col min="5" max="5" width="21" bestFit="1" customWidth="1"/>
    <col min="6" max="6" width="4.33203125" customWidth="1"/>
    <col min="7" max="7" width="24.83203125" customWidth="1"/>
    <col min="10" max="10" width="11.83203125" bestFit="1" customWidth="1"/>
    <col min="13" max="13" width="9.6640625" bestFit="1" customWidth="1"/>
  </cols>
  <sheetData>
    <row r="1" spans="1:13" ht="12.75" x14ac:dyDescent="0.2">
      <c r="A1" s="2058" t="str">
        <f>co</f>
        <v>COLUMBIA GAS OF KENTUCKY, INC.</v>
      </c>
      <c r="B1" s="2058"/>
      <c r="C1" s="2058"/>
      <c r="D1" s="2058"/>
      <c r="E1" s="2058"/>
      <c r="F1" s="2058"/>
      <c r="G1" s="2058"/>
      <c r="H1" s="562"/>
    </row>
    <row r="2" spans="1:13" ht="12.75" x14ac:dyDescent="0.2">
      <c r="A2" s="2059" t="str">
        <f>case</f>
        <v>CASE NO. 2016 - 00162</v>
      </c>
      <c r="B2" s="2059"/>
      <c r="C2" s="2059"/>
      <c r="D2" s="2059"/>
      <c r="E2" s="2059"/>
      <c r="F2" s="2059"/>
      <c r="G2" s="2059"/>
      <c r="H2" s="562"/>
    </row>
    <row r="3" spans="1:13" ht="12.75" x14ac:dyDescent="0.2">
      <c r="A3" s="2057" t="s">
        <v>1249</v>
      </c>
      <c r="B3" s="2057"/>
      <c r="C3" s="2057"/>
      <c r="D3" s="2057"/>
      <c r="E3" s="2057"/>
      <c r="F3" s="2057"/>
      <c r="G3" s="2057"/>
      <c r="H3" s="562"/>
    </row>
    <row r="4" spans="1:13" ht="12.75" x14ac:dyDescent="0.2">
      <c r="A4" s="2057" t="str">
        <f>"BASE PERIOD: TWELVE MONTHS ENDED AUGUST 31, 2016"</f>
        <v>BASE PERIOD: TWELVE MONTHS ENDED AUGUST 31, 2016</v>
      </c>
      <c r="B4" s="2057"/>
      <c r="C4" s="2057"/>
      <c r="D4" s="2057"/>
      <c r="E4" s="2057"/>
      <c r="F4" s="2057"/>
      <c r="G4" s="2057"/>
      <c r="H4" s="562"/>
    </row>
    <row r="5" spans="1:13" ht="12.75" x14ac:dyDescent="0.2">
      <c r="A5" s="2057" t="str">
        <f>"FORECASTED TEST PERIOD: TWELVE MONTHS ENDED DECEMBER 31, 2017"</f>
        <v>FORECASTED TEST PERIOD: TWELVE MONTHS ENDED DECEMBER 31, 2017</v>
      </c>
      <c r="B5" s="2057"/>
      <c r="C5" s="2057"/>
      <c r="D5" s="2057"/>
      <c r="E5" s="2057"/>
      <c r="F5" s="2057"/>
      <c r="G5" s="2057"/>
    </row>
    <row r="6" spans="1:13" x14ac:dyDescent="0.15">
      <c r="A6" s="1849"/>
      <c r="B6" s="1849"/>
      <c r="C6" s="1849"/>
      <c r="D6" s="1849"/>
      <c r="E6" s="1849"/>
      <c r="F6" s="1849"/>
      <c r="G6" s="1850"/>
      <c r="I6" s="563"/>
      <c r="J6" s="563"/>
      <c r="K6" s="563"/>
      <c r="L6" s="563"/>
    </row>
    <row r="7" spans="1:13" x14ac:dyDescent="0.15">
      <c r="A7" s="1849"/>
      <c r="B7" s="1849"/>
      <c r="C7" s="1849"/>
      <c r="D7" s="1849"/>
      <c r="E7" s="1849"/>
      <c r="F7" s="1849"/>
      <c r="G7" s="1850"/>
      <c r="I7" s="563"/>
      <c r="J7" s="563"/>
      <c r="K7" s="563"/>
      <c r="L7" s="563"/>
    </row>
    <row r="8" spans="1:13" ht="12.75" x14ac:dyDescent="0.2">
      <c r="A8" s="1851"/>
      <c r="B8" s="1849"/>
      <c r="C8" s="1849"/>
      <c r="D8" s="1841"/>
      <c r="E8" s="1841"/>
      <c r="F8" s="1849"/>
      <c r="G8" s="565"/>
    </row>
    <row r="9" spans="1:13" ht="12.75" x14ac:dyDescent="0.2">
      <c r="A9" s="509" t="s">
        <v>1256</v>
      </c>
      <c r="B9" s="509"/>
      <c r="C9" s="509"/>
      <c r="D9" s="509"/>
      <c r="E9" s="509"/>
      <c r="F9" s="509"/>
      <c r="G9" s="1852" t="s">
        <v>1255</v>
      </c>
    </row>
    <row r="10" spans="1:13" ht="12.75" x14ac:dyDescent="0.2">
      <c r="A10" s="305" t="s">
        <v>1257</v>
      </c>
      <c r="B10" s="305"/>
      <c r="C10" s="305"/>
      <c r="D10" s="305"/>
      <c r="E10" s="305"/>
      <c r="F10" s="305"/>
      <c r="G10" s="567" t="s">
        <v>246</v>
      </c>
    </row>
    <row r="11" spans="1:13" ht="12.75" x14ac:dyDescent="0.2">
      <c r="A11" s="568" t="s">
        <v>996</v>
      </c>
      <c r="B11" s="568"/>
      <c r="C11" s="568"/>
      <c r="D11" s="568"/>
      <c r="E11" s="568"/>
      <c r="F11" s="568"/>
      <c r="G11" s="1848" t="s">
        <v>2288</v>
      </c>
    </row>
    <row r="12" spans="1:13" ht="12.75" x14ac:dyDescent="0.2">
      <c r="A12" s="569"/>
      <c r="B12" s="570"/>
      <c r="C12" s="570"/>
      <c r="D12" s="569"/>
      <c r="E12" s="569" t="s">
        <v>830</v>
      </c>
      <c r="F12" s="569"/>
      <c r="G12" s="569" t="s">
        <v>1264</v>
      </c>
    </row>
    <row r="13" spans="1:13" ht="12.75" x14ac:dyDescent="0.2">
      <c r="A13" s="314"/>
      <c r="B13" s="305"/>
      <c r="C13" s="305"/>
      <c r="D13" s="314" t="s">
        <v>1259</v>
      </c>
      <c r="E13" s="314" t="s">
        <v>671</v>
      </c>
      <c r="F13" s="314"/>
      <c r="G13" s="314" t="s">
        <v>671</v>
      </c>
    </row>
    <row r="14" spans="1:13" ht="12.75" x14ac:dyDescent="0.2">
      <c r="A14" s="569" t="s">
        <v>632</v>
      </c>
      <c r="B14" s="570"/>
      <c r="C14" s="570"/>
      <c r="D14" s="569" t="s">
        <v>1260</v>
      </c>
      <c r="E14" s="569" t="s">
        <v>1263</v>
      </c>
      <c r="F14" s="569"/>
      <c r="G14" s="569" t="s">
        <v>1261</v>
      </c>
    </row>
    <row r="15" spans="1:13" ht="12.75" x14ac:dyDescent="0.2">
      <c r="A15" s="571" t="s">
        <v>635</v>
      </c>
      <c r="B15" s="571" t="s">
        <v>778</v>
      </c>
      <c r="C15" s="568"/>
      <c r="D15" s="571" t="s">
        <v>637</v>
      </c>
      <c r="E15" s="571" t="s">
        <v>1262</v>
      </c>
      <c r="F15" s="571"/>
      <c r="G15" s="571" t="s">
        <v>1262</v>
      </c>
    </row>
    <row r="16" spans="1:13" ht="12.75" x14ac:dyDescent="0.2">
      <c r="A16" s="314"/>
      <c r="B16" s="305"/>
      <c r="C16" s="305"/>
      <c r="D16" s="561"/>
      <c r="E16" s="561"/>
      <c r="F16" s="305"/>
      <c r="G16" s="565"/>
      <c r="J16" s="1491"/>
      <c r="K16" s="563"/>
      <c r="L16" s="563"/>
      <c r="M16" s="563"/>
    </row>
    <row r="17" spans="1:13" ht="12.75" x14ac:dyDescent="0.2">
      <c r="A17" s="314">
        <v>1</v>
      </c>
      <c r="B17" s="305" t="s">
        <v>1265</v>
      </c>
      <c r="C17" s="305"/>
      <c r="D17" s="1107" t="s">
        <v>1009</v>
      </c>
      <c r="E17" s="1106">
        <f>'B-1 p.1 Summary (Base)'!J33</f>
        <v>242714501.93964785</v>
      </c>
      <c r="F17" s="305"/>
      <c r="G17" s="1106">
        <f>'B-1 p.2 Summary (Forecast)'!I33</f>
        <v>250883559.47875971</v>
      </c>
      <c r="J17" s="226"/>
      <c r="K17" s="226"/>
      <c r="L17" s="1492"/>
      <c r="M17" s="1338"/>
    </row>
    <row r="18" spans="1:13" ht="12.75" x14ac:dyDescent="0.2">
      <c r="A18" s="314"/>
      <c r="B18" s="305"/>
      <c r="C18" s="305"/>
      <c r="D18" s="1107"/>
      <c r="E18" s="1106"/>
      <c r="F18" s="305"/>
      <c r="G18" s="564"/>
      <c r="J18" s="226"/>
      <c r="K18" s="226"/>
      <c r="L18" s="226"/>
      <c r="M18" s="226"/>
    </row>
    <row r="19" spans="1:13" ht="12.75" x14ac:dyDescent="0.2">
      <c r="A19" s="314">
        <f>A17+1</f>
        <v>2</v>
      </c>
      <c r="B19" s="305" t="s">
        <v>1266</v>
      </c>
      <c r="C19" s="305"/>
      <c r="D19" s="1107" t="s">
        <v>1267</v>
      </c>
      <c r="E19" s="1106">
        <f>'Operating Income Summary C-1'!E29</f>
        <v>14218506.684018686</v>
      </c>
      <c r="F19" s="305"/>
      <c r="G19" s="566">
        <f>'Operating Income Summary C-1'!I29</f>
        <v>6000418.2742042858</v>
      </c>
      <c r="J19" s="226"/>
      <c r="K19" s="226"/>
      <c r="L19" s="226"/>
      <c r="M19" s="226"/>
    </row>
    <row r="20" spans="1:13" ht="12.75" x14ac:dyDescent="0.2">
      <c r="A20" s="314"/>
      <c r="B20" s="305"/>
      <c r="C20" s="305"/>
      <c r="D20" s="1107"/>
      <c r="E20" s="1106"/>
      <c r="F20" s="305"/>
      <c r="G20" s="565"/>
      <c r="J20" s="226"/>
      <c r="K20" s="226"/>
      <c r="L20" s="226"/>
      <c r="M20" s="226"/>
    </row>
    <row r="21" spans="1:13" ht="12.75" x14ac:dyDescent="0.2">
      <c r="A21" s="314">
        <f>A19+1</f>
        <v>3</v>
      </c>
      <c r="B21" s="305" t="s">
        <v>1268</v>
      </c>
      <c r="C21" s="305"/>
      <c r="D21" s="1107"/>
      <c r="E21" s="572">
        <f>ROUND(E19/E17,4)</f>
        <v>5.8599999999999999E-2</v>
      </c>
      <c r="F21" s="305"/>
      <c r="G21" s="1429">
        <f>ROUND(G19/G17,4)</f>
        <v>2.3900000000000001E-2</v>
      </c>
      <c r="J21" s="1493"/>
      <c r="K21" s="226"/>
      <c r="L21" s="226"/>
      <c r="M21" s="226"/>
    </row>
    <row r="22" spans="1:13" ht="12.75" x14ac:dyDescent="0.2">
      <c r="A22" s="314"/>
      <c r="B22" s="305"/>
      <c r="C22" s="305"/>
      <c r="D22" s="1107"/>
      <c r="E22" s="561"/>
      <c r="F22" s="305"/>
      <c r="G22" s="509"/>
      <c r="J22" s="226"/>
      <c r="K22" s="226"/>
      <c r="L22" s="226"/>
      <c r="M22" s="226"/>
    </row>
    <row r="23" spans="1:13" ht="12.75" x14ac:dyDescent="0.2">
      <c r="A23" s="314">
        <f>A21+1</f>
        <v>4</v>
      </c>
      <c r="B23" s="305" t="s">
        <v>1269</v>
      </c>
      <c r="C23" s="305"/>
      <c r="D23" s="1107" t="s">
        <v>1270</v>
      </c>
      <c r="E23" s="1796">
        <f>'J-1 Base Period Cost of Capital'!M24</f>
        <v>8.6199999999999999E-2</v>
      </c>
      <c r="F23" s="305"/>
      <c r="G23" s="572">
        <f>'J-1.1, J-1.2 13 MO AVG WACC'!M24</f>
        <v>8.4100000000000008E-2</v>
      </c>
      <c r="J23" s="1765"/>
      <c r="K23" s="1764"/>
      <c r="L23" s="226"/>
      <c r="M23" s="226"/>
    </row>
    <row r="24" spans="1:13" ht="12.75" x14ac:dyDescent="0.2">
      <c r="A24" s="314"/>
      <c r="B24" s="305"/>
      <c r="C24" s="305"/>
      <c r="D24" s="1107"/>
      <c r="E24" s="561"/>
      <c r="F24" s="305"/>
      <c r="G24" s="566"/>
      <c r="J24" s="226"/>
      <c r="K24" s="226"/>
      <c r="L24" s="226"/>
      <c r="M24" s="226"/>
    </row>
    <row r="25" spans="1:13" ht="12.75" x14ac:dyDescent="0.2">
      <c r="A25" s="314">
        <f>A23+1</f>
        <v>5</v>
      </c>
      <c r="B25" s="305" t="s">
        <v>1271</v>
      </c>
      <c r="C25" s="305"/>
      <c r="D25" s="1107" t="s">
        <v>1267</v>
      </c>
      <c r="E25" s="566">
        <f>ROUND(E23*E17,0)</f>
        <v>20921990</v>
      </c>
      <c r="F25" s="305"/>
      <c r="G25" s="566">
        <f>ROUND(G23*G17,0)</f>
        <v>21099307</v>
      </c>
      <c r="J25" s="1766"/>
      <c r="K25" s="226"/>
      <c r="L25" s="226"/>
      <c r="M25" s="226"/>
    </row>
    <row r="26" spans="1:13" ht="12.75" x14ac:dyDescent="0.2">
      <c r="A26" s="314"/>
      <c r="B26" s="305"/>
      <c r="C26" s="305"/>
      <c r="D26" s="1107"/>
      <c r="E26" s="76"/>
      <c r="F26" s="305"/>
      <c r="G26" s="317"/>
      <c r="J26" s="226"/>
      <c r="K26" s="226"/>
      <c r="L26" s="226"/>
      <c r="M26" s="226"/>
    </row>
    <row r="27" spans="1:13" ht="12.75" x14ac:dyDescent="0.2">
      <c r="A27" s="314">
        <f>A25+1</f>
        <v>6</v>
      </c>
      <c r="B27" s="305" t="s">
        <v>1272</v>
      </c>
      <c r="C27" s="305"/>
      <c r="D27" s="1107" t="s">
        <v>1267</v>
      </c>
      <c r="E27" s="317">
        <f>E25-E19</f>
        <v>6703483.3159813136</v>
      </c>
      <c r="F27" s="305"/>
      <c r="G27" s="317">
        <f>G25-G19</f>
        <v>15098888.725795714</v>
      </c>
      <c r="J27" s="1767"/>
      <c r="K27" s="226"/>
      <c r="L27" s="226"/>
      <c r="M27" s="226"/>
    </row>
    <row r="28" spans="1:13" ht="12.75" x14ac:dyDescent="0.2">
      <c r="A28" s="314"/>
      <c r="B28" s="305"/>
      <c r="C28" s="305"/>
      <c r="D28" s="1107"/>
      <c r="E28" s="305"/>
      <c r="F28" s="305"/>
      <c r="G28" s="305"/>
      <c r="J28" s="226"/>
      <c r="K28" s="226"/>
      <c r="L28" s="226"/>
      <c r="M28" s="226"/>
    </row>
    <row r="29" spans="1:13" ht="12.75" x14ac:dyDescent="0.2">
      <c r="A29" s="314">
        <f>A27+1</f>
        <v>7</v>
      </c>
      <c r="B29" s="305" t="s">
        <v>1273</v>
      </c>
      <c r="C29" s="305"/>
      <c r="D29" s="1107" t="s">
        <v>1274</v>
      </c>
      <c r="E29" s="1525">
        <f>G29</f>
        <v>1.655089</v>
      </c>
      <c r="F29" s="305"/>
      <c r="G29" s="1525">
        <f>'Gross Conversion Factor H-1'!H33</f>
        <v>1.655089</v>
      </c>
      <c r="J29" s="1494"/>
      <c r="K29" s="226"/>
      <c r="L29" s="226"/>
      <c r="M29" s="226"/>
    </row>
    <row r="30" spans="1:13" ht="12.75" x14ac:dyDescent="0.2">
      <c r="A30" s="314"/>
      <c r="B30" s="305"/>
      <c r="C30" s="305"/>
      <c r="D30" s="1107"/>
      <c r="E30" s="305"/>
      <c r="F30" s="305"/>
      <c r="G30" s="305"/>
      <c r="J30" s="226"/>
      <c r="K30" s="226"/>
      <c r="L30" s="226"/>
      <c r="M30" s="226"/>
    </row>
    <row r="31" spans="1:13" ht="12.75" x14ac:dyDescent="0.2">
      <c r="A31" s="314">
        <f>A29+1</f>
        <v>8</v>
      </c>
      <c r="B31" s="305" t="s">
        <v>1275</v>
      </c>
      <c r="C31" s="305"/>
      <c r="D31" s="1107"/>
      <c r="E31" s="566">
        <f>ROUND(E29*E27,0)</f>
        <v>11094861</v>
      </c>
      <c r="F31" s="305"/>
      <c r="G31" s="566">
        <f>ROUND(G29*G27,0)</f>
        <v>24990005</v>
      </c>
      <c r="J31" s="1766"/>
      <c r="K31" s="226"/>
      <c r="L31" s="1492"/>
      <c r="M31" s="226"/>
    </row>
    <row r="32" spans="1:13" ht="12.75" x14ac:dyDescent="0.2">
      <c r="A32" s="314"/>
      <c r="B32" s="305"/>
      <c r="C32" s="305"/>
      <c r="D32" s="1107"/>
      <c r="E32" s="305"/>
      <c r="F32" s="305"/>
      <c r="G32" s="305"/>
      <c r="J32" s="226"/>
      <c r="K32" s="226"/>
      <c r="L32" s="226"/>
      <c r="M32" s="226"/>
    </row>
    <row r="33" spans="1:13" ht="12.75" x14ac:dyDescent="0.2">
      <c r="A33" s="314">
        <f>A31+1</f>
        <v>9</v>
      </c>
      <c r="B33" s="305" t="s">
        <v>1276</v>
      </c>
      <c r="C33" s="305"/>
      <c r="D33" s="1107" t="s">
        <v>1267</v>
      </c>
      <c r="E33" s="305"/>
      <c r="F33" s="305"/>
      <c r="G33" s="317">
        <f>'Operating Income Summary C-1'!K15</f>
        <v>24990005</v>
      </c>
      <c r="J33" s="226"/>
      <c r="K33" s="226"/>
      <c r="L33" s="1492"/>
      <c r="M33" s="226"/>
    </row>
    <row r="34" spans="1:13" ht="12.75" x14ac:dyDescent="0.2">
      <c r="A34" s="314"/>
      <c r="B34" s="305"/>
      <c r="C34" s="305"/>
      <c r="D34" s="1107"/>
      <c r="E34" s="305"/>
      <c r="F34" s="305"/>
      <c r="G34" s="305"/>
      <c r="J34" s="226"/>
      <c r="K34" s="226"/>
      <c r="L34" s="226"/>
      <c r="M34" s="226"/>
    </row>
    <row r="35" spans="1:13" ht="12.75" x14ac:dyDescent="0.2">
      <c r="A35" s="314">
        <f>A33+1</f>
        <v>10</v>
      </c>
      <c r="B35" s="305" t="s">
        <v>1277</v>
      </c>
      <c r="C35" s="305"/>
      <c r="D35" s="1107" t="s">
        <v>1267</v>
      </c>
      <c r="E35" s="305"/>
      <c r="F35" s="305"/>
      <c r="G35" s="317">
        <f>'Operating Income Summary C-1'!I15</f>
        <v>92682167.070000008</v>
      </c>
      <c r="J35" s="226"/>
      <c r="K35" s="226"/>
      <c r="L35" s="226"/>
      <c r="M35" s="226"/>
    </row>
    <row r="36" spans="1:13" ht="12.75" x14ac:dyDescent="0.2">
      <c r="A36" s="314"/>
      <c r="B36" s="305"/>
      <c r="C36" s="305"/>
      <c r="D36" s="561"/>
      <c r="E36" s="305"/>
      <c r="F36" s="305"/>
      <c r="G36" s="305"/>
      <c r="J36" s="1495"/>
      <c r="K36" s="563"/>
      <c r="L36" s="563"/>
      <c r="M36" s="563"/>
    </row>
    <row r="37" spans="1:13" ht="13.5" thickBot="1" x14ac:dyDescent="0.25">
      <c r="A37" s="314">
        <f>A35+1</f>
        <v>11</v>
      </c>
      <c r="B37" s="305" t="s">
        <v>1278</v>
      </c>
      <c r="C37" s="305"/>
      <c r="D37" s="561"/>
      <c r="E37" s="305"/>
      <c r="F37" s="305"/>
      <c r="G37" s="1458">
        <f>G35+G33</f>
        <v>117672172.07000001</v>
      </c>
      <c r="J37" s="1492"/>
      <c r="K37" s="563"/>
      <c r="L37" s="563"/>
      <c r="M37" s="563"/>
    </row>
    <row r="38" spans="1:13" ht="13.5" thickTop="1" x14ac:dyDescent="0.2">
      <c r="A38" s="305"/>
      <c r="B38" s="305"/>
      <c r="C38" s="305"/>
      <c r="D38" s="305"/>
      <c r="E38" s="305"/>
      <c r="F38" s="305"/>
      <c r="G38" s="305"/>
      <c r="J38" s="563"/>
      <c r="K38" s="563"/>
      <c r="L38" s="563"/>
      <c r="M38" s="563"/>
    </row>
    <row r="39" spans="1:13" ht="12.75" x14ac:dyDescent="0.2">
      <c r="A39" s="305"/>
      <c r="B39" s="305"/>
      <c r="C39" s="305"/>
      <c r="D39" s="305"/>
      <c r="E39" s="305"/>
      <c r="F39" s="305"/>
      <c r="G39" s="305"/>
    </row>
    <row r="40" spans="1:13" ht="12.75" x14ac:dyDescent="0.2">
      <c r="A40" s="305"/>
      <c r="B40" s="305"/>
      <c r="C40" s="305"/>
      <c r="D40" s="305"/>
      <c r="E40" s="305"/>
      <c r="F40" s="305"/>
      <c r="G40" s="317"/>
    </row>
    <row r="41" spans="1:13" ht="12.75" x14ac:dyDescent="0.2">
      <c r="A41" s="305"/>
      <c r="B41" s="305"/>
      <c r="C41" s="305"/>
      <c r="D41" s="305"/>
      <c r="E41" s="305"/>
      <c r="F41" s="305"/>
      <c r="G41" s="305"/>
    </row>
    <row r="42" spans="1:13" ht="12.75" x14ac:dyDescent="0.2">
      <c r="A42" s="305"/>
      <c r="B42" s="305"/>
      <c r="C42" s="305"/>
      <c r="D42" s="305"/>
      <c r="E42" s="305"/>
      <c r="F42" s="305"/>
      <c r="G42" s="305"/>
    </row>
    <row r="43" spans="1:13" ht="12.75" x14ac:dyDescent="0.2">
      <c r="A43" s="305"/>
      <c r="B43" s="305"/>
      <c r="C43" s="305"/>
      <c r="D43" s="305"/>
      <c r="E43" s="305"/>
      <c r="F43" s="305"/>
      <c r="G43" s="305"/>
    </row>
    <row r="44" spans="1:13" ht="12.75" x14ac:dyDescent="0.2">
      <c r="A44" s="305"/>
      <c r="B44" s="305"/>
      <c r="C44" s="305"/>
      <c r="D44" s="305"/>
      <c r="E44" s="305"/>
      <c r="F44" s="305"/>
      <c r="G44" s="305"/>
    </row>
    <row r="45" spans="1:13" ht="12.75" x14ac:dyDescent="0.2">
      <c r="A45" s="305"/>
      <c r="B45" s="305"/>
      <c r="C45" s="305"/>
      <c r="D45" s="305"/>
      <c r="E45" s="305"/>
      <c r="F45" s="305"/>
      <c r="G45" s="305"/>
    </row>
    <row r="46" spans="1:13" ht="12.75" x14ac:dyDescent="0.2">
      <c r="A46" s="305"/>
      <c r="B46" s="305"/>
      <c r="C46" s="305"/>
      <c r="D46" s="305"/>
      <c r="E46" s="305"/>
      <c r="F46" s="305"/>
      <c r="G46" s="305"/>
    </row>
    <row r="47" spans="1:13" ht="12.75" x14ac:dyDescent="0.2">
      <c r="A47" s="305"/>
      <c r="B47" s="305"/>
      <c r="C47" s="305"/>
      <c r="D47" s="305"/>
      <c r="E47" s="305"/>
      <c r="F47" s="305"/>
      <c r="G47" s="305"/>
    </row>
    <row r="48" spans="1:13" ht="12.75" x14ac:dyDescent="0.2">
      <c r="A48" s="305"/>
      <c r="B48" s="305"/>
      <c r="C48" s="305"/>
      <c r="D48" s="305"/>
      <c r="E48" s="305"/>
      <c r="F48" s="305"/>
      <c r="G48" s="305"/>
    </row>
    <row r="49" spans="1:7" ht="12.75" x14ac:dyDescent="0.2">
      <c r="A49" s="305"/>
      <c r="B49" s="305"/>
      <c r="C49" s="305"/>
      <c r="D49" s="305"/>
      <c r="E49" s="305"/>
      <c r="F49" s="305"/>
      <c r="G49" s="305"/>
    </row>
    <row r="50" spans="1:7" ht="12.75" x14ac:dyDescent="0.2">
      <c r="A50" s="305"/>
      <c r="B50" s="305"/>
      <c r="C50" s="305"/>
      <c r="D50" s="305"/>
      <c r="E50" s="305"/>
      <c r="F50" s="305"/>
      <c r="G50" s="305"/>
    </row>
    <row r="51" spans="1:7" ht="12.75" x14ac:dyDescent="0.2">
      <c r="A51" s="305"/>
      <c r="B51" s="305"/>
      <c r="C51" s="305"/>
      <c r="D51" s="305"/>
      <c r="E51" s="305"/>
      <c r="F51" s="305"/>
      <c r="G51" s="305"/>
    </row>
    <row r="52" spans="1:7" ht="12.75" x14ac:dyDescent="0.2">
      <c r="A52" s="305"/>
      <c r="B52" s="305"/>
      <c r="C52" s="305"/>
      <c r="D52" s="305"/>
      <c r="E52" s="305"/>
      <c r="F52" s="305"/>
      <c r="G52" s="305"/>
    </row>
    <row r="53" spans="1:7" ht="12.75" x14ac:dyDescent="0.2">
      <c r="A53" s="305"/>
      <c r="B53" s="305"/>
      <c r="C53" s="305"/>
      <c r="D53" s="305"/>
      <c r="E53" s="305"/>
      <c r="F53" s="305"/>
      <c r="G53" s="305"/>
    </row>
    <row r="54" spans="1:7" ht="12.75" x14ac:dyDescent="0.2">
      <c r="A54" s="305"/>
      <c r="B54" s="305"/>
      <c r="C54" s="305"/>
      <c r="D54" s="305"/>
      <c r="E54" s="305"/>
      <c r="F54" s="305"/>
      <c r="G54" s="305"/>
    </row>
    <row r="55" spans="1:7" ht="12.75" x14ac:dyDescent="0.2">
      <c r="A55" s="305"/>
      <c r="B55" s="305"/>
      <c r="C55" s="305"/>
      <c r="D55" s="305"/>
      <c r="E55" s="305"/>
      <c r="F55" s="305"/>
      <c r="G55" s="305"/>
    </row>
    <row r="56" spans="1:7" ht="12.75" x14ac:dyDescent="0.2">
      <c r="A56" s="305"/>
      <c r="B56" s="305"/>
      <c r="C56" s="305"/>
      <c r="D56" s="305"/>
      <c r="E56" s="305"/>
      <c r="F56" s="305"/>
      <c r="G56" s="305"/>
    </row>
    <row r="57" spans="1:7" ht="12.75" x14ac:dyDescent="0.2">
      <c r="A57" s="305"/>
      <c r="B57" s="305"/>
      <c r="C57" s="305"/>
      <c r="D57" s="305"/>
      <c r="E57" s="305"/>
      <c r="F57" s="305"/>
      <c r="G57" s="305"/>
    </row>
    <row r="58" spans="1:7" ht="12.75" x14ac:dyDescent="0.2">
      <c r="A58" s="305"/>
      <c r="B58" s="305"/>
      <c r="C58" s="305"/>
      <c r="D58" s="305"/>
      <c r="E58" s="305"/>
      <c r="F58" s="305"/>
      <c r="G58" s="305"/>
    </row>
    <row r="59" spans="1:7" ht="12.75" x14ac:dyDescent="0.2">
      <c r="A59" s="305"/>
      <c r="B59" s="305"/>
      <c r="C59" s="305"/>
      <c r="D59" s="305"/>
      <c r="E59" s="305"/>
      <c r="F59" s="305"/>
      <c r="G59" s="305"/>
    </row>
    <row r="60" spans="1:7" ht="12.75" x14ac:dyDescent="0.2">
      <c r="A60" s="305"/>
      <c r="B60" s="305"/>
      <c r="C60" s="305"/>
      <c r="D60" s="305"/>
      <c r="E60" s="305"/>
      <c r="F60" s="305"/>
      <c r="G60" s="305"/>
    </row>
    <row r="61" spans="1:7" ht="12.75" x14ac:dyDescent="0.2">
      <c r="A61" s="305"/>
      <c r="B61" s="305"/>
      <c r="C61" s="305"/>
      <c r="D61" s="305"/>
      <c r="E61" s="305"/>
      <c r="F61" s="305"/>
      <c r="G61" s="305"/>
    </row>
    <row r="62" spans="1:7" ht="12.75" x14ac:dyDescent="0.2">
      <c r="A62" s="305"/>
      <c r="B62" s="305"/>
      <c r="C62" s="305"/>
      <c r="D62" s="305"/>
      <c r="E62" s="305"/>
      <c r="F62" s="305"/>
      <c r="G62" s="305"/>
    </row>
    <row r="63" spans="1:7" ht="12.75" x14ac:dyDescent="0.2">
      <c r="A63" s="305"/>
      <c r="B63" s="305"/>
      <c r="C63" s="305"/>
      <c r="D63" s="305"/>
      <c r="E63" s="305"/>
      <c r="F63" s="305"/>
      <c r="G63" s="305"/>
    </row>
    <row r="64" spans="1:7" ht="12.75" x14ac:dyDescent="0.2">
      <c r="A64" s="305"/>
      <c r="B64" s="305"/>
      <c r="C64" s="305"/>
      <c r="D64" s="305"/>
      <c r="E64" s="305"/>
      <c r="F64" s="305"/>
      <c r="G64" s="305"/>
    </row>
    <row r="65" spans="1:7" ht="12.75" x14ac:dyDescent="0.2">
      <c r="A65" s="305"/>
      <c r="B65" s="305"/>
      <c r="C65" s="305"/>
      <c r="D65" s="305"/>
      <c r="E65" s="305"/>
      <c r="F65" s="305"/>
      <c r="G65" s="305"/>
    </row>
    <row r="66" spans="1:7" ht="12.75" x14ac:dyDescent="0.2">
      <c r="A66" s="305"/>
      <c r="B66" s="305"/>
      <c r="C66" s="305"/>
      <c r="D66" s="305"/>
      <c r="E66" s="305"/>
      <c r="F66" s="305"/>
      <c r="G66" s="305"/>
    </row>
    <row r="67" spans="1:7" ht="12.75" x14ac:dyDescent="0.2">
      <c r="A67" s="305"/>
      <c r="B67" s="305"/>
      <c r="C67" s="305"/>
      <c r="D67" s="305"/>
      <c r="E67" s="305"/>
      <c r="F67" s="305"/>
      <c r="G67" s="305"/>
    </row>
  </sheetData>
  <mergeCells count="5">
    <mergeCell ref="A5:G5"/>
    <mergeCell ref="A1:G1"/>
    <mergeCell ref="A2:G2"/>
    <mergeCell ref="A3:G3"/>
    <mergeCell ref="A4:G4"/>
  </mergeCells>
  <phoneticPr fontId="0" type="noConversion"/>
  <pageMargins left="1" right="0.5" top="1" bottom="0.75" header="0.3" footer="0.3"/>
  <pageSetup scale="80" fitToHeight="0" orientation="portrait" r:id="rId1"/>
  <headerFooter>
    <oddHeader>&amp;R&amp;"Arial,Regular"&amp;10KY PSC Case No. 2016-00162, Attachment A to Staff 3-4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7">
    <pageSetUpPr fitToPage="1"/>
  </sheetPr>
  <dimension ref="A1:I31"/>
  <sheetViews>
    <sheetView showGridLines="0" view="pageBreakPreview" zoomScale="60" zoomScaleNormal="100" workbookViewId="0">
      <selection activeCell="F46" sqref="F46"/>
    </sheetView>
  </sheetViews>
  <sheetFormatPr defaultColWidth="9.83203125" defaultRowHeight="12.75" x14ac:dyDescent="0.2"/>
  <cols>
    <col min="1" max="1" width="6.33203125" style="129" customWidth="1"/>
    <col min="2" max="2" width="8.83203125" style="129" bestFit="1" customWidth="1"/>
    <col min="3" max="4" width="20" style="129" customWidth="1"/>
    <col min="5" max="5" width="8.5" style="129" bestFit="1" customWidth="1"/>
    <col min="6" max="9" width="20" style="129" customWidth="1"/>
    <col min="10" max="16384" width="9.83203125" style="129"/>
  </cols>
  <sheetData>
    <row r="1" spans="1:9" x14ac:dyDescent="0.2">
      <c r="A1" s="2088" t="str">
        <f>co</f>
        <v>COLUMBIA GAS OF KENTUCKY, INC.</v>
      </c>
      <c r="B1" s="2088"/>
      <c r="C1" s="2088"/>
      <c r="D1" s="2088"/>
      <c r="E1" s="2088"/>
      <c r="F1" s="2088"/>
      <c r="G1" s="2088"/>
      <c r="H1" s="2088"/>
      <c r="I1" s="2088"/>
    </row>
    <row r="2" spans="1:9" x14ac:dyDescent="0.2">
      <c r="A2" s="2088" t="str">
        <f>case</f>
        <v>CASE NO. 2016 - 00162</v>
      </c>
      <c r="B2" s="2088"/>
      <c r="C2" s="2088"/>
      <c r="D2" s="2088"/>
      <c r="E2" s="2088"/>
      <c r="F2" s="2088"/>
      <c r="G2" s="2088"/>
      <c r="H2" s="2088"/>
      <c r="I2" s="2088"/>
    </row>
    <row r="3" spans="1:9" x14ac:dyDescent="0.2">
      <c r="A3" s="2061" t="s">
        <v>775</v>
      </c>
      <c r="B3" s="2061"/>
      <c r="C3" s="2061"/>
      <c r="D3" s="2061"/>
      <c r="E3" s="2061"/>
      <c r="F3" s="2061"/>
      <c r="G3" s="2061"/>
      <c r="H3" s="2061"/>
      <c r="I3" s="2061"/>
    </row>
    <row r="4" spans="1:9" x14ac:dyDescent="0.2">
      <c r="A4" s="2062" t="str">
        <f>dateb</f>
        <v>AS OF AUGUST 31, 2016</v>
      </c>
      <c r="B4" s="2062"/>
      <c r="C4" s="2062"/>
      <c r="D4" s="2062"/>
      <c r="E4" s="2062"/>
      <c r="F4" s="2062"/>
      <c r="G4" s="2062"/>
      <c r="H4" s="2062"/>
      <c r="I4" s="2062"/>
    </row>
    <row r="6" spans="1:9" x14ac:dyDescent="0.2">
      <c r="A6" s="160" t="s">
        <v>976</v>
      </c>
      <c r="H6" s="160"/>
      <c r="I6" s="164" t="s">
        <v>776</v>
      </c>
    </row>
    <row r="7" spans="1:9" x14ac:dyDescent="0.2">
      <c r="A7" s="160" t="s">
        <v>977</v>
      </c>
      <c r="H7" s="160"/>
      <c r="I7" s="164" t="s">
        <v>628</v>
      </c>
    </row>
    <row r="8" spans="1:9" x14ac:dyDescent="0.2">
      <c r="A8" s="209" t="s">
        <v>996</v>
      </c>
      <c r="B8" s="210"/>
      <c r="C8" s="210"/>
      <c r="D8" s="210"/>
      <c r="E8" s="210"/>
      <c r="F8" s="210"/>
      <c r="G8" s="210"/>
      <c r="H8" s="209"/>
      <c r="I8" s="211" t="str">
        <f>SMK</f>
        <v>WITNESS:  S. M. KATKO</v>
      </c>
    </row>
    <row r="9" spans="1:9" x14ac:dyDescent="0.2">
      <c r="A9" s="214"/>
      <c r="B9" s="214"/>
      <c r="C9" s="214"/>
      <c r="D9" s="214"/>
      <c r="E9" s="214"/>
      <c r="F9" s="214"/>
      <c r="G9" s="215" t="s">
        <v>777</v>
      </c>
      <c r="H9" s="214"/>
      <c r="I9" s="215" t="s">
        <v>765</v>
      </c>
    </row>
    <row r="10" spans="1:9" x14ac:dyDescent="0.2">
      <c r="A10" s="159" t="s">
        <v>632</v>
      </c>
      <c r="B10" s="159" t="s">
        <v>692</v>
      </c>
      <c r="C10" s="159" t="s">
        <v>778</v>
      </c>
      <c r="D10" s="159" t="s">
        <v>779</v>
      </c>
      <c r="E10" s="159" t="s">
        <v>780</v>
      </c>
      <c r="F10" s="159" t="s">
        <v>779</v>
      </c>
      <c r="G10" s="159" t="s">
        <v>781</v>
      </c>
      <c r="H10" s="159" t="s">
        <v>782</v>
      </c>
      <c r="I10" s="159" t="s">
        <v>783</v>
      </c>
    </row>
    <row r="11" spans="1:9" x14ac:dyDescent="0.2">
      <c r="A11" s="167" t="s">
        <v>635</v>
      </c>
      <c r="B11" s="167" t="s">
        <v>635</v>
      </c>
      <c r="C11" s="167" t="s">
        <v>784</v>
      </c>
      <c r="D11" s="167" t="s">
        <v>780</v>
      </c>
      <c r="E11" s="167" t="s">
        <v>785</v>
      </c>
      <c r="F11" s="167" t="s">
        <v>760</v>
      </c>
      <c r="G11" s="167" t="s">
        <v>786</v>
      </c>
      <c r="H11" s="167" t="s">
        <v>779</v>
      </c>
      <c r="I11" s="167" t="s">
        <v>787</v>
      </c>
    </row>
    <row r="14" spans="1:9" x14ac:dyDescent="0.2">
      <c r="D14" s="10"/>
      <c r="E14" s="128"/>
      <c r="F14" s="10"/>
      <c r="G14" s="10"/>
      <c r="H14" s="10"/>
    </row>
    <row r="15" spans="1:9" x14ac:dyDescent="0.2">
      <c r="D15" s="10"/>
      <c r="F15" s="10"/>
      <c r="G15" s="10"/>
    </row>
    <row r="16" spans="1:9" x14ac:dyDescent="0.2">
      <c r="D16" s="10"/>
      <c r="E16" s="128"/>
      <c r="F16" s="160" t="s">
        <v>788</v>
      </c>
      <c r="G16" s="10"/>
      <c r="H16" s="10"/>
    </row>
    <row r="17" spans="4:8" x14ac:dyDescent="0.2">
      <c r="D17" s="10"/>
      <c r="F17" s="10"/>
      <c r="H17" s="10"/>
    </row>
    <row r="18" spans="4:8" x14ac:dyDescent="0.2">
      <c r="D18" s="10"/>
      <c r="E18" s="128"/>
      <c r="F18" s="10"/>
      <c r="G18" s="10"/>
      <c r="H18" s="10"/>
    </row>
    <row r="19" spans="4:8" x14ac:dyDescent="0.2">
      <c r="D19" s="10"/>
      <c r="F19" s="10"/>
      <c r="G19" s="10"/>
      <c r="H19" s="10"/>
    </row>
    <row r="20" spans="4:8" x14ac:dyDescent="0.2">
      <c r="D20" s="10"/>
      <c r="E20" s="128"/>
      <c r="F20" s="10"/>
      <c r="G20" s="10"/>
      <c r="H20" s="10"/>
    </row>
    <row r="21" spans="4:8" x14ac:dyDescent="0.2">
      <c r="D21" s="10"/>
      <c r="F21" s="10"/>
      <c r="G21" s="10"/>
      <c r="H21" s="10"/>
    </row>
    <row r="22" spans="4:8" x14ac:dyDescent="0.2">
      <c r="D22" s="10"/>
      <c r="E22" s="128"/>
      <c r="F22" s="10"/>
      <c r="G22" s="10"/>
      <c r="H22" s="10"/>
    </row>
    <row r="23" spans="4:8" x14ac:dyDescent="0.2">
      <c r="D23" s="10"/>
      <c r="F23" s="10"/>
      <c r="G23" s="10"/>
      <c r="H23" s="10"/>
    </row>
    <row r="24" spans="4:8" x14ac:dyDescent="0.2">
      <c r="D24" s="10"/>
      <c r="E24" s="128"/>
      <c r="F24" s="10"/>
      <c r="G24" s="10"/>
      <c r="H24" s="10"/>
    </row>
    <row r="25" spans="4:8" x14ac:dyDescent="0.2">
      <c r="D25" s="10"/>
      <c r="F25" s="10"/>
      <c r="G25" s="10"/>
      <c r="H25" s="10"/>
    </row>
    <row r="26" spans="4:8" x14ac:dyDescent="0.2">
      <c r="D26" s="10"/>
      <c r="E26" s="128"/>
      <c r="F26" s="10"/>
      <c r="G26" s="10"/>
      <c r="H26" s="10"/>
    </row>
    <row r="27" spans="4:8" x14ac:dyDescent="0.2">
      <c r="D27" s="10"/>
      <c r="F27" s="10"/>
      <c r="G27" s="10"/>
      <c r="H27" s="10"/>
    </row>
    <row r="28" spans="4:8" x14ac:dyDescent="0.2">
      <c r="D28" s="10"/>
      <c r="E28" s="128"/>
      <c r="F28" s="10"/>
      <c r="G28" s="10"/>
      <c r="H28" s="10"/>
    </row>
    <row r="29" spans="4:8" x14ac:dyDescent="0.2">
      <c r="D29" s="10"/>
      <c r="F29" s="10"/>
      <c r="G29" s="10"/>
      <c r="H29" s="10"/>
    </row>
    <row r="30" spans="4:8" x14ac:dyDescent="0.2">
      <c r="F30" s="10"/>
      <c r="G30" s="10"/>
    </row>
    <row r="31" spans="4:8" x14ac:dyDescent="0.2">
      <c r="F31" s="10"/>
      <c r="G31" s="10"/>
    </row>
  </sheetData>
  <mergeCells count="4">
    <mergeCell ref="A4:I4"/>
    <mergeCell ref="A3:I3"/>
    <mergeCell ref="A2:I2"/>
    <mergeCell ref="A1:I1"/>
  </mergeCells>
  <phoneticPr fontId="0" type="noConversion"/>
  <pageMargins left="1" right="0.5" top="1" bottom="0.75" header="0.3" footer="0.3"/>
  <pageSetup scale="79" fitToHeight="0" orientation="portrait" r:id="rId1"/>
  <headerFooter>
    <oddHeader>&amp;R&amp;"Arial,Regular"&amp;10KY PSC Case No. 2016-00162, Attachment A to Staff 3-4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01">
    <pageSetUpPr fitToPage="1"/>
  </sheetPr>
  <dimension ref="A1:I31"/>
  <sheetViews>
    <sheetView showGridLines="0" view="pageBreakPreview" zoomScale="60" zoomScaleNormal="100" workbookViewId="0">
      <selection activeCell="F46" sqref="F46"/>
    </sheetView>
  </sheetViews>
  <sheetFormatPr defaultColWidth="9.83203125" defaultRowHeight="12.75" x14ac:dyDescent="0.2"/>
  <cols>
    <col min="1" max="1" width="6.33203125" style="129" customWidth="1"/>
    <col min="2" max="2" width="8.83203125" style="129" bestFit="1" customWidth="1"/>
    <col min="3" max="4" width="20" style="129" customWidth="1"/>
    <col min="5" max="5" width="8.5" style="129" bestFit="1" customWidth="1"/>
    <col min="6" max="9" width="20" style="129" customWidth="1"/>
    <col min="10" max="16384" width="9.83203125" style="129"/>
  </cols>
  <sheetData>
    <row r="1" spans="1:9" x14ac:dyDescent="0.2">
      <c r="A1" s="2088" t="str">
        <f>co</f>
        <v>COLUMBIA GAS OF KENTUCKY, INC.</v>
      </c>
      <c r="B1" s="2088"/>
      <c r="C1" s="2088"/>
      <c r="D1" s="2088"/>
      <c r="E1" s="2088"/>
      <c r="F1" s="2088"/>
      <c r="G1" s="2088"/>
      <c r="H1" s="2088"/>
      <c r="I1" s="2088"/>
    </row>
    <row r="2" spans="1:9" x14ac:dyDescent="0.2">
      <c r="A2" s="2088" t="str">
        <f>case</f>
        <v>CASE NO. 2016 - 00162</v>
      </c>
      <c r="B2" s="2088"/>
      <c r="C2" s="2088"/>
      <c r="D2" s="2088"/>
      <c r="E2" s="2088"/>
      <c r="F2" s="2088"/>
      <c r="G2" s="2088"/>
      <c r="H2" s="2088"/>
      <c r="I2" s="2088"/>
    </row>
    <row r="3" spans="1:9" x14ac:dyDescent="0.2">
      <c r="A3" s="2061" t="s">
        <v>775</v>
      </c>
      <c r="B3" s="2061"/>
      <c r="C3" s="2061"/>
      <c r="D3" s="2061"/>
      <c r="E3" s="2061"/>
      <c r="F3" s="2061"/>
      <c r="G3" s="2061"/>
      <c r="H3" s="2061"/>
      <c r="I3" s="2061"/>
    </row>
    <row r="4" spans="1:9" x14ac:dyDescent="0.2">
      <c r="A4" s="2062" t="str">
        <f>datef</f>
        <v>AS OF DECEMBER 31, 2017</v>
      </c>
      <c r="B4" s="2062"/>
      <c r="C4" s="2062"/>
      <c r="D4" s="2062"/>
      <c r="E4" s="2062"/>
      <c r="F4" s="2062"/>
      <c r="G4" s="2062"/>
      <c r="H4" s="2062"/>
      <c r="I4" s="2062"/>
    </row>
    <row r="6" spans="1:9" x14ac:dyDescent="0.2">
      <c r="A6" s="508" t="s">
        <v>1109</v>
      </c>
      <c r="H6" s="160"/>
      <c r="I6" s="164" t="s">
        <v>776</v>
      </c>
    </row>
    <row r="7" spans="1:9" x14ac:dyDescent="0.2">
      <c r="A7" s="160" t="s">
        <v>977</v>
      </c>
      <c r="H7" s="160"/>
      <c r="I7" s="1251" t="s">
        <v>1111</v>
      </c>
    </row>
    <row r="8" spans="1:9" x14ac:dyDescent="0.2">
      <c r="A8" s="209" t="s">
        <v>996</v>
      </c>
      <c r="B8" s="210"/>
      <c r="C8" s="210"/>
      <c r="D8" s="210"/>
      <c r="E8" s="210"/>
      <c r="F8" s="210"/>
      <c r="G8" s="210"/>
      <c r="H8" s="209"/>
      <c r="I8" s="211" t="str">
        <f>SMK</f>
        <v>WITNESS:  S. M. KATKO</v>
      </c>
    </row>
    <row r="9" spans="1:9" x14ac:dyDescent="0.2">
      <c r="A9" s="214"/>
      <c r="B9" s="214"/>
      <c r="C9" s="214"/>
      <c r="D9" s="214"/>
      <c r="E9" s="214"/>
      <c r="F9" s="214"/>
      <c r="G9" s="215" t="s">
        <v>777</v>
      </c>
      <c r="H9" s="214"/>
      <c r="I9" s="215" t="s">
        <v>765</v>
      </c>
    </row>
    <row r="10" spans="1:9" x14ac:dyDescent="0.2">
      <c r="A10" s="159" t="s">
        <v>632</v>
      </c>
      <c r="B10" s="159" t="s">
        <v>692</v>
      </c>
      <c r="C10" s="159" t="s">
        <v>778</v>
      </c>
      <c r="D10" s="159" t="s">
        <v>779</v>
      </c>
      <c r="E10" s="159" t="s">
        <v>780</v>
      </c>
      <c r="F10" s="159" t="s">
        <v>779</v>
      </c>
      <c r="G10" s="159" t="s">
        <v>781</v>
      </c>
      <c r="H10" s="159" t="s">
        <v>782</v>
      </c>
      <c r="I10" s="159" t="s">
        <v>783</v>
      </c>
    </row>
    <row r="11" spans="1:9" x14ac:dyDescent="0.2">
      <c r="A11" s="167" t="s">
        <v>635</v>
      </c>
      <c r="B11" s="167" t="s">
        <v>635</v>
      </c>
      <c r="C11" s="167" t="s">
        <v>784</v>
      </c>
      <c r="D11" s="167" t="s">
        <v>780</v>
      </c>
      <c r="E11" s="167" t="s">
        <v>785</v>
      </c>
      <c r="F11" s="167" t="s">
        <v>760</v>
      </c>
      <c r="G11" s="167" t="s">
        <v>786</v>
      </c>
      <c r="H11" s="167" t="s">
        <v>779</v>
      </c>
      <c r="I11" s="167" t="s">
        <v>787</v>
      </c>
    </row>
    <row r="14" spans="1:9" x14ac:dyDescent="0.2">
      <c r="D14" s="10"/>
      <c r="E14" s="128"/>
      <c r="F14" s="10"/>
      <c r="G14" s="10"/>
      <c r="H14" s="10"/>
    </row>
    <row r="15" spans="1:9" x14ac:dyDescent="0.2">
      <c r="D15" s="10"/>
      <c r="F15" s="10"/>
      <c r="G15" s="10"/>
    </row>
    <row r="16" spans="1:9" x14ac:dyDescent="0.2">
      <c r="D16" s="10"/>
      <c r="E16" s="128"/>
      <c r="F16" s="160" t="s">
        <v>788</v>
      </c>
      <c r="G16" s="10"/>
      <c r="H16" s="10"/>
    </row>
    <row r="17" spans="4:8" x14ac:dyDescent="0.2">
      <c r="D17" s="10"/>
      <c r="F17" s="10"/>
      <c r="H17" s="10"/>
    </row>
    <row r="18" spans="4:8" x14ac:dyDescent="0.2">
      <c r="D18" s="10"/>
      <c r="E18" s="128"/>
      <c r="F18" s="10"/>
      <c r="G18" s="10"/>
      <c r="H18" s="10"/>
    </row>
    <row r="19" spans="4:8" x14ac:dyDescent="0.2">
      <c r="D19" s="10"/>
      <c r="F19" s="10"/>
      <c r="G19" s="10"/>
      <c r="H19" s="10"/>
    </row>
    <row r="20" spans="4:8" x14ac:dyDescent="0.2">
      <c r="D20" s="10"/>
      <c r="E20" s="128"/>
      <c r="F20" s="10"/>
      <c r="G20" s="10"/>
      <c r="H20" s="10"/>
    </row>
    <row r="21" spans="4:8" x14ac:dyDescent="0.2">
      <c r="D21" s="10"/>
      <c r="F21" s="10"/>
      <c r="G21" s="10"/>
      <c r="H21" s="10"/>
    </row>
    <row r="22" spans="4:8" x14ac:dyDescent="0.2">
      <c r="D22" s="10"/>
      <c r="E22" s="128"/>
      <c r="F22" s="10"/>
      <c r="G22" s="10"/>
      <c r="H22" s="10"/>
    </row>
    <row r="23" spans="4:8" x14ac:dyDescent="0.2">
      <c r="D23" s="10"/>
      <c r="F23" s="10"/>
      <c r="G23" s="10"/>
      <c r="H23" s="10"/>
    </row>
    <row r="24" spans="4:8" x14ac:dyDescent="0.2">
      <c r="D24" s="10"/>
      <c r="E24" s="128"/>
      <c r="F24" s="10"/>
      <c r="G24" s="10"/>
      <c r="H24" s="10"/>
    </row>
    <row r="25" spans="4:8" x14ac:dyDescent="0.2">
      <c r="D25" s="10"/>
      <c r="F25" s="10"/>
      <c r="G25" s="10"/>
      <c r="H25" s="10"/>
    </row>
    <row r="26" spans="4:8" x14ac:dyDescent="0.2">
      <c r="D26" s="10"/>
      <c r="E26" s="128"/>
      <c r="F26" s="10"/>
      <c r="G26" s="10"/>
      <c r="H26" s="10"/>
    </row>
    <row r="27" spans="4:8" x14ac:dyDescent="0.2">
      <c r="D27" s="10"/>
      <c r="F27" s="10"/>
      <c r="G27" s="10"/>
      <c r="H27" s="10"/>
    </row>
    <row r="28" spans="4:8" x14ac:dyDescent="0.2">
      <c r="D28" s="10"/>
      <c r="E28" s="128"/>
      <c r="F28" s="10"/>
      <c r="G28" s="10"/>
      <c r="H28" s="10"/>
    </row>
    <row r="29" spans="4:8" x14ac:dyDescent="0.2">
      <c r="D29" s="10"/>
      <c r="F29" s="10"/>
      <c r="G29" s="10"/>
      <c r="H29" s="10"/>
    </row>
    <row r="30" spans="4:8" x14ac:dyDescent="0.2">
      <c r="F30" s="10"/>
      <c r="G30" s="10"/>
    </row>
    <row r="31" spans="4:8" x14ac:dyDescent="0.2">
      <c r="F31" s="10"/>
      <c r="G31" s="10"/>
    </row>
  </sheetData>
  <mergeCells count="4">
    <mergeCell ref="A1:I1"/>
    <mergeCell ref="A2:I2"/>
    <mergeCell ref="A3:I3"/>
    <mergeCell ref="A4:I4"/>
  </mergeCells>
  <pageMargins left="1" right="0.5" top="1" bottom="0.75" header="0.3" footer="0.3"/>
  <pageSetup scale="79" fitToHeight="0" orientation="portrait" r:id="rId1"/>
  <headerFooter>
    <oddHeader>&amp;R&amp;"Arial,Regular"&amp;10KY PSC Case No. 2016-00162, Attachment A to Staff 3-4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8">
    <pageSetUpPr fitToPage="1"/>
  </sheetPr>
  <dimension ref="A1:H33"/>
  <sheetViews>
    <sheetView showGridLines="0" view="pageBreakPreview" zoomScale="60" zoomScaleNormal="100" workbookViewId="0">
      <selection activeCell="F46" sqref="F46"/>
    </sheetView>
  </sheetViews>
  <sheetFormatPr defaultColWidth="9.83203125" defaultRowHeight="12.75" x14ac:dyDescent="0.2"/>
  <cols>
    <col min="1" max="1" width="7.83203125" style="129" customWidth="1"/>
    <col min="2" max="2" width="20.5" style="129" bestFit="1" customWidth="1"/>
    <col min="3" max="3" width="27.6640625" style="129" bestFit="1" customWidth="1"/>
    <col min="4" max="4" width="24.1640625" style="129" customWidth="1"/>
    <col min="5" max="5" width="91" style="129" bestFit="1" customWidth="1"/>
    <col min="6" max="8" width="24.1640625" style="129" customWidth="1"/>
    <col min="9" max="16384" width="9.83203125" style="129"/>
  </cols>
  <sheetData>
    <row r="1" spans="1:8" x14ac:dyDescent="0.2">
      <c r="A1" s="2088" t="str">
        <f>co</f>
        <v>COLUMBIA GAS OF KENTUCKY, INC.</v>
      </c>
      <c r="B1" s="2088"/>
      <c r="C1" s="2088"/>
      <c r="D1" s="2088"/>
      <c r="E1" s="2088"/>
      <c r="F1" s="2088"/>
      <c r="G1" s="2088"/>
      <c r="H1" s="2088"/>
    </row>
    <row r="2" spans="1:8" x14ac:dyDescent="0.2">
      <c r="A2" s="2088" t="str">
        <f>case</f>
        <v>CASE NO. 2016 - 00162</v>
      </c>
      <c r="B2" s="2088"/>
      <c r="C2" s="2088"/>
      <c r="D2" s="2088"/>
      <c r="E2" s="2088"/>
      <c r="F2" s="2088"/>
      <c r="G2" s="2088"/>
      <c r="H2" s="2088"/>
    </row>
    <row r="3" spans="1:8" x14ac:dyDescent="0.2">
      <c r="A3" s="2061" t="s">
        <v>789</v>
      </c>
      <c r="B3" s="2061"/>
      <c r="C3" s="2061"/>
      <c r="D3" s="2061"/>
      <c r="E3" s="2061"/>
      <c r="F3" s="2061"/>
      <c r="G3" s="2061"/>
      <c r="H3" s="2061"/>
    </row>
    <row r="4" spans="1:8" x14ac:dyDescent="0.2">
      <c r="A4" s="2088" t="str">
        <f>dateb</f>
        <v>AS OF AUGUST 31, 2016</v>
      </c>
      <c r="B4" s="2088"/>
      <c r="C4" s="2088"/>
      <c r="D4" s="2088"/>
      <c r="E4" s="2088"/>
      <c r="F4" s="2088"/>
      <c r="G4" s="2088"/>
      <c r="H4" s="2088"/>
    </row>
    <row r="6" spans="1:8" x14ac:dyDescent="0.2">
      <c r="A6" s="160" t="s">
        <v>976</v>
      </c>
      <c r="H6" s="164" t="s">
        <v>790</v>
      </c>
    </row>
    <row r="7" spans="1:8" x14ac:dyDescent="0.2">
      <c r="A7" s="160" t="s">
        <v>977</v>
      </c>
      <c r="H7" s="164" t="s">
        <v>628</v>
      </c>
    </row>
    <row r="8" spans="1:8" x14ac:dyDescent="0.2">
      <c r="A8" s="209" t="s">
        <v>996</v>
      </c>
      <c r="B8" s="210"/>
      <c r="C8" s="210"/>
      <c r="D8" s="210"/>
      <c r="E8" s="210"/>
      <c r="F8" s="210"/>
      <c r="G8" s="210"/>
      <c r="H8" s="211" t="str">
        <f>SMK</f>
        <v>WITNESS:  S. M. KATKO</v>
      </c>
    </row>
    <row r="9" spans="1:8" x14ac:dyDescent="0.2">
      <c r="A9" s="214"/>
      <c r="B9" s="214"/>
      <c r="C9" s="214"/>
      <c r="D9" s="214"/>
      <c r="E9" s="214"/>
      <c r="F9" s="214"/>
      <c r="G9" s="215" t="s">
        <v>791</v>
      </c>
      <c r="H9" s="214"/>
    </row>
    <row r="10" spans="1:8" x14ac:dyDescent="0.2">
      <c r="B10" s="159" t="s">
        <v>792</v>
      </c>
      <c r="G10" s="159" t="s">
        <v>793</v>
      </c>
    </row>
    <row r="11" spans="1:8" x14ac:dyDescent="0.2">
      <c r="A11" s="159" t="s">
        <v>632</v>
      </c>
      <c r="B11" s="159" t="s">
        <v>794</v>
      </c>
      <c r="C11" s="159" t="s">
        <v>795</v>
      </c>
      <c r="D11" s="159" t="s">
        <v>796</v>
      </c>
      <c r="E11" s="159" t="s">
        <v>797</v>
      </c>
      <c r="F11" s="159" t="s">
        <v>798</v>
      </c>
      <c r="G11" s="159" t="s">
        <v>799</v>
      </c>
      <c r="H11" s="159" t="s">
        <v>800</v>
      </c>
    </row>
    <row r="12" spans="1:8" x14ac:dyDescent="0.2">
      <c r="A12" s="167" t="s">
        <v>635</v>
      </c>
      <c r="B12" s="167" t="s">
        <v>801</v>
      </c>
      <c r="C12" s="167" t="s">
        <v>802</v>
      </c>
      <c r="D12" s="167" t="s">
        <v>803</v>
      </c>
      <c r="E12" s="167" t="s">
        <v>804</v>
      </c>
      <c r="F12" s="167" t="s">
        <v>805</v>
      </c>
      <c r="G12" s="167" t="s">
        <v>772</v>
      </c>
      <c r="H12" s="167" t="s">
        <v>806</v>
      </c>
    </row>
    <row r="15" spans="1:8" x14ac:dyDescent="0.2">
      <c r="D15" s="10"/>
      <c r="E15" s="10"/>
      <c r="F15" s="10"/>
      <c r="G15" s="10"/>
    </row>
    <row r="16" spans="1:8" x14ac:dyDescent="0.2">
      <c r="D16" s="10"/>
      <c r="E16" s="10"/>
      <c r="F16" s="10"/>
    </row>
    <row r="17" spans="4:7" x14ac:dyDescent="0.2">
      <c r="D17" s="10"/>
      <c r="E17" s="159" t="s">
        <v>807</v>
      </c>
      <c r="F17" s="10"/>
      <c r="G17" s="10"/>
    </row>
    <row r="18" spans="4:7" x14ac:dyDescent="0.2">
      <c r="D18" s="10"/>
      <c r="E18" s="10"/>
      <c r="G18" s="10"/>
    </row>
    <row r="19" spans="4:7" x14ac:dyDescent="0.2">
      <c r="D19" s="10"/>
      <c r="E19" s="10"/>
      <c r="F19" s="10"/>
      <c r="G19" s="10"/>
    </row>
    <row r="20" spans="4:7" x14ac:dyDescent="0.2">
      <c r="D20" s="10"/>
      <c r="E20" s="10"/>
      <c r="F20" s="10"/>
      <c r="G20" s="10"/>
    </row>
    <row r="21" spans="4:7" x14ac:dyDescent="0.2">
      <c r="D21" s="10"/>
      <c r="E21" s="10"/>
      <c r="F21" s="10"/>
      <c r="G21" s="10"/>
    </row>
    <row r="22" spans="4:7" x14ac:dyDescent="0.2">
      <c r="D22" s="10"/>
      <c r="E22" s="10"/>
      <c r="F22" s="10"/>
      <c r="G22" s="10"/>
    </row>
    <row r="23" spans="4:7" x14ac:dyDescent="0.2">
      <c r="D23" s="10"/>
      <c r="E23" s="10"/>
      <c r="F23" s="10"/>
      <c r="G23" s="10"/>
    </row>
    <row r="24" spans="4:7" x14ac:dyDescent="0.2">
      <c r="D24" s="10"/>
      <c r="E24" s="10"/>
      <c r="F24" s="10"/>
      <c r="G24" s="10"/>
    </row>
    <row r="25" spans="4:7" x14ac:dyDescent="0.2">
      <c r="D25" s="10"/>
      <c r="E25" s="10"/>
      <c r="F25" s="10"/>
      <c r="G25" s="10"/>
    </row>
    <row r="26" spans="4:7" x14ac:dyDescent="0.2">
      <c r="D26" s="10"/>
      <c r="E26" s="10"/>
      <c r="F26" s="10"/>
      <c r="G26" s="10"/>
    </row>
    <row r="27" spans="4:7" x14ac:dyDescent="0.2">
      <c r="D27" s="10"/>
      <c r="E27" s="10"/>
      <c r="F27" s="10"/>
      <c r="G27" s="10"/>
    </row>
    <row r="28" spans="4:7" x14ac:dyDescent="0.2">
      <c r="D28" s="10"/>
      <c r="E28" s="10"/>
      <c r="F28" s="10"/>
      <c r="G28" s="10"/>
    </row>
    <row r="29" spans="4:7" x14ac:dyDescent="0.2">
      <c r="E29" s="10"/>
      <c r="F29" s="10"/>
    </row>
    <row r="30" spans="4:7" x14ac:dyDescent="0.2">
      <c r="E30" s="10"/>
      <c r="F30" s="10"/>
    </row>
    <row r="31" spans="4:7" x14ac:dyDescent="0.2">
      <c r="E31" s="10"/>
      <c r="F31" s="10"/>
    </row>
    <row r="32" spans="4:7" x14ac:dyDescent="0.2">
      <c r="E32" s="10"/>
      <c r="F32" s="10"/>
    </row>
    <row r="33" spans="5:6" x14ac:dyDescent="0.2">
      <c r="E33" s="10"/>
      <c r="F33" s="10"/>
    </row>
  </sheetData>
  <mergeCells count="4">
    <mergeCell ref="A4:H4"/>
    <mergeCell ref="A3:H3"/>
    <mergeCell ref="A2:H2"/>
    <mergeCell ref="A1:H1"/>
  </mergeCells>
  <phoneticPr fontId="0" type="noConversion"/>
  <pageMargins left="1" right="0.5" top="1" bottom="0.75" header="0.3" footer="0.3"/>
  <pageSetup scale="46" fitToHeight="0" orientation="portrait" r:id="rId1"/>
  <headerFooter>
    <oddHeader>&amp;R&amp;"Arial,Regular"&amp;10KY PSC Case No. 2016-00162, Attachment A to Staff 3-4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02">
    <pageSetUpPr fitToPage="1"/>
  </sheetPr>
  <dimension ref="A1:H33"/>
  <sheetViews>
    <sheetView showGridLines="0" view="pageBreakPreview" zoomScale="60" zoomScaleNormal="100" workbookViewId="0">
      <selection activeCell="F46" sqref="F46"/>
    </sheetView>
  </sheetViews>
  <sheetFormatPr defaultColWidth="9.83203125" defaultRowHeight="12.75" x14ac:dyDescent="0.2"/>
  <cols>
    <col min="1" max="1" width="7.83203125" style="129" customWidth="1"/>
    <col min="2" max="2" width="20.5" style="129" bestFit="1" customWidth="1"/>
    <col min="3" max="3" width="27.6640625" style="129" bestFit="1" customWidth="1"/>
    <col min="4" max="4" width="24.1640625" style="129" customWidth="1"/>
    <col min="5" max="5" width="91" style="129" bestFit="1" customWidth="1"/>
    <col min="6" max="8" width="24.1640625" style="129" customWidth="1"/>
    <col min="9" max="16384" width="9.83203125" style="129"/>
  </cols>
  <sheetData>
    <row r="1" spans="1:8" x14ac:dyDescent="0.2">
      <c r="A1" s="2088" t="str">
        <f>co</f>
        <v>COLUMBIA GAS OF KENTUCKY, INC.</v>
      </c>
      <c r="B1" s="2088"/>
      <c r="C1" s="2088"/>
      <c r="D1" s="2088"/>
      <c r="E1" s="2088"/>
      <c r="F1" s="2088"/>
      <c r="G1" s="2088"/>
      <c r="H1" s="2088"/>
    </row>
    <row r="2" spans="1:8" x14ac:dyDescent="0.2">
      <c r="A2" s="2088" t="str">
        <f>case</f>
        <v>CASE NO. 2016 - 00162</v>
      </c>
      <c r="B2" s="2088"/>
      <c r="C2" s="2088"/>
      <c r="D2" s="2088"/>
      <c r="E2" s="2088"/>
      <c r="F2" s="2088"/>
      <c r="G2" s="2088"/>
      <c r="H2" s="2088"/>
    </row>
    <row r="3" spans="1:8" x14ac:dyDescent="0.2">
      <c r="A3" s="2061" t="s">
        <v>789</v>
      </c>
      <c r="B3" s="2061"/>
      <c r="C3" s="2061"/>
      <c r="D3" s="2061"/>
      <c r="E3" s="2061"/>
      <c r="F3" s="2061"/>
      <c r="G3" s="2061"/>
      <c r="H3" s="2061"/>
    </row>
    <row r="4" spans="1:8" x14ac:dyDescent="0.2">
      <c r="A4" s="2088" t="str">
        <f>datef</f>
        <v>AS OF DECEMBER 31, 2017</v>
      </c>
      <c r="B4" s="2088"/>
      <c r="C4" s="2088"/>
      <c r="D4" s="2088"/>
      <c r="E4" s="2088"/>
      <c r="F4" s="2088"/>
      <c r="G4" s="2088"/>
      <c r="H4" s="2088"/>
    </row>
    <row r="6" spans="1:8" x14ac:dyDescent="0.2">
      <c r="A6" s="508" t="s">
        <v>1109</v>
      </c>
      <c r="H6" s="164" t="s">
        <v>790</v>
      </c>
    </row>
    <row r="7" spans="1:8" x14ac:dyDescent="0.2">
      <c r="A7" s="160" t="s">
        <v>977</v>
      </c>
      <c r="H7" s="1251" t="s">
        <v>1111</v>
      </c>
    </row>
    <row r="8" spans="1:8" x14ac:dyDescent="0.2">
      <c r="A8" s="209" t="s">
        <v>996</v>
      </c>
      <c r="B8" s="210"/>
      <c r="C8" s="210"/>
      <c r="D8" s="210"/>
      <c r="E8" s="210"/>
      <c r="F8" s="210"/>
      <c r="G8" s="210"/>
      <c r="H8" s="211" t="str">
        <f>SMK</f>
        <v>WITNESS:  S. M. KATKO</v>
      </c>
    </row>
    <row r="9" spans="1:8" x14ac:dyDescent="0.2">
      <c r="A9" s="214"/>
      <c r="B9" s="214"/>
      <c r="C9" s="214"/>
      <c r="D9" s="214"/>
      <c r="E9" s="214"/>
      <c r="F9" s="214"/>
      <c r="G9" s="215" t="s">
        <v>791</v>
      </c>
      <c r="H9" s="214"/>
    </row>
    <row r="10" spans="1:8" x14ac:dyDescent="0.2">
      <c r="B10" s="159" t="s">
        <v>792</v>
      </c>
      <c r="G10" s="159" t="s">
        <v>793</v>
      </c>
    </row>
    <row r="11" spans="1:8" x14ac:dyDescent="0.2">
      <c r="A11" s="159" t="s">
        <v>632</v>
      </c>
      <c r="B11" s="159" t="s">
        <v>794</v>
      </c>
      <c r="C11" s="159" t="s">
        <v>795</v>
      </c>
      <c r="D11" s="159" t="s">
        <v>796</v>
      </c>
      <c r="E11" s="159" t="s">
        <v>797</v>
      </c>
      <c r="F11" s="159" t="s">
        <v>798</v>
      </c>
      <c r="G11" s="159" t="s">
        <v>799</v>
      </c>
      <c r="H11" s="159" t="s">
        <v>800</v>
      </c>
    </row>
    <row r="12" spans="1:8" x14ac:dyDescent="0.2">
      <c r="A12" s="167" t="s">
        <v>635</v>
      </c>
      <c r="B12" s="167" t="s">
        <v>801</v>
      </c>
      <c r="C12" s="167" t="s">
        <v>802</v>
      </c>
      <c r="D12" s="167" t="s">
        <v>803</v>
      </c>
      <c r="E12" s="167" t="s">
        <v>804</v>
      </c>
      <c r="F12" s="167" t="s">
        <v>805</v>
      </c>
      <c r="G12" s="167" t="s">
        <v>772</v>
      </c>
      <c r="H12" s="167" t="s">
        <v>806</v>
      </c>
    </row>
    <row r="15" spans="1:8" x14ac:dyDescent="0.2">
      <c r="D15" s="10"/>
      <c r="E15" s="10"/>
      <c r="F15" s="10"/>
      <c r="G15" s="10"/>
    </row>
    <row r="16" spans="1:8" x14ac:dyDescent="0.2">
      <c r="D16" s="10"/>
      <c r="E16" s="10"/>
      <c r="F16" s="10"/>
    </row>
    <row r="17" spans="4:7" x14ac:dyDescent="0.2">
      <c r="D17" s="10"/>
      <c r="E17" s="159" t="s">
        <v>807</v>
      </c>
      <c r="F17" s="10"/>
      <c r="G17" s="10"/>
    </row>
    <row r="18" spans="4:7" x14ac:dyDescent="0.2">
      <c r="D18" s="10"/>
      <c r="E18" s="10"/>
      <c r="G18" s="10"/>
    </row>
    <row r="19" spans="4:7" x14ac:dyDescent="0.2">
      <c r="D19" s="10"/>
      <c r="E19" s="10"/>
      <c r="F19" s="10"/>
      <c r="G19" s="10"/>
    </row>
    <row r="20" spans="4:7" x14ac:dyDescent="0.2">
      <c r="D20" s="10"/>
      <c r="E20" s="10"/>
      <c r="F20" s="10"/>
      <c r="G20" s="10"/>
    </row>
    <row r="21" spans="4:7" x14ac:dyDescent="0.2">
      <c r="D21" s="10"/>
      <c r="E21" s="10"/>
      <c r="F21" s="10"/>
      <c r="G21" s="10"/>
    </row>
    <row r="22" spans="4:7" x14ac:dyDescent="0.2">
      <c r="D22" s="10"/>
      <c r="E22" s="10"/>
      <c r="F22" s="10"/>
      <c r="G22" s="10"/>
    </row>
    <row r="23" spans="4:7" x14ac:dyDescent="0.2">
      <c r="D23" s="10"/>
      <c r="E23" s="10"/>
      <c r="F23" s="10"/>
      <c r="G23" s="10"/>
    </row>
    <row r="24" spans="4:7" x14ac:dyDescent="0.2">
      <c r="D24" s="10"/>
      <c r="E24" s="10"/>
      <c r="F24" s="10"/>
      <c r="G24" s="10"/>
    </row>
    <row r="25" spans="4:7" x14ac:dyDescent="0.2">
      <c r="D25" s="10"/>
      <c r="E25" s="10"/>
      <c r="F25" s="10"/>
      <c r="G25" s="10"/>
    </row>
    <row r="26" spans="4:7" x14ac:dyDescent="0.2">
      <c r="D26" s="10"/>
      <c r="E26" s="10"/>
      <c r="F26" s="10"/>
      <c r="G26" s="10"/>
    </row>
    <row r="27" spans="4:7" x14ac:dyDescent="0.2">
      <c r="D27" s="10"/>
      <c r="E27" s="10"/>
      <c r="F27" s="10"/>
      <c r="G27" s="10"/>
    </row>
    <row r="28" spans="4:7" x14ac:dyDescent="0.2">
      <c r="D28" s="10"/>
      <c r="E28" s="10"/>
      <c r="F28" s="10"/>
      <c r="G28" s="10"/>
    </row>
    <row r="29" spans="4:7" x14ac:dyDescent="0.2">
      <c r="E29" s="10"/>
      <c r="F29" s="10"/>
    </row>
    <row r="30" spans="4:7" x14ac:dyDescent="0.2">
      <c r="E30" s="10"/>
      <c r="F30" s="10"/>
    </row>
    <row r="31" spans="4:7" x14ac:dyDescent="0.2">
      <c r="E31" s="10"/>
      <c r="F31" s="10"/>
    </row>
    <row r="32" spans="4:7" x14ac:dyDescent="0.2">
      <c r="E32" s="10"/>
      <c r="F32" s="10"/>
    </row>
    <row r="33" spans="5:6" x14ac:dyDescent="0.2">
      <c r="E33" s="10"/>
      <c r="F33" s="10"/>
    </row>
  </sheetData>
  <mergeCells count="4">
    <mergeCell ref="A1:H1"/>
    <mergeCell ref="A2:H2"/>
    <mergeCell ref="A3:H3"/>
    <mergeCell ref="A4:H4"/>
  </mergeCells>
  <pageMargins left="1" right="0.5" top="1" bottom="0.75" header="0.3" footer="0.3"/>
  <pageSetup scale="46" fitToHeight="0" orientation="portrait" r:id="rId1"/>
  <headerFooter>
    <oddHeader>&amp;R&amp;"Arial,Regular"&amp;10KY PSC Case No. 2016-00162, Attachment A to Staff 3-4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9">
    <pageSetUpPr fitToPage="1"/>
  </sheetPr>
  <dimension ref="A1:L39"/>
  <sheetViews>
    <sheetView showGridLines="0" view="pageBreakPreview" zoomScale="60" zoomScaleNormal="100" workbookViewId="0">
      <selection activeCell="F46" sqref="F46"/>
    </sheetView>
  </sheetViews>
  <sheetFormatPr defaultColWidth="9.83203125" defaultRowHeight="12.75" x14ac:dyDescent="0.2"/>
  <cols>
    <col min="1" max="1" width="6.33203125" style="129" customWidth="1"/>
    <col min="2" max="2" width="19.6640625" style="129" bestFit="1" customWidth="1"/>
    <col min="3" max="3" width="17.1640625" style="129" customWidth="1"/>
    <col min="4" max="4" width="11.1640625" style="129" bestFit="1" customWidth="1"/>
    <col min="5" max="5" width="20.5" style="129" bestFit="1" customWidth="1"/>
    <col min="6" max="6" width="12.83203125" style="129" customWidth="1"/>
    <col min="7" max="7" width="10.33203125" style="129" bestFit="1" customWidth="1"/>
    <col min="8" max="8" width="23.1640625" style="129" bestFit="1" customWidth="1"/>
    <col min="9" max="9" width="15.6640625" style="129" bestFit="1" customWidth="1"/>
    <col min="10" max="10" width="10.33203125" style="129" bestFit="1" customWidth="1"/>
    <col min="11" max="11" width="14.33203125" style="129" customWidth="1"/>
    <col min="12" max="12" width="19.5" style="129" customWidth="1"/>
    <col min="13" max="16384" width="9.83203125" style="129"/>
  </cols>
  <sheetData>
    <row r="1" spans="1:12" x14ac:dyDescent="0.2">
      <c r="A1" s="2088" t="str">
        <f>co</f>
        <v>COLUMBIA GAS OF KENTUCKY, INC.</v>
      </c>
      <c r="B1" s="2088"/>
      <c r="C1" s="2088"/>
      <c r="D1" s="2088"/>
      <c r="E1" s="2088"/>
      <c r="F1" s="2088"/>
      <c r="G1" s="2088"/>
      <c r="H1" s="2088"/>
      <c r="I1" s="2088"/>
      <c r="J1" s="2088"/>
      <c r="K1" s="2088"/>
      <c r="L1" s="2088"/>
    </row>
    <row r="2" spans="1:12" x14ac:dyDescent="0.2">
      <c r="A2" s="2088" t="str">
        <f>case</f>
        <v>CASE NO. 2016 - 00162</v>
      </c>
      <c r="B2" s="2088"/>
      <c r="C2" s="2088"/>
      <c r="D2" s="2088"/>
      <c r="E2" s="2088"/>
      <c r="F2" s="2088"/>
      <c r="G2" s="2088"/>
      <c r="H2" s="2088"/>
      <c r="I2" s="2088"/>
      <c r="J2" s="2088"/>
      <c r="K2" s="2088"/>
      <c r="L2" s="2088"/>
    </row>
    <row r="3" spans="1:12" x14ac:dyDescent="0.2">
      <c r="A3" s="2061" t="s">
        <v>808</v>
      </c>
      <c r="B3" s="2061"/>
      <c r="C3" s="2061"/>
      <c r="D3" s="2061"/>
      <c r="E3" s="2061"/>
      <c r="F3" s="2061"/>
      <c r="G3" s="2061"/>
      <c r="H3" s="2061"/>
      <c r="I3" s="2061"/>
      <c r="J3" s="2061"/>
      <c r="K3" s="2061"/>
      <c r="L3" s="2061"/>
    </row>
    <row r="4" spans="1:12" x14ac:dyDescent="0.2">
      <c r="A4" s="2088" t="str">
        <f>dateb</f>
        <v>AS OF AUGUST 31, 2016</v>
      </c>
      <c r="B4" s="2088"/>
      <c r="C4" s="2088"/>
      <c r="D4" s="2088"/>
      <c r="E4" s="2088"/>
      <c r="F4" s="2088"/>
      <c r="G4" s="2088"/>
      <c r="H4" s="2088"/>
      <c r="I4" s="2088"/>
      <c r="J4" s="2088"/>
      <c r="K4" s="2088"/>
      <c r="L4" s="2088"/>
    </row>
    <row r="5" spans="1:12" x14ac:dyDescent="0.2">
      <c r="A5" s="160" t="s">
        <v>976</v>
      </c>
      <c r="J5" s="160"/>
      <c r="L5" s="164" t="s">
        <v>809</v>
      </c>
    </row>
    <row r="6" spans="1:12" x14ac:dyDescent="0.2">
      <c r="A6" s="160" t="s">
        <v>977</v>
      </c>
      <c r="J6" s="160"/>
      <c r="L6" s="164" t="s">
        <v>628</v>
      </c>
    </row>
    <row r="7" spans="1:12" x14ac:dyDescent="0.2">
      <c r="A7" s="209" t="s">
        <v>996</v>
      </c>
      <c r="B7" s="210"/>
      <c r="C7" s="210"/>
      <c r="D7" s="210"/>
      <c r="E7" s="210"/>
      <c r="F7" s="210"/>
      <c r="G7" s="210"/>
      <c r="H7" s="210"/>
      <c r="I7" s="210"/>
      <c r="J7" s="209"/>
      <c r="K7" s="216"/>
      <c r="L7" s="211" t="str">
        <f>SMK</f>
        <v>WITNESS:  S. M. KATKO</v>
      </c>
    </row>
    <row r="8" spans="1:12" x14ac:dyDescent="0.2">
      <c r="A8" s="214"/>
      <c r="B8" s="215" t="s">
        <v>778</v>
      </c>
      <c r="C8" s="214"/>
      <c r="D8" s="214"/>
      <c r="E8" s="214"/>
      <c r="F8" s="215" t="s">
        <v>810</v>
      </c>
      <c r="G8" s="217"/>
      <c r="H8" s="214"/>
      <c r="I8" s="217"/>
      <c r="J8" s="217"/>
      <c r="K8" s="214"/>
      <c r="L8" s="217"/>
    </row>
    <row r="9" spans="1:12" x14ac:dyDescent="0.2">
      <c r="A9" s="159" t="s">
        <v>632</v>
      </c>
      <c r="B9" s="159" t="s">
        <v>812</v>
      </c>
      <c r="C9" s="159" t="s">
        <v>779</v>
      </c>
      <c r="D9" s="159" t="s">
        <v>813</v>
      </c>
      <c r="E9" s="159" t="s">
        <v>814</v>
      </c>
      <c r="F9" s="159" t="s">
        <v>813</v>
      </c>
      <c r="H9" s="1269" t="s">
        <v>811</v>
      </c>
      <c r="K9" s="2090" t="s">
        <v>1773</v>
      </c>
      <c r="L9" s="2090"/>
    </row>
    <row r="10" spans="1:12" x14ac:dyDescent="0.2">
      <c r="A10" s="167" t="s">
        <v>635</v>
      </c>
      <c r="B10" s="167" t="s">
        <v>784</v>
      </c>
      <c r="C10" s="167" t="s">
        <v>815</v>
      </c>
      <c r="D10" s="167" t="s">
        <v>780</v>
      </c>
      <c r="E10" s="167" t="s">
        <v>816</v>
      </c>
      <c r="F10" s="167" t="s">
        <v>780</v>
      </c>
      <c r="G10" s="167" t="s">
        <v>771</v>
      </c>
      <c r="H10" s="1268" t="s">
        <v>1772</v>
      </c>
      <c r="I10" s="167" t="s">
        <v>778</v>
      </c>
      <c r="J10" s="167" t="s">
        <v>771</v>
      </c>
      <c r="K10" s="1268" t="s">
        <v>1772</v>
      </c>
      <c r="L10" s="167" t="s">
        <v>778</v>
      </c>
    </row>
    <row r="13" spans="1:12" x14ac:dyDescent="0.2">
      <c r="D13" s="10"/>
      <c r="E13" s="10"/>
      <c r="F13" s="10"/>
      <c r="G13" s="10"/>
    </row>
    <row r="14" spans="1:12" x14ac:dyDescent="0.2">
      <c r="D14" s="10"/>
      <c r="E14" s="10"/>
      <c r="F14" s="10"/>
    </row>
    <row r="15" spans="1:12" x14ac:dyDescent="0.2">
      <c r="A15" s="2088" t="s">
        <v>817</v>
      </c>
      <c r="B15" s="2088"/>
      <c r="C15" s="2088"/>
      <c r="D15" s="2088"/>
      <c r="E15" s="2088"/>
      <c r="F15" s="2088"/>
      <c r="G15" s="2088"/>
      <c r="H15" s="2088"/>
      <c r="I15" s="2088"/>
      <c r="J15" s="2088"/>
      <c r="K15" s="2088"/>
      <c r="L15" s="2088"/>
    </row>
    <row r="16" spans="1:12" x14ac:dyDescent="0.2">
      <c r="D16" s="10"/>
      <c r="E16" s="10"/>
      <c r="G16" s="10"/>
    </row>
    <row r="17" spans="4:7" x14ac:dyDescent="0.2">
      <c r="D17" s="10"/>
      <c r="E17" s="10"/>
      <c r="F17" s="10"/>
      <c r="G17" s="10"/>
    </row>
    <row r="18" spans="4:7" x14ac:dyDescent="0.2">
      <c r="D18" s="10"/>
      <c r="E18" s="10"/>
      <c r="F18" s="10"/>
      <c r="G18" s="10"/>
    </row>
    <row r="19" spans="4:7" x14ac:dyDescent="0.2">
      <c r="D19" s="10"/>
      <c r="E19" s="10"/>
      <c r="F19" s="10"/>
      <c r="G19" s="10"/>
    </row>
    <row r="20" spans="4:7" x14ac:dyDescent="0.2">
      <c r="D20" s="10"/>
      <c r="E20" s="10"/>
      <c r="F20" s="10"/>
      <c r="G20" s="10"/>
    </row>
    <row r="21" spans="4:7" x14ac:dyDescent="0.2">
      <c r="D21" s="10"/>
      <c r="E21" s="10"/>
      <c r="F21" s="10"/>
      <c r="G21" s="10"/>
    </row>
    <row r="22" spans="4:7" x14ac:dyDescent="0.2">
      <c r="D22" s="10"/>
      <c r="E22" s="10"/>
      <c r="F22" s="10"/>
      <c r="G22" s="10"/>
    </row>
    <row r="23" spans="4:7" x14ac:dyDescent="0.2">
      <c r="D23" s="10"/>
      <c r="E23" s="10"/>
      <c r="F23" s="10"/>
      <c r="G23" s="10"/>
    </row>
    <row r="24" spans="4:7" x14ac:dyDescent="0.2">
      <c r="D24" s="10"/>
      <c r="E24" s="10"/>
      <c r="F24" s="10"/>
      <c r="G24" s="10"/>
    </row>
    <row r="25" spans="4:7" x14ac:dyDescent="0.2">
      <c r="D25" s="10"/>
      <c r="E25" s="10"/>
      <c r="F25" s="10"/>
      <c r="G25" s="10"/>
    </row>
    <row r="26" spans="4:7" x14ac:dyDescent="0.2">
      <c r="D26" s="10"/>
      <c r="E26" s="10"/>
      <c r="F26" s="10"/>
      <c r="G26" s="10"/>
    </row>
    <row r="27" spans="4:7" x14ac:dyDescent="0.2">
      <c r="D27" s="10"/>
      <c r="E27" s="10"/>
      <c r="F27" s="10"/>
      <c r="G27" s="10"/>
    </row>
    <row r="28" spans="4:7" x14ac:dyDescent="0.2">
      <c r="D28" s="10"/>
      <c r="E28" s="10"/>
      <c r="F28" s="10"/>
      <c r="G28" s="10"/>
    </row>
    <row r="29" spans="4:7" x14ac:dyDescent="0.2">
      <c r="D29" s="10"/>
      <c r="E29" s="10"/>
      <c r="F29" s="10"/>
      <c r="G29" s="10"/>
    </row>
    <row r="30" spans="4:7" x14ac:dyDescent="0.2">
      <c r="D30" s="10"/>
      <c r="E30" s="10"/>
      <c r="F30" s="10"/>
      <c r="G30" s="10"/>
    </row>
    <row r="31" spans="4:7" x14ac:dyDescent="0.2">
      <c r="D31" s="10"/>
      <c r="E31" s="10"/>
      <c r="F31" s="10"/>
    </row>
    <row r="32" spans="4:7" x14ac:dyDescent="0.2">
      <c r="E32" s="10"/>
      <c r="F32" s="10"/>
    </row>
    <row r="33" spans="5:6" x14ac:dyDescent="0.2">
      <c r="E33" s="10"/>
      <c r="F33" s="10"/>
    </row>
    <row r="34" spans="5:6" x14ac:dyDescent="0.2">
      <c r="E34" s="10"/>
      <c r="F34" s="10"/>
    </row>
    <row r="35" spans="5:6" x14ac:dyDescent="0.2">
      <c r="E35" s="10"/>
      <c r="F35" s="10"/>
    </row>
    <row r="36" spans="5:6" x14ac:dyDescent="0.2">
      <c r="E36" s="10"/>
      <c r="F36" s="10"/>
    </row>
    <row r="37" spans="5:6" x14ac:dyDescent="0.2">
      <c r="E37" s="10"/>
      <c r="F37" s="10"/>
    </row>
    <row r="38" spans="5:6" x14ac:dyDescent="0.2">
      <c r="E38" s="10"/>
      <c r="F38" s="10"/>
    </row>
    <row r="39" spans="5:6" x14ac:dyDescent="0.2">
      <c r="E39" s="10"/>
      <c r="F39" s="10"/>
    </row>
  </sheetData>
  <mergeCells count="6">
    <mergeCell ref="A15:L15"/>
    <mergeCell ref="A4:L4"/>
    <mergeCell ref="A3:L3"/>
    <mergeCell ref="A2:L2"/>
    <mergeCell ref="A1:L1"/>
    <mergeCell ref="K9:L9"/>
  </mergeCells>
  <phoneticPr fontId="0" type="noConversion"/>
  <pageMargins left="1" right="0.5" top="1" bottom="0.75" header="0.3" footer="0.3"/>
  <pageSetup scale="63" fitToHeight="0" orientation="portrait" r:id="rId1"/>
  <headerFooter>
    <oddHeader>&amp;R&amp;"Arial,Regular"&amp;10KY PSC Case No. 2016-00162, Attachment A to Staff 3-4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03">
    <pageSetUpPr fitToPage="1"/>
  </sheetPr>
  <dimension ref="A1:L39"/>
  <sheetViews>
    <sheetView showGridLines="0" view="pageBreakPreview" zoomScale="60" zoomScaleNormal="100" workbookViewId="0">
      <selection activeCell="F46" sqref="F46"/>
    </sheetView>
  </sheetViews>
  <sheetFormatPr defaultColWidth="9.83203125" defaultRowHeight="12.75" x14ac:dyDescent="0.2"/>
  <cols>
    <col min="1" max="1" width="6.33203125" style="129" customWidth="1"/>
    <col min="2" max="2" width="19.6640625" style="129" bestFit="1" customWidth="1"/>
    <col min="3" max="3" width="16.5" style="129" customWidth="1"/>
    <col min="4" max="4" width="11.1640625" style="129" bestFit="1" customWidth="1"/>
    <col min="5" max="5" width="20.5" style="129" bestFit="1" customWidth="1"/>
    <col min="6" max="6" width="12.33203125" style="129" customWidth="1"/>
    <col min="7" max="7" width="12" style="129" customWidth="1"/>
    <col min="8" max="8" width="23.1640625" style="129" bestFit="1" customWidth="1"/>
    <col min="9" max="9" width="15.6640625" style="129" bestFit="1" customWidth="1"/>
    <col min="10" max="10" width="10.33203125" style="129" bestFit="1" customWidth="1"/>
    <col min="11" max="11" width="17.33203125" style="129" customWidth="1"/>
    <col min="12" max="12" width="15.33203125" style="129" customWidth="1"/>
    <col min="13" max="16384" width="9.83203125" style="129"/>
  </cols>
  <sheetData>
    <row r="1" spans="1:12" x14ac:dyDescent="0.2">
      <c r="A1" s="2088" t="str">
        <f>co</f>
        <v>COLUMBIA GAS OF KENTUCKY, INC.</v>
      </c>
      <c r="B1" s="2088"/>
      <c r="C1" s="2088"/>
      <c r="D1" s="2088"/>
      <c r="E1" s="2088"/>
      <c r="F1" s="2088"/>
      <c r="G1" s="2088"/>
      <c r="H1" s="2088"/>
      <c r="I1" s="2088"/>
      <c r="J1" s="2088"/>
      <c r="K1" s="2088"/>
      <c r="L1" s="2088"/>
    </row>
    <row r="2" spans="1:12" x14ac:dyDescent="0.2">
      <c r="A2" s="2088" t="str">
        <f>case</f>
        <v>CASE NO. 2016 - 00162</v>
      </c>
      <c r="B2" s="2088"/>
      <c r="C2" s="2088"/>
      <c r="D2" s="2088"/>
      <c r="E2" s="2088"/>
      <c r="F2" s="2088"/>
      <c r="G2" s="2088"/>
      <c r="H2" s="2088"/>
      <c r="I2" s="2088"/>
      <c r="J2" s="2088"/>
      <c r="K2" s="2088"/>
      <c r="L2" s="2088"/>
    </row>
    <row r="3" spans="1:12" x14ac:dyDescent="0.2">
      <c r="A3" s="2061" t="s">
        <v>808</v>
      </c>
      <c r="B3" s="2061"/>
      <c r="C3" s="2061"/>
      <c r="D3" s="2061"/>
      <c r="E3" s="2061"/>
      <c r="F3" s="2061"/>
      <c r="G3" s="2061"/>
      <c r="H3" s="2061"/>
      <c r="I3" s="2061"/>
      <c r="J3" s="2061"/>
      <c r="K3" s="2061"/>
      <c r="L3" s="2061"/>
    </row>
    <row r="4" spans="1:12" x14ac:dyDescent="0.2">
      <c r="A4" s="2088" t="str">
        <f>datef</f>
        <v>AS OF DECEMBER 31, 2017</v>
      </c>
      <c r="B4" s="2088"/>
      <c r="C4" s="2088"/>
      <c r="D4" s="2088"/>
      <c r="E4" s="2088"/>
      <c r="F4" s="2088"/>
      <c r="G4" s="2088"/>
      <c r="H4" s="2088"/>
      <c r="I4" s="2088"/>
      <c r="J4" s="2088"/>
      <c r="K4" s="2088"/>
      <c r="L4" s="2088"/>
    </row>
    <row r="5" spans="1:12" x14ac:dyDescent="0.2">
      <c r="A5" s="508" t="s">
        <v>1109</v>
      </c>
      <c r="J5" s="160"/>
      <c r="L5" s="164" t="s">
        <v>809</v>
      </c>
    </row>
    <row r="6" spans="1:12" x14ac:dyDescent="0.2">
      <c r="A6" s="160" t="s">
        <v>977</v>
      </c>
      <c r="J6" s="160"/>
      <c r="L6" s="1251" t="s">
        <v>1111</v>
      </c>
    </row>
    <row r="7" spans="1:12" x14ac:dyDescent="0.2">
      <c r="A7" s="209" t="s">
        <v>996</v>
      </c>
      <c r="B7" s="210"/>
      <c r="C7" s="210"/>
      <c r="D7" s="210"/>
      <c r="E7" s="210"/>
      <c r="F7" s="210"/>
      <c r="G7" s="210"/>
      <c r="H7" s="210"/>
      <c r="I7" s="210"/>
      <c r="J7" s="209"/>
      <c r="K7" s="216"/>
      <c r="L7" s="211" t="str">
        <f>SMK</f>
        <v>WITNESS:  S. M. KATKO</v>
      </c>
    </row>
    <row r="8" spans="1:12" x14ac:dyDescent="0.2">
      <c r="A8" s="214"/>
      <c r="B8" s="215" t="s">
        <v>778</v>
      </c>
      <c r="C8" s="214"/>
      <c r="D8" s="214"/>
      <c r="E8" s="214"/>
      <c r="F8" s="215" t="s">
        <v>810</v>
      </c>
      <c r="G8" s="217"/>
      <c r="H8" s="214"/>
      <c r="I8" s="217"/>
      <c r="J8" s="217"/>
      <c r="K8" s="214"/>
      <c r="L8" s="217"/>
    </row>
    <row r="9" spans="1:12" x14ac:dyDescent="0.2">
      <c r="A9" s="159" t="s">
        <v>632</v>
      </c>
      <c r="B9" s="159" t="s">
        <v>812</v>
      </c>
      <c r="C9" s="159" t="s">
        <v>779</v>
      </c>
      <c r="D9" s="159" t="s">
        <v>813</v>
      </c>
      <c r="E9" s="159" t="s">
        <v>814</v>
      </c>
      <c r="F9" s="159" t="s">
        <v>813</v>
      </c>
      <c r="H9" s="1269" t="s">
        <v>811</v>
      </c>
      <c r="K9" s="2090" t="s">
        <v>1773</v>
      </c>
      <c r="L9" s="2090"/>
    </row>
    <row r="10" spans="1:12" x14ac:dyDescent="0.2">
      <c r="A10" s="167" t="s">
        <v>635</v>
      </c>
      <c r="B10" s="167" t="s">
        <v>784</v>
      </c>
      <c r="C10" s="167" t="s">
        <v>815</v>
      </c>
      <c r="D10" s="167" t="s">
        <v>780</v>
      </c>
      <c r="E10" s="167" t="s">
        <v>816</v>
      </c>
      <c r="F10" s="167" t="s">
        <v>780</v>
      </c>
      <c r="G10" s="167" t="s">
        <v>771</v>
      </c>
      <c r="H10" s="1268" t="s">
        <v>1772</v>
      </c>
      <c r="I10" s="167" t="s">
        <v>778</v>
      </c>
      <c r="J10" s="167" t="s">
        <v>771</v>
      </c>
      <c r="K10" s="1268" t="s">
        <v>1772</v>
      </c>
      <c r="L10" s="167" t="s">
        <v>778</v>
      </c>
    </row>
    <row r="13" spans="1:12" x14ac:dyDescent="0.2">
      <c r="D13" s="10"/>
      <c r="E13" s="10"/>
      <c r="F13" s="10"/>
      <c r="G13" s="10"/>
    </row>
    <row r="14" spans="1:12" x14ac:dyDescent="0.2">
      <c r="D14" s="10"/>
      <c r="E14" s="10"/>
      <c r="F14" s="10"/>
    </row>
    <row r="15" spans="1:12" x14ac:dyDescent="0.2">
      <c r="A15" s="2088" t="s">
        <v>817</v>
      </c>
      <c r="B15" s="2088"/>
      <c r="C15" s="2088"/>
      <c r="D15" s="2088"/>
      <c r="E15" s="2088"/>
      <c r="F15" s="2088"/>
      <c r="G15" s="2088"/>
      <c r="H15" s="2088"/>
      <c r="I15" s="2088"/>
      <c r="J15" s="2088"/>
      <c r="K15" s="2088"/>
      <c r="L15" s="2088"/>
    </row>
    <row r="16" spans="1:12" x14ac:dyDescent="0.2">
      <c r="D16" s="10"/>
      <c r="E16" s="10"/>
      <c r="G16" s="10"/>
    </row>
    <row r="17" spans="4:7" x14ac:dyDescent="0.2">
      <c r="D17" s="10"/>
      <c r="E17" s="10"/>
      <c r="F17" s="10"/>
      <c r="G17" s="10"/>
    </row>
    <row r="18" spans="4:7" x14ac:dyDescent="0.2">
      <c r="D18" s="10"/>
      <c r="E18" s="10"/>
      <c r="F18" s="10"/>
      <c r="G18" s="10"/>
    </row>
    <row r="19" spans="4:7" x14ac:dyDescent="0.2">
      <c r="D19" s="10"/>
      <c r="E19" s="10"/>
      <c r="F19" s="10"/>
      <c r="G19" s="10"/>
    </row>
    <row r="20" spans="4:7" x14ac:dyDescent="0.2">
      <c r="D20" s="10"/>
      <c r="E20" s="10"/>
      <c r="F20" s="10"/>
      <c r="G20" s="10"/>
    </row>
    <row r="21" spans="4:7" x14ac:dyDescent="0.2">
      <c r="D21" s="10"/>
      <c r="E21" s="10"/>
      <c r="F21" s="10"/>
      <c r="G21" s="10"/>
    </row>
    <row r="22" spans="4:7" x14ac:dyDescent="0.2">
      <c r="D22" s="10"/>
      <c r="E22" s="10"/>
      <c r="F22" s="10"/>
      <c r="G22" s="10"/>
    </row>
    <row r="23" spans="4:7" x14ac:dyDescent="0.2">
      <c r="D23" s="10"/>
      <c r="E23" s="10"/>
      <c r="F23" s="10"/>
      <c r="G23" s="10"/>
    </row>
    <row r="24" spans="4:7" x14ac:dyDescent="0.2">
      <c r="D24" s="10"/>
      <c r="E24" s="10"/>
      <c r="F24" s="10"/>
      <c r="G24" s="10"/>
    </row>
    <row r="25" spans="4:7" x14ac:dyDescent="0.2">
      <c r="D25" s="10"/>
      <c r="E25" s="10"/>
      <c r="F25" s="10"/>
      <c r="G25" s="10"/>
    </row>
    <row r="26" spans="4:7" x14ac:dyDescent="0.2">
      <c r="D26" s="10"/>
      <c r="E26" s="10"/>
      <c r="F26" s="10"/>
      <c r="G26" s="10"/>
    </row>
    <row r="27" spans="4:7" x14ac:dyDescent="0.2">
      <c r="D27" s="10"/>
      <c r="E27" s="10"/>
      <c r="F27" s="10"/>
      <c r="G27" s="10"/>
    </row>
    <row r="28" spans="4:7" x14ac:dyDescent="0.2">
      <c r="D28" s="10"/>
      <c r="E28" s="10"/>
      <c r="F28" s="10"/>
      <c r="G28" s="10"/>
    </row>
    <row r="29" spans="4:7" x14ac:dyDescent="0.2">
      <c r="D29" s="10"/>
      <c r="E29" s="10"/>
      <c r="F29" s="10"/>
      <c r="G29" s="10"/>
    </row>
    <row r="30" spans="4:7" x14ac:dyDescent="0.2">
      <c r="D30" s="10"/>
      <c r="E30" s="10"/>
      <c r="F30" s="10"/>
      <c r="G30" s="10"/>
    </row>
    <row r="31" spans="4:7" x14ac:dyDescent="0.2">
      <c r="D31" s="10"/>
      <c r="E31" s="10"/>
      <c r="F31" s="10"/>
    </row>
    <row r="32" spans="4:7" x14ac:dyDescent="0.2">
      <c r="E32" s="10"/>
      <c r="F32" s="10"/>
    </row>
    <row r="33" spans="5:6" x14ac:dyDescent="0.2">
      <c r="E33" s="10"/>
      <c r="F33" s="10"/>
    </row>
    <row r="34" spans="5:6" x14ac:dyDescent="0.2">
      <c r="E34" s="10"/>
      <c r="F34" s="10"/>
    </row>
    <row r="35" spans="5:6" x14ac:dyDescent="0.2">
      <c r="E35" s="10"/>
      <c r="F35" s="10"/>
    </row>
    <row r="36" spans="5:6" x14ac:dyDescent="0.2">
      <c r="E36" s="10"/>
      <c r="F36" s="10"/>
    </row>
    <row r="37" spans="5:6" x14ac:dyDescent="0.2">
      <c r="E37" s="10"/>
      <c r="F37" s="10"/>
    </row>
    <row r="38" spans="5:6" x14ac:dyDescent="0.2">
      <c r="E38" s="10"/>
      <c r="F38" s="10"/>
    </row>
    <row r="39" spans="5:6" x14ac:dyDescent="0.2">
      <c r="E39" s="10"/>
      <c r="F39" s="10"/>
    </row>
  </sheetData>
  <mergeCells count="6">
    <mergeCell ref="A15:L15"/>
    <mergeCell ref="A1:L1"/>
    <mergeCell ref="A2:L2"/>
    <mergeCell ref="A3:L3"/>
    <mergeCell ref="A4:L4"/>
    <mergeCell ref="K9:L9"/>
  </mergeCells>
  <pageMargins left="1" right="0.5" top="1" bottom="0.75" header="0.3" footer="0.3"/>
  <pageSetup scale="63" fitToHeight="0" orientation="portrait" r:id="rId1"/>
  <headerFooter>
    <oddHeader>&amp;R&amp;"Arial,Regular"&amp;10KY PSC Case No. 2016-00162, Attachment A to Staff 3-4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0">
    <pageSetUpPr fitToPage="1"/>
  </sheetPr>
  <dimension ref="A1:N26"/>
  <sheetViews>
    <sheetView showGridLines="0" view="pageBreakPreview" zoomScale="60" zoomScaleNormal="100" workbookViewId="0">
      <selection activeCell="F46" sqref="F46"/>
    </sheetView>
  </sheetViews>
  <sheetFormatPr defaultColWidth="9.83203125" defaultRowHeight="12.75" x14ac:dyDescent="0.2"/>
  <cols>
    <col min="1" max="1" width="7.83203125" style="129" customWidth="1"/>
    <col min="2" max="2" width="8.83203125" style="129" bestFit="1" customWidth="1"/>
    <col min="3" max="3" width="25.5" style="129" bestFit="1" customWidth="1"/>
    <col min="4" max="4" width="14.83203125" style="129" customWidth="1"/>
    <col min="5" max="5" width="12.6640625" style="129" bestFit="1" customWidth="1"/>
    <col min="6" max="6" width="17.6640625" style="129" bestFit="1" customWidth="1"/>
    <col min="7" max="8" width="12.6640625" style="129" customWidth="1"/>
    <col min="9" max="9" width="28.33203125" style="129" bestFit="1" customWidth="1"/>
    <col min="10" max="11" width="17" style="129" customWidth="1"/>
    <col min="12" max="12" width="6.83203125" style="129" customWidth="1"/>
    <col min="13" max="13" width="1.83203125" style="129" customWidth="1"/>
    <col min="14" max="14" width="13.83203125" style="129" customWidth="1"/>
    <col min="15" max="16384" width="9.83203125" style="129"/>
  </cols>
  <sheetData>
    <row r="1" spans="1:14" x14ac:dyDescent="0.2">
      <c r="A1" s="2088" t="str">
        <f>co</f>
        <v>COLUMBIA GAS OF KENTUCKY, INC.</v>
      </c>
      <c r="B1" s="2088"/>
      <c r="C1" s="2088"/>
      <c r="D1" s="2088"/>
      <c r="E1" s="2088"/>
      <c r="F1" s="2088"/>
      <c r="G1" s="2088"/>
      <c r="H1" s="2088"/>
      <c r="I1" s="2088"/>
      <c r="J1" s="2088"/>
      <c r="K1" s="2088"/>
    </row>
    <row r="2" spans="1:14" x14ac:dyDescent="0.2">
      <c r="A2" s="2088" t="str">
        <f>case</f>
        <v>CASE NO. 2016 - 00162</v>
      </c>
      <c r="B2" s="2088"/>
      <c r="C2" s="2088"/>
      <c r="D2" s="2088"/>
      <c r="E2" s="2088"/>
      <c r="F2" s="2088"/>
      <c r="G2" s="2088"/>
      <c r="H2" s="2088"/>
      <c r="I2" s="2088"/>
      <c r="J2" s="2088"/>
      <c r="K2" s="2088"/>
    </row>
    <row r="3" spans="1:14" x14ac:dyDescent="0.2">
      <c r="A3" s="2061" t="s">
        <v>818</v>
      </c>
      <c r="B3" s="2061"/>
      <c r="C3" s="2061"/>
      <c r="D3" s="2061"/>
      <c r="E3" s="2061"/>
      <c r="F3" s="2061"/>
      <c r="G3" s="2061"/>
      <c r="H3" s="2061"/>
      <c r="I3" s="2061"/>
      <c r="J3" s="2061"/>
      <c r="K3" s="2061"/>
    </row>
    <row r="4" spans="1:14" x14ac:dyDescent="0.2">
      <c r="A4" s="2088" t="str">
        <f>dateb</f>
        <v>AS OF AUGUST 31, 2016</v>
      </c>
      <c r="B4" s="2088"/>
      <c r="C4" s="2088"/>
      <c r="D4" s="2088"/>
      <c r="E4" s="2088"/>
      <c r="F4" s="2088"/>
      <c r="G4" s="2088"/>
      <c r="H4" s="2088"/>
      <c r="I4" s="2088"/>
      <c r="J4" s="2088"/>
      <c r="K4" s="2088"/>
    </row>
    <row r="6" spans="1:14" x14ac:dyDescent="0.2">
      <c r="A6" s="160" t="s">
        <v>976</v>
      </c>
      <c r="J6" s="160"/>
      <c r="K6" s="164" t="s">
        <v>819</v>
      </c>
    </row>
    <row r="7" spans="1:14" x14ac:dyDescent="0.2">
      <c r="A7" s="160" t="s">
        <v>977</v>
      </c>
      <c r="J7" s="160"/>
      <c r="K7" s="164" t="s">
        <v>628</v>
      </c>
    </row>
    <row r="8" spans="1:14" x14ac:dyDescent="0.2">
      <c r="A8" s="209" t="s">
        <v>996</v>
      </c>
      <c r="B8" s="210"/>
      <c r="C8" s="210"/>
      <c r="D8" s="210"/>
      <c r="E8" s="210"/>
      <c r="F8" s="210"/>
      <c r="G8" s="210"/>
      <c r="H8" s="210"/>
      <c r="I8" s="210"/>
      <c r="J8" s="209"/>
      <c r="K8" s="211" t="str">
        <f>SMK</f>
        <v>WITNESS:  S. M. KATKO</v>
      </c>
    </row>
    <row r="9" spans="1:14" x14ac:dyDescent="0.2">
      <c r="A9" s="214"/>
      <c r="B9" s="214"/>
      <c r="C9" s="214"/>
      <c r="D9" s="214"/>
      <c r="E9" s="214"/>
      <c r="F9" s="214"/>
      <c r="G9" s="214"/>
      <c r="H9" s="214"/>
      <c r="I9" s="215" t="s">
        <v>638</v>
      </c>
      <c r="J9" s="214"/>
      <c r="K9" s="214"/>
    </row>
    <row r="10" spans="1:14" x14ac:dyDescent="0.2">
      <c r="C10" s="159" t="s">
        <v>820</v>
      </c>
      <c r="G10" s="159" t="s">
        <v>810</v>
      </c>
      <c r="H10" s="168"/>
      <c r="I10" s="169" t="s">
        <v>821</v>
      </c>
      <c r="J10" s="168"/>
      <c r="K10" s="159" t="s">
        <v>822</v>
      </c>
      <c r="L10" s="168"/>
      <c r="M10" s="168"/>
      <c r="N10" s="168"/>
    </row>
    <row r="11" spans="1:14" x14ac:dyDescent="0.2">
      <c r="A11" s="159" t="s">
        <v>632</v>
      </c>
      <c r="B11" s="159" t="s">
        <v>692</v>
      </c>
      <c r="C11" s="159" t="s">
        <v>823</v>
      </c>
      <c r="D11" s="159" t="s">
        <v>824</v>
      </c>
      <c r="E11" s="159" t="s">
        <v>813</v>
      </c>
      <c r="F11" s="159" t="s">
        <v>814</v>
      </c>
      <c r="G11" s="159" t="s">
        <v>813</v>
      </c>
      <c r="I11" s="159" t="s">
        <v>692</v>
      </c>
      <c r="K11" s="159" t="s">
        <v>825</v>
      </c>
    </row>
    <row r="12" spans="1:14" x14ac:dyDescent="0.2">
      <c r="A12" s="167" t="s">
        <v>635</v>
      </c>
      <c r="B12" s="167" t="s">
        <v>635</v>
      </c>
      <c r="C12" s="167" t="s">
        <v>826</v>
      </c>
      <c r="D12" s="167" t="s">
        <v>815</v>
      </c>
      <c r="E12" s="167" t="s">
        <v>780</v>
      </c>
      <c r="F12" s="1724" t="s">
        <v>816</v>
      </c>
      <c r="G12" s="167" t="s">
        <v>780</v>
      </c>
      <c r="H12" s="167" t="s">
        <v>771</v>
      </c>
      <c r="I12" s="167" t="s">
        <v>635</v>
      </c>
      <c r="J12" s="167" t="s">
        <v>778</v>
      </c>
      <c r="K12" s="167" t="s">
        <v>827</v>
      </c>
    </row>
    <row r="15" spans="1:14" x14ac:dyDescent="0.2">
      <c r="E15" s="10"/>
      <c r="F15" s="10"/>
      <c r="G15" s="10"/>
      <c r="H15" s="10"/>
    </row>
    <row r="16" spans="1:14" x14ac:dyDescent="0.2">
      <c r="E16" s="10"/>
      <c r="F16" s="10"/>
      <c r="G16" s="10"/>
    </row>
    <row r="17" spans="1:11" x14ac:dyDescent="0.2">
      <c r="A17" s="2088" t="s">
        <v>788</v>
      </c>
      <c r="B17" s="2088"/>
      <c r="C17" s="2088"/>
      <c r="D17" s="2088"/>
      <c r="E17" s="2088"/>
      <c r="F17" s="2088"/>
      <c r="G17" s="2088"/>
      <c r="H17" s="2088"/>
      <c r="I17" s="2088"/>
      <c r="J17" s="2088"/>
      <c r="K17" s="2088"/>
    </row>
    <row r="18" spans="1:11" x14ac:dyDescent="0.2">
      <c r="E18" s="10"/>
      <c r="F18" s="10"/>
      <c r="H18" s="10"/>
    </row>
    <row r="19" spans="1:11" x14ac:dyDescent="0.2">
      <c r="E19" s="10"/>
      <c r="F19" s="10"/>
      <c r="G19" s="10"/>
      <c r="H19" s="10"/>
    </row>
    <row r="20" spans="1:11" x14ac:dyDescent="0.2">
      <c r="E20" s="10"/>
      <c r="F20" s="10"/>
      <c r="G20" s="10"/>
      <c r="H20" s="10"/>
    </row>
    <row r="21" spans="1:11" x14ac:dyDescent="0.2">
      <c r="E21" s="10"/>
      <c r="F21" s="10"/>
      <c r="G21" s="10"/>
      <c r="H21" s="10"/>
    </row>
    <row r="22" spans="1:11" x14ac:dyDescent="0.2">
      <c r="E22" s="10"/>
      <c r="F22" s="10"/>
      <c r="G22" s="10"/>
      <c r="H22" s="10"/>
    </row>
    <row r="23" spans="1:11" x14ac:dyDescent="0.2">
      <c r="E23" s="10"/>
      <c r="F23" s="10"/>
      <c r="G23" s="10"/>
      <c r="H23" s="10"/>
    </row>
    <row r="24" spans="1:11" x14ac:dyDescent="0.2">
      <c r="E24" s="10"/>
      <c r="F24" s="10"/>
      <c r="G24" s="10"/>
      <c r="H24" s="10"/>
    </row>
    <row r="25" spans="1:11" x14ac:dyDescent="0.2">
      <c r="E25" s="10"/>
      <c r="F25" s="10"/>
      <c r="G25" s="10"/>
      <c r="H25" s="10"/>
    </row>
    <row r="26" spans="1:11" x14ac:dyDescent="0.2">
      <c r="F26" s="10"/>
      <c r="G26" s="10"/>
    </row>
  </sheetData>
  <mergeCells count="5">
    <mergeCell ref="A4:K4"/>
    <mergeCell ref="A3:K3"/>
    <mergeCell ref="A2:K2"/>
    <mergeCell ref="A1:K1"/>
    <mergeCell ref="A17:K17"/>
  </mergeCells>
  <phoneticPr fontId="0" type="noConversion"/>
  <pageMargins left="1" right="0.5" top="1" bottom="0.75" header="0.3" footer="0.3"/>
  <pageSetup scale="63" fitToHeight="0" orientation="portrait" r:id="rId1"/>
  <headerFooter>
    <oddHeader>&amp;R&amp;"Arial,Regular"&amp;10KY PSC Case No. 2016-00162, Attachment A to Staff 3-4</oddHeader>
  </headerFooter>
  <colBreaks count="1" manualBreakCount="1">
    <brk id="11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04">
    <pageSetUpPr fitToPage="1"/>
  </sheetPr>
  <dimension ref="A1:N76"/>
  <sheetViews>
    <sheetView showGridLines="0" view="pageBreakPreview" zoomScale="60" zoomScaleNormal="100" workbookViewId="0">
      <selection activeCell="F46" sqref="F46"/>
    </sheetView>
  </sheetViews>
  <sheetFormatPr defaultColWidth="9.83203125" defaultRowHeight="12.75" x14ac:dyDescent="0.2"/>
  <cols>
    <col min="1" max="1" width="7.83203125" style="129" customWidth="1"/>
    <col min="2" max="2" width="8.83203125" style="129" bestFit="1" customWidth="1"/>
    <col min="3" max="3" width="25.5" style="129" bestFit="1" customWidth="1"/>
    <col min="4" max="4" width="14.83203125" style="129" customWidth="1"/>
    <col min="5" max="5" width="12.6640625" style="129" bestFit="1" customWidth="1"/>
    <col min="6" max="6" width="17.6640625" style="129" bestFit="1" customWidth="1"/>
    <col min="7" max="8" width="12.6640625" style="129" customWidth="1"/>
    <col min="9" max="9" width="28.33203125" style="129" bestFit="1" customWidth="1"/>
    <col min="10" max="10" width="15.6640625" style="129" bestFit="1" customWidth="1"/>
    <col min="11" max="11" width="16" style="129" customWidth="1"/>
    <col min="12" max="12" width="6.83203125" style="129" customWidth="1"/>
    <col min="13" max="13" width="1.83203125" style="129" customWidth="1"/>
    <col min="14" max="14" width="13.83203125" style="129" customWidth="1"/>
    <col min="15" max="16384" width="9.83203125" style="129"/>
  </cols>
  <sheetData>
    <row r="1" spans="1:14" x14ac:dyDescent="0.2">
      <c r="A1" s="2088" t="str">
        <f>co</f>
        <v>COLUMBIA GAS OF KENTUCKY, INC.</v>
      </c>
      <c r="B1" s="2088"/>
      <c r="C1" s="2088"/>
      <c r="D1" s="2088"/>
      <c r="E1" s="2088"/>
      <c r="F1" s="2088"/>
      <c r="G1" s="2088"/>
      <c r="H1" s="2088"/>
      <c r="I1" s="2088"/>
      <c r="J1" s="2088"/>
      <c r="K1" s="2088"/>
    </row>
    <row r="2" spans="1:14" x14ac:dyDescent="0.2">
      <c r="A2" s="2088" t="str">
        <f>case</f>
        <v>CASE NO. 2016 - 00162</v>
      </c>
      <c r="B2" s="2088"/>
      <c r="C2" s="2088"/>
      <c r="D2" s="2088"/>
      <c r="E2" s="2088"/>
      <c r="F2" s="2088"/>
      <c r="G2" s="2088"/>
      <c r="H2" s="2088"/>
      <c r="I2" s="2088"/>
      <c r="J2" s="2088"/>
      <c r="K2" s="2088"/>
    </row>
    <row r="3" spans="1:14" x14ac:dyDescent="0.2">
      <c r="A3" s="2061" t="s">
        <v>818</v>
      </c>
      <c r="B3" s="2061"/>
      <c r="C3" s="2061"/>
      <c r="D3" s="2061"/>
      <c r="E3" s="2061"/>
      <c r="F3" s="2061"/>
      <c r="G3" s="2061"/>
      <c r="H3" s="2061"/>
      <c r="I3" s="2061"/>
      <c r="J3" s="2061"/>
      <c r="K3" s="2061"/>
    </row>
    <row r="4" spans="1:14" x14ac:dyDescent="0.2">
      <c r="A4" s="2088" t="str">
        <f>datef</f>
        <v>AS OF DECEMBER 31, 2017</v>
      </c>
      <c r="B4" s="2088"/>
      <c r="C4" s="2088"/>
      <c r="D4" s="2088"/>
      <c r="E4" s="2088"/>
      <c r="F4" s="2088"/>
      <c r="G4" s="2088"/>
      <c r="H4" s="2088"/>
      <c r="I4" s="2088"/>
      <c r="J4" s="2088"/>
      <c r="K4" s="2088"/>
    </row>
    <row r="6" spans="1:14" x14ac:dyDescent="0.2">
      <c r="A6" s="508" t="s">
        <v>1109</v>
      </c>
      <c r="J6" s="160"/>
      <c r="K6" s="164" t="s">
        <v>819</v>
      </c>
    </row>
    <row r="7" spans="1:14" x14ac:dyDescent="0.2">
      <c r="A7" s="160" t="s">
        <v>977</v>
      </c>
      <c r="J7" s="160"/>
      <c r="K7" s="1251" t="s">
        <v>1111</v>
      </c>
    </row>
    <row r="8" spans="1:14" x14ac:dyDescent="0.2">
      <c r="A8" s="209" t="s">
        <v>996</v>
      </c>
      <c r="B8" s="210"/>
      <c r="C8" s="210"/>
      <c r="D8" s="210"/>
      <c r="E8" s="210"/>
      <c r="F8" s="210"/>
      <c r="G8" s="210"/>
      <c r="H8" s="210"/>
      <c r="I8" s="210"/>
      <c r="J8" s="209"/>
      <c r="K8" s="211" t="str">
        <f>SMK</f>
        <v>WITNESS:  S. M. KATKO</v>
      </c>
    </row>
    <row r="9" spans="1:14" x14ac:dyDescent="0.2">
      <c r="A9" s="214"/>
      <c r="B9" s="214"/>
      <c r="C9" s="214"/>
      <c r="D9" s="214"/>
      <c r="E9" s="214"/>
      <c r="F9" s="214"/>
      <c r="G9" s="214"/>
      <c r="H9" s="214"/>
      <c r="I9" s="215" t="s">
        <v>638</v>
      </c>
      <c r="J9" s="214"/>
      <c r="K9" s="214"/>
    </row>
    <row r="10" spans="1:14" x14ac:dyDescent="0.2">
      <c r="C10" s="159" t="s">
        <v>820</v>
      </c>
      <c r="G10" s="159" t="s">
        <v>810</v>
      </c>
      <c r="H10" s="168"/>
      <c r="I10" s="169" t="s">
        <v>821</v>
      </c>
      <c r="J10" s="168"/>
      <c r="K10" s="159" t="s">
        <v>822</v>
      </c>
      <c r="L10" s="168"/>
      <c r="M10" s="168"/>
      <c r="N10" s="168"/>
    </row>
    <row r="11" spans="1:14" x14ac:dyDescent="0.2">
      <c r="A11" s="159" t="s">
        <v>632</v>
      </c>
      <c r="B11" s="159" t="s">
        <v>692</v>
      </c>
      <c r="C11" s="159" t="s">
        <v>823</v>
      </c>
      <c r="D11" s="159" t="s">
        <v>824</v>
      </c>
      <c r="E11" s="159" t="s">
        <v>813</v>
      </c>
      <c r="F11" s="159" t="s">
        <v>814</v>
      </c>
      <c r="G11" s="159" t="s">
        <v>813</v>
      </c>
      <c r="I11" s="159" t="s">
        <v>692</v>
      </c>
      <c r="K11" s="159" t="s">
        <v>825</v>
      </c>
    </row>
    <row r="12" spans="1:14" x14ac:dyDescent="0.2">
      <c r="A12" s="167" t="s">
        <v>635</v>
      </c>
      <c r="B12" s="167" t="s">
        <v>635</v>
      </c>
      <c r="C12" s="167" t="s">
        <v>826</v>
      </c>
      <c r="D12" s="167" t="s">
        <v>815</v>
      </c>
      <c r="E12" s="167" t="s">
        <v>780</v>
      </c>
      <c r="F12" s="1724" t="s">
        <v>816</v>
      </c>
      <c r="G12" s="167" t="s">
        <v>780</v>
      </c>
      <c r="H12" s="167" t="s">
        <v>771</v>
      </c>
      <c r="I12" s="167" t="s">
        <v>635</v>
      </c>
      <c r="J12" s="167" t="s">
        <v>778</v>
      </c>
      <c r="K12" s="167" t="s">
        <v>827</v>
      </c>
    </row>
    <row r="15" spans="1:14" x14ac:dyDescent="0.2">
      <c r="E15" s="10"/>
      <c r="F15" s="10"/>
      <c r="G15" s="10"/>
      <c r="H15" s="10"/>
    </row>
    <row r="16" spans="1:14" x14ac:dyDescent="0.2">
      <c r="E16" s="10"/>
      <c r="F16" s="10"/>
      <c r="G16" s="10"/>
    </row>
    <row r="17" spans="1:11" x14ac:dyDescent="0.2">
      <c r="A17" s="2088" t="s">
        <v>788</v>
      </c>
      <c r="B17" s="2088"/>
      <c r="C17" s="2088"/>
      <c r="D17" s="2088"/>
      <c r="E17" s="2088"/>
      <c r="F17" s="2088"/>
      <c r="G17" s="2088"/>
      <c r="H17" s="2088"/>
      <c r="I17" s="2088"/>
      <c r="J17" s="2088"/>
      <c r="K17" s="2088"/>
    </row>
    <row r="18" spans="1:11" x14ac:dyDescent="0.2">
      <c r="E18" s="10"/>
      <c r="F18" s="10"/>
      <c r="H18" s="10"/>
    </row>
    <row r="19" spans="1:11" x14ac:dyDescent="0.2">
      <c r="E19" s="10"/>
      <c r="F19" s="10"/>
      <c r="G19" s="10"/>
      <c r="H19" s="10"/>
    </row>
    <row r="20" spans="1:11" x14ac:dyDescent="0.2">
      <c r="E20" s="10"/>
      <c r="F20" s="10"/>
      <c r="G20" s="10"/>
      <c r="H20" s="10"/>
    </row>
    <row r="21" spans="1:11" x14ac:dyDescent="0.2">
      <c r="E21" s="10"/>
      <c r="F21" s="10"/>
      <c r="G21" s="10"/>
      <c r="H21" s="10"/>
    </row>
    <row r="22" spans="1:11" x14ac:dyDescent="0.2">
      <c r="E22" s="10"/>
      <c r="F22" s="10"/>
      <c r="G22" s="10"/>
      <c r="H22" s="10"/>
    </row>
    <row r="23" spans="1:11" x14ac:dyDescent="0.2">
      <c r="E23" s="10"/>
      <c r="F23" s="10"/>
      <c r="G23" s="10"/>
      <c r="H23" s="10"/>
    </row>
    <row r="24" spans="1:11" x14ac:dyDescent="0.2">
      <c r="E24" s="10"/>
      <c r="F24" s="10"/>
      <c r="G24" s="10"/>
      <c r="H24" s="10"/>
    </row>
    <row r="25" spans="1:11" x14ac:dyDescent="0.2">
      <c r="E25" s="10"/>
      <c r="F25" s="10"/>
      <c r="G25" s="10"/>
      <c r="H25" s="10"/>
    </row>
    <row r="26" spans="1:11" x14ac:dyDescent="0.2">
      <c r="F26" s="10"/>
      <c r="G26" s="10"/>
    </row>
    <row r="76" spans="3:3" x14ac:dyDescent="0.2">
      <c r="C76" s="129" t="s">
        <v>2245</v>
      </c>
    </row>
  </sheetData>
  <mergeCells count="5">
    <mergeCell ref="A1:K1"/>
    <mergeCell ref="A2:K2"/>
    <mergeCell ref="A3:K3"/>
    <mergeCell ref="A4:K4"/>
    <mergeCell ref="A17:K17"/>
  </mergeCells>
  <pageMargins left="1" right="0.5" top="1" bottom="0.75" header="0.3" footer="0.3"/>
  <pageSetup scale="66" fitToHeight="0" orientation="portrait" r:id="rId1"/>
  <headerFooter>
    <oddHeader>&amp;R&amp;"Arial,Regular"&amp;10KY PSC Case No. 2016-00162, Attachment A to Staff 3-4</oddHeader>
  </headerFooter>
  <colBreaks count="1" manualBreakCount="1">
    <brk id="11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11"/>
  <dimension ref="A1:L94"/>
  <sheetViews>
    <sheetView showGridLines="0" view="pageBreakPreview" zoomScale="70" zoomScaleNormal="100" zoomScaleSheetLayoutView="70" workbookViewId="0">
      <selection activeCell="F46" sqref="F46"/>
    </sheetView>
  </sheetViews>
  <sheetFormatPr defaultColWidth="12.5" defaultRowHeight="12.75" x14ac:dyDescent="0.2"/>
  <cols>
    <col min="1" max="1" width="4.1640625" style="17" customWidth="1"/>
    <col min="2" max="2" width="1.6640625" style="17" customWidth="1"/>
    <col min="3" max="3" width="8.83203125" style="17" customWidth="1"/>
    <col min="4" max="4" width="1.6640625" style="17" customWidth="1"/>
    <col min="5" max="5" width="53.33203125" style="17" bestFit="1" customWidth="1"/>
    <col min="6" max="6" width="19.83203125" style="17" bestFit="1" customWidth="1"/>
    <col min="7" max="7" width="14.5" style="17" customWidth="1"/>
    <col min="8" max="8" width="18.83203125" style="17" customWidth="1"/>
    <col min="9" max="9" width="18.1640625" style="17" customWidth="1"/>
    <col min="10" max="10" width="18.5" style="17" customWidth="1"/>
    <col min="11" max="11" width="17" style="17" customWidth="1"/>
    <col min="12" max="12" width="12.5" style="17" hidden="1" customWidth="1"/>
    <col min="13" max="16384" width="12.5" style="17"/>
  </cols>
  <sheetData>
    <row r="1" spans="1:11" x14ac:dyDescent="0.2">
      <c r="A1" s="2091" t="str">
        <f>co</f>
        <v>COLUMBIA GAS OF KENTUCKY, INC.</v>
      </c>
      <c r="B1" s="2091"/>
      <c r="C1" s="2091"/>
      <c r="D1" s="2091"/>
      <c r="E1" s="2091"/>
      <c r="F1" s="2091"/>
      <c r="G1" s="2091"/>
      <c r="H1" s="2091"/>
      <c r="I1" s="2091"/>
      <c r="J1" s="2091"/>
      <c r="K1" s="2091"/>
    </row>
    <row r="2" spans="1:11" x14ac:dyDescent="0.2">
      <c r="A2" s="2091" t="str">
        <f>case</f>
        <v>CASE NO. 2016 - 00162</v>
      </c>
      <c r="B2" s="2091"/>
      <c r="C2" s="2091"/>
      <c r="D2" s="2091"/>
      <c r="E2" s="2091"/>
      <c r="F2" s="2091"/>
      <c r="G2" s="2091"/>
      <c r="H2" s="2091"/>
      <c r="I2" s="2091"/>
      <c r="J2" s="2091"/>
      <c r="K2" s="2091"/>
    </row>
    <row r="3" spans="1:11" x14ac:dyDescent="0.2">
      <c r="A3" s="2093" t="s">
        <v>828</v>
      </c>
      <c r="B3" s="2093"/>
      <c r="C3" s="2093"/>
      <c r="D3" s="2093"/>
      <c r="E3" s="2093"/>
      <c r="F3" s="2093"/>
      <c r="G3" s="2093"/>
      <c r="H3" s="2093"/>
      <c r="I3" s="2093"/>
      <c r="J3" s="2093"/>
      <c r="K3" s="2093"/>
    </row>
    <row r="4" spans="1:11" x14ac:dyDescent="0.2">
      <c r="A4" s="2092" t="str">
        <f>dateb</f>
        <v>AS OF AUGUST 31, 2016</v>
      </c>
      <c r="B4" s="2092"/>
      <c r="C4" s="2092"/>
      <c r="D4" s="2092"/>
      <c r="E4" s="2092"/>
      <c r="F4" s="2092"/>
      <c r="G4" s="2092"/>
      <c r="H4" s="2092"/>
      <c r="I4" s="2092"/>
      <c r="J4" s="2092"/>
      <c r="K4" s="2092"/>
    </row>
    <row r="6" spans="1:11" x14ac:dyDescent="0.2">
      <c r="A6" s="19" t="s">
        <v>688</v>
      </c>
      <c r="J6" s="19"/>
      <c r="K6" s="154" t="s">
        <v>829</v>
      </c>
    </row>
    <row r="7" spans="1:11" x14ac:dyDescent="0.2">
      <c r="A7" s="19" t="s">
        <v>690</v>
      </c>
      <c r="J7" s="19"/>
      <c r="K7" s="218" t="s">
        <v>864</v>
      </c>
    </row>
    <row r="8" spans="1:11" x14ac:dyDescent="0.2">
      <c r="A8" s="1274" t="s">
        <v>1775</v>
      </c>
      <c r="J8" s="1273"/>
      <c r="K8" s="1337" t="str">
        <f>SMK</f>
        <v>WITNESS:  S. M. KATKO</v>
      </c>
    </row>
    <row r="10" spans="1:11" x14ac:dyDescent="0.2">
      <c r="A10" s="20"/>
      <c r="B10" s="20"/>
      <c r="C10" s="20"/>
      <c r="D10" s="20"/>
      <c r="E10" s="20"/>
      <c r="F10" s="21" t="s">
        <v>830</v>
      </c>
      <c r="G10" s="20"/>
      <c r="H10" s="20"/>
      <c r="I10" s="325" t="s">
        <v>1121</v>
      </c>
      <c r="J10" s="20"/>
      <c r="K10" s="20"/>
    </row>
    <row r="11" spans="1:11" x14ac:dyDescent="0.2">
      <c r="A11" s="19" t="s">
        <v>632</v>
      </c>
      <c r="C11" s="18" t="s">
        <v>692</v>
      </c>
      <c r="F11" s="18" t="s">
        <v>695</v>
      </c>
      <c r="G11" s="18" t="s">
        <v>670</v>
      </c>
      <c r="H11" s="18" t="s">
        <v>671</v>
      </c>
      <c r="I11" s="18" t="s">
        <v>671</v>
      </c>
      <c r="K11" s="18" t="s">
        <v>672</v>
      </c>
    </row>
    <row r="12" spans="1:11" x14ac:dyDescent="0.2">
      <c r="A12" s="18" t="s">
        <v>635</v>
      </c>
      <c r="C12" s="18" t="s">
        <v>635</v>
      </c>
      <c r="E12" s="18" t="s">
        <v>832</v>
      </c>
      <c r="F12" s="18" t="s">
        <v>833</v>
      </c>
      <c r="G12" s="18" t="s">
        <v>675</v>
      </c>
      <c r="H12" s="18" t="s">
        <v>676</v>
      </c>
      <c r="I12" s="18" t="s">
        <v>670</v>
      </c>
      <c r="J12" s="18" t="s">
        <v>677</v>
      </c>
      <c r="K12" s="18" t="s">
        <v>696</v>
      </c>
    </row>
    <row r="13" spans="1:11" x14ac:dyDescent="0.2">
      <c r="A13" s="22" t="s">
        <v>834</v>
      </c>
      <c r="B13" s="23"/>
      <c r="C13" s="22" t="s">
        <v>835</v>
      </c>
      <c r="D13" s="23"/>
      <c r="E13" s="22" t="s">
        <v>836</v>
      </c>
      <c r="F13" s="22" t="s">
        <v>837</v>
      </c>
      <c r="G13" s="22" t="s">
        <v>838</v>
      </c>
      <c r="H13" s="22" t="s">
        <v>839</v>
      </c>
      <c r="I13" s="22" t="s">
        <v>840</v>
      </c>
      <c r="J13" s="22" t="s">
        <v>841</v>
      </c>
      <c r="K13" s="22" t="s">
        <v>842</v>
      </c>
    </row>
    <row r="15" spans="1:11" x14ac:dyDescent="0.2">
      <c r="A15" s="24">
        <v>1</v>
      </c>
      <c r="C15" s="25"/>
      <c r="E15" s="26" t="s">
        <v>697</v>
      </c>
      <c r="F15" s="27"/>
      <c r="G15" s="27"/>
      <c r="H15" s="323">
        <v>1</v>
      </c>
      <c r="I15" s="27"/>
      <c r="J15" s="27"/>
      <c r="K15" s="27"/>
    </row>
    <row r="16" spans="1:11" x14ac:dyDescent="0.2">
      <c r="A16" s="24">
        <f t="shared" ref="A16:A21" si="0">A15+1</f>
        <v>2</v>
      </c>
      <c r="C16" s="25">
        <v>301</v>
      </c>
      <c r="E16" s="28" t="s">
        <v>698</v>
      </c>
      <c r="F16" s="27">
        <f>'WPB-2.1 Base Period'!Q14</f>
        <v>521.20000000000005</v>
      </c>
      <c r="G16" s="27">
        <f>I16</f>
        <v>0</v>
      </c>
      <c r="H16" s="27"/>
      <c r="I16" s="27">
        <f>'WPB-3.1 AD&amp;A (Base)'!Q13</f>
        <v>0</v>
      </c>
      <c r="J16" s="27">
        <v>0</v>
      </c>
      <c r="K16" s="27">
        <f>J16+I16</f>
        <v>0</v>
      </c>
    </row>
    <row r="17" spans="1:11" x14ac:dyDescent="0.2">
      <c r="A17" s="24">
        <f t="shared" si="0"/>
        <v>3</v>
      </c>
      <c r="C17" s="25">
        <v>303</v>
      </c>
      <c r="E17" s="28" t="s">
        <v>699</v>
      </c>
      <c r="F17" s="27">
        <f>'WPB-2.1 Base Period'!Q15</f>
        <v>74347.509999999995</v>
      </c>
      <c r="G17" s="27">
        <f>I17</f>
        <v>47038.549999999981</v>
      </c>
      <c r="H17" s="27"/>
      <c r="I17" s="27">
        <f>'WPB-3.1 AD&amp;A (Base)'!Q14</f>
        <v>47038.549999999981</v>
      </c>
      <c r="J17" s="27">
        <v>0</v>
      </c>
      <c r="K17" s="27">
        <f>J17+I17</f>
        <v>47038.549999999981</v>
      </c>
    </row>
    <row r="18" spans="1:11" x14ac:dyDescent="0.2">
      <c r="A18" s="24">
        <f t="shared" si="0"/>
        <v>4</v>
      </c>
      <c r="C18" s="25">
        <v>303.10000000000002</v>
      </c>
      <c r="E18" s="28" t="s">
        <v>700</v>
      </c>
      <c r="F18" s="27">
        <f>'WPB-2.1 Base Period'!Q16</f>
        <v>0</v>
      </c>
      <c r="G18" s="27">
        <f>I18</f>
        <v>0</v>
      </c>
      <c r="H18" s="27"/>
      <c r="I18" s="27">
        <f>'WPB-3.1 AD&amp;A (Base)'!Q15</f>
        <v>0</v>
      </c>
      <c r="J18" s="27">
        <v>0</v>
      </c>
      <c r="K18" s="27">
        <f>J18+I18</f>
        <v>0</v>
      </c>
    </row>
    <row r="19" spans="1:11" x14ac:dyDescent="0.2">
      <c r="A19" s="24">
        <f t="shared" si="0"/>
        <v>5</v>
      </c>
      <c r="C19" s="25">
        <v>303.2</v>
      </c>
      <c r="E19" s="28" t="s">
        <v>701</v>
      </c>
      <c r="F19" s="27">
        <f>'WPB-2.1 Base Period'!Q17</f>
        <v>0</v>
      </c>
      <c r="G19" s="27">
        <f>I19</f>
        <v>0</v>
      </c>
      <c r="H19" s="27"/>
      <c r="I19" s="27">
        <f>'WPB-3.1 AD&amp;A (Base)'!Q16</f>
        <v>0</v>
      </c>
      <c r="J19" s="27">
        <v>0</v>
      </c>
      <c r="K19" s="27">
        <f>J19+I19</f>
        <v>0</v>
      </c>
    </row>
    <row r="20" spans="1:11" x14ac:dyDescent="0.2">
      <c r="A20" s="24">
        <f t="shared" si="0"/>
        <v>6</v>
      </c>
      <c r="C20" s="25">
        <v>303.3</v>
      </c>
      <c r="E20" s="28" t="s">
        <v>702</v>
      </c>
      <c r="F20" s="125">
        <f>'WPB-2.1 Base Period'!Q18</f>
        <v>6022211</v>
      </c>
      <c r="G20" s="125">
        <f>I20</f>
        <v>2572404.5605437369</v>
      </c>
      <c r="H20" s="27"/>
      <c r="I20" s="125">
        <f>'WPB-3.1 AD&amp;A (Base)'!Q17</f>
        <v>2572404.5605437369</v>
      </c>
      <c r="J20" s="29">
        <v>0</v>
      </c>
      <c r="K20" s="125">
        <f>J20+I20</f>
        <v>2572404.5605437369</v>
      </c>
    </row>
    <row r="21" spans="1:11" x14ac:dyDescent="0.2">
      <c r="A21" s="24">
        <f t="shared" si="0"/>
        <v>7</v>
      </c>
      <c r="C21" s="25"/>
      <c r="E21" s="28" t="s">
        <v>703</v>
      </c>
      <c r="F21" s="27">
        <f>SUM(F16:F20)</f>
        <v>6097079.71</v>
      </c>
      <c r="G21" s="27">
        <f>SUM(G16:G20)</f>
        <v>2619443.1105437367</v>
      </c>
      <c r="H21" s="27"/>
      <c r="I21" s="27">
        <f>SUM(I16:I20)</f>
        <v>2619443.1105437367</v>
      </c>
      <c r="J21" s="27">
        <f>SUM(J16:J20)</f>
        <v>0</v>
      </c>
      <c r="K21" s="27">
        <f>SUM(K16:K20)</f>
        <v>2619443.1105437367</v>
      </c>
    </row>
    <row r="22" spans="1:11" x14ac:dyDescent="0.2">
      <c r="A22" s="24"/>
      <c r="C22" s="25"/>
      <c r="E22" s="25"/>
      <c r="F22" s="27"/>
      <c r="G22" s="27"/>
      <c r="H22" s="27"/>
      <c r="I22" s="27"/>
      <c r="J22" s="27"/>
      <c r="K22" s="27"/>
    </row>
    <row r="23" spans="1:11" x14ac:dyDescent="0.2">
      <c r="A23" s="24">
        <f>A21+1</f>
        <v>8</v>
      </c>
      <c r="C23" s="25"/>
      <c r="E23" s="26" t="s">
        <v>704</v>
      </c>
      <c r="F23" s="27"/>
      <c r="G23" s="27"/>
      <c r="H23" s="27"/>
      <c r="I23" s="27"/>
      <c r="J23" s="27"/>
      <c r="K23" s="27"/>
    </row>
    <row r="24" spans="1:11" x14ac:dyDescent="0.2">
      <c r="A24" s="24">
        <f>A23+1</f>
        <v>9</v>
      </c>
      <c r="C24" s="25">
        <v>304.10000000000002</v>
      </c>
      <c r="E24" s="28" t="s">
        <v>705</v>
      </c>
      <c r="F24" s="125">
        <f>'WPB-2.1 Base Period'!Q22</f>
        <v>0</v>
      </c>
      <c r="G24" s="125">
        <f>I24</f>
        <v>0</v>
      </c>
      <c r="H24" s="27"/>
      <c r="I24" s="125">
        <f>'WPB-3.1 AD&amp;A (Base)'!Q21</f>
        <v>0</v>
      </c>
      <c r="J24" s="125">
        <v>0</v>
      </c>
      <c r="K24" s="125">
        <f>J24+I24</f>
        <v>0</v>
      </c>
    </row>
    <row r="25" spans="1:11" x14ac:dyDescent="0.2">
      <c r="A25" s="24">
        <f>A24+1</f>
        <v>10</v>
      </c>
      <c r="C25" s="25"/>
      <c r="E25" s="28" t="s">
        <v>706</v>
      </c>
      <c r="F25" s="27">
        <f>SUM(F24:F24)</f>
        <v>0</v>
      </c>
      <c r="G25" s="27">
        <f>SUM(G24:G24)</f>
        <v>0</v>
      </c>
      <c r="H25" s="27"/>
      <c r="I25" s="27">
        <f>SUM(I24:I24)</f>
        <v>0</v>
      </c>
      <c r="J25" s="27">
        <f>SUM(J24:J24)</f>
        <v>0</v>
      </c>
      <c r="K25" s="27">
        <f>SUM(K24:K24)</f>
        <v>0</v>
      </c>
    </row>
    <row r="26" spans="1:11" x14ac:dyDescent="0.2">
      <c r="A26" s="24"/>
      <c r="C26" s="25"/>
      <c r="E26" s="25"/>
      <c r="F26" s="27"/>
      <c r="G26" s="27"/>
      <c r="H26" s="27"/>
      <c r="I26" s="27"/>
      <c r="J26" s="27"/>
      <c r="K26" s="27"/>
    </row>
    <row r="27" spans="1:11" x14ac:dyDescent="0.2">
      <c r="A27" s="24">
        <f>A25+1</f>
        <v>11</v>
      </c>
      <c r="C27" s="25"/>
      <c r="E27" s="26" t="s">
        <v>707</v>
      </c>
      <c r="F27" s="27"/>
      <c r="G27" s="27"/>
      <c r="H27" s="27"/>
      <c r="I27" s="27"/>
      <c r="J27" s="27"/>
      <c r="K27" s="27"/>
    </row>
    <row r="28" spans="1:11" x14ac:dyDescent="0.2">
      <c r="A28" s="24">
        <f>A27+1</f>
        <v>12</v>
      </c>
      <c r="C28" s="25">
        <v>374.1</v>
      </c>
      <c r="E28" s="28" t="s">
        <v>708</v>
      </c>
      <c r="F28" s="27">
        <f>'WPB-2.1 Base Period'!Q25</f>
        <v>206</v>
      </c>
      <c r="G28" s="27">
        <f t="shared" ref="G28:G44" si="1">I28</f>
        <v>0</v>
      </c>
      <c r="H28" s="27"/>
      <c r="I28" s="27">
        <f>'WPB-3.1 AD&amp;A (Base)'!Q25</f>
        <v>0</v>
      </c>
      <c r="J28" s="27">
        <v>0</v>
      </c>
      <c r="K28" s="27">
        <f t="shared" ref="K28:K44" si="2">J28+I28</f>
        <v>0</v>
      </c>
    </row>
    <row r="29" spans="1:11" x14ac:dyDescent="0.2">
      <c r="A29" s="24">
        <f t="shared" ref="A29:A44" si="3">A28+1</f>
        <v>13</v>
      </c>
      <c r="C29" s="25">
        <v>374.2</v>
      </c>
      <c r="E29" s="28" t="s">
        <v>709</v>
      </c>
      <c r="F29" s="27">
        <f>'WPB-2.1 Base Period'!Q26</f>
        <v>877756.18</v>
      </c>
      <c r="G29" s="27">
        <f t="shared" si="1"/>
        <v>-523.13</v>
      </c>
      <c r="H29" s="27"/>
      <c r="I29" s="27">
        <f>'WPB-3.1 AD&amp;A (Base)'!Q26</f>
        <v>-523.13</v>
      </c>
      <c r="J29" s="27">
        <v>0</v>
      </c>
      <c r="K29" s="27">
        <f t="shared" si="2"/>
        <v>-523.13</v>
      </c>
    </row>
    <row r="30" spans="1:11" x14ac:dyDescent="0.2">
      <c r="A30" s="24">
        <f t="shared" si="3"/>
        <v>14</v>
      </c>
      <c r="C30" s="25">
        <v>374.4</v>
      </c>
      <c r="E30" s="28" t="s">
        <v>710</v>
      </c>
      <c r="F30" s="27">
        <f>'WPB-2.1 Base Period'!Q27</f>
        <v>661305.66</v>
      </c>
      <c r="G30" s="27">
        <f t="shared" si="1"/>
        <v>175511.36</v>
      </c>
      <c r="H30" s="27"/>
      <c r="I30" s="27">
        <f>'WPB-3.1 AD&amp;A (Base)'!Q27</f>
        <v>175511.36</v>
      </c>
      <c r="J30" s="27">
        <v>0</v>
      </c>
      <c r="K30" s="27">
        <f t="shared" si="2"/>
        <v>175511.36</v>
      </c>
    </row>
    <row r="31" spans="1:11" x14ac:dyDescent="0.2">
      <c r="A31" s="24">
        <f t="shared" si="3"/>
        <v>15</v>
      </c>
      <c r="C31" s="25">
        <v>374.5</v>
      </c>
      <c r="E31" s="28" t="s">
        <v>711</v>
      </c>
      <c r="F31" s="27">
        <f>'WPB-2.1 Base Period'!Q28</f>
        <v>2697932.55</v>
      </c>
      <c r="G31" s="27">
        <f t="shared" si="1"/>
        <v>918640.23</v>
      </c>
      <c r="H31" s="27"/>
      <c r="I31" s="27">
        <f>'WPB-3.1 AD&amp;A (Base)'!Q28</f>
        <v>918640.23</v>
      </c>
      <c r="J31" s="27">
        <v>0</v>
      </c>
      <c r="K31" s="27">
        <f t="shared" si="2"/>
        <v>918640.23</v>
      </c>
    </row>
    <row r="32" spans="1:11" x14ac:dyDescent="0.2">
      <c r="A32" s="24">
        <f t="shared" si="3"/>
        <v>16</v>
      </c>
      <c r="C32" s="25">
        <v>375.2</v>
      </c>
      <c r="E32" s="28" t="s">
        <v>712</v>
      </c>
      <c r="F32" s="27">
        <f>'WPB-2.1 Base Period'!Q29</f>
        <v>2124.98</v>
      </c>
      <c r="G32" s="27">
        <f t="shared" si="1"/>
        <v>2015.32</v>
      </c>
      <c r="H32" s="27"/>
      <c r="I32" s="27">
        <f>'WPB-3.1 AD&amp;A (Base)'!Q29</f>
        <v>2015.32</v>
      </c>
      <c r="J32" s="27">
        <v>0</v>
      </c>
      <c r="K32" s="27">
        <f t="shared" si="2"/>
        <v>2015.32</v>
      </c>
    </row>
    <row r="33" spans="1:11" x14ac:dyDescent="0.2">
      <c r="A33" s="24">
        <f t="shared" si="3"/>
        <v>17</v>
      </c>
      <c r="C33" s="25">
        <v>375.3</v>
      </c>
      <c r="E33" s="28" t="s">
        <v>713</v>
      </c>
      <c r="F33" s="27">
        <f>'WPB-2.1 Base Period'!Q30</f>
        <v>0</v>
      </c>
      <c r="G33" s="27">
        <f t="shared" si="1"/>
        <v>-77.66</v>
      </c>
      <c r="H33" s="27"/>
      <c r="I33" s="27">
        <f>'WPB-3.1 AD&amp;A (Base)'!Q30</f>
        <v>-77.66</v>
      </c>
      <c r="J33" s="27">
        <v>0</v>
      </c>
      <c r="K33" s="27">
        <f t="shared" si="2"/>
        <v>-77.66</v>
      </c>
    </row>
    <row r="34" spans="1:11" x14ac:dyDescent="0.2">
      <c r="A34" s="24">
        <f t="shared" si="3"/>
        <v>18</v>
      </c>
      <c r="C34" s="25">
        <v>375.4</v>
      </c>
      <c r="E34" s="28" t="s">
        <v>714</v>
      </c>
      <c r="F34" s="27">
        <f>'WPB-2.1 Base Period'!Q31</f>
        <v>1921438.02</v>
      </c>
      <c r="G34" s="27">
        <f t="shared" si="1"/>
        <v>497365.37</v>
      </c>
      <c r="H34" s="27"/>
      <c r="I34" s="27">
        <f>'WPB-3.1 AD&amp;A (Base)'!Q31</f>
        <v>497365.37</v>
      </c>
      <c r="J34" s="27">
        <v>0</v>
      </c>
      <c r="K34" s="27">
        <f t="shared" si="2"/>
        <v>497365.37</v>
      </c>
    </row>
    <row r="35" spans="1:11" x14ac:dyDescent="0.2">
      <c r="A35" s="24">
        <f t="shared" si="3"/>
        <v>19</v>
      </c>
      <c r="C35" s="25">
        <v>375.6</v>
      </c>
      <c r="E35" s="28" t="s">
        <v>715</v>
      </c>
      <c r="F35" s="27">
        <f>'WPB-2.1 Base Period'!Q32</f>
        <v>0</v>
      </c>
      <c r="G35" s="27">
        <f t="shared" si="1"/>
        <v>0.02</v>
      </c>
      <c r="H35" s="27"/>
      <c r="I35" s="27">
        <f>'WPB-3.1 AD&amp;A (Base)'!Q32</f>
        <v>0.02</v>
      </c>
      <c r="J35" s="27">
        <v>0</v>
      </c>
      <c r="K35" s="27">
        <f t="shared" si="2"/>
        <v>0.02</v>
      </c>
    </row>
    <row r="36" spans="1:11" x14ac:dyDescent="0.2">
      <c r="A36" s="24">
        <f t="shared" si="3"/>
        <v>20</v>
      </c>
      <c r="C36" s="25">
        <v>375.7</v>
      </c>
      <c r="E36" s="28" t="s">
        <v>716</v>
      </c>
      <c r="F36" s="27">
        <f>'WPB-2.1 Base Period'!Q33</f>
        <v>8045754.21</v>
      </c>
      <c r="G36" s="27">
        <f t="shared" si="1"/>
        <v>3290740.06</v>
      </c>
      <c r="H36" s="27"/>
      <c r="I36" s="27">
        <f>'WPB-3.1 AD&amp;A (Base)'!Q33</f>
        <v>3290740.06</v>
      </c>
      <c r="J36" s="27">
        <v>0</v>
      </c>
      <c r="K36" s="27">
        <f t="shared" si="2"/>
        <v>3290740.06</v>
      </c>
    </row>
    <row r="37" spans="1:11" x14ac:dyDescent="0.2">
      <c r="A37" s="24">
        <f t="shared" si="3"/>
        <v>21</v>
      </c>
      <c r="C37" s="25">
        <v>375.71</v>
      </c>
      <c r="E37" s="28" t="s">
        <v>717</v>
      </c>
      <c r="F37" s="27">
        <f>'WPB-2.1 Base Period'!Q34</f>
        <v>259808.94</v>
      </c>
      <c r="G37" s="27">
        <f t="shared" si="1"/>
        <v>171679.35684210534</v>
      </c>
      <c r="H37" s="27"/>
      <c r="I37" s="27">
        <f>'WPB-3.1 AD&amp;A (Base)'!Q34</f>
        <v>171679.35684210534</v>
      </c>
      <c r="J37" s="27">
        <v>0</v>
      </c>
      <c r="K37" s="27">
        <f t="shared" si="2"/>
        <v>171679.35684210534</v>
      </c>
    </row>
    <row r="38" spans="1:11" x14ac:dyDescent="0.2">
      <c r="A38" s="24">
        <f t="shared" si="3"/>
        <v>22</v>
      </c>
      <c r="C38" s="25">
        <v>375.8</v>
      </c>
      <c r="E38" s="28" t="s">
        <v>718</v>
      </c>
      <c r="F38" s="27">
        <f>'WPB-2.1 Base Period'!Q35</f>
        <v>0</v>
      </c>
      <c r="G38" s="27">
        <f t="shared" si="1"/>
        <v>0</v>
      </c>
      <c r="H38" s="27"/>
      <c r="I38" s="27">
        <f>'WPB-3.1 AD&amp;A (Base)'!Q35</f>
        <v>0</v>
      </c>
      <c r="J38" s="27">
        <v>0</v>
      </c>
      <c r="K38" s="27">
        <f t="shared" si="2"/>
        <v>0</v>
      </c>
    </row>
    <row r="39" spans="1:11" x14ac:dyDescent="0.2">
      <c r="A39" s="24">
        <f t="shared" si="3"/>
        <v>23</v>
      </c>
      <c r="B39" s="42"/>
      <c r="C39" s="49">
        <v>376</v>
      </c>
      <c r="D39" s="42"/>
      <c r="E39" s="52" t="s">
        <v>1000</v>
      </c>
      <c r="F39" s="27">
        <f>'WPB-2.1 Base Period'!Q36</f>
        <v>209830261.44</v>
      </c>
      <c r="G39" s="27">
        <f t="shared" si="1"/>
        <v>56903860.609999999</v>
      </c>
      <c r="H39" s="27"/>
      <c r="I39" s="27">
        <f>'WPB-3.1 AD&amp;A (Base)'!Q36</f>
        <v>56903860.609999999</v>
      </c>
      <c r="J39" s="27">
        <v>0</v>
      </c>
      <c r="K39" s="27">
        <f t="shared" si="2"/>
        <v>56903860.609999999</v>
      </c>
    </row>
    <row r="40" spans="1:11" x14ac:dyDescent="0.2">
      <c r="A40" s="24">
        <f t="shared" si="3"/>
        <v>24</v>
      </c>
      <c r="C40" s="25">
        <v>378.1</v>
      </c>
      <c r="E40" s="28" t="s">
        <v>720</v>
      </c>
      <c r="F40" s="27">
        <f>'WPB-2.1 Base Period'!Q37</f>
        <v>518504.18</v>
      </c>
      <c r="G40" s="27">
        <f t="shared" si="1"/>
        <v>359401.81</v>
      </c>
      <c r="H40" s="27"/>
      <c r="I40" s="27">
        <f>'WPB-3.1 AD&amp;A (Base)'!Q37</f>
        <v>359401.81</v>
      </c>
      <c r="J40" s="27">
        <v>0</v>
      </c>
      <c r="K40" s="27">
        <f t="shared" si="2"/>
        <v>359401.81</v>
      </c>
    </row>
    <row r="41" spans="1:11" x14ac:dyDescent="0.2">
      <c r="A41" s="24">
        <f t="shared" si="3"/>
        <v>25</v>
      </c>
      <c r="C41" s="25">
        <v>378.2</v>
      </c>
      <c r="E41" s="28" t="s">
        <v>721</v>
      </c>
      <c r="F41" s="27">
        <f>'WPB-2.1 Base Period'!Q38</f>
        <v>9597980</v>
      </c>
      <c r="G41" s="27">
        <f t="shared" si="1"/>
        <v>3319169.91</v>
      </c>
      <c r="H41" s="27"/>
      <c r="I41" s="27">
        <f>'WPB-3.1 AD&amp;A (Base)'!Q38</f>
        <v>3319169.91</v>
      </c>
      <c r="J41" s="27">
        <v>0</v>
      </c>
      <c r="K41" s="27">
        <f t="shared" si="2"/>
        <v>3319169.91</v>
      </c>
    </row>
    <row r="42" spans="1:11" x14ac:dyDescent="0.2">
      <c r="A42" s="24">
        <f t="shared" si="3"/>
        <v>26</v>
      </c>
      <c r="C42" s="25">
        <v>378.3</v>
      </c>
      <c r="E42" s="28" t="s">
        <v>722</v>
      </c>
      <c r="F42" s="27">
        <f>'WPB-2.1 Base Period'!Q39</f>
        <v>45443.08</v>
      </c>
      <c r="G42" s="27">
        <f t="shared" si="1"/>
        <v>35522.04</v>
      </c>
      <c r="H42" s="27"/>
      <c r="I42" s="27">
        <f>'WPB-3.1 AD&amp;A (Base)'!Q39</f>
        <v>35522.04</v>
      </c>
      <c r="J42" s="27">
        <v>0</v>
      </c>
      <c r="K42" s="27">
        <f t="shared" si="2"/>
        <v>35522.04</v>
      </c>
    </row>
    <row r="43" spans="1:11" x14ac:dyDescent="0.2">
      <c r="A43" s="24">
        <f t="shared" si="3"/>
        <v>27</v>
      </c>
      <c r="C43" s="25">
        <v>379.1</v>
      </c>
      <c r="E43" s="28" t="s">
        <v>723</v>
      </c>
      <c r="F43" s="27">
        <f>'WPB-2.1 Base Period'!Q40</f>
        <v>254900.59</v>
      </c>
      <c r="G43" s="27">
        <f t="shared" si="1"/>
        <v>267730.57</v>
      </c>
      <c r="H43" s="27"/>
      <c r="I43" s="27">
        <f>'WPB-3.1 AD&amp;A (Base)'!Q40</f>
        <v>267730.57</v>
      </c>
      <c r="J43" s="27">
        <v>0</v>
      </c>
      <c r="K43" s="27">
        <f t="shared" si="2"/>
        <v>267730.57</v>
      </c>
    </row>
    <row r="44" spans="1:11" x14ac:dyDescent="0.2">
      <c r="A44" s="24">
        <f t="shared" si="3"/>
        <v>28</v>
      </c>
      <c r="B44" s="42"/>
      <c r="C44" s="49">
        <v>380</v>
      </c>
      <c r="D44" s="42"/>
      <c r="E44" s="52" t="s">
        <v>1001</v>
      </c>
      <c r="F44" s="27">
        <f>'WPB-2.1 Base Period'!Q41</f>
        <v>120631824.77</v>
      </c>
      <c r="G44" s="27">
        <f t="shared" si="1"/>
        <v>58233861.520000003</v>
      </c>
      <c r="H44" s="27"/>
      <c r="I44" s="27">
        <f>'WPB-3.1 AD&amp;A (Base)'!Q41</f>
        <v>58233861.520000003</v>
      </c>
      <c r="J44" s="27">
        <v>0</v>
      </c>
      <c r="K44" s="27">
        <f t="shared" si="2"/>
        <v>58233861.520000003</v>
      </c>
    </row>
    <row r="45" spans="1:11" x14ac:dyDescent="0.2">
      <c r="A45" s="24"/>
      <c r="C45" s="25"/>
      <c r="E45" s="28"/>
      <c r="F45" s="27"/>
      <c r="G45" s="27"/>
      <c r="H45" s="27"/>
      <c r="I45" s="27"/>
      <c r="J45" s="27"/>
      <c r="K45" s="27"/>
    </row>
    <row r="46" spans="1:11" x14ac:dyDescent="0.2">
      <c r="A46" s="2091" t="str">
        <f>co</f>
        <v>COLUMBIA GAS OF KENTUCKY, INC.</v>
      </c>
      <c r="B46" s="2091"/>
      <c r="C46" s="2091"/>
      <c r="D46" s="2091"/>
      <c r="E46" s="2091"/>
      <c r="F46" s="2091"/>
      <c r="G46" s="2091"/>
      <c r="H46" s="2091"/>
      <c r="I46" s="2091"/>
      <c r="J46" s="2091"/>
      <c r="K46" s="2091"/>
    </row>
    <row r="47" spans="1:11" x14ac:dyDescent="0.2">
      <c r="A47" s="2091" t="str">
        <f>case</f>
        <v>CASE NO. 2016 - 00162</v>
      </c>
      <c r="B47" s="2091"/>
      <c r="C47" s="2091"/>
      <c r="D47" s="2091"/>
      <c r="E47" s="2091"/>
      <c r="F47" s="2091"/>
      <c r="G47" s="2091"/>
      <c r="H47" s="2091"/>
      <c r="I47" s="2091"/>
      <c r="J47" s="2091"/>
      <c r="K47" s="2091"/>
    </row>
    <row r="48" spans="1:11" x14ac:dyDescent="0.2">
      <c r="A48" s="2093" t="s">
        <v>828</v>
      </c>
      <c r="B48" s="2093"/>
      <c r="C48" s="2093"/>
      <c r="D48" s="2093"/>
      <c r="E48" s="2093"/>
      <c r="F48" s="2093"/>
      <c r="G48" s="2093"/>
      <c r="H48" s="2093"/>
      <c r="I48" s="2093"/>
      <c r="J48" s="2093"/>
      <c r="K48" s="2093"/>
    </row>
    <row r="49" spans="1:11" x14ac:dyDescent="0.2">
      <c r="A49" s="2092" t="str">
        <f>dateb</f>
        <v>AS OF AUGUST 31, 2016</v>
      </c>
      <c r="B49" s="2092"/>
      <c r="C49" s="2092"/>
      <c r="D49" s="2092"/>
      <c r="E49" s="2092"/>
      <c r="F49" s="2092"/>
      <c r="G49" s="2092"/>
      <c r="H49" s="2092"/>
      <c r="I49" s="2092"/>
      <c r="J49" s="2092"/>
      <c r="K49" s="2092"/>
    </row>
    <row r="51" spans="1:11" x14ac:dyDescent="0.2">
      <c r="A51" s="19" t="s">
        <v>688</v>
      </c>
      <c r="J51" s="19"/>
      <c r="K51" s="154" t="s">
        <v>829</v>
      </c>
    </row>
    <row r="52" spans="1:11" x14ac:dyDescent="0.2">
      <c r="A52" s="19" t="s">
        <v>690</v>
      </c>
      <c r="J52" s="19"/>
      <c r="K52" s="154" t="s">
        <v>869</v>
      </c>
    </row>
    <row r="53" spans="1:11" x14ac:dyDescent="0.2">
      <c r="A53" s="1274" t="s">
        <v>1775</v>
      </c>
      <c r="J53" s="19"/>
      <c r="K53" s="218" t="str">
        <f>K8</f>
        <v>WITNESS:  S. M. KATKO</v>
      </c>
    </row>
    <row r="55" spans="1:11" x14ac:dyDescent="0.2">
      <c r="A55" s="20"/>
      <c r="B55" s="20"/>
      <c r="C55" s="20"/>
      <c r="D55" s="20"/>
      <c r="E55" s="20"/>
      <c r="F55" s="21" t="s">
        <v>830</v>
      </c>
      <c r="G55" s="20"/>
      <c r="H55" s="20"/>
      <c r="I55" s="21" t="s">
        <v>831</v>
      </c>
      <c r="J55" s="20"/>
      <c r="K55" s="20"/>
    </row>
    <row r="56" spans="1:11" x14ac:dyDescent="0.2">
      <c r="A56" s="19" t="s">
        <v>632</v>
      </c>
      <c r="C56" s="18" t="s">
        <v>692</v>
      </c>
      <c r="F56" s="18" t="s">
        <v>695</v>
      </c>
      <c r="G56" s="18" t="s">
        <v>670</v>
      </c>
      <c r="H56" s="18" t="s">
        <v>671</v>
      </c>
      <c r="I56" s="18" t="s">
        <v>671</v>
      </c>
      <c r="K56" s="18" t="s">
        <v>672</v>
      </c>
    </row>
    <row r="57" spans="1:11" x14ac:dyDescent="0.2">
      <c r="A57" s="18" t="s">
        <v>635</v>
      </c>
      <c r="C57" s="18" t="s">
        <v>635</v>
      </c>
      <c r="E57" s="18" t="s">
        <v>832</v>
      </c>
      <c r="F57" s="18" t="s">
        <v>833</v>
      </c>
      <c r="G57" s="18" t="s">
        <v>675</v>
      </c>
      <c r="H57" s="18" t="s">
        <v>676</v>
      </c>
      <c r="I57" s="18" t="s">
        <v>670</v>
      </c>
      <c r="J57" s="18" t="s">
        <v>677</v>
      </c>
      <c r="K57" s="18" t="s">
        <v>696</v>
      </c>
    </row>
    <row r="58" spans="1:11" x14ac:dyDescent="0.2">
      <c r="A58" s="22" t="s">
        <v>834</v>
      </c>
      <c r="B58" s="23"/>
      <c r="C58" s="22" t="s">
        <v>835</v>
      </c>
      <c r="D58" s="23"/>
      <c r="E58" s="22" t="s">
        <v>836</v>
      </c>
      <c r="F58" s="22" t="s">
        <v>837</v>
      </c>
      <c r="G58" s="22" t="s">
        <v>838</v>
      </c>
      <c r="H58" s="22" t="s">
        <v>839</v>
      </c>
      <c r="I58" s="22" t="s">
        <v>840</v>
      </c>
      <c r="J58" s="22" t="s">
        <v>841</v>
      </c>
      <c r="K58" s="22" t="s">
        <v>842</v>
      </c>
    </row>
    <row r="60" spans="1:11" x14ac:dyDescent="0.2">
      <c r="A60" s="24">
        <v>1</v>
      </c>
      <c r="C60" s="25">
        <v>381</v>
      </c>
      <c r="E60" s="28" t="s">
        <v>725</v>
      </c>
      <c r="F60" s="27">
        <f>'WPB-2.1 Base Period'!Q55</f>
        <v>13641248.550000001</v>
      </c>
      <c r="G60" s="27">
        <f t="shared" ref="G60:G71" si="4">I60</f>
        <v>4823000.8899999997</v>
      </c>
      <c r="H60" s="27"/>
      <c r="I60" s="27">
        <f>'WPB-3.1 AD&amp;A (Base)'!Q55</f>
        <v>4823000.8899999997</v>
      </c>
      <c r="J60" s="27">
        <v>0</v>
      </c>
      <c r="K60" s="27">
        <f t="shared" ref="K60:K71" si="5">J60+I60</f>
        <v>4823000.8899999997</v>
      </c>
    </row>
    <row r="61" spans="1:11" x14ac:dyDescent="0.2">
      <c r="A61" s="24">
        <f>A60+1</f>
        <v>2</v>
      </c>
      <c r="C61" s="25">
        <v>381.1</v>
      </c>
      <c r="E61" s="322" t="s">
        <v>1117</v>
      </c>
      <c r="F61" s="27">
        <f>'WPB-2.1 Base Period'!Q56</f>
        <v>8764800.0600000005</v>
      </c>
      <c r="G61" s="27">
        <f>I61</f>
        <v>478488.5</v>
      </c>
      <c r="H61" s="27"/>
      <c r="I61" s="27">
        <f>'WPB-3.1 AD&amp;A (Base)'!Q56</f>
        <v>478488.5</v>
      </c>
      <c r="J61" s="27">
        <v>0</v>
      </c>
      <c r="K61" s="27">
        <f t="shared" si="5"/>
        <v>478488.5</v>
      </c>
    </row>
    <row r="62" spans="1:11" x14ac:dyDescent="0.2">
      <c r="A62" s="24">
        <f t="shared" ref="A62:A72" si="6">A61+1</f>
        <v>3</v>
      </c>
      <c r="C62" s="25">
        <v>382</v>
      </c>
      <c r="E62" s="28" t="s">
        <v>726</v>
      </c>
      <c r="F62" s="27">
        <f>'WPB-2.1 Base Period'!Q57</f>
        <v>9109896.6500000004</v>
      </c>
      <c r="G62" s="27">
        <f t="shared" si="4"/>
        <v>4576242.3</v>
      </c>
      <c r="H62" s="27"/>
      <c r="I62" s="27">
        <f>'WPB-3.1 AD&amp;A (Base)'!Q57</f>
        <v>4576242.3</v>
      </c>
      <c r="J62" s="27">
        <v>0</v>
      </c>
      <c r="K62" s="27">
        <f t="shared" si="5"/>
        <v>4576242.3</v>
      </c>
    </row>
    <row r="63" spans="1:11" x14ac:dyDescent="0.2">
      <c r="A63" s="24">
        <f t="shared" si="6"/>
        <v>4</v>
      </c>
      <c r="C63" s="25">
        <v>383</v>
      </c>
      <c r="E63" s="28" t="s">
        <v>727</v>
      </c>
      <c r="F63" s="27">
        <f>'WPB-2.1 Base Period'!Q58</f>
        <v>5590608.7599999998</v>
      </c>
      <c r="G63" s="27">
        <f t="shared" si="4"/>
        <v>1489794.41</v>
      </c>
      <c r="H63" s="27"/>
      <c r="I63" s="27">
        <f>'WPB-3.1 AD&amp;A (Base)'!Q58</f>
        <v>1489794.41</v>
      </c>
      <c r="J63" s="27">
        <v>0</v>
      </c>
      <c r="K63" s="27">
        <f t="shared" si="5"/>
        <v>1489794.41</v>
      </c>
    </row>
    <row r="64" spans="1:11" x14ac:dyDescent="0.2">
      <c r="A64" s="24">
        <f t="shared" si="6"/>
        <v>5</v>
      </c>
      <c r="C64" s="25">
        <v>384</v>
      </c>
      <c r="E64" s="28" t="s">
        <v>728</v>
      </c>
      <c r="F64" s="27">
        <f>'WPB-2.1 Base Period'!Q59</f>
        <v>2257522</v>
      </c>
      <c r="G64" s="27">
        <f t="shared" si="4"/>
        <v>1761052.73</v>
      </c>
      <c r="H64" s="27"/>
      <c r="I64" s="27">
        <f>'WPB-3.1 AD&amp;A (Base)'!Q59</f>
        <v>1761052.73</v>
      </c>
      <c r="J64" s="27">
        <v>0</v>
      </c>
      <c r="K64" s="27">
        <f t="shared" si="5"/>
        <v>1761052.73</v>
      </c>
    </row>
    <row r="65" spans="1:11" x14ac:dyDescent="0.2">
      <c r="A65" s="24">
        <f t="shared" si="6"/>
        <v>6</v>
      </c>
      <c r="C65" s="25">
        <v>385</v>
      </c>
      <c r="E65" s="28" t="s">
        <v>729</v>
      </c>
      <c r="F65" s="27">
        <f>'WPB-2.1 Base Period'!Q60</f>
        <v>3175963.36</v>
      </c>
      <c r="G65" s="27">
        <f t="shared" si="4"/>
        <v>878725.55</v>
      </c>
      <c r="H65" s="27"/>
      <c r="I65" s="27">
        <f>'WPB-3.1 AD&amp;A (Base)'!Q60</f>
        <v>878725.55</v>
      </c>
      <c r="J65" s="27">
        <v>0</v>
      </c>
      <c r="K65" s="27">
        <f t="shared" si="5"/>
        <v>878725.55</v>
      </c>
    </row>
    <row r="66" spans="1:11" x14ac:dyDescent="0.2">
      <c r="A66" s="24">
        <f t="shared" si="6"/>
        <v>7</v>
      </c>
      <c r="C66" s="25">
        <v>387.2</v>
      </c>
      <c r="E66" s="28" t="s">
        <v>730</v>
      </c>
      <c r="F66" s="27">
        <f>'WPB-2.1 Base Period'!Q61</f>
        <v>0</v>
      </c>
      <c r="G66" s="27">
        <f t="shared" si="4"/>
        <v>-59912.03</v>
      </c>
      <c r="H66" s="27"/>
      <c r="I66" s="27">
        <f>'WPB-3.1 AD&amp;A (Base)'!Q61</f>
        <v>-59912.03</v>
      </c>
      <c r="J66" s="27">
        <v>0</v>
      </c>
      <c r="K66" s="27">
        <f t="shared" si="5"/>
        <v>-59912.03</v>
      </c>
    </row>
    <row r="67" spans="1:11" x14ac:dyDescent="0.2">
      <c r="A67" s="24">
        <f t="shared" si="6"/>
        <v>8</v>
      </c>
      <c r="C67" s="25">
        <v>387.41</v>
      </c>
      <c r="E67" s="28" t="s">
        <v>731</v>
      </c>
      <c r="F67" s="27">
        <f>'WPB-2.1 Base Period'!Q62</f>
        <v>735770.76</v>
      </c>
      <c r="G67" s="27">
        <f t="shared" si="4"/>
        <v>380317.95</v>
      </c>
      <c r="H67" s="27"/>
      <c r="I67" s="27">
        <f>'WPB-3.1 AD&amp;A (Base)'!Q62</f>
        <v>380317.95</v>
      </c>
      <c r="J67" s="27">
        <v>0</v>
      </c>
      <c r="K67" s="27">
        <f t="shared" si="5"/>
        <v>380317.95</v>
      </c>
    </row>
    <row r="68" spans="1:11" x14ac:dyDescent="0.2">
      <c r="A68" s="24">
        <f t="shared" si="6"/>
        <v>9</v>
      </c>
      <c r="C68" s="25">
        <v>387.42</v>
      </c>
      <c r="E68" s="28" t="s">
        <v>732</v>
      </c>
      <c r="F68" s="27">
        <f>'WPB-2.1 Base Period'!Q63</f>
        <v>795186.58</v>
      </c>
      <c r="G68" s="27">
        <f t="shared" si="4"/>
        <v>546341.94999999995</v>
      </c>
      <c r="H68" s="27"/>
      <c r="I68" s="27">
        <f>'WPB-3.1 AD&amp;A (Base)'!Q63</f>
        <v>546341.94999999995</v>
      </c>
      <c r="J68" s="27">
        <v>0</v>
      </c>
      <c r="K68" s="27">
        <f t="shared" si="5"/>
        <v>546341.94999999995</v>
      </c>
    </row>
    <row r="69" spans="1:11" x14ac:dyDescent="0.2">
      <c r="A69" s="24">
        <f t="shared" si="6"/>
        <v>10</v>
      </c>
      <c r="C69" s="25">
        <v>387.44</v>
      </c>
      <c r="E69" s="28" t="s">
        <v>733</v>
      </c>
      <c r="F69" s="27">
        <f>'WPB-2.1 Base Period'!Q64</f>
        <v>143283.93</v>
      </c>
      <c r="G69" s="27">
        <f t="shared" si="4"/>
        <v>45832.55</v>
      </c>
      <c r="H69" s="27"/>
      <c r="I69" s="27">
        <f>'WPB-3.1 AD&amp;A (Base)'!Q64</f>
        <v>45832.55</v>
      </c>
      <c r="J69" s="27">
        <v>0</v>
      </c>
      <c r="K69" s="27">
        <f t="shared" si="5"/>
        <v>45832.55</v>
      </c>
    </row>
    <row r="70" spans="1:11" x14ac:dyDescent="0.2">
      <c r="A70" s="24">
        <f t="shared" si="6"/>
        <v>11</v>
      </c>
      <c r="C70" s="25">
        <v>387.45</v>
      </c>
      <c r="E70" s="28" t="s">
        <v>734</v>
      </c>
      <c r="F70" s="27">
        <f>'WPB-2.1 Base Period'!Q65</f>
        <v>2909068.66</v>
      </c>
      <c r="G70" s="27">
        <f t="shared" si="4"/>
        <v>557526.06000000006</v>
      </c>
      <c r="H70" s="27"/>
      <c r="I70" s="27">
        <f>'WPB-3.1 AD&amp;A (Base)'!Q65</f>
        <v>557526.06000000006</v>
      </c>
      <c r="J70" s="27">
        <v>0</v>
      </c>
      <c r="K70" s="27">
        <f t="shared" si="5"/>
        <v>557526.06000000006</v>
      </c>
    </row>
    <row r="71" spans="1:11" x14ac:dyDescent="0.2">
      <c r="A71" s="24">
        <f t="shared" si="6"/>
        <v>12</v>
      </c>
      <c r="C71" s="25">
        <v>387.46</v>
      </c>
      <c r="E71" s="28" t="s">
        <v>735</v>
      </c>
      <c r="F71" s="125">
        <f>'WPB-2.1 Base Period'!Q66</f>
        <v>113644.47</v>
      </c>
      <c r="G71" s="125">
        <f t="shared" si="4"/>
        <v>111344.83</v>
      </c>
      <c r="H71" s="27"/>
      <c r="I71" s="125">
        <f>'WPB-3.1 AD&amp;A (Base)'!Q66</f>
        <v>111344.83</v>
      </c>
      <c r="J71" s="29">
        <v>0</v>
      </c>
      <c r="K71" s="125">
        <f t="shared" si="5"/>
        <v>111344.83</v>
      </c>
    </row>
    <row r="72" spans="1:11" x14ac:dyDescent="0.2">
      <c r="A72" s="24">
        <f t="shared" si="6"/>
        <v>13</v>
      </c>
      <c r="C72" s="25"/>
      <c r="E72" s="28" t="s">
        <v>736</v>
      </c>
      <c r="F72" s="27">
        <f>SUM(F60:F71,F28:F44)</f>
        <v>402582234.37999994</v>
      </c>
      <c r="G72" s="27">
        <f>SUM(G60:G71,G28:G44)</f>
        <v>139763653.0768421</v>
      </c>
      <c r="H72" s="27"/>
      <c r="I72" s="27">
        <f>SUM(I60:I71,I28:I44)</f>
        <v>139763653.0768421</v>
      </c>
      <c r="J72" s="27">
        <f>SUM(J60:J71,J28:J44)</f>
        <v>0</v>
      </c>
      <c r="K72" s="27">
        <f>SUM(K60:K71,K28:K44)</f>
        <v>139763653.0768421</v>
      </c>
    </row>
    <row r="73" spans="1:11" x14ac:dyDescent="0.2">
      <c r="A73" s="24"/>
      <c r="C73" s="25"/>
      <c r="E73" s="25"/>
      <c r="F73" s="27"/>
      <c r="G73" s="27"/>
      <c r="H73" s="27"/>
      <c r="I73" s="27"/>
      <c r="J73" s="27"/>
      <c r="K73" s="27"/>
    </row>
    <row r="74" spans="1:11" x14ac:dyDescent="0.2">
      <c r="A74" s="24">
        <f>A72+1</f>
        <v>14</v>
      </c>
      <c r="C74" s="25"/>
      <c r="E74" s="26" t="s">
        <v>737</v>
      </c>
      <c r="F74" s="27"/>
      <c r="G74" s="27"/>
      <c r="H74" s="27"/>
      <c r="I74" s="27"/>
      <c r="J74" s="27"/>
      <c r="K74" s="27"/>
    </row>
    <row r="75" spans="1:11" x14ac:dyDescent="0.2">
      <c r="A75" s="24">
        <f>A74+1</f>
        <v>15</v>
      </c>
      <c r="C75" s="25">
        <v>391.1</v>
      </c>
      <c r="E75" s="28" t="s">
        <v>738</v>
      </c>
      <c r="F75" s="27">
        <f>'WPB-2.1 Base Period'!Q70</f>
        <v>730376.71</v>
      </c>
      <c r="G75" s="27">
        <f t="shared" ref="G75:G88" si="7">I75</f>
        <v>-64912.22</v>
      </c>
      <c r="H75" s="27"/>
      <c r="I75" s="27">
        <f>'WPB-3.1 AD&amp;A (Base)'!Q70</f>
        <v>-64912.22</v>
      </c>
      <c r="J75" s="27">
        <v>0</v>
      </c>
      <c r="K75" s="27">
        <f t="shared" ref="K75:K88" si="8">J75+I75</f>
        <v>-64912.22</v>
      </c>
    </row>
    <row r="76" spans="1:11" x14ac:dyDescent="0.2">
      <c r="A76" s="24">
        <f t="shared" ref="A76:A89" si="9">A75+1</f>
        <v>16</v>
      </c>
      <c r="C76" s="25">
        <v>391.11</v>
      </c>
      <c r="E76" s="28" t="s">
        <v>739</v>
      </c>
      <c r="F76" s="27">
        <f>'WPB-2.1 Base Period'!Q71</f>
        <v>18815.57</v>
      </c>
      <c r="G76" s="27">
        <f t="shared" si="7"/>
        <v>-12404.77</v>
      </c>
      <c r="H76" s="27"/>
      <c r="I76" s="27">
        <f>'WPB-3.1 AD&amp;A (Base)'!Q71</f>
        <v>-12404.77</v>
      </c>
      <c r="J76" s="27">
        <v>0</v>
      </c>
      <c r="K76" s="27">
        <f t="shared" si="8"/>
        <v>-12404.77</v>
      </c>
    </row>
    <row r="77" spans="1:11" x14ac:dyDescent="0.2">
      <c r="A77" s="24">
        <f t="shared" si="9"/>
        <v>17</v>
      </c>
      <c r="C77" s="25">
        <v>391.12</v>
      </c>
      <c r="E77" s="28" t="s">
        <v>740</v>
      </c>
      <c r="F77" s="27">
        <f>'WPB-2.1 Base Period'!Q72</f>
        <v>853483.41</v>
      </c>
      <c r="G77" s="27">
        <f t="shared" si="7"/>
        <v>632685.37</v>
      </c>
      <c r="H77" s="27"/>
      <c r="I77" s="27">
        <f>'WPB-3.1 AD&amp;A (Base)'!Q72</f>
        <v>632685.37</v>
      </c>
      <c r="J77" s="27">
        <v>0</v>
      </c>
      <c r="K77" s="27">
        <f t="shared" si="8"/>
        <v>632685.37</v>
      </c>
    </row>
    <row r="78" spans="1:11" x14ac:dyDescent="0.2">
      <c r="A78" s="24">
        <f>A77+1</f>
        <v>18</v>
      </c>
      <c r="C78" s="25">
        <v>392.2</v>
      </c>
      <c r="E78" s="28" t="s">
        <v>852</v>
      </c>
      <c r="F78" s="27">
        <f>'WPB-2.1 Base Period'!Q73</f>
        <v>95778</v>
      </c>
      <c r="G78" s="27">
        <f t="shared" si="7"/>
        <v>21715.05</v>
      </c>
      <c r="H78" s="27"/>
      <c r="I78" s="27">
        <f>'WPB-3.1 AD&amp;A (Base)'!Q73</f>
        <v>21715.05</v>
      </c>
      <c r="J78" s="27">
        <v>0</v>
      </c>
      <c r="K78" s="27">
        <f t="shared" si="8"/>
        <v>21715.05</v>
      </c>
    </row>
    <row r="79" spans="1:11" x14ac:dyDescent="0.2">
      <c r="A79" s="24">
        <f>A78+1</f>
        <v>19</v>
      </c>
      <c r="C79" s="25">
        <v>392.21</v>
      </c>
      <c r="E79" s="28" t="s">
        <v>741</v>
      </c>
      <c r="F79" s="27">
        <f>'WPB-2.1 Base Period'!Q74</f>
        <v>24462.2</v>
      </c>
      <c r="G79" s="27">
        <f t="shared" si="7"/>
        <v>4947.3999999999996</v>
      </c>
      <c r="H79" s="27"/>
      <c r="I79" s="27">
        <f>'WPB-3.1 AD&amp;A (Base)'!Q74</f>
        <v>4947.3999999999996</v>
      </c>
      <c r="J79" s="27">
        <v>0</v>
      </c>
      <c r="K79" s="27">
        <f t="shared" si="8"/>
        <v>4947.3999999999996</v>
      </c>
    </row>
    <row r="80" spans="1:11" x14ac:dyDescent="0.2">
      <c r="A80" s="24">
        <f>A79+1</f>
        <v>20</v>
      </c>
      <c r="C80" s="25">
        <v>393</v>
      </c>
      <c r="E80" s="28" t="s">
        <v>742</v>
      </c>
      <c r="F80" s="27">
        <f>'WPB-2.1 Base Period'!Q75</f>
        <v>0</v>
      </c>
      <c r="G80" s="27">
        <f t="shared" si="7"/>
        <v>0</v>
      </c>
      <c r="H80" s="27"/>
      <c r="I80" s="27">
        <f>'WPB-3.1 AD&amp;A (Base)'!Q75</f>
        <v>0</v>
      </c>
      <c r="J80" s="27">
        <v>0</v>
      </c>
      <c r="K80" s="27">
        <f t="shared" si="8"/>
        <v>0</v>
      </c>
    </row>
    <row r="81" spans="1:11" x14ac:dyDescent="0.2">
      <c r="A81" s="24">
        <f>A80+1</f>
        <v>21</v>
      </c>
      <c r="C81" s="25">
        <v>394.1</v>
      </c>
      <c r="E81" s="28" t="s">
        <v>743</v>
      </c>
      <c r="F81" s="27">
        <f>'WPB-2.1 Base Period'!Q76</f>
        <v>24240.799999999999</v>
      </c>
      <c r="G81" s="27">
        <f t="shared" si="7"/>
        <v>14284.82</v>
      </c>
      <c r="H81" s="27"/>
      <c r="I81" s="27">
        <f>'WPB-3.1 AD&amp;A (Base)'!Q76</f>
        <v>14284.82</v>
      </c>
      <c r="J81" s="27">
        <v>0</v>
      </c>
      <c r="K81" s="27">
        <f t="shared" si="8"/>
        <v>14284.82</v>
      </c>
    </row>
    <row r="82" spans="1:11" x14ac:dyDescent="0.2">
      <c r="A82" s="24">
        <f t="shared" si="9"/>
        <v>22</v>
      </c>
      <c r="C82" s="25">
        <v>394.11</v>
      </c>
      <c r="E82" s="28" t="s">
        <v>744</v>
      </c>
      <c r="F82" s="27">
        <f>'WPB-2.1 Base Period'!Q77</f>
        <v>0</v>
      </c>
      <c r="G82" s="27">
        <f t="shared" si="7"/>
        <v>0</v>
      </c>
      <c r="H82" s="27"/>
      <c r="I82" s="27">
        <f>'WPB-3.1 AD&amp;A (Base)'!Q77</f>
        <v>0</v>
      </c>
      <c r="J82" s="27">
        <v>0</v>
      </c>
      <c r="K82" s="27">
        <f t="shared" si="8"/>
        <v>0</v>
      </c>
    </row>
    <row r="83" spans="1:11" x14ac:dyDescent="0.2">
      <c r="A83" s="24">
        <f t="shared" si="9"/>
        <v>23</v>
      </c>
      <c r="C83" s="18">
        <v>394.13</v>
      </c>
      <c r="E83" s="28" t="s">
        <v>843</v>
      </c>
      <c r="F83" s="27">
        <f>'WPB-2.1 Base Period'!Q78</f>
        <v>0</v>
      </c>
      <c r="G83" s="27">
        <f t="shared" si="7"/>
        <v>37937.360000000001</v>
      </c>
      <c r="H83" s="27"/>
      <c r="I83" s="27">
        <f>'WPB-3.1 AD&amp;A (Base)'!Q78</f>
        <v>37937.360000000001</v>
      </c>
      <c r="J83" s="27">
        <v>0</v>
      </c>
      <c r="K83" s="27">
        <f t="shared" si="8"/>
        <v>37937.360000000001</v>
      </c>
    </row>
    <row r="84" spans="1:11" x14ac:dyDescent="0.2">
      <c r="A84" s="24">
        <f t="shared" si="9"/>
        <v>24</v>
      </c>
      <c r="C84" s="25">
        <v>394.2</v>
      </c>
      <c r="E84" s="28" t="s">
        <v>746</v>
      </c>
      <c r="F84" s="27">
        <f>'WPB-2.1 Base Period'!Q79</f>
        <v>0</v>
      </c>
      <c r="G84" s="27">
        <f t="shared" si="7"/>
        <v>185.21</v>
      </c>
      <c r="H84" s="27"/>
      <c r="I84" s="27">
        <f>'WPB-3.1 AD&amp;A (Base)'!Q79</f>
        <v>185.21</v>
      </c>
      <c r="J84" s="27">
        <v>0</v>
      </c>
      <c r="K84" s="27">
        <f t="shared" si="8"/>
        <v>185.21</v>
      </c>
    </row>
    <row r="85" spans="1:11" x14ac:dyDescent="0.2">
      <c r="A85" s="24">
        <f t="shared" si="9"/>
        <v>25</v>
      </c>
      <c r="C85" s="25">
        <v>394.3</v>
      </c>
      <c r="E85" s="28" t="s">
        <v>747</v>
      </c>
      <c r="F85" s="27">
        <f>'WPB-2.1 Base Period'!Q80</f>
        <v>3110581.16</v>
      </c>
      <c r="G85" s="27">
        <f t="shared" si="7"/>
        <v>1243947.1499999999</v>
      </c>
      <c r="H85" s="27"/>
      <c r="I85" s="27">
        <f>'WPB-3.1 AD&amp;A (Base)'!Q80</f>
        <v>1243947.1499999999</v>
      </c>
      <c r="J85" s="27">
        <v>0</v>
      </c>
      <c r="K85" s="27">
        <f t="shared" si="8"/>
        <v>1243947.1499999999</v>
      </c>
    </row>
    <row r="86" spans="1:11" x14ac:dyDescent="0.2">
      <c r="A86" s="24">
        <f t="shared" si="9"/>
        <v>26</v>
      </c>
      <c r="C86" s="25">
        <v>395</v>
      </c>
      <c r="E86" s="28" t="s">
        <v>748</v>
      </c>
      <c r="F86" s="27">
        <f>'WPB-2.1 Base Period'!Q81</f>
        <v>9257.77</v>
      </c>
      <c r="G86" s="27">
        <f t="shared" si="7"/>
        <v>7373.59</v>
      </c>
      <c r="H86" s="27"/>
      <c r="I86" s="27">
        <f>'WPB-3.1 AD&amp;A (Base)'!Q81</f>
        <v>7373.59</v>
      </c>
      <c r="J86" s="27">
        <v>0</v>
      </c>
      <c r="K86" s="27">
        <f t="shared" si="8"/>
        <v>7373.59</v>
      </c>
    </row>
    <row r="87" spans="1:11" x14ac:dyDescent="0.2">
      <c r="A87" s="24">
        <f t="shared" si="9"/>
        <v>27</v>
      </c>
      <c r="C87" s="25">
        <v>396</v>
      </c>
      <c r="E87" s="28" t="s">
        <v>749</v>
      </c>
      <c r="F87" s="27">
        <f>'WPB-2.1 Base Period'!Q82</f>
        <v>253134.72</v>
      </c>
      <c r="G87" s="27">
        <f t="shared" si="7"/>
        <v>199321.72</v>
      </c>
      <c r="H87" s="27"/>
      <c r="I87" s="27">
        <f>'WPB-3.1 AD&amp;A (Base)'!Q82</f>
        <v>199321.72</v>
      </c>
      <c r="J87" s="27">
        <v>0</v>
      </c>
      <c r="K87" s="27">
        <f t="shared" si="8"/>
        <v>199321.72</v>
      </c>
    </row>
    <row r="88" spans="1:11" x14ac:dyDescent="0.2">
      <c r="A88" s="24">
        <f t="shared" si="9"/>
        <v>28</v>
      </c>
      <c r="C88" s="25">
        <v>398</v>
      </c>
      <c r="E88" s="28" t="s">
        <v>750</v>
      </c>
      <c r="F88" s="125">
        <f>'WPB-2.1 Base Period'!Q83</f>
        <v>124693.94</v>
      </c>
      <c r="G88" s="125">
        <f t="shared" si="7"/>
        <v>18757.59</v>
      </c>
      <c r="H88" s="27"/>
      <c r="I88" s="125">
        <f>'WPB-3.1 AD&amp;A (Base)'!Q83</f>
        <v>18757.59</v>
      </c>
      <c r="J88" s="29">
        <v>0</v>
      </c>
      <c r="K88" s="125">
        <f t="shared" si="8"/>
        <v>18757.59</v>
      </c>
    </row>
    <row r="89" spans="1:11" x14ac:dyDescent="0.2">
      <c r="A89" s="24">
        <f t="shared" si="9"/>
        <v>29</v>
      </c>
      <c r="C89" s="25"/>
      <c r="E89" s="28" t="s">
        <v>751</v>
      </c>
      <c r="F89" s="27">
        <f>SUM(F75:F88)</f>
        <v>5244824.2799999993</v>
      </c>
      <c r="G89" s="27">
        <f>SUM(G75:G88)</f>
        <v>2103838.27</v>
      </c>
      <c r="H89" s="27"/>
      <c r="I89" s="27">
        <f>SUM(I75:I88)</f>
        <v>2103838.27</v>
      </c>
      <c r="J89" s="27">
        <f>SUM(J75:J88)</f>
        <v>0</v>
      </c>
      <c r="K89" s="27">
        <f>SUM(K75:K88)</f>
        <v>2103838.27</v>
      </c>
    </row>
    <row r="90" spans="1:11" x14ac:dyDescent="0.2">
      <c r="A90" s="24"/>
      <c r="C90" s="25"/>
      <c r="E90" s="28"/>
      <c r="F90" s="27"/>
      <c r="G90" s="27"/>
      <c r="H90" s="27"/>
      <c r="I90" s="27"/>
      <c r="J90" s="27"/>
      <c r="K90" s="27"/>
    </row>
    <row r="91" spans="1:11" x14ac:dyDescent="0.2">
      <c r="A91" s="24">
        <f>A89+1</f>
        <v>30</v>
      </c>
      <c r="C91" s="25"/>
      <c r="E91" s="26" t="s">
        <v>2287</v>
      </c>
      <c r="F91" s="27"/>
      <c r="G91" s="27"/>
      <c r="H91" s="27"/>
      <c r="I91" s="27"/>
      <c r="J91" s="27"/>
      <c r="K91" s="27"/>
    </row>
    <row r="92" spans="1:11" x14ac:dyDescent="0.2">
      <c r="A92" s="24">
        <f>A91+1</f>
        <v>31</v>
      </c>
      <c r="C92" s="25">
        <v>378.21</v>
      </c>
      <c r="E92" s="1730" t="s">
        <v>2245</v>
      </c>
      <c r="F92" s="27">
        <f>'WPB-2.1 Base Period'!Q88</f>
        <v>-777092</v>
      </c>
      <c r="G92" s="27">
        <f t="shared" ref="G92" si="10">I92</f>
        <v>-33760.696666666663</v>
      </c>
      <c r="H92" s="27"/>
      <c r="I92" s="27">
        <f>'WPB-3.1 AD&amp;A (Base)'!Q88</f>
        <v>-33760.696666666663</v>
      </c>
      <c r="J92" s="27">
        <v>0</v>
      </c>
      <c r="K92" s="27">
        <f t="shared" ref="K92" si="11">J92+I92</f>
        <v>-33760.696666666663</v>
      </c>
    </row>
    <row r="93" spans="1:11" x14ac:dyDescent="0.2">
      <c r="A93" s="24"/>
      <c r="C93" s="25"/>
      <c r="E93" s="25"/>
      <c r="F93" s="29"/>
      <c r="G93" s="29"/>
      <c r="H93" s="27"/>
      <c r="I93" s="29"/>
      <c r="J93" s="29"/>
      <c r="K93" s="29"/>
    </row>
    <row r="94" spans="1:11" x14ac:dyDescent="0.2">
      <c r="A94" s="24">
        <f>A92+1</f>
        <v>32</v>
      </c>
      <c r="C94" s="25"/>
      <c r="E94" s="28" t="s">
        <v>752</v>
      </c>
      <c r="F94" s="27">
        <f>F21+F25+F72+F89</f>
        <v>413924138.36999989</v>
      </c>
      <c r="G94" s="27">
        <f>G21+G25+G72+G89</f>
        <v>144486934.45738584</v>
      </c>
      <c r="H94" s="27"/>
      <c r="I94" s="27">
        <f>I21+I25+I72+I89</f>
        <v>144486934.45738584</v>
      </c>
      <c r="J94" s="27">
        <f>J21+J25+J72+J89</f>
        <v>0</v>
      </c>
      <c r="K94" s="27">
        <f>K21+K25+K72+K89</f>
        <v>144486934.45738584</v>
      </c>
    </row>
  </sheetData>
  <mergeCells count="8">
    <mergeCell ref="A2:K2"/>
    <mergeCell ref="A1:K1"/>
    <mergeCell ref="A49:K49"/>
    <mergeCell ref="A48:K48"/>
    <mergeCell ref="A47:K47"/>
    <mergeCell ref="A46:K46"/>
    <mergeCell ref="A4:K4"/>
    <mergeCell ref="A3:K3"/>
  </mergeCells>
  <phoneticPr fontId="3" type="noConversion"/>
  <pageMargins left="1" right="0.5" top="1" bottom="0.75" header="0.3" footer="0.3"/>
  <pageSetup scale="74" fitToHeight="2" orientation="landscape" r:id="rId1"/>
  <headerFooter>
    <oddHeader>&amp;R&amp;"Arial,Regular"&amp;10KY PSC Case No. 2016-00162, Attachment A to Staff 3-4</oddHeader>
  </headerFooter>
  <rowBreaks count="1" manualBreakCount="1">
    <brk id="45" max="10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32"/>
  <dimension ref="A1:M98"/>
  <sheetViews>
    <sheetView showGridLines="0" view="pageBreakPreview" zoomScale="80" zoomScaleNormal="100" zoomScaleSheetLayoutView="80" workbookViewId="0">
      <selection activeCell="F46" sqref="F46"/>
    </sheetView>
  </sheetViews>
  <sheetFormatPr defaultColWidth="12.5" defaultRowHeight="12.75" x14ac:dyDescent="0.2"/>
  <cols>
    <col min="1" max="1" width="4.1640625" style="17" customWidth="1"/>
    <col min="2" max="2" width="1.6640625" style="17" customWidth="1"/>
    <col min="3" max="3" width="8.83203125" style="17" customWidth="1"/>
    <col min="4" max="4" width="1.6640625" style="17" customWidth="1"/>
    <col min="5" max="5" width="51.1640625" style="17" bestFit="1" customWidth="1"/>
    <col min="6" max="6" width="19.6640625" style="17" customWidth="1"/>
    <col min="7" max="7" width="14.83203125" style="17" customWidth="1"/>
    <col min="8" max="8" width="18.83203125" style="17" customWidth="1"/>
    <col min="9" max="9" width="18.1640625" style="17" customWidth="1"/>
    <col min="10" max="11" width="18.5" style="17" customWidth="1"/>
    <col min="12" max="12" width="17" style="17" customWidth="1"/>
    <col min="13" max="13" width="12.5" style="17" hidden="1" customWidth="1"/>
    <col min="14" max="16384" width="12.5" style="17"/>
  </cols>
  <sheetData>
    <row r="1" spans="1:12" x14ac:dyDescent="0.2">
      <c r="A1" s="2091" t="str">
        <f>co</f>
        <v>COLUMBIA GAS OF KENTUCKY, INC.</v>
      </c>
      <c r="B1" s="2091"/>
      <c r="C1" s="2091"/>
      <c r="D1" s="2091"/>
      <c r="E1" s="2091"/>
      <c r="F1" s="2091"/>
      <c r="G1" s="2091"/>
      <c r="H1" s="2091"/>
      <c r="I1" s="2091"/>
      <c r="J1" s="2091"/>
      <c r="K1" s="2091"/>
      <c r="L1" s="2091"/>
    </row>
    <row r="2" spans="1:12" x14ac:dyDescent="0.2">
      <c r="A2" s="2091" t="str">
        <f>case</f>
        <v>CASE NO. 2016 - 00162</v>
      </c>
      <c r="B2" s="2091"/>
      <c r="C2" s="2091"/>
      <c r="D2" s="2091"/>
      <c r="E2" s="2091"/>
      <c r="F2" s="2091"/>
      <c r="G2" s="2091"/>
      <c r="H2" s="2091"/>
      <c r="I2" s="2091"/>
      <c r="J2" s="2091"/>
      <c r="K2" s="2091"/>
      <c r="L2" s="2091"/>
    </row>
    <row r="3" spans="1:12" x14ac:dyDescent="0.2">
      <c r="A3" s="2093" t="s">
        <v>828</v>
      </c>
      <c r="B3" s="2093"/>
      <c r="C3" s="2093"/>
      <c r="D3" s="2093"/>
      <c r="E3" s="2093"/>
      <c r="F3" s="2093"/>
      <c r="G3" s="2093"/>
      <c r="H3" s="2093"/>
      <c r="I3" s="2093"/>
      <c r="J3" s="2093"/>
      <c r="K3" s="2093"/>
      <c r="L3" s="2093"/>
    </row>
    <row r="4" spans="1:12" x14ac:dyDescent="0.2">
      <c r="A4" s="2096" t="str">
        <f>datef</f>
        <v>AS OF DECEMBER 31, 2017</v>
      </c>
      <c r="B4" s="2096"/>
      <c r="C4" s="2096"/>
      <c r="D4" s="2096"/>
      <c r="E4" s="2096"/>
      <c r="F4" s="2096"/>
      <c r="G4" s="2096"/>
      <c r="H4" s="2096"/>
      <c r="I4" s="2096"/>
      <c r="J4" s="2096"/>
      <c r="K4" s="2096"/>
      <c r="L4" s="2096"/>
    </row>
    <row r="6" spans="1:12" x14ac:dyDescent="0.2">
      <c r="A6" s="324" t="s">
        <v>1103</v>
      </c>
      <c r="J6" s="19"/>
      <c r="K6" s="19"/>
      <c r="L6" s="154" t="s">
        <v>829</v>
      </c>
    </row>
    <row r="7" spans="1:12" x14ac:dyDescent="0.2">
      <c r="A7" s="19" t="s">
        <v>690</v>
      </c>
      <c r="J7" s="19"/>
      <c r="K7" s="19"/>
      <c r="L7" s="1272" t="s">
        <v>567</v>
      </c>
    </row>
    <row r="8" spans="1:12" x14ac:dyDescent="0.2">
      <c r="A8" s="1274" t="s">
        <v>1775</v>
      </c>
      <c r="J8" s="1273"/>
      <c r="K8" s="1273"/>
      <c r="L8" s="1337" t="str">
        <f>SMK</f>
        <v>WITNESS:  S. M. KATKO</v>
      </c>
    </row>
    <row r="9" spans="1:12" x14ac:dyDescent="0.2">
      <c r="F9" s="331"/>
      <c r="G9" s="331"/>
      <c r="H9" s="331"/>
      <c r="I9" s="331"/>
      <c r="J9" s="331"/>
      <c r="K9" s="331"/>
      <c r="L9" s="331"/>
    </row>
    <row r="10" spans="1:12" x14ac:dyDescent="0.2">
      <c r="A10" s="20"/>
      <c r="B10" s="20"/>
      <c r="C10" s="20"/>
      <c r="D10" s="20"/>
      <c r="E10" s="20"/>
      <c r="F10" s="326" t="str">
        <f>"13 MONTH"</f>
        <v>13 MONTH</v>
      </c>
    </row>
    <row r="11" spans="1:12" x14ac:dyDescent="0.2">
      <c r="A11" s="329"/>
      <c r="B11" s="329"/>
      <c r="C11" s="329"/>
      <c r="D11" s="329"/>
      <c r="E11" s="329"/>
      <c r="F11" s="327" t="s">
        <v>631</v>
      </c>
      <c r="G11" s="2094" t="s">
        <v>1122</v>
      </c>
      <c r="H11" s="2095"/>
      <c r="I11" s="2095"/>
      <c r="J11" s="2095"/>
      <c r="K11" s="2095"/>
      <c r="L11" s="2095"/>
    </row>
    <row r="12" spans="1:12" x14ac:dyDescent="0.2">
      <c r="A12" s="329"/>
      <c r="B12" s="329"/>
      <c r="C12" s="329"/>
      <c r="D12" s="329"/>
      <c r="E12" s="329"/>
      <c r="F12" s="330" t="s">
        <v>1112</v>
      </c>
      <c r="G12" s="327"/>
    </row>
    <row r="13" spans="1:12" x14ac:dyDescent="0.2">
      <c r="A13" s="19" t="s">
        <v>632</v>
      </c>
      <c r="C13" s="18" t="s">
        <v>692</v>
      </c>
      <c r="F13" s="300" t="s">
        <v>1120</v>
      </c>
      <c r="G13" s="18" t="s">
        <v>670</v>
      </c>
      <c r="H13" s="18" t="s">
        <v>671</v>
      </c>
      <c r="I13" s="18" t="s">
        <v>671</v>
      </c>
      <c r="K13" s="18" t="s">
        <v>672</v>
      </c>
      <c r="L13" s="326" t="str">
        <f>"13 MONTH"</f>
        <v>13 MONTH</v>
      </c>
    </row>
    <row r="14" spans="1:12" x14ac:dyDescent="0.2">
      <c r="A14" s="18" t="s">
        <v>635</v>
      </c>
      <c r="C14" s="18" t="s">
        <v>635</v>
      </c>
      <c r="E14" s="18" t="s">
        <v>832</v>
      </c>
      <c r="F14" s="18" t="s">
        <v>833</v>
      </c>
      <c r="G14" s="18" t="s">
        <v>675</v>
      </c>
      <c r="H14" s="18" t="s">
        <v>676</v>
      </c>
      <c r="I14" s="18" t="s">
        <v>670</v>
      </c>
      <c r="J14" s="18" t="s">
        <v>677</v>
      </c>
      <c r="K14" s="18" t="s">
        <v>696</v>
      </c>
      <c r="L14" s="327" t="s">
        <v>631</v>
      </c>
    </row>
    <row r="15" spans="1:12" x14ac:dyDescent="0.2">
      <c r="A15" s="22" t="s">
        <v>834</v>
      </c>
      <c r="B15" s="23"/>
      <c r="C15" s="22" t="s">
        <v>835</v>
      </c>
      <c r="D15" s="23"/>
      <c r="E15" s="22" t="s">
        <v>836</v>
      </c>
      <c r="F15" s="22" t="s">
        <v>837</v>
      </c>
      <c r="G15" s="22" t="s">
        <v>838</v>
      </c>
      <c r="H15" s="22" t="s">
        <v>839</v>
      </c>
      <c r="I15" s="22" t="s">
        <v>840</v>
      </c>
      <c r="J15" s="22" t="s">
        <v>841</v>
      </c>
      <c r="K15" s="22" t="s">
        <v>842</v>
      </c>
      <c r="L15" s="328" t="s">
        <v>849</v>
      </c>
    </row>
    <row r="17" spans="1:12" x14ac:dyDescent="0.2">
      <c r="A17" s="24">
        <v>1</v>
      </c>
      <c r="C17" s="25"/>
      <c r="E17" s="26" t="s">
        <v>697</v>
      </c>
      <c r="F17" s="27"/>
      <c r="G17" s="27"/>
      <c r="H17" s="323">
        <v>1</v>
      </c>
      <c r="I17" s="27"/>
      <c r="J17" s="27"/>
      <c r="K17" s="27"/>
    </row>
    <row r="18" spans="1:12" x14ac:dyDescent="0.2">
      <c r="A18" s="24">
        <f t="shared" ref="A18:A23" si="0">A17+1</f>
        <v>2</v>
      </c>
      <c r="C18" s="25">
        <v>301</v>
      </c>
      <c r="E18" s="28" t="s">
        <v>698</v>
      </c>
      <c r="F18" s="27">
        <f>'WPB-2.1 13 mo avg'!S14</f>
        <v>521.19999999999993</v>
      </c>
      <c r="G18" s="27">
        <f>'WPB-3.1 AD&amp;A (Forecast)'!R14</f>
        <v>0</v>
      </c>
      <c r="H18" s="27"/>
      <c r="I18" s="27">
        <f>G18</f>
        <v>0</v>
      </c>
      <c r="J18" s="27">
        <v>0</v>
      </c>
      <c r="K18" s="27">
        <f>J18+I18</f>
        <v>0</v>
      </c>
      <c r="L18" s="27">
        <f>'WPB-3.1 AD&amp;A (Forecast)'!S14</f>
        <v>0</v>
      </c>
    </row>
    <row r="19" spans="1:12" x14ac:dyDescent="0.2">
      <c r="A19" s="24">
        <f t="shared" si="0"/>
        <v>3</v>
      </c>
      <c r="C19" s="25">
        <v>303</v>
      </c>
      <c r="E19" s="28" t="s">
        <v>699</v>
      </c>
      <c r="F19" s="27">
        <f>'WPB-2.1 13 mo avg'!S15</f>
        <v>74347.509999999995</v>
      </c>
      <c r="G19" s="27">
        <f>'WPB-3.1 AD&amp;A (Forecast)'!R15</f>
        <v>50342.86999999993</v>
      </c>
      <c r="H19" s="27"/>
      <c r="I19" s="27">
        <f>G19</f>
        <v>50342.86999999993</v>
      </c>
      <c r="J19" s="27">
        <v>0</v>
      </c>
      <c r="K19" s="27">
        <f>J19+I19</f>
        <v>50342.86999999993</v>
      </c>
      <c r="L19" s="27">
        <f>'WPB-3.1 AD&amp;A (Forecast)'!S15</f>
        <v>49103.749999999949</v>
      </c>
    </row>
    <row r="20" spans="1:12" x14ac:dyDescent="0.2">
      <c r="A20" s="24">
        <f t="shared" si="0"/>
        <v>4</v>
      </c>
      <c r="C20" s="25">
        <v>303.10000000000002</v>
      </c>
      <c r="E20" s="28" t="s">
        <v>700</v>
      </c>
      <c r="F20" s="27">
        <f>'WPB-2.1 13 mo avg'!S16</f>
        <v>0</v>
      </c>
      <c r="G20" s="27">
        <f>'WPB-3.1 AD&amp;A (Forecast)'!R16</f>
        <v>0</v>
      </c>
      <c r="H20" s="27"/>
      <c r="I20" s="27">
        <f>G20</f>
        <v>0</v>
      </c>
      <c r="J20" s="27">
        <v>0</v>
      </c>
      <c r="K20" s="27">
        <f>J20+I20</f>
        <v>0</v>
      </c>
      <c r="L20" s="27">
        <f>'WPB-3.1 AD&amp;A (Forecast)'!S16</f>
        <v>0</v>
      </c>
    </row>
    <row r="21" spans="1:12" x14ac:dyDescent="0.2">
      <c r="A21" s="24">
        <f t="shared" si="0"/>
        <v>5</v>
      </c>
      <c r="C21" s="25">
        <v>303.2</v>
      </c>
      <c r="E21" s="28" t="s">
        <v>701</v>
      </c>
      <c r="F21" s="27">
        <f>'WPB-2.1 13 mo avg'!S17</f>
        <v>0</v>
      </c>
      <c r="G21" s="27">
        <f>'WPB-3.1 AD&amp;A (Forecast)'!R17</f>
        <v>0</v>
      </c>
      <c r="H21" s="27"/>
      <c r="I21" s="27">
        <f>G21</f>
        <v>0</v>
      </c>
      <c r="J21" s="27">
        <v>0</v>
      </c>
      <c r="K21" s="27">
        <f>J21+I21</f>
        <v>0</v>
      </c>
      <c r="L21" s="27">
        <f>'WPB-3.1 AD&amp;A (Forecast)'!S17</f>
        <v>0</v>
      </c>
    </row>
    <row r="22" spans="1:12" x14ac:dyDescent="0.2">
      <c r="A22" s="24">
        <f t="shared" si="0"/>
        <v>6</v>
      </c>
      <c r="C22" s="25">
        <v>303.3</v>
      </c>
      <c r="E22" s="28" t="s">
        <v>702</v>
      </c>
      <c r="F22" s="125">
        <f>'WPB-2.1 13 mo avg'!S18</f>
        <v>8188355.230769231</v>
      </c>
      <c r="G22" s="125">
        <f>'WPB-3.1 AD&amp;A (Forecast)'!R18</f>
        <v>4137298.6081976704</v>
      </c>
      <c r="H22" s="27"/>
      <c r="I22" s="125">
        <f>G22</f>
        <v>4137298.6081976704</v>
      </c>
      <c r="J22" s="29">
        <v>0</v>
      </c>
      <c r="K22" s="125">
        <f>J22+I22</f>
        <v>4137298.6081976704</v>
      </c>
      <c r="L22" s="125">
        <f>'WPB-3.1 AD&amp;A (Forecast)'!S18</f>
        <v>3457825.6631140378</v>
      </c>
    </row>
    <row r="23" spans="1:12" x14ac:dyDescent="0.2">
      <c r="A23" s="24">
        <f t="shared" si="0"/>
        <v>7</v>
      </c>
      <c r="C23" s="25"/>
      <c r="E23" s="28" t="s">
        <v>703</v>
      </c>
      <c r="F23" s="27">
        <f>SUM(F18:F22)</f>
        <v>8263223.9407692309</v>
      </c>
      <c r="G23" s="27">
        <f>SUM(G18:G22)</f>
        <v>4187641.4781976705</v>
      </c>
      <c r="H23" s="27"/>
      <c r="I23" s="27">
        <f>SUM(I18:I22)</f>
        <v>4187641.4781976705</v>
      </c>
      <c r="J23" s="27">
        <f>SUM(J18:J22)</f>
        <v>0</v>
      </c>
      <c r="K23" s="27">
        <f>SUM(K18:K22)</f>
        <v>4187641.4781976705</v>
      </c>
      <c r="L23" s="27">
        <f>SUM(L18:L22)</f>
        <v>3506929.4131140378</v>
      </c>
    </row>
    <row r="24" spans="1:12" x14ac:dyDescent="0.2">
      <c r="A24" s="24"/>
      <c r="C24" s="25"/>
      <c r="E24" s="25"/>
      <c r="F24" s="27"/>
      <c r="G24" s="27"/>
      <c r="H24" s="27"/>
      <c r="I24" s="27"/>
      <c r="J24" s="27"/>
      <c r="K24" s="27"/>
      <c r="L24" s="27"/>
    </row>
    <row r="25" spans="1:12" x14ac:dyDescent="0.2">
      <c r="A25" s="24">
        <f>A23+1</f>
        <v>8</v>
      </c>
      <c r="C25" s="25"/>
      <c r="E25" s="26" t="s">
        <v>704</v>
      </c>
      <c r="F25" s="27"/>
      <c r="G25" s="27"/>
      <c r="H25" s="27"/>
      <c r="I25" s="27"/>
      <c r="J25" s="27"/>
      <c r="K25" s="27"/>
      <c r="L25" s="27"/>
    </row>
    <row r="26" spans="1:12" x14ac:dyDescent="0.2">
      <c r="A26" s="24">
        <f>A25+1</f>
        <v>9</v>
      </c>
      <c r="C26" s="25">
        <v>304.10000000000002</v>
      </c>
      <c r="E26" s="28" t="s">
        <v>705</v>
      </c>
      <c r="F26" s="125">
        <f>'WPB-2.1 13 mo avg'!S22</f>
        <v>0</v>
      </c>
      <c r="G26" s="125">
        <f>'WPB-3.1 AD&amp;A (Forecast)'!R22</f>
        <v>0</v>
      </c>
      <c r="H26" s="27"/>
      <c r="I26" s="125">
        <f>G26</f>
        <v>0</v>
      </c>
      <c r="J26" s="125">
        <v>0</v>
      </c>
      <c r="K26" s="125">
        <f>J26+I26</f>
        <v>0</v>
      </c>
      <c r="L26" s="125">
        <f>'WPB-3.1 AD&amp;A (Forecast)'!S22</f>
        <v>0</v>
      </c>
    </row>
    <row r="27" spans="1:12" x14ac:dyDescent="0.2">
      <c r="A27" s="24">
        <f>A26+1</f>
        <v>10</v>
      </c>
      <c r="C27" s="25"/>
      <c r="E27" s="28" t="s">
        <v>706</v>
      </c>
      <c r="F27" s="27">
        <f>SUM(F26:F26)</f>
        <v>0</v>
      </c>
      <c r="G27" s="27">
        <f>SUM(G26:G26)</f>
        <v>0</v>
      </c>
      <c r="H27" s="27"/>
      <c r="I27" s="27">
        <f>SUM(I26:I26)</f>
        <v>0</v>
      </c>
      <c r="J27" s="27">
        <f>SUM(J26:J26)</f>
        <v>0</v>
      </c>
      <c r="K27" s="27">
        <f>SUM(K26:K26)</f>
        <v>0</v>
      </c>
      <c r="L27" s="27">
        <f>SUM(L26:L26)</f>
        <v>0</v>
      </c>
    </row>
    <row r="28" spans="1:12" x14ac:dyDescent="0.2">
      <c r="A28" s="24"/>
      <c r="C28" s="25"/>
      <c r="E28" s="25"/>
      <c r="F28" s="27"/>
      <c r="G28" s="27"/>
      <c r="H28" s="27"/>
      <c r="I28" s="27"/>
      <c r="J28" s="27"/>
      <c r="K28" s="27"/>
      <c r="L28" s="27"/>
    </row>
    <row r="29" spans="1:12" x14ac:dyDescent="0.2">
      <c r="A29" s="24">
        <f>A27+1</f>
        <v>11</v>
      </c>
      <c r="C29" s="25"/>
      <c r="E29" s="26" t="s">
        <v>707</v>
      </c>
      <c r="F29" s="27"/>
      <c r="G29" s="27"/>
      <c r="H29" s="27"/>
      <c r="I29" s="27"/>
      <c r="J29" s="27"/>
      <c r="K29" s="27"/>
      <c r="L29" s="27"/>
    </row>
    <row r="30" spans="1:12" x14ac:dyDescent="0.2">
      <c r="A30" s="24">
        <f>A29+1</f>
        <v>12</v>
      </c>
      <c r="C30" s="25">
        <v>374.1</v>
      </c>
      <c r="E30" s="28" t="s">
        <v>708</v>
      </c>
      <c r="F30" s="27">
        <f>'WPB-2.1 13 mo avg'!S26</f>
        <v>206</v>
      </c>
      <c r="G30" s="27">
        <f>'WPB-3.1 AD&amp;A (Forecast)'!R26</f>
        <v>0</v>
      </c>
      <c r="H30" s="27"/>
      <c r="I30" s="27">
        <f>G30</f>
        <v>0</v>
      </c>
      <c r="J30" s="27">
        <v>0</v>
      </c>
      <c r="K30" s="27">
        <f t="shared" ref="K30:K46" si="1">J30+I30</f>
        <v>0</v>
      </c>
      <c r="L30" s="27">
        <f>'WPB-3.1 AD&amp;A (Forecast)'!S26</f>
        <v>0</v>
      </c>
    </row>
    <row r="31" spans="1:12" x14ac:dyDescent="0.2">
      <c r="A31" s="24">
        <f t="shared" ref="A31:A46" si="2">A30+1</f>
        <v>13</v>
      </c>
      <c r="C31" s="25">
        <v>374.2</v>
      </c>
      <c r="E31" s="28" t="s">
        <v>709</v>
      </c>
      <c r="F31" s="27">
        <f>'WPB-2.1 13 mo avg'!S27</f>
        <v>877756.17999999982</v>
      </c>
      <c r="G31" s="27">
        <f>'WPB-3.1 AD&amp;A (Forecast)'!R27</f>
        <v>-523.13</v>
      </c>
      <c r="H31" s="27"/>
      <c r="I31" s="27">
        <f t="shared" ref="I31:I46" si="3">G31</f>
        <v>-523.13</v>
      </c>
      <c r="J31" s="27">
        <v>0</v>
      </c>
      <c r="K31" s="27">
        <f t="shared" si="1"/>
        <v>-523.13</v>
      </c>
      <c r="L31" s="27">
        <f>'WPB-3.1 AD&amp;A (Forecast)'!S27</f>
        <v>-523.13</v>
      </c>
    </row>
    <row r="32" spans="1:12" x14ac:dyDescent="0.2">
      <c r="A32" s="24">
        <f t="shared" si="2"/>
        <v>14</v>
      </c>
      <c r="C32" s="25">
        <v>374.4</v>
      </c>
      <c r="E32" s="28" t="s">
        <v>710</v>
      </c>
      <c r="F32" s="27">
        <f>'WPB-2.1 13 mo avg'!S28</f>
        <v>661305.66</v>
      </c>
      <c r="G32" s="27">
        <f>'WPB-3.1 AD&amp;A (Forecast)'!R28</f>
        <v>190391.36</v>
      </c>
      <c r="H32" s="27"/>
      <c r="I32" s="27">
        <f t="shared" si="3"/>
        <v>190391.36</v>
      </c>
      <c r="J32" s="27">
        <v>0</v>
      </c>
      <c r="K32" s="27">
        <f t="shared" si="1"/>
        <v>190391.36</v>
      </c>
      <c r="L32" s="27">
        <f>'WPB-3.1 AD&amp;A (Forecast)'!S28</f>
        <v>184637.35999999993</v>
      </c>
    </row>
    <row r="33" spans="1:12" x14ac:dyDescent="0.2">
      <c r="A33" s="24">
        <f t="shared" si="2"/>
        <v>15</v>
      </c>
      <c r="C33" s="25">
        <v>374.5</v>
      </c>
      <c r="E33" s="28" t="s">
        <v>711</v>
      </c>
      <c r="F33" s="27">
        <f>'WPB-2.1 13 mo avg'!S29</f>
        <v>2726641.7807692313</v>
      </c>
      <c r="G33" s="27">
        <f>'WPB-3.1 AD&amp;A (Forecast)'!R29</f>
        <v>957401.23</v>
      </c>
      <c r="H33" s="27"/>
      <c r="I33" s="27">
        <f t="shared" si="3"/>
        <v>957401.23</v>
      </c>
      <c r="J33" s="27">
        <v>0</v>
      </c>
      <c r="K33" s="27">
        <f t="shared" si="1"/>
        <v>957401.23</v>
      </c>
      <c r="L33" s="27">
        <f>'WPB-3.1 AD&amp;A (Forecast)'!S29</f>
        <v>943180.23000000033</v>
      </c>
    </row>
    <row r="34" spans="1:12" x14ac:dyDescent="0.2">
      <c r="A34" s="24">
        <f t="shared" si="2"/>
        <v>16</v>
      </c>
      <c r="C34" s="25">
        <v>375.2</v>
      </c>
      <c r="E34" s="28" t="s">
        <v>712</v>
      </c>
      <c r="F34" s="27">
        <f>'WPB-2.1 13 mo avg'!S30</f>
        <v>2124.98</v>
      </c>
      <c r="G34" s="27">
        <f>'WPB-3.1 AD&amp;A (Forecast)'!R30</f>
        <v>2099.3199999999997</v>
      </c>
      <c r="H34" s="27"/>
      <c r="I34" s="27">
        <f t="shared" si="3"/>
        <v>2099.3199999999997</v>
      </c>
      <c r="J34" s="27">
        <v>0</v>
      </c>
      <c r="K34" s="27">
        <f t="shared" si="1"/>
        <v>2099.3199999999997</v>
      </c>
      <c r="L34" s="27">
        <f>'WPB-3.1 AD&amp;A (Forecast)'!S30</f>
        <v>2063.3199999999997</v>
      </c>
    </row>
    <row r="35" spans="1:12" x14ac:dyDescent="0.2">
      <c r="A35" s="24">
        <f t="shared" si="2"/>
        <v>17</v>
      </c>
      <c r="C35" s="25">
        <v>375.3</v>
      </c>
      <c r="E35" s="28" t="s">
        <v>713</v>
      </c>
      <c r="F35" s="27">
        <f>'WPB-2.1 13 mo avg'!S31</f>
        <v>0</v>
      </c>
      <c r="G35" s="27">
        <f>'WPB-3.1 AD&amp;A (Forecast)'!R31</f>
        <v>-77.66</v>
      </c>
      <c r="H35" s="27"/>
      <c r="I35" s="27">
        <f t="shared" si="3"/>
        <v>-77.66</v>
      </c>
      <c r="J35" s="27">
        <v>0</v>
      </c>
      <c r="K35" s="27">
        <f t="shared" si="1"/>
        <v>-77.66</v>
      </c>
      <c r="L35" s="27">
        <f>'WPB-3.1 AD&amp;A (Forecast)'!S31</f>
        <v>-77.659999999999982</v>
      </c>
    </row>
    <row r="36" spans="1:12" x14ac:dyDescent="0.2">
      <c r="A36" s="24">
        <f t="shared" si="2"/>
        <v>18</v>
      </c>
      <c r="C36" s="25">
        <v>375.4</v>
      </c>
      <c r="E36" s="28" t="s">
        <v>714</v>
      </c>
      <c r="F36" s="27">
        <f>'WPB-2.1 13 mo avg'!S32</f>
        <v>2205199.2507692305</v>
      </c>
      <c r="G36" s="27">
        <f>'WPB-3.1 AD&amp;A (Forecast)'!R32</f>
        <v>516122.37</v>
      </c>
      <c r="H36" s="27"/>
      <c r="I36" s="27">
        <f t="shared" si="3"/>
        <v>516122.37</v>
      </c>
      <c r="J36" s="27">
        <v>0</v>
      </c>
      <c r="K36" s="27">
        <f t="shared" si="1"/>
        <v>516122.37</v>
      </c>
      <c r="L36" s="27">
        <f>'WPB-3.1 AD&amp;A (Forecast)'!S32</f>
        <v>502448.13923076924</v>
      </c>
    </row>
    <row r="37" spans="1:12" x14ac:dyDescent="0.2">
      <c r="A37" s="24">
        <f t="shared" si="2"/>
        <v>19</v>
      </c>
      <c r="C37" s="25">
        <v>375.6</v>
      </c>
      <c r="E37" s="28" t="s">
        <v>715</v>
      </c>
      <c r="F37" s="27">
        <f>'WPB-2.1 13 mo avg'!S33</f>
        <v>0</v>
      </c>
      <c r="G37" s="27">
        <f>'WPB-3.1 AD&amp;A (Forecast)'!R33</f>
        <v>0.02</v>
      </c>
      <c r="H37" s="27"/>
      <c r="I37" s="27">
        <f t="shared" si="3"/>
        <v>0.02</v>
      </c>
      <c r="J37" s="27">
        <v>0</v>
      </c>
      <c r="K37" s="27">
        <f t="shared" si="1"/>
        <v>0.02</v>
      </c>
      <c r="L37" s="27">
        <f>'WPB-3.1 AD&amp;A (Forecast)'!S33</f>
        <v>1.9999999999999997E-2</v>
      </c>
    </row>
    <row r="38" spans="1:12" x14ac:dyDescent="0.2">
      <c r="A38" s="24">
        <f t="shared" si="2"/>
        <v>20</v>
      </c>
      <c r="C38" s="25">
        <v>375.7</v>
      </c>
      <c r="E38" s="28" t="s">
        <v>716</v>
      </c>
      <c r="F38" s="27">
        <f>'WPB-2.1 13 mo avg'!S34</f>
        <v>8721688.6715384647</v>
      </c>
      <c r="G38" s="27">
        <f>'WPB-3.1 AD&amp;A (Forecast)'!R34</f>
        <v>3431527.06</v>
      </c>
      <c r="H38" s="27"/>
      <c r="I38" s="27">
        <f t="shared" si="3"/>
        <v>3431527.06</v>
      </c>
      <c r="J38" s="27">
        <v>0</v>
      </c>
      <c r="K38" s="27">
        <f t="shared" si="1"/>
        <v>3431527.06</v>
      </c>
      <c r="L38" s="27">
        <f>'WPB-3.1 AD&amp;A (Forecast)'!S34</f>
        <v>3371580.5215384616</v>
      </c>
    </row>
    <row r="39" spans="1:12" x14ac:dyDescent="0.2">
      <c r="A39" s="24">
        <f t="shared" si="2"/>
        <v>21</v>
      </c>
      <c r="C39" s="25">
        <v>375.71</v>
      </c>
      <c r="E39" s="28" t="s">
        <v>717</v>
      </c>
      <c r="F39" s="27">
        <f>'WPB-2.1 13 mo avg'!S35</f>
        <v>259808.93999999997</v>
      </c>
      <c r="G39" s="27">
        <f>'WPB-3.1 AD&amp;A (Forecast)'!R35</f>
        <v>215744.1484210529</v>
      </c>
      <c r="H39" s="27"/>
      <c r="I39" s="27">
        <f t="shared" si="3"/>
        <v>215744.1484210529</v>
      </c>
      <c r="J39" s="27">
        <v>0</v>
      </c>
      <c r="K39" s="27">
        <f t="shared" si="1"/>
        <v>215744.1484210529</v>
      </c>
      <c r="L39" s="27">
        <f>'WPB-3.1 AD&amp;A (Forecast)'!S35</f>
        <v>199219.85157894756</v>
      </c>
    </row>
    <row r="40" spans="1:12" x14ac:dyDescent="0.2">
      <c r="A40" s="24">
        <f t="shared" si="2"/>
        <v>22</v>
      </c>
      <c r="C40" s="25">
        <v>375.8</v>
      </c>
      <c r="E40" s="28" t="s">
        <v>718</v>
      </c>
      <c r="F40" s="27">
        <f>'WPB-2.1 13 mo avg'!S36</f>
        <v>0</v>
      </c>
      <c r="G40" s="27">
        <f>'WPB-3.1 AD&amp;A (Forecast)'!R36</f>
        <v>0</v>
      </c>
      <c r="H40" s="27"/>
      <c r="I40" s="27">
        <f t="shared" si="3"/>
        <v>0</v>
      </c>
      <c r="J40" s="27">
        <v>0</v>
      </c>
      <c r="K40" s="27">
        <f t="shared" si="1"/>
        <v>0</v>
      </c>
      <c r="L40" s="27">
        <f>'WPB-3.1 AD&amp;A (Forecast)'!S36</f>
        <v>0</v>
      </c>
    </row>
    <row r="41" spans="1:12" x14ac:dyDescent="0.2">
      <c r="A41" s="24">
        <f t="shared" si="2"/>
        <v>23</v>
      </c>
      <c r="B41" s="42"/>
      <c r="C41" s="49">
        <v>376</v>
      </c>
      <c r="D41" s="42"/>
      <c r="E41" s="52" t="s">
        <v>1000</v>
      </c>
      <c r="F41" s="27">
        <f>'WPB-2.1 13 mo avg'!S37</f>
        <v>219567763.90153849</v>
      </c>
      <c r="G41" s="27">
        <f>'WPB-3.1 AD&amp;A (Forecast)'!R37</f>
        <v>60184706.609999999</v>
      </c>
      <c r="H41" s="27"/>
      <c r="I41" s="27">
        <f t="shared" si="3"/>
        <v>60184706.609999999</v>
      </c>
      <c r="J41" s="27">
        <v>0</v>
      </c>
      <c r="K41" s="27">
        <f t="shared" si="1"/>
        <v>60184706.609999999</v>
      </c>
      <c r="L41" s="27">
        <f>'WPB-3.1 AD&amp;A (Forecast)'!S37</f>
        <v>58979407.917692311</v>
      </c>
    </row>
    <row r="42" spans="1:12" x14ac:dyDescent="0.2">
      <c r="A42" s="24">
        <f t="shared" si="2"/>
        <v>24</v>
      </c>
      <c r="C42" s="25">
        <v>378.1</v>
      </c>
      <c r="E42" s="28" t="s">
        <v>720</v>
      </c>
      <c r="F42" s="27">
        <f>'WPB-2.1 13 mo avg'!S38</f>
        <v>518504.17999999993</v>
      </c>
      <c r="G42" s="27">
        <f>'WPB-3.1 AD&amp;A (Forecast)'!R38</f>
        <v>380681.81</v>
      </c>
      <c r="H42" s="27"/>
      <c r="I42" s="27">
        <f t="shared" si="3"/>
        <v>380681.81</v>
      </c>
      <c r="J42" s="27">
        <v>0</v>
      </c>
      <c r="K42" s="27">
        <f t="shared" si="1"/>
        <v>380681.81</v>
      </c>
      <c r="L42" s="27">
        <f>'WPB-3.1 AD&amp;A (Forecast)'!S38</f>
        <v>372071.80999999994</v>
      </c>
    </row>
    <row r="43" spans="1:12" x14ac:dyDescent="0.2">
      <c r="A43" s="24">
        <f t="shared" si="2"/>
        <v>25</v>
      </c>
      <c r="C43" s="25">
        <v>378.2</v>
      </c>
      <c r="E43" s="28" t="s">
        <v>721</v>
      </c>
      <c r="F43" s="27">
        <f>'WPB-2.1 13 mo avg'!S39</f>
        <v>9929885.538461538</v>
      </c>
      <c r="G43" s="27">
        <f>'WPB-3.1 AD&amp;A (Forecast)'!R39</f>
        <v>3645427.91</v>
      </c>
      <c r="H43" s="27"/>
      <c r="I43" s="27">
        <f t="shared" si="3"/>
        <v>3645427.91</v>
      </c>
      <c r="J43" s="27">
        <v>0</v>
      </c>
      <c r="K43" s="27">
        <f t="shared" si="1"/>
        <v>3645427.91</v>
      </c>
      <c r="L43" s="27">
        <f>'WPB-3.1 AD&amp;A (Forecast)'!S39</f>
        <v>3511297.2946153847</v>
      </c>
    </row>
    <row r="44" spans="1:12" x14ac:dyDescent="0.2">
      <c r="A44" s="24">
        <f t="shared" si="2"/>
        <v>26</v>
      </c>
      <c r="C44" s="25">
        <v>378.3</v>
      </c>
      <c r="E44" s="28" t="s">
        <v>722</v>
      </c>
      <c r="F44" s="27">
        <f>'WPB-2.1 13 mo avg'!S40</f>
        <v>45443.08</v>
      </c>
      <c r="G44" s="27">
        <f>'WPB-3.1 AD&amp;A (Forecast)'!R40</f>
        <v>37390.04</v>
      </c>
      <c r="H44" s="27"/>
      <c r="I44" s="27">
        <f t="shared" si="3"/>
        <v>37390.04</v>
      </c>
      <c r="J44" s="27">
        <v>0</v>
      </c>
      <c r="K44" s="27">
        <f t="shared" si="1"/>
        <v>37390.04</v>
      </c>
      <c r="L44" s="27">
        <f>'WPB-3.1 AD&amp;A (Forecast)'!S40</f>
        <v>36634.039999999994</v>
      </c>
    </row>
    <row r="45" spans="1:12" x14ac:dyDescent="0.2">
      <c r="A45" s="24">
        <f t="shared" si="2"/>
        <v>27</v>
      </c>
      <c r="C45" s="25">
        <v>379.1</v>
      </c>
      <c r="E45" s="28" t="s">
        <v>723</v>
      </c>
      <c r="F45" s="27">
        <f>'WPB-2.1 13 mo avg'!S41</f>
        <v>254900.58999999997</v>
      </c>
      <c r="G45" s="27">
        <f>'WPB-3.1 AD&amp;A (Forecast)'!R41</f>
        <v>267730.57</v>
      </c>
      <c r="H45" s="27"/>
      <c r="I45" s="27">
        <f t="shared" si="3"/>
        <v>267730.57</v>
      </c>
      <c r="J45" s="27">
        <v>0</v>
      </c>
      <c r="K45" s="27">
        <f t="shared" si="1"/>
        <v>267730.57</v>
      </c>
      <c r="L45" s="27">
        <f>'WPB-3.1 AD&amp;A (Forecast)'!S41</f>
        <v>267730.56999999995</v>
      </c>
    </row>
    <row r="46" spans="1:12" x14ac:dyDescent="0.2">
      <c r="A46" s="24">
        <f t="shared" si="2"/>
        <v>28</v>
      </c>
      <c r="B46" s="42"/>
      <c r="C46" s="49">
        <v>380</v>
      </c>
      <c r="D46" s="42"/>
      <c r="E46" s="52" t="s">
        <v>1001</v>
      </c>
      <c r="F46" s="27">
        <f>'WPB-2.1 13 mo avg'!S42</f>
        <v>126907585.69307692</v>
      </c>
      <c r="G46" s="27">
        <f>'WPB-3.1 AD&amp;A (Forecast)'!R42</f>
        <v>63332561.520000003</v>
      </c>
      <c r="H46" s="27"/>
      <c r="I46" s="27">
        <f t="shared" si="3"/>
        <v>63332561.520000003</v>
      </c>
      <c r="J46" s="27">
        <v>0</v>
      </c>
      <c r="K46" s="27">
        <f t="shared" si="1"/>
        <v>63332561.520000003</v>
      </c>
      <c r="L46" s="27">
        <f>'WPB-3.1 AD&amp;A (Forecast)'!S42</f>
        <v>61197157.981538452</v>
      </c>
    </row>
    <row r="47" spans="1:12" x14ac:dyDescent="0.2">
      <c r="A47" s="24"/>
      <c r="C47" s="25"/>
      <c r="E47" s="28"/>
      <c r="F47" s="27"/>
      <c r="G47" s="27"/>
      <c r="H47" s="27"/>
      <c r="I47" s="27"/>
      <c r="J47" s="27"/>
      <c r="K47" s="27"/>
      <c r="L47" s="27"/>
    </row>
    <row r="48" spans="1:12" x14ac:dyDescent="0.2">
      <c r="A48" s="2091" t="str">
        <f>co</f>
        <v>COLUMBIA GAS OF KENTUCKY, INC.</v>
      </c>
      <c r="B48" s="2091"/>
      <c r="C48" s="2091"/>
      <c r="D48" s="2091"/>
      <c r="E48" s="2091"/>
      <c r="F48" s="2091"/>
      <c r="G48" s="2091"/>
      <c r="H48" s="2091"/>
      <c r="I48" s="2091"/>
      <c r="J48" s="2091"/>
      <c r="K48" s="2091"/>
      <c r="L48" s="2091"/>
    </row>
    <row r="49" spans="1:12" x14ac:dyDescent="0.2">
      <c r="A49" s="2091" t="str">
        <f>case</f>
        <v>CASE NO. 2016 - 00162</v>
      </c>
      <c r="B49" s="2091"/>
      <c r="C49" s="2091"/>
      <c r="D49" s="2091"/>
      <c r="E49" s="2091"/>
      <c r="F49" s="2091"/>
      <c r="G49" s="2091"/>
      <c r="H49" s="2091"/>
      <c r="I49" s="2091"/>
      <c r="J49" s="2091"/>
      <c r="K49" s="2091"/>
      <c r="L49" s="2091"/>
    </row>
    <row r="50" spans="1:12" x14ac:dyDescent="0.2">
      <c r="A50" s="2093" t="s">
        <v>828</v>
      </c>
      <c r="B50" s="2093"/>
      <c r="C50" s="2093"/>
      <c r="D50" s="2093"/>
      <c r="E50" s="2093"/>
      <c r="F50" s="2093"/>
      <c r="G50" s="2093"/>
      <c r="H50" s="2093"/>
      <c r="I50" s="2093"/>
      <c r="J50" s="2093"/>
      <c r="K50" s="2093"/>
      <c r="L50" s="2093"/>
    </row>
    <row r="51" spans="1:12" x14ac:dyDescent="0.2">
      <c r="A51" s="2092" t="str">
        <f>datef</f>
        <v>AS OF DECEMBER 31, 2017</v>
      </c>
      <c r="B51" s="2092"/>
      <c r="C51" s="2092"/>
      <c r="D51" s="2092"/>
      <c r="E51" s="2092"/>
      <c r="F51" s="2092"/>
      <c r="G51" s="2092"/>
      <c r="H51" s="2092"/>
      <c r="I51" s="2092"/>
      <c r="J51" s="2092"/>
      <c r="K51" s="2092"/>
      <c r="L51" s="2092"/>
    </row>
    <row r="53" spans="1:12" x14ac:dyDescent="0.2">
      <c r="A53" s="324" t="s">
        <v>1103</v>
      </c>
      <c r="J53" s="19"/>
      <c r="K53" s="19"/>
      <c r="L53" s="154" t="s">
        <v>829</v>
      </c>
    </row>
    <row r="54" spans="1:12" x14ac:dyDescent="0.2">
      <c r="A54" s="19" t="s">
        <v>690</v>
      </c>
      <c r="J54" s="19"/>
      <c r="K54" s="19"/>
      <c r="L54" s="218" t="s">
        <v>603</v>
      </c>
    </row>
    <row r="55" spans="1:12" x14ac:dyDescent="0.2">
      <c r="A55" s="1274" t="s">
        <v>1775</v>
      </c>
      <c r="J55" s="19"/>
      <c r="K55" s="19"/>
      <c r="L55" s="218" t="str">
        <f>L8</f>
        <v>WITNESS:  S. M. KATKO</v>
      </c>
    </row>
    <row r="56" spans="1:12" x14ac:dyDescent="0.2">
      <c r="F56" s="331"/>
      <c r="G56" s="331"/>
      <c r="H56" s="331"/>
      <c r="I56" s="331"/>
      <c r="J56" s="331"/>
      <c r="K56" s="331"/>
      <c r="L56" s="331"/>
    </row>
    <row r="57" spans="1:12" x14ac:dyDescent="0.2">
      <c r="A57" s="20"/>
      <c r="B57" s="20"/>
      <c r="C57" s="20"/>
      <c r="D57" s="20"/>
      <c r="E57" s="20"/>
      <c r="F57" s="326" t="str">
        <f>"13 MONTH"</f>
        <v>13 MONTH</v>
      </c>
    </row>
    <row r="58" spans="1:12" x14ac:dyDescent="0.2">
      <c r="A58" s="329"/>
      <c r="B58" s="329"/>
      <c r="C58" s="329"/>
      <c r="D58" s="329"/>
      <c r="E58" s="329"/>
      <c r="F58" s="327" t="s">
        <v>631</v>
      </c>
      <c r="G58" s="2094" t="s">
        <v>1122</v>
      </c>
      <c r="H58" s="2095"/>
      <c r="I58" s="2095"/>
      <c r="J58" s="2095"/>
      <c r="K58" s="2095"/>
      <c r="L58" s="2095"/>
    </row>
    <row r="59" spans="1:12" x14ac:dyDescent="0.2">
      <c r="A59" s="329"/>
      <c r="B59" s="329"/>
      <c r="C59" s="329"/>
      <c r="D59" s="329"/>
      <c r="E59" s="329"/>
      <c r="F59" s="330" t="s">
        <v>1112</v>
      </c>
      <c r="G59" s="327"/>
    </row>
    <row r="60" spans="1:12" x14ac:dyDescent="0.2">
      <c r="A60" s="19" t="s">
        <v>632</v>
      </c>
      <c r="C60" s="18" t="s">
        <v>692</v>
      </c>
      <c r="F60" s="300" t="s">
        <v>1120</v>
      </c>
      <c r="G60" s="18" t="s">
        <v>670</v>
      </c>
      <c r="H60" s="18" t="s">
        <v>671</v>
      </c>
      <c r="I60" s="18" t="s">
        <v>671</v>
      </c>
      <c r="K60" s="18" t="s">
        <v>672</v>
      </c>
      <c r="L60" s="326" t="str">
        <f>"13 MONTH"</f>
        <v>13 MONTH</v>
      </c>
    </row>
    <row r="61" spans="1:12" x14ac:dyDescent="0.2">
      <c r="A61" s="18" t="s">
        <v>635</v>
      </c>
      <c r="C61" s="18" t="s">
        <v>635</v>
      </c>
      <c r="E61" s="18" t="s">
        <v>832</v>
      </c>
      <c r="F61" s="18" t="s">
        <v>833</v>
      </c>
      <c r="G61" s="18" t="s">
        <v>675</v>
      </c>
      <c r="H61" s="18" t="s">
        <v>676</v>
      </c>
      <c r="I61" s="18" t="s">
        <v>670</v>
      </c>
      <c r="J61" s="18" t="s">
        <v>677</v>
      </c>
      <c r="K61" s="18" t="s">
        <v>696</v>
      </c>
      <c r="L61" s="327" t="s">
        <v>631</v>
      </c>
    </row>
    <row r="62" spans="1:12" x14ac:dyDescent="0.2">
      <c r="A62" s="22" t="s">
        <v>834</v>
      </c>
      <c r="B62" s="23"/>
      <c r="C62" s="22" t="s">
        <v>835</v>
      </c>
      <c r="D62" s="23"/>
      <c r="E62" s="22" t="s">
        <v>836</v>
      </c>
      <c r="F62" s="22" t="s">
        <v>837</v>
      </c>
      <c r="G62" s="22" t="s">
        <v>838</v>
      </c>
      <c r="H62" s="22" t="s">
        <v>839</v>
      </c>
      <c r="I62" s="22" t="s">
        <v>840</v>
      </c>
      <c r="J62" s="22" t="s">
        <v>841</v>
      </c>
      <c r="K62" s="22" t="s">
        <v>842</v>
      </c>
      <c r="L62" s="328" t="s">
        <v>849</v>
      </c>
    </row>
    <row r="64" spans="1:12" x14ac:dyDescent="0.2">
      <c r="A64" s="24">
        <v>1</v>
      </c>
      <c r="C64" s="25">
        <v>381</v>
      </c>
      <c r="E64" s="28" t="s">
        <v>725</v>
      </c>
      <c r="F64" s="27">
        <f>'WPB-2.1 13 mo avg'!S56</f>
        <v>13929423.934615387</v>
      </c>
      <c r="G64" s="27">
        <f>'WPB-3.1 AD&amp;A (Forecast)'!R56</f>
        <v>5317834.8899999997</v>
      </c>
      <c r="H64" s="27"/>
      <c r="I64" s="27">
        <f>G64</f>
        <v>5317834.8899999997</v>
      </c>
      <c r="J64" s="27">
        <v>0</v>
      </c>
      <c r="K64" s="27">
        <f t="shared" ref="K64:K75" si="4">J64+I64</f>
        <v>5317834.8899999997</v>
      </c>
      <c r="L64" s="27">
        <f>'WPB-3.1 AD&amp;A (Forecast)'!S56</f>
        <v>5130189.2746153846</v>
      </c>
    </row>
    <row r="65" spans="1:12" x14ac:dyDescent="0.2">
      <c r="A65" s="24">
        <f>A64+1</f>
        <v>2</v>
      </c>
      <c r="C65" s="25">
        <v>381.1</v>
      </c>
      <c r="E65" s="322" t="s">
        <v>1117</v>
      </c>
      <c r="F65" s="27">
        <f>'WPB-2.1 13 mo avg'!S57</f>
        <v>8824212.0600000005</v>
      </c>
      <c r="G65" s="27">
        <f>'WPB-3.1 AD&amp;A (Forecast)'!R57</f>
        <v>1253465.5</v>
      </c>
      <c r="H65" s="27"/>
      <c r="I65" s="27">
        <f t="shared" ref="I65:I75" si="5">G65</f>
        <v>1253465.5</v>
      </c>
      <c r="J65" s="27">
        <v>0</v>
      </c>
      <c r="K65" s="27">
        <f t="shared" si="4"/>
        <v>1253465.5</v>
      </c>
      <c r="L65" s="27">
        <f>'WPB-3.1 AD&amp;A (Forecast)'!S57</f>
        <v>901477.42307692312</v>
      </c>
    </row>
    <row r="66" spans="1:12" x14ac:dyDescent="0.2">
      <c r="A66" s="24">
        <f t="shared" ref="A66:A75" si="6">A65+1</f>
        <v>3</v>
      </c>
      <c r="C66" s="25">
        <v>382</v>
      </c>
      <c r="E66" s="28" t="s">
        <v>726</v>
      </c>
      <c r="F66" s="27">
        <f>'WPB-2.1 13 mo avg'!S58</f>
        <v>9439600.3423076943</v>
      </c>
      <c r="G66" s="27">
        <f>'WPB-3.1 AD&amp;A (Forecast)'!R58</f>
        <v>4804665.3</v>
      </c>
      <c r="H66" s="27"/>
      <c r="I66" s="27">
        <f t="shared" si="5"/>
        <v>4804665.3</v>
      </c>
      <c r="J66" s="27">
        <v>0</v>
      </c>
      <c r="K66" s="27">
        <f t="shared" si="4"/>
        <v>4804665.3</v>
      </c>
      <c r="L66" s="27">
        <f>'WPB-3.1 AD&amp;A (Forecast)'!S58</f>
        <v>4716792.6076923069</v>
      </c>
    </row>
    <row r="67" spans="1:12" x14ac:dyDescent="0.2">
      <c r="A67" s="24">
        <f t="shared" si="6"/>
        <v>4</v>
      </c>
      <c r="C67" s="25">
        <v>383</v>
      </c>
      <c r="E67" s="28" t="s">
        <v>727</v>
      </c>
      <c r="F67" s="27">
        <f>'WPB-2.1 13 mo avg'!S59</f>
        <v>5757997.6830769228</v>
      </c>
      <c r="G67" s="27">
        <f>'WPB-3.1 AD&amp;A (Forecast)'!R59</f>
        <v>1635109.41</v>
      </c>
      <c r="H67" s="27"/>
      <c r="I67" s="27">
        <f t="shared" si="5"/>
        <v>1635109.41</v>
      </c>
      <c r="J67" s="27">
        <v>0</v>
      </c>
      <c r="K67" s="27">
        <f t="shared" si="4"/>
        <v>1635109.41</v>
      </c>
      <c r="L67" s="27">
        <f>'WPB-3.1 AD&amp;A (Forecast)'!S59</f>
        <v>1570123.1023076922</v>
      </c>
    </row>
    <row r="68" spans="1:12" x14ac:dyDescent="0.2">
      <c r="A68" s="24">
        <f t="shared" si="6"/>
        <v>5</v>
      </c>
      <c r="C68" s="25">
        <v>384</v>
      </c>
      <c r="E68" s="28" t="s">
        <v>728</v>
      </c>
      <c r="F68" s="27">
        <f>'WPB-2.1 13 mo avg'!S60</f>
        <v>2257522</v>
      </c>
      <c r="G68" s="27">
        <f>'WPB-3.1 AD&amp;A (Forecast)'!R60</f>
        <v>1792128.73</v>
      </c>
      <c r="H68" s="27"/>
      <c r="I68" s="27">
        <f t="shared" si="5"/>
        <v>1792128.73</v>
      </c>
      <c r="J68" s="27">
        <v>0</v>
      </c>
      <c r="K68" s="27">
        <f t="shared" si="4"/>
        <v>1792128.73</v>
      </c>
      <c r="L68" s="27">
        <f>'WPB-3.1 AD&amp;A (Forecast)'!S60</f>
        <v>1780728.7300000002</v>
      </c>
    </row>
    <row r="69" spans="1:12" x14ac:dyDescent="0.2">
      <c r="A69" s="24">
        <f t="shared" si="6"/>
        <v>6</v>
      </c>
      <c r="C69" s="25">
        <v>385</v>
      </c>
      <c r="E69" s="28" t="s">
        <v>729</v>
      </c>
      <c r="F69" s="27">
        <f>'WPB-2.1 13 mo avg'!S61</f>
        <v>3358952.5907692309</v>
      </c>
      <c r="G69" s="27">
        <f>'WPB-3.1 AD&amp;A (Forecast)'!R61</f>
        <v>1024453.55</v>
      </c>
      <c r="H69" s="27"/>
      <c r="I69" s="27">
        <f t="shared" si="5"/>
        <v>1024453.55</v>
      </c>
      <c r="J69" s="27">
        <v>0</v>
      </c>
      <c r="K69" s="27">
        <f t="shared" si="4"/>
        <v>1024453.55</v>
      </c>
      <c r="L69" s="27">
        <f>'WPB-3.1 AD&amp;A (Forecast)'!S61</f>
        <v>959062.93461538479</v>
      </c>
    </row>
    <row r="70" spans="1:12" x14ac:dyDescent="0.2">
      <c r="A70" s="24">
        <f t="shared" si="6"/>
        <v>7</v>
      </c>
      <c r="C70" s="25">
        <v>387.2</v>
      </c>
      <c r="E70" s="28" t="s">
        <v>730</v>
      </c>
      <c r="F70" s="27">
        <f>'WPB-2.1 13 mo avg'!S62</f>
        <v>0</v>
      </c>
      <c r="G70" s="27">
        <f>'WPB-3.1 AD&amp;A (Forecast)'!R62</f>
        <v>-59912.03</v>
      </c>
      <c r="H70" s="27"/>
      <c r="I70" s="27">
        <f t="shared" si="5"/>
        <v>-59912.03</v>
      </c>
      <c r="J70" s="27">
        <v>0</v>
      </c>
      <c r="K70" s="27">
        <f t="shared" si="4"/>
        <v>-59912.03</v>
      </c>
      <c r="L70" s="27">
        <f>'WPB-3.1 AD&amp;A (Forecast)'!S62</f>
        <v>-59912.030000000021</v>
      </c>
    </row>
    <row r="71" spans="1:12" x14ac:dyDescent="0.2">
      <c r="A71" s="24">
        <f t="shared" si="6"/>
        <v>8</v>
      </c>
      <c r="C71" s="25">
        <v>387.41</v>
      </c>
      <c r="E71" s="28" t="s">
        <v>731</v>
      </c>
      <c r="F71" s="27">
        <f>'WPB-2.1 13 mo avg'!S63</f>
        <v>735770.75999999989</v>
      </c>
      <c r="G71" s="27">
        <f>'WPB-3.1 AD&amp;A (Forecast)'!R63</f>
        <v>413573.95</v>
      </c>
      <c r="H71" s="27"/>
      <c r="I71" s="27">
        <f t="shared" si="5"/>
        <v>413573.95</v>
      </c>
      <c r="J71" s="27">
        <v>0</v>
      </c>
      <c r="K71" s="27">
        <f t="shared" si="4"/>
        <v>413573.95</v>
      </c>
      <c r="L71" s="27">
        <f>'WPB-3.1 AD&amp;A (Forecast)'!S63</f>
        <v>399815.95000000013</v>
      </c>
    </row>
    <row r="72" spans="1:12" x14ac:dyDescent="0.2">
      <c r="A72" s="24">
        <f t="shared" si="6"/>
        <v>9</v>
      </c>
      <c r="C72" s="25">
        <v>387.42</v>
      </c>
      <c r="E72" s="28" t="s">
        <v>732</v>
      </c>
      <c r="F72" s="27">
        <f>'WPB-2.1 13 mo avg'!S64</f>
        <v>795186.58</v>
      </c>
      <c r="G72" s="27">
        <f>'WPB-3.1 AD&amp;A (Forecast)'!R64</f>
        <v>582281.94999999995</v>
      </c>
      <c r="H72" s="27"/>
      <c r="I72" s="27">
        <f t="shared" si="5"/>
        <v>582281.94999999995</v>
      </c>
      <c r="J72" s="27">
        <v>0</v>
      </c>
      <c r="K72" s="27">
        <f t="shared" si="4"/>
        <v>582281.94999999995</v>
      </c>
      <c r="L72" s="27">
        <f>'WPB-3.1 AD&amp;A (Forecast)'!S64</f>
        <v>567413.95000000007</v>
      </c>
    </row>
    <row r="73" spans="1:12" x14ac:dyDescent="0.2">
      <c r="A73" s="24">
        <f t="shared" si="6"/>
        <v>10</v>
      </c>
      <c r="C73" s="25">
        <v>387.44</v>
      </c>
      <c r="E73" s="28" t="s">
        <v>733</v>
      </c>
      <c r="F73" s="27">
        <f>'WPB-2.1 13 mo avg'!S65</f>
        <v>143283.92999999996</v>
      </c>
      <c r="G73" s="27">
        <f>'WPB-3.1 AD&amp;A (Forecast)'!R65</f>
        <v>52312.55</v>
      </c>
      <c r="H73" s="27"/>
      <c r="I73" s="27">
        <f t="shared" si="5"/>
        <v>52312.55</v>
      </c>
      <c r="J73" s="27">
        <v>0</v>
      </c>
      <c r="K73" s="27">
        <f t="shared" si="4"/>
        <v>52312.55</v>
      </c>
      <c r="L73" s="27">
        <f>'WPB-3.1 AD&amp;A (Forecast)'!S65</f>
        <v>49630.55</v>
      </c>
    </row>
    <row r="74" spans="1:12" x14ac:dyDescent="0.2">
      <c r="A74" s="24">
        <f t="shared" si="6"/>
        <v>11</v>
      </c>
      <c r="C74" s="25">
        <v>387.45</v>
      </c>
      <c r="E74" s="28" t="s">
        <v>734</v>
      </c>
      <c r="F74" s="27">
        <f>'WPB-2.1 13 mo avg'!S66</f>
        <v>3717650.8138461537</v>
      </c>
      <c r="G74" s="27">
        <f>'WPB-3.1 AD&amp;A (Forecast)'!R66</f>
        <v>504845.06000000006</v>
      </c>
      <c r="H74" s="27"/>
      <c r="I74" s="27">
        <f t="shared" si="5"/>
        <v>504845.06000000006</v>
      </c>
      <c r="J74" s="27">
        <v>0</v>
      </c>
      <c r="K74" s="27">
        <f t="shared" si="4"/>
        <v>504845.06000000006</v>
      </c>
      <c r="L74" s="27">
        <f>'WPB-3.1 AD&amp;A (Forecast)'!S66</f>
        <v>536735.82923076942</v>
      </c>
    </row>
    <row r="75" spans="1:12" x14ac:dyDescent="0.2">
      <c r="A75" s="24">
        <f t="shared" si="6"/>
        <v>12</v>
      </c>
      <c r="C75" s="25">
        <v>387.46</v>
      </c>
      <c r="E75" s="28" t="s">
        <v>735</v>
      </c>
      <c r="F75" s="125">
        <f>'WPB-2.1 13 mo avg'!S67</f>
        <v>113644.46999999999</v>
      </c>
      <c r="G75" s="125">
        <f>'WPB-3.1 AD&amp;A (Forecast)'!R67</f>
        <v>116480.83</v>
      </c>
      <c r="H75" s="27"/>
      <c r="I75" s="125">
        <f t="shared" si="5"/>
        <v>116480.83</v>
      </c>
      <c r="J75" s="29">
        <v>0</v>
      </c>
      <c r="K75" s="125">
        <f t="shared" si="4"/>
        <v>116480.83</v>
      </c>
      <c r="L75" s="125">
        <f>'WPB-3.1 AD&amp;A (Forecast)'!S67</f>
        <v>114356.83</v>
      </c>
    </row>
    <row r="76" spans="1:12" x14ac:dyDescent="0.2">
      <c r="A76" s="24">
        <f>A75+1</f>
        <v>13</v>
      </c>
      <c r="C76" s="25"/>
      <c r="E76" s="28" t="s">
        <v>736</v>
      </c>
      <c r="F76" s="27">
        <f>SUM(F64:F75,F30:F46)</f>
        <v>421752059.61076921</v>
      </c>
      <c r="G76" s="27">
        <f>SUM(G64:G75,G30:G46)</f>
        <v>150598422.86842105</v>
      </c>
      <c r="H76" s="27"/>
      <c r="I76" s="27">
        <f>SUM(I64:I75,I30:I46)</f>
        <v>150598422.86842105</v>
      </c>
      <c r="J76" s="27">
        <f>SUM(J64:J75,J30:J46)</f>
        <v>0</v>
      </c>
      <c r="K76" s="27">
        <f>SUM(K64:K75,K30:K46)</f>
        <v>150598422.86842105</v>
      </c>
      <c r="L76" s="27">
        <f>SUM(L64:L75,L30:L46)</f>
        <v>146233243.41773281</v>
      </c>
    </row>
    <row r="77" spans="1:12" x14ac:dyDescent="0.2">
      <c r="A77" s="24"/>
      <c r="C77" s="25"/>
      <c r="E77" s="25"/>
      <c r="F77" s="27"/>
      <c r="G77" s="27"/>
      <c r="H77" s="27"/>
      <c r="I77" s="27"/>
      <c r="J77" s="27"/>
      <c r="K77" s="27"/>
      <c r="L77" s="27"/>
    </row>
    <row r="78" spans="1:12" x14ac:dyDescent="0.2">
      <c r="A78" s="24">
        <f>A76+1</f>
        <v>14</v>
      </c>
      <c r="C78" s="25"/>
      <c r="E78" s="26" t="s">
        <v>737</v>
      </c>
      <c r="F78" s="27"/>
      <c r="G78" s="27"/>
      <c r="H78" s="27"/>
      <c r="I78" s="27"/>
      <c r="J78" s="27"/>
      <c r="K78" s="27"/>
      <c r="L78" s="27"/>
    </row>
    <row r="79" spans="1:12" x14ac:dyDescent="0.2">
      <c r="A79" s="24">
        <f>A78+1</f>
        <v>15</v>
      </c>
      <c r="C79" s="25">
        <v>391.1</v>
      </c>
      <c r="E79" s="28" t="s">
        <v>738</v>
      </c>
      <c r="F79" s="27">
        <f>'WPB-2.1 13 mo avg'!S71</f>
        <v>734180.71000000008</v>
      </c>
      <c r="G79" s="27">
        <f>'WPB-3.1 AD&amp;A (Forecast)'!R71</f>
        <v>-14060.220000000001</v>
      </c>
      <c r="H79" s="27"/>
      <c r="I79" s="27">
        <f>G79</f>
        <v>-14060.220000000001</v>
      </c>
      <c r="J79" s="27">
        <v>0</v>
      </c>
      <c r="K79" s="27">
        <f t="shared" ref="K79:K92" si="7">J79+I79</f>
        <v>-14060.220000000001</v>
      </c>
      <c r="L79" s="27">
        <f>'WPB-3.1 AD&amp;A (Forecast)'!S71</f>
        <v>-32652.066153846143</v>
      </c>
    </row>
    <row r="80" spans="1:12" x14ac:dyDescent="0.2">
      <c r="A80" s="24">
        <f t="shared" ref="A80:A93" si="8">A79+1</f>
        <v>16</v>
      </c>
      <c r="C80" s="25">
        <v>391.11</v>
      </c>
      <c r="E80" s="28" t="s">
        <v>739</v>
      </c>
      <c r="F80" s="27">
        <f>'WPB-2.1 13 mo avg'!S72</f>
        <v>18815.570000000003</v>
      </c>
      <c r="G80" s="27">
        <f>'WPB-3.1 AD&amp;A (Forecast)'!R72</f>
        <v>-10724.77</v>
      </c>
      <c r="H80" s="27"/>
      <c r="I80" s="27">
        <f t="shared" ref="I80:I92" si="9">G80</f>
        <v>-10724.77</v>
      </c>
      <c r="J80" s="27">
        <v>0</v>
      </c>
      <c r="K80" s="27">
        <f t="shared" si="7"/>
        <v>-10724.77</v>
      </c>
      <c r="L80" s="27">
        <f>'WPB-3.1 AD&amp;A (Forecast)'!S72</f>
        <v>-11354.77</v>
      </c>
    </row>
    <row r="81" spans="1:12" x14ac:dyDescent="0.2">
      <c r="A81" s="24">
        <f t="shared" si="8"/>
        <v>17</v>
      </c>
      <c r="C81" s="25">
        <v>391.12</v>
      </c>
      <c r="E81" s="28" t="s">
        <v>740</v>
      </c>
      <c r="F81" s="27">
        <f>'WPB-2.1 13 mo avg'!S73</f>
        <v>1237298.7946153847</v>
      </c>
      <c r="G81" s="27">
        <f>'WPB-3.1 AD&amp;A (Forecast)'!R73</f>
        <v>863225.37</v>
      </c>
      <c r="H81" s="27"/>
      <c r="I81" s="27">
        <f t="shared" si="9"/>
        <v>863225.37</v>
      </c>
      <c r="J81" s="27">
        <v>0</v>
      </c>
      <c r="K81" s="27">
        <f t="shared" si="7"/>
        <v>863225.37</v>
      </c>
      <c r="L81" s="27">
        <f>'WPB-3.1 AD&amp;A (Forecast)'!S73</f>
        <v>751383.06230769225</v>
      </c>
    </row>
    <row r="82" spans="1:12" x14ac:dyDescent="0.2">
      <c r="A82" s="24">
        <f>A81+1</f>
        <v>18</v>
      </c>
      <c r="C82" s="25">
        <v>392.2</v>
      </c>
      <c r="E82" s="28" t="s">
        <v>852</v>
      </c>
      <c r="F82" s="27">
        <f>'WPB-2.1 13 mo avg'!S74</f>
        <v>95778</v>
      </c>
      <c r="G82" s="27">
        <f>'WPB-3.1 AD&amp;A (Forecast)'!R74</f>
        <v>31415.05</v>
      </c>
      <c r="H82" s="27"/>
      <c r="I82" s="27">
        <f t="shared" si="9"/>
        <v>31415.05</v>
      </c>
      <c r="J82" s="27">
        <v>0</v>
      </c>
      <c r="K82" s="27">
        <f t="shared" si="7"/>
        <v>31415.05</v>
      </c>
      <c r="L82" s="27">
        <f>'WPB-3.1 AD&amp;A (Forecast)'!S74</f>
        <v>27035.049999999992</v>
      </c>
    </row>
    <row r="83" spans="1:12" x14ac:dyDescent="0.2">
      <c r="A83" s="24">
        <f>A82+1</f>
        <v>19</v>
      </c>
      <c r="C83" s="25">
        <v>392.21</v>
      </c>
      <c r="E83" s="28" t="s">
        <v>741</v>
      </c>
      <c r="F83" s="27">
        <f>'WPB-2.1 13 mo avg'!S75</f>
        <v>24462.200000000008</v>
      </c>
      <c r="G83" s="27">
        <f>'WPB-3.1 AD&amp;A (Forecast)'!R75</f>
        <v>7431.4</v>
      </c>
      <c r="H83" s="27"/>
      <c r="I83" s="27">
        <f t="shared" si="9"/>
        <v>7431.4</v>
      </c>
      <c r="J83" s="27">
        <v>0</v>
      </c>
      <c r="K83" s="27">
        <f t="shared" si="7"/>
        <v>7431.4</v>
      </c>
      <c r="L83" s="27">
        <f>'WPB-3.1 AD&amp;A (Forecast)'!S75</f>
        <v>6309.4</v>
      </c>
    </row>
    <row r="84" spans="1:12" x14ac:dyDescent="0.2">
      <c r="A84" s="24">
        <f>A83+1</f>
        <v>20</v>
      </c>
      <c r="C84" s="25">
        <v>393</v>
      </c>
      <c r="E84" s="28" t="s">
        <v>742</v>
      </c>
      <c r="F84" s="27">
        <f>'WPB-2.1 13 mo avg'!S76</f>
        <v>0</v>
      </c>
      <c r="G84" s="27">
        <f>'WPB-3.1 AD&amp;A (Forecast)'!R76</f>
        <v>0</v>
      </c>
      <c r="H84" s="27"/>
      <c r="I84" s="27">
        <f t="shared" si="9"/>
        <v>0</v>
      </c>
      <c r="J84" s="27">
        <v>0</v>
      </c>
      <c r="K84" s="27">
        <f t="shared" si="7"/>
        <v>0</v>
      </c>
      <c r="L84" s="27">
        <f>'WPB-3.1 AD&amp;A (Forecast)'!S76</f>
        <v>0</v>
      </c>
    </row>
    <row r="85" spans="1:12" x14ac:dyDescent="0.2">
      <c r="A85" s="24">
        <f>A84+1</f>
        <v>21</v>
      </c>
      <c r="C85" s="25">
        <v>394.1</v>
      </c>
      <c r="E85" s="28" t="s">
        <v>743</v>
      </c>
      <c r="F85" s="27">
        <f>'WPB-2.1 13 mo avg'!S77</f>
        <v>24240.799999999992</v>
      </c>
      <c r="G85" s="27">
        <f>'WPB-3.1 AD&amp;A (Forecast)'!R77</f>
        <v>15580.82</v>
      </c>
      <c r="H85" s="27"/>
      <c r="I85" s="27">
        <f t="shared" si="9"/>
        <v>15580.82</v>
      </c>
      <c r="J85" s="27">
        <v>0</v>
      </c>
      <c r="K85" s="27">
        <f t="shared" si="7"/>
        <v>15580.82</v>
      </c>
      <c r="L85" s="27">
        <f>'WPB-3.1 AD&amp;A (Forecast)'!S77</f>
        <v>15094.820000000005</v>
      </c>
    </row>
    <row r="86" spans="1:12" x14ac:dyDescent="0.2">
      <c r="A86" s="24">
        <f t="shared" si="8"/>
        <v>22</v>
      </c>
      <c r="C86" s="25">
        <v>394.11</v>
      </c>
      <c r="E86" s="28" t="s">
        <v>744</v>
      </c>
      <c r="F86" s="27">
        <f>'WPB-2.1 13 mo avg'!S78</f>
        <v>0</v>
      </c>
      <c r="G86" s="27">
        <f>'WPB-3.1 AD&amp;A (Forecast)'!R78</f>
        <v>0</v>
      </c>
      <c r="H86" s="27"/>
      <c r="I86" s="27">
        <f t="shared" si="9"/>
        <v>0</v>
      </c>
      <c r="J86" s="27">
        <v>0</v>
      </c>
      <c r="K86" s="27">
        <f t="shared" si="7"/>
        <v>0</v>
      </c>
      <c r="L86" s="27">
        <f>'WPB-3.1 AD&amp;A (Forecast)'!S78</f>
        <v>0</v>
      </c>
    </row>
    <row r="87" spans="1:12" x14ac:dyDescent="0.2">
      <c r="A87" s="24">
        <f t="shared" si="8"/>
        <v>23</v>
      </c>
      <c r="C87" s="18">
        <v>394.13</v>
      </c>
      <c r="E87" s="28" t="s">
        <v>843</v>
      </c>
      <c r="F87" s="27">
        <f>'WPB-2.1 13 mo avg'!S79</f>
        <v>0</v>
      </c>
      <c r="G87" s="27">
        <f>'WPB-3.1 AD&amp;A (Forecast)'!R79</f>
        <v>37937.360000000001</v>
      </c>
      <c r="H87" s="27"/>
      <c r="I87" s="27">
        <f t="shared" si="9"/>
        <v>37937.360000000001</v>
      </c>
      <c r="J87" s="27">
        <v>0</v>
      </c>
      <c r="K87" s="27">
        <f t="shared" si="7"/>
        <v>37937.360000000001</v>
      </c>
      <c r="L87" s="27">
        <f>'WPB-3.1 AD&amp;A (Forecast)'!S79</f>
        <v>37937.359999999993</v>
      </c>
    </row>
    <row r="88" spans="1:12" x14ac:dyDescent="0.2">
      <c r="A88" s="24">
        <f t="shared" si="8"/>
        <v>24</v>
      </c>
      <c r="C88" s="25">
        <v>394.2</v>
      </c>
      <c r="E88" s="28" t="s">
        <v>746</v>
      </c>
      <c r="F88" s="27">
        <f>'WPB-2.1 13 mo avg'!S80</f>
        <v>0</v>
      </c>
      <c r="G88" s="27">
        <f>'WPB-3.1 AD&amp;A (Forecast)'!R80</f>
        <v>185.21</v>
      </c>
      <c r="H88" s="27"/>
      <c r="I88" s="27">
        <f t="shared" si="9"/>
        <v>185.21</v>
      </c>
      <c r="J88" s="27">
        <v>0</v>
      </c>
      <c r="K88" s="27">
        <f t="shared" si="7"/>
        <v>185.21</v>
      </c>
      <c r="L88" s="27">
        <f>'WPB-3.1 AD&amp;A (Forecast)'!S80</f>
        <v>185.21</v>
      </c>
    </row>
    <row r="89" spans="1:12" x14ac:dyDescent="0.2">
      <c r="A89" s="24">
        <f t="shared" si="8"/>
        <v>25</v>
      </c>
      <c r="C89" s="25">
        <v>394.3</v>
      </c>
      <c r="E89" s="28" t="s">
        <v>747</v>
      </c>
      <c r="F89" s="27">
        <f>'WPB-2.1 13 mo avg'!S81</f>
        <v>3241398.0830769232</v>
      </c>
      <c r="G89" s="27">
        <f>'WPB-3.1 AD&amp;A (Forecast)'!R81</f>
        <v>1373374.15</v>
      </c>
      <c r="H89" s="27"/>
      <c r="I89" s="27">
        <f t="shared" si="9"/>
        <v>1373374.15</v>
      </c>
      <c r="J89" s="27">
        <v>0</v>
      </c>
      <c r="K89" s="27">
        <f t="shared" si="7"/>
        <v>1373374.15</v>
      </c>
      <c r="L89" s="27">
        <f>'WPB-3.1 AD&amp;A (Forecast)'!S81</f>
        <v>1338094.7653846156</v>
      </c>
    </row>
    <row r="90" spans="1:12" x14ac:dyDescent="0.2">
      <c r="A90" s="24">
        <f t="shared" si="8"/>
        <v>26</v>
      </c>
      <c r="C90" s="25">
        <v>395</v>
      </c>
      <c r="E90" s="28" t="s">
        <v>748</v>
      </c>
      <c r="F90" s="27">
        <f>'WPB-2.1 13 mo avg'!S82</f>
        <v>9257.7700000000023</v>
      </c>
      <c r="G90" s="27">
        <f>'WPB-3.1 AD&amp;A (Forecast)'!R82</f>
        <v>7997.59</v>
      </c>
      <c r="H90" s="27"/>
      <c r="I90" s="27">
        <f t="shared" si="9"/>
        <v>7997.59</v>
      </c>
      <c r="J90" s="27">
        <v>0</v>
      </c>
      <c r="K90" s="27">
        <f t="shared" si="7"/>
        <v>7997.59</v>
      </c>
      <c r="L90" s="27">
        <f>'WPB-3.1 AD&amp;A (Forecast)'!S82</f>
        <v>7763.5899999999974</v>
      </c>
    </row>
    <row r="91" spans="1:12" x14ac:dyDescent="0.2">
      <c r="A91" s="24">
        <f t="shared" si="8"/>
        <v>27</v>
      </c>
      <c r="C91" s="25">
        <v>396</v>
      </c>
      <c r="E91" s="28" t="s">
        <v>749</v>
      </c>
      <c r="F91" s="27">
        <f>'WPB-2.1 13 mo avg'!S83</f>
        <v>253134.72000000006</v>
      </c>
      <c r="G91" s="27">
        <f>'WPB-3.1 AD&amp;A (Forecast)'!R83</f>
        <v>205873.72</v>
      </c>
      <c r="H91" s="27"/>
      <c r="I91" s="27">
        <f t="shared" si="9"/>
        <v>205873.72</v>
      </c>
      <c r="J91" s="27">
        <v>0</v>
      </c>
      <c r="K91" s="27">
        <f t="shared" si="7"/>
        <v>205873.72</v>
      </c>
      <c r="L91" s="27">
        <f>'WPB-3.1 AD&amp;A (Forecast)'!S83</f>
        <v>202597.72000000003</v>
      </c>
    </row>
    <row r="92" spans="1:12" x14ac:dyDescent="0.2">
      <c r="A92" s="24">
        <f t="shared" si="8"/>
        <v>28</v>
      </c>
      <c r="C92" s="25">
        <v>398</v>
      </c>
      <c r="E92" s="28" t="s">
        <v>750</v>
      </c>
      <c r="F92" s="125">
        <f>'WPB-2.1 13 mo avg'!S84</f>
        <v>283931.17076923075</v>
      </c>
      <c r="G92" s="125">
        <f>'WPB-3.1 AD&amp;A (Forecast)'!R84</f>
        <v>16417.59</v>
      </c>
      <c r="H92" s="27"/>
      <c r="I92" s="125">
        <f t="shared" si="9"/>
        <v>16417.59</v>
      </c>
      <c r="J92" s="29">
        <v>0</v>
      </c>
      <c r="K92" s="125">
        <f t="shared" si="7"/>
        <v>16417.59</v>
      </c>
      <c r="L92" s="125">
        <f>'WPB-3.1 AD&amp;A (Forecast)'!S84</f>
        <v>10292.128461538461</v>
      </c>
    </row>
    <row r="93" spans="1:12" x14ac:dyDescent="0.2">
      <c r="A93" s="24">
        <f t="shared" si="8"/>
        <v>29</v>
      </c>
      <c r="C93" s="25"/>
      <c r="E93" s="28" t="s">
        <v>751</v>
      </c>
      <c r="F93" s="27">
        <f>SUM(F79:F92)</f>
        <v>5922497.8184615374</v>
      </c>
      <c r="G93" s="27">
        <f>SUM(G79:G92)</f>
        <v>2534653.27</v>
      </c>
      <c r="H93" s="27"/>
      <c r="I93" s="27">
        <f>SUM(I79:I92)</f>
        <v>2534653.27</v>
      </c>
      <c r="J93" s="27">
        <f>SUM(J79:J92)</f>
        <v>0</v>
      </c>
      <c r="K93" s="27">
        <f>SUM(K79:K92)</f>
        <v>2534653.27</v>
      </c>
      <c r="L93" s="27">
        <f>SUM(L79:L92)</f>
        <v>2352686.27</v>
      </c>
    </row>
    <row r="94" spans="1:12" x14ac:dyDescent="0.2">
      <c r="A94" s="24"/>
      <c r="C94" s="25"/>
      <c r="E94" s="28"/>
      <c r="F94" s="27"/>
      <c r="G94" s="27"/>
      <c r="H94" s="27"/>
      <c r="I94" s="27"/>
      <c r="J94" s="27"/>
      <c r="K94" s="27"/>
      <c r="L94" s="27"/>
    </row>
    <row r="95" spans="1:12" x14ac:dyDescent="0.2">
      <c r="A95" s="24">
        <f>A93+1</f>
        <v>30</v>
      </c>
      <c r="C95" s="25"/>
      <c r="E95" s="26" t="s">
        <v>2287</v>
      </c>
      <c r="F95" s="27"/>
      <c r="G95" s="27"/>
      <c r="H95" s="27"/>
      <c r="I95" s="27"/>
      <c r="J95" s="27"/>
      <c r="K95" s="27"/>
      <c r="L95" s="27"/>
    </row>
    <row r="96" spans="1:12" x14ac:dyDescent="0.2">
      <c r="A96" s="24">
        <f>A95+1</f>
        <v>31</v>
      </c>
      <c r="C96" s="25">
        <v>378.21</v>
      </c>
      <c r="E96" s="1730" t="s">
        <v>2245</v>
      </c>
      <c r="F96" s="27">
        <f>'WPB-2.1 13 mo avg'!S87</f>
        <v>-777092</v>
      </c>
      <c r="G96" s="27">
        <f>'WPB-3.1 AD&amp;A (Forecast)'!R87</f>
        <v>-68298.029999999912</v>
      </c>
      <c r="H96" s="27"/>
      <c r="I96" s="27">
        <f t="shared" ref="I96" si="10">G96</f>
        <v>-68298.029999999912</v>
      </c>
      <c r="J96" s="27">
        <v>0</v>
      </c>
      <c r="K96" s="27">
        <f t="shared" ref="K96" si="11">J96+I96</f>
        <v>-68298.029999999912</v>
      </c>
      <c r="L96" s="27">
        <f>'WPB-3.1 AD&amp;A (Forecast)'!S87</f>
        <v>-55346.529999999941</v>
      </c>
    </row>
    <row r="97" spans="1:12" x14ac:dyDescent="0.2">
      <c r="A97" s="24"/>
      <c r="C97" s="25"/>
      <c r="E97" s="25"/>
      <c r="F97" s="29"/>
      <c r="G97" s="29"/>
      <c r="H97" s="27"/>
      <c r="I97" s="29"/>
      <c r="J97" s="29"/>
      <c r="K97" s="29"/>
      <c r="L97" s="29"/>
    </row>
    <row r="98" spans="1:12" x14ac:dyDescent="0.2">
      <c r="A98" s="24">
        <f>A96+1</f>
        <v>32</v>
      </c>
      <c r="C98" s="25"/>
      <c r="E98" s="28" t="s">
        <v>752</v>
      </c>
      <c r="F98" s="27">
        <f>F23+F27+F76+F93+F96</f>
        <v>435160689.37</v>
      </c>
      <c r="G98" s="27">
        <f>G23+G27+G76+G93+G96</f>
        <v>157252419.58661872</v>
      </c>
      <c r="H98" s="27"/>
      <c r="I98" s="27">
        <f>I23+I27+I76+I93+I96</f>
        <v>157252419.58661872</v>
      </c>
      <c r="J98" s="27">
        <f>J23+J27+J76+J93+J96</f>
        <v>0</v>
      </c>
      <c r="K98" s="27">
        <f>K23+K27+K76+K93+K96</f>
        <v>157252419.58661872</v>
      </c>
      <c r="L98" s="27">
        <f>L23+L27+L76+L93+L96</f>
        <v>152037512.57084686</v>
      </c>
    </row>
  </sheetData>
  <mergeCells count="10">
    <mergeCell ref="G58:L58"/>
    <mergeCell ref="A48:L48"/>
    <mergeCell ref="A49:L49"/>
    <mergeCell ref="A1:L1"/>
    <mergeCell ref="A2:L2"/>
    <mergeCell ref="A3:L3"/>
    <mergeCell ref="A4:L4"/>
    <mergeCell ref="A50:L50"/>
    <mergeCell ref="A51:L51"/>
    <mergeCell ref="G11:L11"/>
  </mergeCells>
  <phoneticPr fontId="0" type="noConversion"/>
  <pageMargins left="1" right="0.5" top="1" bottom="0.75" header="0.3" footer="0.3"/>
  <pageSetup scale="69" fitToHeight="2" orientation="landscape" r:id="rId1"/>
  <headerFooter>
    <oddHeader>&amp;R&amp;"Arial,Regular"&amp;10KY PSC Case No. 2016-00162, Attachment A to Staff 3-4</oddHeader>
  </headerFooter>
  <rowBreaks count="1" manualBreakCount="1">
    <brk id="47" max="1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27">
    <pageSetUpPr fitToPage="1"/>
  </sheetPr>
  <dimension ref="A1:I36"/>
  <sheetViews>
    <sheetView view="pageBreakPreview" zoomScale="60" zoomScaleNormal="100" workbookViewId="0">
      <selection activeCell="F46" sqref="F46"/>
    </sheetView>
  </sheetViews>
  <sheetFormatPr defaultColWidth="9.83203125" defaultRowHeight="12.75" x14ac:dyDescent="0.2"/>
  <cols>
    <col min="1" max="1" width="31.33203125" style="241" customWidth="1"/>
    <col min="2" max="2" width="2" style="241" customWidth="1"/>
    <col min="3" max="3" width="81.6640625" style="241" customWidth="1"/>
    <col min="4" max="9" width="9.83203125" style="241"/>
    <col min="10" max="10" width="9.83203125" style="241" customWidth="1"/>
    <col min="11" max="11" width="9.83203125" style="241"/>
    <col min="12" max="12" width="1.83203125" style="241" customWidth="1"/>
    <col min="13" max="13" width="7.83203125" style="241" customWidth="1"/>
    <col min="14" max="14" width="6.83203125" style="241" customWidth="1"/>
    <col min="15" max="16384" width="9.83203125" style="241"/>
  </cols>
  <sheetData>
    <row r="1" spans="1:3" x14ac:dyDescent="0.2">
      <c r="A1" s="240" t="s">
        <v>1006</v>
      </c>
    </row>
    <row r="3" spans="1:3" x14ac:dyDescent="0.2">
      <c r="A3" s="2055" t="s">
        <v>1007</v>
      </c>
      <c r="B3" s="2055"/>
      <c r="C3" s="2055"/>
    </row>
    <row r="5" spans="1:3" x14ac:dyDescent="0.2">
      <c r="A5" s="2055" t="s">
        <v>1008</v>
      </c>
      <c r="B5" s="2055"/>
      <c r="C5" s="2055"/>
    </row>
    <row r="7" spans="1:3" x14ac:dyDescent="0.2">
      <c r="A7" s="2055" t="s">
        <v>624</v>
      </c>
      <c r="B7" s="2055"/>
      <c r="C7" s="2055"/>
    </row>
    <row r="9" spans="1:3" x14ac:dyDescent="0.2">
      <c r="A9" s="2055" t="str">
        <f>case</f>
        <v>CASE NO. 2016 - 00162</v>
      </c>
      <c r="B9" s="2055"/>
      <c r="C9" s="2055"/>
    </row>
    <row r="11" spans="1:3" x14ac:dyDescent="0.2">
      <c r="A11" s="242" t="s">
        <v>389</v>
      </c>
      <c r="C11" s="242" t="str">
        <f>base</f>
        <v>FOR THE TWELVE MONTHS ENDED AUGUST 31, 2016</v>
      </c>
    </row>
    <row r="13" spans="1:3" x14ac:dyDescent="0.2">
      <c r="A13" s="242" t="s">
        <v>1810</v>
      </c>
      <c r="C13" s="242" t="str">
        <f>forecast</f>
        <v>FOR THE TWELVE MONTHS ENDED DECEMBER 31, 2017</v>
      </c>
    </row>
    <row r="17" spans="1:9" x14ac:dyDescent="0.2">
      <c r="A17" s="243" t="s">
        <v>633</v>
      </c>
      <c r="B17" s="244"/>
      <c r="C17" s="245" t="s">
        <v>778</v>
      </c>
      <c r="D17" s="248"/>
      <c r="E17" s="248"/>
      <c r="F17" s="248"/>
      <c r="G17" s="248"/>
      <c r="H17" s="248"/>
      <c r="I17" s="248"/>
    </row>
    <row r="20" spans="1:9" x14ac:dyDescent="0.2">
      <c r="A20" s="246" t="s">
        <v>1009</v>
      </c>
      <c r="B20" s="247"/>
      <c r="C20" s="246" t="s">
        <v>1012</v>
      </c>
    </row>
    <row r="21" spans="1:9" x14ac:dyDescent="0.2">
      <c r="A21" s="246" t="s">
        <v>642</v>
      </c>
      <c r="B21" s="247"/>
      <c r="C21" s="246" t="s">
        <v>1013</v>
      </c>
    </row>
    <row r="22" spans="1:9" x14ac:dyDescent="0.2">
      <c r="A22" s="246" t="s">
        <v>1010</v>
      </c>
      <c r="B22" s="247"/>
      <c r="C22" s="246" t="s">
        <v>1014</v>
      </c>
    </row>
    <row r="23" spans="1:9" x14ac:dyDescent="0.2">
      <c r="A23" s="246" t="s">
        <v>1011</v>
      </c>
      <c r="B23" s="247"/>
      <c r="C23" s="246" t="s">
        <v>1015</v>
      </c>
    </row>
    <row r="24" spans="1:9" x14ac:dyDescent="0.2">
      <c r="A24" s="241" t="s">
        <v>1016</v>
      </c>
      <c r="C24" s="241" t="s">
        <v>1018</v>
      </c>
    </row>
    <row r="25" spans="1:9" x14ac:dyDescent="0.2">
      <c r="A25" s="241" t="s">
        <v>648</v>
      </c>
      <c r="C25" s="241" t="s">
        <v>775</v>
      </c>
    </row>
    <row r="26" spans="1:9" x14ac:dyDescent="0.2">
      <c r="A26" s="241" t="s">
        <v>1017</v>
      </c>
      <c r="C26" s="241" t="s">
        <v>789</v>
      </c>
    </row>
    <row r="27" spans="1:9" x14ac:dyDescent="0.2">
      <c r="A27" s="241" t="s">
        <v>645</v>
      </c>
      <c r="C27" s="241" t="s">
        <v>808</v>
      </c>
    </row>
    <row r="28" spans="1:9" x14ac:dyDescent="0.2">
      <c r="A28" s="241" t="s">
        <v>1019</v>
      </c>
      <c r="C28" s="241" t="s">
        <v>818</v>
      </c>
    </row>
    <row r="29" spans="1:9" x14ac:dyDescent="0.2">
      <c r="A29" s="241" t="s">
        <v>651</v>
      </c>
      <c r="C29" s="241" t="s">
        <v>650</v>
      </c>
    </row>
    <row r="30" spans="1:9" x14ac:dyDescent="0.2">
      <c r="A30" s="241" t="s">
        <v>1020</v>
      </c>
      <c r="C30" s="241" t="s">
        <v>1021</v>
      </c>
    </row>
    <row r="31" spans="1:9" x14ac:dyDescent="0.2">
      <c r="A31" s="241" t="s">
        <v>656</v>
      </c>
      <c r="C31" s="241" t="s">
        <v>655</v>
      </c>
    </row>
    <row r="32" spans="1:9" x14ac:dyDescent="0.2">
      <c r="A32" s="241" t="s">
        <v>1022</v>
      </c>
      <c r="C32" s="241" t="s">
        <v>889</v>
      </c>
    </row>
    <row r="33" spans="1:3" x14ac:dyDescent="0.2">
      <c r="A33" s="241" t="s">
        <v>662</v>
      </c>
      <c r="C33" s="241" t="s">
        <v>863</v>
      </c>
    </row>
    <row r="34" spans="1:3" x14ac:dyDescent="0.2">
      <c r="A34" s="241" t="s">
        <v>659</v>
      </c>
      <c r="C34" s="241" t="s">
        <v>879</v>
      </c>
    </row>
    <row r="35" spans="1:3" x14ac:dyDescent="0.2">
      <c r="A35" s="241" t="s">
        <v>664</v>
      </c>
      <c r="C35" s="241" t="s">
        <v>900</v>
      </c>
    </row>
    <row r="36" spans="1:3" x14ac:dyDescent="0.2">
      <c r="A36" s="241" t="s">
        <v>1943</v>
      </c>
      <c r="C36" s="241" t="s">
        <v>1950</v>
      </c>
    </row>
  </sheetData>
  <mergeCells count="4">
    <mergeCell ref="A3:C3"/>
    <mergeCell ref="A5:C5"/>
    <mergeCell ref="A7:C7"/>
    <mergeCell ref="A9:C9"/>
  </mergeCells>
  <phoneticPr fontId="0" type="noConversion"/>
  <pageMargins left="1" right="0.5" top="1" bottom="0.75" header="0.3" footer="0.3"/>
  <pageSetup scale="98" fitToHeight="0" orientation="portrait" r:id="rId1"/>
  <headerFooter>
    <oddHeader>&amp;R&amp;"Arial,Regular"&amp;10KY PSC Case No. 2016-00162, Attachment A to Staff 3-4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4">
    <pageSetUpPr fitToPage="1"/>
  </sheetPr>
  <dimension ref="A1:AG97"/>
  <sheetViews>
    <sheetView showGridLines="0" view="pageBreakPreview" zoomScale="70" zoomScaleNormal="85" zoomScaleSheetLayoutView="70" workbookViewId="0">
      <selection activeCell="F46" sqref="F46"/>
    </sheetView>
  </sheetViews>
  <sheetFormatPr defaultColWidth="12.5" defaultRowHeight="12.75" x14ac:dyDescent="0.2"/>
  <cols>
    <col min="1" max="1" width="4.1640625" style="42" customWidth="1"/>
    <col min="2" max="2" width="1.6640625" style="42" customWidth="1"/>
    <col min="3" max="3" width="8.33203125" style="119" customWidth="1"/>
    <col min="4" max="4" width="1.6640625" style="42" customWidth="1"/>
    <col min="5" max="5" width="6.1640625" style="42" customWidth="1"/>
    <col min="6" max="6" width="18" style="42" bestFit="1" customWidth="1"/>
    <col min="7" max="8" width="16.83203125" style="42" bestFit="1" customWidth="1"/>
    <col min="9" max="9" width="16.83203125" style="161" bestFit="1" customWidth="1"/>
    <col min="10" max="11" width="16.83203125" style="42" bestFit="1" customWidth="1"/>
    <col min="12" max="17" width="16.83203125" style="42" customWidth="1"/>
    <col min="18" max="21" width="12" style="42" customWidth="1"/>
    <col min="22" max="16384" width="12.5" style="42"/>
  </cols>
  <sheetData>
    <row r="1" spans="1:17" x14ac:dyDescent="0.2">
      <c r="A1" s="2064" t="str">
        <f>co</f>
        <v>COLUMBIA GAS OF KENTUCKY, INC.</v>
      </c>
      <c r="B1" s="2064"/>
      <c r="C1" s="2064"/>
      <c r="D1" s="2064"/>
      <c r="E1" s="2064"/>
      <c r="F1" s="2064"/>
      <c r="G1" s="2064"/>
      <c r="H1" s="2064"/>
      <c r="I1" s="2064"/>
      <c r="J1" s="2064"/>
      <c r="K1" s="2064"/>
      <c r="L1" s="2064"/>
      <c r="M1" s="2064"/>
      <c r="N1" s="2064"/>
      <c r="O1" s="2064"/>
      <c r="P1" s="2064"/>
      <c r="Q1" s="2064"/>
    </row>
    <row r="2" spans="1:17" x14ac:dyDescent="0.2">
      <c r="A2" s="2066" t="str">
        <f>case</f>
        <v>CASE NO. 2016 - 00162</v>
      </c>
      <c r="B2" s="2066"/>
      <c r="C2" s="2066"/>
      <c r="D2" s="2066"/>
      <c r="E2" s="2066"/>
      <c r="F2" s="2066"/>
      <c r="G2" s="2066"/>
      <c r="H2" s="2066"/>
      <c r="I2" s="2066"/>
      <c r="J2" s="2066"/>
      <c r="K2" s="2066"/>
      <c r="L2" s="2066"/>
      <c r="M2" s="2066"/>
      <c r="N2" s="2066"/>
      <c r="O2" s="2066"/>
      <c r="P2" s="2066"/>
      <c r="Q2" s="2066"/>
    </row>
    <row r="3" spans="1:17" x14ac:dyDescent="0.2">
      <c r="A3" s="2067" t="s">
        <v>828</v>
      </c>
      <c r="B3" s="2067"/>
      <c r="C3" s="2067"/>
      <c r="D3" s="2067"/>
      <c r="E3" s="2067"/>
      <c r="F3" s="2067"/>
      <c r="G3" s="2067"/>
      <c r="H3" s="2067"/>
      <c r="I3" s="2067"/>
      <c r="J3" s="2067"/>
      <c r="K3" s="2067"/>
      <c r="L3" s="2067"/>
      <c r="M3" s="2067"/>
      <c r="N3" s="2067"/>
      <c r="O3" s="2067"/>
      <c r="P3" s="2067"/>
      <c r="Q3" s="2067"/>
    </row>
    <row r="4" spans="1:17" x14ac:dyDescent="0.2">
      <c r="A4" s="2072" t="s">
        <v>2030</v>
      </c>
      <c r="B4" s="2069"/>
      <c r="C4" s="2069"/>
      <c r="D4" s="2069"/>
      <c r="E4" s="2069"/>
      <c r="F4" s="2069"/>
      <c r="G4" s="2069"/>
      <c r="H4" s="2069"/>
      <c r="I4" s="2069"/>
      <c r="J4" s="2069"/>
      <c r="K4" s="2069"/>
      <c r="L4" s="2069"/>
      <c r="M4" s="2069"/>
      <c r="N4" s="2069"/>
      <c r="O4" s="2069"/>
      <c r="P4" s="2069"/>
      <c r="Q4" s="2069"/>
    </row>
    <row r="6" spans="1:17" x14ac:dyDescent="0.2">
      <c r="A6" s="44" t="s">
        <v>688</v>
      </c>
      <c r="Q6" s="1271" t="s">
        <v>1774</v>
      </c>
    </row>
    <row r="7" spans="1:17" x14ac:dyDescent="0.2">
      <c r="A7" s="44" t="s">
        <v>690</v>
      </c>
      <c r="F7" s="104"/>
      <c r="G7" s="104"/>
      <c r="H7" s="104"/>
      <c r="I7" s="1116"/>
      <c r="J7" s="104"/>
      <c r="K7" s="104"/>
      <c r="L7" s="104"/>
      <c r="M7" s="104"/>
      <c r="N7" s="104"/>
      <c r="O7" s="104"/>
      <c r="P7" s="104"/>
      <c r="Q7" s="1129" t="s">
        <v>864</v>
      </c>
    </row>
    <row r="8" spans="1:17" x14ac:dyDescent="0.2">
      <c r="A8" s="1275" t="s">
        <v>1758</v>
      </c>
      <c r="B8" s="46"/>
      <c r="C8" s="120"/>
      <c r="D8" s="46"/>
      <c r="E8" s="46"/>
      <c r="F8" s="112"/>
      <c r="G8" s="112"/>
      <c r="H8" s="112"/>
      <c r="I8" s="1330"/>
      <c r="J8" s="112"/>
      <c r="K8" s="112"/>
      <c r="L8" s="112"/>
      <c r="M8" s="112"/>
      <c r="N8" s="112"/>
      <c r="O8" s="112"/>
      <c r="P8" s="112"/>
      <c r="Q8" s="1329"/>
    </row>
    <row r="9" spans="1:17" x14ac:dyDescent="0.2">
      <c r="A9" s="44" t="s">
        <v>632</v>
      </c>
      <c r="C9" s="121" t="s">
        <v>692</v>
      </c>
      <c r="E9" s="43"/>
      <c r="F9" s="289" t="s">
        <v>1104</v>
      </c>
      <c r="G9" s="289" t="s">
        <v>1104</v>
      </c>
      <c r="H9" s="289" t="s">
        <v>1104</v>
      </c>
      <c r="I9" s="289" t="s">
        <v>1104</v>
      </c>
      <c r="J9" s="289" t="s">
        <v>1104</v>
      </c>
      <c r="K9" s="289" t="s">
        <v>1104</v>
      </c>
      <c r="L9" s="289" t="s">
        <v>1104</v>
      </c>
      <c r="M9" s="289" t="s">
        <v>1104</v>
      </c>
      <c r="N9" s="289" t="s">
        <v>1104</v>
      </c>
      <c r="O9" s="289" t="s">
        <v>1104</v>
      </c>
      <c r="P9" s="289" t="s">
        <v>1104</v>
      </c>
      <c r="Q9" s="290" t="s">
        <v>1105</v>
      </c>
    </row>
    <row r="10" spans="1:17" x14ac:dyDescent="0.2">
      <c r="A10" s="111" t="s">
        <v>635</v>
      </c>
      <c r="B10" s="112"/>
      <c r="C10" s="122" t="s">
        <v>635</v>
      </c>
      <c r="D10" s="112"/>
      <c r="E10" s="111"/>
      <c r="F10" s="1659" t="s">
        <v>2130</v>
      </c>
      <c r="G10" s="1659" t="s">
        <v>2131</v>
      </c>
      <c r="H10" s="1659" t="s">
        <v>2132</v>
      </c>
      <c r="I10" s="1659" t="s">
        <v>2133</v>
      </c>
      <c r="J10" s="1659" t="s">
        <v>2134</v>
      </c>
      <c r="K10" s="1659" t="s">
        <v>2135</v>
      </c>
      <c r="L10" s="1659" t="s">
        <v>2136</v>
      </c>
      <c r="M10" s="1659" t="s">
        <v>2137</v>
      </c>
      <c r="N10" s="1659" t="s">
        <v>2138</v>
      </c>
      <c r="O10" s="1659" t="s">
        <v>2139</v>
      </c>
      <c r="P10" s="1659" t="s">
        <v>2140</v>
      </c>
      <c r="Q10" s="1659" t="s">
        <v>2141</v>
      </c>
    </row>
    <row r="11" spans="1:17" x14ac:dyDescent="0.2">
      <c r="E11" s="104"/>
      <c r="F11" s="43" t="s">
        <v>639</v>
      </c>
      <c r="G11" s="43" t="s">
        <v>639</v>
      </c>
      <c r="H11" s="43" t="s">
        <v>639</v>
      </c>
      <c r="I11" s="1108" t="s">
        <v>639</v>
      </c>
      <c r="J11" s="43" t="s">
        <v>639</v>
      </c>
      <c r="K11" s="43" t="s">
        <v>639</v>
      </c>
      <c r="L11" s="43" t="s">
        <v>639</v>
      </c>
      <c r="M11" s="43" t="s">
        <v>639</v>
      </c>
      <c r="N11" s="43" t="s">
        <v>639</v>
      </c>
      <c r="O11" s="43" t="s">
        <v>639</v>
      </c>
      <c r="P11" s="43" t="s">
        <v>639</v>
      </c>
      <c r="Q11" s="43" t="s">
        <v>639</v>
      </c>
    </row>
    <row r="12" spans="1:17" x14ac:dyDescent="0.2">
      <c r="A12" s="48"/>
      <c r="C12" s="123"/>
      <c r="E12" s="109"/>
      <c r="F12" s="51"/>
      <c r="G12" s="104"/>
      <c r="H12" s="107"/>
      <c r="I12" s="1116"/>
      <c r="J12" s="107"/>
      <c r="K12" s="107"/>
      <c r="L12" s="107"/>
      <c r="M12" s="107"/>
      <c r="N12" s="107"/>
      <c r="O12" s="107"/>
    </row>
    <row r="13" spans="1:17" x14ac:dyDescent="0.2">
      <c r="A13" s="48">
        <f t="shared" ref="A13:A18" si="0">A12+1</f>
        <v>1</v>
      </c>
      <c r="C13" s="123">
        <v>301</v>
      </c>
      <c r="E13" s="110"/>
      <c r="F13" s="163">
        <v>0</v>
      </c>
      <c r="G13" s="163">
        <v>0</v>
      </c>
      <c r="H13" s="163">
        <v>0</v>
      </c>
      <c r="I13" s="163">
        <v>0</v>
      </c>
      <c r="J13" s="163">
        <v>0</v>
      </c>
      <c r="K13" s="163">
        <v>0</v>
      </c>
      <c r="L13" s="301">
        <f>'WPB2.2 Plant detail-w slippage'!N64</f>
        <v>0</v>
      </c>
      <c r="M13" s="301">
        <f>'WPB2.2 Plant detail-w slippage'!N170</f>
        <v>0</v>
      </c>
      <c r="N13" s="301">
        <f>'WPB2.2 Plant detail-w slippage'!N276</f>
        <v>0</v>
      </c>
      <c r="O13" s="301">
        <f>'WPB2.2 Plant detail-w slippage'!N382</f>
        <v>0</v>
      </c>
      <c r="P13" s="301">
        <f>'WPB2.2 Plant detail-w slippage'!N488</f>
        <v>0</v>
      </c>
      <c r="Q13" s="301">
        <f>'WPB2.2 Plant detail-w slippage'!N594</f>
        <v>0</v>
      </c>
    </row>
    <row r="14" spans="1:17" x14ac:dyDescent="0.2">
      <c r="A14" s="48">
        <f t="shared" si="0"/>
        <v>2</v>
      </c>
      <c r="C14" s="123">
        <v>303</v>
      </c>
      <c r="E14" s="110"/>
      <c r="F14" s="163">
        <v>44766.8</v>
      </c>
      <c r="G14" s="163">
        <v>44973.33</v>
      </c>
      <c r="H14" s="163">
        <v>45179.86</v>
      </c>
      <c r="I14" s="163">
        <v>45386.39</v>
      </c>
      <c r="J14" s="163">
        <v>45592.91</v>
      </c>
      <c r="K14" s="163">
        <v>45799.43</v>
      </c>
      <c r="L14" s="301">
        <f>'WPB2.2 Plant detail-w slippage'!N65</f>
        <v>46005.95</v>
      </c>
      <c r="M14" s="301">
        <f>'WPB2.2 Plant detail-w slippage'!N171</f>
        <v>46212.469999999994</v>
      </c>
      <c r="N14" s="301">
        <f>'WPB2.2 Plant detail-w slippage'!N277</f>
        <v>46418.989999999991</v>
      </c>
      <c r="O14" s="301">
        <f>'WPB2.2 Plant detail-w slippage'!N383</f>
        <v>46625.509999999987</v>
      </c>
      <c r="P14" s="301">
        <f>'WPB2.2 Plant detail-w slippage'!N489</f>
        <v>46832.029999999984</v>
      </c>
      <c r="Q14" s="301">
        <f>'WPB2.2 Plant detail-w slippage'!N595</f>
        <v>47038.549999999981</v>
      </c>
    </row>
    <row r="15" spans="1:17" x14ac:dyDescent="0.2">
      <c r="A15" s="48">
        <f t="shared" si="0"/>
        <v>3</v>
      </c>
      <c r="C15" s="123">
        <v>303.10000000000002</v>
      </c>
      <c r="E15" s="110"/>
      <c r="F15" s="163">
        <v>0</v>
      </c>
      <c r="G15" s="163">
        <v>0</v>
      </c>
      <c r="H15" s="163">
        <v>0</v>
      </c>
      <c r="I15" s="163">
        <v>0</v>
      </c>
      <c r="J15" s="163">
        <v>0</v>
      </c>
      <c r="K15" s="163">
        <v>0</v>
      </c>
      <c r="L15" s="301">
        <f>'WPB2.2 Plant detail-w slippage'!N66</f>
        <v>0</v>
      </c>
      <c r="M15" s="301">
        <f>'WPB2.2 Plant detail-w slippage'!N172</f>
        <v>0</v>
      </c>
      <c r="N15" s="301">
        <f>'WPB2.2 Plant detail-w slippage'!N278</f>
        <v>0</v>
      </c>
      <c r="O15" s="301">
        <f>'WPB2.2 Plant detail-w slippage'!N384</f>
        <v>0</v>
      </c>
      <c r="P15" s="301">
        <f>'WPB2.2 Plant detail-w slippage'!N490</f>
        <v>0</v>
      </c>
      <c r="Q15" s="301">
        <f>'WPB2.2 Plant detail-w slippage'!N596</f>
        <v>0</v>
      </c>
    </row>
    <row r="16" spans="1:17" x14ac:dyDescent="0.2">
      <c r="A16" s="48">
        <f t="shared" si="0"/>
        <v>4</v>
      </c>
      <c r="C16" s="123">
        <v>303.2</v>
      </c>
      <c r="E16" s="110"/>
      <c r="F16" s="163">
        <v>0</v>
      </c>
      <c r="G16" s="163">
        <v>0</v>
      </c>
      <c r="H16" s="163">
        <v>0</v>
      </c>
      <c r="I16" s="163">
        <v>0</v>
      </c>
      <c r="J16" s="163">
        <v>0</v>
      </c>
      <c r="K16" s="163">
        <v>0</v>
      </c>
      <c r="L16" s="301">
        <f>'WPB2.2 Plant detail-w slippage'!N67</f>
        <v>0</v>
      </c>
      <c r="M16" s="301">
        <f>'WPB2.2 Plant detail-w slippage'!N173</f>
        <v>0</v>
      </c>
      <c r="N16" s="301">
        <f>'WPB2.2 Plant detail-w slippage'!N279</f>
        <v>0</v>
      </c>
      <c r="O16" s="301">
        <f>'WPB2.2 Plant detail-w slippage'!N385</f>
        <v>0</v>
      </c>
      <c r="P16" s="301">
        <f>'WPB2.2 Plant detail-w slippage'!N491</f>
        <v>0</v>
      </c>
      <c r="Q16" s="301">
        <f>'WPB2.2 Plant detail-w slippage'!N597</f>
        <v>0</v>
      </c>
    </row>
    <row r="17" spans="1:17" x14ac:dyDescent="0.2">
      <c r="A17" s="48">
        <f t="shared" si="0"/>
        <v>5</v>
      </c>
      <c r="C17" s="123">
        <v>303.3</v>
      </c>
      <c r="E17" s="110"/>
      <c r="F17" s="281">
        <v>1827487.11</v>
      </c>
      <c r="G17" s="281">
        <v>1893422.44</v>
      </c>
      <c r="H17" s="281">
        <v>1959573.27</v>
      </c>
      <c r="I17" s="281">
        <v>2027215</v>
      </c>
      <c r="J17" s="281">
        <v>2094396.51</v>
      </c>
      <c r="K17" s="281">
        <v>2150290.4</v>
      </c>
      <c r="L17" s="302">
        <f>'WPB2.2 Plant detail-w slippage'!N68</f>
        <v>2216059.5934239561</v>
      </c>
      <c r="M17" s="302">
        <f>'WPB2.2 Plant detail-w slippage'!N174</f>
        <v>2283054.7868479122</v>
      </c>
      <c r="N17" s="302">
        <f>'WPB2.2 Plant detail-w slippage'!N280</f>
        <v>2352193.9802718684</v>
      </c>
      <c r="O17" s="302">
        <f>'WPB2.2 Plant detail-w slippage'!N386</f>
        <v>2423599.1736958246</v>
      </c>
      <c r="P17" s="302">
        <f>'WPB2.2 Plant detail-w slippage'!N492</f>
        <v>2496746.3671197807</v>
      </c>
      <c r="Q17" s="302">
        <f>'WPB2.2 Plant detail-w slippage'!N598</f>
        <v>2572404.5605437369</v>
      </c>
    </row>
    <row r="18" spans="1:17" x14ac:dyDescent="0.2">
      <c r="A18" s="48">
        <f t="shared" si="0"/>
        <v>6</v>
      </c>
      <c r="C18" s="52" t="s">
        <v>959</v>
      </c>
      <c r="F18" s="162">
        <f t="shared" ref="F18:Q18" si="1">SUM(F13:F17)</f>
        <v>1872253.9100000001</v>
      </c>
      <c r="G18" s="162">
        <f t="shared" si="1"/>
        <v>1938395.77</v>
      </c>
      <c r="H18" s="162">
        <f t="shared" si="1"/>
        <v>2004753.1300000001</v>
      </c>
      <c r="I18" s="162">
        <f t="shared" si="1"/>
        <v>2072601.39</v>
      </c>
      <c r="J18" s="162">
        <f t="shared" si="1"/>
        <v>2139989.42</v>
      </c>
      <c r="K18" s="162">
        <f t="shared" si="1"/>
        <v>2196089.83</v>
      </c>
      <c r="L18" s="51">
        <f t="shared" si="1"/>
        <v>2262065.5434239563</v>
      </c>
      <c r="M18" s="51">
        <f t="shared" si="1"/>
        <v>2329267.2568479124</v>
      </c>
      <c r="N18" s="51">
        <f t="shared" si="1"/>
        <v>2398612.9702718686</v>
      </c>
      <c r="O18" s="51">
        <f t="shared" si="1"/>
        <v>2470224.6836958244</v>
      </c>
      <c r="P18" s="51">
        <f t="shared" si="1"/>
        <v>2543578.3971197805</v>
      </c>
      <c r="Q18" s="51">
        <f t="shared" si="1"/>
        <v>2619443.1105437367</v>
      </c>
    </row>
    <row r="19" spans="1:17" x14ac:dyDescent="0.2">
      <c r="A19" s="48"/>
      <c r="C19" s="123"/>
      <c r="E19" s="49"/>
      <c r="F19" s="162"/>
      <c r="G19" s="177"/>
      <c r="H19" s="177"/>
      <c r="I19" s="180"/>
      <c r="J19" s="177"/>
      <c r="K19" s="177"/>
      <c r="L19" s="107"/>
      <c r="M19" s="108"/>
      <c r="N19" s="107"/>
      <c r="O19" s="107"/>
    </row>
    <row r="20" spans="1:17" x14ac:dyDescent="0.2">
      <c r="A20" s="48"/>
      <c r="C20" s="123"/>
      <c r="E20" s="109"/>
      <c r="F20" s="162"/>
      <c r="G20" s="177"/>
      <c r="H20" s="177"/>
      <c r="I20" s="180"/>
      <c r="J20" s="177"/>
      <c r="K20" s="177"/>
      <c r="L20" s="107"/>
      <c r="M20" s="108"/>
      <c r="N20" s="107"/>
      <c r="O20" s="107"/>
    </row>
    <row r="21" spans="1:17" x14ac:dyDescent="0.2">
      <c r="A21" s="48">
        <f>A18+1</f>
        <v>7</v>
      </c>
      <c r="C21" s="123">
        <v>304.10000000000002</v>
      </c>
      <c r="E21" s="110"/>
      <c r="F21" s="281">
        <v>0</v>
      </c>
      <c r="G21" s="281">
        <v>0</v>
      </c>
      <c r="H21" s="281">
        <v>0</v>
      </c>
      <c r="I21" s="281">
        <v>0</v>
      </c>
      <c r="J21" s="281">
        <v>0</v>
      </c>
      <c r="K21" s="281">
        <v>0</v>
      </c>
      <c r="L21" s="302">
        <f>'WPB2.2 Plant detail-w slippage'!N72</f>
        <v>0</v>
      </c>
      <c r="M21" s="302">
        <f>'WPB2.2 Plant detail-w slippage'!N178</f>
        <v>0</v>
      </c>
      <c r="N21" s="302">
        <f>'WPB2.2 Plant detail-w slippage'!N284</f>
        <v>0</v>
      </c>
      <c r="O21" s="302">
        <f>'Plant input detail '!N392</f>
        <v>0</v>
      </c>
      <c r="P21" s="302">
        <f>'WPB2.2 Plant detail-w slippage'!N496</f>
        <v>0</v>
      </c>
      <c r="Q21" s="302">
        <f>'WPB2.2 Plant detail-w slippage'!N602</f>
        <v>0</v>
      </c>
    </row>
    <row r="22" spans="1:17" x14ac:dyDescent="0.2">
      <c r="A22" s="48">
        <f>A21+1</f>
        <v>8</v>
      </c>
      <c r="C22" s="52" t="s">
        <v>679</v>
      </c>
      <c r="F22" s="162">
        <f t="shared" ref="F22:Q22" si="2">SUM(F21:F21)</f>
        <v>0</v>
      </c>
      <c r="G22" s="162">
        <f t="shared" si="2"/>
        <v>0</v>
      </c>
      <c r="H22" s="162">
        <f t="shared" si="2"/>
        <v>0</v>
      </c>
      <c r="I22" s="162">
        <f t="shared" si="2"/>
        <v>0</v>
      </c>
      <c r="J22" s="162">
        <f t="shared" si="2"/>
        <v>0</v>
      </c>
      <c r="K22" s="162">
        <f t="shared" si="2"/>
        <v>0</v>
      </c>
      <c r="L22" s="51">
        <f t="shared" si="2"/>
        <v>0</v>
      </c>
      <c r="M22" s="51">
        <f t="shared" si="2"/>
        <v>0</v>
      </c>
      <c r="N22" s="51">
        <f t="shared" si="2"/>
        <v>0</v>
      </c>
      <c r="O22" s="51">
        <f t="shared" si="2"/>
        <v>0</v>
      </c>
      <c r="P22" s="51">
        <f t="shared" si="2"/>
        <v>0</v>
      </c>
      <c r="Q22" s="51">
        <f t="shared" si="2"/>
        <v>0</v>
      </c>
    </row>
    <row r="23" spans="1:17" x14ac:dyDescent="0.2">
      <c r="A23" s="48"/>
      <c r="C23" s="123"/>
      <c r="E23" s="49"/>
      <c r="F23" s="162"/>
      <c r="G23" s="177"/>
      <c r="H23" s="177"/>
      <c r="I23" s="180"/>
      <c r="J23" s="177"/>
      <c r="K23" s="177"/>
      <c r="L23" s="107"/>
      <c r="M23" s="108"/>
      <c r="N23" s="107"/>
      <c r="O23" s="107"/>
    </row>
    <row r="24" spans="1:17" x14ac:dyDescent="0.2">
      <c r="A24" s="48">
        <f>A22+1</f>
        <v>9</v>
      </c>
      <c r="C24" s="123"/>
      <c r="E24" s="50"/>
      <c r="F24" s="162"/>
      <c r="G24" s="177"/>
      <c r="H24" s="177"/>
      <c r="I24" s="180"/>
      <c r="J24" s="177"/>
      <c r="K24" s="177"/>
      <c r="L24" s="107"/>
      <c r="M24" s="108"/>
      <c r="N24" s="107"/>
      <c r="O24" s="107"/>
    </row>
    <row r="25" spans="1:17" x14ac:dyDescent="0.2">
      <c r="A25" s="48">
        <f t="shared" ref="A25:A41" si="3">A24+1</f>
        <v>10</v>
      </c>
      <c r="C25" s="123">
        <v>374.1</v>
      </c>
      <c r="E25" s="52"/>
      <c r="F25" s="163">
        <v>0</v>
      </c>
      <c r="G25" s="163">
        <v>0</v>
      </c>
      <c r="H25" s="163">
        <v>0</v>
      </c>
      <c r="I25" s="163">
        <v>0</v>
      </c>
      <c r="J25" s="163">
        <v>0</v>
      </c>
      <c r="K25" s="163">
        <v>0</v>
      </c>
      <c r="L25" s="301">
        <f>'WPB2.2 Plant detail-w slippage'!N76</f>
        <v>0</v>
      </c>
      <c r="M25" s="301">
        <f>'WPB2.2 Plant detail-w slippage'!N182</f>
        <v>0</v>
      </c>
      <c r="N25" s="301">
        <f>'WPB2.2 Plant detail-w slippage'!N288</f>
        <v>0</v>
      </c>
      <c r="O25" s="301">
        <f>'WPB2.2 Plant detail-w slippage'!N394</f>
        <v>0</v>
      </c>
      <c r="P25" s="301">
        <f>'WPB2.2 Plant detail-w slippage'!N500</f>
        <v>0</v>
      </c>
      <c r="Q25" s="301">
        <f>'WPB2.2 Plant detail-w slippage'!N606</f>
        <v>0</v>
      </c>
    </row>
    <row r="26" spans="1:17" x14ac:dyDescent="0.2">
      <c r="A26" s="48">
        <f t="shared" si="3"/>
        <v>11</v>
      </c>
      <c r="C26" s="123">
        <v>374.2</v>
      </c>
      <c r="E26" s="52"/>
      <c r="F26" s="163">
        <v>-523.13</v>
      </c>
      <c r="G26" s="163">
        <v>-523.13</v>
      </c>
      <c r="H26" s="163">
        <v>-523.13</v>
      </c>
      <c r="I26" s="163">
        <v>-523.13</v>
      </c>
      <c r="J26" s="163">
        <v>-523.13</v>
      </c>
      <c r="K26" s="163">
        <v>-523.13</v>
      </c>
      <c r="L26" s="301">
        <f>'WPB2.2 Plant detail-w slippage'!N77</f>
        <v>-523.13</v>
      </c>
      <c r="M26" s="301">
        <f>'WPB2.2 Plant detail-w slippage'!N183</f>
        <v>-523.13</v>
      </c>
      <c r="N26" s="301">
        <f>'WPB2.2 Plant detail-w slippage'!N289</f>
        <v>-523.13</v>
      </c>
      <c r="O26" s="301">
        <f>'WPB2.2 Plant detail-w slippage'!N395</f>
        <v>-523.13</v>
      </c>
      <c r="P26" s="301">
        <f>'WPB2.2 Plant detail-w slippage'!N501</f>
        <v>-523.13</v>
      </c>
      <c r="Q26" s="301">
        <f>'WPB2.2 Plant detail-w slippage'!N607</f>
        <v>-523.13</v>
      </c>
    </row>
    <row r="27" spans="1:17" x14ac:dyDescent="0.2">
      <c r="A27" s="48">
        <f t="shared" si="3"/>
        <v>12</v>
      </c>
      <c r="C27" s="123">
        <v>374.4</v>
      </c>
      <c r="E27" s="52"/>
      <c r="F27" s="163">
        <v>166237.56</v>
      </c>
      <c r="G27" s="163">
        <v>167080.72</v>
      </c>
      <c r="H27" s="163">
        <v>167923.88</v>
      </c>
      <c r="I27" s="163">
        <v>168767.04</v>
      </c>
      <c r="J27" s="163">
        <v>169610.2</v>
      </c>
      <c r="K27" s="163">
        <v>170453.36</v>
      </c>
      <c r="L27" s="301">
        <f>'WPB2.2 Plant detail-w slippage'!N78</f>
        <v>171296.36</v>
      </c>
      <c r="M27" s="301">
        <f>'WPB2.2 Plant detail-w slippage'!N184</f>
        <v>172139.36</v>
      </c>
      <c r="N27" s="301">
        <f>'WPB2.2 Plant detail-w slippage'!N290</f>
        <v>172982.36</v>
      </c>
      <c r="O27" s="301">
        <f>'WPB2.2 Plant detail-w slippage'!N396</f>
        <v>173825.36</v>
      </c>
      <c r="P27" s="301">
        <f>'WPB2.2 Plant detail-w slippage'!N502</f>
        <v>174668.36</v>
      </c>
      <c r="Q27" s="301">
        <f>'WPB2.2 Plant detail-w slippage'!N608</f>
        <v>175511.36</v>
      </c>
    </row>
    <row r="28" spans="1:17" x14ac:dyDescent="0.2">
      <c r="A28" s="48">
        <f t="shared" si="3"/>
        <v>13</v>
      </c>
      <c r="C28" s="123">
        <v>374.5</v>
      </c>
      <c r="E28" s="52"/>
      <c r="F28" s="163">
        <v>892975.13</v>
      </c>
      <c r="G28" s="163">
        <v>895686.15</v>
      </c>
      <c r="H28" s="163">
        <v>898397.17</v>
      </c>
      <c r="I28" s="163">
        <v>901108.19</v>
      </c>
      <c r="J28" s="163">
        <v>903819.21</v>
      </c>
      <c r="K28" s="163">
        <v>906530.23</v>
      </c>
      <c r="L28" s="301">
        <f>'WPB2.2 Plant detail-w slippage'!N79</f>
        <v>909223.23</v>
      </c>
      <c r="M28" s="301">
        <f>'WPB2.2 Plant detail-w slippage'!N185</f>
        <v>908811.23</v>
      </c>
      <c r="N28" s="301">
        <f>'WPB2.2 Plant detail-w slippage'!N291</f>
        <v>911512.23</v>
      </c>
      <c r="O28" s="301">
        <f>'WPB2.2 Plant detail-w slippage'!N397</f>
        <v>914103.23</v>
      </c>
      <c r="P28" s="301">
        <f>'WPB2.2 Plant detail-w slippage'!N503</f>
        <v>916097.23</v>
      </c>
      <c r="Q28" s="301">
        <f>'WPB2.2 Plant detail-w slippage'!N609</f>
        <v>918640.23</v>
      </c>
    </row>
    <row r="29" spans="1:17" x14ac:dyDescent="0.2">
      <c r="A29" s="48">
        <f t="shared" si="3"/>
        <v>14</v>
      </c>
      <c r="C29" s="123">
        <v>375.2</v>
      </c>
      <c r="E29" s="52"/>
      <c r="F29" s="163">
        <v>1982.83</v>
      </c>
      <c r="G29" s="163">
        <v>1986.3</v>
      </c>
      <c r="H29" s="163">
        <v>1989.77</v>
      </c>
      <c r="I29" s="163">
        <v>1993.24</v>
      </c>
      <c r="J29" s="163">
        <v>1996.71</v>
      </c>
      <c r="K29" s="163">
        <v>1997.32</v>
      </c>
      <c r="L29" s="301">
        <f>'WPB2.2 Plant detail-w slippage'!N80</f>
        <v>2000.32</v>
      </c>
      <c r="M29" s="301">
        <f>'WPB2.2 Plant detail-w slippage'!N186</f>
        <v>2003.32</v>
      </c>
      <c r="N29" s="301">
        <f>'WPB2.2 Plant detail-w slippage'!N292</f>
        <v>2006.32</v>
      </c>
      <c r="O29" s="301">
        <f>'WPB2.2 Plant detail-w slippage'!N398</f>
        <v>2009.32</v>
      </c>
      <c r="P29" s="301">
        <f>'WPB2.2 Plant detail-w slippage'!N504</f>
        <v>2012.32</v>
      </c>
      <c r="Q29" s="301">
        <f>'WPB2.2 Plant detail-w slippage'!N610</f>
        <v>2015.32</v>
      </c>
    </row>
    <row r="30" spans="1:17" x14ac:dyDescent="0.2">
      <c r="A30" s="48">
        <f t="shared" si="3"/>
        <v>15</v>
      </c>
      <c r="C30" s="123">
        <v>375.3</v>
      </c>
      <c r="E30" s="52"/>
      <c r="F30" s="163">
        <v>-77.66</v>
      </c>
      <c r="G30" s="163">
        <v>-77.66</v>
      </c>
      <c r="H30" s="163">
        <v>-77.66</v>
      </c>
      <c r="I30" s="163">
        <v>-77.66</v>
      </c>
      <c r="J30" s="163">
        <v>-77.66</v>
      </c>
      <c r="K30" s="163">
        <v>-77.66</v>
      </c>
      <c r="L30" s="301">
        <f>'WPB2.2 Plant detail-w slippage'!N81</f>
        <v>-77.66</v>
      </c>
      <c r="M30" s="301">
        <f>'WPB2.2 Plant detail-w slippage'!N187</f>
        <v>-77.66</v>
      </c>
      <c r="N30" s="301">
        <f>'WPB2.2 Plant detail-w slippage'!N293</f>
        <v>-77.66</v>
      </c>
      <c r="O30" s="301">
        <f>'WPB2.2 Plant detail-w slippage'!N399</f>
        <v>-77.66</v>
      </c>
      <c r="P30" s="301">
        <f>'WPB2.2 Plant detail-w slippage'!N505</f>
        <v>-77.66</v>
      </c>
      <c r="Q30" s="301">
        <f>'WPB2.2 Plant detail-w slippage'!N611</f>
        <v>-77.66</v>
      </c>
    </row>
    <row r="31" spans="1:17" x14ac:dyDescent="0.2">
      <c r="A31" s="48">
        <f t="shared" si="3"/>
        <v>16</v>
      </c>
      <c r="C31" s="123">
        <v>375.4</v>
      </c>
      <c r="E31" s="52"/>
      <c r="F31" s="163">
        <v>482490.64</v>
      </c>
      <c r="G31" s="163">
        <v>485508.36</v>
      </c>
      <c r="H31" s="163">
        <v>488529.74</v>
      </c>
      <c r="I31" s="163">
        <v>486300.01</v>
      </c>
      <c r="J31" s="163">
        <v>489348.93</v>
      </c>
      <c r="K31" s="163">
        <v>486466.37</v>
      </c>
      <c r="L31" s="301">
        <f>'WPB2.2 Plant detail-w slippage'!N82</f>
        <v>489499.37</v>
      </c>
      <c r="M31" s="301">
        <f>'WPB2.2 Plant detail-w slippage'!N188</f>
        <v>492532.37</v>
      </c>
      <c r="N31" s="301">
        <f>'WPB2.2 Plant detail-w slippage'!N294</f>
        <v>495569.37</v>
      </c>
      <c r="O31" s="301">
        <f>'WPB2.2 Plant detail-w slippage'!N400</f>
        <v>498086.37</v>
      </c>
      <c r="P31" s="301">
        <f>'WPB2.2 Plant detail-w slippage'!N506</f>
        <v>500900.37</v>
      </c>
      <c r="Q31" s="301">
        <f>'WPB2.2 Plant detail-w slippage'!N612</f>
        <v>497365.37</v>
      </c>
    </row>
    <row r="32" spans="1:17" x14ac:dyDescent="0.2">
      <c r="A32" s="48">
        <f t="shared" si="3"/>
        <v>17</v>
      </c>
      <c r="C32" s="123">
        <v>375.6</v>
      </c>
      <c r="E32" s="52"/>
      <c r="F32" s="163">
        <v>0.02</v>
      </c>
      <c r="G32" s="163">
        <v>0.02</v>
      </c>
      <c r="H32" s="163">
        <v>0.02</v>
      </c>
      <c r="I32" s="163">
        <v>0.02</v>
      </c>
      <c r="J32" s="163">
        <v>0.02</v>
      </c>
      <c r="K32" s="163">
        <v>0.02</v>
      </c>
      <c r="L32" s="301">
        <f>'WPB2.2 Plant detail-w slippage'!N83</f>
        <v>0.02</v>
      </c>
      <c r="M32" s="301">
        <f>'WPB2.2 Plant detail-w slippage'!N189</f>
        <v>0.02</v>
      </c>
      <c r="N32" s="301">
        <f>'WPB2.2 Plant detail-w slippage'!N295</f>
        <v>0.02</v>
      </c>
      <c r="O32" s="301">
        <f>'WPB2.2 Plant detail-w slippage'!N401</f>
        <v>0.02</v>
      </c>
      <c r="P32" s="301">
        <f>'WPB2.2 Plant detail-w slippage'!N507</f>
        <v>0.02</v>
      </c>
      <c r="Q32" s="301">
        <f>'WPB2.2 Plant detail-w slippage'!N613</f>
        <v>0.02</v>
      </c>
    </row>
    <row r="33" spans="1:23" x14ac:dyDescent="0.2">
      <c r="A33" s="48">
        <f t="shared" si="3"/>
        <v>18</v>
      </c>
      <c r="C33" s="123">
        <v>375.7</v>
      </c>
      <c r="E33" s="52"/>
      <c r="F33" s="163">
        <v>3156248.94</v>
      </c>
      <c r="G33" s="163">
        <v>3168548.47</v>
      </c>
      <c r="H33" s="163">
        <v>3180848</v>
      </c>
      <c r="I33" s="163">
        <v>3193606.06</v>
      </c>
      <c r="J33" s="163">
        <v>3206831.92</v>
      </c>
      <c r="K33" s="163">
        <v>3220067.06</v>
      </c>
      <c r="L33" s="301">
        <f>'WPB2.2 Plant detail-w slippage'!N84</f>
        <v>3233302.06</v>
      </c>
      <c r="M33" s="301">
        <f>'WPB2.2 Plant detail-w slippage'!N190</f>
        <v>3246537.06</v>
      </c>
      <c r="N33" s="301">
        <f>'WPB2.2 Plant detail-w slippage'!N296</f>
        <v>3259772.06</v>
      </c>
      <c r="O33" s="301">
        <f>'WPB2.2 Plant detail-w slippage'!N402</f>
        <v>3271332.06</v>
      </c>
      <c r="P33" s="301">
        <f>'WPB2.2 Plant detail-w slippage'!N508</f>
        <v>3284593.06</v>
      </c>
      <c r="Q33" s="301">
        <f>'WPB2.2 Plant detail-w slippage'!N614</f>
        <v>3290740.06</v>
      </c>
    </row>
    <row r="34" spans="1:23" x14ac:dyDescent="0.2">
      <c r="A34" s="48">
        <f t="shared" si="3"/>
        <v>19</v>
      </c>
      <c r="C34" s="123">
        <v>375.71</v>
      </c>
      <c r="E34" s="52"/>
      <c r="F34" s="163">
        <v>130414.05</v>
      </c>
      <c r="G34" s="163">
        <v>135299.44</v>
      </c>
      <c r="H34" s="163">
        <v>140184.82</v>
      </c>
      <c r="I34" s="163">
        <v>145131.94</v>
      </c>
      <c r="J34" s="163">
        <v>150143.5</v>
      </c>
      <c r="K34" s="163">
        <v>155155.06</v>
      </c>
      <c r="L34" s="301">
        <f>'WPB2.2 Plant detail-w slippage'!N85</f>
        <v>157909.10947368422</v>
      </c>
      <c r="M34" s="301">
        <f>'WPB2.2 Plant detail-w slippage'!N191</f>
        <v>160663.15894736844</v>
      </c>
      <c r="N34" s="301">
        <f>'WPB2.2 Plant detail-w slippage'!N297</f>
        <v>163417.20842105267</v>
      </c>
      <c r="O34" s="301">
        <f>'WPB2.2 Plant detail-w slippage'!N403</f>
        <v>166171.25789473689</v>
      </c>
      <c r="P34" s="301">
        <f>'WPB2.2 Plant detail-w slippage'!N509</f>
        <v>168925.30736842111</v>
      </c>
      <c r="Q34" s="301">
        <f>'WPB2.2 Plant detail-w slippage'!N615</f>
        <v>171679.35684210534</v>
      </c>
      <c r="R34" s="116"/>
      <c r="S34" s="116"/>
      <c r="T34" s="116"/>
      <c r="U34" s="116"/>
      <c r="V34" s="116"/>
      <c r="W34" s="116"/>
    </row>
    <row r="35" spans="1:23" x14ac:dyDescent="0.2">
      <c r="A35" s="48">
        <f t="shared" si="3"/>
        <v>20</v>
      </c>
      <c r="C35" s="123">
        <v>375.8</v>
      </c>
      <c r="E35" s="52"/>
      <c r="F35" s="163">
        <v>0</v>
      </c>
      <c r="G35" s="163">
        <v>0</v>
      </c>
      <c r="H35" s="163">
        <v>0</v>
      </c>
      <c r="I35" s="163">
        <v>0</v>
      </c>
      <c r="J35" s="163">
        <v>0</v>
      </c>
      <c r="K35" s="163">
        <v>0</v>
      </c>
      <c r="L35" s="301">
        <f>'WPB2.2 Plant detail-w slippage'!N86</f>
        <v>0</v>
      </c>
      <c r="M35" s="301">
        <f>'WPB2.2 Plant detail-w slippage'!N192</f>
        <v>0</v>
      </c>
      <c r="N35" s="301">
        <f>'WPB2.2 Plant detail-w slippage'!N298</f>
        <v>0</v>
      </c>
      <c r="O35" s="301">
        <f>'WPB2.2 Plant detail-w slippage'!N404</f>
        <v>0</v>
      </c>
      <c r="P35" s="301">
        <f>'WPB2.2 Plant detail-w slippage'!N510</f>
        <v>0</v>
      </c>
      <c r="Q35" s="301">
        <f>'WPB2.2 Plant detail-w slippage'!N616</f>
        <v>0</v>
      </c>
    </row>
    <row r="36" spans="1:23" s="161" customFormat="1" x14ac:dyDescent="0.2">
      <c r="A36" s="1727">
        <f t="shared" si="3"/>
        <v>21</v>
      </c>
      <c r="C36" s="1728">
        <v>376</v>
      </c>
      <c r="E36" s="178"/>
      <c r="F36" s="163">
        <v>55879160.390000001</v>
      </c>
      <c r="G36" s="163">
        <v>56061221.049999997</v>
      </c>
      <c r="H36" s="163">
        <v>56194485.100000001</v>
      </c>
      <c r="I36" s="163">
        <v>56331198.009999998</v>
      </c>
      <c r="J36" s="163">
        <v>56763773.07</v>
      </c>
      <c r="K36" s="163">
        <v>56755635.609999999</v>
      </c>
      <c r="L36" s="301">
        <f>SUM('WPB2.2 Plant detail-w slippage'!N88:N92)</f>
        <v>56758463.609999999</v>
      </c>
      <c r="M36" s="301">
        <f>SUM('WPB2.2 Plant detail-w slippage'!N194:N198)</f>
        <v>56619490.609999999</v>
      </c>
      <c r="N36" s="301">
        <f>SUM('WPB2.2 Plant detail-w slippage'!N300:N304)</f>
        <v>56593243.609999999</v>
      </c>
      <c r="O36" s="301">
        <f>SUM('WPB2.2 Plant detail-w slippage'!N406:N410)</f>
        <v>56644196.609999999</v>
      </c>
      <c r="P36" s="301">
        <f>SUM('WPB2.2 Plant detail-w slippage'!N512:N516)</f>
        <v>56769039.609999999</v>
      </c>
      <c r="Q36" s="301">
        <f>SUM('WPB2.2 Plant detail-w slippage'!N618:N622)</f>
        <v>56903860.609999999</v>
      </c>
    </row>
    <row r="37" spans="1:23" x14ac:dyDescent="0.2">
      <c r="A37" s="48">
        <f t="shared" si="3"/>
        <v>22</v>
      </c>
      <c r="C37" s="123">
        <v>378.1</v>
      </c>
      <c r="E37" s="52"/>
      <c r="F37" s="163">
        <v>348239.61</v>
      </c>
      <c r="G37" s="163">
        <v>349250.21</v>
      </c>
      <c r="H37" s="163">
        <v>350265.61</v>
      </c>
      <c r="I37" s="163">
        <v>351281.01</v>
      </c>
      <c r="J37" s="163">
        <v>352296.41</v>
      </c>
      <c r="K37" s="163">
        <v>353311.81</v>
      </c>
      <c r="L37" s="301">
        <f>'WPB2.2 Plant detail-w slippage'!N93</f>
        <v>354326.81</v>
      </c>
      <c r="M37" s="301">
        <f>'WPB2.2 Plant detail-w slippage'!N199</f>
        <v>355341.81</v>
      </c>
      <c r="N37" s="301">
        <f>'WPB2.2 Plant detail-w slippage'!N305</f>
        <v>356356.81</v>
      </c>
      <c r="O37" s="301">
        <f>'WPB2.2 Plant detail-w slippage'!N411</f>
        <v>357371.81</v>
      </c>
      <c r="P37" s="301">
        <f>'WPB2.2 Plant detail-w slippage'!N517</f>
        <v>358386.81</v>
      </c>
      <c r="Q37" s="301">
        <f>'WPB2.2 Plant detail-w slippage'!N623</f>
        <v>359401.81</v>
      </c>
    </row>
    <row r="38" spans="1:23" x14ac:dyDescent="0.2">
      <c r="A38" s="48">
        <f t="shared" si="3"/>
        <v>23</v>
      </c>
      <c r="C38" s="123">
        <v>378.2</v>
      </c>
      <c r="E38" s="52"/>
      <c r="F38" s="163">
        <v>3198198.47</v>
      </c>
      <c r="G38" s="163">
        <v>3189645.67</v>
      </c>
      <c r="H38" s="163">
        <v>3196503.93</v>
      </c>
      <c r="I38" s="163">
        <v>3190544.1</v>
      </c>
      <c r="J38" s="163">
        <v>3203221.64</v>
      </c>
      <c r="K38" s="163">
        <v>3221847.91</v>
      </c>
      <c r="L38" s="301">
        <f>'WPB2.2 Plant detail-w slippage'!N94</f>
        <v>3238723.91</v>
      </c>
      <c r="M38" s="301">
        <f>'WPB2.2 Plant detail-w slippage'!N200</f>
        <v>3254334.91</v>
      </c>
      <c r="N38" s="301">
        <f>'WPB2.2 Plant detail-w slippage'!N306</f>
        <v>3273274.91</v>
      </c>
      <c r="O38" s="301">
        <f>'WPB2.2 Plant detail-w slippage'!N412</f>
        <v>3290212.91</v>
      </c>
      <c r="P38" s="301">
        <f>'WPB2.2 Plant detail-w slippage'!N518</f>
        <v>3307074.91</v>
      </c>
      <c r="Q38" s="301">
        <f>'WPB2.2 Plant detail-w slippage'!N624</f>
        <v>3319169.91</v>
      </c>
    </row>
    <row r="39" spans="1:23" x14ac:dyDescent="0.2">
      <c r="A39" s="48">
        <f t="shared" si="3"/>
        <v>24</v>
      </c>
      <c r="C39" s="123">
        <v>378.3</v>
      </c>
      <c r="E39" s="52"/>
      <c r="F39" s="163">
        <v>34543.089999999997</v>
      </c>
      <c r="G39" s="163">
        <v>34632.080000000002</v>
      </c>
      <c r="H39" s="163">
        <v>34721.07</v>
      </c>
      <c r="I39" s="163">
        <v>34810.06</v>
      </c>
      <c r="J39" s="163">
        <v>34899.050000000003</v>
      </c>
      <c r="K39" s="163">
        <v>34988.04</v>
      </c>
      <c r="L39" s="301">
        <f>'WPB2.2 Plant detail-w slippage'!N95</f>
        <v>35077.040000000001</v>
      </c>
      <c r="M39" s="301">
        <f>'WPB2.2 Plant detail-w slippage'!N201</f>
        <v>35166.04</v>
      </c>
      <c r="N39" s="301">
        <f>'WPB2.2 Plant detail-w slippage'!N307</f>
        <v>35255.040000000001</v>
      </c>
      <c r="O39" s="301">
        <f>'WPB2.2 Plant detail-w slippage'!N413</f>
        <v>35344.04</v>
      </c>
      <c r="P39" s="301">
        <f>'WPB2.2 Plant detail-w slippage'!N519</f>
        <v>35433.040000000001</v>
      </c>
      <c r="Q39" s="301">
        <f>'WPB2.2 Plant detail-w slippage'!N625</f>
        <v>35522.04</v>
      </c>
    </row>
    <row r="40" spans="1:23" x14ac:dyDescent="0.2">
      <c r="A40" s="48">
        <f t="shared" si="3"/>
        <v>25</v>
      </c>
      <c r="C40" s="123">
        <v>379.1</v>
      </c>
      <c r="E40" s="52"/>
      <c r="F40" s="163">
        <v>267730.57</v>
      </c>
      <c r="G40" s="163">
        <v>267730.57</v>
      </c>
      <c r="H40" s="163">
        <v>267730.57</v>
      </c>
      <c r="I40" s="163">
        <v>267730.57</v>
      </c>
      <c r="J40" s="163">
        <v>267730.57</v>
      </c>
      <c r="K40" s="163">
        <v>267730.57</v>
      </c>
      <c r="L40" s="301">
        <f>'WPB2.2 Plant detail-w slippage'!N96</f>
        <v>267730.57</v>
      </c>
      <c r="M40" s="301">
        <f>'WPB2.2 Plant detail-w slippage'!N202</f>
        <v>267730.57</v>
      </c>
      <c r="N40" s="301">
        <f>'WPB2.2 Plant detail-w slippage'!N308</f>
        <v>267730.57</v>
      </c>
      <c r="O40" s="301">
        <f>'WPB2.2 Plant detail-w slippage'!N414</f>
        <v>267730.57</v>
      </c>
      <c r="P40" s="301">
        <f>'WPB2.2 Plant detail-w slippage'!N520</f>
        <v>267730.57</v>
      </c>
      <c r="Q40" s="301">
        <f>'WPB2.2 Plant detail-w slippage'!N626</f>
        <v>267730.57</v>
      </c>
    </row>
    <row r="41" spans="1:23" x14ac:dyDescent="0.2">
      <c r="A41" s="48">
        <f t="shared" si="3"/>
        <v>26</v>
      </c>
      <c r="C41" s="123">
        <v>380</v>
      </c>
      <c r="E41" s="52"/>
      <c r="F41" s="163">
        <v>56997363.719999999</v>
      </c>
      <c r="G41" s="163">
        <v>57154579.809999995</v>
      </c>
      <c r="H41" s="163">
        <v>57236825.439999998</v>
      </c>
      <c r="I41" s="163">
        <v>57280572.239999995</v>
      </c>
      <c r="J41" s="163">
        <v>57431428.580000006</v>
      </c>
      <c r="K41" s="163">
        <v>57575962.520000003</v>
      </c>
      <c r="L41" s="301">
        <f>'WPB2.2 Plant detail-w slippage'!N97</f>
        <v>57694928.520000003</v>
      </c>
      <c r="M41" s="301">
        <f>'WPB2.2 Plant detail-w slippage'!N203</f>
        <v>57787649.520000003</v>
      </c>
      <c r="N41" s="301">
        <f>'WPB2.2 Plant detail-w slippage'!N309</f>
        <v>57898553.520000003</v>
      </c>
      <c r="O41" s="301">
        <f>'WPB2.2 Plant detail-w slippage'!N415</f>
        <v>57973056.520000003</v>
      </c>
      <c r="P41" s="301">
        <f>'WPB2.2 Plant detail-w slippage'!N521</f>
        <v>58098271.520000003</v>
      </c>
      <c r="Q41" s="301">
        <f>'WPB2.2 Plant detail-w slippage'!N627</f>
        <v>58233861.520000003</v>
      </c>
    </row>
    <row r="42" spans="1:23" x14ac:dyDescent="0.2">
      <c r="A42" s="48"/>
      <c r="C42" s="123"/>
      <c r="E42" s="52"/>
      <c r="F42" s="179"/>
      <c r="G42" s="284"/>
      <c r="H42" s="284"/>
      <c r="I42" s="284"/>
      <c r="J42" s="284"/>
      <c r="K42" s="284"/>
      <c r="L42" s="107"/>
      <c r="M42" s="107"/>
      <c r="N42" s="107"/>
      <c r="O42" s="107"/>
    </row>
    <row r="43" spans="1:23" x14ac:dyDescent="0.2">
      <c r="A43" s="2064" t="str">
        <f>co</f>
        <v>COLUMBIA GAS OF KENTUCKY, INC.</v>
      </c>
      <c r="B43" s="2064"/>
      <c r="C43" s="2064"/>
      <c r="D43" s="2064"/>
      <c r="E43" s="2064"/>
      <c r="F43" s="2064"/>
      <c r="G43" s="2064"/>
      <c r="H43" s="2064"/>
      <c r="I43" s="2064"/>
      <c r="J43" s="2064"/>
      <c r="K43" s="2064"/>
      <c r="L43" s="2064"/>
      <c r="M43" s="2064"/>
      <c r="N43" s="2064"/>
      <c r="O43" s="2064"/>
      <c r="P43" s="2064"/>
      <c r="Q43" s="2064"/>
    </row>
    <row r="44" spans="1:23" x14ac:dyDescent="0.2">
      <c r="A44" s="2064" t="str">
        <f>case</f>
        <v>CASE NO. 2016 - 00162</v>
      </c>
      <c r="B44" s="2064"/>
      <c r="C44" s="2064"/>
      <c r="D44" s="2064"/>
      <c r="E44" s="2064"/>
      <c r="F44" s="2064"/>
      <c r="G44" s="2064"/>
      <c r="H44" s="2064"/>
      <c r="I44" s="2064"/>
      <c r="J44" s="2064"/>
      <c r="K44" s="2064"/>
      <c r="L44" s="2064"/>
      <c r="M44" s="2064"/>
      <c r="N44" s="2064"/>
      <c r="O44" s="2064"/>
      <c r="P44" s="2064"/>
      <c r="Q44" s="2064"/>
    </row>
    <row r="45" spans="1:23" x14ac:dyDescent="0.2">
      <c r="A45" s="2067" t="s">
        <v>828</v>
      </c>
      <c r="B45" s="2067"/>
      <c r="C45" s="2067"/>
      <c r="D45" s="2067"/>
      <c r="E45" s="2067"/>
      <c r="F45" s="2067"/>
      <c r="G45" s="2067"/>
      <c r="H45" s="2067"/>
      <c r="I45" s="2067"/>
      <c r="J45" s="2067"/>
      <c r="K45" s="2067"/>
      <c r="L45" s="2067"/>
      <c r="M45" s="2067"/>
      <c r="N45" s="2067"/>
      <c r="O45" s="2067"/>
      <c r="P45" s="2067"/>
      <c r="Q45" s="2067"/>
    </row>
    <row r="46" spans="1:23" x14ac:dyDescent="0.2">
      <c r="A46" s="2070" t="str">
        <f>A4</f>
        <v>BASE PERIOD 09/30/2015 TO 08/31/2016</v>
      </c>
      <c r="B46" s="2071"/>
      <c r="C46" s="2071"/>
      <c r="D46" s="2071"/>
      <c r="E46" s="2071"/>
      <c r="F46" s="2071"/>
      <c r="G46" s="2071"/>
      <c r="H46" s="2071"/>
      <c r="I46" s="2071"/>
      <c r="J46" s="2071"/>
      <c r="K46" s="2071"/>
      <c r="L46" s="2071"/>
      <c r="M46" s="2071"/>
      <c r="N46" s="2071"/>
      <c r="O46" s="2071"/>
      <c r="P46" s="2071"/>
      <c r="Q46" s="2071"/>
      <c r="R46" s="124"/>
    </row>
    <row r="47" spans="1:23" x14ac:dyDescent="0.2">
      <c r="G47" s="106"/>
      <c r="H47" s="104"/>
      <c r="I47" s="1116"/>
      <c r="J47" s="104"/>
      <c r="K47" s="104"/>
      <c r="L47" s="104"/>
      <c r="M47" s="104"/>
      <c r="N47" s="104"/>
      <c r="O47" s="104"/>
    </row>
    <row r="48" spans="1:23" x14ac:dyDescent="0.2">
      <c r="A48" s="44" t="s">
        <v>688</v>
      </c>
      <c r="G48" s="104"/>
      <c r="H48" s="104"/>
      <c r="I48" s="1116"/>
      <c r="J48" s="104"/>
      <c r="K48" s="104"/>
      <c r="L48" s="104"/>
      <c r="M48" s="105"/>
      <c r="N48" s="104"/>
      <c r="O48" s="104"/>
      <c r="Q48" s="1270" t="str">
        <f>Q6</f>
        <v>WPB-3.1</v>
      </c>
    </row>
    <row r="49" spans="1:17" x14ac:dyDescent="0.2">
      <c r="A49" s="44" t="s">
        <v>690</v>
      </c>
      <c r="G49" s="104"/>
      <c r="H49" s="104"/>
      <c r="I49" s="1116"/>
      <c r="J49" s="104"/>
      <c r="K49" s="104"/>
      <c r="L49" s="104"/>
      <c r="M49" s="105"/>
      <c r="N49" s="104"/>
      <c r="O49" s="104"/>
      <c r="Q49" s="1121" t="s">
        <v>869</v>
      </c>
    </row>
    <row r="50" spans="1:17" x14ac:dyDescent="0.2">
      <c r="A50" s="1275" t="s">
        <v>1758</v>
      </c>
      <c r="B50" s="46"/>
      <c r="C50" s="120"/>
      <c r="D50" s="46"/>
      <c r="E50" s="46"/>
      <c r="F50" s="46"/>
      <c r="G50" s="112"/>
      <c r="H50" s="112"/>
      <c r="I50" s="1330"/>
      <c r="J50" s="112"/>
      <c r="K50" s="112"/>
      <c r="L50" s="112"/>
      <c r="M50" s="115"/>
      <c r="N50" s="112"/>
      <c r="O50" s="112"/>
      <c r="P50" s="112"/>
      <c r="Q50" s="1276"/>
    </row>
    <row r="51" spans="1:17" x14ac:dyDescent="0.2">
      <c r="A51" s="44" t="s">
        <v>632</v>
      </c>
      <c r="C51" s="121" t="s">
        <v>692</v>
      </c>
      <c r="E51" s="43"/>
      <c r="F51" s="288" t="str">
        <f t="shared" ref="F51:Q51" si="4">F9</f>
        <v>Actual</v>
      </c>
      <c r="G51" s="288" t="str">
        <f t="shared" si="4"/>
        <v>Actual</v>
      </c>
      <c r="H51" s="288" t="str">
        <f t="shared" si="4"/>
        <v>Actual</v>
      </c>
      <c r="I51" s="1331" t="str">
        <f t="shared" si="4"/>
        <v>Actual</v>
      </c>
      <c r="J51" s="288" t="str">
        <f t="shared" si="4"/>
        <v>Actual</v>
      </c>
      <c r="K51" s="288" t="str">
        <f t="shared" si="4"/>
        <v>Actual</v>
      </c>
      <c r="L51" s="288" t="str">
        <f t="shared" si="4"/>
        <v>Actual</v>
      </c>
      <c r="M51" s="288" t="str">
        <f t="shared" si="4"/>
        <v>Actual</v>
      </c>
      <c r="N51" s="288" t="str">
        <f t="shared" si="4"/>
        <v>Actual</v>
      </c>
      <c r="O51" s="288" t="str">
        <f t="shared" si="4"/>
        <v>Actual</v>
      </c>
      <c r="P51" s="288" t="str">
        <f t="shared" si="4"/>
        <v>Actual</v>
      </c>
      <c r="Q51" s="288" t="str">
        <f t="shared" si="4"/>
        <v>Projected</v>
      </c>
    </row>
    <row r="52" spans="1:17" x14ac:dyDescent="0.2">
      <c r="A52" s="111" t="s">
        <v>635</v>
      </c>
      <c r="B52" s="112"/>
      <c r="C52" s="122" t="s">
        <v>635</v>
      </c>
      <c r="D52" s="112"/>
      <c r="E52" s="111"/>
      <c r="F52" s="113" t="str">
        <f t="shared" ref="F52:Q52" si="5">F10</f>
        <v>09/30/2015</v>
      </c>
      <c r="G52" s="113" t="str">
        <f t="shared" si="5"/>
        <v>10/31/2015</v>
      </c>
      <c r="H52" s="113" t="str">
        <f t="shared" si="5"/>
        <v>11/30/2015</v>
      </c>
      <c r="I52" s="113" t="str">
        <f t="shared" si="5"/>
        <v>12/31/2015</v>
      </c>
      <c r="J52" s="113" t="str">
        <f t="shared" si="5"/>
        <v>01/31/2016</v>
      </c>
      <c r="K52" s="113" t="str">
        <f t="shared" si="5"/>
        <v>02/29/2016</v>
      </c>
      <c r="L52" s="113" t="str">
        <f t="shared" si="5"/>
        <v>03/31/2016</v>
      </c>
      <c r="M52" s="113" t="str">
        <f t="shared" si="5"/>
        <v>04/30/2016</v>
      </c>
      <c r="N52" s="113" t="str">
        <f t="shared" si="5"/>
        <v>05/31/2016</v>
      </c>
      <c r="O52" s="113" t="str">
        <f t="shared" si="5"/>
        <v>06/30/2016</v>
      </c>
      <c r="P52" s="113" t="str">
        <f t="shared" si="5"/>
        <v>07/31/2016</v>
      </c>
      <c r="Q52" s="113" t="str">
        <f t="shared" si="5"/>
        <v>08/31/2016</v>
      </c>
    </row>
    <row r="53" spans="1:17" x14ac:dyDescent="0.2">
      <c r="F53" s="43" t="s">
        <v>639</v>
      </c>
      <c r="G53" s="43" t="s">
        <v>639</v>
      </c>
      <c r="H53" s="43" t="s">
        <v>639</v>
      </c>
      <c r="I53" s="1108" t="s">
        <v>639</v>
      </c>
      <c r="J53" s="43" t="s">
        <v>639</v>
      </c>
      <c r="K53" s="43" t="s">
        <v>639</v>
      </c>
      <c r="L53" s="43" t="s">
        <v>639</v>
      </c>
      <c r="M53" s="43" t="s">
        <v>639</v>
      </c>
      <c r="N53" s="43" t="s">
        <v>639</v>
      </c>
      <c r="O53" s="43" t="s">
        <v>639</v>
      </c>
      <c r="P53" s="43" t="s">
        <v>639</v>
      </c>
      <c r="Q53" s="43" t="s">
        <v>639</v>
      </c>
    </row>
    <row r="54" spans="1:17" x14ac:dyDescent="0.2">
      <c r="G54" s="104"/>
      <c r="H54" s="104"/>
      <c r="I54" s="1116"/>
      <c r="J54" s="104"/>
      <c r="K54" s="104"/>
      <c r="L54" s="104"/>
      <c r="M54" s="104"/>
      <c r="N54" s="104"/>
      <c r="O54" s="104"/>
    </row>
    <row r="55" spans="1:17" x14ac:dyDescent="0.2">
      <c r="A55" s="48">
        <v>1</v>
      </c>
      <c r="C55" s="123">
        <v>381</v>
      </c>
      <c r="E55" s="52"/>
      <c r="F55" s="163">
        <v>4686090.68</v>
      </c>
      <c r="G55" s="163">
        <v>4714634.67</v>
      </c>
      <c r="H55" s="163">
        <v>4670731.16</v>
      </c>
      <c r="I55" s="163">
        <v>4680337.5</v>
      </c>
      <c r="J55" s="163">
        <v>4679483.42</v>
      </c>
      <c r="K55" s="163">
        <v>4686265.8899999997</v>
      </c>
      <c r="L55" s="301">
        <f>'WPB2.2 Plant detail-w slippage'!N116</f>
        <v>4704466.8899999997</v>
      </c>
      <c r="M55" s="301">
        <f>'WPB2.2 Plant detail-w slippage'!N222</f>
        <v>4725341.8899999997</v>
      </c>
      <c r="N55" s="301">
        <f>'WPB2.2 Plant detail-w slippage'!N328</f>
        <v>4747494.8899999997</v>
      </c>
      <c r="O55" s="301">
        <f>'WPB2.2 Plant detail-w slippage'!N434</f>
        <v>4767659.8899999997</v>
      </c>
      <c r="P55" s="301">
        <f>'WPB2.2 Plant detail-w slippage'!N540</f>
        <v>4796329.8899999997</v>
      </c>
      <c r="Q55" s="301">
        <f>'WPB2.2 Plant detail-w slippage'!N646</f>
        <v>4823000.8899999997</v>
      </c>
    </row>
    <row r="56" spans="1:17" x14ac:dyDescent="0.2">
      <c r="A56" s="48">
        <f>A55+1</f>
        <v>2</v>
      </c>
      <c r="C56" s="123">
        <v>381.1</v>
      </c>
      <c r="E56" s="52"/>
      <c r="F56" s="163">
        <v>279973.59999999998</v>
      </c>
      <c r="G56" s="163">
        <v>298552.33</v>
      </c>
      <c r="H56" s="163">
        <v>317131.02</v>
      </c>
      <c r="I56" s="163">
        <v>335814.58</v>
      </c>
      <c r="J56" s="163">
        <v>354603.04</v>
      </c>
      <c r="K56" s="163">
        <v>373391.5</v>
      </c>
      <c r="L56" s="301">
        <f>'WPB2.2 Plant detail-w slippage'!N117</f>
        <v>392056.5</v>
      </c>
      <c r="M56" s="301">
        <f>'WPB2.2 Plant detail-w slippage'!N223</f>
        <v>404348.5</v>
      </c>
      <c r="N56" s="301">
        <f>'WPB2.2 Plant detail-w slippage'!N329</f>
        <v>423123.5</v>
      </c>
      <c r="O56" s="301">
        <f>'WPB2.2 Plant detail-w slippage'!N435</f>
        <v>441942.5</v>
      </c>
      <c r="P56" s="301">
        <f>'WPB2.2 Plant detail-w slippage'!N541</f>
        <v>459956.5</v>
      </c>
      <c r="Q56" s="301">
        <f>'WPB2.2 Plant detail-w slippage'!N647</f>
        <v>478488.5</v>
      </c>
    </row>
    <row r="57" spans="1:17" x14ac:dyDescent="0.2">
      <c r="A57" s="48">
        <f t="shared" ref="A57:A67" si="6">A56+1</f>
        <v>3</v>
      </c>
      <c r="C57" s="123">
        <v>382</v>
      </c>
      <c r="E57" s="52"/>
      <c r="F57" s="163">
        <v>4409055.07</v>
      </c>
      <c r="G57" s="163">
        <v>4422226.1500000004</v>
      </c>
      <c r="H57" s="163">
        <v>4435264.58</v>
      </c>
      <c r="I57" s="163">
        <v>4450212.5999999996</v>
      </c>
      <c r="J57" s="163">
        <v>4465562.8600000003</v>
      </c>
      <c r="K57" s="163">
        <v>4482538.3</v>
      </c>
      <c r="L57" s="301">
        <f>'WPB2.2 Plant detail-w slippage'!N118</f>
        <v>4499071.3</v>
      </c>
      <c r="M57" s="301">
        <f>'WPB2.2 Plant detail-w slippage'!N224</f>
        <v>4514991.3</v>
      </c>
      <c r="N57" s="301">
        <f>'WPB2.2 Plant detail-w slippage'!N330</f>
        <v>4531229.3</v>
      </c>
      <c r="O57" s="301">
        <f>'WPB2.2 Plant detail-w slippage'!N436</f>
        <v>4547503.3</v>
      </c>
      <c r="P57" s="301">
        <f>'WPB2.2 Plant detail-w slippage'!N542</f>
        <v>4564503.3</v>
      </c>
      <c r="Q57" s="301">
        <f>'WPB2.2 Plant detail-w slippage'!N648</f>
        <v>4576242.3</v>
      </c>
    </row>
    <row r="58" spans="1:17" x14ac:dyDescent="0.2">
      <c r="A58" s="48">
        <f t="shared" si="6"/>
        <v>4</v>
      </c>
      <c r="C58" s="123">
        <v>383</v>
      </c>
      <c r="E58" s="52"/>
      <c r="F58" s="163">
        <v>1429849.02</v>
      </c>
      <c r="G58" s="163">
        <v>1435773.84</v>
      </c>
      <c r="H58" s="163">
        <v>1441741.46</v>
      </c>
      <c r="I58" s="163">
        <v>1447854.1</v>
      </c>
      <c r="J58" s="163">
        <v>1454070.6</v>
      </c>
      <c r="K58" s="163">
        <v>1460409.41</v>
      </c>
      <c r="L58" s="301">
        <f>'WPB2.2 Plant detail-w slippage'!N119</f>
        <v>1465300.41</v>
      </c>
      <c r="M58" s="301">
        <f>'WPB2.2 Plant detail-w slippage'!N225</f>
        <v>1470387.41</v>
      </c>
      <c r="N58" s="301">
        <f>'WPB2.2 Plant detail-w slippage'!N331</f>
        <v>1475242.41</v>
      </c>
      <c r="O58" s="301">
        <f>'WPB2.2 Plant detail-w slippage'!N437</f>
        <v>1480502.41</v>
      </c>
      <c r="P58" s="301">
        <f>'WPB2.2 Plant detail-w slippage'!N543</f>
        <v>1486042.41</v>
      </c>
      <c r="Q58" s="301">
        <f>'WPB2.2 Plant detail-w slippage'!N649</f>
        <v>1489794.41</v>
      </c>
    </row>
    <row r="59" spans="1:17" x14ac:dyDescent="0.2">
      <c r="A59" s="48">
        <f t="shared" si="6"/>
        <v>5</v>
      </c>
      <c r="C59" s="123">
        <v>384</v>
      </c>
      <c r="E59" s="52"/>
      <c r="F59" s="163">
        <v>1738296.16</v>
      </c>
      <c r="G59" s="163">
        <v>1740363.79</v>
      </c>
      <c r="H59" s="163">
        <v>1742431.42</v>
      </c>
      <c r="I59" s="163">
        <v>1744499.93</v>
      </c>
      <c r="J59" s="163">
        <v>1746569.33</v>
      </c>
      <c r="K59" s="163">
        <v>1748638.73</v>
      </c>
      <c r="L59" s="301">
        <f>'WPB2.2 Plant detail-w slippage'!N120</f>
        <v>1750707.73</v>
      </c>
      <c r="M59" s="301">
        <f>'WPB2.2 Plant detail-w slippage'!N226</f>
        <v>1752776.73</v>
      </c>
      <c r="N59" s="301">
        <f>'WPB2.2 Plant detail-w slippage'!N332</f>
        <v>1754845.73</v>
      </c>
      <c r="O59" s="301">
        <f>'WPB2.2 Plant detail-w slippage'!N438</f>
        <v>1756914.73</v>
      </c>
      <c r="P59" s="301">
        <f>'WPB2.2 Plant detail-w slippage'!N544</f>
        <v>1758983.73</v>
      </c>
      <c r="Q59" s="301">
        <f>'WPB2.2 Plant detail-w slippage'!N650</f>
        <v>1761052.73</v>
      </c>
    </row>
    <row r="60" spans="1:17" x14ac:dyDescent="0.2">
      <c r="A60" s="48">
        <f t="shared" si="6"/>
        <v>6</v>
      </c>
      <c r="C60" s="123">
        <v>385</v>
      </c>
      <c r="E60" s="52"/>
      <c r="F60" s="163">
        <v>861104.14</v>
      </c>
      <c r="G60" s="163">
        <v>858843.22</v>
      </c>
      <c r="H60" s="163">
        <v>864168.53</v>
      </c>
      <c r="I60" s="163">
        <v>855589.95</v>
      </c>
      <c r="J60" s="163">
        <v>858935.78</v>
      </c>
      <c r="K60" s="163">
        <v>864244.55</v>
      </c>
      <c r="L60" s="301">
        <f>'WPB2.2 Plant detail-w slippage'!N121</f>
        <v>866020.55</v>
      </c>
      <c r="M60" s="301">
        <f>'WPB2.2 Plant detail-w slippage'!N227</f>
        <v>867980.55</v>
      </c>
      <c r="N60" s="301">
        <f>'WPB2.2 Plant detail-w slippage'!N333</f>
        <v>868489.55</v>
      </c>
      <c r="O60" s="301">
        <f>'WPB2.2 Plant detail-w slippage'!N439</f>
        <v>872286.55</v>
      </c>
      <c r="P60" s="301">
        <f>'WPB2.2 Plant detail-w slippage'!N545</f>
        <v>875938.55</v>
      </c>
      <c r="Q60" s="301">
        <f>'WPB2.2 Plant detail-w slippage'!N651</f>
        <v>878725.55</v>
      </c>
    </row>
    <row r="61" spans="1:17" x14ac:dyDescent="0.2">
      <c r="A61" s="48">
        <f t="shared" si="6"/>
        <v>7</v>
      </c>
      <c r="C61" s="123">
        <v>387.2</v>
      </c>
      <c r="E61" s="52"/>
      <c r="F61" s="163">
        <v>-59912.03</v>
      </c>
      <c r="G61" s="163">
        <v>-59912.03</v>
      </c>
      <c r="H61" s="163">
        <v>-59912.03</v>
      </c>
      <c r="I61" s="163">
        <v>-59912.03</v>
      </c>
      <c r="J61" s="163">
        <v>-59912.03</v>
      </c>
      <c r="K61" s="163">
        <v>-59912.03</v>
      </c>
      <c r="L61" s="301">
        <f>'WPB2.2 Plant detail-w slippage'!N122</f>
        <v>-59912.03</v>
      </c>
      <c r="M61" s="301">
        <f>'WPB2.2 Plant detail-w slippage'!N228</f>
        <v>-59912.03</v>
      </c>
      <c r="N61" s="301">
        <f>'WPB2.2 Plant detail-w slippage'!N334</f>
        <v>-59912.03</v>
      </c>
      <c r="O61" s="301">
        <f>'WPB2.2 Plant detail-w slippage'!N440</f>
        <v>-59912.03</v>
      </c>
      <c r="P61" s="301">
        <f>'WPB2.2 Plant detail-w slippage'!N546</f>
        <v>-59912.03</v>
      </c>
      <c r="Q61" s="301">
        <f>'WPB2.2 Plant detail-w slippage'!N652</f>
        <v>-59912.03</v>
      </c>
    </row>
    <row r="62" spans="1:17" x14ac:dyDescent="0.2">
      <c r="A62" s="48">
        <f t="shared" si="6"/>
        <v>8</v>
      </c>
      <c r="C62" s="123">
        <v>387.41</v>
      </c>
      <c r="E62" s="52"/>
      <c r="F62" s="163">
        <v>364534.62</v>
      </c>
      <c r="G62" s="163">
        <v>365968.95</v>
      </c>
      <c r="H62" s="163">
        <v>367403.7</v>
      </c>
      <c r="I62" s="163">
        <v>368838.45</v>
      </c>
      <c r="J62" s="163">
        <v>370273.2</v>
      </c>
      <c r="K62" s="163">
        <v>371707.95</v>
      </c>
      <c r="L62" s="301">
        <f>'WPB2.2 Plant detail-w slippage'!N123</f>
        <v>373142.95</v>
      </c>
      <c r="M62" s="301">
        <f>'WPB2.2 Plant detail-w slippage'!N229</f>
        <v>374577.95</v>
      </c>
      <c r="N62" s="301">
        <f>'WPB2.2 Plant detail-w slippage'!N335</f>
        <v>376012.95</v>
      </c>
      <c r="O62" s="301">
        <f>'WPB2.2 Plant detail-w slippage'!N441</f>
        <v>377447.95</v>
      </c>
      <c r="P62" s="301">
        <f>'WPB2.2 Plant detail-w slippage'!N547</f>
        <v>378882.95</v>
      </c>
      <c r="Q62" s="301">
        <f>'WPB2.2 Plant detail-w slippage'!N653</f>
        <v>380317.95</v>
      </c>
    </row>
    <row r="63" spans="1:17" x14ac:dyDescent="0.2">
      <c r="A63" s="48">
        <f t="shared" si="6"/>
        <v>9</v>
      </c>
      <c r="C63" s="123">
        <v>387.42</v>
      </c>
      <c r="E63" s="52"/>
      <c r="F63" s="163">
        <v>530692.75</v>
      </c>
      <c r="G63" s="163">
        <v>532245.72</v>
      </c>
      <c r="H63" s="163">
        <v>533799.1</v>
      </c>
      <c r="I63" s="163">
        <v>533934.73</v>
      </c>
      <c r="J63" s="163">
        <v>535485.34</v>
      </c>
      <c r="K63" s="163">
        <v>537035.94999999995</v>
      </c>
      <c r="L63" s="301">
        <f>'WPB2.2 Plant detail-w slippage'!N124</f>
        <v>538586.94999999995</v>
      </c>
      <c r="M63" s="301">
        <f>'WPB2.2 Plant detail-w slippage'!N230</f>
        <v>540137.94999999995</v>
      </c>
      <c r="N63" s="301">
        <f>'WPB2.2 Plant detail-w slippage'!N336</f>
        <v>541688.94999999995</v>
      </c>
      <c r="O63" s="301">
        <f>'WPB2.2 Plant detail-w slippage'!N442</f>
        <v>543239.94999999995</v>
      </c>
      <c r="P63" s="301">
        <f>'WPB2.2 Plant detail-w slippage'!N548</f>
        <v>544790.94999999995</v>
      </c>
      <c r="Q63" s="301">
        <f>'WPB2.2 Plant detail-w slippage'!N654</f>
        <v>546341.94999999995</v>
      </c>
    </row>
    <row r="64" spans="1:17" x14ac:dyDescent="0.2">
      <c r="A64" s="48">
        <f t="shared" si="6"/>
        <v>10</v>
      </c>
      <c r="C64" s="123">
        <v>387.44</v>
      </c>
      <c r="E64" s="52"/>
      <c r="F64" s="163">
        <v>48328.32</v>
      </c>
      <c r="G64" s="163">
        <v>48593.38</v>
      </c>
      <c r="H64" s="163">
        <v>48858.44</v>
      </c>
      <c r="I64" s="163">
        <v>46784.39</v>
      </c>
      <c r="J64" s="163">
        <v>45283.05</v>
      </c>
      <c r="K64" s="163">
        <v>45543.55</v>
      </c>
      <c r="L64" s="301">
        <f>'WPB2.2 Plant detail-w slippage'!N125</f>
        <v>45804.55</v>
      </c>
      <c r="M64" s="301">
        <f>'WPB2.2 Plant detail-w slippage'!N231</f>
        <v>46065.55</v>
      </c>
      <c r="N64" s="301">
        <f>'WPB2.2 Plant detail-w slippage'!N337</f>
        <v>46326.55</v>
      </c>
      <c r="O64" s="301">
        <f>'WPB2.2 Plant detail-w slippage'!N443</f>
        <v>45274.55</v>
      </c>
      <c r="P64" s="301">
        <f>'WPB2.2 Plant detail-w slippage'!N549</f>
        <v>45553.55</v>
      </c>
      <c r="Q64" s="301">
        <f>'WPB2.2 Plant detail-w slippage'!N655</f>
        <v>45832.55</v>
      </c>
    </row>
    <row r="65" spans="1:17" x14ac:dyDescent="0.2">
      <c r="A65" s="48">
        <f t="shared" si="6"/>
        <v>11</v>
      </c>
      <c r="C65" s="123">
        <v>387.45</v>
      </c>
      <c r="E65" s="52"/>
      <c r="F65" s="163">
        <v>536837.82999999996</v>
      </c>
      <c r="G65" s="163">
        <v>529168.38</v>
      </c>
      <c r="H65" s="163">
        <v>534008.64</v>
      </c>
      <c r="I65" s="163">
        <v>536516.04</v>
      </c>
      <c r="J65" s="163">
        <v>541808.18999999994</v>
      </c>
      <c r="K65" s="163">
        <v>547160.06000000006</v>
      </c>
      <c r="L65" s="301">
        <f>'WPB2.2 Plant detail-w slippage'!N126</f>
        <v>550888.06000000006</v>
      </c>
      <c r="M65" s="301">
        <f>'WPB2.2 Plant detail-w slippage'!N232</f>
        <v>555157.06000000006</v>
      </c>
      <c r="N65" s="301">
        <f>'WPB2.2 Plant detail-w slippage'!N338</f>
        <v>550573.06000000006</v>
      </c>
      <c r="O65" s="301">
        <f>'WPB2.2 Plant detail-w slippage'!N444</f>
        <v>556107.06000000006</v>
      </c>
      <c r="P65" s="301">
        <f>'WPB2.2 Plant detail-w slippage'!N550</f>
        <v>564091.06000000006</v>
      </c>
      <c r="Q65" s="301">
        <f>'WPB2.2 Plant detail-w slippage'!N656</f>
        <v>557526.06000000006</v>
      </c>
    </row>
    <row r="66" spans="1:17" x14ac:dyDescent="0.2">
      <c r="A66" s="48">
        <f t="shared" si="6"/>
        <v>12</v>
      </c>
      <c r="C66" s="123">
        <v>387.46</v>
      </c>
      <c r="E66" s="52"/>
      <c r="F66" s="281">
        <v>108904.78</v>
      </c>
      <c r="G66" s="281">
        <v>109126.39</v>
      </c>
      <c r="H66" s="281">
        <v>109348</v>
      </c>
      <c r="I66" s="281">
        <v>109569.61</v>
      </c>
      <c r="J66" s="281">
        <v>109791.22</v>
      </c>
      <c r="K66" s="281">
        <v>110012.83</v>
      </c>
      <c r="L66" s="302">
        <f>'WPB2.2 Plant detail-w slippage'!N127</f>
        <v>110234.83</v>
      </c>
      <c r="M66" s="302">
        <f>'WPB2.2 Plant detail-w slippage'!N233</f>
        <v>110456.83</v>
      </c>
      <c r="N66" s="302">
        <f>'WPB2.2 Plant detail-w slippage'!N339</f>
        <v>110678.83</v>
      </c>
      <c r="O66" s="302">
        <f>'WPB2.2 Plant detail-w slippage'!N445</f>
        <v>110900.83</v>
      </c>
      <c r="P66" s="302">
        <f>'WPB2.2 Plant detail-w slippage'!N551</f>
        <v>111122.83</v>
      </c>
      <c r="Q66" s="302">
        <f>'WPB2.2 Plant detail-w slippage'!N657</f>
        <v>111344.83</v>
      </c>
    </row>
    <row r="67" spans="1:17" x14ac:dyDescent="0.2">
      <c r="A67" s="48">
        <f t="shared" si="6"/>
        <v>13</v>
      </c>
      <c r="C67" s="52" t="s">
        <v>683</v>
      </c>
      <c r="F67" s="51">
        <f t="shared" ref="F67:Q67" si="7">SUM(F55:F66,F25:F41)</f>
        <v>136488739.17000002</v>
      </c>
      <c r="G67" s="51">
        <f t="shared" si="7"/>
        <v>136906152.84999999</v>
      </c>
      <c r="H67" s="51">
        <f t="shared" si="7"/>
        <v>137162778.34999996</v>
      </c>
      <c r="I67" s="162">
        <f t="shared" si="7"/>
        <v>137402481.54999998</v>
      </c>
      <c r="J67" s="51">
        <f t="shared" si="7"/>
        <v>138076453.01999998</v>
      </c>
      <c r="K67" s="51">
        <f t="shared" si="7"/>
        <v>138316581.78</v>
      </c>
      <c r="L67" s="51">
        <f t="shared" si="7"/>
        <v>138548248.82947367</v>
      </c>
      <c r="M67" s="51">
        <f t="shared" si="7"/>
        <v>138604108.87894738</v>
      </c>
      <c r="N67" s="51">
        <f t="shared" si="7"/>
        <v>138794866.92842105</v>
      </c>
      <c r="O67" s="51">
        <f t="shared" si="7"/>
        <v>139032706.97789472</v>
      </c>
      <c r="P67" s="51">
        <f t="shared" si="7"/>
        <v>139408816.02736843</v>
      </c>
      <c r="Q67" s="51">
        <f t="shared" si="7"/>
        <v>139763653.0768421</v>
      </c>
    </row>
    <row r="68" spans="1:17" x14ac:dyDescent="0.2">
      <c r="A68" s="48"/>
      <c r="C68" s="123"/>
      <c r="E68" s="49"/>
      <c r="F68" s="51"/>
      <c r="G68" s="107"/>
      <c r="H68" s="107"/>
      <c r="I68" s="180"/>
      <c r="J68" s="107"/>
      <c r="K68" s="107"/>
      <c r="L68" s="107"/>
      <c r="M68" s="108"/>
      <c r="N68" s="107"/>
      <c r="O68" s="107"/>
    </row>
    <row r="69" spans="1:17" x14ac:dyDescent="0.2">
      <c r="A69" s="48"/>
      <c r="C69" s="123"/>
      <c r="E69" s="50"/>
      <c r="F69" s="51"/>
      <c r="G69" s="107"/>
      <c r="H69" s="107"/>
      <c r="I69" s="180"/>
      <c r="J69" s="107"/>
      <c r="K69" s="107"/>
      <c r="L69" s="107"/>
      <c r="M69" s="108"/>
      <c r="N69" s="107"/>
      <c r="O69" s="107"/>
    </row>
    <row r="70" spans="1:17" x14ac:dyDescent="0.2">
      <c r="A70" s="48">
        <f>A67+1</f>
        <v>14</v>
      </c>
      <c r="C70" s="123">
        <v>391.1</v>
      </c>
      <c r="E70" s="52"/>
      <c r="F70" s="282">
        <v>-90663.17</v>
      </c>
      <c r="G70" s="282">
        <v>-89733.23</v>
      </c>
      <c r="H70" s="282">
        <v>-88803.29</v>
      </c>
      <c r="I70" s="282">
        <v>-86851.9</v>
      </c>
      <c r="J70" s="282">
        <v>-83879.06</v>
      </c>
      <c r="K70" s="282">
        <v>-80906.22</v>
      </c>
      <c r="L70" s="301">
        <f>'WPB2.2 Plant detail-w slippage'!N131</f>
        <v>-80616.22</v>
      </c>
      <c r="M70" s="301">
        <f>'WPB2.2 Plant detail-w slippage'!N237</f>
        <v>-77567.22</v>
      </c>
      <c r="N70" s="301">
        <f>'WPB2.2 Plant detail-w slippage'!N343</f>
        <v>-74518.22</v>
      </c>
      <c r="O70" s="301">
        <f>'WPB2.2 Plant detail-w slippage'!N449</f>
        <v>-71594.22</v>
      </c>
      <c r="P70" s="301">
        <f>'WPB2.2 Plant detail-w slippage'!N555</f>
        <v>-68540.22</v>
      </c>
      <c r="Q70" s="301">
        <f>'WPB2.2 Plant detail-w slippage'!N661</f>
        <v>-64912.22</v>
      </c>
    </row>
    <row r="71" spans="1:17" x14ac:dyDescent="0.2">
      <c r="A71" s="48">
        <f t="shared" ref="A71:A84" si="8">A70+1</f>
        <v>15</v>
      </c>
      <c r="C71" s="123">
        <v>391.11</v>
      </c>
      <c r="E71" s="52"/>
      <c r="F71" s="282">
        <v>-13557.42</v>
      </c>
      <c r="G71" s="282">
        <v>-13452.89</v>
      </c>
      <c r="H71" s="282">
        <v>-13348.36</v>
      </c>
      <c r="I71" s="282">
        <v>-13243.83</v>
      </c>
      <c r="J71" s="282">
        <v>-13139.3</v>
      </c>
      <c r="K71" s="282">
        <v>-13034.77</v>
      </c>
      <c r="L71" s="301">
        <f>'WPB2.2 Plant detail-w slippage'!N132</f>
        <v>-12929.77</v>
      </c>
      <c r="M71" s="301">
        <f>'WPB2.2 Plant detail-w slippage'!N238</f>
        <v>-12824.77</v>
      </c>
      <c r="N71" s="301">
        <f>'WPB2.2 Plant detail-w slippage'!N344</f>
        <v>-12719.77</v>
      </c>
      <c r="O71" s="301">
        <f>'WPB2.2 Plant detail-w slippage'!N450</f>
        <v>-12614.77</v>
      </c>
      <c r="P71" s="301">
        <f>'WPB2.2 Plant detail-w slippage'!N556</f>
        <v>-12509.77</v>
      </c>
      <c r="Q71" s="301">
        <f>'WPB2.2 Plant detail-w slippage'!N662</f>
        <v>-12404.77</v>
      </c>
    </row>
    <row r="72" spans="1:17" x14ac:dyDescent="0.2">
      <c r="A72" s="48">
        <f t="shared" si="8"/>
        <v>16</v>
      </c>
      <c r="C72" s="123">
        <v>391.12</v>
      </c>
      <c r="E72" s="52"/>
      <c r="F72" s="282">
        <v>489354.53</v>
      </c>
      <c r="G72" s="282">
        <v>499557.78</v>
      </c>
      <c r="H72" s="282">
        <v>509761.03</v>
      </c>
      <c r="I72" s="282">
        <v>520430.47</v>
      </c>
      <c r="J72" s="282">
        <v>533110.65</v>
      </c>
      <c r="K72" s="282">
        <v>547335.37</v>
      </c>
      <c r="L72" s="301">
        <f>'WPB2.2 Plant detail-w slippage'!N133</f>
        <v>561560.37</v>
      </c>
      <c r="M72" s="301">
        <f>'WPB2.2 Plant detail-w slippage'!N239</f>
        <v>575785.37</v>
      </c>
      <c r="N72" s="301">
        <f>'WPB2.2 Plant detail-w slippage'!N345</f>
        <v>590010.37</v>
      </c>
      <c r="O72" s="301">
        <f>'WPB2.2 Plant detail-w slippage'!N451</f>
        <v>604235.37</v>
      </c>
      <c r="P72" s="301">
        <f>'WPB2.2 Plant detail-w slippage'!N557</f>
        <v>618460.37</v>
      </c>
      <c r="Q72" s="301">
        <f>'WPB2.2 Plant detail-w slippage'!N663</f>
        <v>632685.37</v>
      </c>
    </row>
    <row r="73" spans="1:17" x14ac:dyDescent="0.2">
      <c r="A73" s="48">
        <f t="shared" si="8"/>
        <v>17</v>
      </c>
      <c r="C73" s="123">
        <v>392.2</v>
      </c>
      <c r="E73" s="52"/>
      <c r="F73" s="282">
        <v>19131.75</v>
      </c>
      <c r="G73" s="282">
        <v>19366.41</v>
      </c>
      <c r="H73" s="282">
        <v>19601.07</v>
      </c>
      <c r="I73" s="282">
        <v>19835.73</v>
      </c>
      <c r="J73" s="282">
        <v>20070.39</v>
      </c>
      <c r="K73" s="282">
        <v>20305.05</v>
      </c>
      <c r="L73" s="301">
        <f>'WPB2.2 Plant detail-w slippage'!N134</f>
        <v>20540.05</v>
      </c>
      <c r="M73" s="301">
        <f>'WPB2.2 Plant detail-w slippage'!N240</f>
        <v>20775.05</v>
      </c>
      <c r="N73" s="301">
        <f>'WPB2.2 Plant detail-w slippage'!N346</f>
        <v>21010.05</v>
      </c>
      <c r="O73" s="301">
        <f>'WPB2.2 Plant detail-w slippage'!N452</f>
        <v>21245.05</v>
      </c>
      <c r="P73" s="301">
        <f>'WPB2.2 Plant detail-w slippage'!N558</f>
        <v>21480.05</v>
      </c>
      <c r="Q73" s="301">
        <f>'WPB2.2 Plant detail-w slippage'!N664</f>
        <v>21715.05</v>
      </c>
    </row>
    <row r="74" spans="1:17" x14ac:dyDescent="0.2">
      <c r="A74" s="48">
        <f t="shared" si="8"/>
        <v>18</v>
      </c>
      <c r="C74" s="123">
        <v>392.21</v>
      </c>
      <c r="E74" s="52"/>
      <c r="F74" s="282">
        <v>3094.75</v>
      </c>
      <c r="G74" s="282">
        <v>3154.68</v>
      </c>
      <c r="H74" s="282">
        <v>3214.61</v>
      </c>
      <c r="I74" s="282">
        <v>4467.54</v>
      </c>
      <c r="J74" s="282">
        <v>4527.47</v>
      </c>
      <c r="K74" s="282">
        <v>4587.3999999999996</v>
      </c>
      <c r="L74" s="301">
        <f>'WPB2.2 Plant detail-w slippage'!N135</f>
        <v>4647.3999999999996</v>
      </c>
      <c r="M74" s="301">
        <f>'WPB2.2 Plant detail-w slippage'!N241</f>
        <v>4707.3999999999996</v>
      </c>
      <c r="N74" s="301">
        <f>'WPB2.2 Plant detail-w slippage'!N347</f>
        <v>4767.3999999999996</v>
      </c>
      <c r="O74" s="301">
        <f>'WPB2.2 Plant detail-w slippage'!N453</f>
        <v>4827.3999999999996</v>
      </c>
      <c r="P74" s="301">
        <f>'WPB2.2 Plant detail-w slippage'!N559</f>
        <v>4887.3999999999996</v>
      </c>
      <c r="Q74" s="301">
        <f>'WPB2.2 Plant detail-w slippage'!N665</f>
        <v>4947.3999999999996</v>
      </c>
    </row>
    <row r="75" spans="1:17" x14ac:dyDescent="0.2">
      <c r="A75" s="48">
        <f t="shared" si="8"/>
        <v>19</v>
      </c>
      <c r="C75" s="123">
        <v>393</v>
      </c>
      <c r="E75" s="52"/>
      <c r="F75" s="282">
        <v>0</v>
      </c>
      <c r="G75" s="282">
        <v>0</v>
      </c>
      <c r="H75" s="282">
        <v>0</v>
      </c>
      <c r="I75" s="282">
        <v>0</v>
      </c>
      <c r="J75" s="282">
        <v>0</v>
      </c>
      <c r="K75" s="282">
        <v>0</v>
      </c>
      <c r="L75" s="301">
        <f>'WPB2.2 Plant detail-w slippage'!N136</f>
        <v>0</v>
      </c>
      <c r="M75" s="301">
        <f>'WPB2.2 Plant detail-w slippage'!N242</f>
        <v>0</v>
      </c>
      <c r="N75" s="301">
        <f>'WPB2.2 Plant detail-w slippage'!N348</f>
        <v>0</v>
      </c>
      <c r="O75" s="301">
        <f>'WPB2.2 Plant detail-w slippage'!N454</f>
        <v>0</v>
      </c>
      <c r="P75" s="301">
        <f>'WPB2.2 Plant detail-w slippage'!N560</f>
        <v>0</v>
      </c>
      <c r="Q75" s="301">
        <f>'WPB2.2 Plant detail-w slippage'!N666</f>
        <v>0</v>
      </c>
    </row>
    <row r="76" spans="1:17" x14ac:dyDescent="0.2">
      <c r="A76" s="48">
        <f t="shared" si="8"/>
        <v>20</v>
      </c>
      <c r="C76" s="123">
        <v>394.1</v>
      </c>
      <c r="E76" s="52"/>
      <c r="F76" s="282">
        <v>13394.82</v>
      </c>
      <c r="G76" s="282">
        <v>13475.62</v>
      </c>
      <c r="H76" s="282">
        <v>13556.42</v>
      </c>
      <c r="I76" s="282">
        <v>13637.22</v>
      </c>
      <c r="J76" s="282">
        <v>13718.02</v>
      </c>
      <c r="K76" s="282">
        <v>13798.82</v>
      </c>
      <c r="L76" s="301">
        <f>'WPB2.2 Plant detail-w slippage'!N137</f>
        <v>13879.82</v>
      </c>
      <c r="M76" s="301">
        <f>'WPB2.2 Plant detail-w slippage'!N243</f>
        <v>13960.82</v>
      </c>
      <c r="N76" s="301">
        <f>'WPB2.2 Plant detail-w slippage'!N349</f>
        <v>14041.82</v>
      </c>
      <c r="O76" s="301">
        <f>'WPB2.2 Plant detail-w slippage'!N455</f>
        <v>14122.82</v>
      </c>
      <c r="P76" s="301">
        <f>'WPB2.2 Plant detail-w slippage'!N561</f>
        <v>14203.82</v>
      </c>
      <c r="Q76" s="301">
        <f>'WPB2.2 Plant detail-w slippage'!N667</f>
        <v>14284.82</v>
      </c>
    </row>
    <row r="77" spans="1:17" x14ac:dyDescent="0.2">
      <c r="A77" s="48">
        <f t="shared" si="8"/>
        <v>21</v>
      </c>
      <c r="C77" s="123">
        <v>394.11</v>
      </c>
      <c r="E77" s="52"/>
      <c r="F77" s="282">
        <v>0</v>
      </c>
      <c r="G77" s="282">
        <v>0</v>
      </c>
      <c r="H77" s="282">
        <v>0</v>
      </c>
      <c r="I77" s="282">
        <v>0</v>
      </c>
      <c r="J77" s="282">
        <v>0</v>
      </c>
      <c r="K77" s="282">
        <v>0</v>
      </c>
      <c r="L77" s="301">
        <f>'WPB2.2 Plant detail-w slippage'!N138</f>
        <v>0</v>
      </c>
      <c r="M77" s="301">
        <f>'WPB2.2 Plant detail-w slippage'!N244</f>
        <v>0</v>
      </c>
      <c r="N77" s="301">
        <f>'WPB2.2 Plant detail-w slippage'!N350</f>
        <v>0</v>
      </c>
      <c r="O77" s="301">
        <f>'WPB2.2 Plant detail-w slippage'!N456</f>
        <v>0</v>
      </c>
      <c r="P77" s="301">
        <f>'WPB2.2 Plant detail-w slippage'!N562</f>
        <v>0</v>
      </c>
      <c r="Q77" s="301">
        <f>'WPB2.2 Plant detail-w slippage'!N668</f>
        <v>0</v>
      </c>
    </row>
    <row r="78" spans="1:17" x14ac:dyDescent="0.2">
      <c r="A78" s="48">
        <f t="shared" si="8"/>
        <v>22</v>
      </c>
      <c r="C78" s="123">
        <v>394.13</v>
      </c>
      <c r="E78" s="52"/>
      <c r="F78" s="282">
        <v>37937.360000000001</v>
      </c>
      <c r="G78" s="282">
        <v>37937.360000000001</v>
      </c>
      <c r="H78" s="282">
        <v>37937.360000000001</v>
      </c>
      <c r="I78" s="282">
        <v>37937.360000000001</v>
      </c>
      <c r="J78" s="282">
        <v>37937.360000000001</v>
      </c>
      <c r="K78" s="282">
        <v>37937.360000000001</v>
      </c>
      <c r="L78" s="301">
        <f>'WPB2.2 Plant detail-w slippage'!N139</f>
        <v>37937.360000000001</v>
      </c>
      <c r="M78" s="301">
        <f>'WPB2.2 Plant detail-w slippage'!N245</f>
        <v>37937.360000000001</v>
      </c>
      <c r="N78" s="301">
        <f>'WPB2.2 Plant detail-w slippage'!N351</f>
        <v>37937.360000000001</v>
      </c>
      <c r="O78" s="301">
        <f>'WPB2.2 Plant detail-w slippage'!N457</f>
        <v>37937.360000000001</v>
      </c>
      <c r="P78" s="301">
        <f>'WPB2.2 Plant detail-w slippage'!N563</f>
        <v>37937.360000000001</v>
      </c>
      <c r="Q78" s="301">
        <f>'WPB2.2 Plant detail-w slippage'!N669</f>
        <v>37937.360000000001</v>
      </c>
    </row>
    <row r="79" spans="1:17" x14ac:dyDescent="0.2">
      <c r="A79" s="48">
        <f t="shared" si="8"/>
        <v>23</v>
      </c>
      <c r="C79" s="123">
        <v>394.2</v>
      </c>
      <c r="E79" s="52"/>
      <c r="F79" s="282">
        <v>185.21</v>
      </c>
      <c r="G79" s="282">
        <v>185.21</v>
      </c>
      <c r="H79" s="282">
        <v>185.21</v>
      </c>
      <c r="I79" s="282">
        <v>185.21</v>
      </c>
      <c r="J79" s="282">
        <v>185.21</v>
      </c>
      <c r="K79" s="282">
        <v>185.21</v>
      </c>
      <c r="L79" s="301">
        <f>'WPB2.2 Plant detail-w slippage'!N140</f>
        <v>185.21</v>
      </c>
      <c r="M79" s="301">
        <f>'WPB2.2 Plant detail-w slippage'!N246</f>
        <v>185.21</v>
      </c>
      <c r="N79" s="301">
        <f>'WPB2.2 Plant detail-w slippage'!N352</f>
        <v>185.21</v>
      </c>
      <c r="O79" s="301">
        <f>'WPB2.2 Plant detail-w slippage'!N458</f>
        <v>185.21</v>
      </c>
      <c r="P79" s="301">
        <f>'WPB2.2 Plant detail-w slippage'!N564</f>
        <v>185.21</v>
      </c>
      <c r="Q79" s="301">
        <f>'WPB2.2 Plant detail-w slippage'!N670</f>
        <v>185.21</v>
      </c>
    </row>
    <row r="80" spans="1:17" x14ac:dyDescent="0.2">
      <c r="A80" s="48">
        <f t="shared" si="8"/>
        <v>24</v>
      </c>
      <c r="C80" s="123">
        <v>394.3</v>
      </c>
      <c r="E80" s="52"/>
      <c r="F80" s="282">
        <v>1190937</v>
      </c>
      <c r="G80" s="282">
        <v>1198149.08</v>
      </c>
      <c r="H80" s="282">
        <v>1192214.8999999999</v>
      </c>
      <c r="I80" s="282">
        <v>1201947.24</v>
      </c>
      <c r="J80" s="282">
        <v>1211684.49</v>
      </c>
      <c r="K80" s="282">
        <v>1210842.1499999999</v>
      </c>
      <c r="L80" s="301">
        <f>'WPB2.2 Plant detail-w slippage'!N141</f>
        <v>1214387.1499999999</v>
      </c>
      <c r="M80" s="301">
        <f>'WPB2.2 Plant detail-w slippage'!N247</f>
        <v>1220134.1499999999</v>
      </c>
      <c r="N80" s="301">
        <f>'WPB2.2 Plant detail-w slippage'!N353</f>
        <v>1227201.1499999999</v>
      </c>
      <c r="O80" s="301">
        <f>'WPB2.2 Plant detail-w slippage'!N459</f>
        <v>1233306.1499999999</v>
      </c>
      <c r="P80" s="301">
        <f>'WPB2.2 Plant detail-w slippage'!N565</f>
        <v>1233321.1499999999</v>
      </c>
      <c r="Q80" s="301">
        <f>'WPB2.2 Plant detail-w slippage'!N671</f>
        <v>1243947.1499999999</v>
      </c>
    </row>
    <row r="81" spans="1:33" x14ac:dyDescent="0.2">
      <c r="A81" s="48">
        <f t="shared" si="8"/>
        <v>25</v>
      </c>
      <c r="C81" s="123">
        <v>395</v>
      </c>
      <c r="E81" s="52"/>
      <c r="F81" s="282">
        <v>6946.74</v>
      </c>
      <c r="G81" s="282">
        <v>6985.31</v>
      </c>
      <c r="H81" s="282">
        <v>7023.88</v>
      </c>
      <c r="I81" s="282">
        <v>7062.45</v>
      </c>
      <c r="J81" s="282">
        <v>7101.02</v>
      </c>
      <c r="K81" s="282">
        <v>7139.59</v>
      </c>
      <c r="L81" s="301">
        <f>'WPB2.2 Plant detail-w slippage'!N142</f>
        <v>7178.59</v>
      </c>
      <c r="M81" s="301">
        <f>'WPB2.2 Plant detail-w slippage'!N248</f>
        <v>7217.59</v>
      </c>
      <c r="N81" s="301">
        <f>'WPB2.2 Plant detail-w slippage'!N354</f>
        <v>7256.59</v>
      </c>
      <c r="O81" s="301">
        <f>'WPB2.2 Plant detail-w slippage'!N460</f>
        <v>7295.59</v>
      </c>
      <c r="P81" s="301">
        <f>'WPB2.2 Plant detail-w slippage'!N566</f>
        <v>7334.59</v>
      </c>
      <c r="Q81" s="301">
        <f>'WPB2.2 Plant detail-w slippage'!N672</f>
        <v>7373.59</v>
      </c>
    </row>
    <row r="82" spans="1:33" x14ac:dyDescent="0.2">
      <c r="A82" s="48">
        <f t="shared" si="8"/>
        <v>26</v>
      </c>
      <c r="C82" s="123">
        <v>396</v>
      </c>
      <c r="E82" s="52"/>
      <c r="F82" s="282">
        <v>182667.01</v>
      </c>
      <c r="G82" s="282">
        <v>182667.01</v>
      </c>
      <c r="H82" s="282">
        <v>182667.01</v>
      </c>
      <c r="I82" s="282">
        <v>182667.01</v>
      </c>
      <c r="J82" s="282">
        <v>182667.01</v>
      </c>
      <c r="K82" s="282">
        <v>199321.72</v>
      </c>
      <c r="L82" s="301">
        <f>'WPB2.2 Plant detail-w slippage'!N143</f>
        <v>199321.72</v>
      </c>
      <c r="M82" s="301">
        <f>'WPB2.2 Plant detail-w slippage'!N249</f>
        <v>199321.72</v>
      </c>
      <c r="N82" s="301">
        <f>'WPB2.2 Plant detail-w slippage'!N355</f>
        <v>199321.72</v>
      </c>
      <c r="O82" s="301">
        <f>'WPB2.2 Plant detail-w slippage'!N461</f>
        <v>199321.72</v>
      </c>
      <c r="P82" s="301">
        <f>'WPB2.2 Plant detail-w slippage'!N567</f>
        <v>199321.72</v>
      </c>
      <c r="Q82" s="301">
        <f>'WPB2.2 Plant detail-w slippage'!N673</f>
        <v>199321.72</v>
      </c>
    </row>
    <row r="83" spans="1:33" x14ac:dyDescent="0.2">
      <c r="A83" s="48">
        <f t="shared" si="8"/>
        <v>27</v>
      </c>
      <c r="C83" s="123">
        <v>398</v>
      </c>
      <c r="E83" s="52"/>
      <c r="F83" s="281">
        <v>30574.93</v>
      </c>
      <c r="G83" s="281">
        <v>31153.15</v>
      </c>
      <c r="H83" s="281">
        <v>18693.62</v>
      </c>
      <c r="I83" s="281">
        <v>19199.61</v>
      </c>
      <c r="J83" s="281">
        <v>19705.599999999999</v>
      </c>
      <c r="K83" s="281">
        <v>20211.59</v>
      </c>
      <c r="L83" s="302">
        <f>'WPB2.2 Plant detail-w slippage'!N144</f>
        <v>20717.59</v>
      </c>
      <c r="M83" s="302">
        <f>'WPB2.2 Plant detail-w slippage'!N250</f>
        <v>21223.59</v>
      </c>
      <c r="N83" s="302">
        <f>'WPB2.2 Plant detail-w slippage'!N356</f>
        <v>21729.59</v>
      </c>
      <c r="O83" s="302">
        <f>'WPB2.2 Plant detail-w slippage'!N462</f>
        <v>22235.59</v>
      </c>
      <c r="P83" s="302">
        <f>'WPB2.2 Plant detail-w slippage'!N568</f>
        <v>22741.59</v>
      </c>
      <c r="Q83" s="302">
        <f>'WPB2.2 Plant detail-w slippage'!N674</f>
        <v>18757.59</v>
      </c>
    </row>
    <row r="84" spans="1:33" x14ac:dyDescent="0.2">
      <c r="A84" s="48">
        <f t="shared" si="8"/>
        <v>28</v>
      </c>
      <c r="C84" s="52" t="s">
        <v>684</v>
      </c>
      <c r="F84" s="51">
        <f t="shared" ref="F84:Q84" si="9">SUM(F70:F83)</f>
        <v>1870003.51</v>
      </c>
      <c r="G84" s="51">
        <f t="shared" si="9"/>
        <v>1889445.49</v>
      </c>
      <c r="H84" s="51">
        <f t="shared" si="9"/>
        <v>1882703.46</v>
      </c>
      <c r="I84" s="162">
        <f t="shared" si="9"/>
        <v>1907274.11</v>
      </c>
      <c r="J84" s="51">
        <f t="shared" si="9"/>
        <v>1933688.86</v>
      </c>
      <c r="K84" s="51">
        <f t="shared" si="9"/>
        <v>1967723.27</v>
      </c>
      <c r="L84" s="51">
        <f t="shared" si="9"/>
        <v>1986809.27</v>
      </c>
      <c r="M84" s="51">
        <f t="shared" si="9"/>
        <v>2010856.27</v>
      </c>
      <c r="N84" s="51">
        <f t="shared" si="9"/>
        <v>2036223.2699999998</v>
      </c>
      <c r="O84" s="51">
        <f t="shared" si="9"/>
        <v>2060503.27</v>
      </c>
      <c r="P84" s="51">
        <f t="shared" si="9"/>
        <v>2078823.27</v>
      </c>
      <c r="Q84" s="51">
        <f t="shared" si="9"/>
        <v>2103838.27</v>
      </c>
    </row>
    <row r="85" spans="1:33" x14ac:dyDescent="0.2">
      <c r="A85" s="48"/>
      <c r="C85" s="123"/>
      <c r="E85" s="49"/>
      <c r="F85" s="51"/>
      <c r="G85" s="107"/>
      <c r="H85" s="107"/>
      <c r="I85" s="180"/>
      <c r="J85" s="107"/>
      <c r="K85" s="107"/>
      <c r="L85" s="107"/>
      <c r="M85" s="108"/>
      <c r="N85" s="107"/>
      <c r="O85" s="107"/>
    </row>
    <row r="86" spans="1:33" ht="13.5" thickBot="1" x14ac:dyDescent="0.25">
      <c r="A86" s="48">
        <f>A84+1</f>
        <v>29</v>
      </c>
      <c r="C86" s="251" t="s">
        <v>872</v>
      </c>
      <c r="F86" s="118">
        <f t="shared" ref="F86:Q86" si="10">F18+F22+F67+F84</f>
        <v>140230996.59</v>
      </c>
      <c r="G86" s="118">
        <f t="shared" si="10"/>
        <v>140733994.11000001</v>
      </c>
      <c r="H86" s="118">
        <f t="shared" si="10"/>
        <v>141050234.93999997</v>
      </c>
      <c r="I86" s="1332">
        <f t="shared" si="10"/>
        <v>141382357.04999998</v>
      </c>
      <c r="J86" s="118">
        <f t="shared" si="10"/>
        <v>142150131.29999998</v>
      </c>
      <c r="K86" s="118">
        <f t="shared" si="10"/>
        <v>142480394.88000003</v>
      </c>
      <c r="L86" s="118">
        <f t="shared" si="10"/>
        <v>142797123.64289764</v>
      </c>
      <c r="M86" s="118">
        <f t="shared" si="10"/>
        <v>142944232.40579531</v>
      </c>
      <c r="N86" s="118">
        <f t="shared" si="10"/>
        <v>143229703.16869292</v>
      </c>
      <c r="O86" s="118">
        <f t="shared" si="10"/>
        <v>143563434.93159056</v>
      </c>
      <c r="P86" s="118">
        <f t="shared" si="10"/>
        <v>144031217.69448823</v>
      </c>
      <c r="Q86" s="118">
        <f t="shared" si="10"/>
        <v>144486934.45738584</v>
      </c>
    </row>
    <row r="87" spans="1:33" ht="13.5" thickTop="1" x14ac:dyDescent="0.2">
      <c r="F87" s="51"/>
      <c r="G87" s="107"/>
      <c r="H87" s="107"/>
      <c r="I87" s="1116"/>
      <c r="J87" s="107"/>
      <c r="K87" s="104"/>
      <c r="L87" s="107"/>
      <c r="M87" s="104"/>
      <c r="N87" s="107"/>
      <c r="O87" s="107"/>
    </row>
    <row r="88" spans="1:33" s="161" customFormat="1" x14ac:dyDescent="0.2">
      <c r="A88" s="1727">
        <f>A86+1</f>
        <v>30</v>
      </c>
      <c r="C88" s="1732">
        <v>378.21</v>
      </c>
      <c r="F88" s="281">
        <v>-2414.83</v>
      </c>
      <c r="G88" s="281">
        <v>-3935.12</v>
      </c>
      <c r="H88" s="281">
        <v>-5455.41</v>
      </c>
      <c r="I88" s="281">
        <v>-6975.7</v>
      </c>
      <c r="J88" s="281">
        <v>-8495.99</v>
      </c>
      <c r="K88" s="281">
        <v>-10016.279999999999</v>
      </c>
      <c r="L88" s="281">
        <f>((-25903/12)*6)+K88</f>
        <v>-22967.78</v>
      </c>
      <c r="M88" s="281">
        <f>((-25903/12))+L88</f>
        <v>-25126.363333333331</v>
      </c>
      <c r="N88" s="281">
        <f t="shared" ref="N88:Q88" si="11">((-25903/12))+M88</f>
        <v>-27284.946666666663</v>
      </c>
      <c r="O88" s="281">
        <f t="shared" si="11"/>
        <v>-29443.529999999995</v>
      </c>
      <c r="P88" s="281">
        <f t="shared" si="11"/>
        <v>-31602.113333333327</v>
      </c>
      <c r="Q88" s="281">
        <f t="shared" si="11"/>
        <v>-33760.696666666663</v>
      </c>
      <c r="S88" s="1807"/>
    </row>
    <row r="89" spans="1:33" x14ac:dyDescent="0.2">
      <c r="A89" s="48">
        <f t="shared" ref="A89" si="12">A88+1</f>
        <v>31</v>
      </c>
      <c r="C89" s="1726" t="s">
        <v>686</v>
      </c>
      <c r="F89" s="51">
        <f>SUM(F88)</f>
        <v>-2414.83</v>
      </c>
      <c r="G89" s="51">
        <f t="shared" ref="G89:Q89" si="13">SUM(G88)</f>
        <v>-3935.12</v>
      </c>
      <c r="H89" s="51">
        <f t="shared" si="13"/>
        <v>-5455.41</v>
      </c>
      <c r="I89" s="51">
        <f t="shared" si="13"/>
        <v>-6975.7</v>
      </c>
      <c r="J89" s="51">
        <f t="shared" si="13"/>
        <v>-8495.99</v>
      </c>
      <c r="K89" s="51">
        <f t="shared" si="13"/>
        <v>-10016.279999999999</v>
      </c>
      <c r="L89" s="51">
        <f t="shared" si="13"/>
        <v>-22967.78</v>
      </c>
      <c r="M89" s="51">
        <f t="shared" si="13"/>
        <v>-25126.363333333331</v>
      </c>
      <c r="N89" s="51">
        <f t="shared" si="13"/>
        <v>-27284.946666666663</v>
      </c>
      <c r="O89" s="51">
        <f t="shared" si="13"/>
        <v>-29443.529999999995</v>
      </c>
      <c r="P89" s="51">
        <f t="shared" si="13"/>
        <v>-31602.113333333327</v>
      </c>
      <c r="Q89" s="51">
        <f t="shared" si="13"/>
        <v>-33760.696666666663</v>
      </c>
    </row>
    <row r="90" spans="1:33" x14ac:dyDescent="0.2">
      <c r="F90" s="277"/>
      <c r="G90" s="277"/>
      <c r="H90" s="277"/>
      <c r="I90" s="1333"/>
      <c r="J90" s="277"/>
      <c r="K90" s="277"/>
    </row>
    <row r="91" spans="1:33" ht="13.5" thickBot="1" x14ac:dyDescent="0.25">
      <c r="A91" s="48">
        <f>A89+1</f>
        <v>32</v>
      </c>
      <c r="C91" s="251" t="s">
        <v>872</v>
      </c>
      <c r="F91" s="1669">
        <f>F89+F86</f>
        <v>140228581.75999999</v>
      </c>
      <c r="G91" s="1669">
        <f t="shared" ref="G91:Q91" si="14">G89+G86</f>
        <v>140730058.99000001</v>
      </c>
      <c r="H91" s="1669">
        <f t="shared" si="14"/>
        <v>141044779.52999997</v>
      </c>
      <c r="I91" s="1669">
        <f t="shared" si="14"/>
        <v>141375381.34999999</v>
      </c>
      <c r="J91" s="1669">
        <f t="shared" si="14"/>
        <v>142141635.30999997</v>
      </c>
      <c r="K91" s="1669">
        <f t="shared" si="14"/>
        <v>142470378.60000002</v>
      </c>
      <c r="L91" s="1669">
        <f t="shared" si="14"/>
        <v>142774155.86289763</v>
      </c>
      <c r="M91" s="1669">
        <f t="shared" si="14"/>
        <v>142919106.04246196</v>
      </c>
      <c r="N91" s="1669">
        <f t="shared" si="14"/>
        <v>143202418.22202626</v>
      </c>
      <c r="O91" s="1669">
        <f t="shared" si="14"/>
        <v>143533991.40159056</v>
      </c>
      <c r="P91" s="1669">
        <f t="shared" si="14"/>
        <v>143999615.58115488</v>
      </c>
      <c r="Q91" s="1669">
        <f t="shared" si="14"/>
        <v>144453173.76071918</v>
      </c>
    </row>
    <row r="92" spans="1:33" ht="13.5" thickTop="1" x14ac:dyDescent="0.2"/>
    <row r="94" spans="1:33" x14ac:dyDescent="0.2">
      <c r="G94" s="116"/>
      <c r="H94" s="116"/>
      <c r="I94" s="116"/>
      <c r="J94" s="116"/>
      <c r="K94" s="116"/>
      <c r="L94" s="116"/>
      <c r="M94" s="116"/>
      <c r="N94" s="116"/>
      <c r="O94" s="116"/>
      <c r="P94" s="116"/>
      <c r="Q94" s="116"/>
    </row>
    <row r="95" spans="1:33" x14ac:dyDescent="0.2"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16"/>
    </row>
    <row r="97" spans="7:17" x14ac:dyDescent="0.2"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</row>
  </sheetData>
  <mergeCells count="8">
    <mergeCell ref="A44:Q44"/>
    <mergeCell ref="A45:Q45"/>
    <mergeCell ref="A46:Q46"/>
    <mergeCell ref="A1:Q1"/>
    <mergeCell ref="A2:Q2"/>
    <mergeCell ref="A3:Q3"/>
    <mergeCell ref="A4:Q4"/>
    <mergeCell ref="A43:Q43"/>
  </mergeCells>
  <phoneticPr fontId="0" type="noConversion"/>
  <pageMargins left="1" right="0.5" top="1" bottom="0.75" header="0.3" footer="0.3"/>
  <pageSetup scale="68" fitToHeight="0" orientation="landscape" r:id="rId1"/>
  <headerFooter>
    <oddHeader>&amp;R&amp;"Arial,Regular"&amp;10KY PSC Case No. 2016-00162, Attachment A to Staff 3-4</oddHeader>
  </headerFooter>
  <rowBreaks count="1" manualBreakCount="1">
    <brk id="4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5">
    <pageSetUpPr fitToPage="1"/>
  </sheetPr>
  <dimension ref="A1:S94"/>
  <sheetViews>
    <sheetView showGridLines="0" view="pageBreakPreview" zoomScale="60" zoomScaleNormal="85" workbookViewId="0">
      <selection activeCell="F46" sqref="F46"/>
    </sheetView>
  </sheetViews>
  <sheetFormatPr defaultColWidth="12.5" defaultRowHeight="12.75" x14ac:dyDescent="0.2"/>
  <cols>
    <col min="1" max="1" width="4.1640625" style="42" customWidth="1"/>
    <col min="2" max="2" width="1.6640625" style="42" customWidth="1"/>
    <col min="3" max="3" width="9.1640625" style="119" customWidth="1"/>
    <col min="4" max="4" width="1.6640625" style="42" customWidth="1"/>
    <col min="5" max="5" width="5.6640625" style="42" customWidth="1"/>
    <col min="6" max="12" width="16.83203125" style="42" bestFit="1" customWidth="1"/>
    <col min="13" max="18" width="16.83203125" style="42" customWidth="1"/>
    <col min="19" max="19" width="16.33203125" style="42" customWidth="1"/>
    <col min="20" max="23" width="12" style="42" customWidth="1"/>
    <col min="24" max="16384" width="12.5" style="42"/>
  </cols>
  <sheetData>
    <row r="1" spans="1:19" x14ac:dyDescent="0.2">
      <c r="A1" s="2066" t="str">
        <f>co</f>
        <v>COLUMBIA GAS OF KENTUCKY, INC.</v>
      </c>
      <c r="B1" s="2066"/>
      <c r="C1" s="2066"/>
      <c r="D1" s="2066"/>
      <c r="E1" s="2066"/>
      <c r="F1" s="2066"/>
      <c r="G1" s="2066"/>
      <c r="H1" s="2066"/>
      <c r="I1" s="2066"/>
      <c r="J1" s="2066"/>
      <c r="K1" s="2066"/>
      <c r="L1" s="2066"/>
      <c r="M1" s="2066"/>
      <c r="N1" s="2066"/>
      <c r="O1" s="2066"/>
      <c r="P1" s="2066"/>
      <c r="Q1" s="2066"/>
      <c r="R1" s="2066"/>
      <c r="S1" s="2066"/>
    </row>
    <row r="2" spans="1:19" x14ac:dyDescent="0.2">
      <c r="A2" s="2066" t="str">
        <f>case</f>
        <v>CASE NO. 2016 - 00162</v>
      </c>
      <c r="B2" s="2066"/>
      <c r="C2" s="2066"/>
      <c r="D2" s="2066"/>
      <c r="E2" s="2066"/>
      <c r="F2" s="2066"/>
      <c r="G2" s="2066"/>
      <c r="H2" s="2066"/>
      <c r="I2" s="2066"/>
      <c r="J2" s="2066"/>
      <c r="K2" s="2066"/>
      <c r="L2" s="2066"/>
      <c r="M2" s="2066"/>
      <c r="N2" s="2066"/>
      <c r="O2" s="2066"/>
      <c r="P2" s="2066"/>
      <c r="Q2" s="2066"/>
      <c r="R2" s="2066"/>
      <c r="S2" s="2066"/>
    </row>
    <row r="3" spans="1:19" x14ac:dyDescent="0.2">
      <c r="A3" s="2067" t="s">
        <v>828</v>
      </c>
      <c r="B3" s="2067"/>
      <c r="C3" s="2067"/>
      <c r="D3" s="2067"/>
      <c r="E3" s="2067"/>
      <c r="F3" s="2067"/>
      <c r="G3" s="2067"/>
      <c r="H3" s="2067"/>
      <c r="I3" s="2067"/>
      <c r="J3" s="2067"/>
      <c r="K3" s="2067"/>
      <c r="L3" s="2067"/>
      <c r="M3" s="2067"/>
      <c r="N3" s="2067"/>
      <c r="O3" s="2067"/>
      <c r="P3" s="2067"/>
      <c r="Q3" s="2067"/>
      <c r="R3" s="2067"/>
      <c r="S3" s="2067"/>
    </row>
    <row r="4" spans="1:19" x14ac:dyDescent="0.2">
      <c r="A4" s="2072" t="s">
        <v>2031</v>
      </c>
      <c r="B4" s="2069"/>
      <c r="C4" s="2069"/>
      <c r="D4" s="2069"/>
      <c r="E4" s="2069"/>
      <c r="F4" s="2069"/>
      <c r="G4" s="2069"/>
      <c r="H4" s="2069"/>
      <c r="I4" s="2069"/>
      <c r="J4" s="2069"/>
      <c r="K4" s="2069"/>
      <c r="L4" s="2069"/>
      <c r="M4" s="2069"/>
      <c r="N4" s="2069"/>
      <c r="O4" s="2069"/>
      <c r="P4" s="2069"/>
      <c r="Q4" s="2069"/>
      <c r="R4" s="2069"/>
      <c r="S4" s="2069"/>
    </row>
    <row r="5" spans="1:19" x14ac:dyDescent="0.2">
      <c r="H5" s="43"/>
    </row>
    <row r="7" spans="1:19" x14ac:dyDescent="0.2">
      <c r="A7" s="287" t="s">
        <v>1103</v>
      </c>
      <c r="S7" s="1271" t="s">
        <v>1774</v>
      </c>
    </row>
    <row r="8" spans="1:19" x14ac:dyDescent="0.2">
      <c r="A8" s="44" t="s">
        <v>690</v>
      </c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129" t="s">
        <v>567</v>
      </c>
    </row>
    <row r="9" spans="1:19" x14ac:dyDescent="0.2">
      <c r="A9" s="1275" t="s">
        <v>1758</v>
      </c>
      <c r="B9" s="46"/>
      <c r="C9" s="120"/>
      <c r="D9" s="46"/>
      <c r="E9" s="46"/>
      <c r="F9" s="46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</row>
    <row r="10" spans="1:19" x14ac:dyDescent="0.2">
      <c r="A10" s="44" t="s">
        <v>632</v>
      </c>
      <c r="C10" s="121" t="s">
        <v>692</v>
      </c>
      <c r="E10" s="43"/>
      <c r="H10" s="106"/>
      <c r="I10" s="104"/>
      <c r="J10" s="106"/>
      <c r="K10" s="104"/>
      <c r="L10" s="104"/>
      <c r="M10" s="104"/>
      <c r="N10" s="106"/>
      <c r="O10" s="104"/>
      <c r="P10" s="106"/>
      <c r="S10" s="304" t="s">
        <v>673</v>
      </c>
    </row>
    <row r="11" spans="1:19" x14ac:dyDescent="0.2">
      <c r="A11" s="111" t="s">
        <v>635</v>
      </c>
      <c r="B11" s="112"/>
      <c r="C11" s="122" t="s">
        <v>635</v>
      </c>
      <c r="D11" s="112"/>
      <c r="E11" s="111"/>
      <c r="F11" s="1659" t="s">
        <v>2143</v>
      </c>
      <c r="G11" s="1659" t="s">
        <v>2144</v>
      </c>
      <c r="H11" s="291" t="s">
        <v>2145</v>
      </c>
      <c r="I11" s="291" t="s">
        <v>2146</v>
      </c>
      <c r="J11" s="291" t="s">
        <v>2147</v>
      </c>
      <c r="K11" s="291" t="s">
        <v>2148</v>
      </c>
      <c r="L11" s="291" t="s">
        <v>2149</v>
      </c>
      <c r="M11" s="291" t="s">
        <v>2150</v>
      </c>
      <c r="N11" s="291" t="s">
        <v>2151</v>
      </c>
      <c r="O11" s="291" t="s">
        <v>2152</v>
      </c>
      <c r="P11" s="291" t="s">
        <v>2153</v>
      </c>
      <c r="Q11" s="291" t="s">
        <v>2154</v>
      </c>
      <c r="R11" s="291" t="s">
        <v>2155</v>
      </c>
      <c r="S11" s="114" t="s">
        <v>631</v>
      </c>
    </row>
    <row r="12" spans="1:19" x14ac:dyDescent="0.2">
      <c r="E12" s="104"/>
      <c r="F12" s="43"/>
      <c r="G12" s="43" t="s">
        <v>639</v>
      </c>
      <c r="H12" s="43" t="s">
        <v>639</v>
      </c>
      <c r="I12" s="43" t="s">
        <v>639</v>
      </c>
      <c r="J12" s="43" t="s">
        <v>639</v>
      </c>
      <c r="K12" s="43" t="s">
        <v>639</v>
      </c>
      <c r="L12" s="43" t="s">
        <v>639</v>
      </c>
      <c r="M12" s="43" t="s">
        <v>639</v>
      </c>
      <c r="N12" s="43" t="s">
        <v>639</v>
      </c>
      <c r="O12" s="43" t="s">
        <v>639</v>
      </c>
      <c r="P12" s="43" t="s">
        <v>639</v>
      </c>
      <c r="Q12" s="43" t="s">
        <v>639</v>
      </c>
      <c r="R12" s="43" t="s">
        <v>639</v>
      </c>
      <c r="S12" s="43" t="s">
        <v>639</v>
      </c>
    </row>
    <row r="13" spans="1:19" x14ac:dyDescent="0.2">
      <c r="A13" s="48"/>
      <c r="C13" s="123"/>
      <c r="E13" s="109"/>
      <c r="F13" s="51"/>
      <c r="G13" s="51"/>
      <c r="H13" s="104"/>
      <c r="I13" s="107"/>
      <c r="J13" s="104"/>
      <c r="K13" s="107"/>
      <c r="L13" s="107"/>
      <c r="M13" s="107"/>
      <c r="N13" s="107"/>
      <c r="O13" s="107"/>
      <c r="P13" s="107"/>
    </row>
    <row r="14" spans="1:19" x14ac:dyDescent="0.2">
      <c r="A14" s="48">
        <f t="shared" ref="A14:A19" si="0">A13+1</f>
        <v>1</v>
      </c>
      <c r="C14" s="123">
        <v>301</v>
      </c>
      <c r="E14" s="110"/>
      <c r="F14" s="301">
        <f>'WPB2.2 Plant detail-w slippage'!N1018</f>
        <v>0</v>
      </c>
      <c r="G14" s="301">
        <f>'WPB2.2 Plant detail-w slippage'!N1124</f>
        <v>0</v>
      </c>
      <c r="H14" s="301">
        <f>'WPB2.2 Plant detail-w slippage'!N1230</f>
        <v>0</v>
      </c>
      <c r="I14" s="301">
        <f>'WPB2.2 Plant detail-w slippage'!N1336</f>
        <v>0</v>
      </c>
      <c r="J14" s="301">
        <f>'WPB2.2 Plant detail-w slippage'!N1442</f>
        <v>0</v>
      </c>
      <c r="K14" s="301">
        <f>'WPB2.2 Plant detail-w slippage'!N1548</f>
        <v>0</v>
      </c>
      <c r="L14" s="301">
        <f>'WPB2.2 Plant detail-w slippage'!N1654</f>
        <v>0</v>
      </c>
      <c r="M14" s="301">
        <f>'WPB2.2 Plant detail-w slippage'!N1760</f>
        <v>0</v>
      </c>
      <c r="N14" s="301">
        <f>'WPB2.2 Plant detail-w slippage'!N1866</f>
        <v>0</v>
      </c>
      <c r="O14" s="301">
        <f>'WPB2.2 Plant detail-w slippage'!N1972</f>
        <v>0</v>
      </c>
      <c r="P14" s="301">
        <f>'WPB2.2 Plant detail-w slippage'!N2078</f>
        <v>0</v>
      </c>
      <c r="Q14" s="301">
        <f>'WPB2.2 Plant detail-w slippage'!N2184</f>
        <v>0</v>
      </c>
      <c r="R14" s="301">
        <f>'WPB2.2 Plant detail-w slippage'!N2290</f>
        <v>0</v>
      </c>
      <c r="S14" s="116">
        <f>AVERAGE(F14:R14)</f>
        <v>0</v>
      </c>
    </row>
    <row r="15" spans="1:19" x14ac:dyDescent="0.2">
      <c r="A15" s="48">
        <f t="shared" si="0"/>
        <v>2</v>
      </c>
      <c r="C15" s="123">
        <v>303</v>
      </c>
      <c r="E15" s="110"/>
      <c r="F15" s="301">
        <f>'WPB2.2 Plant detail-w slippage'!N1019</f>
        <v>47864.629999999968</v>
      </c>
      <c r="G15" s="301">
        <f>'WPB2.2 Plant detail-w slippage'!N1125</f>
        <v>48071.149999999965</v>
      </c>
      <c r="H15" s="301">
        <f>'WPB2.2 Plant detail-w slippage'!N1231</f>
        <v>48277.669999999962</v>
      </c>
      <c r="I15" s="301">
        <f>'WPB2.2 Plant detail-w slippage'!N1337</f>
        <v>48484.189999999959</v>
      </c>
      <c r="J15" s="301">
        <f>'WPB2.2 Plant detail-w slippage'!N1443</f>
        <v>48690.709999999955</v>
      </c>
      <c r="K15" s="301">
        <f>'WPB2.2 Plant detail-w slippage'!N1549</f>
        <v>48897.229999999952</v>
      </c>
      <c r="L15" s="301">
        <f>'WPB2.2 Plant detail-w slippage'!N1655</f>
        <v>49103.749999999949</v>
      </c>
      <c r="M15" s="301">
        <f>'WPB2.2 Plant detail-w slippage'!N1761</f>
        <v>49310.269999999946</v>
      </c>
      <c r="N15" s="301">
        <f>'WPB2.2 Plant detail-w slippage'!N1867</f>
        <v>49516.789999999943</v>
      </c>
      <c r="O15" s="301">
        <f>'WPB2.2 Plant detail-w slippage'!N1973</f>
        <v>49723.309999999939</v>
      </c>
      <c r="P15" s="301">
        <f>'WPB2.2 Plant detail-w slippage'!N2079</f>
        <v>49929.829999999936</v>
      </c>
      <c r="Q15" s="301">
        <f>'WPB2.2 Plant detail-w slippage'!N2185</f>
        <v>50136.349999999933</v>
      </c>
      <c r="R15" s="301">
        <f>'WPB2.2 Plant detail-w slippage'!N2291</f>
        <v>50342.86999999993</v>
      </c>
      <c r="S15" s="116">
        <f>AVERAGE(F15:R15)</f>
        <v>49103.749999999949</v>
      </c>
    </row>
    <row r="16" spans="1:19" x14ac:dyDescent="0.2">
      <c r="A16" s="48">
        <f t="shared" si="0"/>
        <v>3</v>
      </c>
      <c r="C16" s="123">
        <v>303.10000000000002</v>
      </c>
      <c r="E16" s="110"/>
      <c r="F16" s="301">
        <f>'WPB2.2 Plant detail-w slippage'!N1020</f>
        <v>0</v>
      </c>
      <c r="G16" s="301">
        <f>'WPB2.2 Plant detail-w slippage'!N1126</f>
        <v>0</v>
      </c>
      <c r="H16" s="301">
        <f>'WPB2.2 Plant detail-w slippage'!N1232</f>
        <v>0</v>
      </c>
      <c r="I16" s="301">
        <f>'WPB2.2 Plant detail-w slippage'!N1338</f>
        <v>0</v>
      </c>
      <c r="J16" s="301">
        <f>'WPB2.2 Plant detail-w slippage'!N1444</f>
        <v>0</v>
      </c>
      <c r="K16" s="301">
        <f>'WPB2.2 Plant detail-w slippage'!N1550</f>
        <v>0</v>
      </c>
      <c r="L16" s="301">
        <f>'WPB2.2 Plant detail-w slippage'!N1656</f>
        <v>0</v>
      </c>
      <c r="M16" s="301">
        <f>'WPB2.2 Plant detail-w slippage'!N1762</f>
        <v>0</v>
      </c>
      <c r="N16" s="301">
        <f>'WPB2.2 Plant detail-w slippage'!N1868</f>
        <v>0</v>
      </c>
      <c r="O16" s="301">
        <f>'WPB2.2 Plant detail-w slippage'!N1974</f>
        <v>0</v>
      </c>
      <c r="P16" s="301">
        <f>'WPB2.2 Plant detail-w slippage'!N2080</f>
        <v>0</v>
      </c>
      <c r="Q16" s="301">
        <f>'WPB2.2 Plant detail-w slippage'!N2186</f>
        <v>0</v>
      </c>
      <c r="R16" s="301">
        <f>'WPB2.2 Plant detail-w slippage'!N2292</f>
        <v>0</v>
      </c>
      <c r="S16" s="116">
        <f>AVERAGE(F16:R16)</f>
        <v>0</v>
      </c>
    </row>
    <row r="17" spans="1:19" x14ac:dyDescent="0.2">
      <c r="A17" s="48">
        <f t="shared" si="0"/>
        <v>4</v>
      </c>
      <c r="C17" s="123">
        <v>303.2</v>
      </c>
      <c r="E17" s="110"/>
      <c r="F17" s="301">
        <f>'WPB2.2 Plant detail-w slippage'!N1021</f>
        <v>0</v>
      </c>
      <c r="G17" s="301">
        <f>'WPB2.2 Plant detail-w slippage'!N1127</f>
        <v>0</v>
      </c>
      <c r="H17" s="301">
        <f>'WPB2.2 Plant detail-w slippage'!N1233</f>
        <v>0</v>
      </c>
      <c r="I17" s="301">
        <f>'WPB2.2 Plant detail-w slippage'!N1339</f>
        <v>0</v>
      </c>
      <c r="J17" s="301">
        <f>'WPB2.2 Plant detail-w slippage'!N1445</f>
        <v>0</v>
      </c>
      <c r="K17" s="301">
        <f>'WPB2.2 Plant detail-w slippage'!N1551</f>
        <v>0</v>
      </c>
      <c r="L17" s="301">
        <f>'WPB2.2 Plant detail-w slippage'!N1657</f>
        <v>0</v>
      </c>
      <c r="M17" s="301">
        <f>'WPB2.2 Plant detail-w slippage'!N1763</f>
        <v>0</v>
      </c>
      <c r="N17" s="301">
        <f>'WPB2.2 Plant detail-w slippage'!N1869</f>
        <v>0</v>
      </c>
      <c r="O17" s="301">
        <f>'WPB2.2 Plant detail-w slippage'!N1975</f>
        <v>0</v>
      </c>
      <c r="P17" s="301">
        <f>'WPB2.2 Plant detail-w slippage'!N2081</f>
        <v>0</v>
      </c>
      <c r="Q17" s="301">
        <f>'WPB2.2 Plant detail-w slippage'!N2187</f>
        <v>0</v>
      </c>
      <c r="R17" s="301">
        <f>'WPB2.2 Plant detail-w slippage'!N2293</f>
        <v>0</v>
      </c>
      <c r="S17" s="116">
        <f>AVERAGE(F17:R17)</f>
        <v>0</v>
      </c>
    </row>
    <row r="18" spans="1:19" x14ac:dyDescent="0.2">
      <c r="A18" s="48">
        <f t="shared" si="0"/>
        <v>5</v>
      </c>
      <c r="C18" s="123">
        <v>303.3</v>
      </c>
      <c r="E18" s="110"/>
      <c r="F18" s="302">
        <f>'WPB2.2 Plant detail-w slippage'!N1022</f>
        <v>2896198.2848468488</v>
      </c>
      <c r="G18" s="302">
        <f>'WPB2.2 Plant detail-w slippage'!N1128</f>
        <v>2980699.6476172479</v>
      </c>
      <c r="H18" s="302">
        <f>'WPB2.2 Plant detail-w slippage'!N1234</f>
        <v>3062574.7246733611</v>
      </c>
      <c r="I18" s="302">
        <f>'WPB2.2 Plant detail-w slippage'!N1340</f>
        <v>3144449.8017294742</v>
      </c>
      <c r="J18" s="302">
        <f>'WPB2.2 Plant detail-w slippage'!N1446</f>
        <v>3227890.8787855874</v>
      </c>
      <c r="K18" s="302">
        <f>'WPB2.2 Plant detail-w slippage'!N1552</f>
        <v>3312896.9558417005</v>
      </c>
      <c r="L18" s="302">
        <f>'WPB2.2 Plant detail-w slippage'!N1658</f>
        <v>3397360.7819300718</v>
      </c>
      <c r="M18" s="302">
        <f>'WPB2.2 Plant detail-w slippage'!N1764</f>
        <v>3503293.8918991862</v>
      </c>
      <c r="N18" s="302">
        <f>'WPB2.2 Plant detail-w slippage'!N1870</f>
        <v>3631205.5141453566</v>
      </c>
      <c r="O18" s="302">
        <f>'WPB2.2 Plant detail-w slippage'!N1976</f>
        <v>3759084.1138200988</v>
      </c>
      <c r="P18" s="302">
        <f>'WPB2.2 Plant detail-w slippage'!N2082</f>
        <v>3886496.7814435586</v>
      </c>
      <c r="Q18" s="302">
        <f>'WPB2.2 Plant detail-w slippage'!N2188</f>
        <v>4012283.635552322</v>
      </c>
      <c r="R18" s="302">
        <f>'WPB2.2 Plant detail-w slippage'!N2294</f>
        <v>4137298.6081976704</v>
      </c>
      <c r="S18" s="117">
        <f>AVERAGE(F18:R18)</f>
        <v>3457825.6631140378</v>
      </c>
    </row>
    <row r="19" spans="1:19" x14ac:dyDescent="0.2">
      <c r="A19" s="48">
        <f t="shared" si="0"/>
        <v>6</v>
      </c>
      <c r="C19" s="52" t="s">
        <v>959</v>
      </c>
      <c r="F19" s="51">
        <f t="shared" ref="F19:S19" si="1">SUM(F14:F18)</f>
        <v>2944062.9148468487</v>
      </c>
      <c r="G19" s="51">
        <f t="shared" si="1"/>
        <v>3028770.7976172478</v>
      </c>
      <c r="H19" s="51">
        <f t="shared" si="1"/>
        <v>3110852.394673361</v>
      </c>
      <c r="I19" s="51">
        <f t="shared" si="1"/>
        <v>3192933.9917294742</v>
      </c>
      <c r="J19" s="51">
        <f t="shared" si="1"/>
        <v>3276581.5887855873</v>
      </c>
      <c r="K19" s="51">
        <f t="shared" si="1"/>
        <v>3361794.1858417005</v>
      </c>
      <c r="L19" s="51">
        <f t="shared" si="1"/>
        <v>3446464.5319300718</v>
      </c>
      <c r="M19" s="51">
        <f t="shared" si="1"/>
        <v>3552604.1618991862</v>
      </c>
      <c r="N19" s="51">
        <f t="shared" si="1"/>
        <v>3680722.3041453566</v>
      </c>
      <c r="O19" s="51">
        <f t="shared" si="1"/>
        <v>3808807.4238200989</v>
      </c>
      <c r="P19" s="51">
        <f t="shared" si="1"/>
        <v>3936426.6114435587</v>
      </c>
      <c r="Q19" s="51">
        <f t="shared" si="1"/>
        <v>4062419.9855523221</v>
      </c>
      <c r="R19" s="51">
        <f t="shared" si="1"/>
        <v>4187641.4781976705</v>
      </c>
      <c r="S19" s="51">
        <f t="shared" si="1"/>
        <v>3506929.4131140378</v>
      </c>
    </row>
    <row r="20" spans="1:19" x14ac:dyDescent="0.2">
      <c r="A20" s="48"/>
      <c r="C20" s="123"/>
      <c r="E20" s="49"/>
      <c r="F20" s="51"/>
      <c r="G20" s="51"/>
      <c r="H20" s="107"/>
      <c r="I20" s="107"/>
      <c r="J20" s="108"/>
      <c r="K20" s="107"/>
      <c r="L20" s="107"/>
      <c r="M20" s="107"/>
      <c r="N20" s="108"/>
      <c r="O20" s="107"/>
      <c r="P20" s="107"/>
    </row>
    <row r="21" spans="1:19" x14ac:dyDescent="0.2">
      <c r="A21" s="48"/>
      <c r="C21" s="123"/>
      <c r="E21" s="109"/>
      <c r="F21" s="51"/>
      <c r="G21" s="51"/>
      <c r="H21" s="107"/>
      <c r="I21" s="107"/>
      <c r="J21" s="108"/>
      <c r="K21" s="107"/>
      <c r="L21" s="107"/>
      <c r="M21" s="107"/>
      <c r="N21" s="108"/>
      <c r="O21" s="107"/>
      <c r="P21" s="107"/>
    </row>
    <row r="22" spans="1:19" x14ac:dyDescent="0.2">
      <c r="A22" s="48">
        <f>A19+1</f>
        <v>7</v>
      </c>
      <c r="C22" s="123">
        <v>304.10000000000002</v>
      </c>
      <c r="E22" s="110"/>
      <c r="F22" s="302">
        <f>'WPB2.2 Plant detail-w slippage'!N1026</f>
        <v>0</v>
      </c>
      <c r="G22" s="302">
        <f>'WPB2.2 Plant detail-w slippage'!N1132</f>
        <v>0</v>
      </c>
      <c r="H22" s="302">
        <v>0</v>
      </c>
      <c r="I22" s="302">
        <f>'WPB2.2 Plant detail-w slippage'!N1344</f>
        <v>0</v>
      </c>
      <c r="J22" s="302">
        <f>'WPB2.2 Plant detail-w slippage'!N1450</f>
        <v>0</v>
      </c>
      <c r="K22" s="302">
        <f>'WPB2.2 Plant detail-w slippage'!N1556</f>
        <v>0</v>
      </c>
      <c r="L22" s="302">
        <f>'WPB2.2 Plant detail-w slippage'!N1662</f>
        <v>0</v>
      </c>
      <c r="M22" s="302">
        <f>'WPB2.2 Plant detail-w slippage'!N1768</f>
        <v>0</v>
      </c>
      <c r="N22" s="302">
        <f>'WPB2.2 Plant detail-w slippage'!N1874</f>
        <v>0</v>
      </c>
      <c r="O22" s="302">
        <f>'WPB2.2 Plant detail-w slippage'!N1980</f>
        <v>0</v>
      </c>
      <c r="P22" s="302">
        <f>'WPB2.2 Plant detail-w slippage'!N2086</f>
        <v>0</v>
      </c>
      <c r="Q22" s="302">
        <f>'WPB2.2 Plant detail-w slippage'!N2192</f>
        <v>0</v>
      </c>
      <c r="R22" s="302">
        <f>'WPB2.2 Plant detail-w slippage'!N2298</f>
        <v>0</v>
      </c>
      <c r="S22" s="117">
        <f>AVERAGE(F22:R22)</f>
        <v>0</v>
      </c>
    </row>
    <row r="23" spans="1:19" x14ac:dyDescent="0.2">
      <c r="A23" s="48">
        <f>A22+1</f>
        <v>8</v>
      </c>
      <c r="C23" s="52" t="s">
        <v>679</v>
      </c>
      <c r="F23" s="51">
        <f t="shared" ref="F23:S23" si="2">SUM(F22:F22)</f>
        <v>0</v>
      </c>
      <c r="G23" s="51">
        <f t="shared" si="2"/>
        <v>0</v>
      </c>
      <c r="H23" s="51">
        <f t="shared" si="2"/>
        <v>0</v>
      </c>
      <c r="I23" s="51">
        <f t="shared" si="2"/>
        <v>0</v>
      </c>
      <c r="J23" s="51">
        <f t="shared" si="2"/>
        <v>0</v>
      </c>
      <c r="K23" s="51">
        <f t="shared" si="2"/>
        <v>0</v>
      </c>
      <c r="L23" s="51">
        <f t="shared" si="2"/>
        <v>0</v>
      </c>
      <c r="M23" s="51">
        <f t="shared" si="2"/>
        <v>0</v>
      </c>
      <c r="N23" s="51">
        <f t="shared" si="2"/>
        <v>0</v>
      </c>
      <c r="O23" s="51">
        <f t="shared" si="2"/>
        <v>0</v>
      </c>
      <c r="P23" s="51">
        <f t="shared" si="2"/>
        <v>0</v>
      </c>
      <c r="Q23" s="51">
        <f t="shared" si="2"/>
        <v>0</v>
      </c>
      <c r="R23" s="51">
        <f t="shared" si="2"/>
        <v>0</v>
      </c>
      <c r="S23" s="51">
        <f t="shared" si="2"/>
        <v>0</v>
      </c>
    </row>
    <row r="24" spans="1:19" x14ac:dyDescent="0.2">
      <c r="A24" s="48"/>
      <c r="C24" s="123"/>
      <c r="E24" s="49"/>
      <c r="F24" s="51"/>
      <c r="G24" s="51"/>
      <c r="H24" s="107"/>
      <c r="I24" s="107"/>
      <c r="J24" s="108"/>
      <c r="K24" s="107"/>
      <c r="L24" s="107"/>
      <c r="M24" s="107"/>
      <c r="N24" s="108"/>
      <c r="O24" s="107"/>
      <c r="P24" s="107"/>
    </row>
    <row r="25" spans="1:19" x14ac:dyDescent="0.2">
      <c r="A25" s="48">
        <f>A23+1</f>
        <v>9</v>
      </c>
      <c r="C25" s="123"/>
      <c r="E25" s="50"/>
      <c r="F25" s="51"/>
      <c r="G25" s="51"/>
      <c r="H25" s="107"/>
      <c r="I25" s="107"/>
      <c r="J25" s="108"/>
      <c r="K25" s="107"/>
      <c r="L25" s="107"/>
      <c r="M25" s="107"/>
      <c r="N25" s="108"/>
      <c r="O25" s="107"/>
      <c r="P25" s="107"/>
    </row>
    <row r="26" spans="1:19" x14ac:dyDescent="0.2">
      <c r="A26" s="48">
        <f t="shared" ref="A26:A42" si="3">A25+1</f>
        <v>10</v>
      </c>
      <c r="C26" s="123">
        <v>374.1</v>
      </c>
      <c r="E26" s="52"/>
      <c r="F26" s="301">
        <f>'WPB2.2 Plant detail-w slippage'!N1030</f>
        <v>0</v>
      </c>
      <c r="G26" s="301">
        <f>'WPB2.2 Plant detail-w slippage'!N1136</f>
        <v>0</v>
      </c>
      <c r="H26" s="301">
        <f>'WPB2.2 Plant detail-w slippage'!N1242</f>
        <v>0</v>
      </c>
      <c r="I26" s="301">
        <f>'WPB2.2 Plant detail-w slippage'!N1348</f>
        <v>0</v>
      </c>
      <c r="J26" s="301">
        <f>'WPB2.2 Plant detail-w slippage'!N1454</f>
        <v>0</v>
      </c>
      <c r="K26" s="301">
        <f>'WPB2.2 Plant detail-w slippage'!N1560</f>
        <v>0</v>
      </c>
      <c r="L26" s="301">
        <f>'WPB2.2 Plant detail-w slippage'!N1666</f>
        <v>0</v>
      </c>
      <c r="M26" s="301">
        <f>'WPB2.2 Plant detail-w slippage'!N1772</f>
        <v>0</v>
      </c>
      <c r="N26" s="301">
        <f>'WPB2.2 Plant detail-w slippage'!N1878</f>
        <v>0</v>
      </c>
      <c r="O26" s="301">
        <f>'WPB2.2 Plant detail-w slippage'!N1984</f>
        <v>0</v>
      </c>
      <c r="P26" s="301">
        <f>'WPB2.2 Plant detail-w slippage'!N2090</f>
        <v>0</v>
      </c>
      <c r="Q26" s="301">
        <f>'WPB2.2 Plant detail-w slippage'!N2196</f>
        <v>0</v>
      </c>
      <c r="R26" s="301">
        <f>'WPB2.2 Plant detail-w slippage'!N2302</f>
        <v>0</v>
      </c>
      <c r="S26" s="116">
        <f>AVERAGE(F26:R26)</f>
        <v>0</v>
      </c>
    </row>
    <row r="27" spans="1:19" x14ac:dyDescent="0.2">
      <c r="A27" s="48">
        <f t="shared" si="3"/>
        <v>11</v>
      </c>
      <c r="C27" s="123">
        <v>374.2</v>
      </c>
      <c r="E27" s="52"/>
      <c r="F27" s="301">
        <f>'WPB2.2 Plant detail-w slippage'!N1031</f>
        <v>-523.13</v>
      </c>
      <c r="G27" s="301">
        <f>'WPB2.2 Plant detail-w slippage'!N1137</f>
        <v>-523.13</v>
      </c>
      <c r="H27" s="301">
        <f>'WPB2.2 Plant detail-w slippage'!N1243</f>
        <v>-523.13</v>
      </c>
      <c r="I27" s="301">
        <f>'WPB2.2 Plant detail-w slippage'!N1349</f>
        <v>-523.13</v>
      </c>
      <c r="J27" s="301">
        <f>'WPB2.2 Plant detail-w slippage'!N1455</f>
        <v>-523.13</v>
      </c>
      <c r="K27" s="301">
        <f>'WPB2.2 Plant detail-w slippage'!N1561</f>
        <v>-523.13</v>
      </c>
      <c r="L27" s="301">
        <f>'WPB2.2 Plant detail-w slippage'!N1667</f>
        <v>-523.13</v>
      </c>
      <c r="M27" s="301">
        <f>'WPB2.2 Plant detail-w slippage'!N1773</f>
        <v>-523.13</v>
      </c>
      <c r="N27" s="301">
        <f>'WPB2.2 Plant detail-w slippage'!N1879</f>
        <v>-523.13</v>
      </c>
      <c r="O27" s="301">
        <f>'WPB2.2 Plant detail-w slippage'!N1985</f>
        <v>-523.13</v>
      </c>
      <c r="P27" s="301">
        <f>'WPB2.2 Plant detail-w slippage'!N2091</f>
        <v>-523.13</v>
      </c>
      <c r="Q27" s="301">
        <f>'WPB2.2 Plant detail-w slippage'!N2197</f>
        <v>-523.13</v>
      </c>
      <c r="R27" s="301">
        <f>'WPB2.2 Plant detail-w slippage'!N2303</f>
        <v>-523.13</v>
      </c>
      <c r="S27" s="116">
        <f t="shared" ref="S27:S42" si="4">AVERAGE(F27:R27)</f>
        <v>-523.13</v>
      </c>
    </row>
    <row r="28" spans="1:19" x14ac:dyDescent="0.2">
      <c r="A28" s="48">
        <f t="shared" si="3"/>
        <v>12</v>
      </c>
      <c r="C28" s="123">
        <v>374.4</v>
      </c>
      <c r="E28" s="52"/>
      <c r="F28" s="301">
        <f>'WPB2.2 Plant detail-w slippage'!N1032</f>
        <v>178883.36</v>
      </c>
      <c r="G28" s="301">
        <f>'WPB2.2 Plant detail-w slippage'!N1138</f>
        <v>179842.36</v>
      </c>
      <c r="H28" s="301">
        <f>'WPB2.2 Plant detail-w slippage'!N1244</f>
        <v>180801.36</v>
      </c>
      <c r="I28" s="301">
        <f>'WPB2.2 Plant detail-w slippage'!N1350</f>
        <v>181760.36</v>
      </c>
      <c r="J28" s="301">
        <f>'WPB2.2 Plant detail-w slippage'!N1456</f>
        <v>182719.35999999999</v>
      </c>
      <c r="K28" s="301">
        <f>'WPB2.2 Plant detail-w slippage'!N1562</f>
        <v>183678.36</v>
      </c>
      <c r="L28" s="301">
        <f>'WPB2.2 Plant detail-w slippage'!N1668</f>
        <v>184637.36</v>
      </c>
      <c r="M28" s="301">
        <f>'WPB2.2 Plant detail-w slippage'!N1774</f>
        <v>185596.36</v>
      </c>
      <c r="N28" s="301">
        <f>'WPB2.2 Plant detail-w slippage'!N1880</f>
        <v>186555.36</v>
      </c>
      <c r="O28" s="301">
        <f>'WPB2.2 Plant detail-w slippage'!N1986</f>
        <v>187514.36</v>
      </c>
      <c r="P28" s="301">
        <f>'WPB2.2 Plant detail-w slippage'!N2092</f>
        <v>188473.36</v>
      </c>
      <c r="Q28" s="301">
        <f>'WPB2.2 Plant detail-w slippage'!N2198</f>
        <v>189432.36</v>
      </c>
      <c r="R28" s="301">
        <f>'WPB2.2 Plant detail-w slippage'!N2304</f>
        <v>190391.36</v>
      </c>
      <c r="S28" s="116">
        <f t="shared" si="4"/>
        <v>184637.35999999993</v>
      </c>
    </row>
    <row r="29" spans="1:19" x14ac:dyDescent="0.2">
      <c r="A29" s="48">
        <f t="shared" si="3"/>
        <v>13</v>
      </c>
      <c r="C29" s="123">
        <v>374.5</v>
      </c>
      <c r="E29" s="52"/>
      <c r="F29" s="301">
        <f>'WPB2.2 Plant detail-w slippage'!N1033</f>
        <v>928828.23</v>
      </c>
      <c r="G29" s="301">
        <f>'WPB2.2 Plant detail-w slippage'!N1139</f>
        <v>931436.23</v>
      </c>
      <c r="H29" s="301">
        <f>'WPB2.2 Plant detail-w slippage'!N1245</f>
        <v>933847.23</v>
      </c>
      <c r="I29" s="301">
        <f>'WPB2.2 Plant detail-w slippage'!N1351</f>
        <v>936361.23</v>
      </c>
      <c r="J29" s="301">
        <f>'WPB2.2 Plant detail-w slippage'!N1457</f>
        <v>938580.23</v>
      </c>
      <c r="K29" s="301">
        <f>'WPB2.2 Plant detail-w slippage'!N1563</f>
        <v>940904.23</v>
      </c>
      <c r="L29" s="301">
        <f>'WPB2.2 Plant detail-w slippage'!N1669</f>
        <v>943232.23</v>
      </c>
      <c r="M29" s="301">
        <f>'WPB2.2 Plant detail-w slippage'!N1775</f>
        <v>945465.23</v>
      </c>
      <c r="N29" s="301">
        <f>'WPB2.2 Plant detail-w slippage'!N1881</f>
        <v>947903.23</v>
      </c>
      <c r="O29" s="301">
        <f>'WPB2.2 Plant detail-w slippage'!N1987</f>
        <v>950145.23</v>
      </c>
      <c r="P29" s="301">
        <f>'WPB2.2 Plant detail-w slippage'!N2093</f>
        <v>952393.23</v>
      </c>
      <c r="Q29" s="301">
        <f>'WPB2.2 Plant detail-w slippage'!N2199</f>
        <v>954845.23</v>
      </c>
      <c r="R29" s="301">
        <f>'WPB2.2 Plant detail-w slippage'!N2305</f>
        <v>957401.23</v>
      </c>
      <c r="S29" s="116">
        <f t="shared" si="4"/>
        <v>943180.23000000033</v>
      </c>
    </row>
    <row r="30" spans="1:19" x14ac:dyDescent="0.2">
      <c r="A30" s="48">
        <f t="shared" si="3"/>
        <v>14</v>
      </c>
      <c r="C30" s="123">
        <v>375.2</v>
      </c>
      <c r="E30" s="52"/>
      <c r="F30" s="301">
        <f>'WPB2.2 Plant detail-w slippage'!N1034</f>
        <v>2027.32</v>
      </c>
      <c r="G30" s="301">
        <f>'WPB2.2 Plant detail-w slippage'!N1140</f>
        <v>2033.32</v>
      </c>
      <c r="H30" s="301">
        <f>'WPB2.2 Plant detail-w slippage'!N1246</f>
        <v>2039.32</v>
      </c>
      <c r="I30" s="301">
        <f>'WPB2.2 Plant detail-w slippage'!N1352</f>
        <v>2045.32</v>
      </c>
      <c r="J30" s="301">
        <f>'WPB2.2 Plant detail-w slippage'!N1458</f>
        <v>2051.3199999999997</v>
      </c>
      <c r="K30" s="301">
        <f>'WPB2.2 Plant detail-w slippage'!N1564</f>
        <v>2057.3199999999997</v>
      </c>
      <c r="L30" s="301">
        <f>'WPB2.2 Plant detail-w slippage'!N1670</f>
        <v>2063.3199999999997</v>
      </c>
      <c r="M30" s="301">
        <f>'WPB2.2 Plant detail-w slippage'!N1776</f>
        <v>2069.3199999999997</v>
      </c>
      <c r="N30" s="301">
        <f>'WPB2.2 Plant detail-w slippage'!N1882</f>
        <v>2075.3199999999997</v>
      </c>
      <c r="O30" s="301">
        <f>'WPB2.2 Plant detail-w slippage'!N1988</f>
        <v>2081.3199999999997</v>
      </c>
      <c r="P30" s="301">
        <f>'WPB2.2 Plant detail-w slippage'!N2094</f>
        <v>2087.3199999999997</v>
      </c>
      <c r="Q30" s="301">
        <f>'WPB2.2 Plant detail-w slippage'!N2200</f>
        <v>2093.3199999999997</v>
      </c>
      <c r="R30" s="301">
        <f>'WPB2.2 Plant detail-w slippage'!N2306</f>
        <v>2099.3199999999997</v>
      </c>
      <c r="S30" s="116">
        <f t="shared" si="4"/>
        <v>2063.3199999999997</v>
      </c>
    </row>
    <row r="31" spans="1:19" x14ac:dyDescent="0.2">
      <c r="A31" s="48">
        <f t="shared" si="3"/>
        <v>15</v>
      </c>
      <c r="C31" s="123">
        <v>375.3</v>
      </c>
      <c r="E31" s="52"/>
      <c r="F31" s="301">
        <f>'WPB2.2 Plant detail-w slippage'!N1035</f>
        <v>-77.66</v>
      </c>
      <c r="G31" s="301">
        <f>'WPB2.2 Plant detail-w slippage'!N1141</f>
        <v>-77.66</v>
      </c>
      <c r="H31" s="301">
        <f>'WPB2.2 Plant detail-w slippage'!N1247</f>
        <v>-77.66</v>
      </c>
      <c r="I31" s="301">
        <f>'WPB2.2 Plant detail-w slippage'!N1353</f>
        <v>-77.66</v>
      </c>
      <c r="J31" s="301">
        <f>'WPB2.2 Plant detail-w slippage'!N1459</f>
        <v>-77.66</v>
      </c>
      <c r="K31" s="301">
        <f>'WPB2.2 Plant detail-w slippage'!N1565</f>
        <v>-77.66</v>
      </c>
      <c r="L31" s="301">
        <f>'WPB2.2 Plant detail-w slippage'!N1671</f>
        <v>-77.66</v>
      </c>
      <c r="M31" s="301">
        <f>'WPB2.2 Plant detail-w slippage'!N1777</f>
        <v>-77.66</v>
      </c>
      <c r="N31" s="301">
        <f>'WPB2.2 Plant detail-w slippage'!N1883</f>
        <v>-77.66</v>
      </c>
      <c r="O31" s="301">
        <f>'WPB2.2 Plant detail-w slippage'!N1989</f>
        <v>-77.66</v>
      </c>
      <c r="P31" s="301">
        <f>'WPB2.2 Plant detail-w slippage'!N2095</f>
        <v>-77.66</v>
      </c>
      <c r="Q31" s="301">
        <f>'WPB2.2 Plant detail-w slippage'!N2201</f>
        <v>-77.66</v>
      </c>
      <c r="R31" s="301">
        <f>'WPB2.2 Plant detail-w slippage'!N2307</f>
        <v>-77.66</v>
      </c>
      <c r="S31" s="116">
        <f t="shared" si="4"/>
        <v>-77.659999999999982</v>
      </c>
    </row>
    <row r="32" spans="1:19" x14ac:dyDescent="0.2">
      <c r="A32" s="48">
        <f t="shared" si="3"/>
        <v>16</v>
      </c>
      <c r="C32" s="123">
        <v>375.4</v>
      </c>
      <c r="E32" s="52"/>
      <c r="F32" s="301">
        <f>'WPB2.2 Plant detail-w slippage'!N1036</f>
        <v>483948.37</v>
      </c>
      <c r="G32" s="301">
        <f>'WPB2.2 Plant detail-w slippage'!N1142</f>
        <v>488023.37</v>
      </c>
      <c r="H32" s="301">
        <f>'WPB2.2 Plant detail-w slippage'!N1248</f>
        <v>492126.37</v>
      </c>
      <c r="I32" s="301">
        <f>'WPB2.2 Plant detail-w slippage'!N1354</f>
        <v>496256.37</v>
      </c>
      <c r="J32" s="301">
        <f>'WPB2.2 Plant detail-w slippage'!N1460</f>
        <v>499520.37</v>
      </c>
      <c r="K32" s="301">
        <f>'WPB2.2 Plant detail-w slippage'!N1566</f>
        <v>502529.37</v>
      </c>
      <c r="L32" s="301">
        <f>'WPB2.2 Plant detail-w slippage'!N1672</f>
        <v>504991.37</v>
      </c>
      <c r="M32" s="301">
        <f>'WPB2.2 Plant detail-w slippage'!N1778</f>
        <v>507314.37</v>
      </c>
      <c r="N32" s="301">
        <f>'WPB2.2 Plant detail-w slippage'!N1884</f>
        <v>508411.37</v>
      </c>
      <c r="O32" s="301">
        <f>'WPB2.2 Plant detail-w slippage'!N1990</f>
        <v>509295.37</v>
      </c>
      <c r="P32" s="301">
        <f>'WPB2.2 Plant detail-w slippage'!N2096</f>
        <v>510169.37</v>
      </c>
      <c r="Q32" s="301">
        <f>'WPB2.2 Plant detail-w slippage'!N2202</f>
        <v>513117.37</v>
      </c>
      <c r="R32" s="301">
        <f>'WPB2.2 Plant detail-w slippage'!N2308</f>
        <v>516122.37</v>
      </c>
      <c r="S32" s="116">
        <f t="shared" si="4"/>
        <v>502448.13923076924</v>
      </c>
    </row>
    <row r="33" spans="1:19" x14ac:dyDescent="0.2">
      <c r="A33" s="48">
        <f t="shared" si="3"/>
        <v>17</v>
      </c>
      <c r="C33" s="123">
        <v>375.6</v>
      </c>
      <c r="E33" s="52"/>
      <c r="F33" s="301">
        <f>'WPB2.2 Plant detail-w slippage'!N1037</f>
        <v>0.02</v>
      </c>
      <c r="G33" s="301">
        <f>'WPB2.2 Plant detail-w slippage'!N1143</f>
        <v>0.02</v>
      </c>
      <c r="H33" s="301">
        <f>'WPB2.2 Plant detail-w slippage'!N1249</f>
        <v>0.02</v>
      </c>
      <c r="I33" s="301">
        <f>'WPB2.2 Plant detail-w slippage'!N1355</f>
        <v>0.02</v>
      </c>
      <c r="J33" s="301">
        <f>'WPB2.2 Plant detail-w slippage'!N1461</f>
        <v>0.02</v>
      </c>
      <c r="K33" s="301">
        <f>'WPB2.2 Plant detail-w slippage'!N1567</f>
        <v>0.02</v>
      </c>
      <c r="L33" s="301">
        <f>'WPB2.2 Plant detail-w slippage'!N1673</f>
        <v>0.02</v>
      </c>
      <c r="M33" s="301">
        <f>'WPB2.2 Plant detail-w slippage'!N1779</f>
        <v>0.02</v>
      </c>
      <c r="N33" s="301">
        <f>'WPB2.2 Plant detail-w slippage'!N1885</f>
        <v>0.02</v>
      </c>
      <c r="O33" s="301">
        <f>'WPB2.2 Plant detail-w slippage'!N1991</f>
        <v>0.02</v>
      </c>
      <c r="P33" s="301">
        <f>'WPB2.2 Plant detail-w slippage'!N2097</f>
        <v>0.02</v>
      </c>
      <c r="Q33" s="301">
        <f>'WPB2.2 Plant detail-w slippage'!N2203</f>
        <v>0.02</v>
      </c>
      <c r="R33" s="301">
        <f>'WPB2.2 Plant detail-w slippage'!N2309</f>
        <v>0.02</v>
      </c>
      <c r="S33" s="116">
        <f t="shared" si="4"/>
        <v>1.9999999999999997E-2</v>
      </c>
    </row>
    <row r="34" spans="1:19" x14ac:dyDescent="0.2">
      <c r="A34" s="48">
        <f t="shared" si="3"/>
        <v>18</v>
      </c>
      <c r="C34" s="123">
        <v>375.7</v>
      </c>
      <c r="E34" s="52"/>
      <c r="F34" s="301">
        <f>'WPB2.2 Plant detail-w slippage'!N1038</f>
        <v>3316198.06</v>
      </c>
      <c r="G34" s="301">
        <f>'WPB2.2 Plant detail-w slippage'!N1144</f>
        <v>3325089.06</v>
      </c>
      <c r="H34" s="301">
        <f>'WPB2.2 Plant detail-w slippage'!N1250</f>
        <v>3334056.06</v>
      </c>
      <c r="I34" s="301">
        <f>'WPB2.2 Plant detail-w slippage'!N1356</f>
        <v>3343098.06</v>
      </c>
      <c r="J34" s="301">
        <f>'WPB2.2 Plant detail-w slippage'!N1462</f>
        <v>3352216.06</v>
      </c>
      <c r="K34" s="301">
        <f>'WPB2.2 Plant detail-w slippage'!N1568</f>
        <v>3361409.06</v>
      </c>
      <c r="L34" s="301">
        <f>'WPB2.2 Plant detail-w slippage'!N1674</f>
        <v>3370678.06</v>
      </c>
      <c r="M34" s="301">
        <f>'WPB2.2 Plant detail-w slippage'!N1780</f>
        <v>3380022.06</v>
      </c>
      <c r="N34" s="301">
        <f>'WPB2.2 Plant detail-w slippage'!N1886</f>
        <v>3389441.06</v>
      </c>
      <c r="O34" s="301">
        <f>'WPB2.2 Plant detail-w slippage'!N1992</f>
        <v>3398936.06</v>
      </c>
      <c r="P34" s="301">
        <f>'WPB2.2 Plant detail-w slippage'!N2098</f>
        <v>3408506.06</v>
      </c>
      <c r="Q34" s="301">
        <f>'WPB2.2 Plant detail-w slippage'!N2204</f>
        <v>3419370.06</v>
      </c>
      <c r="R34" s="301">
        <f>'WPB2.2 Plant detail-w slippage'!N2310</f>
        <v>3431527.06</v>
      </c>
      <c r="S34" s="116">
        <f t="shared" si="4"/>
        <v>3371580.5215384616</v>
      </c>
    </row>
    <row r="35" spans="1:19" x14ac:dyDescent="0.2">
      <c r="A35" s="48">
        <f t="shared" si="3"/>
        <v>19</v>
      </c>
      <c r="C35" s="123">
        <v>375.71</v>
      </c>
      <c r="E35" s="52"/>
      <c r="F35" s="301">
        <f>'WPB2.2 Plant detail-w slippage'!N1039</f>
        <v>182695.55473684223</v>
      </c>
      <c r="G35" s="301">
        <f>'WPB2.2 Plant detail-w slippage'!N1145</f>
        <v>185449.60421052645</v>
      </c>
      <c r="H35" s="301">
        <f>'WPB2.2 Plant detail-w slippage'!N1251</f>
        <v>188203.65368421067</v>
      </c>
      <c r="I35" s="301">
        <f>'WPB2.2 Plant detail-w slippage'!N1357</f>
        <v>190957.7031578949</v>
      </c>
      <c r="J35" s="301">
        <f>'WPB2.2 Plant detail-w slippage'!N1463</f>
        <v>193711.75263157912</v>
      </c>
      <c r="K35" s="301">
        <f>'WPB2.2 Plant detail-w slippage'!N1569</f>
        <v>196465.80210526334</v>
      </c>
      <c r="L35" s="301">
        <f>'WPB2.2 Plant detail-w slippage'!N1675</f>
        <v>199219.85157894756</v>
      </c>
      <c r="M35" s="301">
        <f>'WPB2.2 Plant detail-w slippage'!N1781</f>
        <v>201973.90105263179</v>
      </c>
      <c r="N35" s="301">
        <f>'WPB2.2 Plant detail-w slippage'!N1887</f>
        <v>204727.95052631601</v>
      </c>
      <c r="O35" s="301">
        <f>'WPB2.2 Plant detail-w slippage'!N1993</f>
        <v>207482.00000000023</v>
      </c>
      <c r="P35" s="301">
        <f>'WPB2.2 Plant detail-w slippage'!N2099</f>
        <v>210236.04947368446</v>
      </c>
      <c r="Q35" s="301">
        <f>'WPB2.2 Plant detail-w slippage'!N2205</f>
        <v>212990.09894736868</v>
      </c>
      <c r="R35" s="301">
        <f>'WPB2.2 Plant detail-w slippage'!N2311</f>
        <v>215744.1484210529</v>
      </c>
      <c r="S35" s="116">
        <f t="shared" si="4"/>
        <v>199219.85157894756</v>
      </c>
    </row>
    <row r="36" spans="1:19" x14ac:dyDescent="0.2">
      <c r="A36" s="48">
        <f t="shared" si="3"/>
        <v>20</v>
      </c>
      <c r="C36" s="123">
        <v>375.8</v>
      </c>
      <c r="E36" s="52"/>
      <c r="F36" s="301">
        <f>'WPB2.2 Plant detail-w slippage'!N1040</f>
        <v>0</v>
      </c>
      <c r="G36" s="301">
        <f>'WPB2.2 Plant detail-w slippage'!N1146</f>
        <v>0</v>
      </c>
      <c r="H36" s="301">
        <f>'WPB2.2 Plant detail-w slippage'!N1252</f>
        <v>0</v>
      </c>
      <c r="I36" s="301">
        <f>'WPB2.2 Plant detail-w slippage'!N1358</f>
        <v>0</v>
      </c>
      <c r="J36" s="301">
        <f>'WPB2.2 Plant detail-w slippage'!N1464</f>
        <v>0</v>
      </c>
      <c r="K36" s="301">
        <f>'WPB2.2 Plant detail-w slippage'!N1570</f>
        <v>0</v>
      </c>
      <c r="L36" s="301">
        <f>'WPB2.2 Plant detail-w slippage'!N1676</f>
        <v>0</v>
      </c>
      <c r="M36" s="301">
        <f>'WPB2.2 Plant detail-w slippage'!N1782</f>
        <v>0</v>
      </c>
      <c r="N36" s="301">
        <f>'WPB2.2 Plant detail-w slippage'!N1888</f>
        <v>0</v>
      </c>
      <c r="O36" s="301">
        <f>'WPB2.2 Plant detail-w slippage'!N1994</f>
        <v>0</v>
      </c>
      <c r="P36" s="301">
        <f>'WPB2.2 Plant detail-w slippage'!N2100</f>
        <v>0</v>
      </c>
      <c r="Q36" s="301">
        <f>'WPB2.2 Plant detail-w slippage'!N2206</f>
        <v>0</v>
      </c>
      <c r="R36" s="301">
        <f>'WPB2.2 Plant detail-w slippage'!N2312</f>
        <v>0</v>
      </c>
      <c r="S36" s="116">
        <f t="shared" si="4"/>
        <v>0</v>
      </c>
    </row>
    <row r="37" spans="1:19" s="161" customFormat="1" x14ac:dyDescent="0.2">
      <c r="A37" s="1727">
        <f t="shared" si="3"/>
        <v>21</v>
      </c>
      <c r="C37" s="1728">
        <v>376</v>
      </c>
      <c r="E37" s="178"/>
      <c r="F37" s="301">
        <f>SUM('WPB2.2 Plant detail-w slippage'!N1042:N1046)</f>
        <v>57454749.609999999</v>
      </c>
      <c r="G37" s="301">
        <f>SUM('WPB2.2 Plant detail-w slippage'!N1148:N1152)</f>
        <v>57787097.609999999</v>
      </c>
      <c r="H37" s="301">
        <f>SUM('WPB2.2 Plant detail-w slippage'!N1254:N1258)</f>
        <v>58120188.609999999</v>
      </c>
      <c r="I37" s="301">
        <f>SUM('WPB2.2 Plant detail-w slippage'!N1360:N1364)</f>
        <v>58442098.609999999</v>
      </c>
      <c r="J37" s="301">
        <f>SUM('WPB2.2 Plant detail-w slippage'!N1466:N1470)</f>
        <v>58718389.609999999</v>
      </c>
      <c r="K37" s="301">
        <f>SUM('WPB2.2 Plant detail-w slippage'!N1572:N1576)</f>
        <v>58964644.609999999</v>
      </c>
      <c r="L37" s="301">
        <f>SUM('WPB2.2 Plant detail-w slippage'!N1678:N1682)</f>
        <v>59135234.609999999</v>
      </c>
      <c r="M37" s="301">
        <f>SUM('WPB2.2 Plant detail-w slippage'!N1784:N1788)</f>
        <v>59332492.609999999</v>
      </c>
      <c r="N37" s="301">
        <f>SUM('WPB2.2 Plant detail-w slippage'!N1890:N1894)</f>
        <v>59417978.609999999</v>
      </c>
      <c r="O37" s="301">
        <f>SUM('WPB2.2 Plant detail-w slippage'!N1996:N2000)</f>
        <v>59561762.609999999</v>
      </c>
      <c r="P37" s="301">
        <f>SUM('WPB2.2 Plant detail-w slippage'!N2102:N2106)</f>
        <v>59693108.609999999</v>
      </c>
      <c r="Q37" s="301">
        <f>SUM('WPB2.2 Plant detail-w slippage'!N2208:N2212)</f>
        <v>59919850.609999999</v>
      </c>
      <c r="R37" s="301">
        <f>SUM('WPB2.2 Plant detail-w slippage'!N2314:N2318)</f>
        <v>60184706.609999999</v>
      </c>
      <c r="S37" s="1885">
        <f t="shared" si="4"/>
        <v>58979407.917692311</v>
      </c>
    </row>
    <row r="38" spans="1:19" x14ac:dyDescent="0.2">
      <c r="A38" s="48">
        <f t="shared" si="3"/>
        <v>22</v>
      </c>
      <c r="C38" s="123">
        <v>378.1</v>
      </c>
      <c r="E38" s="52"/>
      <c r="F38" s="301">
        <f>'WPB2.2 Plant detail-w slippage'!N1047</f>
        <v>363461.81</v>
      </c>
      <c r="G38" s="301">
        <f>'WPB2.2 Plant detail-w slippage'!N1153</f>
        <v>364896.81</v>
      </c>
      <c r="H38" s="301">
        <f>'WPB2.2 Plant detail-w slippage'!N1259</f>
        <v>366331.81</v>
      </c>
      <c r="I38" s="301">
        <f>'WPB2.2 Plant detail-w slippage'!N1365</f>
        <v>367766.81</v>
      </c>
      <c r="J38" s="301">
        <f>'WPB2.2 Plant detail-w slippage'!N1471</f>
        <v>369201.81</v>
      </c>
      <c r="K38" s="301">
        <f>'WPB2.2 Plant detail-w slippage'!N1577</f>
        <v>370636.81</v>
      </c>
      <c r="L38" s="301">
        <f>'WPB2.2 Plant detail-w slippage'!N1683</f>
        <v>372071.81</v>
      </c>
      <c r="M38" s="301">
        <f>'WPB2.2 Plant detail-w slippage'!N1789</f>
        <v>373506.81</v>
      </c>
      <c r="N38" s="301">
        <f>'WPB2.2 Plant detail-w slippage'!N1895</f>
        <v>374941.81</v>
      </c>
      <c r="O38" s="301">
        <f>'WPB2.2 Plant detail-w slippage'!N2001</f>
        <v>376376.81</v>
      </c>
      <c r="P38" s="301">
        <f>'WPB2.2 Plant detail-w slippage'!N2107</f>
        <v>377811.81</v>
      </c>
      <c r="Q38" s="301">
        <f>'WPB2.2 Plant detail-w slippage'!N2213</f>
        <v>379246.81</v>
      </c>
      <c r="R38" s="301">
        <f>'WPB2.2 Plant detail-w slippage'!N2319</f>
        <v>380681.81</v>
      </c>
      <c r="S38" s="116">
        <f t="shared" si="4"/>
        <v>372071.80999999994</v>
      </c>
    </row>
    <row r="39" spans="1:19" x14ac:dyDescent="0.2">
      <c r="A39" s="48">
        <f t="shared" si="3"/>
        <v>23</v>
      </c>
      <c r="C39" s="123">
        <v>378.2</v>
      </c>
      <c r="E39" s="52"/>
      <c r="F39" s="301">
        <f>'WPB2.2 Plant detail-w slippage'!N1048</f>
        <v>3368459.91</v>
      </c>
      <c r="G39" s="301">
        <f>'WPB2.2 Plant detail-w slippage'!N1154</f>
        <v>3393448.91</v>
      </c>
      <c r="H39" s="301">
        <f>'WPB2.2 Plant detail-w slippage'!N1260</f>
        <v>3419071.91</v>
      </c>
      <c r="I39" s="301">
        <f>'WPB2.2 Plant detail-w slippage'!N1366</f>
        <v>3444623.91</v>
      </c>
      <c r="J39" s="301">
        <f>'WPB2.2 Plant detail-w slippage'!N1472</f>
        <v>3469414.91</v>
      </c>
      <c r="K39" s="301">
        <f>'WPB2.2 Plant detail-w slippage'!N1578</f>
        <v>3493161.91</v>
      </c>
      <c r="L39" s="301">
        <f>'WPB2.2 Plant detail-w slippage'!N1684</f>
        <v>3515985.91</v>
      </c>
      <c r="M39" s="301">
        <f>'WPB2.2 Plant detail-w slippage'!N1790</f>
        <v>3538799.91</v>
      </c>
      <c r="N39" s="301">
        <f>'WPB2.2 Plant detail-w slippage'!N1896</f>
        <v>3558731.91</v>
      </c>
      <c r="O39" s="301">
        <f>'WPB2.2 Plant detail-w slippage'!N2002</f>
        <v>3578810.91</v>
      </c>
      <c r="P39" s="301">
        <f>'WPB2.2 Plant detail-w slippage'!N2108</f>
        <v>3598838.91</v>
      </c>
      <c r="Q39" s="301">
        <f>'WPB2.2 Plant detail-w slippage'!N2214</f>
        <v>3622087.91</v>
      </c>
      <c r="R39" s="301">
        <f>'WPB2.2 Plant detail-w slippage'!N2320</f>
        <v>3645427.91</v>
      </c>
      <c r="S39" s="116">
        <f t="shared" si="4"/>
        <v>3511297.2946153847</v>
      </c>
    </row>
    <row r="40" spans="1:19" x14ac:dyDescent="0.2">
      <c r="A40" s="48">
        <f t="shared" si="3"/>
        <v>24</v>
      </c>
      <c r="C40" s="123">
        <v>378.3</v>
      </c>
      <c r="E40" s="52"/>
      <c r="F40" s="301">
        <f>'WPB2.2 Plant detail-w slippage'!N1049</f>
        <v>35878.04</v>
      </c>
      <c r="G40" s="301">
        <f>'WPB2.2 Plant detail-w slippage'!N1155</f>
        <v>36004.04</v>
      </c>
      <c r="H40" s="301">
        <f>'WPB2.2 Plant detail-w slippage'!N1261</f>
        <v>36130.04</v>
      </c>
      <c r="I40" s="301">
        <f>'WPB2.2 Plant detail-w slippage'!N1367</f>
        <v>36256.04</v>
      </c>
      <c r="J40" s="301">
        <f>'WPB2.2 Plant detail-w slippage'!N1473</f>
        <v>36382.04</v>
      </c>
      <c r="K40" s="301">
        <f>'WPB2.2 Plant detail-w slippage'!N1579</f>
        <v>36508.04</v>
      </c>
      <c r="L40" s="301">
        <f>'WPB2.2 Plant detail-w slippage'!N1685</f>
        <v>36634.04</v>
      </c>
      <c r="M40" s="301">
        <f>'WPB2.2 Plant detail-w slippage'!N1791</f>
        <v>36760.04</v>
      </c>
      <c r="N40" s="301">
        <f>'WPB2.2 Plant detail-w slippage'!N1897</f>
        <v>36886.04</v>
      </c>
      <c r="O40" s="301">
        <f>'WPB2.2 Plant detail-w slippage'!N2003</f>
        <v>37012.04</v>
      </c>
      <c r="P40" s="301">
        <f>'WPB2.2 Plant detail-w slippage'!N2109</f>
        <v>37138.04</v>
      </c>
      <c r="Q40" s="301">
        <f>'WPB2.2 Plant detail-w slippage'!N2215</f>
        <v>37264.04</v>
      </c>
      <c r="R40" s="301">
        <f>'WPB2.2 Plant detail-w slippage'!N2321</f>
        <v>37390.04</v>
      </c>
      <c r="S40" s="116">
        <f t="shared" si="4"/>
        <v>36634.039999999994</v>
      </c>
    </row>
    <row r="41" spans="1:19" x14ac:dyDescent="0.2">
      <c r="A41" s="48">
        <f t="shared" si="3"/>
        <v>25</v>
      </c>
      <c r="C41" s="123">
        <v>379.1</v>
      </c>
      <c r="E41" s="52"/>
      <c r="F41" s="301">
        <f>'WPB2.2 Plant detail-w slippage'!N1050</f>
        <v>267730.57</v>
      </c>
      <c r="G41" s="301">
        <f>'WPB2.2 Plant detail-w slippage'!N1156</f>
        <v>267730.57</v>
      </c>
      <c r="H41" s="301">
        <f>'WPB2.2 Plant detail-w slippage'!N1262</f>
        <v>267730.57</v>
      </c>
      <c r="I41" s="301">
        <f>'WPB2.2 Plant detail-w slippage'!N1368</f>
        <v>267730.57</v>
      </c>
      <c r="J41" s="301">
        <f>'WPB2.2 Plant detail-w slippage'!N1474</f>
        <v>267730.57</v>
      </c>
      <c r="K41" s="301">
        <f>'WPB2.2 Plant detail-w slippage'!N1580</f>
        <v>267730.57</v>
      </c>
      <c r="L41" s="301">
        <f>'WPB2.2 Plant detail-w slippage'!N1686</f>
        <v>267730.57</v>
      </c>
      <c r="M41" s="301">
        <f>'WPB2.2 Plant detail-w slippage'!N1792</f>
        <v>267730.57</v>
      </c>
      <c r="N41" s="301">
        <f>'WPB2.2 Plant detail-w slippage'!N1898</f>
        <v>267730.57</v>
      </c>
      <c r="O41" s="301">
        <f>'WPB2.2 Plant detail-w slippage'!N2004</f>
        <v>267730.57</v>
      </c>
      <c r="P41" s="301">
        <f>'WPB2.2 Plant detail-w slippage'!N2110</f>
        <v>267730.57</v>
      </c>
      <c r="Q41" s="301">
        <f>'WPB2.2 Plant detail-w slippage'!N2216</f>
        <v>267730.57</v>
      </c>
      <c r="R41" s="301">
        <f>'WPB2.2 Plant detail-w slippage'!N2322</f>
        <v>267730.57</v>
      </c>
      <c r="S41" s="116">
        <f t="shared" si="4"/>
        <v>267730.56999999995</v>
      </c>
    </row>
    <row r="42" spans="1:19" x14ac:dyDescent="0.2">
      <c r="A42" s="48">
        <f t="shared" si="3"/>
        <v>26</v>
      </c>
      <c r="C42" s="123">
        <v>380</v>
      </c>
      <c r="E42" s="52"/>
      <c r="F42" s="301">
        <f>'WPB2.2 Plant detail-w slippage'!N1051</f>
        <v>58789318.520000003</v>
      </c>
      <c r="G42" s="301">
        <f>'WPB2.2 Plant detail-w slippage'!N1157</f>
        <v>59233051.520000003</v>
      </c>
      <c r="H42" s="301">
        <f>'WPB2.2 Plant detail-w slippage'!N1263</f>
        <v>59693193.520000003</v>
      </c>
      <c r="I42" s="301">
        <f>'WPB2.2 Plant detail-w slippage'!N1369</f>
        <v>60153107.520000003</v>
      </c>
      <c r="J42" s="301">
        <f>'WPB2.2 Plant detail-w slippage'!N1475</f>
        <v>60579278.520000003</v>
      </c>
      <c r="K42" s="301">
        <f>'WPB2.2 Plant detail-w slippage'!N1581</f>
        <v>60979272.520000003</v>
      </c>
      <c r="L42" s="301">
        <f>'WPB2.2 Plant detail-w slippage'!N1687</f>
        <v>61346162.520000003</v>
      </c>
      <c r="M42" s="301">
        <f>'WPB2.2 Plant detail-w slippage'!N1793</f>
        <v>61709894.520000003</v>
      </c>
      <c r="N42" s="301">
        <f>'WPB2.2 Plant detail-w slippage'!N1899</f>
        <v>61988963.520000003</v>
      </c>
      <c r="O42" s="301">
        <f>'WPB2.2 Plant detail-w slippage'!N2005</f>
        <v>62269439.520000003</v>
      </c>
      <c r="P42" s="301">
        <f>'WPB2.2 Plant detail-w slippage'!N2111</f>
        <v>62550419.520000003</v>
      </c>
      <c r="Q42" s="301">
        <f>'WPB2.2 Plant detail-w slippage'!N2217</f>
        <v>62938390.520000003</v>
      </c>
      <c r="R42" s="301">
        <f>'WPB2.2 Plant detail-w slippage'!N2323</f>
        <v>63332561.520000003</v>
      </c>
      <c r="S42" s="116">
        <f t="shared" si="4"/>
        <v>61197157.981538452</v>
      </c>
    </row>
    <row r="43" spans="1:19" x14ac:dyDescent="0.2">
      <c r="A43" s="48"/>
      <c r="C43" s="123"/>
      <c r="E43" s="52"/>
      <c r="F43" s="283"/>
      <c r="G43" s="179"/>
      <c r="H43" s="284"/>
      <c r="I43" s="284"/>
      <c r="J43" s="284"/>
      <c r="K43" s="284"/>
      <c r="L43" s="284"/>
      <c r="M43" s="107"/>
      <c r="N43" s="107"/>
      <c r="O43" s="107"/>
      <c r="P43" s="107"/>
    </row>
    <row r="44" spans="1:19" x14ac:dyDescent="0.2">
      <c r="A44" s="2064" t="str">
        <f>co</f>
        <v>COLUMBIA GAS OF KENTUCKY, INC.</v>
      </c>
      <c r="B44" s="2064"/>
      <c r="C44" s="2064"/>
      <c r="D44" s="2064"/>
      <c r="E44" s="2064"/>
      <c r="F44" s="2064"/>
      <c r="G44" s="2064"/>
      <c r="H44" s="2064"/>
      <c r="I44" s="2064"/>
      <c r="J44" s="2064"/>
      <c r="K44" s="2064"/>
      <c r="L44" s="2064"/>
      <c r="M44" s="2064"/>
      <c r="N44" s="2064"/>
      <c r="O44" s="2064"/>
      <c r="P44" s="2064"/>
      <c r="Q44" s="2064"/>
      <c r="R44" s="2064"/>
      <c r="S44" s="2064"/>
    </row>
    <row r="45" spans="1:19" x14ac:dyDescent="0.2">
      <c r="A45" s="2064" t="str">
        <f>case</f>
        <v>CASE NO. 2016 - 00162</v>
      </c>
      <c r="B45" s="2064"/>
      <c r="C45" s="2064"/>
      <c r="D45" s="2064"/>
      <c r="E45" s="2064"/>
      <c r="F45" s="2064"/>
      <c r="G45" s="2064"/>
      <c r="H45" s="2064"/>
      <c r="I45" s="2064"/>
      <c r="J45" s="2064"/>
      <c r="K45" s="2064"/>
      <c r="L45" s="2064"/>
      <c r="M45" s="2064"/>
      <c r="N45" s="2064"/>
      <c r="O45" s="2064"/>
      <c r="P45" s="2064"/>
      <c r="Q45" s="2064"/>
      <c r="R45" s="2064"/>
      <c r="S45" s="2064"/>
    </row>
    <row r="46" spans="1:19" x14ac:dyDescent="0.2">
      <c r="A46" s="2067" t="s">
        <v>828</v>
      </c>
      <c r="B46" s="2067"/>
      <c r="C46" s="2067"/>
      <c r="D46" s="2067"/>
      <c r="E46" s="2067"/>
      <c r="F46" s="2067"/>
      <c r="G46" s="2067"/>
      <c r="H46" s="2067"/>
      <c r="I46" s="2067"/>
      <c r="J46" s="2067"/>
      <c r="K46" s="2067"/>
      <c r="L46" s="2067"/>
      <c r="M46" s="2067"/>
      <c r="N46" s="2067"/>
      <c r="O46" s="2067"/>
      <c r="P46" s="2067"/>
      <c r="Q46" s="2067"/>
      <c r="R46" s="2067"/>
      <c r="S46" s="2067"/>
    </row>
    <row r="47" spans="1:19" x14ac:dyDescent="0.2">
      <c r="A47" s="2070" t="str">
        <f>A4</f>
        <v>13 MONTH AVG - FORECAST PERIOD 12/31/2016 TO 12/31/2017</v>
      </c>
      <c r="B47" s="2071"/>
      <c r="C47" s="2071"/>
      <c r="D47" s="2071"/>
      <c r="E47" s="2071"/>
      <c r="F47" s="2071"/>
      <c r="G47" s="2071"/>
      <c r="H47" s="2071"/>
      <c r="I47" s="2071"/>
      <c r="J47" s="2071"/>
      <c r="K47" s="2071"/>
      <c r="L47" s="2071"/>
      <c r="M47" s="2071"/>
      <c r="N47" s="2071"/>
      <c r="O47" s="2071"/>
      <c r="P47" s="2071"/>
      <c r="Q47" s="2071"/>
      <c r="R47" s="2071"/>
      <c r="S47" s="2071"/>
    </row>
    <row r="48" spans="1:19" x14ac:dyDescent="0.2">
      <c r="H48" s="106"/>
      <c r="I48" s="104"/>
      <c r="J48" s="104"/>
      <c r="K48" s="104"/>
      <c r="L48" s="104"/>
      <c r="M48" s="104"/>
      <c r="N48" s="104"/>
      <c r="O48" s="104"/>
      <c r="P48" s="104"/>
    </row>
    <row r="49" spans="1:19" x14ac:dyDescent="0.2">
      <c r="A49" s="287" t="s">
        <v>104</v>
      </c>
      <c r="H49" s="104"/>
      <c r="I49" s="104"/>
      <c r="J49" s="104"/>
      <c r="K49" s="104"/>
      <c r="L49" s="104"/>
      <c r="M49" s="104"/>
      <c r="N49" s="105"/>
      <c r="O49" s="104"/>
      <c r="P49" s="104"/>
      <c r="S49" s="1121" t="str">
        <f>S7</f>
        <v>WPB-3.1</v>
      </c>
    </row>
    <row r="50" spans="1:19" x14ac:dyDescent="0.2">
      <c r="A50" s="44" t="s">
        <v>690</v>
      </c>
      <c r="H50" s="104"/>
      <c r="I50" s="104"/>
      <c r="J50" s="104"/>
      <c r="K50" s="104"/>
      <c r="L50" s="104"/>
      <c r="M50" s="104"/>
      <c r="N50" s="105"/>
      <c r="O50" s="104"/>
      <c r="P50" s="104"/>
      <c r="S50" s="1121" t="s">
        <v>603</v>
      </c>
    </row>
    <row r="51" spans="1:19" x14ac:dyDescent="0.2">
      <c r="A51" s="1275" t="s">
        <v>1758</v>
      </c>
      <c r="B51" s="46"/>
      <c r="C51" s="120"/>
      <c r="D51" s="46"/>
      <c r="E51" s="46"/>
      <c r="F51" s="46"/>
      <c r="G51" s="46"/>
      <c r="H51" s="112"/>
      <c r="I51" s="112"/>
      <c r="J51" s="112"/>
      <c r="K51" s="112"/>
      <c r="L51" s="112"/>
      <c r="M51" s="112"/>
      <c r="N51" s="115"/>
      <c r="O51" s="112"/>
      <c r="P51" s="112"/>
      <c r="Q51" s="112"/>
      <c r="R51" s="112"/>
      <c r="S51" s="112"/>
    </row>
    <row r="52" spans="1:19" x14ac:dyDescent="0.2">
      <c r="A52" s="44" t="s">
        <v>632</v>
      </c>
      <c r="C52" s="121" t="s">
        <v>692</v>
      </c>
      <c r="E52" s="43"/>
      <c r="H52" s="106"/>
      <c r="I52" s="104"/>
      <c r="J52" s="106"/>
      <c r="K52" s="104"/>
      <c r="L52" s="104"/>
      <c r="M52" s="104"/>
      <c r="N52" s="106"/>
      <c r="O52" s="104"/>
      <c r="P52" s="106"/>
      <c r="S52" s="304" t="s">
        <v>673</v>
      </c>
    </row>
    <row r="53" spans="1:19" x14ac:dyDescent="0.2">
      <c r="A53" s="111" t="s">
        <v>635</v>
      </c>
      <c r="B53" s="112"/>
      <c r="C53" s="122" t="s">
        <v>635</v>
      </c>
      <c r="D53" s="112"/>
      <c r="E53" s="111"/>
      <c r="F53" s="113" t="str">
        <f t="shared" ref="F53:R53" si="5">F11</f>
        <v>12/31/2016</v>
      </c>
      <c r="G53" s="113" t="str">
        <f t="shared" si="5"/>
        <v>01/31/2017</v>
      </c>
      <c r="H53" s="113" t="str">
        <f t="shared" si="5"/>
        <v>02/28/2017</v>
      </c>
      <c r="I53" s="113" t="str">
        <f t="shared" si="5"/>
        <v>03/31/2017</v>
      </c>
      <c r="J53" s="113" t="str">
        <f t="shared" si="5"/>
        <v>04/30/2017</v>
      </c>
      <c r="K53" s="113" t="str">
        <f t="shared" si="5"/>
        <v>05/31/2017</v>
      </c>
      <c r="L53" s="113" t="str">
        <f t="shared" si="5"/>
        <v>06/30/2017</v>
      </c>
      <c r="M53" s="113" t="str">
        <f t="shared" si="5"/>
        <v>07/31/2017</v>
      </c>
      <c r="N53" s="113" t="str">
        <f t="shared" si="5"/>
        <v>08/31/2017</v>
      </c>
      <c r="O53" s="113" t="str">
        <f t="shared" si="5"/>
        <v>09/30/2017</v>
      </c>
      <c r="P53" s="113" t="str">
        <f t="shared" si="5"/>
        <v>10/31/2017</v>
      </c>
      <c r="Q53" s="113" t="str">
        <f t="shared" si="5"/>
        <v>11/30/2017</v>
      </c>
      <c r="R53" s="113" t="str">
        <f t="shared" si="5"/>
        <v>12/31/2017</v>
      </c>
      <c r="S53" s="114" t="s">
        <v>631</v>
      </c>
    </row>
    <row r="54" spans="1:19" x14ac:dyDescent="0.2">
      <c r="F54" s="43" t="s">
        <v>639</v>
      </c>
      <c r="G54" s="43" t="s">
        <v>639</v>
      </c>
      <c r="H54" s="43" t="s">
        <v>639</v>
      </c>
      <c r="I54" s="43" t="s">
        <v>639</v>
      </c>
      <c r="J54" s="43" t="s">
        <v>639</v>
      </c>
      <c r="K54" s="43" t="s">
        <v>639</v>
      </c>
      <c r="L54" s="43" t="s">
        <v>639</v>
      </c>
      <c r="M54" s="43" t="s">
        <v>639</v>
      </c>
      <c r="N54" s="43" t="s">
        <v>639</v>
      </c>
      <c r="O54" s="43" t="s">
        <v>639</v>
      </c>
      <c r="P54" s="43" t="s">
        <v>639</v>
      </c>
      <c r="Q54" s="43" t="s">
        <v>639</v>
      </c>
      <c r="R54" s="43" t="s">
        <v>639</v>
      </c>
      <c r="S54" s="43" t="s">
        <v>639</v>
      </c>
    </row>
    <row r="55" spans="1:19" x14ac:dyDescent="0.2">
      <c r="H55" s="104"/>
      <c r="I55" s="104"/>
      <c r="J55" s="104"/>
      <c r="K55" s="104"/>
      <c r="L55" s="104"/>
      <c r="M55" s="104"/>
      <c r="N55" s="104"/>
      <c r="O55" s="104"/>
      <c r="P55" s="104"/>
    </row>
    <row r="56" spans="1:19" x14ac:dyDescent="0.2">
      <c r="A56" s="48">
        <v>1</v>
      </c>
      <c r="C56" s="123">
        <v>381</v>
      </c>
      <c r="E56" s="52"/>
      <c r="F56" s="301">
        <f>'WPB2.2 Plant detail-w slippage'!N1070</f>
        <v>4930118.8899999997</v>
      </c>
      <c r="G56" s="301">
        <f>'WPB2.2 Plant detail-w slippage'!N1176</f>
        <v>4964982.8899999997</v>
      </c>
      <c r="H56" s="301">
        <f>'WPB2.2 Plant detail-w slippage'!N1282</f>
        <v>5000993.8899999997</v>
      </c>
      <c r="I56" s="301">
        <f>'WPB2.2 Plant detail-w slippage'!N1388</f>
        <v>5036843.8899999997</v>
      </c>
      <c r="J56" s="301">
        <f>'WPB2.2 Plant detail-w slippage'!N1494</f>
        <v>5071645.8899999997</v>
      </c>
      <c r="K56" s="301">
        <f>'WPB2.2 Plant detail-w slippage'!N1600</f>
        <v>5105024.8899999997</v>
      </c>
      <c r="L56" s="301">
        <f>'WPB2.2 Plant detail-w slippage'!N1706</f>
        <v>5136913.8899999997</v>
      </c>
      <c r="M56" s="301">
        <f>'WPB2.2 Plant detail-w slippage'!N1812</f>
        <v>5168828.8899999997</v>
      </c>
      <c r="N56" s="301">
        <f>'WPB2.2 Plant detail-w slippage'!N1918</f>
        <v>5196614.8899999997</v>
      </c>
      <c r="O56" s="301">
        <f>'WPB2.2 Plant detail-w slippage'!N2024</f>
        <v>5224713.8899999997</v>
      </c>
      <c r="P56" s="301">
        <f>'WPB2.2 Plant detail-w slippage'!N2130</f>
        <v>5252727.8899999997</v>
      </c>
      <c r="Q56" s="301">
        <f>'WPB2.2 Plant detail-w slippage'!N2236</f>
        <v>5285215.8899999997</v>
      </c>
      <c r="R56" s="301">
        <f>'WPB2.2 Plant detail-w slippage'!N2342</f>
        <v>5317834.8899999997</v>
      </c>
      <c r="S56" s="116">
        <f t="shared" ref="S56:S67" si="6">AVERAGE(F56:R56)</f>
        <v>5130189.2746153846</v>
      </c>
    </row>
    <row r="57" spans="1:19" x14ac:dyDescent="0.2">
      <c r="A57" s="48">
        <f>A56+1</f>
        <v>2</v>
      </c>
      <c r="C57" s="123">
        <v>381.1</v>
      </c>
      <c r="E57" s="52"/>
      <c r="F57" s="301">
        <f>'WPB2.2 Plant detail-w slippage'!N1071</f>
        <v>552677.5</v>
      </c>
      <c r="G57" s="301">
        <f>'WPB2.2 Plant detail-w slippage'!N1177</f>
        <v>608501.5</v>
      </c>
      <c r="H57" s="301">
        <f>'WPB2.2 Plant detail-w slippage'!N1283</f>
        <v>667019.5</v>
      </c>
      <c r="I57" s="301">
        <f>'WPB2.2 Plant detail-w slippage'!N1389</f>
        <v>725568.5</v>
      </c>
      <c r="J57" s="301">
        <f>'WPB2.2 Plant detail-w slippage'!N1495</f>
        <v>784149.5</v>
      </c>
      <c r="K57" s="301">
        <f>'WPB2.2 Plant detail-w slippage'!N1601</f>
        <v>842077.5</v>
      </c>
      <c r="L57" s="301">
        <f>'WPB2.2 Plant detail-w slippage'!N1707</f>
        <v>900752.5</v>
      </c>
      <c r="M57" s="301">
        <f>'WPB2.2 Plant detail-w slippage'!N1813</f>
        <v>959459.5</v>
      </c>
      <c r="N57" s="301">
        <f>'WPB2.2 Plant detail-w slippage'!N1919</f>
        <v>1018197.5</v>
      </c>
      <c r="O57" s="301">
        <f>'WPB2.2 Plant detail-w slippage'!N2025</f>
        <v>1076967.5</v>
      </c>
      <c r="P57" s="301">
        <f>'WPB2.2 Plant detail-w slippage'!N2131</f>
        <v>1135768.5</v>
      </c>
      <c r="Q57" s="301">
        <f>'WPB2.2 Plant detail-w slippage'!N2237</f>
        <v>1194601.5</v>
      </c>
      <c r="R57" s="301">
        <f>'WPB2.2 Plant detail-w slippage'!N2343</f>
        <v>1253465.5</v>
      </c>
      <c r="S57" s="116">
        <f t="shared" si="6"/>
        <v>901477.42307692312</v>
      </c>
    </row>
    <row r="58" spans="1:19" x14ac:dyDescent="0.2">
      <c r="A58" s="48">
        <f t="shared" ref="A58:A68" si="7">A57+1</f>
        <v>3</v>
      </c>
      <c r="C58" s="123">
        <v>382</v>
      </c>
      <c r="E58" s="52"/>
      <c r="F58" s="301">
        <f>'WPB2.2 Plant detail-w slippage'!N1072</f>
        <v>4624082.3</v>
      </c>
      <c r="G58" s="301">
        <f>'WPB2.2 Plant detail-w slippage'!N1178</f>
        <v>4640882.3</v>
      </c>
      <c r="H58" s="301">
        <f>'WPB2.2 Plant detail-w slippage'!N1284</f>
        <v>4657315.3</v>
      </c>
      <c r="I58" s="301">
        <f>'WPB2.2 Plant detail-w slippage'!N1390</f>
        <v>4673982.3</v>
      </c>
      <c r="J58" s="301">
        <f>'WPB2.2 Plant detail-w slippage'!N1496</f>
        <v>4689292.3</v>
      </c>
      <c r="K58" s="301">
        <f>'WPB2.2 Plant detail-w slippage'!N1602</f>
        <v>4704555.3</v>
      </c>
      <c r="L58" s="301">
        <f>'WPB2.2 Plant detail-w slippage'!N1708</f>
        <v>4719376.3</v>
      </c>
      <c r="M58" s="301">
        <f>'WPB2.2 Plant detail-w slippage'!N1814</f>
        <v>4733762.3</v>
      </c>
      <c r="N58" s="301">
        <f>'WPB2.2 Plant detail-w slippage'!N1920</f>
        <v>4747322.3</v>
      </c>
      <c r="O58" s="301">
        <f>'WPB2.2 Plant detail-w slippage'!N2026</f>
        <v>4760466.3</v>
      </c>
      <c r="P58" s="301">
        <f>'WPB2.2 Plant detail-w slippage'!N2132</f>
        <v>4773598.3</v>
      </c>
      <c r="Q58" s="301">
        <f>'WPB2.2 Plant detail-w slippage'!N2238</f>
        <v>4789003.3</v>
      </c>
      <c r="R58" s="301">
        <f>'WPB2.2 Plant detail-w slippage'!N2344</f>
        <v>4804665.3</v>
      </c>
      <c r="S58" s="116">
        <f t="shared" si="6"/>
        <v>4716792.6076923069</v>
      </c>
    </row>
    <row r="59" spans="1:19" x14ac:dyDescent="0.2">
      <c r="A59" s="48">
        <f t="shared" si="7"/>
        <v>4</v>
      </c>
      <c r="C59" s="123">
        <v>383</v>
      </c>
      <c r="E59" s="52"/>
      <c r="F59" s="301">
        <f>'WPB2.2 Plant detail-w slippage'!N1073</f>
        <v>1505022.41</v>
      </c>
      <c r="G59" s="301">
        <f>'WPB2.2 Plant detail-w slippage'!N1179</f>
        <v>1516723.41</v>
      </c>
      <c r="H59" s="301">
        <f>'WPB2.2 Plant detail-w slippage'!N1285</f>
        <v>1527550.41</v>
      </c>
      <c r="I59" s="301">
        <f>'WPB2.2 Plant detail-w slippage'!N1391</f>
        <v>1538708.41</v>
      </c>
      <c r="J59" s="301">
        <f>'WPB2.2 Plant detail-w slippage'!N1497</f>
        <v>1548903.41</v>
      </c>
      <c r="K59" s="301">
        <f>'WPB2.2 Plant detail-w slippage'!N1603</f>
        <v>1559540.41</v>
      </c>
      <c r="L59" s="301">
        <f>'WPB2.2 Plant detail-w slippage'!N1709</f>
        <v>1570215.41</v>
      </c>
      <c r="M59" s="301">
        <f>'WPB2.2 Plant detail-w slippage'!N1815</f>
        <v>1580531.41</v>
      </c>
      <c r="N59" s="301">
        <f>'WPB2.2 Plant detail-w slippage'!N1921</f>
        <v>1591487.41</v>
      </c>
      <c r="O59" s="301">
        <f>'WPB2.2 Plant detail-w slippage'!N2027</f>
        <v>1601883.41</v>
      </c>
      <c r="P59" s="301">
        <f>'WPB2.2 Plant detail-w slippage'!N2133</f>
        <v>1612323.41</v>
      </c>
      <c r="Q59" s="301">
        <f>'WPB2.2 Plant detail-w slippage'!N2239</f>
        <v>1623601.41</v>
      </c>
      <c r="R59" s="301">
        <f>'WPB2.2 Plant detail-w slippage'!N2345</f>
        <v>1635109.41</v>
      </c>
      <c r="S59" s="116">
        <f t="shared" si="6"/>
        <v>1570123.1023076922</v>
      </c>
    </row>
    <row r="60" spans="1:19" x14ac:dyDescent="0.2">
      <c r="A60" s="48">
        <f t="shared" si="7"/>
        <v>5</v>
      </c>
      <c r="C60" s="123">
        <v>384</v>
      </c>
      <c r="E60" s="52"/>
      <c r="F60" s="301">
        <f>'WPB2.2 Plant detail-w slippage'!N1074</f>
        <v>1769328.73</v>
      </c>
      <c r="G60" s="301">
        <f>'WPB2.2 Plant detail-w slippage'!N1180</f>
        <v>1771228.73</v>
      </c>
      <c r="H60" s="301">
        <f>'WPB2.2 Plant detail-w slippage'!N1286</f>
        <v>1773128.73</v>
      </c>
      <c r="I60" s="301">
        <f>'WPB2.2 Plant detail-w slippage'!N1392</f>
        <v>1775028.73</v>
      </c>
      <c r="J60" s="301">
        <f>'WPB2.2 Plant detail-w slippage'!N1498</f>
        <v>1776928.73</v>
      </c>
      <c r="K60" s="301">
        <f>'WPB2.2 Plant detail-w slippage'!N1604</f>
        <v>1778828.73</v>
      </c>
      <c r="L60" s="301">
        <f>'WPB2.2 Plant detail-w slippage'!N1710</f>
        <v>1780728.73</v>
      </c>
      <c r="M60" s="301">
        <f>'WPB2.2 Plant detail-w slippage'!N1816</f>
        <v>1782628.73</v>
      </c>
      <c r="N60" s="301">
        <f>'WPB2.2 Plant detail-w slippage'!N1922</f>
        <v>1784528.73</v>
      </c>
      <c r="O60" s="301">
        <f>'WPB2.2 Plant detail-w slippage'!N2028</f>
        <v>1786428.73</v>
      </c>
      <c r="P60" s="301">
        <f>'WPB2.2 Plant detail-w slippage'!N2134</f>
        <v>1788328.73</v>
      </c>
      <c r="Q60" s="301">
        <f>'WPB2.2 Plant detail-w slippage'!N2240</f>
        <v>1790228.73</v>
      </c>
      <c r="R60" s="301">
        <f>'WPB2.2 Plant detail-w slippage'!N2346</f>
        <v>1792128.73</v>
      </c>
      <c r="S60" s="116">
        <f t="shared" si="6"/>
        <v>1780728.7300000002</v>
      </c>
    </row>
    <row r="61" spans="1:19" x14ac:dyDescent="0.2">
      <c r="A61" s="48">
        <f t="shared" si="7"/>
        <v>6</v>
      </c>
      <c r="C61" s="123">
        <v>385</v>
      </c>
      <c r="E61" s="52"/>
      <c r="F61" s="301">
        <f>'WPB2.2 Plant detail-w slippage'!N1075</f>
        <v>890204.55</v>
      </c>
      <c r="G61" s="301">
        <f>'WPB2.2 Plant detail-w slippage'!N1181</f>
        <v>902494.55</v>
      </c>
      <c r="H61" s="301">
        <f>'WPB2.2 Plant detail-w slippage'!N1287</f>
        <v>914828.55</v>
      </c>
      <c r="I61" s="301">
        <f>'WPB2.2 Plant detail-w slippage'!N1393</f>
        <v>927206.55</v>
      </c>
      <c r="J61" s="301">
        <f>'WPB2.2 Plant detail-w slippage'!N1499</f>
        <v>938838.55</v>
      </c>
      <c r="K61" s="301">
        <f>'WPB2.2 Plant detail-w slippage'!N1605</f>
        <v>950242.55</v>
      </c>
      <c r="L61" s="301">
        <f>'WPB2.2 Plant detail-w slippage'!N1711</f>
        <v>961132.55</v>
      </c>
      <c r="M61" s="301">
        <f>'WPB2.2 Plant detail-w slippage'!N1817</f>
        <v>971918.55</v>
      </c>
      <c r="N61" s="301">
        <f>'WPB2.2 Plant detail-w slippage'!N1923</f>
        <v>981622.55</v>
      </c>
      <c r="O61" s="301">
        <f>'WPB2.2 Plant detail-w slippage'!N2029</f>
        <v>991265.55</v>
      </c>
      <c r="P61" s="301">
        <f>'WPB2.2 Plant detail-w slippage'!N2135</f>
        <v>1000952.55</v>
      </c>
      <c r="Q61" s="301">
        <f>'WPB2.2 Plant detail-w slippage'!N2241</f>
        <v>1012657.55</v>
      </c>
      <c r="R61" s="301">
        <f>'WPB2.2 Plant detail-w slippage'!N2347</f>
        <v>1024453.55</v>
      </c>
      <c r="S61" s="116">
        <f t="shared" si="6"/>
        <v>959062.93461538479</v>
      </c>
    </row>
    <row r="62" spans="1:19" x14ac:dyDescent="0.2">
      <c r="A62" s="48">
        <f t="shared" si="7"/>
        <v>7</v>
      </c>
      <c r="C62" s="123">
        <v>387.2</v>
      </c>
      <c r="E62" s="52"/>
      <c r="F62" s="301">
        <f>'WPB2.2 Plant detail-w slippage'!N1076</f>
        <v>-59912.03</v>
      </c>
      <c r="G62" s="301">
        <f>'WPB2.2 Plant detail-w slippage'!N1182</f>
        <v>-59912.03</v>
      </c>
      <c r="H62" s="301">
        <f>'WPB2.2 Plant detail-w slippage'!N1288</f>
        <v>-59912.03</v>
      </c>
      <c r="I62" s="301">
        <f>'WPB2.2 Plant detail-w slippage'!N1394</f>
        <v>-59912.03</v>
      </c>
      <c r="J62" s="301">
        <f>'WPB2.2 Plant detail-w slippage'!N1500</f>
        <v>-59912.03</v>
      </c>
      <c r="K62" s="301">
        <f>'WPB2.2 Plant detail-w slippage'!N1606</f>
        <v>-59912.03</v>
      </c>
      <c r="L62" s="301">
        <f>'WPB2.2 Plant detail-w slippage'!N1712</f>
        <v>-59912.03</v>
      </c>
      <c r="M62" s="301">
        <f>'WPB2.2 Plant detail-w slippage'!N1818</f>
        <v>-59912.03</v>
      </c>
      <c r="N62" s="301">
        <f>'WPB2.2 Plant detail-w slippage'!N1924</f>
        <v>-59912.03</v>
      </c>
      <c r="O62" s="301">
        <f>'WPB2.2 Plant detail-w slippage'!N2030</f>
        <v>-59912.03</v>
      </c>
      <c r="P62" s="301">
        <f>'WPB2.2 Plant detail-w slippage'!N2136</f>
        <v>-59912.03</v>
      </c>
      <c r="Q62" s="301">
        <f>'WPB2.2 Plant detail-w slippage'!N2242</f>
        <v>-59912.03</v>
      </c>
      <c r="R62" s="301">
        <f>'WPB2.2 Plant detail-w slippage'!N2348</f>
        <v>-59912.03</v>
      </c>
      <c r="S62" s="116">
        <f t="shared" si="6"/>
        <v>-59912.030000000021</v>
      </c>
    </row>
    <row r="63" spans="1:19" x14ac:dyDescent="0.2">
      <c r="A63" s="48">
        <f t="shared" si="7"/>
        <v>8</v>
      </c>
      <c r="C63" s="123">
        <v>387.41</v>
      </c>
      <c r="E63" s="52"/>
      <c r="F63" s="301">
        <f>'WPB2.2 Plant detail-w slippage'!N1077</f>
        <v>386057.95</v>
      </c>
      <c r="G63" s="301">
        <f>'WPB2.2 Plant detail-w slippage'!N1183</f>
        <v>388350.95</v>
      </c>
      <c r="H63" s="301">
        <f>'WPB2.2 Plant detail-w slippage'!N1289</f>
        <v>390643.95</v>
      </c>
      <c r="I63" s="301">
        <f>'WPB2.2 Plant detail-w slippage'!N1395</f>
        <v>392936.95</v>
      </c>
      <c r="J63" s="301">
        <f>'WPB2.2 Plant detail-w slippage'!N1501</f>
        <v>395229.95</v>
      </c>
      <c r="K63" s="301">
        <f>'WPB2.2 Plant detail-w slippage'!N1607</f>
        <v>397522.95</v>
      </c>
      <c r="L63" s="301">
        <f>'WPB2.2 Plant detail-w slippage'!N1713</f>
        <v>399815.95</v>
      </c>
      <c r="M63" s="301">
        <f>'WPB2.2 Plant detail-w slippage'!N1819</f>
        <v>402108.95</v>
      </c>
      <c r="N63" s="301">
        <f>'WPB2.2 Plant detail-w slippage'!N1925</f>
        <v>404401.95</v>
      </c>
      <c r="O63" s="301">
        <f>'WPB2.2 Plant detail-w slippage'!N2031</f>
        <v>406694.95</v>
      </c>
      <c r="P63" s="301">
        <f>'WPB2.2 Plant detail-w slippage'!N2137</f>
        <v>408987.95</v>
      </c>
      <c r="Q63" s="301">
        <f>'WPB2.2 Plant detail-w slippage'!N2243</f>
        <v>411280.95</v>
      </c>
      <c r="R63" s="301">
        <f>'WPB2.2 Plant detail-w slippage'!N2349</f>
        <v>413573.95</v>
      </c>
      <c r="S63" s="116">
        <f t="shared" si="6"/>
        <v>399815.95000000013</v>
      </c>
    </row>
    <row r="64" spans="1:19" x14ac:dyDescent="0.2">
      <c r="A64" s="48">
        <f t="shared" si="7"/>
        <v>9</v>
      </c>
      <c r="C64" s="123">
        <v>387.42</v>
      </c>
      <c r="E64" s="52"/>
      <c r="F64" s="301">
        <f>'WPB2.2 Plant detail-w slippage'!N1078</f>
        <v>552545.94999999995</v>
      </c>
      <c r="G64" s="301">
        <f>'WPB2.2 Plant detail-w slippage'!N1184</f>
        <v>555023.94999999995</v>
      </c>
      <c r="H64" s="301">
        <f>'WPB2.2 Plant detail-w slippage'!N1290</f>
        <v>557501.94999999995</v>
      </c>
      <c r="I64" s="301">
        <f>'WPB2.2 Plant detail-w slippage'!N1396</f>
        <v>559979.94999999995</v>
      </c>
      <c r="J64" s="301">
        <f>'WPB2.2 Plant detail-w slippage'!N1502</f>
        <v>562457.94999999995</v>
      </c>
      <c r="K64" s="301">
        <f>'WPB2.2 Plant detail-w slippage'!N1608</f>
        <v>564935.94999999995</v>
      </c>
      <c r="L64" s="301">
        <f>'WPB2.2 Plant detail-w slippage'!N1714</f>
        <v>567413.94999999995</v>
      </c>
      <c r="M64" s="301">
        <f>'WPB2.2 Plant detail-w slippage'!N1820</f>
        <v>569891.94999999995</v>
      </c>
      <c r="N64" s="301">
        <f>'WPB2.2 Plant detail-w slippage'!N1926</f>
        <v>572369.94999999995</v>
      </c>
      <c r="O64" s="301">
        <f>'WPB2.2 Plant detail-w slippage'!N2032</f>
        <v>574847.94999999995</v>
      </c>
      <c r="P64" s="301">
        <f>'WPB2.2 Plant detail-w slippage'!N2138</f>
        <v>577325.94999999995</v>
      </c>
      <c r="Q64" s="301">
        <f>'WPB2.2 Plant detail-w slippage'!N2244</f>
        <v>579803.94999999995</v>
      </c>
      <c r="R64" s="301">
        <f>'WPB2.2 Plant detail-w slippage'!N2350</f>
        <v>582281.94999999995</v>
      </c>
      <c r="S64" s="116">
        <f t="shared" si="6"/>
        <v>567413.95000000007</v>
      </c>
    </row>
    <row r="65" spans="1:19" x14ac:dyDescent="0.2">
      <c r="A65" s="48">
        <f t="shared" si="7"/>
        <v>10</v>
      </c>
      <c r="C65" s="123">
        <v>387.44</v>
      </c>
      <c r="E65" s="52"/>
      <c r="F65" s="301">
        <f>'WPB2.2 Plant detail-w slippage'!N1079</f>
        <v>46948.55</v>
      </c>
      <c r="G65" s="301">
        <f>'WPB2.2 Plant detail-w slippage'!N1185</f>
        <v>47395.55</v>
      </c>
      <c r="H65" s="301">
        <f>'WPB2.2 Plant detail-w slippage'!N1291</f>
        <v>47842.55</v>
      </c>
      <c r="I65" s="301">
        <f>'WPB2.2 Plant detail-w slippage'!N1397</f>
        <v>48289.55</v>
      </c>
      <c r="J65" s="301">
        <f>'WPB2.2 Plant detail-w slippage'!N1503</f>
        <v>48736.55</v>
      </c>
      <c r="K65" s="301">
        <f>'WPB2.2 Plant detail-w slippage'!N1609</f>
        <v>49183.55</v>
      </c>
      <c r="L65" s="301">
        <f>'WPB2.2 Plant detail-w slippage'!N1715</f>
        <v>49630.55</v>
      </c>
      <c r="M65" s="301">
        <f>'WPB2.2 Plant detail-w slippage'!N1821</f>
        <v>50077.55</v>
      </c>
      <c r="N65" s="301">
        <f>'WPB2.2 Plant detail-w slippage'!N1927</f>
        <v>50524.55</v>
      </c>
      <c r="O65" s="301">
        <f>'WPB2.2 Plant detail-w slippage'!N2033</f>
        <v>50971.55</v>
      </c>
      <c r="P65" s="301">
        <f>'WPB2.2 Plant detail-w slippage'!N2139</f>
        <v>51418.55</v>
      </c>
      <c r="Q65" s="301">
        <f>'WPB2.2 Plant detail-w slippage'!N2245</f>
        <v>51865.55</v>
      </c>
      <c r="R65" s="301">
        <f>'WPB2.2 Plant detail-w slippage'!N2351</f>
        <v>52312.55</v>
      </c>
      <c r="S65" s="116">
        <f t="shared" si="6"/>
        <v>49630.55</v>
      </c>
    </row>
    <row r="66" spans="1:19" x14ac:dyDescent="0.2">
      <c r="A66" s="48">
        <f t="shared" si="7"/>
        <v>11</v>
      </c>
      <c r="C66" s="123">
        <v>387.45</v>
      </c>
      <c r="E66" s="52"/>
      <c r="F66" s="301">
        <f>'WPB2.2 Plant detail-w slippage'!N1080</f>
        <v>533003.06000000006</v>
      </c>
      <c r="G66" s="301">
        <f>'WPB2.2 Plant detail-w slippage'!N1186</f>
        <v>545553.06000000006</v>
      </c>
      <c r="H66" s="301">
        <f>'WPB2.2 Plant detail-w slippage'!N1292</f>
        <v>558048.06000000006</v>
      </c>
      <c r="I66" s="301">
        <f>'WPB2.2 Plant detail-w slippage'!N1398</f>
        <v>558230.06000000006</v>
      </c>
      <c r="J66" s="301">
        <f>'WPB2.2 Plant detail-w slippage'!N1504</f>
        <v>558640.06000000006</v>
      </c>
      <c r="K66" s="301">
        <f>'WPB2.2 Plant detail-w slippage'!N1610</f>
        <v>550085.06000000006</v>
      </c>
      <c r="L66" s="301">
        <f>'WPB2.2 Plant detail-w slippage'!N1716</f>
        <v>546618.06000000006</v>
      </c>
      <c r="M66" s="301">
        <f>'WPB2.2 Plant detail-w slippage'!N1822</f>
        <v>541607.06000000006</v>
      </c>
      <c r="N66" s="301">
        <f>'WPB2.2 Plant detail-w slippage'!N1928</f>
        <v>534206.06000000006</v>
      </c>
      <c r="O66" s="301">
        <f>'WPB2.2 Plant detail-w slippage'!N2034</f>
        <v>522699.06000000006</v>
      </c>
      <c r="P66" s="301">
        <f>'WPB2.2 Plant detail-w slippage'!N2140</f>
        <v>516286.06000000006</v>
      </c>
      <c r="Q66" s="301">
        <f>'WPB2.2 Plant detail-w slippage'!N2246</f>
        <v>507745.06000000006</v>
      </c>
      <c r="R66" s="301">
        <f>'WPB2.2 Plant detail-w slippage'!N2352</f>
        <v>504845.06000000006</v>
      </c>
      <c r="S66" s="116">
        <f t="shared" si="6"/>
        <v>536735.82923076942</v>
      </c>
    </row>
    <row r="67" spans="1:19" x14ac:dyDescent="0.2">
      <c r="A67" s="48">
        <f t="shared" si="7"/>
        <v>12</v>
      </c>
      <c r="C67" s="123">
        <v>387.46</v>
      </c>
      <c r="E67" s="52"/>
      <c r="F67" s="302">
        <f>'WPB2.2 Plant detail-w slippage'!N1081</f>
        <v>112232.83</v>
      </c>
      <c r="G67" s="302">
        <f>'WPB2.2 Plant detail-w slippage'!N1187</f>
        <v>112586.83</v>
      </c>
      <c r="H67" s="302">
        <f>'WPB2.2 Plant detail-w slippage'!N1293</f>
        <v>112940.83</v>
      </c>
      <c r="I67" s="302">
        <f>'WPB2.2 Plant detail-w slippage'!N1399</f>
        <v>113294.83</v>
      </c>
      <c r="J67" s="302">
        <f>'WPB2.2 Plant detail-w slippage'!N1505</f>
        <v>113648.83</v>
      </c>
      <c r="K67" s="302">
        <f>'WPB2.2 Plant detail-w slippage'!N1611</f>
        <v>114002.83</v>
      </c>
      <c r="L67" s="302">
        <f>'WPB2.2 Plant detail-w slippage'!N1717</f>
        <v>114356.83</v>
      </c>
      <c r="M67" s="302">
        <f>'WPB2.2 Plant detail-w slippage'!N1823</f>
        <v>114710.83</v>
      </c>
      <c r="N67" s="302">
        <f>'WPB2.2 Plant detail-w slippage'!N1929</f>
        <v>115064.83</v>
      </c>
      <c r="O67" s="302">
        <f>'WPB2.2 Plant detail-w slippage'!N2035</f>
        <v>115418.83</v>
      </c>
      <c r="P67" s="302">
        <f>'WPB2.2 Plant detail-w slippage'!N2141</f>
        <v>115772.83</v>
      </c>
      <c r="Q67" s="302">
        <f>'WPB2.2 Plant detail-w slippage'!N2247</f>
        <v>116126.83</v>
      </c>
      <c r="R67" s="302">
        <f>'WPB2.2 Plant detail-w slippage'!N2353</f>
        <v>116480.83</v>
      </c>
      <c r="S67" s="117">
        <f t="shared" si="6"/>
        <v>114356.83</v>
      </c>
    </row>
    <row r="68" spans="1:19" x14ac:dyDescent="0.2">
      <c r="A68" s="48">
        <f t="shared" si="7"/>
        <v>13</v>
      </c>
      <c r="C68" s="52" t="s">
        <v>683</v>
      </c>
      <c r="F68" s="51">
        <f>SUM(F56:F67,F26:F42)</f>
        <v>141213889.27473685</v>
      </c>
      <c r="G68" s="51">
        <f t="shared" ref="G68:S68" si="8">SUM(G56:G67,G26:G42)</f>
        <v>142187314.32421052</v>
      </c>
      <c r="H68" s="51">
        <f t="shared" si="8"/>
        <v>143181021.3736842</v>
      </c>
      <c r="I68" s="51">
        <f t="shared" si="8"/>
        <v>144151619.4231579</v>
      </c>
      <c r="J68" s="51">
        <f t="shared" si="8"/>
        <v>145037155.47263157</v>
      </c>
      <c r="K68" s="51">
        <f t="shared" si="8"/>
        <v>145854485.52210525</v>
      </c>
      <c r="L68" s="51">
        <f t="shared" si="8"/>
        <v>146565083.57157895</v>
      </c>
      <c r="M68" s="51">
        <f t="shared" si="8"/>
        <v>147296638.62105262</v>
      </c>
      <c r="N68" s="51">
        <f t="shared" si="8"/>
        <v>147820174.67052633</v>
      </c>
      <c r="O68" s="51">
        <f t="shared" si="8"/>
        <v>148398431.72</v>
      </c>
      <c r="P68" s="51">
        <f t="shared" si="8"/>
        <v>148969890.76947367</v>
      </c>
      <c r="Q68" s="51">
        <f t="shared" si="8"/>
        <v>149758036.81894737</v>
      </c>
      <c r="R68" s="51">
        <f t="shared" si="8"/>
        <v>150598422.86842105</v>
      </c>
      <c r="S68" s="51">
        <f t="shared" si="8"/>
        <v>146233243.41773281</v>
      </c>
    </row>
    <row r="69" spans="1:19" x14ac:dyDescent="0.2">
      <c r="A69" s="48"/>
      <c r="C69" s="123"/>
      <c r="E69" s="49"/>
      <c r="F69" s="51"/>
      <c r="G69" s="51"/>
      <c r="H69" s="107"/>
      <c r="I69" s="107"/>
      <c r="J69" s="108"/>
      <c r="K69" s="107"/>
      <c r="L69" s="107"/>
      <c r="M69" s="107"/>
      <c r="N69" s="108"/>
      <c r="O69" s="107"/>
      <c r="P69" s="107"/>
    </row>
    <row r="70" spans="1:19" x14ac:dyDescent="0.2">
      <c r="A70" s="48"/>
      <c r="C70" s="123"/>
      <c r="E70" s="50"/>
      <c r="F70" s="51"/>
      <c r="G70" s="51"/>
      <c r="H70" s="107"/>
      <c r="I70" s="107"/>
      <c r="J70" s="108"/>
      <c r="K70" s="107"/>
      <c r="L70" s="107"/>
      <c r="M70" s="107"/>
      <c r="N70" s="108"/>
      <c r="O70" s="107"/>
      <c r="P70" s="107"/>
    </row>
    <row r="71" spans="1:19" x14ac:dyDescent="0.2">
      <c r="A71" s="48">
        <f>A68+1</f>
        <v>14</v>
      </c>
      <c r="C71" s="123">
        <v>391.1</v>
      </c>
      <c r="E71" s="52"/>
      <c r="F71" s="301">
        <f>'WPB2.2 Plant detail-w slippage'!N1085</f>
        <v>-50576.22</v>
      </c>
      <c r="G71" s="301">
        <f>'WPB2.2 Plant detail-w slippage'!N1191</f>
        <v>-47603.22</v>
      </c>
      <c r="H71" s="301">
        <f>'WPB2.2 Plant detail-w slippage'!N1297</f>
        <v>-44630.22</v>
      </c>
      <c r="I71" s="301">
        <f>'WPB2.2 Plant detail-w slippage'!N1403</f>
        <v>-41657.22</v>
      </c>
      <c r="J71" s="301">
        <f>'WPB2.2 Plant detail-w slippage'!N1509</f>
        <v>-38684.22</v>
      </c>
      <c r="K71" s="301">
        <f>'WPB2.2 Plant detail-w slippage'!N1615</f>
        <v>-35711.22</v>
      </c>
      <c r="L71" s="301">
        <f>'WPB2.2 Plant detail-w slippage'!N1721</f>
        <v>-32738.22</v>
      </c>
      <c r="M71" s="301">
        <f>'WPB2.2 Plant detail-w slippage'!N1827</f>
        <v>-29765.22</v>
      </c>
      <c r="N71" s="301">
        <f>'WPB2.2 Plant detail-w slippage'!N1933</f>
        <v>-26792.22</v>
      </c>
      <c r="O71" s="301">
        <f>'WPB2.2 Plant detail-w slippage'!N2039</f>
        <v>-23819.22</v>
      </c>
      <c r="P71" s="301">
        <f>'WPB2.2 Plant detail-w slippage'!N2145</f>
        <v>-20846.22</v>
      </c>
      <c r="Q71" s="301">
        <f>'WPB2.2 Plant detail-w slippage'!N2251</f>
        <v>-17593.22</v>
      </c>
      <c r="R71" s="301">
        <f>'WPB2.2 Plant detail-w slippage'!N2357</f>
        <v>-14060.220000000001</v>
      </c>
      <c r="S71" s="116">
        <f t="shared" ref="S71:S84" si="9">AVERAGE(F71:R71)</f>
        <v>-32652.066153846143</v>
      </c>
    </row>
    <row r="72" spans="1:19" x14ac:dyDescent="0.2">
      <c r="A72" s="48">
        <f t="shared" ref="A72:A85" si="10">A71+1</f>
        <v>15</v>
      </c>
      <c r="C72" s="123">
        <v>391.11</v>
      </c>
      <c r="E72" s="52"/>
      <c r="F72" s="301">
        <f>'WPB2.2 Plant detail-w slippage'!N1086</f>
        <v>-11984.77</v>
      </c>
      <c r="G72" s="301">
        <f>'WPB2.2 Plant detail-w slippage'!N1192</f>
        <v>-11879.77</v>
      </c>
      <c r="H72" s="301">
        <f>'WPB2.2 Plant detail-w slippage'!N1298</f>
        <v>-11774.77</v>
      </c>
      <c r="I72" s="301">
        <f>'WPB2.2 Plant detail-w slippage'!N1404</f>
        <v>-11669.77</v>
      </c>
      <c r="J72" s="301">
        <f>'WPB2.2 Plant detail-w slippage'!N1510</f>
        <v>-11564.77</v>
      </c>
      <c r="K72" s="301">
        <f>'WPB2.2 Plant detail-w slippage'!N1616</f>
        <v>-11459.77</v>
      </c>
      <c r="L72" s="301">
        <f>'WPB2.2 Plant detail-w slippage'!N1722</f>
        <v>-11354.77</v>
      </c>
      <c r="M72" s="301">
        <f>'WPB2.2 Plant detail-w slippage'!N1828</f>
        <v>-11249.77</v>
      </c>
      <c r="N72" s="301">
        <f>'WPB2.2 Plant detail-w slippage'!N1934</f>
        <v>-11144.77</v>
      </c>
      <c r="O72" s="301">
        <f>'WPB2.2 Plant detail-w slippage'!N2040</f>
        <v>-11039.77</v>
      </c>
      <c r="P72" s="301">
        <f>'WPB2.2 Plant detail-w slippage'!N2146</f>
        <v>-10934.77</v>
      </c>
      <c r="Q72" s="301">
        <f>'WPB2.2 Plant detail-w slippage'!N2252</f>
        <v>-10829.77</v>
      </c>
      <c r="R72" s="301">
        <f>'WPB2.2 Plant detail-w slippage'!N2358</f>
        <v>-10724.77</v>
      </c>
      <c r="S72" s="116">
        <f t="shared" si="9"/>
        <v>-11354.77</v>
      </c>
    </row>
    <row r="73" spans="1:19" x14ac:dyDescent="0.2">
      <c r="A73" s="48">
        <f t="shared" si="10"/>
        <v>16</v>
      </c>
      <c r="C73" s="123">
        <v>391.12</v>
      </c>
      <c r="E73" s="52"/>
      <c r="F73" s="301">
        <f>'WPB2.2 Plant detail-w slippage'!N1087</f>
        <v>689585.37</v>
      </c>
      <c r="G73" s="301">
        <f>'WPB2.2 Plant detail-w slippage'!N1193</f>
        <v>703810.37</v>
      </c>
      <c r="H73" s="301">
        <f>'WPB2.2 Plant detail-w slippage'!N1299</f>
        <v>718035.37</v>
      </c>
      <c r="I73" s="301">
        <f>'WPB2.2 Plant detail-w slippage'!N1405</f>
        <v>732260.37</v>
      </c>
      <c r="J73" s="301">
        <f>'WPB2.2 Plant detail-w slippage'!N1511</f>
        <v>675505.37</v>
      </c>
      <c r="K73" s="301">
        <f>'WPB2.2 Plant detail-w slippage'!N1617</f>
        <v>698970.37</v>
      </c>
      <c r="L73" s="301">
        <f>'WPB2.2 Plant detail-w slippage'!N1723</f>
        <v>722435.37</v>
      </c>
      <c r="M73" s="301">
        <f>'WPB2.2 Plant detail-w slippage'!N1829</f>
        <v>745900.37</v>
      </c>
      <c r="N73" s="301">
        <f>'WPB2.2 Plant detail-w slippage'!N1935</f>
        <v>769365.37</v>
      </c>
      <c r="O73" s="301">
        <f>'WPB2.2 Plant detail-w slippage'!N2041</f>
        <v>792830.37</v>
      </c>
      <c r="P73" s="301">
        <f>'WPB2.2 Plant detail-w slippage'!N2147</f>
        <v>816295.37</v>
      </c>
      <c r="Q73" s="301">
        <f>'WPB2.2 Plant detail-w slippage'!N2253</f>
        <v>839760.37</v>
      </c>
      <c r="R73" s="301">
        <f>'WPB2.2 Plant detail-w slippage'!N2359</f>
        <v>863225.37</v>
      </c>
      <c r="S73" s="116">
        <f t="shared" si="9"/>
        <v>751383.06230769225</v>
      </c>
    </row>
    <row r="74" spans="1:19" x14ac:dyDescent="0.2">
      <c r="A74" s="48">
        <f t="shared" si="10"/>
        <v>17</v>
      </c>
      <c r="C74" s="123">
        <v>392.2</v>
      </c>
      <c r="E74" s="52"/>
      <c r="F74" s="301">
        <f>'WPB2.2 Plant detail-w slippage'!N1088</f>
        <v>22655.05</v>
      </c>
      <c r="G74" s="301">
        <f>'WPB2.2 Plant detail-w slippage'!N1194</f>
        <v>23385.05</v>
      </c>
      <c r="H74" s="301">
        <f>'WPB2.2 Plant detail-w slippage'!N1300</f>
        <v>24115.05</v>
      </c>
      <c r="I74" s="301">
        <f>'WPB2.2 Plant detail-w slippage'!N1406</f>
        <v>24845.05</v>
      </c>
      <c r="J74" s="301">
        <f>'WPB2.2 Plant detail-w slippage'!N1512</f>
        <v>25575.05</v>
      </c>
      <c r="K74" s="301">
        <f>'WPB2.2 Plant detail-w slippage'!N1618</f>
        <v>26305.05</v>
      </c>
      <c r="L74" s="301">
        <f>'WPB2.2 Plant detail-w slippage'!N1724</f>
        <v>27035.05</v>
      </c>
      <c r="M74" s="301">
        <f>'WPB2.2 Plant detail-w slippage'!N1830</f>
        <v>27765.05</v>
      </c>
      <c r="N74" s="301">
        <f>'WPB2.2 Plant detail-w slippage'!N1936</f>
        <v>28495.05</v>
      </c>
      <c r="O74" s="301">
        <f>'WPB2.2 Plant detail-w slippage'!N2042</f>
        <v>29225.05</v>
      </c>
      <c r="P74" s="301">
        <f>'WPB2.2 Plant detail-w slippage'!N2148</f>
        <v>29955.05</v>
      </c>
      <c r="Q74" s="301">
        <f>'WPB2.2 Plant detail-w slippage'!N2254</f>
        <v>30685.05</v>
      </c>
      <c r="R74" s="301">
        <f>'WPB2.2 Plant detail-w slippage'!N2360</f>
        <v>31415.05</v>
      </c>
      <c r="S74" s="116">
        <f t="shared" si="9"/>
        <v>27035.049999999992</v>
      </c>
    </row>
    <row r="75" spans="1:19" x14ac:dyDescent="0.2">
      <c r="A75" s="48">
        <f t="shared" si="10"/>
        <v>18</v>
      </c>
      <c r="C75" s="123">
        <v>392.21</v>
      </c>
      <c r="E75" s="52"/>
      <c r="F75" s="301">
        <f>'WPB2.2 Plant detail-w slippage'!N1089</f>
        <v>5187.3999999999996</v>
      </c>
      <c r="G75" s="301">
        <f>'WPB2.2 Plant detail-w slippage'!N1195</f>
        <v>5374.4</v>
      </c>
      <c r="H75" s="301">
        <f>'WPB2.2 Plant detail-w slippage'!N1301</f>
        <v>5561.4</v>
      </c>
      <c r="I75" s="301">
        <f>'WPB2.2 Plant detail-w slippage'!N1407</f>
        <v>5748.4</v>
      </c>
      <c r="J75" s="301">
        <f>'WPB2.2 Plant detail-w slippage'!N1513</f>
        <v>5935.4</v>
      </c>
      <c r="K75" s="301">
        <f>'WPB2.2 Plant detail-w slippage'!N1619</f>
        <v>6122.4</v>
      </c>
      <c r="L75" s="301">
        <f>'WPB2.2 Plant detail-w slippage'!N1725</f>
        <v>6309.4</v>
      </c>
      <c r="M75" s="301">
        <f>'WPB2.2 Plant detail-w slippage'!N1831</f>
        <v>6496.4</v>
      </c>
      <c r="N75" s="301">
        <f>'WPB2.2 Plant detail-w slippage'!N1937</f>
        <v>6683.4</v>
      </c>
      <c r="O75" s="301">
        <f>'WPB2.2 Plant detail-w slippage'!N2043</f>
        <v>6870.4</v>
      </c>
      <c r="P75" s="301">
        <f>'WPB2.2 Plant detail-w slippage'!N2149</f>
        <v>7057.4</v>
      </c>
      <c r="Q75" s="301">
        <f>'WPB2.2 Plant detail-w slippage'!N2255</f>
        <v>7244.4</v>
      </c>
      <c r="R75" s="301">
        <f>'WPB2.2 Plant detail-w slippage'!N2361</f>
        <v>7431.4</v>
      </c>
      <c r="S75" s="116">
        <f t="shared" si="9"/>
        <v>6309.4</v>
      </c>
    </row>
    <row r="76" spans="1:19" x14ac:dyDescent="0.2">
      <c r="A76" s="48">
        <f t="shared" si="10"/>
        <v>19</v>
      </c>
      <c r="C76" s="123">
        <v>393</v>
      </c>
      <c r="E76" s="52"/>
      <c r="F76" s="301">
        <f>'WPB2.2 Plant detail-w slippage'!N1090</f>
        <v>0</v>
      </c>
      <c r="G76" s="301">
        <f>'WPB2.2 Plant detail-w slippage'!N1196</f>
        <v>0</v>
      </c>
      <c r="H76" s="301">
        <f>'WPB2.2 Plant detail-w slippage'!N1302</f>
        <v>0</v>
      </c>
      <c r="I76" s="301">
        <f>'WPB2.2 Plant detail-w slippage'!N1408</f>
        <v>0</v>
      </c>
      <c r="J76" s="301">
        <f>'WPB2.2 Plant detail-w slippage'!N1514</f>
        <v>0</v>
      </c>
      <c r="K76" s="301">
        <f>'WPB2.2 Plant detail-w slippage'!N1620</f>
        <v>0</v>
      </c>
      <c r="L76" s="301">
        <f>'WPB2.2 Plant detail-w slippage'!N1726</f>
        <v>0</v>
      </c>
      <c r="M76" s="301">
        <f>'WPB2.2 Plant detail-w slippage'!N1832</f>
        <v>0</v>
      </c>
      <c r="N76" s="301">
        <f>'WPB2.2 Plant detail-w slippage'!N1938</f>
        <v>0</v>
      </c>
      <c r="O76" s="301">
        <f>'WPB2.2 Plant detail-w slippage'!N2044</f>
        <v>0</v>
      </c>
      <c r="P76" s="301">
        <f>'WPB2.2 Plant detail-w slippage'!N2150</f>
        <v>0</v>
      </c>
      <c r="Q76" s="301">
        <f>'WPB2.2 Plant detail-w slippage'!N2256</f>
        <v>0</v>
      </c>
      <c r="R76" s="301">
        <f>'WPB2.2 Plant detail-w slippage'!N2362</f>
        <v>0</v>
      </c>
      <c r="S76" s="116">
        <f t="shared" si="9"/>
        <v>0</v>
      </c>
    </row>
    <row r="77" spans="1:19" x14ac:dyDescent="0.2">
      <c r="A77" s="48">
        <f t="shared" si="10"/>
        <v>20</v>
      </c>
      <c r="C77" s="123">
        <v>394.1</v>
      </c>
      <c r="E77" s="52"/>
      <c r="F77" s="301">
        <f>'WPB2.2 Plant detail-w slippage'!N1091</f>
        <v>14608.82</v>
      </c>
      <c r="G77" s="301">
        <f>'WPB2.2 Plant detail-w slippage'!N1197</f>
        <v>14689.82</v>
      </c>
      <c r="H77" s="301">
        <f>'WPB2.2 Plant detail-w slippage'!N1303</f>
        <v>14770.82</v>
      </c>
      <c r="I77" s="301">
        <f>'WPB2.2 Plant detail-w slippage'!N1409</f>
        <v>14851.82</v>
      </c>
      <c r="J77" s="301">
        <f>'WPB2.2 Plant detail-w slippage'!N1515</f>
        <v>14932.82</v>
      </c>
      <c r="K77" s="301">
        <f>'WPB2.2 Plant detail-w slippage'!N1621</f>
        <v>15013.82</v>
      </c>
      <c r="L77" s="301">
        <f>'WPB2.2 Plant detail-w slippage'!N1727</f>
        <v>15094.82</v>
      </c>
      <c r="M77" s="301">
        <f>'WPB2.2 Plant detail-w slippage'!N1833</f>
        <v>15175.82</v>
      </c>
      <c r="N77" s="301">
        <f>'WPB2.2 Plant detail-w slippage'!N1939</f>
        <v>15256.82</v>
      </c>
      <c r="O77" s="301">
        <f>'WPB2.2 Plant detail-w slippage'!N2045</f>
        <v>15337.82</v>
      </c>
      <c r="P77" s="301">
        <f>'WPB2.2 Plant detail-w slippage'!N2151</f>
        <v>15418.82</v>
      </c>
      <c r="Q77" s="301">
        <f>'WPB2.2 Plant detail-w slippage'!N2257</f>
        <v>15499.82</v>
      </c>
      <c r="R77" s="301">
        <f>'WPB2.2 Plant detail-w slippage'!N2363</f>
        <v>15580.82</v>
      </c>
      <c r="S77" s="116">
        <f t="shared" si="9"/>
        <v>15094.820000000005</v>
      </c>
    </row>
    <row r="78" spans="1:19" x14ac:dyDescent="0.2">
      <c r="A78" s="48">
        <f t="shared" si="10"/>
        <v>21</v>
      </c>
      <c r="C78" s="123">
        <v>394.11</v>
      </c>
      <c r="E78" s="52"/>
      <c r="F78" s="301">
        <f>'WPB2.2 Plant detail-w slippage'!N1092</f>
        <v>0</v>
      </c>
      <c r="G78" s="301">
        <f>'WPB2.2 Plant detail-w slippage'!N1198</f>
        <v>0</v>
      </c>
      <c r="H78" s="301">
        <f>'WPB2.2 Plant detail-w slippage'!N1304</f>
        <v>0</v>
      </c>
      <c r="I78" s="301">
        <f>'WPB2.2 Plant detail-w slippage'!N1410</f>
        <v>0</v>
      </c>
      <c r="J78" s="301">
        <f>'WPB2.2 Plant detail-w slippage'!N1516</f>
        <v>0</v>
      </c>
      <c r="K78" s="301">
        <f>'WPB2.2 Plant detail-w slippage'!N1622</f>
        <v>0</v>
      </c>
      <c r="L78" s="301">
        <f>'WPB2.2 Plant detail-w slippage'!N1728</f>
        <v>0</v>
      </c>
      <c r="M78" s="301">
        <f>'WPB2.2 Plant detail-w slippage'!N1834</f>
        <v>0</v>
      </c>
      <c r="N78" s="301">
        <f>'WPB2.2 Plant detail-w slippage'!N1940</f>
        <v>0</v>
      </c>
      <c r="O78" s="301">
        <f>'WPB2.2 Plant detail-w slippage'!N2046</f>
        <v>0</v>
      </c>
      <c r="P78" s="301">
        <f>'WPB2.2 Plant detail-w slippage'!N2152</f>
        <v>0</v>
      </c>
      <c r="Q78" s="301">
        <f>'WPB2.2 Plant detail-w slippage'!N2258</f>
        <v>0</v>
      </c>
      <c r="R78" s="301">
        <f>'WPB2.2 Plant detail-w slippage'!N2364</f>
        <v>0</v>
      </c>
      <c r="S78" s="116">
        <f t="shared" si="9"/>
        <v>0</v>
      </c>
    </row>
    <row r="79" spans="1:19" x14ac:dyDescent="0.2">
      <c r="A79" s="48">
        <f t="shared" si="10"/>
        <v>22</v>
      </c>
      <c r="C79" s="123">
        <v>394.13</v>
      </c>
      <c r="E79" s="52"/>
      <c r="F79" s="301">
        <f>'WPB2.2 Plant detail-w slippage'!N1093</f>
        <v>37937.360000000001</v>
      </c>
      <c r="G79" s="301">
        <f>'WPB2.2 Plant detail-w slippage'!N1199</f>
        <v>37937.360000000001</v>
      </c>
      <c r="H79" s="301">
        <f>'WPB2.2 Plant detail-w slippage'!N1305</f>
        <v>37937.360000000001</v>
      </c>
      <c r="I79" s="301">
        <f>'WPB2.2 Plant detail-w slippage'!N1411</f>
        <v>37937.360000000001</v>
      </c>
      <c r="J79" s="301">
        <f>'WPB2.2 Plant detail-w slippage'!N1517</f>
        <v>37937.360000000001</v>
      </c>
      <c r="K79" s="301">
        <f>'WPB2.2 Plant detail-w slippage'!N1623</f>
        <v>37937.360000000001</v>
      </c>
      <c r="L79" s="301">
        <f>'WPB2.2 Plant detail-w slippage'!N1729</f>
        <v>37937.360000000001</v>
      </c>
      <c r="M79" s="301">
        <f>'WPB2.2 Plant detail-w slippage'!N1835</f>
        <v>37937.360000000001</v>
      </c>
      <c r="N79" s="301">
        <f>'WPB2.2 Plant detail-w slippage'!N1941</f>
        <v>37937.360000000001</v>
      </c>
      <c r="O79" s="301">
        <f>'WPB2.2 Plant detail-w slippage'!N2047</f>
        <v>37937.360000000001</v>
      </c>
      <c r="P79" s="301">
        <f>'WPB2.2 Plant detail-w slippage'!N2153</f>
        <v>37937.360000000001</v>
      </c>
      <c r="Q79" s="301">
        <f>'WPB2.2 Plant detail-w slippage'!N2259</f>
        <v>37937.360000000001</v>
      </c>
      <c r="R79" s="301">
        <f>'WPB2.2 Plant detail-w slippage'!N2365</f>
        <v>37937.360000000001</v>
      </c>
      <c r="S79" s="116">
        <f t="shared" si="9"/>
        <v>37937.359999999993</v>
      </c>
    </row>
    <row r="80" spans="1:19" x14ac:dyDescent="0.2">
      <c r="A80" s="48">
        <f t="shared" si="10"/>
        <v>23</v>
      </c>
      <c r="C80" s="123">
        <v>394.2</v>
      </c>
      <c r="E80" s="52"/>
      <c r="F80" s="301">
        <f>'WPB2.2 Plant detail-w slippage'!N1094</f>
        <v>185.21</v>
      </c>
      <c r="G80" s="301">
        <f>'WPB2.2 Plant detail-w slippage'!N1200</f>
        <v>185.21</v>
      </c>
      <c r="H80" s="301">
        <f>'WPB2.2 Plant detail-w slippage'!N1306</f>
        <v>185.21</v>
      </c>
      <c r="I80" s="301">
        <f>'WPB2.2 Plant detail-w slippage'!N1412</f>
        <v>185.21</v>
      </c>
      <c r="J80" s="301">
        <f>'WPB2.2 Plant detail-w slippage'!N1518</f>
        <v>185.21</v>
      </c>
      <c r="K80" s="301">
        <f>'WPB2.2 Plant detail-w slippage'!N1624</f>
        <v>185.21</v>
      </c>
      <c r="L80" s="301">
        <f>'WPB2.2 Plant detail-w slippage'!N1730</f>
        <v>185.21</v>
      </c>
      <c r="M80" s="301">
        <f>'WPB2.2 Plant detail-w slippage'!N1836</f>
        <v>185.21</v>
      </c>
      <c r="N80" s="301">
        <f>'WPB2.2 Plant detail-w slippage'!N1942</f>
        <v>185.21</v>
      </c>
      <c r="O80" s="301">
        <f>'WPB2.2 Plant detail-w slippage'!N2048</f>
        <v>185.21</v>
      </c>
      <c r="P80" s="301">
        <f>'WPB2.2 Plant detail-w slippage'!N2154</f>
        <v>185.21</v>
      </c>
      <c r="Q80" s="301">
        <f>'WPB2.2 Plant detail-w slippage'!N2260</f>
        <v>185.21</v>
      </c>
      <c r="R80" s="301">
        <f>'WPB2.2 Plant detail-w slippage'!N2366</f>
        <v>185.21</v>
      </c>
      <c r="S80" s="116">
        <f t="shared" si="9"/>
        <v>185.21</v>
      </c>
    </row>
    <row r="81" spans="1:19" x14ac:dyDescent="0.2">
      <c r="A81" s="48">
        <f t="shared" si="10"/>
        <v>24</v>
      </c>
      <c r="C81" s="123">
        <v>394.3</v>
      </c>
      <c r="E81" s="52"/>
      <c r="F81" s="301">
        <f>'WPB2.2 Plant detail-w slippage'!N1095</f>
        <v>1286387.1499999999</v>
      </c>
      <c r="G81" s="301">
        <f>'WPB2.2 Plant detail-w slippage'!N1201</f>
        <v>1297916.1499999999</v>
      </c>
      <c r="H81" s="301">
        <f>'WPB2.2 Plant detail-w slippage'!N1307</f>
        <v>1309417.1499999999</v>
      </c>
      <c r="I81" s="301">
        <f>'WPB2.2 Plant detail-w slippage'!N1413</f>
        <v>1319506.1499999999</v>
      </c>
      <c r="J81" s="301">
        <f>'WPB2.2 Plant detail-w slippage'!N1519</f>
        <v>1329599.1499999999</v>
      </c>
      <c r="K81" s="301">
        <f>'WPB2.2 Plant detail-w slippage'!N1625</f>
        <v>1335153.1499999999</v>
      </c>
      <c r="L81" s="301">
        <f>'WPB2.2 Plant detail-w slippage'!N1731</f>
        <v>1343096.15</v>
      </c>
      <c r="M81" s="301">
        <f>'WPB2.2 Plant detail-w slippage'!N1837</f>
        <v>1350211.15</v>
      </c>
      <c r="N81" s="301">
        <f>'WPB2.2 Plant detail-w slippage'!N1943</f>
        <v>1356026.15</v>
      </c>
      <c r="O81" s="301">
        <f>'WPB2.2 Plant detail-w slippage'!N2049</f>
        <v>1359685.15</v>
      </c>
      <c r="P81" s="301">
        <f>'WPB2.2 Plant detail-w slippage'!N2155</f>
        <v>1365789.15</v>
      </c>
      <c r="Q81" s="301">
        <f>'WPB2.2 Plant detail-w slippage'!N2261</f>
        <v>1369071.15</v>
      </c>
      <c r="R81" s="301">
        <f>'WPB2.2 Plant detail-w slippage'!N2367</f>
        <v>1373374.15</v>
      </c>
      <c r="S81" s="116">
        <f t="shared" si="9"/>
        <v>1338094.7653846156</v>
      </c>
    </row>
    <row r="82" spans="1:19" x14ac:dyDescent="0.2">
      <c r="A82" s="48">
        <f t="shared" si="10"/>
        <v>25</v>
      </c>
      <c r="C82" s="123">
        <v>395</v>
      </c>
      <c r="E82" s="52"/>
      <c r="F82" s="301">
        <f>'WPB2.2 Plant detail-w slippage'!N1096</f>
        <v>7529.59</v>
      </c>
      <c r="G82" s="301">
        <f>'WPB2.2 Plant detail-w slippage'!N1202</f>
        <v>7568.59</v>
      </c>
      <c r="H82" s="301">
        <f>'WPB2.2 Plant detail-w slippage'!N1308</f>
        <v>7607.59</v>
      </c>
      <c r="I82" s="301">
        <f>'WPB2.2 Plant detail-w slippage'!N1414</f>
        <v>7646.59</v>
      </c>
      <c r="J82" s="301">
        <f>'WPB2.2 Plant detail-w slippage'!N1520</f>
        <v>7685.59</v>
      </c>
      <c r="K82" s="301">
        <f>'WPB2.2 Plant detail-w slippage'!N1626</f>
        <v>7724.59</v>
      </c>
      <c r="L82" s="301">
        <f>'WPB2.2 Plant detail-w slippage'!N1732</f>
        <v>7763.59</v>
      </c>
      <c r="M82" s="301">
        <f>'WPB2.2 Plant detail-w slippage'!N1838</f>
        <v>7802.59</v>
      </c>
      <c r="N82" s="301">
        <f>'WPB2.2 Plant detail-w slippage'!N1944</f>
        <v>7841.59</v>
      </c>
      <c r="O82" s="301">
        <f>'WPB2.2 Plant detail-w slippage'!N2050</f>
        <v>7880.59</v>
      </c>
      <c r="P82" s="301">
        <f>'WPB2.2 Plant detail-w slippage'!N2156</f>
        <v>7919.59</v>
      </c>
      <c r="Q82" s="301">
        <f>'WPB2.2 Plant detail-w slippage'!N2262</f>
        <v>7958.59</v>
      </c>
      <c r="R82" s="301">
        <f>'WPB2.2 Plant detail-w slippage'!N2368</f>
        <v>7997.59</v>
      </c>
      <c r="S82" s="116">
        <f t="shared" si="9"/>
        <v>7763.5899999999974</v>
      </c>
    </row>
    <row r="83" spans="1:19" x14ac:dyDescent="0.2">
      <c r="A83" s="48">
        <f t="shared" si="10"/>
        <v>26</v>
      </c>
      <c r="C83" s="123">
        <v>396</v>
      </c>
      <c r="E83" s="52"/>
      <c r="F83" s="301">
        <f>'WPB2.2 Plant detail-w slippage'!N1097</f>
        <v>199321.72</v>
      </c>
      <c r="G83" s="301">
        <f>'WPB2.2 Plant detail-w slippage'!N1203</f>
        <v>199867.72</v>
      </c>
      <c r="H83" s="301">
        <f>'WPB2.2 Plant detail-w slippage'!N1309</f>
        <v>200413.72</v>
      </c>
      <c r="I83" s="301">
        <f>'WPB2.2 Plant detail-w slippage'!N1415</f>
        <v>200959.72</v>
      </c>
      <c r="J83" s="301">
        <f>'WPB2.2 Plant detail-w slippage'!N1521</f>
        <v>201505.72</v>
      </c>
      <c r="K83" s="301">
        <f>'WPB2.2 Plant detail-w slippage'!N1627</f>
        <v>202051.72</v>
      </c>
      <c r="L83" s="301">
        <f>'WPB2.2 Plant detail-w slippage'!N1733</f>
        <v>202597.72</v>
      </c>
      <c r="M83" s="301">
        <f>'WPB2.2 Plant detail-w slippage'!N1839</f>
        <v>203143.72</v>
      </c>
      <c r="N83" s="301">
        <f>'WPB2.2 Plant detail-w slippage'!N1945</f>
        <v>203689.72</v>
      </c>
      <c r="O83" s="301">
        <f>'WPB2.2 Plant detail-w slippage'!N2051</f>
        <v>204235.72</v>
      </c>
      <c r="P83" s="301">
        <f>'WPB2.2 Plant detail-w slippage'!N2157</f>
        <v>204781.72</v>
      </c>
      <c r="Q83" s="301">
        <f>'WPB2.2 Plant detail-w slippage'!N2263</f>
        <v>205327.72</v>
      </c>
      <c r="R83" s="301">
        <f>'WPB2.2 Plant detail-w slippage'!N2369</f>
        <v>205873.72</v>
      </c>
      <c r="S83" s="116">
        <f t="shared" si="9"/>
        <v>202597.72000000003</v>
      </c>
    </row>
    <row r="84" spans="1:19" x14ac:dyDescent="0.2">
      <c r="A84" s="48">
        <f t="shared" si="10"/>
        <v>27</v>
      </c>
      <c r="C84" s="123">
        <v>398</v>
      </c>
      <c r="E84" s="52"/>
      <c r="F84" s="302">
        <f>'WPB2.2 Plant detail-w slippage'!N1098</f>
        <v>4688.59</v>
      </c>
      <c r="G84" s="302">
        <f>'WPB2.2 Plant detail-w slippage'!N1204</f>
        <v>5540.59</v>
      </c>
      <c r="H84" s="302">
        <f>'WPB2.2 Plant detail-w slippage'!N1310</f>
        <v>6414.59</v>
      </c>
      <c r="I84" s="302">
        <f>'WPB2.2 Plant detail-w slippage'!N1416</f>
        <v>7310.59</v>
      </c>
      <c r="J84" s="302">
        <f>'WPB2.2 Plant detail-w slippage'!N1522</f>
        <v>8228.59</v>
      </c>
      <c r="K84" s="302">
        <f>'WPB2.2 Plant detail-w slippage'!N1628</f>
        <v>9169.59</v>
      </c>
      <c r="L84" s="302">
        <f>'WPB2.2 Plant detail-w slippage'!N1734</f>
        <v>10132.59</v>
      </c>
      <c r="M84" s="302">
        <f>'WPB2.2 Plant detail-w slippage'!N1840</f>
        <v>11117.59</v>
      </c>
      <c r="N84" s="302">
        <f>'WPB2.2 Plant detail-w slippage'!N1946</f>
        <v>12124.59</v>
      </c>
      <c r="O84" s="302">
        <f>'WPB2.2 Plant detail-w slippage'!N2052</f>
        <v>13153.59</v>
      </c>
      <c r="P84" s="302">
        <f>'WPB2.2 Plant detail-w slippage'!N2158</f>
        <v>14205.59</v>
      </c>
      <c r="Q84" s="302">
        <f>'WPB2.2 Plant detail-w slippage'!N2264</f>
        <v>15293.59</v>
      </c>
      <c r="R84" s="302">
        <f>'WPB2.2 Plant detail-w slippage'!N2370</f>
        <v>16417.59</v>
      </c>
      <c r="S84" s="117">
        <f t="shared" si="9"/>
        <v>10292.128461538461</v>
      </c>
    </row>
    <row r="85" spans="1:19" x14ac:dyDescent="0.2">
      <c r="A85" s="48">
        <f t="shared" si="10"/>
        <v>28</v>
      </c>
      <c r="C85" s="52" t="s">
        <v>684</v>
      </c>
      <c r="E85" s="119"/>
      <c r="F85" s="51">
        <f t="shared" ref="F85:S85" si="11">SUM(F71:F84)</f>
        <v>2205525.27</v>
      </c>
      <c r="G85" s="51">
        <f t="shared" si="11"/>
        <v>2236792.27</v>
      </c>
      <c r="H85" s="51">
        <f t="shared" si="11"/>
        <v>2268053.27</v>
      </c>
      <c r="I85" s="51">
        <f t="shared" si="11"/>
        <v>2297924.27</v>
      </c>
      <c r="J85" s="51">
        <f t="shared" si="11"/>
        <v>2256841.27</v>
      </c>
      <c r="K85" s="51">
        <f t="shared" si="11"/>
        <v>2291462.27</v>
      </c>
      <c r="L85" s="51">
        <f t="shared" si="11"/>
        <v>2328494.27</v>
      </c>
      <c r="M85" s="51">
        <f t="shared" si="11"/>
        <v>2364720.27</v>
      </c>
      <c r="N85" s="51">
        <f t="shared" si="11"/>
        <v>2399668.27</v>
      </c>
      <c r="O85" s="51">
        <f t="shared" si="11"/>
        <v>2432482.27</v>
      </c>
      <c r="P85" s="51">
        <f t="shared" si="11"/>
        <v>2467764.27</v>
      </c>
      <c r="Q85" s="51">
        <f t="shared" si="11"/>
        <v>2500540.27</v>
      </c>
      <c r="R85" s="51">
        <f t="shared" si="11"/>
        <v>2534653.27</v>
      </c>
      <c r="S85" s="51">
        <f t="shared" si="11"/>
        <v>2352686.27</v>
      </c>
    </row>
    <row r="86" spans="1:19" x14ac:dyDescent="0.2">
      <c r="A86" s="48"/>
      <c r="C86" s="52"/>
      <c r="E86" s="119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</row>
    <row r="87" spans="1:19" x14ac:dyDescent="0.2">
      <c r="A87" s="48">
        <f>A85+1</f>
        <v>29</v>
      </c>
      <c r="C87" s="123">
        <v>378.21</v>
      </c>
      <c r="E87" s="119"/>
      <c r="F87" s="302">
        <f>'WPB2.2 Plant detail-w slippage'!N1102</f>
        <v>-42395.02999999997</v>
      </c>
      <c r="G87" s="302">
        <f>'WPB2.2 Plant detail-w slippage'!N1208</f>
        <v>-44553.613333333298</v>
      </c>
      <c r="H87" s="302">
        <f>'WPB2.2 Plant detail-w slippage'!N1314</f>
        <v>-46712.196666666627</v>
      </c>
      <c r="I87" s="302">
        <f>'WPB2.2 Plant detail-w slippage'!N1420</f>
        <v>-48870.779999999955</v>
      </c>
      <c r="J87" s="302">
        <f>'WPB2.2 Plant detail-w slippage'!N1526</f>
        <v>-51029.363333333284</v>
      </c>
      <c r="K87" s="302">
        <f>'WPB2.2 Plant detail-w slippage'!N1632</f>
        <v>-53187.946666666612</v>
      </c>
      <c r="L87" s="302">
        <f>'WPB2.2 Plant detail-w slippage'!N1738</f>
        <v>-55346.529999999941</v>
      </c>
      <c r="M87" s="302">
        <f>'WPB2.2 Plant detail-w slippage'!N1844</f>
        <v>-57505.113333333269</v>
      </c>
      <c r="N87" s="302">
        <f>'WPB2.2 Plant detail-w slippage'!N1950</f>
        <v>-59663.696666666598</v>
      </c>
      <c r="O87" s="302">
        <f>'WPB2.2 Plant detail-w slippage'!N2056</f>
        <v>-61822.279999999926</v>
      </c>
      <c r="P87" s="302">
        <f>'WPB2.2 Plant detail-w slippage'!N2162</f>
        <v>-63980.863333333255</v>
      </c>
      <c r="Q87" s="302">
        <f>'WPB2.2 Plant detail-w slippage'!N2268</f>
        <v>-66139.446666666583</v>
      </c>
      <c r="R87" s="302">
        <f>'WPB2.2 Plant detail-w slippage'!N2374</f>
        <v>-68298.029999999912</v>
      </c>
      <c r="S87" s="117">
        <f t="shared" ref="S87" si="12">AVERAGE(F87:R87)</f>
        <v>-55346.529999999941</v>
      </c>
    </row>
    <row r="88" spans="1:19" x14ac:dyDescent="0.2">
      <c r="A88" s="48">
        <f t="shared" ref="A88" si="13">A87+1</f>
        <v>30</v>
      </c>
      <c r="C88" s="1726" t="s">
        <v>686</v>
      </c>
      <c r="E88" s="119"/>
      <c r="F88" s="51">
        <f>SUM(F87)</f>
        <v>-42395.02999999997</v>
      </c>
      <c r="G88" s="51">
        <f t="shared" ref="G88:S88" si="14">SUM(G87)</f>
        <v>-44553.613333333298</v>
      </c>
      <c r="H88" s="51">
        <f t="shared" si="14"/>
        <v>-46712.196666666627</v>
      </c>
      <c r="I88" s="51">
        <f t="shared" si="14"/>
        <v>-48870.779999999955</v>
      </c>
      <c r="J88" s="51">
        <f t="shared" si="14"/>
        <v>-51029.363333333284</v>
      </c>
      <c r="K88" s="51">
        <f t="shared" si="14"/>
        <v>-53187.946666666612</v>
      </c>
      <c r="L88" s="51">
        <f t="shared" si="14"/>
        <v>-55346.529999999941</v>
      </c>
      <c r="M88" s="51">
        <f t="shared" si="14"/>
        <v>-57505.113333333269</v>
      </c>
      <c r="N88" s="51">
        <f t="shared" si="14"/>
        <v>-59663.696666666598</v>
      </c>
      <c r="O88" s="51">
        <f t="shared" si="14"/>
        <v>-61822.279999999926</v>
      </c>
      <c r="P88" s="51">
        <f t="shared" si="14"/>
        <v>-63980.863333333255</v>
      </c>
      <c r="Q88" s="51">
        <f t="shared" si="14"/>
        <v>-66139.446666666583</v>
      </c>
      <c r="R88" s="51">
        <f t="shared" si="14"/>
        <v>-68298.029999999912</v>
      </c>
      <c r="S88" s="51">
        <f t="shared" si="14"/>
        <v>-55346.529999999941</v>
      </c>
    </row>
    <row r="89" spans="1:19" x14ac:dyDescent="0.2">
      <c r="A89" s="48"/>
      <c r="C89" s="123"/>
      <c r="E89" s="49"/>
      <c r="G89" s="51"/>
      <c r="H89" s="107"/>
      <c r="I89" s="107"/>
      <c r="J89" s="108"/>
      <c r="K89" s="107"/>
      <c r="L89" s="107"/>
      <c r="M89" s="107"/>
      <c r="N89" s="108"/>
      <c r="O89" s="107"/>
      <c r="P89" s="107"/>
    </row>
    <row r="90" spans="1:19" ht="13.5" thickBot="1" x14ac:dyDescent="0.25">
      <c r="A90" s="48">
        <f>A88+1</f>
        <v>31</v>
      </c>
      <c r="C90" s="251" t="s">
        <v>872</v>
      </c>
      <c r="F90" s="118">
        <f>F19+F23+F68+F85+F88</f>
        <v>146321082.4295837</v>
      </c>
      <c r="G90" s="118">
        <f t="shared" ref="G90:S90" si="15">G19+G23+G68+G85+G88</f>
        <v>147408323.77849445</v>
      </c>
      <c r="H90" s="118">
        <f t="shared" si="15"/>
        <v>148513214.8416909</v>
      </c>
      <c r="I90" s="118">
        <f t="shared" si="15"/>
        <v>149593606.90488738</v>
      </c>
      <c r="J90" s="118">
        <f t="shared" si="15"/>
        <v>150519548.96808383</v>
      </c>
      <c r="K90" s="118">
        <f t="shared" si="15"/>
        <v>151454554.03128031</v>
      </c>
      <c r="L90" s="118">
        <f t="shared" si="15"/>
        <v>152284695.84350902</v>
      </c>
      <c r="M90" s="118">
        <f t="shared" si="15"/>
        <v>153156457.93961847</v>
      </c>
      <c r="N90" s="118">
        <f t="shared" si="15"/>
        <v>153840901.54800504</v>
      </c>
      <c r="O90" s="118">
        <f t="shared" si="15"/>
        <v>154577899.13382012</v>
      </c>
      <c r="P90" s="118">
        <f t="shared" si="15"/>
        <v>155310100.78758389</v>
      </c>
      <c r="Q90" s="118">
        <f t="shared" si="15"/>
        <v>156254857.62783304</v>
      </c>
      <c r="R90" s="118">
        <f t="shared" si="15"/>
        <v>157252419.58661872</v>
      </c>
      <c r="S90" s="118">
        <f t="shared" si="15"/>
        <v>152037512.57084686</v>
      </c>
    </row>
    <row r="91" spans="1:19" ht="13.5" thickTop="1" x14ac:dyDescent="0.2"/>
    <row r="94" spans="1:19" x14ac:dyDescent="0.2">
      <c r="G94" s="116"/>
      <c r="H94" s="116"/>
      <c r="I94" s="116"/>
      <c r="J94" s="116"/>
      <c r="K94" s="116"/>
      <c r="L94" s="116"/>
      <c r="M94" s="116"/>
      <c r="N94" s="116"/>
      <c r="O94" s="116"/>
      <c r="P94" s="116"/>
      <c r="Q94" s="116"/>
      <c r="R94" s="116"/>
      <c r="S94" s="116"/>
    </row>
  </sheetData>
  <mergeCells count="8">
    <mergeCell ref="A46:S46"/>
    <mergeCell ref="A47:S47"/>
    <mergeCell ref="A1:S1"/>
    <mergeCell ref="A2:S2"/>
    <mergeCell ref="A3:S3"/>
    <mergeCell ref="A4:S4"/>
    <mergeCell ref="A44:S44"/>
    <mergeCell ref="A45:S45"/>
  </mergeCells>
  <phoneticPr fontId="0" type="noConversion"/>
  <pageMargins left="1" right="0.5" top="1" bottom="0.75" header="0.3" footer="0.3"/>
  <pageSetup scale="60" fitToHeight="0" orientation="landscape" r:id="rId1"/>
  <headerFooter>
    <oddHeader>&amp;R&amp;"Arial,Regular"&amp;10KY PSC Case No. 2016-00162, Attachment A to Staff 3-4</oddHeader>
  </headerFooter>
  <rowBreaks count="1" manualBreakCount="1">
    <brk id="43" max="18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12">
    <pageSetUpPr fitToPage="1"/>
  </sheetPr>
  <dimension ref="A1:O45"/>
  <sheetViews>
    <sheetView showGridLines="0" view="pageBreakPreview" zoomScale="60" zoomScaleNormal="100" workbookViewId="0">
      <selection activeCell="F46" sqref="F46"/>
    </sheetView>
  </sheetViews>
  <sheetFormatPr defaultColWidth="12.5" defaultRowHeight="12.75" x14ac:dyDescent="0.2"/>
  <cols>
    <col min="1" max="1" width="4.1640625" style="182" customWidth="1"/>
    <col min="2" max="2" width="1.6640625" style="182" customWidth="1"/>
    <col min="3" max="3" width="7.5" style="182" customWidth="1"/>
    <col min="4" max="4" width="1.6640625" style="182" customWidth="1"/>
    <col min="5" max="5" width="21.83203125" style="182" bestFit="1" customWidth="1"/>
    <col min="6" max="6" width="1.6640625" style="182" customWidth="1"/>
    <col min="7" max="7" width="12.5" style="182"/>
    <col min="8" max="8" width="5.83203125" style="182" customWidth="1"/>
    <col min="9" max="9" width="18.5" style="182" bestFit="1" customWidth="1"/>
    <col min="10" max="10" width="1.6640625" style="182" customWidth="1"/>
    <col min="11" max="11" width="18.5" style="182" bestFit="1" customWidth="1"/>
    <col min="12" max="12" width="1.6640625" style="182" customWidth="1"/>
    <col min="13" max="13" width="15.6640625" style="182" bestFit="1" customWidth="1"/>
    <col min="14" max="14" width="1.6640625" style="182" customWidth="1"/>
    <col min="15" max="15" width="32.83203125" style="182" bestFit="1" customWidth="1"/>
    <col min="16" max="16" width="4.6640625" style="182" customWidth="1"/>
    <col min="17" max="16384" width="12.5" style="182"/>
  </cols>
  <sheetData>
    <row r="1" spans="1:15" x14ac:dyDescent="0.2">
      <c r="A1" s="2097" t="str">
        <f>co</f>
        <v>COLUMBIA GAS OF KENTUCKY, INC.</v>
      </c>
      <c r="B1" s="2097"/>
      <c r="C1" s="2097"/>
      <c r="D1" s="2097"/>
      <c r="E1" s="2097"/>
      <c r="F1" s="2097"/>
      <c r="G1" s="2097"/>
      <c r="H1" s="2097"/>
      <c r="I1" s="2097"/>
      <c r="J1" s="2097"/>
      <c r="K1" s="2097"/>
      <c r="L1" s="2097"/>
      <c r="M1" s="2097"/>
      <c r="N1" s="2097"/>
      <c r="O1" s="2097"/>
    </row>
    <row r="2" spans="1:15" x14ac:dyDescent="0.2">
      <c r="A2" s="2097" t="str">
        <f>case</f>
        <v>CASE NO. 2016 - 00162</v>
      </c>
      <c r="B2" s="2097"/>
      <c r="C2" s="2097"/>
      <c r="D2" s="2097"/>
      <c r="E2" s="2097"/>
      <c r="F2" s="2097"/>
      <c r="G2" s="2097"/>
      <c r="H2" s="2097"/>
      <c r="I2" s="2097"/>
      <c r="J2" s="2097"/>
      <c r="K2" s="2097"/>
      <c r="L2" s="2097"/>
      <c r="M2" s="2097"/>
      <c r="N2" s="2097"/>
      <c r="O2" s="2097"/>
    </row>
    <row r="3" spans="1:15" x14ac:dyDescent="0.2">
      <c r="A3" s="2098" t="s">
        <v>844</v>
      </c>
      <c r="B3" s="2098"/>
      <c r="C3" s="2098"/>
      <c r="D3" s="2098"/>
      <c r="E3" s="2098"/>
      <c r="F3" s="2098"/>
      <c r="G3" s="2098"/>
      <c r="H3" s="2098"/>
      <c r="I3" s="2098"/>
      <c r="J3" s="2098"/>
      <c r="K3" s="2098"/>
      <c r="L3" s="2098"/>
      <c r="M3" s="2098"/>
      <c r="N3" s="2098"/>
      <c r="O3" s="2098"/>
    </row>
    <row r="4" spans="1:15" x14ac:dyDescent="0.2">
      <c r="A4" s="2097" t="str">
        <f>dateb</f>
        <v>AS OF AUGUST 31, 2016</v>
      </c>
      <c r="B4" s="2097"/>
      <c r="C4" s="2097"/>
      <c r="D4" s="2097"/>
      <c r="E4" s="2097"/>
      <c r="F4" s="2097"/>
      <c r="G4" s="2097"/>
      <c r="H4" s="2097"/>
      <c r="I4" s="2097"/>
      <c r="J4" s="2097"/>
      <c r="K4" s="2097"/>
      <c r="L4" s="2097"/>
      <c r="M4" s="2097"/>
      <c r="N4" s="2097"/>
      <c r="O4" s="2097"/>
    </row>
    <row r="5" spans="1:15" x14ac:dyDescent="0.2">
      <c r="H5" s="183"/>
    </row>
    <row r="6" spans="1:15" x14ac:dyDescent="0.2">
      <c r="A6" s="184" t="s">
        <v>688</v>
      </c>
      <c r="O6" s="185" t="s">
        <v>845</v>
      </c>
    </row>
    <row r="7" spans="1:15" x14ac:dyDescent="0.2">
      <c r="A7" s="184" t="s">
        <v>690</v>
      </c>
      <c r="O7" s="185" t="s">
        <v>628</v>
      </c>
    </row>
    <row r="8" spans="1:15" x14ac:dyDescent="0.2">
      <c r="A8" s="184" t="s">
        <v>691</v>
      </c>
      <c r="O8" s="219" t="str">
        <f>'B-3 Accum Dep&amp; Amort (Base)'!K8</f>
        <v>WITNESS:  S. M. KATKO</v>
      </c>
    </row>
    <row r="9" spans="1:15" x14ac:dyDescent="0.2">
      <c r="A9" s="186"/>
      <c r="B9" s="186"/>
      <c r="C9" s="186"/>
      <c r="D9" s="186"/>
      <c r="E9" s="186"/>
      <c r="F9" s="186"/>
      <c r="G9" s="187" t="s">
        <v>830</v>
      </c>
      <c r="H9" s="186"/>
      <c r="I9" s="186"/>
      <c r="J9" s="186"/>
      <c r="K9" s="186"/>
      <c r="L9" s="186"/>
      <c r="M9" s="186"/>
      <c r="N9" s="186"/>
      <c r="O9" s="186"/>
    </row>
    <row r="10" spans="1:15" x14ac:dyDescent="0.2">
      <c r="A10" s="184" t="s">
        <v>632</v>
      </c>
      <c r="C10" s="183" t="s">
        <v>692</v>
      </c>
      <c r="G10" s="183" t="s">
        <v>695</v>
      </c>
      <c r="I10" s="183" t="s">
        <v>671</v>
      </c>
      <c r="K10" s="183" t="s">
        <v>671</v>
      </c>
      <c r="M10" s="183" t="s">
        <v>757</v>
      </c>
      <c r="O10" s="183" t="s">
        <v>846</v>
      </c>
    </row>
    <row r="11" spans="1:15" x14ac:dyDescent="0.2">
      <c r="A11" s="183" t="s">
        <v>635</v>
      </c>
      <c r="C11" s="183" t="s">
        <v>635</v>
      </c>
      <c r="E11" s="183" t="s">
        <v>832</v>
      </c>
      <c r="G11" s="183" t="s">
        <v>760</v>
      </c>
      <c r="I11" s="183" t="s">
        <v>676</v>
      </c>
      <c r="K11" s="183" t="s">
        <v>760</v>
      </c>
      <c r="M11" s="183" t="s">
        <v>637</v>
      </c>
      <c r="O11" s="183" t="s">
        <v>847</v>
      </c>
    </row>
    <row r="12" spans="1:15" x14ac:dyDescent="0.2">
      <c r="A12" s="188" t="s">
        <v>834</v>
      </c>
      <c r="B12" s="189"/>
      <c r="C12" s="188" t="s">
        <v>835</v>
      </c>
      <c r="D12" s="189"/>
      <c r="E12" s="188" t="s">
        <v>836</v>
      </c>
      <c r="F12" s="189"/>
      <c r="G12" s="188" t="s">
        <v>837</v>
      </c>
      <c r="H12" s="189"/>
      <c r="I12" s="188" t="s">
        <v>838</v>
      </c>
      <c r="J12" s="189"/>
      <c r="K12" s="188" t="s">
        <v>839</v>
      </c>
      <c r="L12" s="189"/>
      <c r="M12" s="188" t="s">
        <v>840</v>
      </c>
      <c r="N12" s="189"/>
      <c r="O12" s="188" t="s">
        <v>841</v>
      </c>
    </row>
    <row r="14" spans="1:15" x14ac:dyDescent="0.2">
      <c r="A14" s="190"/>
      <c r="C14" s="191"/>
      <c r="E14" s="192"/>
      <c r="G14" s="191"/>
      <c r="I14" s="191"/>
      <c r="K14" s="191"/>
      <c r="M14" s="191"/>
      <c r="O14" s="191"/>
    </row>
    <row r="15" spans="1:15" x14ac:dyDescent="0.2">
      <c r="A15" s="190"/>
      <c r="C15" s="191"/>
      <c r="E15" s="191"/>
      <c r="G15" s="191"/>
      <c r="I15" s="191"/>
      <c r="K15" s="191"/>
      <c r="M15" s="191"/>
      <c r="O15" s="191"/>
    </row>
    <row r="16" spans="1:15" x14ac:dyDescent="0.2">
      <c r="A16" s="190"/>
      <c r="C16" s="191"/>
      <c r="E16" s="191"/>
      <c r="G16" s="191"/>
      <c r="I16" s="191"/>
      <c r="K16" s="191"/>
      <c r="M16" s="191"/>
      <c r="O16" s="191"/>
    </row>
    <row r="17" spans="1:15" x14ac:dyDescent="0.2">
      <c r="A17" s="190"/>
      <c r="C17" s="191"/>
      <c r="E17" s="191"/>
      <c r="G17" s="191"/>
      <c r="I17" s="191"/>
      <c r="K17" s="191"/>
      <c r="M17" s="191"/>
      <c r="O17" s="191"/>
    </row>
    <row r="18" spans="1:15" x14ac:dyDescent="0.2">
      <c r="A18" s="190"/>
      <c r="C18" s="191"/>
      <c r="E18" s="191"/>
      <c r="G18" s="191"/>
      <c r="I18" s="191"/>
      <c r="K18" s="191"/>
      <c r="M18" s="191"/>
      <c r="O18" s="191"/>
    </row>
    <row r="19" spans="1:15" x14ac:dyDescent="0.2">
      <c r="A19" s="190"/>
      <c r="C19" s="191"/>
      <c r="E19" s="191"/>
      <c r="G19" s="1939"/>
      <c r="H19" s="1940"/>
      <c r="I19" s="1941" t="s">
        <v>2389</v>
      </c>
      <c r="J19" s="1940"/>
      <c r="K19" s="1939"/>
      <c r="L19" s="1940"/>
      <c r="M19" s="1939"/>
      <c r="O19" s="191"/>
    </row>
    <row r="20" spans="1:15" x14ac:dyDescent="0.2">
      <c r="A20" s="190"/>
      <c r="C20" s="191"/>
      <c r="E20" s="191"/>
      <c r="G20" s="1939" t="s">
        <v>2386</v>
      </c>
      <c r="H20" s="1940"/>
      <c r="I20" s="1940"/>
      <c r="J20" s="1940"/>
      <c r="K20" s="1939"/>
      <c r="L20" s="1940"/>
      <c r="M20" s="1939"/>
      <c r="O20" s="191"/>
    </row>
    <row r="21" spans="1:15" x14ac:dyDescent="0.2">
      <c r="A21" s="190"/>
      <c r="C21" s="191"/>
      <c r="E21" s="191"/>
      <c r="G21" s="191"/>
      <c r="I21" s="191"/>
      <c r="K21" s="191"/>
      <c r="M21" s="191"/>
      <c r="O21" s="191"/>
    </row>
    <row r="22" spans="1:15" x14ac:dyDescent="0.2">
      <c r="A22" s="190"/>
      <c r="C22" s="191"/>
      <c r="E22" s="192"/>
      <c r="G22" s="191"/>
      <c r="I22" s="191"/>
      <c r="K22" s="191"/>
      <c r="M22" s="191"/>
      <c r="O22" s="191"/>
    </row>
    <row r="23" spans="1:15" x14ac:dyDescent="0.2">
      <c r="A23" s="190"/>
      <c r="C23" s="191"/>
      <c r="E23" s="191"/>
      <c r="G23" s="191"/>
      <c r="K23" s="191"/>
      <c r="M23" s="191"/>
      <c r="O23" s="191"/>
    </row>
    <row r="24" spans="1:15" x14ac:dyDescent="0.2">
      <c r="A24" s="190"/>
      <c r="C24" s="191"/>
      <c r="E24" s="191"/>
      <c r="G24" s="191"/>
      <c r="I24" s="191"/>
      <c r="K24" s="191"/>
      <c r="M24" s="191"/>
      <c r="O24" s="191"/>
    </row>
    <row r="25" spans="1:15" x14ac:dyDescent="0.2">
      <c r="A25" s="190"/>
      <c r="C25" s="191"/>
      <c r="E25" s="191"/>
      <c r="G25" s="191"/>
      <c r="I25" s="191"/>
      <c r="K25" s="191"/>
      <c r="M25" s="191"/>
      <c r="O25" s="191"/>
    </row>
    <row r="26" spans="1:15" x14ac:dyDescent="0.2">
      <c r="A26" s="190"/>
      <c r="C26" s="191"/>
      <c r="E26" s="191"/>
      <c r="G26" s="191"/>
      <c r="I26" s="191"/>
      <c r="K26" s="191"/>
      <c r="M26" s="191"/>
      <c r="O26" s="191"/>
    </row>
    <row r="27" spans="1:15" x14ac:dyDescent="0.2">
      <c r="A27" s="190"/>
      <c r="C27" s="191"/>
      <c r="E27" s="191"/>
      <c r="G27" s="191"/>
      <c r="I27" s="191"/>
      <c r="K27" s="191"/>
      <c r="M27" s="191"/>
      <c r="O27" s="191"/>
    </row>
    <row r="28" spans="1:15" x14ac:dyDescent="0.2">
      <c r="A28" s="190"/>
      <c r="C28" s="191"/>
      <c r="E28" s="192"/>
      <c r="G28" s="191"/>
      <c r="I28" s="191"/>
      <c r="K28" s="191"/>
      <c r="M28" s="191"/>
      <c r="O28" s="191"/>
    </row>
    <row r="29" spans="1:15" x14ac:dyDescent="0.2">
      <c r="A29" s="190"/>
      <c r="C29" s="191"/>
      <c r="E29" s="191"/>
      <c r="G29" s="191"/>
      <c r="I29" s="191"/>
      <c r="K29" s="191"/>
      <c r="M29" s="191"/>
      <c r="O29" s="191"/>
    </row>
    <row r="30" spans="1:15" x14ac:dyDescent="0.2">
      <c r="A30" s="190"/>
      <c r="C30" s="191"/>
      <c r="E30" s="191"/>
      <c r="G30" s="191"/>
      <c r="I30" s="191"/>
      <c r="K30" s="191"/>
      <c r="M30" s="191"/>
      <c r="O30" s="191"/>
    </row>
    <row r="31" spans="1:15" x14ac:dyDescent="0.2">
      <c r="A31" s="190"/>
      <c r="C31" s="191"/>
      <c r="E31" s="191"/>
      <c r="G31" s="191"/>
      <c r="I31" s="191"/>
      <c r="K31" s="191"/>
      <c r="M31" s="191"/>
      <c r="O31" s="191"/>
    </row>
    <row r="32" spans="1:15" x14ac:dyDescent="0.2">
      <c r="A32" s="190"/>
      <c r="C32" s="191"/>
      <c r="E32" s="191"/>
      <c r="G32" s="191"/>
      <c r="I32" s="191"/>
      <c r="K32" s="191"/>
      <c r="M32" s="191"/>
      <c r="O32" s="191"/>
    </row>
    <row r="33" spans="1:15" x14ac:dyDescent="0.2">
      <c r="A33" s="190"/>
      <c r="C33" s="191"/>
      <c r="E33" s="191"/>
      <c r="G33" s="191"/>
      <c r="I33" s="191"/>
      <c r="K33" s="191"/>
      <c r="M33" s="191"/>
      <c r="O33" s="191"/>
    </row>
    <row r="34" spans="1:15" x14ac:dyDescent="0.2">
      <c r="A34" s="190"/>
      <c r="C34" s="191"/>
      <c r="E34" s="191"/>
      <c r="G34" s="191"/>
      <c r="I34" s="191"/>
      <c r="K34" s="191"/>
      <c r="M34" s="191"/>
      <c r="O34" s="191"/>
    </row>
    <row r="35" spans="1:15" x14ac:dyDescent="0.2">
      <c r="A35" s="190"/>
      <c r="C35" s="191"/>
      <c r="E35" s="191"/>
      <c r="G35" s="191"/>
      <c r="I35" s="191"/>
      <c r="K35" s="191"/>
      <c r="M35" s="191"/>
      <c r="O35" s="191"/>
    </row>
    <row r="36" spans="1:15" x14ac:dyDescent="0.2">
      <c r="A36" s="190"/>
      <c r="C36" s="191"/>
      <c r="E36" s="191"/>
      <c r="G36" s="191"/>
      <c r="I36" s="191"/>
      <c r="K36" s="191"/>
      <c r="M36" s="191"/>
      <c r="O36" s="191"/>
    </row>
    <row r="37" spans="1:15" x14ac:dyDescent="0.2">
      <c r="A37" s="190"/>
      <c r="C37" s="191"/>
      <c r="E37" s="191"/>
      <c r="G37" s="191"/>
      <c r="I37" s="191"/>
      <c r="K37" s="191"/>
      <c r="M37" s="191"/>
      <c r="O37" s="191"/>
    </row>
    <row r="38" spans="1:15" x14ac:dyDescent="0.2">
      <c r="A38" s="190"/>
      <c r="C38" s="191"/>
      <c r="E38" s="191"/>
      <c r="G38" s="191"/>
      <c r="I38" s="191"/>
      <c r="K38" s="191"/>
      <c r="M38" s="191"/>
      <c r="O38" s="191"/>
    </row>
    <row r="39" spans="1:15" x14ac:dyDescent="0.2">
      <c r="A39" s="190"/>
      <c r="C39" s="191"/>
      <c r="E39" s="191"/>
      <c r="G39" s="191"/>
      <c r="I39" s="191"/>
      <c r="K39" s="191"/>
      <c r="M39" s="191"/>
      <c r="O39" s="191"/>
    </row>
    <row r="40" spans="1:15" x14ac:dyDescent="0.2">
      <c r="A40" s="190"/>
      <c r="C40" s="191"/>
      <c r="E40" s="191"/>
      <c r="G40" s="191"/>
      <c r="I40" s="191"/>
      <c r="K40" s="191"/>
      <c r="M40" s="191"/>
      <c r="O40" s="191"/>
    </row>
    <row r="41" spans="1:15" x14ac:dyDescent="0.2">
      <c r="A41" s="190"/>
      <c r="C41" s="191"/>
      <c r="E41" s="191"/>
      <c r="G41" s="191"/>
      <c r="I41" s="191"/>
      <c r="K41" s="191"/>
      <c r="M41" s="191"/>
      <c r="O41" s="191"/>
    </row>
    <row r="42" spans="1:15" x14ac:dyDescent="0.2">
      <c r="A42" s="190"/>
      <c r="C42" s="191"/>
      <c r="E42" s="191"/>
      <c r="G42" s="191"/>
      <c r="I42" s="191"/>
      <c r="K42" s="191"/>
      <c r="M42" s="191"/>
      <c r="O42" s="191"/>
    </row>
    <row r="43" spans="1:15" x14ac:dyDescent="0.2">
      <c r="A43" s="190"/>
      <c r="C43" s="191"/>
      <c r="E43" s="191"/>
      <c r="G43" s="191"/>
      <c r="I43" s="191"/>
      <c r="K43" s="191"/>
      <c r="M43" s="191"/>
      <c r="O43" s="191"/>
    </row>
    <row r="44" spans="1:15" x14ac:dyDescent="0.2">
      <c r="A44" s="190"/>
      <c r="C44" s="191"/>
      <c r="E44" s="191"/>
      <c r="G44" s="191"/>
      <c r="I44" s="191"/>
      <c r="K44" s="191"/>
      <c r="M44" s="191"/>
      <c r="O44" s="191"/>
    </row>
    <row r="45" spans="1:15" x14ac:dyDescent="0.2">
      <c r="A45" s="190"/>
      <c r="C45" s="191"/>
      <c r="E45" s="191"/>
      <c r="G45" s="191"/>
      <c r="I45" s="191"/>
      <c r="K45" s="191"/>
      <c r="M45" s="191"/>
      <c r="O45" s="191"/>
    </row>
  </sheetData>
  <mergeCells count="4">
    <mergeCell ref="A4:O4"/>
    <mergeCell ref="A3:O3"/>
    <mergeCell ref="A2:O2"/>
    <mergeCell ref="A1:O1"/>
  </mergeCells>
  <phoneticPr fontId="3" type="noConversion"/>
  <pageMargins left="1" right="0.5" top="1" bottom="0.75" header="0.3" footer="0.3"/>
  <pageSetup scale="77" fitToHeight="0" orientation="portrait" r:id="rId1"/>
  <headerFooter>
    <oddHeader>&amp;R&amp;"Arial,Regular"&amp;10KY PSC Case No. 2016-00162, Attachment A to Staff 3-4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105">
    <pageSetUpPr fitToPage="1"/>
  </sheetPr>
  <dimension ref="A1:O45"/>
  <sheetViews>
    <sheetView showGridLines="0" view="pageBreakPreview" zoomScale="60" zoomScaleNormal="100" workbookViewId="0">
      <selection activeCell="F46" sqref="F46"/>
    </sheetView>
  </sheetViews>
  <sheetFormatPr defaultColWidth="12.5" defaultRowHeight="12.75" x14ac:dyDescent="0.2"/>
  <cols>
    <col min="1" max="1" width="4.1640625" style="182" customWidth="1"/>
    <col min="2" max="2" width="1.6640625" style="182" customWidth="1"/>
    <col min="3" max="3" width="7.5" style="182" customWidth="1"/>
    <col min="4" max="4" width="1.6640625" style="182" customWidth="1"/>
    <col min="5" max="5" width="21.83203125" style="182" bestFit="1" customWidth="1"/>
    <col min="6" max="6" width="1.6640625" style="182" customWidth="1"/>
    <col min="7" max="7" width="12.5" style="182"/>
    <col min="8" max="8" width="5.83203125" style="182" customWidth="1"/>
    <col min="9" max="9" width="18.5" style="182" bestFit="1" customWidth="1"/>
    <col min="10" max="10" width="1.6640625" style="182" customWidth="1"/>
    <col min="11" max="11" width="18.5" style="182" bestFit="1" customWidth="1"/>
    <col min="12" max="12" width="1.6640625" style="182" customWidth="1"/>
    <col min="13" max="13" width="15.6640625" style="182" bestFit="1" customWidth="1"/>
    <col min="14" max="14" width="1.6640625" style="182" customWidth="1"/>
    <col min="15" max="15" width="32.83203125" style="182" bestFit="1" customWidth="1"/>
    <col min="16" max="16" width="4.6640625" style="182" customWidth="1"/>
    <col min="17" max="16384" width="12.5" style="182"/>
  </cols>
  <sheetData>
    <row r="1" spans="1:15" x14ac:dyDescent="0.2">
      <c r="A1" s="2097" t="str">
        <f>co</f>
        <v>COLUMBIA GAS OF KENTUCKY, INC.</v>
      </c>
      <c r="B1" s="2097"/>
      <c r="C1" s="2097"/>
      <c r="D1" s="2097"/>
      <c r="E1" s="2097"/>
      <c r="F1" s="2097"/>
      <c r="G1" s="2097"/>
      <c r="H1" s="2097"/>
      <c r="I1" s="2097"/>
      <c r="J1" s="2097"/>
      <c r="K1" s="2097"/>
      <c r="L1" s="2097"/>
      <c r="M1" s="2097"/>
      <c r="N1" s="2097"/>
      <c r="O1" s="2097"/>
    </row>
    <row r="2" spans="1:15" x14ac:dyDescent="0.2">
      <c r="A2" s="2097" t="str">
        <f>case</f>
        <v>CASE NO. 2016 - 00162</v>
      </c>
      <c r="B2" s="2097"/>
      <c r="C2" s="2097"/>
      <c r="D2" s="2097"/>
      <c r="E2" s="2097"/>
      <c r="F2" s="2097"/>
      <c r="G2" s="2097"/>
      <c r="H2" s="2097"/>
      <c r="I2" s="2097"/>
      <c r="J2" s="2097"/>
      <c r="K2" s="2097"/>
      <c r="L2" s="2097"/>
      <c r="M2" s="2097"/>
      <c r="N2" s="2097"/>
      <c r="O2" s="2097"/>
    </row>
    <row r="3" spans="1:15" x14ac:dyDescent="0.2">
      <c r="A3" s="2098" t="s">
        <v>844</v>
      </c>
      <c r="B3" s="2098"/>
      <c r="C3" s="2098"/>
      <c r="D3" s="2098"/>
      <c r="E3" s="2098"/>
      <c r="F3" s="2098"/>
      <c r="G3" s="2098"/>
      <c r="H3" s="2098"/>
      <c r="I3" s="2098"/>
      <c r="J3" s="2098"/>
      <c r="K3" s="2098"/>
      <c r="L3" s="2098"/>
      <c r="M3" s="2098"/>
      <c r="N3" s="2098"/>
      <c r="O3" s="2098"/>
    </row>
    <row r="4" spans="1:15" x14ac:dyDescent="0.2">
      <c r="A4" s="2099" t="s">
        <v>2032</v>
      </c>
      <c r="B4" s="2099"/>
      <c r="C4" s="2099"/>
      <c r="D4" s="2099"/>
      <c r="E4" s="2099"/>
      <c r="F4" s="2099"/>
      <c r="G4" s="2099"/>
      <c r="H4" s="2099"/>
      <c r="I4" s="2099"/>
      <c r="J4" s="2099"/>
      <c r="K4" s="2099"/>
      <c r="L4" s="2099"/>
      <c r="M4" s="2099"/>
      <c r="N4" s="2099"/>
      <c r="O4" s="2099"/>
    </row>
    <row r="5" spans="1:15" x14ac:dyDescent="0.2">
      <c r="H5" s="183"/>
    </row>
    <row r="6" spans="1:15" x14ac:dyDescent="0.2">
      <c r="A6" s="1278" t="s">
        <v>1776</v>
      </c>
      <c r="O6" s="185" t="s">
        <v>845</v>
      </c>
    </row>
    <row r="7" spans="1:15" x14ac:dyDescent="0.2">
      <c r="A7" s="184" t="s">
        <v>690</v>
      </c>
      <c r="O7" s="219" t="s">
        <v>1111</v>
      </c>
    </row>
    <row r="8" spans="1:15" x14ac:dyDescent="0.2">
      <c r="A8" s="184" t="s">
        <v>691</v>
      </c>
      <c r="O8" s="219" t="str">
        <f>'B-3 Accum Dep&amp; Amort (Base)'!K8</f>
        <v>WITNESS:  S. M. KATKO</v>
      </c>
    </row>
    <row r="9" spans="1:15" x14ac:dyDescent="0.2">
      <c r="A9" s="186"/>
      <c r="B9" s="186"/>
      <c r="C9" s="186"/>
      <c r="D9" s="186"/>
      <c r="E9" s="186"/>
      <c r="F9" s="186"/>
      <c r="G9" s="1277" t="s">
        <v>1258</v>
      </c>
      <c r="H9" s="186"/>
      <c r="I9" s="186"/>
      <c r="J9" s="186"/>
      <c r="K9" s="186"/>
      <c r="L9" s="186"/>
      <c r="M9" s="186"/>
      <c r="N9" s="186"/>
      <c r="O9" s="186"/>
    </row>
    <row r="10" spans="1:15" x14ac:dyDescent="0.2">
      <c r="A10" s="184" t="s">
        <v>632</v>
      </c>
      <c r="C10" s="183" t="s">
        <v>692</v>
      </c>
      <c r="G10" s="183" t="s">
        <v>695</v>
      </c>
      <c r="I10" s="183" t="s">
        <v>671</v>
      </c>
      <c r="K10" s="183" t="s">
        <v>671</v>
      </c>
      <c r="M10" s="183" t="s">
        <v>757</v>
      </c>
      <c r="O10" s="183" t="s">
        <v>846</v>
      </c>
    </row>
    <row r="11" spans="1:15" x14ac:dyDescent="0.2">
      <c r="A11" s="183" t="s">
        <v>635</v>
      </c>
      <c r="C11" s="183" t="s">
        <v>635</v>
      </c>
      <c r="E11" s="183" t="s">
        <v>832</v>
      </c>
      <c r="G11" s="183" t="s">
        <v>760</v>
      </c>
      <c r="I11" s="183" t="s">
        <v>676</v>
      </c>
      <c r="K11" s="183" t="s">
        <v>760</v>
      </c>
      <c r="M11" s="183" t="s">
        <v>637</v>
      </c>
      <c r="O11" s="183" t="s">
        <v>847</v>
      </c>
    </row>
    <row r="12" spans="1:15" x14ac:dyDescent="0.2">
      <c r="A12" s="188" t="s">
        <v>834</v>
      </c>
      <c r="B12" s="189"/>
      <c r="C12" s="188" t="s">
        <v>835</v>
      </c>
      <c r="D12" s="189"/>
      <c r="E12" s="188" t="s">
        <v>836</v>
      </c>
      <c r="F12" s="189"/>
      <c r="G12" s="188" t="s">
        <v>837</v>
      </c>
      <c r="H12" s="189"/>
      <c r="I12" s="188" t="s">
        <v>838</v>
      </c>
      <c r="J12" s="189"/>
      <c r="K12" s="188" t="s">
        <v>839</v>
      </c>
      <c r="L12" s="189"/>
      <c r="M12" s="188" t="s">
        <v>840</v>
      </c>
      <c r="N12" s="189"/>
      <c r="O12" s="188" t="s">
        <v>841</v>
      </c>
    </row>
    <row r="14" spans="1:15" x14ac:dyDescent="0.2">
      <c r="A14" s="190"/>
      <c r="C14" s="191"/>
      <c r="E14" s="192"/>
      <c r="G14" s="191"/>
      <c r="I14" s="191"/>
      <c r="K14" s="191"/>
      <c r="M14" s="191"/>
      <c r="O14" s="191"/>
    </row>
    <row r="15" spans="1:15" x14ac:dyDescent="0.2">
      <c r="A15" s="190"/>
      <c r="C15" s="191"/>
      <c r="E15" s="191"/>
      <c r="G15" s="191"/>
      <c r="I15" s="191"/>
      <c r="K15" s="191"/>
      <c r="M15" s="191"/>
      <c r="O15" s="191"/>
    </row>
    <row r="16" spans="1:15" x14ac:dyDescent="0.2">
      <c r="A16" s="190"/>
      <c r="C16" s="191"/>
      <c r="E16" s="191"/>
      <c r="G16" s="191"/>
      <c r="I16" s="191"/>
      <c r="K16" s="191"/>
      <c r="M16" s="191"/>
      <c r="O16" s="191"/>
    </row>
    <row r="17" spans="1:15" x14ac:dyDescent="0.2">
      <c r="A17" s="190"/>
      <c r="C17" s="191"/>
      <c r="E17" s="191"/>
      <c r="G17" s="191"/>
      <c r="I17" s="191"/>
      <c r="K17" s="191"/>
      <c r="M17" s="191"/>
      <c r="O17" s="191"/>
    </row>
    <row r="18" spans="1:15" x14ac:dyDescent="0.2">
      <c r="A18" s="190"/>
      <c r="C18" s="191"/>
      <c r="E18" s="191"/>
      <c r="G18" s="191"/>
      <c r="I18" s="191"/>
      <c r="K18" s="191"/>
      <c r="M18" s="191"/>
      <c r="O18" s="191"/>
    </row>
    <row r="19" spans="1:15" x14ac:dyDescent="0.2">
      <c r="A19" s="190"/>
      <c r="C19" s="191"/>
      <c r="E19" s="191"/>
      <c r="G19" s="1939"/>
      <c r="H19" s="1940"/>
      <c r="I19" s="1941" t="s">
        <v>2389</v>
      </c>
      <c r="J19" s="1940"/>
      <c r="K19" s="1939"/>
      <c r="L19" s="1940"/>
      <c r="M19" s="1939"/>
      <c r="O19" s="191"/>
    </row>
    <row r="20" spans="1:15" x14ac:dyDescent="0.2">
      <c r="A20" s="190"/>
      <c r="C20" s="191"/>
      <c r="E20" s="191"/>
      <c r="G20" s="1939" t="s">
        <v>2386</v>
      </c>
      <c r="H20" s="1940"/>
      <c r="I20" s="1940"/>
      <c r="J20" s="1940"/>
      <c r="K20" s="1939"/>
      <c r="L20" s="1940"/>
      <c r="M20" s="1939"/>
      <c r="O20" s="191"/>
    </row>
    <row r="21" spans="1:15" x14ac:dyDescent="0.2">
      <c r="A21" s="190"/>
      <c r="C21" s="191"/>
      <c r="E21" s="191"/>
      <c r="G21" s="191"/>
      <c r="I21" s="191"/>
      <c r="K21" s="191"/>
      <c r="M21" s="191"/>
      <c r="O21" s="191"/>
    </row>
    <row r="22" spans="1:15" x14ac:dyDescent="0.2">
      <c r="A22" s="190"/>
      <c r="C22" s="191"/>
      <c r="E22" s="192"/>
      <c r="G22" s="191"/>
      <c r="I22" s="191"/>
      <c r="K22" s="191"/>
      <c r="M22" s="191"/>
      <c r="O22" s="191"/>
    </row>
    <row r="23" spans="1:15" x14ac:dyDescent="0.2">
      <c r="A23" s="190"/>
      <c r="C23" s="191"/>
      <c r="E23" s="191"/>
      <c r="G23" s="191"/>
      <c r="K23" s="191"/>
      <c r="M23" s="191"/>
      <c r="O23" s="191"/>
    </row>
    <row r="24" spans="1:15" x14ac:dyDescent="0.2">
      <c r="A24" s="190"/>
      <c r="C24" s="191"/>
      <c r="E24" s="191"/>
      <c r="G24" s="191"/>
      <c r="I24" s="191"/>
      <c r="K24" s="191"/>
      <c r="M24" s="191"/>
      <c r="O24" s="191"/>
    </row>
    <row r="25" spans="1:15" x14ac:dyDescent="0.2">
      <c r="A25" s="190"/>
      <c r="C25" s="191"/>
      <c r="E25" s="191"/>
      <c r="G25" s="191"/>
      <c r="I25" s="191"/>
      <c r="K25" s="191"/>
      <c r="M25" s="191"/>
      <c r="O25" s="191"/>
    </row>
    <row r="26" spans="1:15" x14ac:dyDescent="0.2">
      <c r="A26" s="190"/>
      <c r="C26" s="191"/>
      <c r="E26" s="191"/>
      <c r="G26" s="191"/>
      <c r="I26" s="191"/>
      <c r="K26" s="191"/>
      <c r="M26" s="191"/>
      <c r="O26" s="191"/>
    </row>
    <row r="27" spans="1:15" x14ac:dyDescent="0.2">
      <c r="A27" s="190"/>
      <c r="C27" s="191"/>
      <c r="E27" s="191"/>
      <c r="G27" s="191"/>
      <c r="I27" s="191"/>
      <c r="K27" s="191"/>
      <c r="M27" s="191"/>
      <c r="O27" s="191"/>
    </row>
    <row r="28" spans="1:15" x14ac:dyDescent="0.2">
      <c r="A28" s="190"/>
      <c r="C28" s="191"/>
      <c r="E28" s="192"/>
      <c r="G28" s="191"/>
      <c r="I28" s="191"/>
      <c r="K28" s="191"/>
      <c r="M28" s="191"/>
      <c r="O28" s="191"/>
    </row>
    <row r="29" spans="1:15" x14ac:dyDescent="0.2">
      <c r="A29" s="190"/>
      <c r="C29" s="191"/>
      <c r="E29" s="191"/>
      <c r="G29" s="191"/>
      <c r="I29" s="191"/>
      <c r="K29" s="191"/>
      <c r="M29" s="191"/>
      <c r="O29" s="191"/>
    </row>
    <row r="30" spans="1:15" x14ac:dyDescent="0.2">
      <c r="A30" s="190"/>
      <c r="C30" s="191"/>
      <c r="E30" s="191"/>
      <c r="G30" s="191"/>
      <c r="I30" s="191"/>
      <c r="K30" s="191"/>
      <c r="M30" s="191"/>
      <c r="O30" s="191"/>
    </row>
    <row r="31" spans="1:15" x14ac:dyDescent="0.2">
      <c r="A31" s="190"/>
      <c r="C31" s="191"/>
      <c r="E31" s="191"/>
      <c r="G31" s="191"/>
      <c r="I31" s="191"/>
      <c r="K31" s="191"/>
      <c r="M31" s="191"/>
      <c r="O31" s="191"/>
    </row>
    <row r="32" spans="1:15" x14ac:dyDescent="0.2">
      <c r="A32" s="190"/>
      <c r="C32" s="191"/>
      <c r="E32" s="191"/>
      <c r="G32" s="191"/>
      <c r="I32" s="191"/>
      <c r="K32" s="191"/>
      <c r="M32" s="191"/>
      <c r="O32" s="191"/>
    </row>
    <row r="33" spans="1:15" x14ac:dyDescent="0.2">
      <c r="A33" s="190"/>
      <c r="C33" s="191"/>
      <c r="E33" s="191"/>
      <c r="G33" s="191"/>
      <c r="I33" s="191"/>
      <c r="K33" s="191"/>
      <c r="M33" s="191"/>
      <c r="O33" s="191"/>
    </row>
    <row r="34" spans="1:15" x14ac:dyDescent="0.2">
      <c r="A34" s="190"/>
      <c r="C34" s="191"/>
      <c r="E34" s="191"/>
      <c r="G34" s="191"/>
      <c r="I34" s="191"/>
      <c r="K34" s="191"/>
      <c r="M34" s="191"/>
      <c r="O34" s="191"/>
    </row>
    <row r="35" spans="1:15" x14ac:dyDescent="0.2">
      <c r="A35" s="190"/>
      <c r="C35" s="191"/>
      <c r="E35" s="191"/>
      <c r="G35" s="191"/>
      <c r="I35" s="191"/>
      <c r="K35" s="191"/>
      <c r="M35" s="191"/>
      <c r="O35" s="191"/>
    </row>
    <row r="36" spans="1:15" x14ac:dyDescent="0.2">
      <c r="A36" s="190"/>
      <c r="C36" s="191"/>
      <c r="E36" s="191"/>
      <c r="G36" s="191"/>
      <c r="I36" s="191"/>
      <c r="K36" s="191"/>
      <c r="M36" s="191"/>
      <c r="O36" s="191"/>
    </row>
    <row r="37" spans="1:15" x14ac:dyDescent="0.2">
      <c r="A37" s="190"/>
      <c r="C37" s="191"/>
      <c r="E37" s="191"/>
      <c r="G37" s="191"/>
      <c r="I37" s="191"/>
      <c r="K37" s="191"/>
      <c r="M37" s="191"/>
      <c r="O37" s="191"/>
    </row>
    <row r="38" spans="1:15" x14ac:dyDescent="0.2">
      <c r="A38" s="190"/>
      <c r="C38" s="191"/>
      <c r="E38" s="191"/>
      <c r="G38" s="191"/>
      <c r="I38" s="191"/>
      <c r="K38" s="191"/>
      <c r="M38" s="191"/>
      <c r="O38" s="191"/>
    </row>
    <row r="39" spans="1:15" x14ac:dyDescent="0.2">
      <c r="A39" s="190"/>
      <c r="C39" s="191"/>
      <c r="E39" s="191"/>
      <c r="G39" s="191"/>
      <c r="I39" s="191"/>
      <c r="K39" s="191"/>
      <c r="M39" s="191"/>
      <c r="O39" s="191"/>
    </row>
    <row r="40" spans="1:15" x14ac:dyDescent="0.2">
      <c r="A40" s="190"/>
      <c r="C40" s="191"/>
      <c r="E40" s="191"/>
      <c r="G40" s="191"/>
      <c r="I40" s="191"/>
      <c r="K40" s="191"/>
      <c r="M40" s="191"/>
      <c r="O40" s="191"/>
    </row>
    <row r="41" spans="1:15" x14ac:dyDescent="0.2">
      <c r="A41" s="190"/>
      <c r="C41" s="191"/>
      <c r="E41" s="191"/>
      <c r="G41" s="191"/>
      <c r="I41" s="191"/>
      <c r="K41" s="191"/>
      <c r="M41" s="191"/>
      <c r="O41" s="191"/>
    </row>
    <row r="42" spans="1:15" x14ac:dyDescent="0.2">
      <c r="A42" s="190"/>
      <c r="C42" s="191"/>
      <c r="E42" s="191"/>
      <c r="G42" s="191"/>
      <c r="I42" s="191"/>
      <c r="K42" s="191"/>
      <c r="M42" s="191"/>
      <c r="O42" s="191"/>
    </row>
    <row r="43" spans="1:15" x14ac:dyDescent="0.2">
      <c r="A43" s="190"/>
      <c r="C43" s="191"/>
      <c r="E43" s="191"/>
      <c r="G43" s="191"/>
      <c r="I43" s="191"/>
      <c r="K43" s="191"/>
      <c r="M43" s="191"/>
      <c r="O43" s="191"/>
    </row>
    <row r="44" spans="1:15" x14ac:dyDescent="0.2">
      <c r="A44" s="190"/>
      <c r="C44" s="191"/>
      <c r="E44" s="191"/>
      <c r="G44" s="191"/>
      <c r="I44" s="191"/>
      <c r="K44" s="191"/>
      <c r="M44" s="191"/>
      <c r="O44" s="191"/>
    </row>
    <row r="45" spans="1:15" x14ac:dyDescent="0.2">
      <c r="A45" s="190"/>
      <c r="C45" s="191"/>
      <c r="E45" s="191"/>
      <c r="G45" s="191"/>
      <c r="I45" s="191"/>
      <c r="K45" s="191"/>
      <c r="M45" s="191"/>
      <c r="O45" s="191"/>
    </row>
  </sheetData>
  <mergeCells count="4">
    <mergeCell ref="A1:O1"/>
    <mergeCell ref="A2:O2"/>
    <mergeCell ref="A3:O3"/>
    <mergeCell ref="A4:O4"/>
  </mergeCells>
  <pageMargins left="1" right="0.5" top="1" bottom="0.75" header="0.3" footer="0.3"/>
  <pageSetup scale="77" fitToHeight="0" orientation="portrait" r:id="rId1"/>
  <headerFooter>
    <oddHeader>&amp;R&amp;"Arial,Regular"&amp;10KY PSC Case No. 2016-00162, Attachment A to Staff 3-4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4">
    <pageSetUpPr fitToPage="1"/>
  </sheetPr>
  <dimension ref="A1:R128"/>
  <sheetViews>
    <sheetView view="pageBreakPreview" zoomScale="60" zoomScaleNormal="100" workbookViewId="0">
      <selection activeCell="F46" sqref="F46"/>
    </sheetView>
  </sheetViews>
  <sheetFormatPr defaultColWidth="6.1640625" defaultRowHeight="10.5" x14ac:dyDescent="0.15"/>
  <cols>
    <col min="1" max="1" width="5" style="134" customWidth="1"/>
    <col min="2" max="2" width="3.33203125" style="134" customWidth="1"/>
    <col min="3" max="3" width="10.1640625" style="134" customWidth="1"/>
    <col min="4" max="4" width="3.1640625" style="134" customWidth="1"/>
    <col min="5" max="5" width="36.5" style="134" bestFit="1" customWidth="1"/>
    <col min="6" max="6" width="3.5" style="134" customWidth="1"/>
    <col min="7" max="7" width="13.5" style="134" customWidth="1"/>
    <col min="8" max="8" width="3.6640625" style="134" customWidth="1"/>
    <col min="9" max="9" width="27" style="134" bestFit="1" customWidth="1"/>
    <col min="10" max="10" width="3.6640625" style="134" customWidth="1"/>
    <col min="11" max="11" width="13.5" style="134" bestFit="1" customWidth="1"/>
    <col min="12" max="12" width="3.33203125" style="134" customWidth="1"/>
    <col min="13" max="13" width="18.5" style="134" bestFit="1" customWidth="1"/>
    <col min="14" max="14" width="3.1640625" style="134" customWidth="1"/>
    <col min="15" max="15" width="12" style="134" bestFit="1" customWidth="1"/>
    <col min="16" max="16" width="2.6640625" style="134" customWidth="1"/>
    <col min="17" max="17" width="2.5" style="134" customWidth="1"/>
    <col min="18" max="18" width="10.33203125" style="134" bestFit="1" customWidth="1"/>
    <col min="19" max="16384" width="6.1640625" style="134"/>
  </cols>
  <sheetData>
    <row r="1" spans="1:18" ht="12.75" x14ac:dyDescent="0.2">
      <c r="A1" s="2100" t="str">
        <f>co</f>
        <v>COLUMBIA GAS OF KENTUCKY, INC.</v>
      </c>
      <c r="B1" s="2100"/>
      <c r="C1" s="2100"/>
      <c r="D1" s="2100"/>
      <c r="E1" s="2100"/>
      <c r="F1" s="2100"/>
      <c r="G1" s="2100"/>
      <c r="H1" s="2100"/>
      <c r="I1" s="2100"/>
      <c r="J1" s="2100"/>
      <c r="K1" s="2100"/>
      <c r="L1" s="2100"/>
      <c r="M1" s="2100"/>
      <c r="N1" s="2100"/>
      <c r="O1" s="2100"/>
      <c r="P1" s="2100"/>
      <c r="Q1" s="68"/>
      <c r="R1" s="68"/>
    </row>
    <row r="2" spans="1:18" ht="12.75" x14ac:dyDescent="0.2">
      <c r="A2" s="2101" t="str">
        <f>case</f>
        <v>CASE NO. 2016 - 00162</v>
      </c>
      <c r="B2" s="2101"/>
      <c r="C2" s="2101"/>
      <c r="D2" s="2101"/>
      <c r="E2" s="2101"/>
      <c r="F2" s="2101"/>
      <c r="G2" s="2101"/>
      <c r="H2" s="2101"/>
      <c r="I2" s="2101"/>
      <c r="J2" s="2101"/>
      <c r="K2" s="2101"/>
      <c r="L2" s="2101"/>
      <c r="M2" s="2101"/>
      <c r="N2" s="2101"/>
      <c r="O2" s="2101"/>
      <c r="P2" s="2101"/>
      <c r="Q2" s="68"/>
      <c r="R2" s="68"/>
    </row>
    <row r="3" spans="1:18" ht="12.75" x14ac:dyDescent="0.2">
      <c r="A3" s="2102" t="s">
        <v>1638</v>
      </c>
      <c r="B3" s="2103"/>
      <c r="C3" s="2103"/>
      <c r="D3" s="2103"/>
      <c r="E3" s="2103"/>
      <c r="F3" s="2103"/>
      <c r="G3" s="2103"/>
      <c r="H3" s="2103"/>
      <c r="I3" s="2103"/>
      <c r="J3" s="2103"/>
      <c r="K3" s="2103"/>
      <c r="L3" s="2103"/>
      <c r="M3" s="2103"/>
      <c r="N3" s="2103"/>
      <c r="O3" s="2103"/>
      <c r="P3" s="2103"/>
      <c r="Q3" s="68"/>
      <c r="R3" s="68"/>
    </row>
    <row r="4" spans="1:18" ht="12.75" x14ac:dyDescent="0.2">
      <c r="A4" s="2104" t="s">
        <v>2426</v>
      </c>
      <c r="B4" s="2105"/>
      <c r="C4" s="2105"/>
      <c r="D4" s="2105"/>
      <c r="E4" s="2105"/>
      <c r="F4" s="2105"/>
      <c r="G4" s="2105"/>
      <c r="H4" s="2105"/>
      <c r="I4" s="2105"/>
      <c r="J4" s="2105"/>
      <c r="K4" s="2105"/>
      <c r="L4" s="2105"/>
      <c r="M4" s="2105"/>
      <c r="N4" s="2105"/>
      <c r="O4" s="2105"/>
      <c r="P4" s="2105"/>
      <c r="Q4" s="68"/>
      <c r="R4" s="68"/>
    </row>
    <row r="5" spans="1:18" ht="12.75" x14ac:dyDescent="0.2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8"/>
      <c r="R5" s="68"/>
    </row>
    <row r="6" spans="1:18" ht="12.75" x14ac:dyDescent="0.2">
      <c r="A6" s="225" t="s">
        <v>1637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O6" s="131" t="s">
        <v>853</v>
      </c>
      <c r="P6" s="60"/>
      <c r="Q6" s="68"/>
      <c r="R6" s="68"/>
    </row>
    <row r="7" spans="1:18" ht="12.75" x14ac:dyDescent="0.2">
      <c r="A7" s="220" t="s">
        <v>627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146"/>
      <c r="O7" s="1407" t="s">
        <v>1299</v>
      </c>
      <c r="P7" s="68"/>
      <c r="Q7" s="68"/>
      <c r="R7" s="68"/>
    </row>
    <row r="8" spans="1:18" ht="12.75" x14ac:dyDescent="0.2">
      <c r="A8" s="220" t="s">
        <v>1002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146"/>
      <c r="O8" s="1250" t="str">
        <f>SMK</f>
        <v>WITNESS:  S. M. KATKO</v>
      </c>
      <c r="P8" s="68"/>
      <c r="Q8" s="68"/>
      <c r="R8" s="68"/>
    </row>
    <row r="9" spans="1:18" ht="12.75" x14ac:dyDescent="0.2">
      <c r="A9" s="220"/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146"/>
      <c r="O9" s="68"/>
      <c r="P9" s="68"/>
      <c r="Q9" s="68"/>
      <c r="R9" s="68"/>
    </row>
    <row r="10" spans="1:18" ht="12.75" x14ac:dyDescent="0.2">
      <c r="A10" s="221"/>
      <c r="B10" s="221"/>
      <c r="C10" s="221"/>
      <c r="D10" s="221"/>
      <c r="E10" s="221"/>
      <c r="F10" s="221"/>
      <c r="G10" s="222"/>
      <c r="H10" s="222"/>
      <c r="I10" s="223" t="s">
        <v>854</v>
      </c>
      <c r="J10" s="222"/>
      <c r="K10" s="221"/>
      <c r="L10" s="221"/>
      <c r="M10" s="221"/>
      <c r="N10" s="221"/>
      <c r="O10" s="221"/>
      <c r="P10" s="224"/>
      <c r="Q10" s="68"/>
      <c r="R10" s="68"/>
    </row>
    <row r="11" spans="1:18" ht="12.75" x14ac:dyDescent="0.2">
      <c r="A11" s="132"/>
      <c r="B11" s="60"/>
      <c r="C11" s="60"/>
      <c r="D11" s="60"/>
      <c r="E11" s="60"/>
      <c r="F11" s="60"/>
      <c r="G11" s="132" t="s">
        <v>670</v>
      </c>
      <c r="H11" s="60"/>
      <c r="I11" s="60"/>
      <c r="J11" s="60"/>
      <c r="K11" s="132" t="s">
        <v>965</v>
      </c>
      <c r="L11" s="60"/>
      <c r="M11" s="64"/>
      <c r="N11" s="64"/>
      <c r="Q11" s="68"/>
      <c r="R11" s="68"/>
    </row>
    <row r="12" spans="1:18" ht="12.75" x14ac:dyDescent="0.2">
      <c r="A12" s="61" t="s">
        <v>632</v>
      </c>
      <c r="B12" s="60"/>
      <c r="C12" s="61"/>
      <c r="D12" s="60"/>
      <c r="F12" s="60"/>
      <c r="G12" s="61" t="s">
        <v>965</v>
      </c>
      <c r="H12" s="60"/>
      <c r="I12" s="132" t="s">
        <v>856</v>
      </c>
      <c r="J12" s="60"/>
      <c r="K12" s="61" t="s">
        <v>771</v>
      </c>
      <c r="L12" s="60"/>
      <c r="M12" s="61"/>
      <c r="N12" s="60"/>
      <c r="O12" s="61" t="s">
        <v>670</v>
      </c>
      <c r="Q12" s="68"/>
      <c r="R12" s="68"/>
    </row>
    <row r="13" spans="1:18" ht="12.75" x14ac:dyDescent="0.2">
      <c r="A13" s="61" t="s">
        <v>635</v>
      </c>
      <c r="B13" s="60"/>
      <c r="C13" s="1249" t="s">
        <v>1711</v>
      </c>
      <c r="D13" s="60"/>
      <c r="E13" s="61" t="s">
        <v>855</v>
      </c>
      <c r="F13" s="60"/>
      <c r="G13" s="61" t="s">
        <v>771</v>
      </c>
      <c r="H13" s="60"/>
      <c r="I13" s="61" t="s">
        <v>771</v>
      </c>
      <c r="J13" s="60"/>
      <c r="K13" s="61" t="s">
        <v>966</v>
      </c>
      <c r="L13" s="60"/>
      <c r="M13" s="61" t="s">
        <v>671</v>
      </c>
      <c r="N13" s="60"/>
      <c r="O13" s="61" t="s">
        <v>780</v>
      </c>
      <c r="Q13" s="68"/>
      <c r="R13" s="68"/>
    </row>
    <row r="14" spans="1:18" ht="12.75" x14ac:dyDescent="0.2">
      <c r="A14" s="65" t="s">
        <v>834</v>
      </c>
      <c r="B14" s="63"/>
      <c r="C14" s="65" t="s">
        <v>835</v>
      </c>
      <c r="D14" s="63"/>
      <c r="E14" s="65" t="s">
        <v>836</v>
      </c>
      <c r="F14" s="63"/>
      <c r="G14" s="65" t="s">
        <v>837</v>
      </c>
      <c r="H14" s="63"/>
      <c r="I14" s="65" t="s">
        <v>838</v>
      </c>
      <c r="J14" s="63"/>
      <c r="K14" s="133" t="s">
        <v>1004</v>
      </c>
      <c r="L14" s="63"/>
      <c r="M14" s="133" t="s">
        <v>840</v>
      </c>
      <c r="N14" s="63"/>
      <c r="O14" s="133" t="s">
        <v>1005</v>
      </c>
      <c r="Q14" s="68"/>
      <c r="R14" s="68"/>
    </row>
    <row r="15" spans="1:18" ht="12.75" x14ac:dyDescent="0.2">
      <c r="A15" s="132"/>
      <c r="B15" s="60"/>
      <c r="C15" s="60"/>
      <c r="D15" s="60"/>
      <c r="E15" s="60"/>
      <c r="F15" s="60"/>
      <c r="G15" s="61" t="s">
        <v>639</v>
      </c>
      <c r="H15" s="60"/>
      <c r="I15" s="61" t="s">
        <v>639</v>
      </c>
      <c r="J15" s="60"/>
      <c r="K15" s="61" t="s">
        <v>639</v>
      </c>
      <c r="L15" s="60"/>
      <c r="M15" s="61" t="s">
        <v>857</v>
      </c>
      <c r="N15" s="60"/>
      <c r="O15" s="61" t="s">
        <v>639</v>
      </c>
      <c r="Q15" s="68"/>
      <c r="R15" s="68"/>
    </row>
    <row r="16" spans="1:18" ht="12.75" x14ac:dyDescent="0.2">
      <c r="A16" s="135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Q16" s="68"/>
      <c r="R16" s="68"/>
    </row>
    <row r="17" spans="1:18" ht="12.75" x14ac:dyDescent="0.2">
      <c r="A17" s="131">
        <v>1</v>
      </c>
      <c r="B17" s="60"/>
      <c r="C17" s="136">
        <v>303</v>
      </c>
      <c r="D17" s="60"/>
      <c r="E17" s="62" t="s">
        <v>967</v>
      </c>
      <c r="F17" s="60"/>
      <c r="G17" s="1670">
        <v>21987</v>
      </c>
      <c r="H17" s="60"/>
      <c r="I17" s="67">
        <f>G17-K17</f>
        <v>21987</v>
      </c>
      <c r="J17" s="60"/>
      <c r="K17" s="1673">
        <v>0</v>
      </c>
      <c r="L17" s="60"/>
      <c r="M17" s="61" t="s">
        <v>858</v>
      </c>
      <c r="N17" s="60"/>
      <c r="O17" s="1141">
        <f>K17</f>
        <v>0</v>
      </c>
      <c r="Q17" s="68"/>
      <c r="R17" s="68"/>
    </row>
    <row r="18" spans="1:18" ht="12.75" x14ac:dyDescent="0.2">
      <c r="A18" s="131">
        <f>A17+1</f>
        <v>2</v>
      </c>
      <c r="B18" s="60"/>
      <c r="C18" s="136">
        <v>303.3</v>
      </c>
      <c r="D18" s="60"/>
      <c r="E18" s="62" t="s">
        <v>967</v>
      </c>
      <c r="F18" s="60"/>
      <c r="G18" s="1671">
        <v>854204</v>
      </c>
      <c r="H18" s="60"/>
      <c r="I18" s="137">
        <f>G18-K18</f>
        <v>854204</v>
      </c>
      <c r="J18" s="60"/>
      <c r="K18" s="1674">
        <v>0</v>
      </c>
      <c r="L18" s="60"/>
      <c r="M18" s="67"/>
      <c r="N18" s="60"/>
      <c r="O18" s="1142">
        <f>K18</f>
        <v>0</v>
      </c>
      <c r="Q18" s="68"/>
      <c r="R18" s="68"/>
    </row>
    <row r="19" spans="1:18" ht="12.75" x14ac:dyDescent="0.2">
      <c r="A19" s="131">
        <f>A18+1</f>
        <v>3</v>
      </c>
      <c r="B19" s="60"/>
      <c r="C19" s="60"/>
      <c r="D19" s="60"/>
      <c r="E19" s="62" t="s">
        <v>859</v>
      </c>
      <c r="F19" s="60"/>
      <c r="G19" s="66">
        <f>SUM(G17:G18)</f>
        <v>876191</v>
      </c>
      <c r="H19" s="60"/>
      <c r="I19" s="67">
        <f>SUM(I17:I18)</f>
        <v>876191</v>
      </c>
      <c r="J19" s="60"/>
      <c r="K19" s="67">
        <f>SUM(K17:K18)</f>
        <v>0</v>
      </c>
      <c r="L19" s="60"/>
      <c r="M19" s="67"/>
      <c r="N19" s="60"/>
      <c r="O19" s="67">
        <f>SUM(O17:O18)</f>
        <v>0</v>
      </c>
      <c r="Q19" s="68"/>
      <c r="R19" s="68"/>
    </row>
    <row r="20" spans="1:18" ht="12.75" x14ac:dyDescent="0.2">
      <c r="A20" s="135"/>
      <c r="B20" s="60"/>
      <c r="C20" s="136"/>
      <c r="D20" s="60"/>
      <c r="E20" s="62"/>
      <c r="F20" s="60"/>
      <c r="G20" s="66"/>
      <c r="H20" s="60"/>
      <c r="I20" s="67"/>
      <c r="J20" s="60"/>
      <c r="K20" s="67"/>
      <c r="L20" s="60"/>
      <c r="M20" s="67"/>
      <c r="N20" s="60"/>
      <c r="O20" s="66"/>
      <c r="Q20" s="68"/>
      <c r="R20" s="68"/>
    </row>
    <row r="21" spans="1:18" ht="12.75" x14ac:dyDescent="0.2">
      <c r="A21" s="131">
        <f>A19+1</f>
        <v>4</v>
      </c>
      <c r="B21" s="60"/>
      <c r="C21" s="136">
        <v>374.4</v>
      </c>
      <c r="D21" s="60"/>
      <c r="E21" s="62" t="s">
        <v>968</v>
      </c>
      <c r="F21" s="60"/>
      <c r="G21" s="1670">
        <v>105990</v>
      </c>
      <c r="H21" s="60"/>
      <c r="I21" s="67">
        <f t="shared" ref="I21:I33" si="0">G21-K21</f>
        <v>105990</v>
      </c>
      <c r="J21" s="60"/>
      <c r="K21" s="1670">
        <v>0</v>
      </c>
      <c r="L21" s="60"/>
      <c r="M21" s="67"/>
      <c r="N21" s="60"/>
      <c r="O21" s="1141">
        <f t="shared" ref="O21:O33" si="1">K21</f>
        <v>0</v>
      </c>
      <c r="Q21" s="68"/>
      <c r="R21" s="68"/>
    </row>
    <row r="22" spans="1:18" ht="12.75" x14ac:dyDescent="0.2">
      <c r="A22" s="131">
        <f>A21+1</f>
        <v>5</v>
      </c>
      <c r="B22" s="60"/>
      <c r="C22" s="136">
        <v>375.4</v>
      </c>
      <c r="D22" s="60"/>
      <c r="E22" s="62" t="s">
        <v>969</v>
      </c>
      <c r="F22" s="60"/>
      <c r="G22" s="1670">
        <v>18433</v>
      </c>
      <c r="H22" s="60"/>
      <c r="I22" s="67">
        <f t="shared" si="0"/>
        <v>18433</v>
      </c>
      <c r="J22" s="60"/>
      <c r="K22" s="1670">
        <v>0</v>
      </c>
      <c r="L22" s="60"/>
      <c r="M22" s="67"/>
      <c r="N22" s="60"/>
      <c r="O22" s="1141">
        <f t="shared" si="1"/>
        <v>0</v>
      </c>
      <c r="Q22" s="68"/>
      <c r="R22" s="68"/>
    </row>
    <row r="23" spans="1:18" ht="12.75" x14ac:dyDescent="0.2">
      <c r="A23" s="131">
        <f t="shared" ref="A23:A34" si="2">A22+1</f>
        <v>6</v>
      </c>
      <c r="B23" s="60"/>
      <c r="C23" s="136">
        <v>375.7</v>
      </c>
      <c r="D23" s="60"/>
      <c r="E23" s="62" t="s">
        <v>970</v>
      </c>
      <c r="F23" s="60"/>
      <c r="G23" s="1670">
        <v>150976</v>
      </c>
      <c r="H23" s="60"/>
      <c r="I23" s="67">
        <f t="shared" si="0"/>
        <v>9587</v>
      </c>
      <c r="J23" s="60"/>
      <c r="K23" s="1670">
        <v>141389</v>
      </c>
      <c r="L23" s="60"/>
      <c r="M23" s="67"/>
      <c r="N23" s="60"/>
      <c r="O23" s="1141">
        <f t="shared" si="1"/>
        <v>141389</v>
      </c>
      <c r="Q23" s="68"/>
      <c r="R23" s="68"/>
    </row>
    <row r="24" spans="1:18" ht="12.75" x14ac:dyDescent="0.2">
      <c r="A24" s="1675">
        <f t="shared" si="2"/>
        <v>7</v>
      </c>
      <c r="B24" s="1676"/>
      <c r="C24" s="1681">
        <v>375.71</v>
      </c>
      <c r="D24" s="1676"/>
      <c r="E24" s="1678" t="s">
        <v>2156</v>
      </c>
      <c r="F24" s="1676"/>
      <c r="G24" s="1670">
        <v>26357.33</v>
      </c>
      <c r="H24" s="1676"/>
      <c r="I24" s="138">
        <f t="shared" si="0"/>
        <v>0.33000000000174623</v>
      </c>
      <c r="J24" s="1676"/>
      <c r="K24" s="1670">
        <v>26357</v>
      </c>
      <c r="L24" s="1676"/>
      <c r="M24" s="138"/>
      <c r="N24" s="1676"/>
      <c r="O24" s="1679">
        <f t="shared" si="1"/>
        <v>26357</v>
      </c>
      <c r="Q24" s="68"/>
      <c r="R24" s="1672"/>
    </row>
    <row r="25" spans="1:18" ht="12.75" customHeight="1" x14ac:dyDescent="0.2">
      <c r="A25" s="131">
        <f t="shared" si="2"/>
        <v>8</v>
      </c>
      <c r="B25" s="60"/>
      <c r="C25" s="136">
        <v>376</v>
      </c>
      <c r="D25" s="60"/>
      <c r="E25" s="62" t="s">
        <v>719</v>
      </c>
      <c r="F25" s="60"/>
      <c r="G25" s="1670">
        <f>1463196+4505972</f>
        <v>5969168</v>
      </c>
      <c r="H25" s="60"/>
      <c r="I25" s="67">
        <f t="shared" si="0"/>
        <v>1853080</v>
      </c>
      <c r="J25" s="60"/>
      <c r="K25" s="1670">
        <f>1799736+2316352</f>
        <v>4116088</v>
      </c>
      <c r="L25" s="60"/>
      <c r="M25" s="67"/>
      <c r="N25" s="60"/>
      <c r="O25" s="1141">
        <f t="shared" si="1"/>
        <v>4116088</v>
      </c>
      <c r="Q25" s="68"/>
      <c r="R25" s="68"/>
    </row>
    <row r="26" spans="1:18" ht="12.75" x14ac:dyDescent="0.2">
      <c r="A26" s="131">
        <f t="shared" si="2"/>
        <v>9</v>
      </c>
      <c r="B26" s="60"/>
      <c r="C26" s="136">
        <v>378.2</v>
      </c>
      <c r="D26" s="60"/>
      <c r="E26" s="62" t="s">
        <v>971</v>
      </c>
      <c r="F26" s="60"/>
      <c r="G26" s="1670">
        <v>139738</v>
      </c>
      <c r="H26" s="60"/>
      <c r="I26" s="67">
        <f t="shared" si="0"/>
        <v>136932</v>
      </c>
      <c r="J26" s="60"/>
      <c r="K26" s="1670">
        <v>2806</v>
      </c>
      <c r="L26" s="60"/>
      <c r="M26" s="67"/>
      <c r="N26" s="60"/>
      <c r="O26" s="1141">
        <f t="shared" si="1"/>
        <v>2806</v>
      </c>
      <c r="Q26" s="68"/>
      <c r="R26" s="68"/>
    </row>
    <row r="27" spans="1:18" ht="12.75" customHeight="1" x14ac:dyDescent="0.2">
      <c r="A27" s="131">
        <f t="shared" si="2"/>
        <v>10</v>
      </c>
      <c r="B27" s="60"/>
      <c r="C27" s="136">
        <v>380</v>
      </c>
      <c r="D27" s="60"/>
      <c r="E27" s="62" t="s">
        <v>724</v>
      </c>
      <c r="F27" s="60"/>
      <c r="G27" s="1670">
        <f>8930-106242</f>
        <v>-97312</v>
      </c>
      <c r="H27" s="60"/>
      <c r="I27" s="138">
        <f t="shared" si="0"/>
        <v>30469</v>
      </c>
      <c r="J27" s="60"/>
      <c r="K27" s="1670">
        <f>-21539-106242</f>
        <v>-127781</v>
      </c>
      <c r="L27" s="60"/>
      <c r="M27" s="67"/>
      <c r="N27" s="60"/>
      <c r="O27" s="1141">
        <f t="shared" si="1"/>
        <v>-127781</v>
      </c>
      <c r="Q27" s="68"/>
      <c r="R27" s="68"/>
    </row>
    <row r="28" spans="1:18" ht="12.75" customHeight="1" x14ac:dyDescent="0.2">
      <c r="A28" s="131">
        <f t="shared" si="2"/>
        <v>11</v>
      </c>
      <c r="B28" s="60"/>
      <c r="C28" s="136">
        <v>381</v>
      </c>
      <c r="D28" s="60"/>
      <c r="E28" s="62" t="s">
        <v>725</v>
      </c>
      <c r="F28" s="60"/>
      <c r="G28" s="1670">
        <f>12788+4222</f>
        <v>17010</v>
      </c>
      <c r="H28" s="60"/>
      <c r="I28" s="67">
        <f t="shared" si="0"/>
        <v>17010</v>
      </c>
      <c r="J28" s="60"/>
      <c r="K28" s="1670">
        <v>0</v>
      </c>
      <c r="L28" s="60"/>
      <c r="M28" s="67"/>
      <c r="N28" s="60"/>
      <c r="O28" s="1141">
        <f t="shared" si="1"/>
        <v>0</v>
      </c>
      <c r="Q28" s="68"/>
      <c r="R28" s="68"/>
    </row>
    <row r="29" spans="1:18" ht="12.75" customHeight="1" x14ac:dyDescent="0.2">
      <c r="A29" s="131">
        <f t="shared" si="2"/>
        <v>12</v>
      </c>
      <c r="B29" s="60"/>
      <c r="C29" s="136">
        <v>381.1</v>
      </c>
      <c r="D29" s="60"/>
      <c r="E29" s="2050" t="s">
        <v>2425</v>
      </c>
      <c r="F29" s="60"/>
      <c r="G29" s="1670">
        <v>51118</v>
      </c>
      <c r="H29" s="60"/>
      <c r="I29" s="67">
        <f t="shared" si="0"/>
        <v>51118</v>
      </c>
      <c r="J29" s="60"/>
      <c r="K29" s="1670">
        <v>0</v>
      </c>
      <c r="L29" s="60"/>
      <c r="M29" s="67"/>
      <c r="N29" s="60"/>
      <c r="O29" s="1141">
        <f t="shared" si="1"/>
        <v>0</v>
      </c>
      <c r="Q29" s="68"/>
      <c r="R29" s="68"/>
    </row>
    <row r="30" spans="1:18" ht="12.75" x14ac:dyDescent="0.2">
      <c r="A30" s="131">
        <f t="shared" si="2"/>
        <v>13</v>
      </c>
      <c r="B30" s="60"/>
      <c r="C30" s="136">
        <v>382</v>
      </c>
      <c r="D30" s="60"/>
      <c r="E30" s="62" t="s">
        <v>726</v>
      </c>
      <c r="F30" s="60"/>
      <c r="G30" s="1670">
        <v>-4273</v>
      </c>
      <c r="H30" s="60"/>
      <c r="I30" s="67">
        <f t="shared" si="0"/>
        <v>0</v>
      </c>
      <c r="J30" s="60"/>
      <c r="K30" s="1670">
        <v>-4273</v>
      </c>
      <c r="L30" s="60"/>
      <c r="M30" s="60"/>
      <c r="N30" s="60"/>
      <c r="O30" s="1141">
        <f t="shared" si="1"/>
        <v>-4273</v>
      </c>
      <c r="Q30" s="68"/>
      <c r="R30" s="68"/>
    </row>
    <row r="31" spans="1:18" ht="12.75" x14ac:dyDescent="0.2">
      <c r="A31" s="131">
        <f t="shared" si="2"/>
        <v>14</v>
      </c>
      <c r="B31" s="60"/>
      <c r="C31" s="136">
        <v>383</v>
      </c>
      <c r="D31" s="60"/>
      <c r="E31" s="62" t="s">
        <v>727</v>
      </c>
      <c r="F31" s="60"/>
      <c r="G31" s="1670">
        <v>9863</v>
      </c>
      <c r="H31" s="60"/>
      <c r="I31" s="67">
        <f t="shared" si="0"/>
        <v>0</v>
      </c>
      <c r="J31" s="60"/>
      <c r="K31" s="1670">
        <v>9863</v>
      </c>
      <c r="L31" s="60"/>
      <c r="M31" s="60"/>
      <c r="N31" s="60"/>
      <c r="O31" s="1141">
        <f t="shared" si="1"/>
        <v>9863</v>
      </c>
      <c r="Q31" s="68"/>
      <c r="R31" s="68"/>
    </row>
    <row r="32" spans="1:18" ht="12.75" x14ac:dyDescent="0.2">
      <c r="A32" s="131">
        <f t="shared" si="2"/>
        <v>15</v>
      </c>
      <c r="B32" s="60"/>
      <c r="C32" s="136">
        <v>385</v>
      </c>
      <c r="D32" s="60"/>
      <c r="E32" s="62" t="s">
        <v>972</v>
      </c>
      <c r="F32" s="60"/>
      <c r="G32" s="1670">
        <v>72769</v>
      </c>
      <c r="H32" s="60"/>
      <c r="I32" s="67">
        <f t="shared" si="0"/>
        <v>12401</v>
      </c>
      <c r="J32" s="60"/>
      <c r="K32" s="1670">
        <v>60368</v>
      </c>
      <c r="L32" s="60"/>
      <c r="M32" s="60"/>
      <c r="N32" s="60"/>
      <c r="O32" s="1141">
        <f t="shared" si="1"/>
        <v>60368</v>
      </c>
      <c r="Q32" s="68"/>
      <c r="R32" s="68"/>
    </row>
    <row r="33" spans="1:18" ht="12.75" x14ac:dyDescent="0.2">
      <c r="A33" s="131">
        <f t="shared" si="2"/>
        <v>16</v>
      </c>
      <c r="B33" s="60"/>
      <c r="C33" s="136">
        <v>387.45</v>
      </c>
      <c r="D33" s="60"/>
      <c r="E33" s="62" t="s">
        <v>973</v>
      </c>
      <c r="F33" s="60"/>
      <c r="G33" s="1671">
        <v>353950</v>
      </c>
      <c r="H33" s="60"/>
      <c r="I33" s="137">
        <f t="shared" si="0"/>
        <v>349824</v>
      </c>
      <c r="J33" s="60"/>
      <c r="K33" s="1671">
        <v>4126</v>
      </c>
      <c r="L33" s="60"/>
      <c r="M33" s="68"/>
      <c r="N33" s="60"/>
      <c r="O33" s="1142">
        <f t="shared" si="1"/>
        <v>4126</v>
      </c>
      <c r="Q33" s="68"/>
      <c r="R33" s="68"/>
    </row>
    <row r="34" spans="1:18" ht="12.75" x14ac:dyDescent="0.2">
      <c r="A34" s="131">
        <f t="shared" si="2"/>
        <v>17</v>
      </c>
      <c r="B34" s="60"/>
      <c r="C34" s="136"/>
      <c r="D34" s="60"/>
      <c r="E34" s="62" t="s">
        <v>859</v>
      </c>
      <c r="F34" s="60"/>
      <c r="G34" s="66">
        <f>SUM(G21:G33)</f>
        <v>6813787.3300000001</v>
      </c>
      <c r="H34" s="60"/>
      <c r="I34" s="66">
        <f>SUM(I21:I33)</f>
        <v>2584844.33</v>
      </c>
      <c r="J34" s="60"/>
      <c r="K34" s="66">
        <f>SUM(K21:K33)</f>
        <v>4228943</v>
      </c>
      <c r="L34" s="60"/>
      <c r="M34" s="60"/>
      <c r="N34" s="60"/>
      <c r="O34" s="66">
        <f>SUM(O21:O33)</f>
        <v>4228943</v>
      </c>
      <c r="Q34" s="68"/>
      <c r="R34" s="68"/>
    </row>
    <row r="35" spans="1:18" ht="12.75" x14ac:dyDescent="0.2">
      <c r="A35" s="135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Q35" s="68"/>
      <c r="R35" s="68"/>
    </row>
    <row r="36" spans="1:18" ht="12.75" x14ac:dyDescent="0.2">
      <c r="A36" s="131">
        <f>A34+1</f>
        <v>18</v>
      </c>
      <c r="B36" s="60"/>
      <c r="C36" s="140">
        <v>391.1</v>
      </c>
      <c r="D36" s="60"/>
      <c r="E36" s="62" t="s">
        <v>974</v>
      </c>
      <c r="F36" s="60"/>
      <c r="G36" s="1670">
        <v>0</v>
      </c>
      <c r="H36" s="60"/>
      <c r="I36" s="138">
        <f>G36-K36</f>
        <v>0</v>
      </c>
      <c r="J36" s="60"/>
      <c r="K36" s="139">
        <v>0</v>
      </c>
      <c r="L36" s="60"/>
      <c r="M36" s="60"/>
      <c r="N36" s="60"/>
      <c r="O36" s="1141">
        <f>K36</f>
        <v>0</v>
      </c>
      <c r="Q36" s="68"/>
      <c r="R36" s="68"/>
    </row>
    <row r="37" spans="1:18" ht="12.75" x14ac:dyDescent="0.2">
      <c r="A37" s="1675">
        <f>A36+1</f>
        <v>19</v>
      </c>
      <c r="B37" s="1676"/>
      <c r="C37" s="1677">
        <v>391.12</v>
      </c>
      <c r="D37" s="1676"/>
      <c r="E37" s="1678" t="s">
        <v>2158</v>
      </c>
      <c r="F37" s="1676"/>
      <c r="G37" s="1670">
        <v>44690</v>
      </c>
      <c r="H37" s="1676"/>
      <c r="I37" s="138">
        <f>G37-K37</f>
        <v>44690</v>
      </c>
      <c r="J37" s="1676"/>
      <c r="K37" s="139">
        <v>0</v>
      </c>
      <c r="L37" s="1676"/>
      <c r="M37" s="1676"/>
      <c r="N37" s="1676"/>
      <c r="O37" s="1679">
        <f>K37</f>
        <v>0</v>
      </c>
      <c r="Q37" s="68"/>
      <c r="R37" s="1672"/>
    </row>
    <row r="38" spans="1:18" ht="12.75" x14ac:dyDescent="0.2">
      <c r="A38" s="1675">
        <f>A37+1</f>
        <v>20</v>
      </c>
      <c r="B38" s="1676"/>
      <c r="C38" s="1677">
        <v>394.3</v>
      </c>
      <c r="D38" s="1676"/>
      <c r="E38" s="1678" t="s">
        <v>2157</v>
      </c>
      <c r="F38" s="1676"/>
      <c r="G38" s="2045">
        <v>20259</v>
      </c>
      <c r="H38" s="2049"/>
      <c r="I38" s="2046">
        <f>G38-K38</f>
        <v>20259</v>
      </c>
      <c r="J38" s="2049"/>
      <c r="K38" s="2047">
        <v>0</v>
      </c>
      <c r="L38" s="2049"/>
      <c r="M38" s="2049"/>
      <c r="N38" s="2049"/>
      <c r="O38" s="2048">
        <f>K38</f>
        <v>0</v>
      </c>
      <c r="Q38" s="68"/>
      <c r="R38" s="1672"/>
    </row>
    <row r="39" spans="1:18" ht="12.75" x14ac:dyDescent="0.2">
      <c r="A39" s="1675">
        <f t="shared" ref="A39:A40" si="3">A38+1</f>
        <v>21</v>
      </c>
      <c r="B39" s="1676"/>
      <c r="C39" s="1677">
        <v>398</v>
      </c>
      <c r="D39" s="1676"/>
      <c r="E39" s="1678" t="s">
        <v>750</v>
      </c>
      <c r="F39" s="1676"/>
      <c r="G39" s="1671">
        <v>1065</v>
      </c>
      <c r="H39" s="1676"/>
      <c r="I39" s="137">
        <f t="shared" ref="I39" si="4">G39-K39</f>
        <v>1065</v>
      </c>
      <c r="J39" s="1676"/>
      <c r="K39" s="1680">
        <v>0</v>
      </c>
      <c r="L39" s="1676"/>
      <c r="M39" s="1676"/>
      <c r="N39" s="1676"/>
      <c r="O39" s="1142">
        <f t="shared" ref="O39" si="5">K39</f>
        <v>0</v>
      </c>
      <c r="Q39" s="68"/>
      <c r="R39" s="1672"/>
    </row>
    <row r="40" spans="1:18" ht="12.75" x14ac:dyDescent="0.2">
      <c r="A40" s="1675">
        <f t="shared" si="3"/>
        <v>22</v>
      </c>
      <c r="B40" s="60"/>
      <c r="C40" s="140"/>
      <c r="D40" s="60"/>
      <c r="E40" s="62" t="s">
        <v>859</v>
      </c>
      <c r="F40" s="60"/>
      <c r="G40" s="66">
        <f>SUM(G36:G39)</f>
        <v>66014</v>
      </c>
      <c r="H40" s="60"/>
      <c r="I40" s="66">
        <f>SUM(I36:I38)</f>
        <v>64949</v>
      </c>
      <c r="J40" s="60"/>
      <c r="K40" s="66">
        <f>SUM(K36:K39)</f>
        <v>0</v>
      </c>
      <c r="L40" s="60"/>
      <c r="M40" s="60"/>
      <c r="N40" s="60"/>
      <c r="O40" s="66">
        <f>SUM(O36:O38)</f>
        <v>0</v>
      </c>
      <c r="Q40" s="68"/>
      <c r="R40" s="68"/>
    </row>
    <row r="41" spans="1:18" ht="12.75" x14ac:dyDescent="0.2">
      <c r="A41" s="135"/>
      <c r="B41" s="60"/>
      <c r="C41" s="62" t="s">
        <v>680</v>
      </c>
      <c r="D41" s="60"/>
      <c r="E41" s="60"/>
      <c r="F41" s="60"/>
      <c r="G41" s="60"/>
      <c r="H41" s="60"/>
      <c r="I41" s="67"/>
      <c r="J41" s="60"/>
      <c r="K41" s="67"/>
      <c r="L41" s="60"/>
      <c r="M41" s="67"/>
      <c r="N41" s="60"/>
      <c r="O41" s="60"/>
      <c r="Q41" s="68"/>
      <c r="R41" s="68"/>
    </row>
    <row r="42" spans="1:18" ht="13.5" thickBot="1" x14ac:dyDescent="0.25">
      <c r="A42" s="131">
        <f>A40+1</f>
        <v>23</v>
      </c>
      <c r="B42" s="60"/>
      <c r="C42" s="62" t="s">
        <v>670</v>
      </c>
      <c r="D42" s="60"/>
      <c r="E42" s="60"/>
      <c r="F42" s="60"/>
      <c r="G42" s="141">
        <f>G19+G34+G40</f>
        <v>7755992.3300000001</v>
      </c>
      <c r="H42" s="60"/>
      <c r="I42" s="141">
        <f>I19+I34+I40</f>
        <v>3525984.33</v>
      </c>
      <c r="J42" s="60"/>
      <c r="K42" s="141">
        <f>K19+K34+K40</f>
        <v>4228943</v>
      </c>
      <c r="L42" s="60"/>
      <c r="M42" s="67"/>
      <c r="N42" s="60"/>
      <c r="O42" s="141">
        <f>O19+O34+O40</f>
        <v>4228943</v>
      </c>
      <c r="Q42" s="68"/>
      <c r="R42" s="68"/>
    </row>
    <row r="43" spans="1:18" ht="13.5" thickTop="1" x14ac:dyDescent="0.2">
      <c r="A43" s="142"/>
      <c r="B43" s="14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Q43" s="144"/>
      <c r="R43" s="144"/>
    </row>
    <row r="44" spans="1:18" ht="12.75" x14ac:dyDescent="0.2">
      <c r="A44" s="142"/>
      <c r="B44" s="14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4"/>
      <c r="R44" s="144"/>
    </row>
    <row r="45" spans="1:18" ht="12.75" x14ac:dyDescent="0.2">
      <c r="A45" s="143"/>
      <c r="B45" s="14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4"/>
      <c r="R45" s="144"/>
    </row>
    <row r="46" spans="1:18" ht="12.75" x14ac:dyDescent="0.2">
      <c r="A46" s="143"/>
      <c r="B46" s="14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4"/>
      <c r="R46" s="144"/>
    </row>
    <row r="47" spans="1:18" ht="12.75" x14ac:dyDescent="0.2">
      <c r="A47" s="143"/>
      <c r="B47" s="14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4"/>
      <c r="R47" s="144"/>
    </row>
    <row r="48" spans="1:18" ht="12.75" x14ac:dyDescent="0.2">
      <c r="A48" s="143"/>
      <c r="B48" s="14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4"/>
      <c r="R48" s="144"/>
    </row>
    <row r="49" spans="1:18" ht="12.75" x14ac:dyDescent="0.2">
      <c r="A49" s="143"/>
      <c r="B49" s="14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4"/>
      <c r="R49" s="144"/>
    </row>
    <row r="50" spans="1:18" ht="12.75" x14ac:dyDescent="0.2">
      <c r="A50" s="143"/>
      <c r="B50" s="14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4"/>
      <c r="R50" s="144"/>
    </row>
    <row r="51" spans="1:18" ht="12.75" x14ac:dyDescent="0.2">
      <c r="A51" s="143"/>
      <c r="B51" s="14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4"/>
      <c r="R51" s="144"/>
    </row>
    <row r="52" spans="1:18" ht="12.75" x14ac:dyDescent="0.2">
      <c r="A52" s="143"/>
      <c r="B52" s="14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4"/>
      <c r="R52" s="144"/>
    </row>
    <row r="53" spans="1:18" ht="12.75" x14ac:dyDescent="0.2">
      <c r="A53" s="143"/>
      <c r="B53" s="14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4"/>
      <c r="R53" s="144"/>
    </row>
    <row r="54" spans="1:18" ht="12.75" x14ac:dyDescent="0.2">
      <c r="A54" s="143"/>
      <c r="B54" s="14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4"/>
      <c r="R54" s="144"/>
    </row>
    <row r="55" spans="1:18" ht="12.75" x14ac:dyDescent="0.2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4"/>
      <c r="R55" s="144"/>
    </row>
    <row r="56" spans="1:18" ht="12.75" x14ac:dyDescent="0.2">
      <c r="A56" s="143"/>
      <c r="B56" s="14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4"/>
      <c r="R56" s="144"/>
    </row>
    <row r="57" spans="1:18" ht="12.75" x14ac:dyDescent="0.2">
      <c r="A57" s="143"/>
      <c r="B57" s="14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5"/>
      <c r="R57" s="145"/>
    </row>
    <row r="58" spans="1:18" ht="12.75" x14ac:dyDescent="0.2">
      <c r="A58" s="143"/>
      <c r="B58" s="14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5"/>
      <c r="R58" s="145"/>
    </row>
    <row r="59" spans="1:18" ht="12.75" x14ac:dyDescent="0.2">
      <c r="A59" s="143"/>
      <c r="B59" s="143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5"/>
      <c r="R59" s="145"/>
    </row>
    <row r="60" spans="1:18" ht="12.75" x14ac:dyDescent="0.2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146"/>
      <c r="R60" s="146"/>
    </row>
    <row r="61" spans="1:18" ht="12.75" x14ac:dyDescent="0.2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146"/>
      <c r="R61" s="146"/>
    </row>
    <row r="62" spans="1:18" ht="12.75" x14ac:dyDescent="0.2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146"/>
      <c r="R62" s="146"/>
    </row>
    <row r="63" spans="1:18" ht="12.75" x14ac:dyDescent="0.2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146"/>
      <c r="R63" s="146"/>
    </row>
    <row r="64" spans="1:18" ht="12.75" x14ac:dyDescent="0.2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146"/>
      <c r="R64" s="146"/>
    </row>
    <row r="65" spans="1:18" ht="12.75" x14ac:dyDescent="0.2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146"/>
      <c r="R65" s="146"/>
    </row>
    <row r="66" spans="1:18" ht="12.75" x14ac:dyDescent="0.2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146"/>
      <c r="R66" s="146"/>
    </row>
    <row r="67" spans="1:18" ht="12.75" x14ac:dyDescent="0.2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146"/>
      <c r="R67" s="146"/>
    </row>
    <row r="68" spans="1:18" ht="12.75" x14ac:dyDescent="0.2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146"/>
      <c r="R68" s="146"/>
    </row>
    <row r="69" spans="1:18" ht="12.75" x14ac:dyDescent="0.2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146"/>
      <c r="R69" s="146"/>
    </row>
    <row r="70" spans="1:18" ht="12.75" x14ac:dyDescent="0.2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146"/>
      <c r="R70" s="146"/>
    </row>
    <row r="71" spans="1:18" ht="12.75" x14ac:dyDescent="0.2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146"/>
      <c r="R71" s="146"/>
    </row>
    <row r="72" spans="1:18" ht="12.75" x14ac:dyDescent="0.2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146"/>
      <c r="R72" s="146"/>
    </row>
    <row r="73" spans="1:18" ht="12.75" x14ac:dyDescent="0.2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146"/>
      <c r="R73" s="146"/>
    </row>
    <row r="74" spans="1:18" ht="12.75" x14ac:dyDescent="0.2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146"/>
      <c r="R74" s="146"/>
    </row>
    <row r="75" spans="1:18" ht="12.75" x14ac:dyDescent="0.2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146"/>
      <c r="R75" s="146"/>
    </row>
    <row r="76" spans="1:18" ht="12.75" x14ac:dyDescent="0.2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146"/>
      <c r="R76" s="146"/>
    </row>
    <row r="77" spans="1:18" ht="12.75" x14ac:dyDescent="0.2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146"/>
      <c r="R77" s="146"/>
    </row>
    <row r="78" spans="1:18" ht="12.75" x14ac:dyDescent="0.2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146"/>
      <c r="R78" s="146"/>
    </row>
    <row r="79" spans="1:18" ht="12.75" x14ac:dyDescent="0.2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146"/>
      <c r="R79" s="146"/>
    </row>
    <row r="80" spans="1:18" ht="12.75" x14ac:dyDescent="0.2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146"/>
      <c r="R80" s="146"/>
    </row>
    <row r="81" spans="1:18" ht="12.75" x14ac:dyDescent="0.2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146"/>
      <c r="R81" s="146"/>
    </row>
    <row r="82" spans="1:18" ht="12.75" x14ac:dyDescent="0.2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146"/>
      <c r="R82" s="146"/>
    </row>
    <row r="83" spans="1:18" ht="12.75" x14ac:dyDescent="0.2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146"/>
      <c r="R83" s="146"/>
    </row>
    <row r="84" spans="1:18" ht="12.75" x14ac:dyDescent="0.2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146"/>
      <c r="R84" s="146"/>
    </row>
    <row r="85" spans="1:18" ht="12.75" x14ac:dyDescent="0.2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146"/>
      <c r="R85" s="146"/>
    </row>
    <row r="86" spans="1:18" ht="12.75" x14ac:dyDescent="0.2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146"/>
      <c r="R86" s="146"/>
    </row>
    <row r="87" spans="1:18" ht="12.75" x14ac:dyDescent="0.2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146"/>
      <c r="R87" s="146"/>
    </row>
    <row r="88" spans="1:18" ht="12.75" x14ac:dyDescent="0.2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146"/>
      <c r="R88" s="146"/>
    </row>
    <row r="89" spans="1:18" ht="12.75" x14ac:dyDescent="0.2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146"/>
      <c r="R89" s="146"/>
    </row>
    <row r="90" spans="1:18" ht="12.75" x14ac:dyDescent="0.2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146"/>
      <c r="R90" s="146"/>
    </row>
    <row r="91" spans="1:18" ht="12.75" x14ac:dyDescent="0.2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146"/>
      <c r="R91" s="146"/>
    </row>
    <row r="92" spans="1:18" ht="12.75" x14ac:dyDescent="0.2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146"/>
      <c r="R92" s="146"/>
    </row>
    <row r="93" spans="1:18" ht="12.75" x14ac:dyDescent="0.2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146"/>
      <c r="R93" s="146"/>
    </row>
    <row r="94" spans="1:18" ht="12.75" x14ac:dyDescent="0.2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146"/>
      <c r="R94" s="146"/>
    </row>
    <row r="95" spans="1:18" ht="12.75" x14ac:dyDescent="0.2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146"/>
      <c r="R95" s="146"/>
    </row>
    <row r="96" spans="1:18" ht="12.75" x14ac:dyDescent="0.2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146"/>
      <c r="R96" s="146"/>
    </row>
    <row r="97" spans="1:18" ht="12.75" x14ac:dyDescent="0.2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146"/>
      <c r="R97" s="146"/>
    </row>
    <row r="98" spans="1:18" ht="12.75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146"/>
      <c r="R98" s="146"/>
    </row>
    <row r="99" spans="1:18" ht="12.75" x14ac:dyDescent="0.2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146"/>
      <c r="R99" s="146"/>
    </row>
    <row r="100" spans="1:18" ht="12.75" x14ac:dyDescent="0.2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146"/>
      <c r="R100" s="146"/>
    </row>
    <row r="101" spans="1:18" ht="12.75" x14ac:dyDescent="0.2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146"/>
      <c r="R101" s="146"/>
    </row>
    <row r="102" spans="1:18" ht="12.75" x14ac:dyDescent="0.2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146"/>
      <c r="R102" s="146"/>
    </row>
    <row r="103" spans="1:18" ht="12.75" x14ac:dyDescent="0.2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146"/>
      <c r="R103" s="146"/>
    </row>
    <row r="104" spans="1:18" ht="12.75" x14ac:dyDescent="0.2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146"/>
      <c r="R104" s="146"/>
    </row>
    <row r="105" spans="1:18" ht="12.75" x14ac:dyDescent="0.2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146"/>
      <c r="R105" s="146"/>
    </row>
    <row r="106" spans="1:18" ht="12.75" x14ac:dyDescent="0.2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146"/>
      <c r="R106" s="146"/>
    </row>
    <row r="107" spans="1:18" ht="12.75" x14ac:dyDescent="0.2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146"/>
      <c r="R107" s="146"/>
    </row>
    <row r="108" spans="1:18" ht="12.75" x14ac:dyDescent="0.2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146"/>
      <c r="R108" s="146"/>
    </row>
    <row r="109" spans="1:18" ht="12.75" x14ac:dyDescent="0.2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146"/>
      <c r="R109" s="146"/>
    </row>
    <row r="110" spans="1:18" ht="12.75" x14ac:dyDescent="0.2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146"/>
      <c r="R110" s="146"/>
    </row>
    <row r="111" spans="1:18" ht="12.75" x14ac:dyDescent="0.2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146"/>
      <c r="R111" s="146"/>
    </row>
    <row r="112" spans="1:18" ht="12.75" x14ac:dyDescent="0.2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146"/>
      <c r="R112" s="146"/>
    </row>
    <row r="113" spans="1:18" ht="12.75" x14ac:dyDescent="0.2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146"/>
      <c r="R113" s="146"/>
    </row>
    <row r="114" spans="1:18" ht="12.75" x14ac:dyDescent="0.2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146"/>
      <c r="R114" s="146"/>
    </row>
    <row r="115" spans="1:18" ht="12.75" x14ac:dyDescent="0.2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146"/>
      <c r="R115" s="146"/>
    </row>
    <row r="116" spans="1:18" ht="12.75" x14ac:dyDescent="0.2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146"/>
      <c r="R116" s="146"/>
    </row>
    <row r="117" spans="1:18" ht="12.75" x14ac:dyDescent="0.2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146"/>
      <c r="R117" s="146"/>
    </row>
    <row r="118" spans="1:18" ht="12.75" x14ac:dyDescent="0.2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146"/>
      <c r="R118" s="146"/>
    </row>
    <row r="119" spans="1:18" ht="12.75" x14ac:dyDescent="0.2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</row>
    <row r="120" spans="1:18" ht="12.75" x14ac:dyDescent="0.2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</row>
    <row r="121" spans="1:18" ht="12.75" x14ac:dyDescent="0.2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</row>
    <row r="122" spans="1:18" ht="12.75" x14ac:dyDescent="0.2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</row>
    <row r="123" spans="1:18" ht="12.75" x14ac:dyDescent="0.2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</row>
    <row r="124" spans="1:18" ht="12.75" x14ac:dyDescent="0.2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</row>
    <row r="125" spans="1:18" ht="12.75" x14ac:dyDescent="0.2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</row>
    <row r="126" spans="1:18" ht="12.75" x14ac:dyDescent="0.2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</row>
    <row r="127" spans="1:18" ht="12.75" x14ac:dyDescent="0.2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</row>
    <row r="128" spans="1:18" ht="12.75" x14ac:dyDescent="0.2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</row>
  </sheetData>
  <mergeCells count="4">
    <mergeCell ref="A1:P1"/>
    <mergeCell ref="A2:P2"/>
    <mergeCell ref="A3:P3"/>
    <mergeCell ref="A4:P4"/>
  </mergeCells>
  <phoneticPr fontId="9" type="noConversion"/>
  <pageMargins left="1" right="0.5" top="1" bottom="0.75" header="0.3" footer="0.3"/>
  <pageSetup scale="68" fitToHeight="0" orientation="portrait" r:id="rId1"/>
  <headerFooter>
    <oddHeader>&amp;R&amp;"Arial,Regular"&amp;10KY PSC Case No. 2016-00162, Attachment A to Staff 3-4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25">
    <pageSetUpPr fitToPage="1"/>
  </sheetPr>
  <dimension ref="A1:M31"/>
  <sheetViews>
    <sheetView view="pageBreakPreview" zoomScale="60" zoomScaleNormal="100" workbookViewId="0">
      <selection activeCell="F46" sqref="F46"/>
    </sheetView>
  </sheetViews>
  <sheetFormatPr defaultColWidth="9.83203125" defaultRowHeight="10.5" x14ac:dyDescent="0.15"/>
  <cols>
    <col min="1" max="1" width="6" customWidth="1"/>
    <col min="2" max="2" width="2.5" customWidth="1"/>
    <col min="3" max="3" width="47.1640625" customWidth="1"/>
    <col min="4" max="4" width="3.1640625" customWidth="1"/>
    <col min="5" max="5" width="41" bestFit="1" customWidth="1"/>
    <col min="6" max="6" width="3.83203125" customWidth="1"/>
    <col min="7" max="7" width="17.83203125" customWidth="1"/>
    <col min="8" max="8" width="2.6640625" customWidth="1"/>
    <col min="9" max="9" width="16.83203125" customWidth="1"/>
    <col min="10" max="10" width="18.83203125" customWidth="1"/>
    <col min="11" max="11" width="2" customWidth="1"/>
    <col min="12" max="12" width="18.33203125" customWidth="1"/>
    <col min="13" max="13" width="13.83203125" customWidth="1"/>
  </cols>
  <sheetData>
    <row r="1" spans="1:13" ht="12.75" x14ac:dyDescent="0.2">
      <c r="A1" s="2063" t="str">
        <f>co</f>
        <v>COLUMBIA GAS OF KENTUCKY, INC.</v>
      </c>
      <c r="B1" s="2063"/>
      <c r="C1" s="2063"/>
      <c r="D1" s="2063"/>
      <c r="E1" s="2063"/>
      <c r="F1" s="2063"/>
      <c r="G1" s="2063"/>
      <c r="H1" s="2063"/>
      <c r="I1" s="2063"/>
      <c r="J1" s="2063"/>
      <c r="K1" s="2063"/>
      <c r="L1" s="2063"/>
      <c r="M1" s="2"/>
    </row>
    <row r="2" spans="1:13" ht="12.75" x14ac:dyDescent="0.2">
      <c r="A2" s="2063" t="str">
        <f>case</f>
        <v>CASE NO. 2016 - 00162</v>
      </c>
      <c r="B2" s="2063"/>
      <c r="C2" s="2063"/>
      <c r="D2" s="2063"/>
      <c r="E2" s="2063"/>
      <c r="F2" s="2063"/>
      <c r="G2" s="2063"/>
      <c r="H2" s="2063"/>
      <c r="I2" s="2063"/>
      <c r="J2" s="2063"/>
      <c r="K2" s="2063"/>
      <c r="L2" s="2063"/>
      <c r="M2" s="2"/>
    </row>
    <row r="3" spans="1:13" ht="12.75" x14ac:dyDescent="0.2">
      <c r="A3" s="2060" t="s">
        <v>889</v>
      </c>
      <c r="B3" s="2060"/>
      <c r="C3" s="2060"/>
      <c r="D3" s="2060"/>
      <c r="E3" s="2060"/>
      <c r="F3" s="2060"/>
      <c r="G3" s="2060"/>
      <c r="H3" s="2060"/>
      <c r="I3" s="2060"/>
      <c r="J3" s="2060"/>
      <c r="K3" s="2060"/>
      <c r="L3" s="2060"/>
      <c r="M3" s="2"/>
    </row>
    <row r="4" spans="1:13" ht="12.75" x14ac:dyDescent="0.2">
      <c r="A4" s="2088" t="str">
        <f>dateb</f>
        <v>AS OF AUGUST 31, 2016</v>
      </c>
      <c r="B4" s="2088"/>
      <c r="C4" s="2088"/>
      <c r="D4" s="2088"/>
      <c r="E4" s="2088"/>
      <c r="F4" s="2088"/>
      <c r="G4" s="2088"/>
      <c r="H4" s="2088"/>
      <c r="I4" s="2088"/>
      <c r="J4" s="2088"/>
      <c r="K4" s="2088"/>
      <c r="L4" s="2088"/>
      <c r="M4" s="2"/>
    </row>
    <row r="5" spans="1:13" ht="12.75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2"/>
    </row>
    <row r="6" spans="1:13" ht="12.75" x14ac:dyDescent="0.2">
      <c r="A6" s="4" t="s">
        <v>976</v>
      </c>
      <c r="B6" s="3"/>
      <c r="C6" s="3"/>
      <c r="D6" s="3"/>
      <c r="E6" s="3"/>
      <c r="F6" s="3"/>
      <c r="G6" s="3"/>
      <c r="H6" s="3"/>
      <c r="I6" s="3"/>
      <c r="J6" s="2"/>
      <c r="K6" s="3"/>
      <c r="L6" s="5" t="s">
        <v>890</v>
      </c>
      <c r="M6" s="2"/>
    </row>
    <row r="7" spans="1:13" ht="12.75" x14ac:dyDescent="0.2">
      <c r="A7" s="83" t="s">
        <v>977</v>
      </c>
      <c r="B7" s="82"/>
      <c r="C7" s="82"/>
      <c r="D7" s="82"/>
      <c r="E7" s="82"/>
      <c r="F7" s="82"/>
      <c r="G7" s="82"/>
      <c r="H7" s="82"/>
      <c r="I7" s="82"/>
      <c r="J7" s="226"/>
      <c r="K7" s="82"/>
      <c r="L7" s="228" t="s">
        <v>628</v>
      </c>
      <c r="M7" s="2"/>
    </row>
    <row r="8" spans="1:13" ht="12.75" x14ac:dyDescent="0.2">
      <c r="A8" s="83" t="s">
        <v>978</v>
      </c>
      <c r="B8" s="82"/>
      <c r="C8" s="82"/>
      <c r="D8" s="82"/>
      <c r="E8" s="82"/>
      <c r="F8" s="82"/>
      <c r="G8" s="82"/>
      <c r="H8" s="82"/>
      <c r="I8" s="82"/>
      <c r="J8" s="226"/>
      <c r="K8" s="82"/>
      <c r="L8" s="227" t="str">
        <f>SMK</f>
        <v>WITNESS:  S. M. KATKO</v>
      </c>
      <c r="M8" s="2"/>
    </row>
    <row r="9" spans="1:13" ht="12.75" x14ac:dyDescent="0.2">
      <c r="A9" s="83"/>
      <c r="B9" s="82"/>
      <c r="C9" s="82"/>
      <c r="D9" s="82"/>
      <c r="E9" s="82"/>
      <c r="F9" s="82"/>
      <c r="G9" s="82"/>
      <c r="H9" s="82"/>
      <c r="I9" s="82"/>
      <c r="J9" s="226"/>
      <c r="K9" s="82"/>
      <c r="L9" s="227"/>
      <c r="M9" s="2"/>
    </row>
    <row r="10" spans="1:13" ht="12.75" x14ac:dyDescent="0.2">
      <c r="A10" s="229"/>
      <c r="B10" s="229"/>
      <c r="C10" s="229"/>
      <c r="D10" s="229"/>
      <c r="E10" s="230" t="s">
        <v>891</v>
      </c>
      <c r="F10" s="229"/>
      <c r="G10" s="229"/>
      <c r="H10" s="229"/>
      <c r="I10" s="229"/>
      <c r="J10" s="229"/>
      <c r="K10" s="229"/>
      <c r="L10" s="229"/>
      <c r="M10" s="2"/>
    </row>
    <row r="11" spans="1:13" ht="12.75" x14ac:dyDescent="0.2">
      <c r="A11" s="231" t="s">
        <v>632</v>
      </c>
      <c r="B11" s="82"/>
      <c r="C11" s="83" t="s">
        <v>892</v>
      </c>
      <c r="D11" s="82"/>
      <c r="E11" s="231" t="s">
        <v>893</v>
      </c>
      <c r="F11" s="82"/>
      <c r="G11" s="231" t="s">
        <v>757</v>
      </c>
      <c r="H11" s="82"/>
      <c r="I11" s="231" t="s">
        <v>670</v>
      </c>
      <c r="J11" s="231" t="s">
        <v>671</v>
      </c>
      <c r="K11" s="82"/>
      <c r="L11" s="231" t="s">
        <v>671</v>
      </c>
      <c r="M11" s="2"/>
    </row>
    <row r="12" spans="1:13" ht="12.75" x14ac:dyDescent="0.2">
      <c r="A12" s="9" t="s">
        <v>635</v>
      </c>
      <c r="B12" s="7"/>
      <c r="C12" s="6" t="s">
        <v>894</v>
      </c>
      <c r="D12" s="7"/>
      <c r="E12" s="9" t="s">
        <v>895</v>
      </c>
      <c r="F12" s="7"/>
      <c r="G12" s="9" t="s">
        <v>761</v>
      </c>
      <c r="H12" s="7"/>
      <c r="I12" s="9" t="s">
        <v>675</v>
      </c>
      <c r="J12" s="9" t="s">
        <v>676</v>
      </c>
      <c r="K12" s="7"/>
      <c r="L12" s="9" t="s">
        <v>771</v>
      </c>
      <c r="M12" s="2"/>
    </row>
    <row r="13" spans="1:13" ht="12.75" x14ac:dyDescent="0.2">
      <c r="A13" s="3"/>
      <c r="B13" s="3"/>
      <c r="C13" s="3"/>
      <c r="D13" s="3"/>
      <c r="E13" s="3"/>
      <c r="F13" s="3"/>
      <c r="G13" s="3"/>
      <c r="H13" s="3"/>
      <c r="I13" s="1" t="s">
        <v>639</v>
      </c>
      <c r="J13" s="3"/>
      <c r="K13" s="3"/>
      <c r="L13" s="1" t="s">
        <v>639</v>
      </c>
      <c r="M13" s="2"/>
    </row>
    <row r="14" spans="1:13" ht="12.75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2"/>
    </row>
    <row r="15" spans="1:13" ht="12.75" x14ac:dyDescent="0.2">
      <c r="A15" s="1">
        <v>1</v>
      </c>
      <c r="B15" s="3"/>
      <c r="C15" s="4" t="s">
        <v>879</v>
      </c>
      <c r="D15" s="3"/>
      <c r="E15" s="4" t="s">
        <v>896</v>
      </c>
      <c r="F15" s="3"/>
      <c r="G15" s="1" t="s">
        <v>659</v>
      </c>
      <c r="H15" s="3"/>
      <c r="I15" s="10">
        <f>'B-5.2 CWC (Base)'!I30</f>
        <v>4883308.7362500001</v>
      </c>
      <c r="J15" s="1" t="s">
        <v>861</v>
      </c>
      <c r="K15" s="3"/>
      <c r="L15" s="11">
        <f>I15</f>
        <v>4883308.7362500001</v>
      </c>
      <c r="M15" s="2"/>
    </row>
    <row r="16" spans="1:13" ht="12.75" x14ac:dyDescent="0.2">
      <c r="A16" s="3"/>
      <c r="B16" s="3"/>
      <c r="C16" s="3"/>
      <c r="D16" s="3"/>
      <c r="E16" s="3"/>
      <c r="F16" s="11"/>
      <c r="G16" s="12"/>
      <c r="H16" s="11"/>
      <c r="I16" s="10"/>
      <c r="J16" s="11"/>
      <c r="K16" s="3"/>
      <c r="L16" s="11"/>
      <c r="M16" s="2"/>
    </row>
    <row r="17" spans="1:13" ht="12.75" x14ac:dyDescent="0.2">
      <c r="A17" s="1">
        <v>2</v>
      </c>
      <c r="B17" s="3"/>
      <c r="C17" s="4" t="s">
        <v>873</v>
      </c>
      <c r="D17" s="3"/>
      <c r="E17" s="4" t="s">
        <v>897</v>
      </c>
      <c r="F17" s="11"/>
      <c r="G17" s="1" t="s">
        <v>662</v>
      </c>
      <c r="H17" s="11"/>
      <c r="I17" s="553">
        <v>0</v>
      </c>
      <c r="J17" s="11"/>
      <c r="K17" s="3"/>
      <c r="L17" s="11">
        <f>I17</f>
        <v>0</v>
      </c>
      <c r="M17" s="2"/>
    </row>
    <row r="18" spans="1:13" ht="12.75" x14ac:dyDescent="0.2">
      <c r="A18" s="3"/>
      <c r="B18" s="3"/>
      <c r="C18" s="3"/>
      <c r="D18" s="3"/>
      <c r="E18" s="3"/>
      <c r="F18" s="11"/>
      <c r="G18" s="3"/>
      <c r="H18" s="3"/>
      <c r="I18" s="10"/>
      <c r="J18" s="11"/>
      <c r="K18" s="3"/>
      <c r="L18" s="11"/>
      <c r="M18" s="2"/>
    </row>
    <row r="19" spans="1:13" ht="12.75" x14ac:dyDescent="0.2">
      <c r="A19" s="1">
        <v>3</v>
      </c>
      <c r="B19" s="3"/>
      <c r="C19" s="4" t="s">
        <v>874</v>
      </c>
      <c r="D19" s="3"/>
      <c r="E19" s="4" t="s">
        <v>897</v>
      </c>
      <c r="F19" s="11"/>
      <c r="G19" s="1" t="s">
        <v>662</v>
      </c>
      <c r="H19" s="11"/>
      <c r="I19" s="10">
        <f>'B-5.1 Working Cap. (Base)'!F17</f>
        <v>82011.399999999994</v>
      </c>
      <c r="J19" s="3"/>
      <c r="K19" s="3"/>
      <c r="L19" s="11">
        <f>I19</f>
        <v>82011.399999999994</v>
      </c>
      <c r="M19" s="2"/>
    </row>
    <row r="20" spans="1:13" ht="12.75" x14ac:dyDescent="0.2">
      <c r="A20" s="3"/>
      <c r="B20" s="3"/>
      <c r="C20" s="3"/>
      <c r="D20" s="3"/>
      <c r="E20" s="3"/>
      <c r="F20" s="11"/>
      <c r="G20" s="12"/>
      <c r="H20" s="11"/>
      <c r="I20" s="10"/>
      <c r="J20" s="11"/>
      <c r="K20" s="3"/>
      <c r="L20" s="11"/>
      <c r="M20" s="2"/>
    </row>
    <row r="21" spans="1:13" ht="12.75" x14ac:dyDescent="0.2">
      <c r="A21" s="1">
        <v>4</v>
      </c>
      <c r="B21" s="3"/>
      <c r="C21" s="4" t="s">
        <v>898</v>
      </c>
      <c r="D21" s="3"/>
      <c r="E21" s="4" t="s">
        <v>897</v>
      </c>
      <c r="F21" s="11"/>
      <c r="G21" s="1" t="s">
        <v>662</v>
      </c>
      <c r="H21" s="11"/>
      <c r="I21" s="10">
        <f>'B-5.1 Working Cap. (Base)'!F19</f>
        <v>43282677.550246164</v>
      </c>
      <c r="J21" s="11"/>
      <c r="K21" s="3"/>
      <c r="L21" s="11">
        <f>I21</f>
        <v>43282677.550246164</v>
      </c>
      <c r="M21" s="2"/>
    </row>
    <row r="22" spans="1:13" ht="12.75" x14ac:dyDescent="0.2">
      <c r="A22" s="3"/>
      <c r="B22" s="3"/>
      <c r="C22" s="3"/>
      <c r="D22" s="3"/>
      <c r="E22" s="3"/>
      <c r="F22" s="11"/>
      <c r="G22" s="12"/>
      <c r="H22" s="11"/>
      <c r="I22" s="10"/>
      <c r="J22" s="11"/>
      <c r="K22" s="3"/>
      <c r="L22" s="11"/>
      <c r="M22" s="2"/>
    </row>
    <row r="23" spans="1:13" ht="12.75" x14ac:dyDescent="0.2">
      <c r="A23" s="1">
        <v>5</v>
      </c>
      <c r="B23" s="3"/>
      <c r="C23" s="4" t="s">
        <v>870</v>
      </c>
      <c r="D23" s="3"/>
      <c r="E23" s="4" t="s">
        <v>897</v>
      </c>
      <c r="F23" s="11"/>
      <c r="G23" s="1" t="s">
        <v>662</v>
      </c>
      <c r="H23" s="11"/>
      <c r="I23" s="1831">
        <f>'B-5.1 Working Cap. (Base)'!F21</f>
        <v>469518.19307692308</v>
      </c>
      <c r="J23" s="11"/>
      <c r="K23" s="3"/>
      <c r="L23" s="13">
        <f>I23</f>
        <v>469518.19307692308</v>
      </c>
      <c r="M23" s="2"/>
    </row>
    <row r="24" spans="1:13" ht="12.75" x14ac:dyDescent="0.2">
      <c r="A24" s="3"/>
      <c r="B24" s="3"/>
      <c r="C24" s="3"/>
      <c r="D24" s="3"/>
      <c r="E24" s="3"/>
      <c r="F24" s="11"/>
      <c r="G24" s="12"/>
      <c r="H24" s="11"/>
      <c r="I24" s="11"/>
      <c r="J24" s="11"/>
      <c r="K24" s="3"/>
      <c r="L24" s="11"/>
      <c r="M24" s="2"/>
    </row>
    <row r="25" spans="1:13" ht="13.5" thickBot="1" x14ac:dyDescent="0.25">
      <c r="A25" s="1">
        <v>6</v>
      </c>
      <c r="B25" s="3"/>
      <c r="C25" s="4" t="s">
        <v>899</v>
      </c>
      <c r="D25" s="3"/>
      <c r="E25" s="3"/>
      <c r="F25" s="11"/>
      <c r="G25" s="3"/>
      <c r="H25" s="11"/>
      <c r="I25" s="14">
        <f>SUM(I15:I23)</f>
        <v>48717515.879573092</v>
      </c>
      <c r="J25" s="11"/>
      <c r="K25" s="3"/>
      <c r="L25" s="14">
        <f>SUM(L15:L23)</f>
        <v>48717515.879573092</v>
      </c>
      <c r="M25" s="2"/>
    </row>
    <row r="26" spans="1:13" ht="13.5" thickTop="1" x14ac:dyDescent="0.2">
      <c r="A26" s="3"/>
      <c r="B26" s="3"/>
      <c r="C26" s="3"/>
      <c r="D26" s="3"/>
      <c r="E26" s="3"/>
      <c r="F26" s="11"/>
      <c r="G26" s="12"/>
      <c r="H26" s="11"/>
      <c r="I26" s="11"/>
      <c r="J26" s="11"/>
      <c r="K26" s="3"/>
      <c r="L26" s="11"/>
      <c r="M26" s="2"/>
    </row>
    <row r="27" spans="1:13" ht="11.25" x14ac:dyDescent="0.2">
      <c r="A27" s="2"/>
      <c r="B27" s="2"/>
      <c r="C27" s="2"/>
      <c r="D27" s="2"/>
      <c r="E27" s="2"/>
      <c r="F27" s="15"/>
      <c r="G27" s="2"/>
      <c r="H27" s="15"/>
      <c r="I27" s="15"/>
      <c r="J27" s="15"/>
      <c r="K27" s="2"/>
      <c r="L27" s="15"/>
      <c r="M27" s="2"/>
    </row>
    <row r="28" spans="1:13" ht="11.25" x14ac:dyDescent="0.2">
      <c r="A28" s="2"/>
      <c r="B28" s="2"/>
      <c r="C28" s="2"/>
      <c r="D28" s="2"/>
      <c r="E28" s="2"/>
      <c r="F28" s="15"/>
      <c r="G28" s="16"/>
      <c r="H28" s="15"/>
      <c r="I28" s="15"/>
      <c r="J28" s="15"/>
      <c r="K28" s="2"/>
      <c r="L28" s="15"/>
      <c r="M28" s="2"/>
    </row>
    <row r="29" spans="1:13" ht="11.25" x14ac:dyDescent="0.2">
      <c r="A29" s="2"/>
      <c r="B29" s="2"/>
      <c r="C29" s="2"/>
      <c r="D29" s="2"/>
      <c r="E29" s="2"/>
      <c r="F29" s="15"/>
      <c r="G29" s="2"/>
      <c r="H29" s="15"/>
      <c r="I29" s="15"/>
      <c r="J29" s="15"/>
      <c r="K29" s="2"/>
      <c r="L29" s="15"/>
      <c r="M29" s="2"/>
    </row>
    <row r="30" spans="1:13" ht="11.25" x14ac:dyDescent="0.2">
      <c r="A30" s="2"/>
      <c r="B30" s="2"/>
      <c r="C30" s="2"/>
      <c r="D30" s="2"/>
      <c r="E30" s="2"/>
      <c r="F30" s="15"/>
      <c r="G30" s="16"/>
      <c r="H30" s="15"/>
      <c r="I30" s="15"/>
      <c r="J30" s="15"/>
      <c r="K30" s="2"/>
      <c r="L30" s="15"/>
      <c r="M30" s="2"/>
    </row>
    <row r="31" spans="1:13" ht="11.25" x14ac:dyDescent="0.2">
      <c r="A31" s="2"/>
      <c r="B31" s="2"/>
      <c r="C31" s="2"/>
      <c r="D31" s="2"/>
      <c r="E31" s="2"/>
      <c r="F31" s="15"/>
      <c r="G31" s="2"/>
      <c r="H31" s="15"/>
      <c r="I31" s="15"/>
      <c r="J31" s="15"/>
      <c r="K31" s="2"/>
      <c r="L31" s="15"/>
      <c r="M31" s="2"/>
    </row>
  </sheetData>
  <mergeCells count="4">
    <mergeCell ref="A1:L1"/>
    <mergeCell ref="A2:L2"/>
    <mergeCell ref="A3:L3"/>
    <mergeCell ref="A4:L4"/>
  </mergeCells>
  <phoneticPr fontId="0" type="noConversion"/>
  <pageMargins left="1" right="0.5" top="1" bottom="0.75" header="0.3" footer="0.3"/>
  <pageSetup scale="63" fitToHeight="0" orientation="portrait" r:id="rId1"/>
  <headerFooter>
    <oddHeader>&amp;R&amp;"Arial,Regular"&amp;10KY PSC Case No. 2016-00162, Attachment A to Staff 3-4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34">
    <pageSetUpPr fitToPage="1"/>
  </sheetPr>
  <dimension ref="A1:M31"/>
  <sheetViews>
    <sheetView view="pageBreakPreview" zoomScale="60" zoomScaleNormal="100" workbookViewId="0">
      <selection activeCell="F46" sqref="F46"/>
    </sheetView>
  </sheetViews>
  <sheetFormatPr defaultColWidth="9.83203125" defaultRowHeight="10.5" x14ac:dyDescent="0.15"/>
  <cols>
    <col min="1" max="1" width="4.83203125" customWidth="1"/>
    <col min="2" max="2" width="2" customWidth="1"/>
    <col min="3" max="3" width="46.1640625" customWidth="1"/>
    <col min="4" max="4" width="2.33203125" customWidth="1"/>
    <col min="5" max="5" width="41" bestFit="1" customWidth="1"/>
    <col min="6" max="6" width="3.1640625" customWidth="1"/>
    <col min="7" max="7" width="19.83203125" customWidth="1"/>
    <col min="8" max="8" width="2.1640625" customWidth="1"/>
    <col min="9" max="9" width="16.83203125" customWidth="1"/>
    <col min="10" max="10" width="18.83203125" customWidth="1"/>
    <col min="11" max="11" width="1.5" customWidth="1"/>
    <col min="12" max="12" width="18.33203125" customWidth="1"/>
    <col min="13" max="13" width="13.83203125" customWidth="1"/>
  </cols>
  <sheetData>
    <row r="1" spans="1:13" ht="12.75" x14ac:dyDescent="0.2">
      <c r="A1" s="2063" t="str">
        <f>co</f>
        <v>COLUMBIA GAS OF KENTUCKY, INC.</v>
      </c>
      <c r="B1" s="2063"/>
      <c r="C1" s="2063"/>
      <c r="D1" s="2063"/>
      <c r="E1" s="2063"/>
      <c r="F1" s="2063"/>
      <c r="G1" s="2063"/>
      <c r="H1" s="2063"/>
      <c r="I1" s="2063"/>
      <c r="J1" s="2063"/>
      <c r="K1" s="2063"/>
      <c r="L1" s="2063"/>
      <c r="M1" s="2"/>
    </row>
    <row r="2" spans="1:13" ht="12.75" x14ac:dyDescent="0.2">
      <c r="A2" s="2063" t="str">
        <f>case</f>
        <v>CASE NO. 2016 - 00162</v>
      </c>
      <c r="B2" s="2063"/>
      <c r="C2" s="2063"/>
      <c r="D2" s="2063"/>
      <c r="E2" s="2063"/>
      <c r="F2" s="2063"/>
      <c r="G2" s="2063"/>
      <c r="H2" s="2063"/>
      <c r="I2" s="2063"/>
      <c r="J2" s="2063"/>
      <c r="K2" s="2063"/>
      <c r="L2" s="2063"/>
      <c r="M2" s="2"/>
    </row>
    <row r="3" spans="1:13" ht="12.75" x14ac:dyDescent="0.2">
      <c r="A3" s="2060" t="s">
        <v>889</v>
      </c>
      <c r="B3" s="2060"/>
      <c r="C3" s="2060"/>
      <c r="D3" s="2060"/>
      <c r="E3" s="2060"/>
      <c r="F3" s="2060"/>
      <c r="G3" s="2060"/>
      <c r="H3" s="2060"/>
      <c r="I3" s="2060"/>
      <c r="J3" s="2060"/>
      <c r="K3" s="2060"/>
      <c r="L3" s="2060"/>
      <c r="M3" s="2"/>
    </row>
    <row r="4" spans="1:13" ht="12.75" x14ac:dyDescent="0.2">
      <c r="A4" s="2088" t="str">
        <f>datef</f>
        <v>AS OF DECEMBER 31, 2017</v>
      </c>
      <c r="B4" s="2088"/>
      <c r="C4" s="2088"/>
      <c r="D4" s="2088"/>
      <c r="E4" s="2088"/>
      <c r="F4" s="2088"/>
      <c r="G4" s="2088"/>
      <c r="H4" s="2088"/>
      <c r="I4" s="2088"/>
      <c r="J4" s="2088"/>
      <c r="K4" s="2088"/>
      <c r="L4" s="2088"/>
      <c r="M4" s="2"/>
    </row>
    <row r="5" spans="1:13" ht="12.75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2"/>
    </row>
    <row r="6" spans="1:13" ht="12.75" x14ac:dyDescent="0.2">
      <c r="A6" s="285" t="s">
        <v>1109</v>
      </c>
      <c r="B6" s="3"/>
      <c r="C6" s="3"/>
      <c r="D6" s="3"/>
      <c r="E6" s="3"/>
      <c r="F6" s="3"/>
      <c r="G6" s="3"/>
      <c r="H6" s="3"/>
      <c r="I6" s="3"/>
      <c r="J6" s="2"/>
      <c r="K6" s="3"/>
      <c r="L6" s="5" t="s">
        <v>890</v>
      </c>
      <c r="M6" s="2"/>
    </row>
    <row r="7" spans="1:13" ht="12.75" x14ac:dyDescent="0.2">
      <c r="A7" s="83" t="s">
        <v>977</v>
      </c>
      <c r="B7" s="82"/>
      <c r="C7" s="82"/>
      <c r="D7" s="82"/>
      <c r="E7" s="82"/>
      <c r="F7" s="82"/>
      <c r="G7" s="82"/>
      <c r="H7" s="82"/>
      <c r="I7" s="82"/>
      <c r="J7" s="226"/>
      <c r="K7" s="82"/>
      <c r="L7" s="227" t="s">
        <v>1111</v>
      </c>
      <c r="M7" s="2"/>
    </row>
    <row r="8" spans="1:13" ht="12.75" x14ac:dyDescent="0.2">
      <c r="A8" s="83" t="s">
        <v>978</v>
      </c>
      <c r="B8" s="82"/>
      <c r="C8" s="82"/>
      <c r="D8" s="82"/>
      <c r="E8" s="82"/>
      <c r="F8" s="82"/>
      <c r="G8" s="82"/>
      <c r="H8" s="82"/>
      <c r="I8" s="82"/>
      <c r="J8" s="226"/>
      <c r="K8" s="82"/>
      <c r="L8" s="227" t="str">
        <f>SMK</f>
        <v>WITNESS:  S. M. KATKO</v>
      </c>
      <c r="M8" s="2"/>
    </row>
    <row r="9" spans="1:13" ht="12.75" x14ac:dyDescent="0.2">
      <c r="A9" s="83"/>
      <c r="B9" s="82"/>
      <c r="C9" s="82"/>
      <c r="D9" s="82"/>
      <c r="E9" s="82"/>
      <c r="F9" s="82"/>
      <c r="G9" s="82"/>
      <c r="H9" s="82"/>
      <c r="I9" s="82"/>
      <c r="J9" s="226"/>
      <c r="K9" s="82"/>
      <c r="L9" s="227"/>
      <c r="M9" s="2"/>
    </row>
    <row r="10" spans="1:13" ht="12.75" x14ac:dyDescent="0.2">
      <c r="A10" s="229"/>
      <c r="B10" s="229"/>
      <c r="C10" s="229"/>
      <c r="D10" s="229"/>
      <c r="E10" s="230" t="s">
        <v>891</v>
      </c>
      <c r="F10" s="229"/>
      <c r="G10" s="229"/>
      <c r="H10" s="229"/>
      <c r="I10" s="229"/>
      <c r="J10" s="229"/>
      <c r="K10" s="229"/>
      <c r="L10" s="229"/>
      <c r="M10" s="2"/>
    </row>
    <row r="11" spans="1:13" ht="12.75" x14ac:dyDescent="0.2">
      <c r="A11" s="231" t="s">
        <v>632</v>
      </c>
      <c r="B11" s="82"/>
      <c r="C11" s="83" t="s">
        <v>892</v>
      </c>
      <c r="D11" s="82"/>
      <c r="E11" s="231" t="s">
        <v>893</v>
      </c>
      <c r="F11" s="82"/>
      <c r="G11" s="231" t="s">
        <v>757</v>
      </c>
      <c r="H11" s="82"/>
      <c r="I11" s="231" t="s">
        <v>670</v>
      </c>
      <c r="J11" s="231" t="s">
        <v>671</v>
      </c>
      <c r="K11" s="82"/>
      <c r="L11" s="231" t="s">
        <v>671</v>
      </c>
      <c r="M11" s="2"/>
    </row>
    <row r="12" spans="1:13" ht="12.75" x14ac:dyDescent="0.2">
      <c r="A12" s="9" t="s">
        <v>635</v>
      </c>
      <c r="B12" s="7"/>
      <c r="C12" s="6" t="s">
        <v>894</v>
      </c>
      <c r="D12" s="7"/>
      <c r="E12" s="9" t="s">
        <v>895</v>
      </c>
      <c r="F12" s="7"/>
      <c r="G12" s="9" t="s">
        <v>761</v>
      </c>
      <c r="H12" s="7"/>
      <c r="I12" s="9" t="s">
        <v>675</v>
      </c>
      <c r="J12" s="9" t="s">
        <v>676</v>
      </c>
      <c r="K12" s="7"/>
      <c r="L12" s="9" t="s">
        <v>771</v>
      </c>
      <c r="M12" s="2"/>
    </row>
    <row r="13" spans="1:13" ht="12.75" x14ac:dyDescent="0.2">
      <c r="A13" s="3"/>
      <c r="B13" s="3"/>
      <c r="C13" s="3"/>
      <c r="D13" s="3"/>
      <c r="E13" s="3"/>
      <c r="F13" s="3"/>
      <c r="G13" s="3"/>
      <c r="H13" s="3"/>
      <c r="I13" s="1" t="s">
        <v>639</v>
      </c>
      <c r="J13" s="3"/>
      <c r="K13" s="3"/>
      <c r="L13" s="1" t="s">
        <v>639</v>
      </c>
      <c r="M13" s="2"/>
    </row>
    <row r="14" spans="1:13" ht="12.75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2"/>
    </row>
    <row r="15" spans="1:13" ht="12.75" x14ac:dyDescent="0.2">
      <c r="A15" s="1">
        <v>1</v>
      </c>
      <c r="B15" s="3"/>
      <c r="C15" s="4" t="s">
        <v>879</v>
      </c>
      <c r="D15" s="3"/>
      <c r="E15" s="4" t="s">
        <v>896</v>
      </c>
      <c r="F15" s="3"/>
      <c r="G15" s="1" t="s">
        <v>659</v>
      </c>
      <c r="H15" s="3"/>
      <c r="I15" s="10">
        <f>'B-5.2 CWC (Forecast)'!I30</f>
        <v>5636878.9299950004</v>
      </c>
      <c r="J15" s="1" t="s">
        <v>861</v>
      </c>
      <c r="K15" s="3"/>
      <c r="L15" s="11">
        <f>I15</f>
        <v>5636878.9299950004</v>
      </c>
      <c r="M15" s="2"/>
    </row>
    <row r="16" spans="1:13" ht="12.75" x14ac:dyDescent="0.2">
      <c r="A16" s="3"/>
      <c r="B16" s="3"/>
      <c r="C16" s="3"/>
      <c r="D16" s="3"/>
      <c r="E16" s="3"/>
      <c r="F16" s="11"/>
      <c r="G16" s="12"/>
      <c r="H16" s="11"/>
      <c r="I16" s="10"/>
      <c r="J16" s="11"/>
      <c r="K16" s="3"/>
      <c r="L16" s="11"/>
      <c r="M16" s="2"/>
    </row>
    <row r="17" spans="1:13" ht="12.75" x14ac:dyDescent="0.2">
      <c r="A17" s="1">
        <v>2</v>
      </c>
      <c r="B17" s="3"/>
      <c r="C17" s="4" t="s">
        <v>873</v>
      </c>
      <c r="D17" s="3"/>
      <c r="E17" s="4" t="s">
        <v>897</v>
      </c>
      <c r="F17" s="11"/>
      <c r="G17" s="1" t="s">
        <v>662</v>
      </c>
      <c r="H17" s="11"/>
      <c r="I17" s="553">
        <v>0</v>
      </c>
      <c r="J17" s="11"/>
      <c r="K17" s="3"/>
      <c r="L17" s="11">
        <f>I17</f>
        <v>0</v>
      </c>
      <c r="M17" s="2"/>
    </row>
    <row r="18" spans="1:13" ht="12.75" x14ac:dyDescent="0.2">
      <c r="A18" s="3"/>
      <c r="B18" s="3"/>
      <c r="C18" s="3"/>
      <c r="D18" s="3"/>
      <c r="E18" s="3"/>
      <c r="F18" s="11"/>
      <c r="G18" s="3"/>
      <c r="H18" s="3"/>
      <c r="I18" s="10"/>
      <c r="J18" s="11"/>
      <c r="K18" s="3"/>
      <c r="L18" s="11"/>
      <c r="M18" s="2"/>
    </row>
    <row r="19" spans="1:13" ht="12.75" x14ac:dyDescent="0.2">
      <c r="A19" s="1">
        <v>3</v>
      </c>
      <c r="B19" s="3"/>
      <c r="C19" s="4" t="s">
        <v>874</v>
      </c>
      <c r="D19" s="3"/>
      <c r="E19" s="4" t="s">
        <v>897</v>
      </c>
      <c r="F19" s="11"/>
      <c r="G19" s="1" t="s">
        <v>662</v>
      </c>
      <c r="H19" s="11"/>
      <c r="I19" s="10">
        <f>'B-5.1 Working Cap. (Forecast)'!G17</f>
        <v>82011.399999999994</v>
      </c>
      <c r="J19" s="3"/>
      <c r="K19" s="3"/>
      <c r="L19" s="11">
        <f>I19</f>
        <v>82011.399999999994</v>
      </c>
      <c r="M19" s="2"/>
    </row>
    <row r="20" spans="1:13" ht="12.75" x14ac:dyDescent="0.2">
      <c r="A20" s="3"/>
      <c r="B20" s="3"/>
      <c r="C20" s="3"/>
      <c r="D20" s="3"/>
      <c r="E20" s="3"/>
      <c r="F20" s="11"/>
      <c r="G20" s="12"/>
      <c r="H20" s="11"/>
      <c r="I20" s="10"/>
      <c r="J20" s="11"/>
      <c r="K20" s="3"/>
      <c r="L20" s="11"/>
      <c r="M20" s="2"/>
    </row>
    <row r="21" spans="1:13" ht="12.75" x14ac:dyDescent="0.2">
      <c r="A21" s="1">
        <v>4</v>
      </c>
      <c r="B21" s="3"/>
      <c r="C21" s="4" t="s">
        <v>898</v>
      </c>
      <c r="D21" s="3"/>
      <c r="E21" s="4" t="s">
        <v>897</v>
      </c>
      <c r="F21" s="11"/>
      <c r="G21" s="1" t="s">
        <v>662</v>
      </c>
      <c r="H21" s="11"/>
      <c r="I21" s="10">
        <f>'B-5.1 Working Cap. (Forecast)'!G19</f>
        <v>41772550.791792303</v>
      </c>
      <c r="J21" s="11"/>
      <c r="K21" s="3"/>
      <c r="L21" s="11">
        <f>I21</f>
        <v>41772550.791792303</v>
      </c>
      <c r="M21" s="2"/>
    </row>
    <row r="22" spans="1:13" ht="12.75" x14ac:dyDescent="0.2">
      <c r="A22" s="3"/>
      <c r="B22" s="3"/>
      <c r="C22" s="3"/>
      <c r="D22" s="3"/>
      <c r="E22" s="3"/>
      <c r="F22" s="11"/>
      <c r="G22" s="12"/>
      <c r="H22" s="11"/>
      <c r="I22" s="10"/>
      <c r="J22" s="11"/>
      <c r="K22" s="3"/>
      <c r="L22" s="11"/>
      <c r="M22" s="2"/>
    </row>
    <row r="23" spans="1:13" ht="12.75" x14ac:dyDescent="0.2">
      <c r="A23" s="1">
        <v>5</v>
      </c>
      <c r="B23" s="3"/>
      <c r="C23" s="4" t="s">
        <v>870</v>
      </c>
      <c r="D23" s="3"/>
      <c r="E23" s="4" t="s">
        <v>897</v>
      </c>
      <c r="F23" s="11"/>
      <c r="G23" s="1" t="s">
        <v>662</v>
      </c>
      <c r="H23" s="11"/>
      <c r="I23" s="550">
        <f>'B-5.1 Working Cap. (Forecast)'!G21</f>
        <v>469518.19307692308</v>
      </c>
      <c r="J23" s="11"/>
      <c r="K23" s="3"/>
      <c r="L23" s="13">
        <f>I23</f>
        <v>469518.19307692308</v>
      </c>
      <c r="M23" s="2"/>
    </row>
    <row r="24" spans="1:13" ht="12.75" x14ac:dyDescent="0.2">
      <c r="A24" s="3"/>
      <c r="B24" s="3"/>
      <c r="C24" s="3"/>
      <c r="D24" s="3"/>
      <c r="E24" s="3"/>
      <c r="F24" s="11"/>
      <c r="G24" s="12"/>
      <c r="H24" s="11"/>
      <c r="I24" s="11"/>
      <c r="J24" s="11"/>
      <c r="K24" s="3"/>
      <c r="L24" s="11"/>
      <c r="M24" s="2"/>
    </row>
    <row r="25" spans="1:13" ht="13.5" thickBot="1" x14ac:dyDescent="0.25">
      <c r="A25" s="1">
        <v>6</v>
      </c>
      <c r="B25" s="3"/>
      <c r="C25" s="4" t="s">
        <v>899</v>
      </c>
      <c r="D25" s="3"/>
      <c r="E25" s="3"/>
      <c r="F25" s="11"/>
      <c r="G25" s="3"/>
      <c r="H25" s="11"/>
      <c r="I25" s="14">
        <f>SUM(I15:I23)</f>
        <v>47960959.314864226</v>
      </c>
      <c r="J25" s="11"/>
      <c r="K25" s="3"/>
      <c r="L25" s="14">
        <f>SUM(L15:L23)</f>
        <v>47960959.314864226</v>
      </c>
      <c r="M25" s="2"/>
    </row>
    <row r="26" spans="1:13" ht="13.5" thickTop="1" x14ac:dyDescent="0.2">
      <c r="A26" s="3"/>
      <c r="B26" s="3"/>
      <c r="C26" s="3"/>
      <c r="D26" s="3"/>
      <c r="E26" s="3"/>
      <c r="F26" s="11"/>
      <c r="G26" s="12"/>
      <c r="H26" s="11"/>
      <c r="I26" s="11"/>
      <c r="J26" s="11"/>
      <c r="K26" s="3"/>
      <c r="L26" s="11"/>
      <c r="M26" s="2"/>
    </row>
    <row r="27" spans="1:13" ht="11.25" x14ac:dyDescent="0.2">
      <c r="A27" s="2"/>
      <c r="B27" s="2"/>
      <c r="C27" s="2"/>
      <c r="D27" s="2"/>
      <c r="E27" s="2"/>
      <c r="F27" s="15"/>
      <c r="G27" s="2"/>
      <c r="H27" s="15"/>
      <c r="I27" s="15"/>
      <c r="J27" s="15"/>
      <c r="K27" s="2"/>
      <c r="L27" s="15"/>
      <c r="M27" s="2"/>
    </row>
    <row r="28" spans="1:13" ht="11.25" x14ac:dyDescent="0.2">
      <c r="A28" s="2"/>
      <c r="B28" s="2"/>
      <c r="C28" s="2"/>
      <c r="D28" s="2"/>
      <c r="E28" s="2"/>
      <c r="F28" s="15"/>
      <c r="G28" s="16"/>
      <c r="H28" s="15"/>
      <c r="I28" s="15"/>
      <c r="J28" s="15"/>
      <c r="K28" s="2"/>
      <c r="L28" s="15"/>
      <c r="M28" s="2"/>
    </row>
    <row r="29" spans="1:13" ht="11.25" x14ac:dyDescent="0.2">
      <c r="A29" s="2"/>
      <c r="B29" s="2"/>
      <c r="C29" s="2"/>
      <c r="D29" s="2"/>
      <c r="E29" s="2"/>
      <c r="F29" s="15"/>
      <c r="G29" s="2"/>
      <c r="H29" s="15"/>
      <c r="I29" s="15"/>
      <c r="J29" s="15"/>
      <c r="K29" s="2"/>
      <c r="L29" s="15"/>
      <c r="M29" s="2"/>
    </row>
    <row r="30" spans="1:13" ht="11.25" x14ac:dyDescent="0.2">
      <c r="A30" s="2"/>
      <c r="B30" s="2"/>
      <c r="C30" s="2"/>
      <c r="D30" s="2"/>
      <c r="E30" s="2"/>
      <c r="F30" s="15"/>
      <c r="G30" s="16"/>
      <c r="H30" s="15"/>
      <c r="I30" s="15"/>
      <c r="J30" s="15"/>
      <c r="K30" s="2"/>
      <c r="L30" s="15"/>
      <c r="M30" s="2"/>
    </row>
    <row r="31" spans="1:13" ht="11.25" x14ac:dyDescent="0.2">
      <c r="A31" s="2"/>
      <c r="B31" s="2"/>
      <c r="C31" s="2"/>
      <c r="D31" s="2"/>
      <c r="E31" s="2"/>
      <c r="F31" s="15"/>
      <c r="G31" s="2"/>
      <c r="H31" s="15"/>
      <c r="I31" s="15"/>
      <c r="J31" s="15"/>
      <c r="K31" s="2"/>
      <c r="L31" s="15"/>
      <c r="M31" s="2"/>
    </row>
  </sheetData>
  <mergeCells count="4">
    <mergeCell ref="A1:L1"/>
    <mergeCell ref="A2:L2"/>
    <mergeCell ref="A3:L3"/>
    <mergeCell ref="A4:L4"/>
  </mergeCells>
  <phoneticPr fontId="0" type="noConversion"/>
  <pageMargins left="1" right="0.5" top="1" bottom="0.75" header="0.3" footer="0.3"/>
  <pageSetup scale="63" fitToHeight="0" orientation="portrait" r:id="rId1"/>
  <headerFooter>
    <oddHeader>&amp;R&amp;"Arial,Regular"&amp;10KY PSC Case No. 2016-00162, Attachment A to Staff 3-4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8">
    <pageSetUpPr fitToPage="1"/>
  </sheetPr>
  <dimension ref="A1:G35"/>
  <sheetViews>
    <sheetView view="pageBreakPreview" zoomScale="60" zoomScaleNormal="100" workbookViewId="0">
      <selection activeCell="F46" sqref="F46"/>
    </sheetView>
  </sheetViews>
  <sheetFormatPr defaultColWidth="9.83203125" defaultRowHeight="12.75" x14ac:dyDescent="0.2"/>
  <cols>
    <col min="1" max="1" width="5.83203125" style="3" customWidth="1"/>
    <col min="2" max="2" width="2.83203125" style="3" customWidth="1"/>
    <col min="3" max="3" width="45.5" style="3" customWidth="1"/>
    <col min="4" max="4" width="21.6640625" style="3" customWidth="1"/>
    <col min="5" max="5" width="41.33203125" style="3" bestFit="1" customWidth="1"/>
    <col min="6" max="6" width="46.83203125" style="3" customWidth="1"/>
    <col min="7" max="16384" width="9.83203125" style="3"/>
  </cols>
  <sheetData>
    <row r="1" spans="1:7" x14ac:dyDescent="0.2">
      <c r="A1" s="2063" t="str">
        <f>co</f>
        <v>COLUMBIA GAS OF KENTUCKY, INC.</v>
      </c>
      <c r="B1" s="2063"/>
      <c r="C1" s="2063"/>
      <c r="D1" s="2063"/>
      <c r="E1" s="2063"/>
      <c r="F1" s="2063"/>
      <c r="G1" s="232"/>
    </row>
    <row r="2" spans="1:7" x14ac:dyDescent="0.2">
      <c r="A2" s="2063" t="str">
        <f>case</f>
        <v>CASE NO. 2016 - 00162</v>
      </c>
      <c r="B2" s="2063"/>
      <c r="C2" s="2063"/>
      <c r="D2" s="2063"/>
      <c r="E2" s="2063"/>
      <c r="F2" s="2063"/>
      <c r="G2" s="232"/>
    </row>
    <row r="3" spans="1:7" x14ac:dyDescent="0.2">
      <c r="A3" s="2060" t="s">
        <v>961</v>
      </c>
      <c r="B3" s="2060"/>
      <c r="C3" s="2060"/>
      <c r="D3" s="2060"/>
      <c r="E3" s="2060"/>
      <c r="F3" s="2060"/>
      <c r="G3" s="233"/>
    </row>
    <row r="4" spans="1:7" x14ac:dyDescent="0.2">
      <c r="A4" s="2088" t="str">
        <f>dateb</f>
        <v>AS OF AUGUST 31, 2016</v>
      </c>
      <c r="B4" s="2088"/>
      <c r="C4" s="2088"/>
      <c r="D4" s="2088"/>
      <c r="E4" s="2088"/>
      <c r="F4" s="2088"/>
      <c r="G4" s="232"/>
    </row>
    <row r="6" spans="1:7" x14ac:dyDescent="0.2">
      <c r="A6" s="4" t="s">
        <v>976</v>
      </c>
      <c r="F6" s="5" t="s">
        <v>962</v>
      </c>
    </row>
    <row r="7" spans="1:7" x14ac:dyDescent="0.2">
      <c r="A7" s="83" t="s">
        <v>977</v>
      </c>
      <c r="B7" s="82"/>
      <c r="C7" s="82"/>
      <c r="D7" s="82"/>
      <c r="E7" s="82"/>
      <c r="F7" s="228" t="s">
        <v>628</v>
      </c>
    </row>
    <row r="8" spans="1:7" x14ac:dyDescent="0.2">
      <c r="A8" s="1459" t="s">
        <v>1871</v>
      </c>
      <c r="B8" s="82"/>
      <c r="C8" s="82"/>
      <c r="D8" s="82"/>
      <c r="E8" s="82"/>
      <c r="F8" s="227" t="str">
        <f>SMK</f>
        <v>WITNESS:  S. M. KATKO</v>
      </c>
    </row>
    <row r="9" spans="1:7" x14ac:dyDescent="0.2">
      <c r="A9" s="83"/>
      <c r="B9" s="82"/>
      <c r="C9" s="82"/>
      <c r="D9" s="82"/>
      <c r="E9" s="82"/>
      <c r="F9" s="82"/>
    </row>
    <row r="10" spans="1:7" x14ac:dyDescent="0.2">
      <c r="A10" s="229"/>
      <c r="B10" s="229"/>
      <c r="C10" s="229"/>
      <c r="D10" s="234"/>
      <c r="E10" s="235" t="s">
        <v>963</v>
      </c>
      <c r="F10" s="234"/>
    </row>
    <row r="11" spans="1:7" x14ac:dyDescent="0.2">
      <c r="A11" s="1" t="s">
        <v>632</v>
      </c>
      <c r="D11" s="1" t="s">
        <v>872</v>
      </c>
      <c r="E11" s="1" t="s">
        <v>671</v>
      </c>
      <c r="F11" s="1" t="s">
        <v>671</v>
      </c>
    </row>
    <row r="12" spans="1:7" x14ac:dyDescent="0.2">
      <c r="A12" s="9" t="s">
        <v>635</v>
      </c>
      <c r="B12" s="7"/>
      <c r="C12" s="6" t="s">
        <v>778</v>
      </c>
      <c r="D12" s="9" t="s">
        <v>675</v>
      </c>
      <c r="E12" s="9" t="s">
        <v>676</v>
      </c>
      <c r="F12" s="9" t="s">
        <v>771</v>
      </c>
    </row>
    <row r="13" spans="1:7" x14ac:dyDescent="0.2">
      <c r="D13" s="1" t="s">
        <v>639</v>
      </c>
      <c r="F13" s="1" t="s">
        <v>639</v>
      </c>
    </row>
    <row r="15" spans="1:7" x14ac:dyDescent="0.2">
      <c r="A15" s="1" t="s">
        <v>773</v>
      </c>
      <c r="C15" s="4" t="s">
        <v>873</v>
      </c>
      <c r="D15" s="553">
        <v>0</v>
      </c>
      <c r="E15" s="1" t="s">
        <v>861</v>
      </c>
      <c r="F15" s="11">
        <f>D15</f>
        <v>0</v>
      </c>
    </row>
    <row r="16" spans="1:7" x14ac:dyDescent="0.2">
      <c r="E16" s="12"/>
      <c r="F16" s="11"/>
    </row>
    <row r="17" spans="1:6" x14ac:dyDescent="0.2">
      <c r="A17" s="1" t="s">
        <v>643</v>
      </c>
      <c r="C17" s="4" t="s">
        <v>874</v>
      </c>
      <c r="D17" s="11">
        <f>+'WPB-5.1 M&amp;S and Prepayments'!C24</f>
        <v>82011.399999999994</v>
      </c>
      <c r="E17" s="1" t="s">
        <v>861</v>
      </c>
      <c r="F17" s="11">
        <f>D17</f>
        <v>82011.399999999994</v>
      </c>
    </row>
    <row r="18" spans="1:6" x14ac:dyDescent="0.2">
      <c r="F18" s="11"/>
    </row>
    <row r="19" spans="1:6" x14ac:dyDescent="0.2">
      <c r="A19" s="1" t="s">
        <v>646</v>
      </c>
      <c r="C19" s="4" t="s">
        <v>964</v>
      </c>
      <c r="D19" s="11">
        <f>'WPB 5.3 Storage'!C73</f>
        <v>43282677.550246164</v>
      </c>
      <c r="E19" s="1" t="s">
        <v>861</v>
      </c>
      <c r="F19" s="11">
        <f>D19</f>
        <v>43282677.550246164</v>
      </c>
    </row>
    <row r="20" spans="1:6" x14ac:dyDescent="0.2">
      <c r="E20" s="12"/>
      <c r="F20" s="11"/>
    </row>
    <row r="21" spans="1:6" x14ac:dyDescent="0.2">
      <c r="A21" s="1" t="s">
        <v>649</v>
      </c>
      <c r="C21" s="4" t="s">
        <v>870</v>
      </c>
      <c r="D21" s="1326">
        <f>'WPB-5.1 M&amp;S and Prepayments'!D24</f>
        <v>469518.19307692308</v>
      </c>
      <c r="E21" s="1" t="s">
        <v>861</v>
      </c>
      <c r="F21" s="1326">
        <f>D21</f>
        <v>469518.19307692308</v>
      </c>
    </row>
    <row r="22" spans="1:6" x14ac:dyDescent="0.2">
      <c r="E22" s="12"/>
      <c r="F22" s="11"/>
    </row>
    <row r="23" spans="1:6" x14ac:dyDescent="0.2">
      <c r="A23" s="1" t="s">
        <v>652</v>
      </c>
      <c r="C23" s="4" t="s">
        <v>975</v>
      </c>
      <c r="D23" s="59">
        <f>SUM(D15:D21)</f>
        <v>43834207.143323086</v>
      </c>
      <c r="F23" s="59">
        <f>SUM(F15:F21)</f>
        <v>43834207.143323086</v>
      </c>
    </row>
    <row r="24" spans="1:6" x14ac:dyDescent="0.2">
      <c r="E24" s="12"/>
      <c r="F24" s="11"/>
    </row>
    <row r="25" spans="1:6" x14ac:dyDescent="0.2">
      <c r="F25" s="11"/>
    </row>
    <row r="26" spans="1:6" x14ac:dyDescent="0.2">
      <c r="E26" s="12"/>
      <c r="F26" s="11"/>
    </row>
    <row r="27" spans="1:6" x14ac:dyDescent="0.2">
      <c r="F27" s="11"/>
    </row>
    <row r="28" spans="1:6" x14ac:dyDescent="0.2">
      <c r="E28" s="12"/>
      <c r="F28" s="11"/>
    </row>
    <row r="29" spans="1:6" x14ac:dyDescent="0.2">
      <c r="F29" s="11"/>
    </row>
    <row r="30" spans="1:6" x14ac:dyDescent="0.2">
      <c r="E30" s="12"/>
      <c r="F30" s="11"/>
    </row>
    <row r="31" spans="1:6" x14ac:dyDescent="0.2">
      <c r="F31" s="11"/>
    </row>
    <row r="32" spans="1:6" x14ac:dyDescent="0.2">
      <c r="E32" s="12"/>
      <c r="F32" s="11"/>
    </row>
    <row r="33" spans="6:6" x14ac:dyDescent="0.2">
      <c r="F33" s="11"/>
    </row>
    <row r="34" spans="6:6" x14ac:dyDescent="0.2">
      <c r="F34" s="11"/>
    </row>
    <row r="35" spans="6:6" x14ac:dyDescent="0.2">
      <c r="F35" s="11"/>
    </row>
  </sheetData>
  <mergeCells count="4">
    <mergeCell ref="A4:F4"/>
    <mergeCell ref="A3:F3"/>
    <mergeCell ref="A2:F2"/>
    <mergeCell ref="A1:F1"/>
  </mergeCells>
  <phoneticPr fontId="0" type="noConversion"/>
  <pageMargins left="1" right="0.5" top="1" bottom="0.75" header="0.3" footer="0.3"/>
  <pageSetup scale="68" fitToHeight="0" orientation="portrait" r:id="rId1"/>
  <headerFooter>
    <oddHeader>&amp;R&amp;"Arial,Regular"&amp;10KY PSC Case No. 2016-00162, Attachment A to Staff 3-4</oddHeader>
  </headerFooter>
  <ignoredErrors>
    <ignoredError sqref="E15:E21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38">
    <pageSetUpPr fitToPage="1"/>
  </sheetPr>
  <dimension ref="A1:H35"/>
  <sheetViews>
    <sheetView view="pageBreakPreview" zoomScale="60" zoomScaleNormal="100" workbookViewId="0">
      <selection activeCell="F46" sqref="F46"/>
    </sheetView>
  </sheetViews>
  <sheetFormatPr defaultColWidth="9.83203125" defaultRowHeight="12.75" x14ac:dyDescent="0.2"/>
  <cols>
    <col min="1" max="1" width="5.83203125" style="3" customWidth="1"/>
    <col min="2" max="2" width="2.83203125" style="3" customWidth="1"/>
    <col min="3" max="3" width="45.5" style="3" customWidth="1"/>
    <col min="4" max="4" width="25.5" style="3" customWidth="1"/>
    <col min="5" max="5" width="41.33203125" style="3" bestFit="1" customWidth="1"/>
    <col min="6" max="6" width="15.1640625" style="3" customWidth="1"/>
    <col min="7" max="7" width="34" style="3" customWidth="1"/>
    <col min="8" max="16384" width="9.83203125" style="3"/>
  </cols>
  <sheetData>
    <row r="1" spans="1:8" x14ac:dyDescent="0.2">
      <c r="A1" s="2063" t="str">
        <f>co</f>
        <v>COLUMBIA GAS OF KENTUCKY, INC.</v>
      </c>
      <c r="B1" s="2063"/>
      <c r="C1" s="2063"/>
      <c r="D1" s="2063"/>
      <c r="E1" s="2063"/>
      <c r="F1" s="2063"/>
      <c r="G1" s="2063"/>
      <c r="H1" s="232"/>
    </row>
    <row r="2" spans="1:8" x14ac:dyDescent="0.2">
      <c r="A2" s="2063" t="str">
        <f>case</f>
        <v>CASE NO. 2016 - 00162</v>
      </c>
      <c r="B2" s="2063"/>
      <c r="C2" s="2063"/>
      <c r="D2" s="2063"/>
      <c r="E2" s="2063"/>
      <c r="F2" s="2063"/>
      <c r="G2" s="2063"/>
      <c r="H2" s="232"/>
    </row>
    <row r="3" spans="1:8" x14ac:dyDescent="0.2">
      <c r="A3" s="2060" t="s">
        <v>961</v>
      </c>
      <c r="B3" s="2060"/>
      <c r="C3" s="2060"/>
      <c r="D3" s="2060"/>
      <c r="E3" s="2060"/>
      <c r="F3" s="2060"/>
      <c r="G3" s="2060"/>
      <c r="H3" s="233"/>
    </row>
    <row r="4" spans="1:8" x14ac:dyDescent="0.2">
      <c r="A4" s="2088" t="str">
        <f>datef</f>
        <v>AS OF DECEMBER 31, 2017</v>
      </c>
      <c r="B4" s="2088"/>
      <c r="C4" s="2088"/>
      <c r="D4" s="2088"/>
      <c r="E4" s="2088"/>
      <c r="F4" s="2088"/>
      <c r="G4" s="2088"/>
      <c r="H4" s="232"/>
    </row>
    <row r="6" spans="1:8" x14ac:dyDescent="0.2">
      <c r="A6" s="285" t="s">
        <v>1109</v>
      </c>
      <c r="G6" s="5" t="s">
        <v>962</v>
      </c>
    </row>
    <row r="7" spans="1:8" x14ac:dyDescent="0.2">
      <c r="A7" s="83" t="s">
        <v>977</v>
      </c>
      <c r="B7" s="82"/>
      <c r="C7" s="82"/>
      <c r="D7" s="82"/>
      <c r="E7" s="82"/>
      <c r="F7" s="82"/>
      <c r="G7" s="211" t="s">
        <v>1111</v>
      </c>
    </row>
    <row r="8" spans="1:8" x14ac:dyDescent="0.2">
      <c r="A8" s="1459" t="s">
        <v>1871</v>
      </c>
      <c r="B8" s="82"/>
      <c r="C8" s="82"/>
      <c r="D8" s="82"/>
      <c r="E8" s="82"/>
      <c r="F8" s="82"/>
      <c r="G8" s="227" t="str">
        <f>SMK</f>
        <v>WITNESS:  S. M. KATKO</v>
      </c>
    </row>
    <row r="9" spans="1:8" x14ac:dyDescent="0.2">
      <c r="A9" s="83"/>
      <c r="B9" s="82"/>
      <c r="C9" s="82"/>
      <c r="D9" s="82"/>
      <c r="E9" s="82"/>
      <c r="F9" s="82"/>
      <c r="G9" s="82"/>
    </row>
    <row r="10" spans="1:8" x14ac:dyDescent="0.2">
      <c r="A10" s="229"/>
      <c r="B10" s="229"/>
      <c r="C10" s="229"/>
      <c r="D10" s="234"/>
      <c r="E10" s="235" t="s">
        <v>963</v>
      </c>
      <c r="F10" s="235"/>
      <c r="G10" s="234"/>
    </row>
    <row r="11" spans="1:8" x14ac:dyDescent="0.2">
      <c r="A11" s="1" t="s">
        <v>632</v>
      </c>
      <c r="D11" s="1" t="s">
        <v>872</v>
      </c>
      <c r="E11" s="1" t="s">
        <v>671</v>
      </c>
      <c r="F11" s="1"/>
      <c r="G11" s="1" t="s">
        <v>671</v>
      </c>
    </row>
    <row r="12" spans="1:8" x14ac:dyDescent="0.2">
      <c r="A12" s="9" t="s">
        <v>635</v>
      </c>
      <c r="B12" s="7"/>
      <c r="C12" s="6" t="s">
        <v>778</v>
      </c>
      <c r="D12" s="9" t="s">
        <v>675</v>
      </c>
      <c r="E12" s="9" t="s">
        <v>676</v>
      </c>
      <c r="F12" s="9"/>
      <c r="G12" s="9" t="s">
        <v>771</v>
      </c>
    </row>
    <row r="13" spans="1:8" x14ac:dyDescent="0.2">
      <c r="D13" s="1" t="s">
        <v>639</v>
      </c>
      <c r="G13" s="1" t="s">
        <v>639</v>
      </c>
    </row>
    <row r="15" spans="1:8" x14ac:dyDescent="0.2">
      <c r="A15" s="1" t="s">
        <v>773</v>
      </c>
      <c r="C15" s="4" t="s">
        <v>873</v>
      </c>
      <c r="D15" s="553">
        <v>0</v>
      </c>
      <c r="E15" s="1" t="s">
        <v>861</v>
      </c>
      <c r="F15" s="1"/>
      <c r="G15" s="11">
        <f>D15</f>
        <v>0</v>
      </c>
    </row>
    <row r="16" spans="1:8" x14ac:dyDescent="0.2">
      <c r="E16" s="12"/>
      <c r="F16" s="12"/>
      <c r="G16" s="11"/>
    </row>
    <row r="17" spans="1:7" x14ac:dyDescent="0.2">
      <c r="A17" s="1" t="s">
        <v>643</v>
      </c>
      <c r="C17" s="4" t="s">
        <v>874</v>
      </c>
      <c r="D17" s="11">
        <f>'WPB-5.1 M&amp;S and Prepayments'!C24</f>
        <v>82011.399999999994</v>
      </c>
      <c r="E17" s="1" t="s">
        <v>861</v>
      </c>
      <c r="F17" s="1"/>
      <c r="G17" s="11">
        <f>D17</f>
        <v>82011.399999999994</v>
      </c>
    </row>
    <row r="18" spans="1:7" x14ac:dyDescent="0.2">
      <c r="G18" s="11"/>
    </row>
    <row r="19" spans="1:7" x14ac:dyDescent="0.2">
      <c r="A19" s="1" t="s">
        <v>646</v>
      </c>
      <c r="C19" s="4" t="s">
        <v>964</v>
      </c>
      <c r="D19" s="11">
        <f>'WPB 5.3 Storage'!C74</f>
        <v>41772550.791792303</v>
      </c>
      <c r="E19" s="1" t="s">
        <v>861</v>
      </c>
      <c r="F19" s="1"/>
      <c r="G19" s="11">
        <f>D19</f>
        <v>41772550.791792303</v>
      </c>
    </row>
    <row r="20" spans="1:7" x14ac:dyDescent="0.2">
      <c r="E20" s="12"/>
      <c r="F20" s="12"/>
      <c r="G20" s="11"/>
    </row>
    <row r="21" spans="1:7" x14ac:dyDescent="0.2">
      <c r="A21" s="1" t="s">
        <v>649</v>
      </c>
      <c r="C21" s="4" t="s">
        <v>870</v>
      </c>
      <c r="D21" s="1326">
        <f>'WPB-5.1 M&amp;S and Prepayments'!D24</f>
        <v>469518.19307692308</v>
      </c>
      <c r="E21" s="1" t="s">
        <v>861</v>
      </c>
      <c r="F21" s="1"/>
      <c r="G21" s="1326">
        <f>D21</f>
        <v>469518.19307692308</v>
      </c>
    </row>
    <row r="22" spans="1:7" x14ac:dyDescent="0.2">
      <c r="E22" s="12"/>
      <c r="F22" s="12"/>
      <c r="G22" s="11"/>
    </row>
    <row r="23" spans="1:7" x14ac:dyDescent="0.2">
      <c r="A23" s="1" t="s">
        <v>652</v>
      </c>
      <c r="C23" s="4" t="s">
        <v>975</v>
      </c>
      <c r="D23" s="59">
        <f>SUM(D15:D21)</f>
        <v>42324080.384869225</v>
      </c>
      <c r="G23" s="59">
        <f>SUM(G15:G21)</f>
        <v>42324080.384869225</v>
      </c>
    </row>
    <row r="24" spans="1:7" x14ac:dyDescent="0.2">
      <c r="E24" s="12"/>
      <c r="F24" s="12"/>
      <c r="G24" s="11"/>
    </row>
    <row r="25" spans="1:7" x14ac:dyDescent="0.2">
      <c r="G25" s="11"/>
    </row>
    <row r="26" spans="1:7" x14ac:dyDescent="0.2">
      <c r="E26" s="12"/>
      <c r="F26" s="12"/>
      <c r="G26" s="11"/>
    </row>
    <row r="27" spans="1:7" x14ac:dyDescent="0.2">
      <c r="G27" s="11"/>
    </row>
    <row r="28" spans="1:7" x14ac:dyDescent="0.2">
      <c r="E28" s="12"/>
      <c r="F28" s="12"/>
      <c r="G28" s="11"/>
    </row>
    <row r="29" spans="1:7" x14ac:dyDescent="0.2">
      <c r="G29" s="11"/>
    </row>
    <row r="30" spans="1:7" x14ac:dyDescent="0.2">
      <c r="E30" s="12"/>
      <c r="F30" s="12"/>
      <c r="G30" s="11"/>
    </row>
    <row r="31" spans="1:7" x14ac:dyDescent="0.2">
      <c r="G31" s="11"/>
    </row>
    <row r="32" spans="1:7" x14ac:dyDescent="0.2">
      <c r="E32" s="12"/>
      <c r="F32" s="12"/>
      <c r="G32" s="11"/>
    </row>
    <row r="33" spans="7:7" x14ac:dyDescent="0.2">
      <c r="G33" s="11"/>
    </row>
    <row r="34" spans="7:7" x14ac:dyDescent="0.2">
      <c r="G34" s="11"/>
    </row>
    <row r="35" spans="7:7" x14ac:dyDescent="0.2">
      <c r="G35" s="11"/>
    </row>
  </sheetData>
  <mergeCells count="4">
    <mergeCell ref="A1:G1"/>
    <mergeCell ref="A2:G2"/>
    <mergeCell ref="A3:G3"/>
    <mergeCell ref="A4:G4"/>
  </mergeCells>
  <phoneticPr fontId="0" type="noConversion"/>
  <pageMargins left="1" right="0.5" top="1" bottom="0.75" header="0.3" footer="0.3"/>
  <pageSetup scale="66" fitToHeight="0" orientation="portrait" r:id="rId1"/>
  <headerFooter>
    <oddHeader>&amp;R&amp;"Arial,Regular"&amp;10KY PSC Case No. 2016-00162, Attachment A to Staff 3-4</oddHeader>
  </headerFooter>
  <ignoredErrors>
    <ignoredError sqref="E15:E22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19">
    <pageSetUpPr fitToPage="1"/>
  </sheetPr>
  <dimension ref="A1:M26"/>
  <sheetViews>
    <sheetView view="pageBreakPreview" zoomScaleNormal="100" zoomScaleSheetLayoutView="100" workbookViewId="0">
      <selection activeCell="F46" sqref="F46"/>
    </sheetView>
  </sheetViews>
  <sheetFormatPr defaultColWidth="11.33203125" defaultRowHeight="12.75" x14ac:dyDescent="0.2"/>
  <cols>
    <col min="1" max="1" width="5.6640625" style="69" customWidth="1"/>
    <col min="2" max="2" width="21" style="69" bestFit="1" customWidth="1"/>
    <col min="3" max="3" width="35.5" style="69" customWidth="1"/>
    <col min="4" max="4" width="22.5" style="69" customWidth="1"/>
    <col min="5" max="16384" width="11.33203125" style="69"/>
  </cols>
  <sheetData>
    <row r="1" spans="1:13" x14ac:dyDescent="0.2">
      <c r="B1" s="2106" t="str">
        <f>co</f>
        <v>COLUMBIA GAS OF KENTUCKY, INC.</v>
      </c>
      <c r="C1" s="2106"/>
      <c r="D1" s="1460" t="s">
        <v>862</v>
      </c>
    </row>
    <row r="2" spans="1:13" x14ac:dyDescent="0.2">
      <c r="B2" s="2106" t="str">
        <f>case</f>
        <v>CASE NO. 2016 - 00162</v>
      </c>
      <c r="C2" s="2106"/>
      <c r="D2" s="1461" t="s">
        <v>1299</v>
      </c>
    </row>
    <row r="3" spans="1:13" x14ac:dyDescent="0.2">
      <c r="B3" s="2107" t="s">
        <v>863</v>
      </c>
      <c r="C3" s="2107"/>
      <c r="D3" s="1462"/>
    </row>
    <row r="4" spans="1:13" x14ac:dyDescent="0.2">
      <c r="B4" s="70"/>
      <c r="C4" s="70"/>
      <c r="F4" s="70"/>
      <c r="G4" s="70"/>
      <c r="H4" s="70"/>
      <c r="I4" s="70"/>
      <c r="J4" s="70"/>
      <c r="K4" s="70"/>
      <c r="L4" s="70"/>
      <c r="M4" s="70"/>
    </row>
    <row r="5" spans="1:13" x14ac:dyDescent="0.2">
      <c r="B5" s="70"/>
      <c r="C5" s="70"/>
      <c r="D5" s="236"/>
      <c r="F5" s="70"/>
      <c r="G5" s="70"/>
      <c r="H5" s="70"/>
      <c r="I5" s="70"/>
      <c r="J5" s="70"/>
      <c r="K5" s="70"/>
      <c r="L5" s="70"/>
      <c r="M5" s="70"/>
    </row>
    <row r="6" spans="1:13" x14ac:dyDescent="0.2">
      <c r="A6" s="365"/>
      <c r="B6" s="365"/>
      <c r="C6" s="365" t="s">
        <v>1172</v>
      </c>
      <c r="D6" s="365"/>
      <c r="F6" s="70"/>
      <c r="G6" s="70"/>
      <c r="H6" s="70"/>
      <c r="I6" s="70"/>
      <c r="J6" s="70"/>
      <c r="K6" s="70"/>
      <c r="L6" s="70"/>
      <c r="M6" s="70"/>
    </row>
    <row r="7" spans="1:13" x14ac:dyDescent="0.2">
      <c r="A7" s="366" t="s">
        <v>1080</v>
      </c>
      <c r="B7" s="366"/>
      <c r="C7" s="366" t="s">
        <v>1169</v>
      </c>
      <c r="D7" s="368" t="s">
        <v>1171</v>
      </c>
      <c r="F7" s="70"/>
      <c r="G7" s="70"/>
      <c r="H7" s="70"/>
      <c r="I7" s="70"/>
      <c r="J7" s="70"/>
      <c r="K7" s="70"/>
      <c r="L7" s="70"/>
      <c r="M7" s="70"/>
    </row>
    <row r="8" spans="1:13" x14ac:dyDescent="0.2">
      <c r="A8" s="367" t="s">
        <v>1081</v>
      </c>
      <c r="B8" s="367" t="s">
        <v>1127</v>
      </c>
      <c r="C8" s="367" t="s">
        <v>1170</v>
      </c>
      <c r="D8" s="370" t="s">
        <v>1174</v>
      </c>
    </row>
    <row r="9" spans="1:13" x14ac:dyDescent="0.2">
      <c r="B9" s="71"/>
      <c r="C9" s="72" t="s">
        <v>639</v>
      </c>
      <c r="D9" s="72" t="s">
        <v>639</v>
      </c>
    </row>
    <row r="10" spans="1:13" x14ac:dyDescent="0.2">
      <c r="A10" s="1463">
        <v>1</v>
      </c>
      <c r="B10" s="363" t="s">
        <v>2246</v>
      </c>
      <c r="C10" s="369">
        <v>82505.34</v>
      </c>
      <c r="D10" s="369">
        <f>126924+201344</f>
        <v>328268</v>
      </c>
      <c r="F10" s="1731"/>
    </row>
    <row r="11" spans="1:13" x14ac:dyDescent="0.2">
      <c r="A11" s="1463">
        <f>A10+1</f>
        <v>2</v>
      </c>
      <c r="B11" s="363" t="s">
        <v>2247</v>
      </c>
      <c r="C11" s="369">
        <v>82517.210000000006</v>
      </c>
      <c r="D11" s="369">
        <f>55864.49+158670+161044.51</f>
        <v>375579</v>
      </c>
    </row>
    <row r="12" spans="1:13" x14ac:dyDescent="0.2">
      <c r="A12" s="1463">
        <f t="shared" ref="A12:A22" si="0">A11+1</f>
        <v>3</v>
      </c>
      <c r="B12" s="363" t="s">
        <v>2248</v>
      </c>
      <c r="C12" s="369">
        <v>82440.479999999996</v>
      </c>
      <c r="D12" s="369">
        <f>49657.32+115996+121996.68+210109.43</f>
        <v>497759.43</v>
      </c>
    </row>
    <row r="13" spans="1:13" x14ac:dyDescent="0.2">
      <c r="A13" s="1463">
        <f t="shared" si="0"/>
        <v>4</v>
      </c>
      <c r="B13" s="363" t="s">
        <v>2249</v>
      </c>
      <c r="C13" s="369">
        <v>83166.78</v>
      </c>
      <c r="D13" s="369">
        <f>43450.15+73322+82948.85</f>
        <v>199721</v>
      </c>
    </row>
    <row r="14" spans="1:13" x14ac:dyDescent="0.2">
      <c r="A14" s="1463">
        <f t="shared" si="0"/>
        <v>5</v>
      </c>
      <c r="B14" s="363" t="s">
        <v>2250</v>
      </c>
      <c r="C14" s="369">
        <v>85074.66</v>
      </c>
      <c r="D14" s="369">
        <f>30648+37242.98+43901.02</f>
        <v>111792</v>
      </c>
    </row>
    <row r="15" spans="1:13" x14ac:dyDescent="0.2">
      <c r="A15" s="1463">
        <f t="shared" si="0"/>
        <v>6</v>
      </c>
      <c r="B15" s="363" t="s">
        <v>2251</v>
      </c>
      <c r="C15" s="369">
        <v>88519.1</v>
      </c>
      <c r="D15" s="369">
        <f>31035.81+274751.92+373371.19</f>
        <v>679158.91999999993</v>
      </c>
    </row>
    <row r="16" spans="1:13" x14ac:dyDescent="0.2">
      <c r="A16" s="1463">
        <f t="shared" si="0"/>
        <v>7</v>
      </c>
      <c r="B16" s="363" t="s">
        <v>2252</v>
      </c>
      <c r="C16" s="369">
        <v>86124.96</v>
      </c>
      <c r="D16" s="369">
        <f>24828.64+320404+335437.36</f>
        <v>680670</v>
      </c>
    </row>
    <row r="17" spans="1:4" x14ac:dyDescent="0.2">
      <c r="A17" s="1463">
        <f t="shared" si="0"/>
        <v>8</v>
      </c>
      <c r="B17" s="363" t="s">
        <v>2253</v>
      </c>
      <c r="C17" s="369">
        <v>85993.69</v>
      </c>
      <c r="D17" s="369">
        <f>18621.47+195347.55+283701+297503.53</f>
        <v>795173.55</v>
      </c>
    </row>
    <row r="18" spans="1:4" x14ac:dyDescent="0.2">
      <c r="A18" s="1463">
        <f t="shared" si="0"/>
        <v>9</v>
      </c>
      <c r="B18" s="363" t="s">
        <v>2254</v>
      </c>
      <c r="C18" s="369">
        <v>88436.65</v>
      </c>
      <c r="D18" s="369">
        <f>12414.3+245368+259569.7</f>
        <v>517352</v>
      </c>
    </row>
    <row r="19" spans="1:4" x14ac:dyDescent="0.2">
      <c r="A19" s="1463">
        <f t="shared" si="0"/>
        <v>10</v>
      </c>
      <c r="B19" s="363" t="s">
        <v>2255</v>
      </c>
      <c r="C19" s="369">
        <v>29082.86</v>
      </c>
      <c r="D19" s="369">
        <f>6207.13+221635.87+316084</f>
        <v>543927</v>
      </c>
    </row>
    <row r="20" spans="1:4" x14ac:dyDescent="0.2">
      <c r="A20" s="1463">
        <f t="shared" si="0"/>
        <v>11</v>
      </c>
      <c r="B20" s="363" t="s">
        <v>2256</v>
      </c>
      <c r="C20" s="369">
        <v>90458.36</v>
      </c>
      <c r="D20" s="369">
        <f>183702+276196</f>
        <v>459898</v>
      </c>
    </row>
    <row r="21" spans="1:4" x14ac:dyDescent="0.2">
      <c r="A21" s="1463">
        <f t="shared" si="0"/>
        <v>12</v>
      </c>
      <c r="B21" s="363" t="s">
        <v>2257</v>
      </c>
      <c r="C21" s="364">
        <v>90546.82</v>
      </c>
      <c r="D21" s="369">
        <f>236308+153085</f>
        <v>389393</v>
      </c>
    </row>
    <row r="22" spans="1:4" x14ac:dyDescent="0.2">
      <c r="A22" s="1463">
        <f t="shared" si="0"/>
        <v>13</v>
      </c>
      <c r="B22" s="363" t="s">
        <v>2258</v>
      </c>
      <c r="C22" s="364">
        <v>91281.29</v>
      </c>
      <c r="D22" s="369">
        <f>88389.63+240234.98+196420</f>
        <v>525044.61</v>
      </c>
    </row>
    <row r="23" spans="1:4" x14ac:dyDescent="0.2">
      <c r="A23" s="1463"/>
      <c r="B23" s="73"/>
      <c r="C23" s="364"/>
      <c r="D23" s="369"/>
    </row>
    <row r="24" spans="1:4" x14ac:dyDescent="0.2">
      <c r="A24" s="1463">
        <f>A22+1</f>
        <v>14</v>
      </c>
      <c r="B24" s="362" t="s">
        <v>1168</v>
      </c>
      <c r="C24" s="74">
        <f>AVERAGE(C10:C22)</f>
        <v>82011.399999999994</v>
      </c>
      <c r="D24" s="74">
        <f>AVERAGE(D10:D22)</f>
        <v>469518.19307692308</v>
      </c>
    </row>
    <row r="25" spans="1:4" x14ac:dyDescent="0.2">
      <c r="B25" s="362"/>
      <c r="C25" s="74"/>
      <c r="D25" s="74"/>
    </row>
    <row r="26" spans="1:4" ht="12.75" customHeight="1" x14ac:dyDescent="0.2">
      <c r="A26" s="75" t="s">
        <v>871</v>
      </c>
      <c r="C26" s="72"/>
      <c r="D26" s="72"/>
    </row>
  </sheetData>
  <mergeCells count="3">
    <mergeCell ref="B2:C2"/>
    <mergeCell ref="B3:C3"/>
    <mergeCell ref="B1:C1"/>
  </mergeCells>
  <phoneticPr fontId="9" type="noConversion"/>
  <pageMargins left="1" right="0.5" top="1" bottom="0.75" header="0.3" footer="0.3"/>
  <pageSetup fitToHeight="0" orientation="portrait" r:id="rId1"/>
  <headerFooter>
    <oddHeader>&amp;R&amp;"Arial,Regular"&amp;10KY PSC Case No. 2016-00162, Attachment A to Staff 3-4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">
    <pageSetUpPr fitToPage="1"/>
  </sheetPr>
  <dimension ref="A1:L41"/>
  <sheetViews>
    <sheetView showGridLines="0" view="pageBreakPreview" zoomScale="60" zoomScaleNormal="100" workbookViewId="0">
      <selection activeCell="F46" sqref="F46"/>
    </sheetView>
  </sheetViews>
  <sheetFormatPr defaultColWidth="9.83203125" defaultRowHeight="12.75" x14ac:dyDescent="0.2"/>
  <cols>
    <col min="1" max="1" width="7.83203125" style="3" customWidth="1"/>
    <col min="2" max="2" width="36.83203125" style="3" customWidth="1"/>
    <col min="3" max="4" width="9.83203125" style="3"/>
    <col min="5" max="5" width="15.83203125" style="3" customWidth="1"/>
    <col min="6" max="6" width="13.83203125" style="3" customWidth="1"/>
    <col min="7" max="7" width="11.83203125" style="3" customWidth="1"/>
    <col min="8" max="8" width="6.83203125" style="3" customWidth="1"/>
    <col min="9" max="9" width="9.83203125" style="3" customWidth="1"/>
    <col min="10" max="10" width="17.83203125" style="3" customWidth="1"/>
    <col min="11" max="11" width="9.33203125" style="3" customWidth="1"/>
    <col min="12" max="12" width="17.6640625" style="3" bestFit="1" customWidth="1"/>
    <col min="13" max="16384" width="9.83203125" style="3"/>
  </cols>
  <sheetData>
    <row r="1" spans="1:10" x14ac:dyDescent="0.2">
      <c r="A1" s="2060" t="s">
        <v>624</v>
      </c>
      <c r="B1" s="2060"/>
      <c r="C1" s="2060"/>
      <c r="D1" s="2060"/>
      <c r="E1" s="2060"/>
      <c r="F1" s="2060"/>
      <c r="G1" s="2060"/>
      <c r="H1" s="2060"/>
      <c r="I1" s="2060"/>
      <c r="J1" s="2060"/>
    </row>
    <row r="2" spans="1:10" x14ac:dyDescent="0.2">
      <c r="A2" s="2061" t="s">
        <v>2290</v>
      </c>
      <c r="B2" s="2061"/>
      <c r="C2" s="2061"/>
      <c r="D2" s="2061"/>
      <c r="E2" s="2061"/>
      <c r="F2" s="2061"/>
      <c r="G2" s="2061"/>
      <c r="H2" s="2061"/>
      <c r="I2" s="2061"/>
      <c r="J2" s="2061"/>
    </row>
    <row r="3" spans="1:10" x14ac:dyDescent="0.2">
      <c r="A3" s="2060" t="s">
        <v>625</v>
      </c>
      <c r="B3" s="2060"/>
      <c r="C3" s="2060"/>
      <c r="D3" s="2060"/>
      <c r="E3" s="2060"/>
      <c r="F3" s="2060"/>
      <c r="G3" s="2060"/>
      <c r="H3" s="2060"/>
      <c r="I3" s="2060"/>
      <c r="J3" s="2060"/>
    </row>
    <row r="4" spans="1:10" x14ac:dyDescent="0.2">
      <c r="A4" s="2061" t="s">
        <v>2025</v>
      </c>
      <c r="B4" s="2061"/>
      <c r="C4" s="2061"/>
      <c r="D4" s="2061"/>
      <c r="E4" s="2061"/>
      <c r="F4" s="2061"/>
      <c r="G4" s="2061"/>
      <c r="H4" s="2061"/>
      <c r="I4" s="2061"/>
      <c r="J4" s="2061"/>
    </row>
    <row r="6" spans="1:10" x14ac:dyDescent="0.2">
      <c r="A6" s="4" t="s">
        <v>976</v>
      </c>
      <c r="J6" s="5" t="s">
        <v>626</v>
      </c>
    </row>
    <row r="7" spans="1:10" x14ac:dyDescent="0.2">
      <c r="A7" s="4" t="s">
        <v>977</v>
      </c>
      <c r="J7" s="5" t="s">
        <v>628</v>
      </c>
    </row>
    <row r="8" spans="1:10" x14ac:dyDescent="0.2">
      <c r="A8" s="6" t="s">
        <v>996</v>
      </c>
      <c r="B8" s="7"/>
      <c r="C8" s="7"/>
      <c r="D8" s="7"/>
      <c r="E8" s="7"/>
      <c r="F8" s="7"/>
      <c r="G8" s="7"/>
      <c r="H8" s="7"/>
      <c r="I8" s="166"/>
      <c r="J8" s="1808" t="s">
        <v>2289</v>
      </c>
    </row>
    <row r="10" spans="1:10" x14ac:dyDescent="0.2">
      <c r="G10" s="1" t="s">
        <v>630</v>
      </c>
    </row>
    <row r="11" spans="1:10" x14ac:dyDescent="0.2">
      <c r="A11" s="1" t="s">
        <v>632</v>
      </c>
      <c r="G11" s="1" t="s">
        <v>633</v>
      </c>
      <c r="J11" s="1" t="s">
        <v>634</v>
      </c>
    </row>
    <row r="12" spans="1:10" x14ac:dyDescent="0.2">
      <c r="A12" s="9" t="s">
        <v>635</v>
      </c>
      <c r="B12" s="6" t="s">
        <v>636</v>
      </c>
      <c r="C12" s="7"/>
      <c r="D12" s="7"/>
      <c r="E12" s="7"/>
      <c r="F12" s="7"/>
      <c r="G12" s="9" t="s">
        <v>637</v>
      </c>
      <c r="H12" s="7"/>
      <c r="I12" s="8"/>
      <c r="J12" s="9" t="s">
        <v>638</v>
      </c>
    </row>
    <row r="13" spans="1:10" x14ac:dyDescent="0.2">
      <c r="J13" s="1" t="s">
        <v>639</v>
      </c>
    </row>
    <row r="15" spans="1:10" x14ac:dyDescent="0.2">
      <c r="A15" s="1">
        <v>1</v>
      </c>
      <c r="B15" s="4" t="s">
        <v>641</v>
      </c>
      <c r="G15" s="193" t="s">
        <v>642</v>
      </c>
      <c r="J15" s="11">
        <f>'B-2 p.1 Grouping (Base)'!I31</f>
        <v>413147046.36999989</v>
      </c>
    </row>
    <row r="16" spans="1:10" x14ac:dyDescent="0.2">
      <c r="G16" s="194"/>
      <c r="J16" s="11"/>
    </row>
    <row r="17" spans="1:10" x14ac:dyDescent="0.2">
      <c r="A17" s="1">
        <f>A15+1</f>
        <v>2</v>
      </c>
      <c r="B17" s="4" t="s">
        <v>644</v>
      </c>
      <c r="G17" s="193" t="s">
        <v>645</v>
      </c>
      <c r="J17" s="553">
        <v>0</v>
      </c>
    </row>
    <row r="18" spans="1:10" x14ac:dyDescent="0.2">
      <c r="G18" s="194"/>
      <c r="J18" s="10"/>
    </row>
    <row r="19" spans="1:10" x14ac:dyDescent="0.2">
      <c r="A19" s="1">
        <f>A17+1</f>
        <v>3</v>
      </c>
      <c r="B19" s="4" t="s">
        <v>647</v>
      </c>
      <c r="G19" s="193" t="s">
        <v>648</v>
      </c>
      <c r="J19" s="553">
        <v>0</v>
      </c>
    </row>
    <row r="20" spans="1:10" x14ac:dyDescent="0.2">
      <c r="G20" s="194"/>
      <c r="J20" s="11"/>
    </row>
    <row r="21" spans="1:10" x14ac:dyDescent="0.2">
      <c r="A21" s="1">
        <f>A19+1</f>
        <v>4</v>
      </c>
      <c r="B21" s="4" t="s">
        <v>650</v>
      </c>
      <c r="G21" s="193" t="s">
        <v>651</v>
      </c>
      <c r="J21" s="13">
        <f>-'B-3 Accum Dep&amp; Amort (Base)'!K94</f>
        <v>-144486934.45738584</v>
      </c>
    </row>
    <row r="22" spans="1:10" x14ac:dyDescent="0.2">
      <c r="G22" s="194"/>
      <c r="J22" s="11"/>
    </row>
    <row r="23" spans="1:10" x14ac:dyDescent="0.2">
      <c r="A23" s="1">
        <f>A21+1</f>
        <v>5</v>
      </c>
      <c r="B23" s="4" t="s">
        <v>653</v>
      </c>
      <c r="G23" s="194"/>
      <c r="J23" s="11">
        <f>SUM(J15:J21)</f>
        <v>268660111.91261405</v>
      </c>
    </row>
    <row r="24" spans="1:10" x14ac:dyDescent="0.2">
      <c r="G24" s="194"/>
      <c r="J24" s="11"/>
    </row>
    <row r="25" spans="1:10" x14ac:dyDescent="0.2">
      <c r="A25" s="1">
        <f>A23+1</f>
        <v>6</v>
      </c>
      <c r="B25" s="4" t="s">
        <v>658</v>
      </c>
      <c r="G25" s="193" t="s">
        <v>659</v>
      </c>
      <c r="J25" s="11">
        <f>'B-5.2 CWC (Base)'!I30</f>
        <v>4883308.7362500001</v>
      </c>
    </row>
    <row r="26" spans="1:10" x14ac:dyDescent="0.2">
      <c r="G26" s="194"/>
      <c r="J26" s="11"/>
    </row>
    <row r="27" spans="1:10" x14ac:dyDescent="0.2">
      <c r="A27" s="1">
        <f>A25+1</f>
        <v>7</v>
      </c>
      <c r="B27" s="4" t="s">
        <v>661</v>
      </c>
      <c r="G27" s="193" t="s">
        <v>662</v>
      </c>
      <c r="J27" s="10">
        <f>'B-5.1 Working Cap. (Base)'!F23</f>
        <v>43834207.143323086</v>
      </c>
    </row>
    <row r="28" spans="1:10" x14ac:dyDescent="0.2">
      <c r="G28" s="194"/>
      <c r="J28" s="10"/>
    </row>
    <row r="29" spans="1:10" x14ac:dyDescent="0.2">
      <c r="A29" s="1">
        <f>A27+1</f>
        <v>8</v>
      </c>
      <c r="B29" s="4" t="s">
        <v>666</v>
      </c>
      <c r="G29" s="193" t="s">
        <v>664</v>
      </c>
      <c r="J29" s="10">
        <f>'B-6 Def. Cr. &amp; ADIT (Base)'!J36+'B-6 Def. Cr. &amp; ADIT (Base)'!J20+'B-6 Def. Cr. &amp; ADIT (Base)'!J41</f>
        <v>-74663125.852539241</v>
      </c>
    </row>
    <row r="30" spans="1:10" x14ac:dyDescent="0.2">
      <c r="J30" s="11"/>
    </row>
    <row r="31" spans="1:10" x14ac:dyDescent="0.2">
      <c r="A31" s="1">
        <f>A29+1</f>
        <v>9</v>
      </c>
      <c r="B31" s="4" t="s">
        <v>667</v>
      </c>
      <c r="J31" s="554">
        <v>0</v>
      </c>
    </row>
    <row r="33" spans="1:12" x14ac:dyDescent="0.2">
      <c r="A33" s="1">
        <f>A31+1</f>
        <v>10</v>
      </c>
      <c r="B33" s="285" t="s">
        <v>1883</v>
      </c>
      <c r="J33" s="59">
        <f>SUM(J23:J31)</f>
        <v>242714501.93964785</v>
      </c>
      <c r="L33" s="277"/>
    </row>
    <row r="34" spans="1:12" x14ac:dyDescent="0.2">
      <c r="I34" s="11"/>
      <c r="J34" s="11"/>
    </row>
    <row r="38" spans="1:12" x14ac:dyDescent="0.2">
      <c r="A38" s="4"/>
      <c r="B38" s="4"/>
    </row>
    <row r="39" spans="1:12" x14ac:dyDescent="0.2">
      <c r="B39" s="4"/>
    </row>
    <row r="40" spans="1:12" x14ac:dyDescent="0.2">
      <c r="B40" s="4"/>
    </row>
    <row r="41" spans="1:12" x14ac:dyDescent="0.2">
      <c r="B41" s="4"/>
    </row>
  </sheetData>
  <mergeCells count="4">
    <mergeCell ref="A1:J1"/>
    <mergeCell ref="A2:J2"/>
    <mergeCell ref="A3:J3"/>
    <mergeCell ref="A4:J4"/>
  </mergeCells>
  <phoneticPr fontId="0" type="noConversion"/>
  <pageMargins left="1" right="0.5" top="1" bottom="0.75" header="0.3" footer="0.3"/>
  <pageSetup scale="80" fitToHeight="0" orientation="portrait" r:id="rId1"/>
  <headerFooter>
    <oddHeader>&amp;R&amp;"Arial,Regular"&amp;10KY PSC Case No. 2016-00162, Attachment A to Staff 3-4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P114"/>
  <sheetViews>
    <sheetView view="pageBreakPreview" zoomScaleNormal="100" zoomScaleSheetLayoutView="100" workbookViewId="0">
      <selection activeCell="F46" sqref="F46"/>
    </sheetView>
  </sheetViews>
  <sheetFormatPr defaultColWidth="9.33203125" defaultRowHeight="11.25" x14ac:dyDescent="0.2"/>
  <cols>
    <col min="1" max="1" width="8" style="458" bestFit="1" customWidth="1"/>
    <col min="2" max="2" width="31.83203125" style="458" bestFit="1" customWidth="1"/>
    <col min="3" max="3" width="14.5" style="458" bestFit="1" customWidth="1"/>
    <col min="4" max="4" width="10" style="458" bestFit="1" customWidth="1"/>
    <col min="5" max="6" width="9.83203125" style="458" bestFit="1" customWidth="1"/>
    <col min="7" max="7" width="13.5" style="458" bestFit="1" customWidth="1"/>
    <col min="8" max="8" width="11.5" style="458" bestFit="1" customWidth="1"/>
    <col min="9" max="9" width="12" style="458" bestFit="1" customWidth="1"/>
    <col min="10" max="10" width="10.5" style="458" customWidth="1"/>
    <col min="11" max="11" width="15" style="458" customWidth="1"/>
    <col min="12" max="12" width="10.5" style="458" bestFit="1" customWidth="1"/>
    <col min="13" max="13" width="10.83203125" style="458" bestFit="1" customWidth="1"/>
    <col min="14" max="14" width="13" style="458" bestFit="1" customWidth="1"/>
    <col min="15" max="15" width="9.33203125" style="458"/>
    <col min="16" max="16" width="14.1640625" style="458" bestFit="1" customWidth="1"/>
    <col min="17" max="16384" width="9.33203125" style="458"/>
  </cols>
  <sheetData>
    <row r="1" spans="1:16" x14ac:dyDescent="0.2">
      <c r="A1" s="2108" t="str">
        <f>co</f>
        <v>COLUMBIA GAS OF KENTUCKY, INC.</v>
      </c>
      <c r="B1" s="2108"/>
      <c r="C1" s="2108"/>
      <c r="D1" s="2108"/>
      <c r="E1" s="2108"/>
      <c r="F1" s="2108"/>
      <c r="G1" s="2108"/>
      <c r="H1" s="2108"/>
      <c r="I1" s="2108"/>
      <c r="J1" s="2108"/>
    </row>
    <row r="2" spans="1:16" x14ac:dyDescent="0.2">
      <c r="A2" s="2108" t="str">
        <f>case</f>
        <v>CASE NO. 2016 - 00162</v>
      </c>
      <c r="B2" s="2108"/>
      <c r="C2" s="2108"/>
      <c r="D2" s="2108"/>
      <c r="E2" s="2108"/>
      <c r="F2" s="2108"/>
      <c r="G2" s="2108"/>
      <c r="H2" s="2108"/>
      <c r="I2" s="2108"/>
      <c r="J2" s="2108"/>
    </row>
    <row r="3" spans="1:16" x14ac:dyDescent="0.2">
      <c r="A3" s="2108" t="s">
        <v>1782</v>
      </c>
      <c r="B3" s="2108"/>
      <c r="C3" s="2108"/>
      <c r="D3" s="2108"/>
      <c r="E3" s="2108"/>
      <c r="F3" s="2108"/>
      <c r="G3" s="2108"/>
      <c r="H3" s="2108"/>
      <c r="I3" s="2108"/>
      <c r="J3" s="2108"/>
    </row>
    <row r="4" spans="1:16" ht="12.75" x14ac:dyDescent="0.2">
      <c r="A4" s="1343" t="s">
        <v>1317</v>
      </c>
      <c r="B4" s="305"/>
      <c r="C4" s="305"/>
      <c r="D4" s="305"/>
      <c r="E4" s="305"/>
      <c r="F4" s="305"/>
      <c r="H4" s="1343"/>
      <c r="I4" s="1343"/>
      <c r="J4" s="1353" t="s">
        <v>1785</v>
      </c>
    </row>
    <row r="5" spans="1:16" ht="12.75" x14ac:dyDescent="0.2">
      <c r="A5" s="1343" t="s">
        <v>977</v>
      </c>
      <c r="B5" s="570"/>
      <c r="C5" s="570"/>
      <c r="D5" s="570"/>
      <c r="E5" s="570"/>
      <c r="F5" s="570"/>
      <c r="H5" s="1343"/>
      <c r="I5" s="1343"/>
      <c r="J5" s="1353" t="s">
        <v>1299</v>
      </c>
    </row>
    <row r="6" spans="1:16" ht="12.75" x14ac:dyDescent="0.2">
      <c r="A6" s="1354" t="s">
        <v>247</v>
      </c>
      <c r="B6" s="568"/>
      <c r="C6" s="568"/>
      <c r="D6" s="568"/>
      <c r="E6" s="568"/>
      <c r="F6" s="568"/>
      <c r="G6" s="1352"/>
      <c r="H6" s="1354"/>
      <c r="I6" s="1354"/>
      <c r="J6" s="1355" t="str">
        <f>SMK</f>
        <v>WITNESS:  S. M. KATKO</v>
      </c>
    </row>
    <row r="7" spans="1:16" x14ac:dyDescent="0.2">
      <c r="A7" s="459"/>
      <c r="B7" s="459"/>
      <c r="C7" s="1348" t="s">
        <v>1783</v>
      </c>
      <c r="D7" s="459"/>
      <c r="E7" s="459"/>
      <c r="F7" s="459"/>
      <c r="G7" s="459"/>
      <c r="H7" s="459"/>
      <c r="I7" s="459"/>
      <c r="J7" s="457" t="s">
        <v>1125</v>
      </c>
    </row>
    <row r="8" spans="1:16" x14ac:dyDescent="0.2">
      <c r="A8" s="457" t="s">
        <v>1080</v>
      </c>
      <c r="B8" s="460"/>
      <c r="C8" s="1345" t="s">
        <v>1784</v>
      </c>
      <c r="D8" s="461"/>
      <c r="E8" s="461"/>
      <c r="F8" s="462"/>
      <c r="G8" s="462"/>
      <c r="H8" s="462" t="s">
        <v>866</v>
      </c>
      <c r="I8" s="457" t="s">
        <v>866</v>
      </c>
      <c r="J8" s="457" t="s">
        <v>1126</v>
      </c>
    </row>
    <row r="9" spans="1:16" x14ac:dyDescent="0.2">
      <c r="A9" s="463" t="s">
        <v>1081</v>
      </c>
      <c r="B9" s="463" t="s">
        <v>1127</v>
      </c>
      <c r="C9" s="1344" t="s">
        <v>1128</v>
      </c>
      <c r="D9" s="1344" t="s">
        <v>1129</v>
      </c>
      <c r="E9" s="464" t="s">
        <v>868</v>
      </c>
      <c r="F9" s="464" t="s">
        <v>1130</v>
      </c>
      <c r="G9" s="464" t="s">
        <v>868</v>
      </c>
      <c r="H9" s="464" t="s">
        <v>867</v>
      </c>
      <c r="I9" s="463" t="s">
        <v>867</v>
      </c>
      <c r="J9" s="463" t="s">
        <v>1131</v>
      </c>
    </row>
    <row r="10" spans="1:16" x14ac:dyDescent="0.2">
      <c r="A10" s="466"/>
      <c r="B10" s="460"/>
      <c r="C10" s="1345" t="s">
        <v>639</v>
      </c>
      <c r="D10" s="1345" t="s">
        <v>1132</v>
      </c>
      <c r="E10" s="457" t="s">
        <v>639</v>
      </c>
      <c r="F10" s="457" t="s">
        <v>1132</v>
      </c>
      <c r="G10" s="457" t="s">
        <v>639</v>
      </c>
      <c r="H10" s="457" t="s">
        <v>1132</v>
      </c>
      <c r="I10" s="457" t="s">
        <v>639</v>
      </c>
      <c r="J10" s="467" t="s">
        <v>1133</v>
      </c>
    </row>
    <row r="11" spans="1:16" x14ac:dyDescent="0.2">
      <c r="A11" s="466"/>
      <c r="B11" s="460"/>
      <c r="C11" s="1345" t="str">
        <f>"(1)"</f>
        <v>(1)</v>
      </c>
      <c r="D11" s="1345" t="str">
        <f>"(2)"</f>
        <v>(2)</v>
      </c>
      <c r="E11" s="1345" t="str">
        <f>"(3)"</f>
        <v>(3)</v>
      </c>
      <c r="F11" s="1345" t="str">
        <f>"(4)"</f>
        <v>(4)</v>
      </c>
      <c r="G11" s="1345" t="str">
        <f>"(5)"</f>
        <v>(5)</v>
      </c>
      <c r="H11" s="1345" t="str">
        <f>"(6)"</f>
        <v>(6)</v>
      </c>
      <c r="I11" s="1345" t="str">
        <f>"(7)"</f>
        <v>(7)</v>
      </c>
      <c r="J11" s="1345" t="str">
        <f>"(8)"</f>
        <v>(8)</v>
      </c>
      <c r="L11" s="226"/>
    </row>
    <row r="12" spans="1:16" x14ac:dyDescent="0.2">
      <c r="A12" s="466">
        <v>1</v>
      </c>
      <c r="B12" s="470">
        <v>42004</v>
      </c>
      <c r="C12" s="1349">
        <v>50985597</v>
      </c>
      <c r="D12" s="1346">
        <v>118978</v>
      </c>
      <c r="E12" s="471">
        <f>ROUND(D12*J12,2)</f>
        <v>0</v>
      </c>
      <c r="F12" s="472">
        <v>933093</v>
      </c>
      <c r="G12" s="473">
        <f>ROUND(F12*J12,2)</f>
        <v>0</v>
      </c>
      <c r="H12" s="475">
        <v>9502685</v>
      </c>
      <c r="I12" s="476">
        <v>50985597</v>
      </c>
      <c r="J12" s="477"/>
      <c r="L12" s="226"/>
      <c r="M12" s="226"/>
      <c r="N12" s="226"/>
      <c r="O12" s="226"/>
      <c r="P12" s="226"/>
    </row>
    <row r="13" spans="1:16" x14ac:dyDescent="0.2">
      <c r="A13" s="466">
        <f>A12+1</f>
        <v>2</v>
      </c>
      <c r="B13" s="470">
        <v>42035</v>
      </c>
      <c r="C13" s="1350">
        <f>I13</f>
        <v>38512092.850000001</v>
      </c>
      <c r="D13" s="1346">
        <v>119748</v>
      </c>
      <c r="E13" s="471">
        <f>ROUND(D13*J13,2)</f>
        <v>447618.02</v>
      </c>
      <c r="F13" s="1734">
        <v>3456694</v>
      </c>
      <c r="G13" s="473">
        <f>ROUND(F13*J13,2)</f>
        <v>12921122.17</v>
      </c>
      <c r="H13" s="473">
        <f>H12+D13-F13</f>
        <v>6165739</v>
      </c>
      <c r="I13" s="478">
        <f>I12+E13-G13</f>
        <v>38512092.850000001</v>
      </c>
      <c r="J13" s="1736">
        <v>3.738</v>
      </c>
    </row>
    <row r="14" spans="1:16" x14ac:dyDescent="0.2">
      <c r="A14" s="466">
        <f t="shared" ref="A14:A36" si="0">A13+1</f>
        <v>3</v>
      </c>
      <c r="B14" s="479" t="s">
        <v>1134</v>
      </c>
      <c r="C14" s="1349"/>
      <c r="D14" s="556">
        <f>D13</f>
        <v>119748</v>
      </c>
      <c r="E14" s="471"/>
      <c r="F14" s="1735">
        <f>F13</f>
        <v>3456694</v>
      </c>
      <c r="G14" s="473"/>
      <c r="I14" s="473">
        <f>(D14-F14)*J14</f>
        <v>2586133.15</v>
      </c>
      <c r="J14" s="1737">
        <f>J15-J13</f>
        <v>-0.77499999999999991</v>
      </c>
    </row>
    <row r="15" spans="1:16" x14ac:dyDescent="0.2">
      <c r="A15" s="466">
        <f t="shared" si="0"/>
        <v>4</v>
      </c>
      <c r="B15" s="1733" t="s">
        <v>2259</v>
      </c>
      <c r="C15" s="1350">
        <f>I15</f>
        <v>35265844.950000003</v>
      </c>
      <c r="D15" s="1346">
        <v>37324</v>
      </c>
      <c r="E15" s="471">
        <f>ROUND(D15*J15,2)</f>
        <v>110591.01</v>
      </c>
      <c r="F15" s="1734">
        <v>2005728</v>
      </c>
      <c r="G15" s="473">
        <f>ROUND(F15*J15,2)</f>
        <v>5942972.0599999996</v>
      </c>
      <c r="H15" s="473">
        <f>H13+D15-F15</f>
        <v>4197335</v>
      </c>
      <c r="I15" s="478">
        <f>I13+E15-G15+I14</f>
        <v>35265844.950000003</v>
      </c>
      <c r="J15" s="1736">
        <v>2.9630000000000001</v>
      </c>
    </row>
    <row r="16" spans="1:16" x14ac:dyDescent="0.2">
      <c r="A16" s="466">
        <f t="shared" si="0"/>
        <v>5</v>
      </c>
      <c r="B16" s="479" t="s">
        <v>1134</v>
      </c>
      <c r="C16" s="1349"/>
      <c r="D16" s="556">
        <f>D14+D15</f>
        <v>157072</v>
      </c>
      <c r="E16" s="471"/>
      <c r="F16" s="1735">
        <f>F14+F15</f>
        <v>5462422</v>
      </c>
      <c r="G16" s="473"/>
      <c r="H16" s="473"/>
      <c r="I16" s="473">
        <f>(D16-F16)*J16</f>
        <v>-270572.84999999846</v>
      </c>
      <c r="J16" s="1737">
        <f>J17-J15</f>
        <v>5.0999999999999712E-2</v>
      </c>
    </row>
    <row r="17" spans="1:16" x14ac:dyDescent="0.2">
      <c r="A17" s="466">
        <f t="shared" si="0"/>
        <v>6</v>
      </c>
      <c r="B17" s="470">
        <v>42094</v>
      </c>
      <c r="C17" s="1350">
        <f>I17</f>
        <v>30561304.360000003</v>
      </c>
      <c r="D17" s="1346">
        <v>76878</v>
      </c>
      <c r="E17" s="471">
        <f>ROUND(D17*J17,2)</f>
        <v>231710.29</v>
      </c>
      <c r="F17" s="1734">
        <v>1548002</v>
      </c>
      <c r="G17" s="473">
        <f>ROUND(F17*J17,2)</f>
        <v>4665678.03</v>
      </c>
      <c r="H17" s="473">
        <f>H15+D17-F17</f>
        <v>2726211</v>
      </c>
      <c r="I17" s="478">
        <f>I15+E17-G17+I16</f>
        <v>30561304.360000003</v>
      </c>
      <c r="J17" s="1736">
        <v>3.0139999999999998</v>
      </c>
    </row>
    <row r="18" spans="1:16" x14ac:dyDescent="0.2">
      <c r="A18" s="466">
        <f t="shared" si="0"/>
        <v>7</v>
      </c>
      <c r="B18" s="479" t="s">
        <v>1134</v>
      </c>
      <c r="C18" s="1349"/>
      <c r="D18" s="556">
        <f>D16+D17</f>
        <v>233950</v>
      </c>
      <c r="E18" s="471"/>
      <c r="F18" s="1735">
        <f>F16+F17</f>
        <v>7010424</v>
      </c>
      <c r="G18" s="473"/>
      <c r="H18" s="473"/>
      <c r="I18" s="473">
        <f>(D18-F18)*J18</f>
        <v>-47435.318000000792</v>
      </c>
      <c r="J18" s="1737">
        <f>J19-J17</f>
        <v>7.0000000000001172E-3</v>
      </c>
    </row>
    <row r="19" spans="1:16" x14ac:dyDescent="0.2">
      <c r="A19" s="466">
        <f t="shared" si="0"/>
        <v>8</v>
      </c>
      <c r="B19" s="470">
        <v>42124</v>
      </c>
      <c r="C19" s="1350">
        <f>I19</f>
        <v>34074404.542000003</v>
      </c>
      <c r="D19" s="1346">
        <v>1234818</v>
      </c>
      <c r="E19" s="471">
        <f>ROUND(D19*J19,2)</f>
        <v>3730385.18</v>
      </c>
      <c r="F19" s="1734">
        <v>56223</v>
      </c>
      <c r="G19" s="473">
        <f>ROUND(F19*J19,2)</f>
        <v>169849.68</v>
      </c>
      <c r="H19" s="473">
        <f>H17+D19-F19</f>
        <v>3904806</v>
      </c>
      <c r="I19" s="478">
        <f>I17+E19-G19+I18</f>
        <v>34074404.542000003</v>
      </c>
      <c r="J19" s="1736">
        <v>3.0209999999999999</v>
      </c>
    </row>
    <row r="20" spans="1:16" x14ac:dyDescent="0.2">
      <c r="A20" s="466">
        <f t="shared" si="0"/>
        <v>9</v>
      </c>
      <c r="B20" s="479" t="s">
        <v>1134</v>
      </c>
      <c r="C20" s="1349"/>
      <c r="D20" s="556">
        <f>D18+D19</f>
        <v>1468768</v>
      </c>
      <c r="E20" s="471"/>
      <c r="F20" s="1735">
        <f>F18+F19</f>
        <v>7066647</v>
      </c>
      <c r="G20" s="473"/>
      <c r="H20" s="473"/>
      <c r="I20" s="473">
        <f>(D20-F20)*J20</f>
        <v>-425438.80400000035</v>
      </c>
      <c r="J20" s="1737">
        <f>J21-J19</f>
        <v>7.6000000000000068E-2</v>
      </c>
    </row>
    <row r="21" spans="1:16" x14ac:dyDescent="0.2">
      <c r="A21" s="466">
        <f t="shared" si="0"/>
        <v>10</v>
      </c>
      <c r="B21" s="470">
        <v>42155</v>
      </c>
      <c r="C21" s="1350">
        <f>I21</f>
        <v>39571600.408000007</v>
      </c>
      <c r="D21" s="1346">
        <v>1912611</v>
      </c>
      <c r="E21" s="471">
        <f>ROUND(D21*J21,2)</f>
        <v>5923356.2699999996</v>
      </c>
      <c r="F21" s="1734">
        <v>233</v>
      </c>
      <c r="G21" s="473">
        <f>ROUND(F21*J21,2)</f>
        <v>721.6</v>
      </c>
      <c r="H21" s="473">
        <f>H19+D21-F21</f>
        <v>5817184</v>
      </c>
      <c r="I21" s="478">
        <f>I19+E21-G21+I20</f>
        <v>39571600.408000007</v>
      </c>
      <c r="J21" s="1736">
        <v>3.097</v>
      </c>
    </row>
    <row r="22" spans="1:16" x14ac:dyDescent="0.2">
      <c r="A22" s="466">
        <f t="shared" si="0"/>
        <v>11</v>
      </c>
      <c r="B22" s="479" t="s">
        <v>1134</v>
      </c>
      <c r="C22" s="1349"/>
      <c r="D22" s="556">
        <f>D20+D21</f>
        <v>3381379</v>
      </c>
      <c r="E22" s="471"/>
      <c r="F22" s="1735">
        <f>F20+F21</f>
        <v>7066880</v>
      </c>
      <c r="G22" s="473"/>
      <c r="H22" s="473"/>
      <c r="I22" s="473">
        <f>(D22-F22)*J22</f>
        <v>-62653.516999999643</v>
      </c>
      <c r="J22" s="1737">
        <f>J23-J21</f>
        <v>1.6999999999999904E-2</v>
      </c>
    </row>
    <row r="23" spans="1:16" x14ac:dyDescent="0.2">
      <c r="A23" s="466">
        <f t="shared" si="0"/>
        <v>12</v>
      </c>
      <c r="B23" s="470">
        <v>42185</v>
      </c>
      <c r="C23" s="1350">
        <f>I23</f>
        <v>41286402.521000013</v>
      </c>
      <c r="D23" s="1346">
        <v>646635</v>
      </c>
      <c r="E23" s="471">
        <f>ROUND(D23*J23,2)</f>
        <v>2013621.39</v>
      </c>
      <c r="F23" s="1734">
        <v>75840</v>
      </c>
      <c r="G23" s="473">
        <f>ROUND(F23*J23,2)</f>
        <v>236165.76000000001</v>
      </c>
      <c r="H23" s="473">
        <f>H21+D23-F23</f>
        <v>6387979</v>
      </c>
      <c r="I23" s="478">
        <f>I21+E23-G23+I22</f>
        <v>41286402.521000013</v>
      </c>
      <c r="J23" s="1736">
        <v>3.1139999999999999</v>
      </c>
      <c r="L23" s="226"/>
      <c r="M23" s="226"/>
      <c r="N23" s="226"/>
      <c r="O23" s="226"/>
      <c r="P23" s="226"/>
    </row>
    <row r="24" spans="1:16" x14ac:dyDescent="0.2">
      <c r="A24" s="466">
        <f t="shared" si="0"/>
        <v>13</v>
      </c>
      <c r="B24" s="479" t="s">
        <v>1134</v>
      </c>
      <c r="C24" s="1349"/>
      <c r="D24" s="556">
        <f>D22+D23</f>
        <v>4028014</v>
      </c>
      <c r="E24" s="471"/>
      <c r="F24" s="1735">
        <f>F22+F23</f>
        <v>7142720</v>
      </c>
      <c r="G24" s="473"/>
      <c r="H24" s="473"/>
      <c r="I24" s="473">
        <f>(D24-F24)*J24</f>
        <v>-90326.47399999974</v>
      </c>
      <c r="J24" s="1737">
        <f>J25-J23</f>
        <v>2.8999999999999915E-2</v>
      </c>
    </row>
    <row r="25" spans="1:16" x14ac:dyDescent="0.2">
      <c r="A25" s="466">
        <f t="shared" si="0"/>
        <v>14</v>
      </c>
      <c r="B25" s="470">
        <v>42216</v>
      </c>
      <c r="C25" s="1350">
        <f>I25</f>
        <v>45130430.017000012</v>
      </c>
      <c r="D25" s="1346">
        <v>1391062</v>
      </c>
      <c r="E25" s="471">
        <f>ROUND(D25*J25,2)</f>
        <v>4372107.87</v>
      </c>
      <c r="F25" s="1734">
        <v>139279</v>
      </c>
      <c r="G25" s="473">
        <f>ROUND(F25*J25,2)</f>
        <v>437753.9</v>
      </c>
      <c r="H25" s="473">
        <f>H23+D25-F25</f>
        <v>7639762</v>
      </c>
      <c r="I25" s="478">
        <f>I23+E25-G25+I24</f>
        <v>45130430.017000012</v>
      </c>
      <c r="J25" s="1736">
        <v>3.1429999999999998</v>
      </c>
    </row>
    <row r="26" spans="1:16" x14ac:dyDescent="0.2">
      <c r="A26" s="466">
        <f t="shared" si="0"/>
        <v>15</v>
      </c>
      <c r="B26" s="479" t="s">
        <v>1134</v>
      </c>
      <c r="C26" s="1349"/>
      <c r="D26" s="556">
        <f>D24+D25</f>
        <v>5419076</v>
      </c>
      <c r="E26" s="471"/>
      <c r="F26" s="1735">
        <f>F24+F25</f>
        <v>7281999</v>
      </c>
      <c r="G26" s="473"/>
      <c r="H26" s="473"/>
      <c r="I26" s="473">
        <f>(D26-F26)*J26</f>
        <v>1862.9229999997949</v>
      </c>
      <c r="J26" s="1737">
        <f>J27-J25</f>
        <v>-9.9999999999988987E-4</v>
      </c>
    </row>
    <row r="27" spans="1:16" x14ac:dyDescent="0.2">
      <c r="A27" s="466">
        <f t="shared" si="0"/>
        <v>16</v>
      </c>
      <c r="B27" s="470">
        <v>42247</v>
      </c>
      <c r="C27" s="1350">
        <f>I27</f>
        <v>49793980.940000013</v>
      </c>
      <c r="D27" s="1346">
        <v>1483836</v>
      </c>
      <c r="E27" s="471">
        <f>ROUND(D27*J27,2)</f>
        <v>4662212.71</v>
      </c>
      <c r="F27" s="1734">
        <v>167</v>
      </c>
      <c r="G27" s="473">
        <f>ROUND(F27*J27,2)</f>
        <v>524.71</v>
      </c>
      <c r="H27" s="473">
        <f>H25+D27-F27</f>
        <v>9123431</v>
      </c>
      <c r="I27" s="478">
        <f>I25+E27-G27+I26</f>
        <v>49793980.940000013</v>
      </c>
      <c r="J27" s="1736">
        <v>3.1419999999999999</v>
      </c>
    </row>
    <row r="28" spans="1:16" x14ac:dyDescent="0.2">
      <c r="A28" s="466">
        <f t="shared" si="0"/>
        <v>17</v>
      </c>
      <c r="B28" s="479" t="s">
        <v>1134</v>
      </c>
      <c r="C28" s="1349"/>
      <c r="D28" s="556">
        <f>D26+D27</f>
        <v>6902912</v>
      </c>
      <c r="E28" s="471"/>
      <c r="F28" s="1735">
        <f>F26+F27</f>
        <v>7282166</v>
      </c>
      <c r="G28" s="473"/>
      <c r="H28" s="473"/>
      <c r="I28" s="473">
        <f>(D28-F28)*J28</f>
        <v>-23513.748000000105</v>
      </c>
      <c r="J28" s="1737">
        <f>J29-J27</f>
        <v>6.2000000000000277E-2</v>
      </c>
    </row>
    <row r="29" spans="1:16" x14ac:dyDescent="0.2">
      <c r="A29" s="466">
        <f t="shared" si="0"/>
        <v>18</v>
      </c>
      <c r="B29" s="470">
        <v>42277</v>
      </c>
      <c r="C29" s="1350">
        <f>I29</f>
        <v>53448848.22200001</v>
      </c>
      <c r="D29" s="1346">
        <v>1137183</v>
      </c>
      <c r="E29" s="471">
        <f>ROUND(D29*J29,2)</f>
        <v>3643534.33</v>
      </c>
      <c r="F29" s="1734">
        <v>-10876</v>
      </c>
      <c r="G29" s="473">
        <f>ROUND(F29*J29,2)</f>
        <v>-34846.699999999997</v>
      </c>
      <c r="H29" s="473">
        <f>H27+D29-F29</f>
        <v>10271490</v>
      </c>
      <c r="I29" s="478">
        <f>I27+E29-G29+I28</f>
        <v>53448848.22200001</v>
      </c>
      <c r="J29" s="1736">
        <v>3.2040000000000002</v>
      </c>
    </row>
    <row r="30" spans="1:16" x14ac:dyDescent="0.2">
      <c r="A30" s="466">
        <f t="shared" si="0"/>
        <v>19</v>
      </c>
      <c r="B30" s="479" t="s">
        <v>1134</v>
      </c>
      <c r="C30" s="1349"/>
      <c r="D30" s="556">
        <f>D28+D29</f>
        <v>8040095</v>
      </c>
      <c r="E30" s="471"/>
      <c r="F30" s="1735">
        <f>F28+F29</f>
        <v>7271290</v>
      </c>
      <c r="G30" s="473"/>
      <c r="H30" s="473"/>
      <c r="I30" s="473">
        <f>(D30-F30)*J30</f>
        <v>-93025.404999999999</v>
      </c>
      <c r="J30" s="1737">
        <f>J31-J29</f>
        <v>-0.121</v>
      </c>
    </row>
    <row r="31" spans="1:16" x14ac:dyDescent="0.2">
      <c r="A31" s="466">
        <f t="shared" si="0"/>
        <v>20</v>
      </c>
      <c r="B31" s="470">
        <v>42308</v>
      </c>
      <c r="C31" s="1350">
        <f>I31</f>
        <v>54141910.737000011</v>
      </c>
      <c r="D31" s="1346">
        <v>500161</v>
      </c>
      <c r="E31" s="471">
        <f>ROUND(D31*J31,2)</f>
        <v>1541996.36</v>
      </c>
      <c r="F31" s="1734">
        <v>245186</v>
      </c>
      <c r="G31" s="473">
        <f>ROUND(F31*J31,2)</f>
        <v>755908.44</v>
      </c>
      <c r="H31" s="473">
        <f>H29+D31-F31</f>
        <v>10526465</v>
      </c>
      <c r="I31" s="478">
        <f>I29+E31-G31+I30</f>
        <v>54141910.737000011</v>
      </c>
      <c r="J31" s="1736">
        <v>3.0830000000000002</v>
      </c>
    </row>
    <row r="32" spans="1:16" x14ac:dyDescent="0.2">
      <c r="A32" s="466">
        <f t="shared" si="0"/>
        <v>21</v>
      </c>
      <c r="B32" s="479" t="s">
        <v>1134</v>
      </c>
      <c r="C32" s="1349"/>
      <c r="D32" s="556">
        <f>D30+D31</f>
        <v>8540256</v>
      </c>
      <c r="E32" s="471"/>
      <c r="F32" s="1735">
        <f>F30+F31</f>
        <v>7516476</v>
      </c>
      <c r="G32" s="473"/>
      <c r="H32" s="473"/>
      <c r="I32" s="473">
        <f>(D32-F32)*J32</f>
        <v>-45046.320000000043</v>
      </c>
      <c r="J32" s="1737">
        <f>J33-J31</f>
        <v>-4.4000000000000039E-2</v>
      </c>
    </row>
    <row r="33" spans="1:10" x14ac:dyDescent="0.2">
      <c r="A33" s="466">
        <f t="shared" si="0"/>
        <v>22</v>
      </c>
      <c r="B33" s="470">
        <v>42338</v>
      </c>
      <c r="C33" s="1350">
        <f>I33</f>
        <v>52375824.017000012</v>
      </c>
      <c r="D33" s="1346">
        <v>162531</v>
      </c>
      <c r="E33" s="471">
        <f>ROUND(D33*J33,2)</f>
        <v>493931.71</v>
      </c>
      <c r="F33" s="1734">
        <v>728849</v>
      </c>
      <c r="G33" s="473">
        <f>ROUND(F33*J33,2)</f>
        <v>2214972.11</v>
      </c>
      <c r="H33" s="473">
        <f>H31+D33-F33</f>
        <v>9960147</v>
      </c>
      <c r="I33" s="478">
        <f>I31+E33-G33+I32</f>
        <v>52375824.017000012</v>
      </c>
      <c r="J33" s="1736">
        <v>3.0390000000000001</v>
      </c>
    </row>
    <row r="34" spans="1:10" x14ac:dyDescent="0.2">
      <c r="A34" s="466">
        <f t="shared" si="0"/>
        <v>23</v>
      </c>
      <c r="B34" s="479" t="s">
        <v>1134</v>
      </c>
      <c r="C34" s="1349"/>
      <c r="D34" s="556">
        <f>D32+D33</f>
        <v>8702787</v>
      </c>
      <c r="E34" s="471"/>
      <c r="F34" s="1735">
        <f>F32+F33</f>
        <v>8245325</v>
      </c>
      <c r="G34" s="473"/>
      <c r="H34" s="473"/>
      <c r="I34" s="1740">
        <f>((D34-F34)*J34)-(953149*1.7383)</f>
        <v>-1632613.4206999999</v>
      </c>
      <c r="J34" s="1737">
        <f>J35-J33</f>
        <v>5.2999999999999936E-2</v>
      </c>
    </row>
    <row r="35" spans="1:10" x14ac:dyDescent="0.2">
      <c r="A35" s="466">
        <f t="shared" si="0"/>
        <v>24</v>
      </c>
      <c r="B35" s="470">
        <v>42369</v>
      </c>
      <c r="C35" s="1350">
        <f>I35</f>
        <v>46381601.386300012</v>
      </c>
      <c r="D35" s="1346">
        <v>34056</v>
      </c>
      <c r="E35" s="471">
        <f>ROUND(D35*J35,2)</f>
        <v>105301.15</v>
      </c>
      <c r="F35" s="1734">
        <v>1444667</v>
      </c>
      <c r="G35" s="473">
        <f>ROUND(F35*J35,2)</f>
        <v>4466910.3600000003</v>
      </c>
      <c r="H35" s="473">
        <f>H33+D35-F35</f>
        <v>8549536</v>
      </c>
      <c r="I35" s="478">
        <f>I33+E35-G35+I34</f>
        <v>46381601.386300012</v>
      </c>
      <c r="J35" s="1736">
        <v>3.0920000000000001</v>
      </c>
    </row>
    <row r="36" spans="1:10" x14ac:dyDescent="0.2">
      <c r="A36" s="466">
        <f t="shared" si="0"/>
        <v>25</v>
      </c>
      <c r="B36" s="2035" t="s">
        <v>1135</v>
      </c>
      <c r="C36" s="2036">
        <v>46381601.875799999</v>
      </c>
      <c r="D36" s="556">
        <f>D34+D35</f>
        <v>8736843</v>
      </c>
      <c r="E36" s="471"/>
      <c r="F36" s="480">
        <f>F35+F34</f>
        <v>9689992</v>
      </c>
      <c r="G36" s="473"/>
      <c r="H36" s="2033">
        <v>8549536</v>
      </c>
      <c r="I36" s="2034">
        <v>46381601.875799999</v>
      </c>
    </row>
    <row r="37" spans="1:10" x14ac:dyDescent="0.2">
      <c r="A37" s="466"/>
      <c r="B37" s="484"/>
      <c r="C37" s="1351"/>
      <c r="D37" s="556"/>
      <c r="E37" s="471"/>
      <c r="F37" s="480"/>
      <c r="G37" s="473"/>
      <c r="H37" s="485"/>
      <c r="I37" s="486"/>
    </row>
    <row r="38" spans="1:10" x14ac:dyDescent="0.2">
      <c r="A38" s="466">
        <f>A36+1</f>
        <v>26</v>
      </c>
      <c r="B38" s="470">
        <v>42400</v>
      </c>
      <c r="C38" s="1350">
        <f>I38</f>
        <v>38950207.715800002</v>
      </c>
      <c r="D38" s="1346">
        <v>155459</v>
      </c>
      <c r="E38" s="471">
        <f>ROUND(D38*J38,2)</f>
        <v>406680.74</v>
      </c>
      <c r="F38" s="472">
        <v>2996206</v>
      </c>
      <c r="G38" s="473">
        <f>ROUND(F38*J38,2)</f>
        <v>7838074.9000000004</v>
      </c>
      <c r="H38" s="473">
        <f>H36+D38-F38</f>
        <v>5708789</v>
      </c>
      <c r="I38" s="478">
        <f>I36+E38-G38</f>
        <v>38950207.715800002</v>
      </c>
      <c r="J38" s="477">
        <v>2.6160000000000001</v>
      </c>
    </row>
    <row r="39" spans="1:10" x14ac:dyDescent="0.2">
      <c r="A39" s="466">
        <f>A38+1</f>
        <v>27</v>
      </c>
      <c r="B39" s="479" t="s">
        <v>1134</v>
      </c>
      <c r="C39" s="1350"/>
      <c r="D39" s="556">
        <f>D38</f>
        <v>155459</v>
      </c>
      <c r="E39" s="471"/>
      <c r="F39" s="556">
        <f>F38</f>
        <v>2996206</v>
      </c>
      <c r="G39" s="473"/>
      <c r="H39" s="473"/>
      <c r="I39" s="473">
        <f>(D39-F39)*J39</f>
        <v>355093.375</v>
      </c>
      <c r="J39" s="1737">
        <f>J40-J38</f>
        <v>-0.125</v>
      </c>
    </row>
    <row r="40" spans="1:10" x14ac:dyDescent="0.2">
      <c r="A40" s="466">
        <f t="shared" ref="A40:A57" si="1">A39+1</f>
        <v>28</v>
      </c>
      <c r="B40" s="470">
        <v>42428</v>
      </c>
      <c r="C40" s="1350">
        <f t="shared" ref="C40:C56" si="2">I40</f>
        <v>34495822.770800009</v>
      </c>
      <c r="D40" s="1346">
        <v>29609</v>
      </c>
      <c r="E40" s="471">
        <f>ROUND(D40*J40,2)</f>
        <v>73756.02</v>
      </c>
      <c r="F40" s="472">
        <v>1960351</v>
      </c>
      <c r="G40" s="473">
        <f>ROUND(F40*J40,2)</f>
        <v>4883234.34</v>
      </c>
      <c r="H40" s="473">
        <f>H38+D40-F40</f>
        <v>3778047</v>
      </c>
      <c r="I40" s="478">
        <f>I38+E40-G40+I39</f>
        <v>34495822.770800009</v>
      </c>
      <c r="J40" s="477">
        <v>2.4910000000000001</v>
      </c>
    </row>
    <row r="41" spans="1:10" x14ac:dyDescent="0.2">
      <c r="A41" s="466">
        <f t="shared" si="1"/>
        <v>29</v>
      </c>
      <c r="B41" s="479" t="s">
        <v>1134</v>
      </c>
      <c r="C41" s="1350"/>
      <c r="D41" s="556">
        <f>D39+D40</f>
        <v>185068</v>
      </c>
      <c r="E41" s="471"/>
      <c r="F41" s="480">
        <f>F40+F39</f>
        <v>4956557</v>
      </c>
      <c r="G41" s="473"/>
      <c r="H41" s="473"/>
      <c r="I41" s="473">
        <f>(D41-F41)*J41</f>
        <v>-596436.125</v>
      </c>
      <c r="J41" s="481">
        <f>J42-J40</f>
        <v>0.125</v>
      </c>
    </row>
    <row r="42" spans="1:10" x14ac:dyDescent="0.2">
      <c r="A42" s="466">
        <f t="shared" si="1"/>
        <v>30</v>
      </c>
      <c r="B42" s="470">
        <v>42460</v>
      </c>
      <c r="C42" s="1350">
        <f t="shared" si="2"/>
        <v>30430570.645800009</v>
      </c>
      <c r="D42" s="1346">
        <v>17000</v>
      </c>
      <c r="E42" s="471">
        <f>ROUND(D42*J42,2)</f>
        <v>44472</v>
      </c>
      <c r="F42" s="472">
        <v>1343000</v>
      </c>
      <c r="G42" s="473">
        <f>ROUND(F42*J42,2)</f>
        <v>3513288</v>
      </c>
      <c r="H42" s="473">
        <f>H40+D42-F42</f>
        <v>2452047</v>
      </c>
      <c r="I42" s="478">
        <f>I40+E42-G42+I41</f>
        <v>30430570.645800009</v>
      </c>
      <c r="J42" s="477">
        <v>2.6160000000000001</v>
      </c>
    </row>
    <row r="43" spans="1:10" x14ac:dyDescent="0.2">
      <c r="A43" s="466">
        <f t="shared" si="1"/>
        <v>31</v>
      </c>
      <c r="B43" s="479" t="s">
        <v>1134</v>
      </c>
      <c r="C43" s="1350"/>
      <c r="D43" s="556">
        <f>D41+D42</f>
        <v>202068</v>
      </c>
      <c r="E43" s="471"/>
      <c r="F43" s="480">
        <f>F42+F41</f>
        <v>6299557</v>
      </c>
      <c r="G43" s="473"/>
      <c r="H43" s="473"/>
      <c r="I43" s="473">
        <f>(D43-F43)*J43</f>
        <v>0</v>
      </c>
      <c r="J43" s="481">
        <f>J44-J42</f>
        <v>0</v>
      </c>
    </row>
    <row r="44" spans="1:10" x14ac:dyDescent="0.2">
      <c r="A44" s="466">
        <f t="shared" si="1"/>
        <v>32</v>
      </c>
      <c r="B44" s="470">
        <v>42490</v>
      </c>
      <c r="C44" s="1350">
        <f t="shared" si="2"/>
        <v>32821594.645800009</v>
      </c>
      <c r="D44" s="1346">
        <v>914000</v>
      </c>
      <c r="E44" s="471">
        <f>ROUND(D44*J44,2)</f>
        <v>2391024</v>
      </c>
      <c r="F44" s="472">
        <v>0</v>
      </c>
      <c r="G44" s="473">
        <f>ROUND(F44*J44,2)</f>
        <v>0</v>
      </c>
      <c r="H44" s="473">
        <f>H42+D44-F44</f>
        <v>3366047</v>
      </c>
      <c r="I44" s="478">
        <f>I42+E44-G44+I43</f>
        <v>32821594.645800009</v>
      </c>
      <c r="J44" s="477">
        <v>2.6160000000000001</v>
      </c>
    </row>
    <row r="45" spans="1:10" x14ac:dyDescent="0.2">
      <c r="A45" s="466">
        <f t="shared" si="1"/>
        <v>33</v>
      </c>
      <c r="B45" s="479" t="s">
        <v>1134</v>
      </c>
      <c r="C45" s="1350"/>
      <c r="D45" s="556">
        <f>D43+D44</f>
        <v>1116068</v>
      </c>
      <c r="E45" s="471"/>
      <c r="F45" s="480">
        <f>F44+F43</f>
        <v>6299557</v>
      </c>
      <c r="G45" s="473"/>
      <c r="H45" s="473"/>
      <c r="I45" s="473">
        <f>(D45-F45)*J45</f>
        <v>0</v>
      </c>
      <c r="J45" s="481">
        <f>J46-J44</f>
        <v>0</v>
      </c>
    </row>
    <row r="46" spans="1:10" x14ac:dyDescent="0.2">
      <c r="A46" s="466">
        <f t="shared" si="1"/>
        <v>34</v>
      </c>
      <c r="B46" s="470">
        <v>42521</v>
      </c>
      <c r="C46" s="1350">
        <f t="shared" si="2"/>
        <v>36676401.445800006</v>
      </c>
      <c r="D46" s="1346">
        <v>1473550</v>
      </c>
      <c r="E46" s="471">
        <f>ROUND(D46*J46,2)</f>
        <v>3854806.8</v>
      </c>
      <c r="F46" s="472">
        <v>0</v>
      </c>
      <c r="G46" s="473">
        <f>ROUND(F46*J46,2)</f>
        <v>0</v>
      </c>
      <c r="H46" s="473">
        <f>H44+D46-F46</f>
        <v>4839597</v>
      </c>
      <c r="I46" s="478">
        <f>I44+E46-G46+I45</f>
        <v>36676401.445800006</v>
      </c>
      <c r="J46" s="477">
        <v>2.6160000000000001</v>
      </c>
    </row>
    <row r="47" spans="1:10" x14ac:dyDescent="0.2">
      <c r="A47" s="466">
        <f t="shared" si="1"/>
        <v>35</v>
      </c>
      <c r="B47" s="479" t="s">
        <v>1134</v>
      </c>
      <c r="C47" s="1350"/>
      <c r="D47" s="556">
        <f>D45+D46</f>
        <v>2589618</v>
      </c>
      <c r="E47" s="471"/>
      <c r="F47" s="480">
        <f>F46+F45</f>
        <v>6299557</v>
      </c>
      <c r="G47" s="473"/>
      <c r="H47" s="473"/>
      <c r="I47" s="473">
        <f>(D47-F47)*J47</f>
        <v>0</v>
      </c>
      <c r="J47" s="481">
        <f>J48-J46</f>
        <v>0</v>
      </c>
    </row>
    <row r="48" spans="1:10" x14ac:dyDescent="0.2">
      <c r="A48" s="466">
        <f t="shared" si="1"/>
        <v>36</v>
      </c>
      <c r="B48" s="470">
        <v>42551</v>
      </c>
      <c r="C48" s="1350">
        <f t="shared" si="2"/>
        <v>40531208.245800003</v>
      </c>
      <c r="D48" s="1346">
        <v>1473550</v>
      </c>
      <c r="E48" s="471">
        <f>ROUND(D48*J48,2)</f>
        <v>3854806.8</v>
      </c>
      <c r="F48" s="472">
        <v>0</v>
      </c>
      <c r="G48" s="473">
        <f>ROUND(F48*J48,2)</f>
        <v>0</v>
      </c>
      <c r="H48" s="473">
        <f>H46+D48-F48</f>
        <v>6313147</v>
      </c>
      <c r="I48" s="478">
        <f>I46+E48-G48+I47</f>
        <v>40531208.245800003</v>
      </c>
      <c r="J48" s="477">
        <v>2.6160000000000001</v>
      </c>
    </row>
    <row r="49" spans="1:13" x14ac:dyDescent="0.2">
      <c r="A49" s="466">
        <f t="shared" si="1"/>
        <v>37</v>
      </c>
      <c r="B49" s="479" t="s">
        <v>1134</v>
      </c>
      <c r="C49" s="1350"/>
      <c r="D49" s="556">
        <f>D47+D48</f>
        <v>4063168</v>
      </c>
      <c r="E49" s="471"/>
      <c r="F49" s="480">
        <f>F48+F47</f>
        <v>6299557</v>
      </c>
      <c r="G49" s="473"/>
      <c r="H49" s="473"/>
      <c r="I49" s="473">
        <f>(D49-F49)*J49</f>
        <v>0</v>
      </c>
      <c r="J49" s="481">
        <f>J50-J48</f>
        <v>0</v>
      </c>
    </row>
    <row r="50" spans="1:13" x14ac:dyDescent="0.2">
      <c r="A50" s="466">
        <f t="shared" si="1"/>
        <v>38</v>
      </c>
      <c r="B50" s="470">
        <v>42582</v>
      </c>
      <c r="C50" s="1350">
        <f t="shared" si="2"/>
        <v>44386015.0458</v>
      </c>
      <c r="D50" s="1346">
        <v>1473550</v>
      </c>
      <c r="E50" s="471">
        <f>ROUND(D50*J50,2)</f>
        <v>3854806.8</v>
      </c>
      <c r="F50" s="472">
        <v>0</v>
      </c>
      <c r="G50" s="473">
        <f>ROUND(F50*J50,2)</f>
        <v>0</v>
      </c>
      <c r="H50" s="473">
        <f>H48+D50-F50</f>
        <v>7786697</v>
      </c>
      <c r="I50" s="478">
        <f>I48+E50-G50+I49</f>
        <v>44386015.0458</v>
      </c>
      <c r="J50" s="477">
        <v>2.6160000000000001</v>
      </c>
    </row>
    <row r="51" spans="1:13" x14ac:dyDescent="0.2">
      <c r="A51" s="466">
        <f t="shared" si="1"/>
        <v>39</v>
      </c>
      <c r="B51" s="479" t="s">
        <v>1134</v>
      </c>
      <c r="C51" s="1350"/>
      <c r="D51" s="556">
        <f>D49+D50</f>
        <v>5536718</v>
      </c>
      <c r="E51" s="471"/>
      <c r="F51" s="480">
        <f>F50+F49</f>
        <v>6299557</v>
      </c>
      <c r="G51" s="473"/>
      <c r="H51" s="473"/>
      <c r="I51" s="473">
        <f>(D51-F51)*J51</f>
        <v>0</v>
      </c>
      <c r="J51" s="481">
        <f>J52-J50</f>
        <v>0</v>
      </c>
    </row>
    <row r="52" spans="1:13" x14ac:dyDescent="0.2">
      <c r="A52" s="466">
        <f t="shared" si="1"/>
        <v>40</v>
      </c>
      <c r="B52" s="470">
        <v>42613</v>
      </c>
      <c r="C52" s="1350">
        <f t="shared" si="2"/>
        <v>48240821.845799997</v>
      </c>
      <c r="D52" s="1346">
        <v>1473550</v>
      </c>
      <c r="E52" s="471">
        <f>ROUND(D52*J52,2)</f>
        <v>3854806.8</v>
      </c>
      <c r="F52" s="472">
        <v>0</v>
      </c>
      <c r="G52" s="473">
        <f>ROUND(F52*J52,2)</f>
        <v>0</v>
      </c>
      <c r="H52" s="473">
        <f>H50+D52-F52</f>
        <v>9260247</v>
      </c>
      <c r="I52" s="478">
        <f>I50+E52-G52+I51</f>
        <v>48240821.845799997</v>
      </c>
      <c r="J52" s="477">
        <v>2.6160000000000001</v>
      </c>
    </row>
    <row r="53" spans="1:13" x14ac:dyDescent="0.2">
      <c r="A53" s="466">
        <f t="shared" si="1"/>
        <v>41</v>
      </c>
      <c r="B53" s="470">
        <v>42643</v>
      </c>
      <c r="C53" s="1350">
        <f t="shared" si="2"/>
        <v>51473020.645799994</v>
      </c>
      <c r="D53" s="1346">
        <v>1235550</v>
      </c>
      <c r="E53" s="471">
        <f>ROUND(D53*J53,2)</f>
        <v>3232198.8</v>
      </c>
      <c r="F53" s="472">
        <v>0</v>
      </c>
      <c r="G53" s="473">
        <f>ROUND(F53*J53,2)</f>
        <v>0</v>
      </c>
      <c r="H53" s="473">
        <f t="shared" ref="H53:I56" si="3">H52+D53-F53</f>
        <v>10495797</v>
      </c>
      <c r="I53" s="478">
        <f t="shared" si="3"/>
        <v>51473020.645799994</v>
      </c>
      <c r="J53" s="477">
        <v>2.6160000000000001</v>
      </c>
    </row>
    <row r="54" spans="1:13" x14ac:dyDescent="0.2">
      <c r="A54" s="466">
        <f t="shared" si="1"/>
        <v>42</v>
      </c>
      <c r="B54" s="470">
        <v>42674</v>
      </c>
      <c r="C54" s="1350">
        <f t="shared" si="2"/>
        <v>52440940.645799994</v>
      </c>
      <c r="D54" s="1346">
        <v>370000</v>
      </c>
      <c r="E54" s="471">
        <f>ROUND(D54*J54,2)</f>
        <v>967920</v>
      </c>
      <c r="F54" s="472">
        <v>0</v>
      </c>
      <c r="G54" s="473">
        <f>ROUND(F54*J54,2)</f>
        <v>0</v>
      </c>
      <c r="H54" s="473">
        <f t="shared" si="3"/>
        <v>10865797</v>
      </c>
      <c r="I54" s="478">
        <f t="shared" si="3"/>
        <v>52440940.645799994</v>
      </c>
      <c r="J54" s="477">
        <v>2.6160000000000001</v>
      </c>
    </row>
    <row r="55" spans="1:13" x14ac:dyDescent="0.2">
      <c r="A55" s="466">
        <f t="shared" si="1"/>
        <v>43</v>
      </c>
      <c r="B55" s="470">
        <v>42704</v>
      </c>
      <c r="C55" s="1350">
        <f t="shared" si="2"/>
        <v>49581652.645799994</v>
      </c>
      <c r="D55" s="1346">
        <v>0</v>
      </c>
      <c r="E55" s="471">
        <f>ROUND(D55*J55,2)</f>
        <v>0</v>
      </c>
      <c r="F55" s="472">
        <v>1093000</v>
      </c>
      <c r="G55" s="473">
        <f>ROUND(F55*J55,2)</f>
        <v>2859288</v>
      </c>
      <c r="H55" s="473">
        <f t="shared" si="3"/>
        <v>9772797</v>
      </c>
      <c r="I55" s="478">
        <f t="shared" si="3"/>
        <v>49581652.645799994</v>
      </c>
      <c r="J55" s="477">
        <v>2.6160000000000001</v>
      </c>
    </row>
    <row r="56" spans="1:13" x14ac:dyDescent="0.2">
      <c r="A56" s="466">
        <f t="shared" si="1"/>
        <v>44</v>
      </c>
      <c r="B56" s="470">
        <v>42735</v>
      </c>
      <c r="C56" s="2036">
        <f t="shared" si="2"/>
        <v>45343732.645799994</v>
      </c>
      <c r="D56" s="1346">
        <v>0</v>
      </c>
      <c r="E56" s="471">
        <f>ROUND(D56*J56,2)</f>
        <v>0</v>
      </c>
      <c r="F56" s="472">
        <v>1620000</v>
      </c>
      <c r="G56" s="473">
        <f>ROUND(F56*J56,2)</f>
        <v>4237920</v>
      </c>
      <c r="H56" s="473">
        <f t="shared" si="3"/>
        <v>8152797</v>
      </c>
      <c r="I56" s="478">
        <f t="shared" si="3"/>
        <v>45343732.645799994</v>
      </c>
      <c r="J56" s="477">
        <v>2.6160000000000001</v>
      </c>
      <c r="L56" s="478"/>
    </row>
    <row r="57" spans="1:13" x14ac:dyDescent="0.2">
      <c r="A57" s="466">
        <f t="shared" si="1"/>
        <v>45</v>
      </c>
      <c r="B57" s="2035" t="s">
        <v>1135</v>
      </c>
      <c r="C57" s="2036">
        <v>44465233.484099999</v>
      </c>
      <c r="D57" s="556">
        <f>D51+D52+D53+D54+D55</f>
        <v>8615818</v>
      </c>
      <c r="E57" s="1745"/>
      <c r="F57" s="556">
        <f>F51+F52+F53+F54+F55+F56</f>
        <v>9012557</v>
      </c>
      <c r="G57" s="1745"/>
      <c r="H57" s="2033">
        <v>8152797</v>
      </c>
      <c r="I57" s="2034">
        <v>44465233.484099999</v>
      </c>
      <c r="J57" s="477"/>
      <c r="K57" s="478"/>
      <c r="L57" s="478"/>
      <c r="M57" s="478"/>
    </row>
    <row r="58" spans="1:13" x14ac:dyDescent="0.2">
      <c r="A58" s="466"/>
      <c r="B58" s="470"/>
      <c r="C58" s="1349"/>
      <c r="D58" s="1346"/>
      <c r="E58" s="488"/>
      <c r="F58" s="472"/>
      <c r="G58" s="474"/>
      <c r="H58" s="473"/>
      <c r="I58" s="489"/>
      <c r="J58" s="477"/>
      <c r="L58" s="478"/>
    </row>
    <row r="59" spans="1:13" x14ac:dyDescent="0.2">
      <c r="A59" s="466">
        <f>A57+1</f>
        <v>46</v>
      </c>
      <c r="B59" s="470">
        <v>42766</v>
      </c>
      <c r="C59" s="1350">
        <f>I59</f>
        <v>38359228.484099999</v>
      </c>
      <c r="D59" s="1346">
        <v>17000</v>
      </c>
      <c r="E59" s="471">
        <f t="shared" ref="E59:E70" si="4">ROUND(D59*J59,2)</f>
        <v>49079</v>
      </c>
      <c r="F59" s="472">
        <v>2132000</v>
      </c>
      <c r="G59" s="473">
        <f t="shared" ref="G59:G70" si="5">ROUND(F59*J59,2)</f>
        <v>6155084</v>
      </c>
      <c r="H59" s="473">
        <f>H56+D59-F59</f>
        <v>6037797</v>
      </c>
      <c r="I59" s="478">
        <f>I57+E59-G59</f>
        <v>38359228.484099999</v>
      </c>
      <c r="J59" s="477">
        <v>2.887</v>
      </c>
      <c r="L59" s="478"/>
    </row>
    <row r="60" spans="1:13" x14ac:dyDescent="0.2">
      <c r="A60" s="466">
        <f t="shared" ref="A60:A71" si="6">A59+1</f>
        <v>47</v>
      </c>
      <c r="B60" s="470">
        <v>42794</v>
      </c>
      <c r="C60" s="1350">
        <f t="shared" ref="C60:C70" si="7">I60</f>
        <v>33714045.484099999</v>
      </c>
      <c r="D60" s="1346">
        <v>0</v>
      </c>
      <c r="E60" s="471">
        <f t="shared" si="4"/>
        <v>0</v>
      </c>
      <c r="F60" s="472">
        <v>1609000</v>
      </c>
      <c r="G60" s="473">
        <f t="shared" si="5"/>
        <v>4645183</v>
      </c>
      <c r="H60" s="473">
        <f t="shared" ref="H60:H70" si="8">H59+D60-F60</f>
        <v>4428797</v>
      </c>
      <c r="I60" s="478">
        <f t="shared" ref="I60:I70" si="9">I59+E60-G60</f>
        <v>33714045.484099999</v>
      </c>
      <c r="J60" s="477">
        <v>2.887</v>
      </c>
    </row>
    <row r="61" spans="1:13" x14ac:dyDescent="0.2">
      <c r="A61" s="466">
        <f t="shared" si="6"/>
        <v>48</v>
      </c>
      <c r="B61" s="470">
        <v>42825</v>
      </c>
      <c r="C61" s="1350">
        <f t="shared" si="7"/>
        <v>29888770.484099999</v>
      </c>
      <c r="D61" s="1346">
        <v>2000</v>
      </c>
      <c r="E61" s="471">
        <f t="shared" si="4"/>
        <v>5774</v>
      </c>
      <c r="F61" s="472">
        <v>1327000</v>
      </c>
      <c r="G61" s="473">
        <f t="shared" si="5"/>
        <v>3831049</v>
      </c>
      <c r="H61" s="473">
        <f t="shared" si="8"/>
        <v>3103797</v>
      </c>
      <c r="I61" s="478">
        <f t="shared" si="9"/>
        <v>29888770.484099999</v>
      </c>
      <c r="J61" s="477">
        <v>2.887</v>
      </c>
    </row>
    <row r="62" spans="1:13" x14ac:dyDescent="0.2">
      <c r="A62" s="466">
        <f t="shared" si="6"/>
        <v>49</v>
      </c>
      <c r="B62" s="470">
        <v>42855</v>
      </c>
      <c r="C62" s="1350">
        <f t="shared" si="7"/>
        <v>32215692.484099999</v>
      </c>
      <c r="D62" s="1346">
        <v>806000</v>
      </c>
      <c r="E62" s="471">
        <f t="shared" si="4"/>
        <v>2326922</v>
      </c>
      <c r="F62" s="472">
        <v>0</v>
      </c>
      <c r="G62" s="473">
        <f t="shared" si="5"/>
        <v>0</v>
      </c>
      <c r="H62" s="473">
        <f t="shared" si="8"/>
        <v>3909797</v>
      </c>
      <c r="I62" s="478">
        <f t="shared" si="9"/>
        <v>32215692.484099999</v>
      </c>
      <c r="J62" s="477">
        <v>2.887</v>
      </c>
    </row>
    <row r="63" spans="1:13" x14ac:dyDescent="0.2">
      <c r="A63" s="466">
        <f t="shared" si="6"/>
        <v>50</v>
      </c>
      <c r="B63" s="470">
        <v>42886</v>
      </c>
      <c r="C63" s="1350">
        <f t="shared" si="7"/>
        <v>36050783.284099996</v>
      </c>
      <c r="D63" s="1346">
        <v>1328400</v>
      </c>
      <c r="E63" s="471">
        <f t="shared" si="4"/>
        <v>3835090.8</v>
      </c>
      <c r="F63" s="472">
        <v>0</v>
      </c>
      <c r="G63" s="473">
        <f t="shared" si="5"/>
        <v>0</v>
      </c>
      <c r="H63" s="473">
        <f t="shared" si="8"/>
        <v>5238197</v>
      </c>
      <c r="I63" s="478">
        <f t="shared" si="9"/>
        <v>36050783.284099996</v>
      </c>
      <c r="J63" s="477">
        <v>2.887</v>
      </c>
    </row>
    <row r="64" spans="1:13" x14ac:dyDescent="0.2">
      <c r="A64" s="466">
        <f t="shared" si="6"/>
        <v>51</v>
      </c>
      <c r="B64" s="470">
        <v>42916</v>
      </c>
      <c r="C64" s="1350">
        <f t="shared" si="7"/>
        <v>39885874.084099993</v>
      </c>
      <c r="D64" s="1346">
        <v>1328400</v>
      </c>
      <c r="E64" s="471">
        <f t="shared" si="4"/>
        <v>3835090.8</v>
      </c>
      <c r="F64" s="490">
        <v>0</v>
      </c>
      <c r="G64" s="473">
        <f t="shared" si="5"/>
        <v>0</v>
      </c>
      <c r="H64" s="473">
        <f t="shared" si="8"/>
        <v>6566597</v>
      </c>
      <c r="I64" s="478">
        <f t="shared" si="9"/>
        <v>39885874.084099993</v>
      </c>
      <c r="J64" s="477">
        <v>2.887</v>
      </c>
    </row>
    <row r="65" spans="1:10" x14ac:dyDescent="0.2">
      <c r="A65" s="466">
        <f t="shared" si="6"/>
        <v>52</v>
      </c>
      <c r="B65" s="470">
        <v>42947</v>
      </c>
      <c r="C65" s="1350">
        <f t="shared" si="7"/>
        <v>43720964.88409999</v>
      </c>
      <c r="D65" s="1346">
        <v>1328400</v>
      </c>
      <c r="E65" s="471">
        <f t="shared" si="4"/>
        <v>3835090.8</v>
      </c>
      <c r="F65" s="490">
        <v>0</v>
      </c>
      <c r="G65" s="473">
        <f t="shared" si="5"/>
        <v>0</v>
      </c>
      <c r="H65" s="473">
        <f t="shared" si="8"/>
        <v>7894997</v>
      </c>
      <c r="I65" s="478">
        <f t="shared" si="9"/>
        <v>43720964.88409999</v>
      </c>
      <c r="J65" s="477">
        <v>2.887</v>
      </c>
    </row>
    <row r="66" spans="1:10" x14ac:dyDescent="0.2">
      <c r="A66" s="466">
        <f t="shared" si="6"/>
        <v>53</v>
      </c>
      <c r="B66" s="470">
        <v>42978</v>
      </c>
      <c r="C66" s="1350">
        <f t="shared" si="7"/>
        <v>47556055.684099987</v>
      </c>
      <c r="D66" s="1346">
        <v>1328400</v>
      </c>
      <c r="E66" s="471">
        <f t="shared" si="4"/>
        <v>3835090.8</v>
      </c>
      <c r="F66" s="490">
        <v>0</v>
      </c>
      <c r="G66" s="473">
        <f t="shared" si="5"/>
        <v>0</v>
      </c>
      <c r="H66" s="473">
        <f t="shared" si="8"/>
        <v>9223397</v>
      </c>
      <c r="I66" s="478">
        <f t="shared" si="9"/>
        <v>47556055.684099987</v>
      </c>
      <c r="J66" s="477">
        <v>2.887</v>
      </c>
    </row>
    <row r="67" spans="1:10" x14ac:dyDescent="0.2">
      <c r="A67" s="466">
        <f t="shared" si="6"/>
        <v>54</v>
      </c>
      <c r="B67" s="470">
        <v>43008</v>
      </c>
      <c r="C67" s="1350">
        <f t="shared" si="7"/>
        <v>51229474.484099984</v>
      </c>
      <c r="D67" s="1347">
        <v>1272400</v>
      </c>
      <c r="E67" s="471">
        <f t="shared" si="4"/>
        <v>3673418.8</v>
      </c>
      <c r="F67" s="490">
        <v>0</v>
      </c>
      <c r="G67" s="473">
        <f t="shared" si="5"/>
        <v>0</v>
      </c>
      <c r="H67" s="473">
        <f t="shared" si="8"/>
        <v>10495797</v>
      </c>
      <c r="I67" s="478">
        <f t="shared" si="9"/>
        <v>51229474.484099984</v>
      </c>
      <c r="J67" s="477">
        <v>2.887</v>
      </c>
    </row>
    <row r="68" spans="1:10" x14ac:dyDescent="0.2">
      <c r="A68" s="466">
        <f t="shared" si="6"/>
        <v>55</v>
      </c>
      <c r="B68" s="470">
        <v>43039</v>
      </c>
      <c r="C68" s="1350">
        <f t="shared" si="7"/>
        <v>52297664.484099984</v>
      </c>
      <c r="D68" s="1347">
        <v>370000</v>
      </c>
      <c r="E68" s="471">
        <f t="shared" si="4"/>
        <v>1068190</v>
      </c>
      <c r="F68" s="490">
        <v>0</v>
      </c>
      <c r="G68" s="473">
        <f t="shared" si="5"/>
        <v>0</v>
      </c>
      <c r="H68" s="473">
        <f t="shared" si="8"/>
        <v>10865797</v>
      </c>
      <c r="I68" s="478">
        <f t="shared" si="9"/>
        <v>52297664.484099984</v>
      </c>
      <c r="J68" s="477">
        <v>2.887</v>
      </c>
    </row>
    <row r="69" spans="1:10" x14ac:dyDescent="0.2">
      <c r="A69" s="466">
        <f t="shared" si="6"/>
        <v>56</v>
      </c>
      <c r="B69" s="470">
        <v>43069</v>
      </c>
      <c r="C69" s="1350">
        <f t="shared" si="7"/>
        <v>49165269.484099984</v>
      </c>
      <c r="D69" s="1347">
        <v>0</v>
      </c>
      <c r="E69" s="471">
        <f t="shared" si="4"/>
        <v>0</v>
      </c>
      <c r="F69" s="490">
        <v>1085000</v>
      </c>
      <c r="G69" s="473">
        <f t="shared" si="5"/>
        <v>3132395</v>
      </c>
      <c r="H69" s="473">
        <f t="shared" si="8"/>
        <v>9780797</v>
      </c>
      <c r="I69" s="478">
        <f t="shared" si="9"/>
        <v>49165269.484099984</v>
      </c>
      <c r="J69" s="477">
        <v>2.887</v>
      </c>
    </row>
    <row r="70" spans="1:10" x14ac:dyDescent="0.2">
      <c r="A70" s="466">
        <f t="shared" si="6"/>
        <v>57</v>
      </c>
      <c r="B70" s="470">
        <v>43100</v>
      </c>
      <c r="C70" s="1350">
        <f t="shared" si="7"/>
        <v>44494103.484099984</v>
      </c>
      <c r="D70" s="1347">
        <v>0</v>
      </c>
      <c r="E70" s="471">
        <f t="shared" si="4"/>
        <v>0</v>
      </c>
      <c r="F70" s="490">
        <v>1618000</v>
      </c>
      <c r="G70" s="473">
        <f t="shared" si="5"/>
        <v>4671166</v>
      </c>
      <c r="H70" s="473">
        <f t="shared" si="8"/>
        <v>8162797</v>
      </c>
      <c r="I70" s="478">
        <f t="shared" si="9"/>
        <v>44494103.484099984</v>
      </c>
      <c r="J70" s="477">
        <v>2.887</v>
      </c>
    </row>
    <row r="71" spans="1:10" x14ac:dyDescent="0.2">
      <c r="A71" s="466">
        <f t="shared" si="6"/>
        <v>58</v>
      </c>
      <c r="B71" s="2035" t="s">
        <v>1135</v>
      </c>
      <c r="C71" s="1350">
        <f>I71</f>
        <v>44494103.484099999</v>
      </c>
      <c r="D71" s="471">
        <f>SUM(D59:D70)</f>
        <v>7781000</v>
      </c>
      <c r="E71" s="471"/>
      <c r="F71" s="471">
        <f>SUM(F59:F70)</f>
        <v>7771000</v>
      </c>
      <c r="G71" s="473"/>
      <c r="H71" s="2033">
        <v>8162797</v>
      </c>
      <c r="I71" s="2034">
        <v>44494103.484099999</v>
      </c>
      <c r="J71" s="477"/>
    </row>
    <row r="73" spans="1:10" x14ac:dyDescent="0.2">
      <c r="A73" s="466">
        <f>A71+1</f>
        <v>59</v>
      </c>
      <c r="B73" s="491" t="s">
        <v>2260</v>
      </c>
      <c r="C73" s="492">
        <f>(C27+C29+C31+C33+C36+C38+C40+C42+C44+C46+C48+C50+C52)/13</f>
        <v>43282677.550246164</v>
      </c>
    </row>
    <row r="74" spans="1:10" x14ac:dyDescent="0.2">
      <c r="A74" s="466">
        <f>A73+1</f>
        <v>60</v>
      </c>
      <c r="B74" s="491" t="s">
        <v>2261</v>
      </c>
      <c r="C74" s="493">
        <f>(C57+C59+C60+C61+C62+C63+C64+C65+C66+C67+C68+C69+C71)/13</f>
        <v>41772550.791792303</v>
      </c>
    </row>
    <row r="75" spans="1:10" x14ac:dyDescent="0.2">
      <c r="B75" s="494"/>
    </row>
    <row r="76" spans="1:10" x14ac:dyDescent="0.2">
      <c r="B76" s="494"/>
    </row>
    <row r="77" spans="1:10" x14ac:dyDescent="0.2">
      <c r="B77" s="494"/>
    </row>
    <row r="78" spans="1:10" x14ac:dyDescent="0.2">
      <c r="E78" s="495"/>
    </row>
    <row r="79" spans="1:10" x14ac:dyDescent="0.2">
      <c r="B79" s="555"/>
      <c r="C79" s="555"/>
      <c r="D79" s="555"/>
      <c r="E79" s="1340"/>
      <c r="F79" s="555"/>
    </row>
    <row r="80" spans="1:10" x14ac:dyDescent="0.2">
      <c r="B80" s="465"/>
      <c r="C80" s="465"/>
      <c r="D80" s="465"/>
      <c r="E80" s="1341"/>
    </row>
    <row r="81" spans="2:6" x14ac:dyDescent="0.2">
      <c r="B81" s="226"/>
      <c r="C81" s="468"/>
      <c r="D81" s="469"/>
      <c r="E81" s="1338"/>
    </row>
    <row r="82" spans="2:6" x14ac:dyDescent="0.2">
      <c r="B82" s="226"/>
      <c r="C82" s="468"/>
      <c r="D82" s="469"/>
      <c r="E82" s="1338"/>
    </row>
    <row r="83" spans="2:6" x14ac:dyDescent="0.2">
      <c r="B83" s="226"/>
      <c r="C83" s="468"/>
      <c r="D83" s="469"/>
      <c r="E83" s="1338"/>
    </row>
    <row r="84" spans="2:6" x14ac:dyDescent="0.2">
      <c r="B84" s="226"/>
      <c r="C84" s="468"/>
      <c r="D84" s="469"/>
      <c r="E84" s="1338"/>
    </row>
    <row r="85" spans="2:6" x14ac:dyDescent="0.2">
      <c r="B85" s="226"/>
      <c r="C85" s="468"/>
      <c r="D85" s="469"/>
      <c r="E85" s="1338"/>
    </row>
    <row r="86" spans="2:6" x14ac:dyDescent="0.2">
      <c r="B86" s="226"/>
      <c r="C86" s="468"/>
      <c r="D86" s="469"/>
      <c r="E86" s="1338"/>
    </row>
    <row r="87" spans="2:6" x14ac:dyDescent="0.2">
      <c r="B87" s="226"/>
      <c r="C87" s="1738"/>
      <c r="D87" s="1739"/>
      <c r="E87" s="1338"/>
    </row>
    <row r="88" spans="2:6" ht="13.5" x14ac:dyDescent="0.35">
      <c r="B88" s="226"/>
      <c r="C88" s="1741"/>
      <c r="D88" s="469"/>
      <c r="E88" s="1339"/>
    </row>
    <row r="89" spans="2:6" x14ac:dyDescent="0.2">
      <c r="B89" s="226"/>
      <c r="C89" s="482"/>
      <c r="D89" s="483"/>
      <c r="E89" s="1338"/>
    </row>
    <row r="90" spans="2:6" x14ac:dyDescent="0.2">
      <c r="E90" s="495"/>
    </row>
    <row r="91" spans="2:6" x14ac:dyDescent="0.2">
      <c r="B91" s="555"/>
      <c r="C91" s="555"/>
      <c r="D91" s="555"/>
      <c r="E91" s="1340"/>
      <c r="F91" s="555"/>
    </row>
    <row r="92" spans="2:6" x14ac:dyDescent="0.2">
      <c r="B92" s="465"/>
      <c r="C92" s="465"/>
      <c r="D92" s="465"/>
      <c r="E92" s="1341"/>
    </row>
    <row r="93" spans="2:6" x14ac:dyDescent="0.2">
      <c r="B93" s="226"/>
      <c r="C93" s="468"/>
      <c r="D93" s="469"/>
      <c r="E93" s="1338"/>
    </row>
    <row r="94" spans="2:6" x14ac:dyDescent="0.2">
      <c r="B94" s="226"/>
      <c r="C94" s="468"/>
      <c r="D94" s="469"/>
      <c r="E94" s="1338"/>
    </row>
    <row r="95" spans="2:6" x14ac:dyDescent="0.2">
      <c r="B95" s="226"/>
      <c r="C95" s="468"/>
      <c r="D95" s="469"/>
      <c r="E95" s="1338"/>
    </row>
    <row r="96" spans="2:6" x14ac:dyDescent="0.2">
      <c r="B96" s="226"/>
      <c r="C96" s="468"/>
      <c r="D96" s="469"/>
      <c r="E96" s="1338"/>
    </row>
    <row r="97" spans="2:8" x14ac:dyDescent="0.2">
      <c r="B97" s="226"/>
      <c r="C97" s="468"/>
      <c r="D97" s="469"/>
      <c r="E97" s="1338"/>
    </row>
    <row r="98" spans="2:8" x14ac:dyDescent="0.2">
      <c r="B98" s="226"/>
      <c r="C98" s="468"/>
      <c r="D98" s="469"/>
      <c r="E98" s="1338"/>
    </row>
    <row r="99" spans="2:8" x14ac:dyDescent="0.2">
      <c r="B99" s="226"/>
      <c r="C99" s="1738"/>
      <c r="D99" s="469"/>
      <c r="E99" s="1338"/>
    </row>
    <row r="100" spans="2:8" ht="13.5" x14ac:dyDescent="0.35">
      <c r="B100" s="226"/>
      <c r="C100" s="1741"/>
      <c r="D100" s="487"/>
      <c r="E100" s="1339"/>
      <c r="G100" s="1638"/>
      <c r="H100" s="1638"/>
    </row>
    <row r="101" spans="2:8" x14ac:dyDescent="0.2">
      <c r="B101" s="226"/>
      <c r="C101" s="482"/>
      <c r="D101" s="483"/>
      <c r="E101" s="1338"/>
    </row>
    <row r="102" spans="2:8" x14ac:dyDescent="0.2">
      <c r="E102" s="495"/>
    </row>
    <row r="103" spans="2:8" x14ac:dyDescent="0.2">
      <c r="B103" s="555"/>
      <c r="C103" s="555"/>
      <c r="D103" s="555"/>
      <c r="E103" s="1340"/>
      <c r="F103" s="555"/>
    </row>
    <row r="104" spans="2:8" x14ac:dyDescent="0.2">
      <c r="B104" s="465"/>
      <c r="C104" s="465"/>
      <c r="D104" s="465"/>
      <c r="E104" s="1341"/>
    </row>
    <row r="105" spans="2:8" x14ac:dyDescent="0.2">
      <c r="B105" s="226"/>
      <c r="C105" s="468"/>
      <c r="D105" s="469"/>
      <c r="E105" s="1338"/>
    </row>
    <row r="106" spans="2:8" x14ac:dyDescent="0.2">
      <c r="B106" s="226"/>
      <c r="C106" s="468"/>
      <c r="D106" s="469"/>
      <c r="E106" s="1338"/>
    </row>
    <row r="107" spans="2:8" x14ac:dyDescent="0.2">
      <c r="B107" s="226"/>
      <c r="C107" s="468"/>
      <c r="D107" s="469"/>
      <c r="E107" s="1338"/>
    </row>
    <row r="108" spans="2:8" x14ac:dyDescent="0.2">
      <c r="B108" s="226"/>
      <c r="C108" s="468"/>
      <c r="D108" s="469"/>
      <c r="E108" s="1338"/>
    </row>
    <row r="109" spans="2:8" x14ac:dyDescent="0.2">
      <c r="B109" s="226"/>
      <c r="C109" s="468"/>
      <c r="D109" s="469"/>
      <c r="E109" s="1338"/>
    </row>
    <row r="110" spans="2:8" x14ac:dyDescent="0.2">
      <c r="B110" s="226"/>
      <c r="C110" s="468"/>
      <c r="D110" s="469"/>
      <c r="E110" s="1338"/>
    </row>
    <row r="111" spans="2:8" x14ac:dyDescent="0.2">
      <c r="B111" s="226"/>
      <c r="C111" s="1738"/>
      <c r="D111" s="469"/>
      <c r="E111" s="1338"/>
    </row>
    <row r="112" spans="2:8" x14ac:dyDescent="0.2">
      <c r="B112" s="226"/>
      <c r="C112" s="1738"/>
      <c r="D112" s="469"/>
      <c r="E112" s="1338"/>
    </row>
    <row r="113" spans="2:5" ht="13.5" x14ac:dyDescent="0.35">
      <c r="B113" s="226"/>
      <c r="C113" s="1342"/>
      <c r="D113" s="1742"/>
      <c r="E113" s="1339"/>
    </row>
    <row r="114" spans="2:5" x14ac:dyDescent="0.2">
      <c r="B114" s="226"/>
      <c r="C114" s="482"/>
      <c r="D114" s="483"/>
      <c r="E114" s="1338"/>
    </row>
  </sheetData>
  <mergeCells count="3">
    <mergeCell ref="A1:J1"/>
    <mergeCell ref="A2:J2"/>
    <mergeCell ref="A3:J3"/>
  </mergeCells>
  <phoneticPr fontId="0" type="noConversion"/>
  <pageMargins left="1" right="0.5" top="1" bottom="0.75" header="0.3" footer="0.3"/>
  <pageSetup scale="75" orientation="portrait" r:id="rId1"/>
  <headerFooter>
    <oddHeader>&amp;R&amp;"Arial,Regular"&amp;10KY PSC Case No. 2016-00162, Attachment A to Staff 3-4</oddHeader>
  </headerFooter>
  <ignoredErrors>
    <ignoredError sqref="I16:I34 I40:I50" formula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20">
    <pageSetUpPr fitToPage="1"/>
  </sheetPr>
  <dimension ref="A1:L38"/>
  <sheetViews>
    <sheetView view="pageBreakPreview" zoomScale="60" zoomScaleNormal="100" workbookViewId="0">
      <selection activeCell="F46" sqref="F46"/>
    </sheetView>
  </sheetViews>
  <sheetFormatPr defaultColWidth="9.83203125" defaultRowHeight="12.75" x14ac:dyDescent="0.2"/>
  <cols>
    <col min="1" max="1" width="7.83203125" style="3" customWidth="1"/>
    <col min="2" max="2" width="3.83203125" style="3" customWidth="1"/>
    <col min="3" max="3" width="39.83203125" style="3" customWidth="1"/>
    <col min="4" max="4" width="12.83203125" style="3" customWidth="1"/>
    <col min="5" max="5" width="14.83203125" style="3" bestFit="1" customWidth="1"/>
    <col min="6" max="6" width="9.83203125" style="3"/>
    <col min="7" max="7" width="19.83203125" style="3" customWidth="1"/>
    <col min="8" max="8" width="9.83203125" style="3"/>
    <col min="9" max="9" width="16.83203125" style="3" customWidth="1"/>
    <col min="10" max="10" width="7.83203125" style="3" customWidth="1"/>
    <col min="11" max="11" width="8.83203125" style="3" customWidth="1"/>
    <col min="12" max="12" width="3.83203125" style="3" customWidth="1"/>
    <col min="13" max="13" width="13.83203125" style="3" customWidth="1"/>
    <col min="14" max="14" width="3.83203125" style="3" customWidth="1"/>
    <col min="15" max="15" width="16.83203125" style="3" customWidth="1"/>
    <col min="16" max="16384" width="9.83203125" style="3"/>
  </cols>
  <sheetData>
    <row r="1" spans="1:12" x14ac:dyDescent="0.2">
      <c r="A1" s="2063" t="str">
        <f>co</f>
        <v>COLUMBIA GAS OF KENTUCKY, INC.</v>
      </c>
      <c r="B1" s="2063"/>
      <c r="C1" s="2063"/>
      <c r="D1" s="2063"/>
      <c r="E1" s="2063"/>
      <c r="F1" s="2063"/>
      <c r="G1" s="2063"/>
      <c r="H1" s="2063"/>
      <c r="I1" s="2063"/>
      <c r="J1" s="2063"/>
      <c r="K1" s="232"/>
    </row>
    <row r="2" spans="1:12" x14ac:dyDescent="0.2">
      <c r="A2" s="2063" t="str">
        <f>case</f>
        <v>CASE NO. 2016 - 00162</v>
      </c>
      <c r="B2" s="2063"/>
      <c r="C2" s="2063"/>
      <c r="D2" s="2063"/>
      <c r="E2" s="2063"/>
      <c r="F2" s="2063"/>
      <c r="G2" s="2063"/>
      <c r="H2" s="2063"/>
      <c r="I2" s="2063"/>
      <c r="J2" s="2063"/>
      <c r="K2" s="232"/>
    </row>
    <row r="3" spans="1:12" x14ac:dyDescent="0.2">
      <c r="A3" s="2060" t="s">
        <v>1023</v>
      </c>
      <c r="B3" s="2060"/>
      <c r="C3" s="2060"/>
      <c r="D3" s="2060"/>
      <c r="E3" s="2060"/>
      <c r="F3" s="2060"/>
      <c r="G3" s="2060"/>
      <c r="H3" s="2060"/>
      <c r="I3" s="2060"/>
      <c r="J3" s="2060"/>
      <c r="K3" s="233"/>
    </row>
    <row r="4" spans="1:12" x14ac:dyDescent="0.2">
      <c r="A4" s="2061" t="s">
        <v>2033</v>
      </c>
      <c r="B4" s="2061"/>
      <c r="C4" s="2061"/>
      <c r="D4" s="2061"/>
      <c r="E4" s="2061"/>
      <c r="F4" s="2061"/>
      <c r="G4" s="2061"/>
      <c r="H4" s="2061"/>
      <c r="I4" s="2061"/>
      <c r="J4" s="2061"/>
      <c r="K4" s="233"/>
    </row>
    <row r="6" spans="1:12" x14ac:dyDescent="0.2">
      <c r="A6" s="4" t="s">
        <v>976</v>
      </c>
      <c r="I6" s="4"/>
      <c r="J6" s="5" t="s">
        <v>875</v>
      </c>
    </row>
    <row r="7" spans="1:12" x14ac:dyDescent="0.2">
      <c r="A7" s="83" t="s">
        <v>977</v>
      </c>
      <c r="B7" s="82"/>
      <c r="C7" s="82"/>
      <c r="D7" s="82"/>
      <c r="E7" s="82"/>
      <c r="F7" s="82"/>
      <c r="G7" s="82"/>
      <c r="H7" s="82"/>
      <c r="I7" s="83"/>
      <c r="J7" s="228" t="s">
        <v>628</v>
      </c>
    </row>
    <row r="8" spans="1:12" x14ac:dyDescent="0.2">
      <c r="A8" s="1459" t="s">
        <v>1872</v>
      </c>
      <c r="B8" s="210"/>
      <c r="C8" s="210"/>
      <c r="D8" s="82"/>
      <c r="E8" s="82"/>
      <c r="F8" s="82"/>
      <c r="G8" s="82"/>
      <c r="H8" s="82"/>
      <c r="I8" s="237"/>
      <c r="J8" s="227" t="str">
        <f>SMK</f>
        <v>WITNESS:  S. M. KATKO</v>
      </c>
    </row>
    <row r="9" spans="1:12" x14ac:dyDescent="0.2">
      <c r="A9" s="209"/>
      <c r="B9" s="210"/>
      <c r="C9" s="210"/>
      <c r="D9" s="82"/>
      <c r="E9" s="82"/>
      <c r="F9" s="82"/>
      <c r="G9" s="82"/>
      <c r="H9" s="82"/>
      <c r="I9" s="237"/>
      <c r="J9" s="227"/>
    </row>
    <row r="10" spans="1:12" x14ac:dyDescent="0.2">
      <c r="A10" s="230" t="s">
        <v>632</v>
      </c>
      <c r="B10" s="229"/>
      <c r="C10" s="229"/>
      <c r="D10" s="229"/>
      <c r="E10" s="230" t="s">
        <v>872</v>
      </c>
      <c r="F10" s="229"/>
      <c r="G10" s="230" t="s">
        <v>876</v>
      </c>
      <c r="H10" s="229"/>
      <c r="I10" s="230" t="s">
        <v>671</v>
      </c>
      <c r="J10" s="229"/>
    </row>
    <row r="11" spans="1:12" x14ac:dyDescent="0.2">
      <c r="A11" s="9" t="s">
        <v>635</v>
      </c>
      <c r="B11" s="7"/>
      <c r="C11" s="6" t="s">
        <v>778</v>
      </c>
      <c r="D11" s="7"/>
      <c r="E11" s="9" t="s">
        <v>675</v>
      </c>
      <c r="F11" s="7"/>
      <c r="G11" s="9" t="s">
        <v>676</v>
      </c>
      <c r="H11" s="7"/>
      <c r="I11" s="9" t="s">
        <v>771</v>
      </c>
      <c r="J11" s="7"/>
    </row>
    <row r="12" spans="1:12" x14ac:dyDescent="0.2">
      <c r="E12" s="1" t="s">
        <v>860</v>
      </c>
      <c r="G12" s="1" t="s">
        <v>877</v>
      </c>
      <c r="I12" s="1" t="s">
        <v>878</v>
      </c>
    </row>
    <row r="14" spans="1:12" x14ac:dyDescent="0.2">
      <c r="A14" s="1">
        <v>1</v>
      </c>
      <c r="C14" s="4" t="s">
        <v>879</v>
      </c>
      <c r="E14" s="11"/>
      <c r="I14" s="11"/>
      <c r="L14" s="11"/>
    </row>
    <row r="15" spans="1:12" x14ac:dyDescent="0.2">
      <c r="F15" s="11"/>
      <c r="G15" s="12"/>
      <c r="H15" s="11"/>
      <c r="I15" s="11"/>
      <c r="J15" s="11"/>
      <c r="L15" s="11"/>
    </row>
    <row r="16" spans="1:12" x14ac:dyDescent="0.2">
      <c r="A16" s="1">
        <f>A14+1</f>
        <v>2</v>
      </c>
      <c r="C16" s="4" t="s">
        <v>880</v>
      </c>
      <c r="E16" s="313">
        <f>'Oper Rev&amp;Exp by Accts C2.1A'!F47-'Total Co Accts Activ C2.2A'!P36</f>
        <v>324707.32999999996</v>
      </c>
      <c r="G16" s="1" t="s">
        <v>881</v>
      </c>
      <c r="I16" s="11">
        <f>(E16*0.125)</f>
        <v>40588.416249999995</v>
      </c>
      <c r="L16" s="11"/>
    </row>
    <row r="17" spans="1:12" x14ac:dyDescent="0.2">
      <c r="E17" s="76"/>
      <c r="L17" s="11"/>
    </row>
    <row r="18" spans="1:12" x14ac:dyDescent="0.2">
      <c r="A18" s="1">
        <f>A16+1</f>
        <v>3</v>
      </c>
      <c r="C18" s="4" t="s">
        <v>882</v>
      </c>
      <c r="E18" s="313">
        <f>'Adj Operating Income Sum C-2'!E17</f>
        <v>1191.99</v>
      </c>
      <c r="F18" s="11"/>
      <c r="G18" s="1" t="s">
        <v>881</v>
      </c>
      <c r="H18" s="11"/>
      <c r="I18" s="11">
        <f>(E18*0.125)</f>
        <v>148.99875</v>
      </c>
      <c r="J18" s="11"/>
      <c r="L18" s="11"/>
    </row>
    <row r="19" spans="1:12" x14ac:dyDescent="0.2">
      <c r="E19" s="509"/>
      <c r="F19" s="11"/>
      <c r="I19" s="11"/>
      <c r="J19" s="11"/>
      <c r="L19" s="11"/>
    </row>
    <row r="20" spans="1:12" x14ac:dyDescent="0.2">
      <c r="A20" s="1">
        <f>A18+1</f>
        <v>4</v>
      </c>
      <c r="C20" s="4" t="s">
        <v>883</v>
      </c>
      <c r="E20" s="313">
        <f>'Adj Operating Income Sum C-2'!E18</f>
        <v>15465973.108720001</v>
      </c>
      <c r="F20" s="11"/>
      <c r="G20" s="1" t="s">
        <v>881</v>
      </c>
      <c r="H20" s="11"/>
      <c r="I20" s="11">
        <f>(E20*0.125)</f>
        <v>1933246.6385900001</v>
      </c>
      <c r="L20" s="11"/>
    </row>
    <row r="21" spans="1:12" x14ac:dyDescent="0.2">
      <c r="E21" s="509"/>
      <c r="F21" s="11"/>
      <c r="G21" s="12"/>
      <c r="H21" s="11"/>
      <c r="I21" s="11"/>
      <c r="J21" s="11"/>
      <c r="L21" s="11"/>
    </row>
    <row r="22" spans="1:12" x14ac:dyDescent="0.2">
      <c r="A22" s="1">
        <f>A20+1</f>
        <v>5</v>
      </c>
      <c r="C22" s="4" t="s">
        <v>884</v>
      </c>
      <c r="E22" s="313">
        <f>'Adj Operating Income Sum C-2'!E19</f>
        <v>4497598.2565200003</v>
      </c>
      <c r="F22" s="11"/>
      <c r="G22" s="1" t="s">
        <v>881</v>
      </c>
      <c r="H22" s="11"/>
      <c r="I22" s="11">
        <f>(E22*0.125)</f>
        <v>562199.78206500004</v>
      </c>
      <c r="J22" s="11"/>
      <c r="L22" s="11"/>
    </row>
    <row r="23" spans="1:12" x14ac:dyDescent="0.2">
      <c r="E23" s="509"/>
      <c r="F23" s="11"/>
      <c r="G23" s="12"/>
      <c r="H23" s="11"/>
      <c r="I23" s="11"/>
      <c r="J23" s="11"/>
      <c r="L23" s="11"/>
    </row>
    <row r="24" spans="1:12" x14ac:dyDescent="0.2">
      <c r="A24" s="1">
        <f>A22+1</f>
        <v>6</v>
      </c>
      <c r="C24" s="4" t="s">
        <v>885</v>
      </c>
      <c r="E24" s="313">
        <f>'Adj Operating Income Sum C-2'!E20</f>
        <v>1225708.2447599997</v>
      </c>
      <c r="F24" s="11"/>
      <c r="G24" s="1" t="s">
        <v>881</v>
      </c>
      <c r="H24" s="11"/>
      <c r="I24" s="11">
        <f>(E24*0.125)</f>
        <v>153213.53059499996</v>
      </c>
      <c r="J24" s="11"/>
      <c r="L24" s="11"/>
    </row>
    <row r="25" spans="1:12" x14ac:dyDescent="0.2">
      <c r="E25" s="313"/>
      <c r="F25" s="11"/>
      <c r="G25" s="12"/>
      <c r="H25" s="11"/>
      <c r="I25" s="11"/>
      <c r="J25" s="11"/>
      <c r="L25" s="11"/>
    </row>
    <row r="26" spans="1:12" x14ac:dyDescent="0.2">
      <c r="A26" s="1">
        <f>A24+1</f>
        <v>7</v>
      </c>
      <c r="C26" s="4" t="s">
        <v>886</v>
      </c>
      <c r="E26" s="313">
        <f>'Adj Operating Income Sum C-2'!E21</f>
        <v>129660.43</v>
      </c>
      <c r="F26" s="11"/>
      <c r="G26" s="1" t="s">
        <v>881</v>
      </c>
      <c r="H26" s="11"/>
      <c r="I26" s="11">
        <f>(E26*0.125)</f>
        <v>16207.553749999999</v>
      </c>
      <c r="J26" s="11"/>
      <c r="L26" s="11"/>
    </row>
    <row r="27" spans="1:12" x14ac:dyDescent="0.2">
      <c r="E27" s="313"/>
      <c r="F27" s="11"/>
      <c r="G27" s="12"/>
      <c r="H27" s="11"/>
      <c r="I27" s="11"/>
      <c r="J27" s="11"/>
      <c r="L27" s="11"/>
    </row>
    <row r="28" spans="1:12" x14ac:dyDescent="0.2">
      <c r="A28" s="1">
        <f>A26+1</f>
        <v>8</v>
      </c>
      <c r="C28" s="4" t="s">
        <v>887</v>
      </c>
      <c r="E28" s="1104">
        <f>'Adj Operating Income Sum C-2'!E22</f>
        <v>17421630.530000001</v>
      </c>
      <c r="F28" s="11"/>
      <c r="G28" s="1" t="s">
        <v>881</v>
      </c>
      <c r="H28" s="11"/>
      <c r="I28" s="13">
        <f>(E28*0.125)</f>
        <v>2177703.8162500001</v>
      </c>
      <c r="J28" s="11"/>
      <c r="L28" s="11"/>
    </row>
    <row r="29" spans="1:12" x14ac:dyDescent="0.2">
      <c r="E29" s="11"/>
      <c r="F29" s="11"/>
      <c r="G29" s="12"/>
      <c r="H29" s="11"/>
      <c r="I29" s="11"/>
      <c r="J29" s="11"/>
      <c r="L29" s="11"/>
    </row>
    <row r="30" spans="1:12" x14ac:dyDescent="0.2">
      <c r="A30" s="1">
        <f>A28+1</f>
        <v>9</v>
      </c>
      <c r="C30" s="4" t="s">
        <v>888</v>
      </c>
      <c r="E30" s="11">
        <f>SUM(E16:E28)</f>
        <v>39066469.890000001</v>
      </c>
      <c r="F30" s="11"/>
      <c r="H30" s="11"/>
      <c r="I30" s="59">
        <f>SUM(I16:I28)</f>
        <v>4883308.7362500001</v>
      </c>
      <c r="J30" s="11"/>
      <c r="L30" s="11"/>
    </row>
    <row r="31" spans="1:12" x14ac:dyDescent="0.2">
      <c r="F31" s="11"/>
      <c r="G31" s="12"/>
      <c r="H31" s="11"/>
      <c r="I31" s="11"/>
      <c r="J31" s="11"/>
      <c r="L31" s="11"/>
    </row>
    <row r="32" spans="1:12" x14ac:dyDescent="0.2">
      <c r="C32" s="4"/>
      <c r="H32" s="11"/>
      <c r="I32" s="11"/>
      <c r="J32" s="11"/>
    </row>
    <row r="33" spans="3:10" x14ac:dyDescent="0.2">
      <c r="C33" s="4"/>
      <c r="H33" s="11"/>
      <c r="I33" s="11"/>
      <c r="J33" s="11"/>
    </row>
    <row r="34" spans="3:10" x14ac:dyDescent="0.2">
      <c r="C34" s="4"/>
      <c r="H34" s="11"/>
      <c r="I34" s="11"/>
      <c r="J34" s="11"/>
    </row>
    <row r="35" spans="3:10" x14ac:dyDescent="0.2">
      <c r="H35" s="11"/>
      <c r="I35" s="11"/>
      <c r="J35" s="11"/>
    </row>
    <row r="36" spans="3:10" x14ac:dyDescent="0.2">
      <c r="H36" s="11"/>
      <c r="I36" s="11"/>
      <c r="J36" s="11"/>
    </row>
    <row r="37" spans="3:10" x14ac:dyDescent="0.2">
      <c r="H37" s="11"/>
      <c r="I37" s="11"/>
      <c r="J37" s="11"/>
    </row>
    <row r="38" spans="3:10" x14ac:dyDescent="0.2">
      <c r="H38" s="11"/>
      <c r="I38" s="11"/>
      <c r="J38" s="11"/>
    </row>
  </sheetData>
  <mergeCells count="4">
    <mergeCell ref="A4:J4"/>
    <mergeCell ref="A3:J3"/>
    <mergeCell ref="A2:J2"/>
    <mergeCell ref="A1:J1"/>
  </mergeCells>
  <phoneticPr fontId="0" type="noConversion"/>
  <pageMargins left="1" right="0.5" top="1" bottom="0.75" header="0.3" footer="0.3"/>
  <pageSetup scale="79" fitToHeight="0" orientation="portrait" r:id="rId1"/>
  <headerFooter>
    <oddHeader>&amp;R&amp;"Arial,Regular"&amp;10KY PSC Case No. 2016-00162, Attachment A to Staff 3-4</oddHeader>
  </headerFooter>
  <ignoredErrors>
    <ignoredError sqref="E12:I12 G16:G28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35">
    <pageSetUpPr fitToPage="1"/>
  </sheetPr>
  <dimension ref="A1:L38"/>
  <sheetViews>
    <sheetView view="pageBreakPreview" zoomScale="60" zoomScaleNormal="100" workbookViewId="0">
      <selection activeCell="F46" sqref="F46"/>
    </sheetView>
  </sheetViews>
  <sheetFormatPr defaultColWidth="9.83203125" defaultRowHeight="12.75" x14ac:dyDescent="0.2"/>
  <cols>
    <col min="1" max="1" width="7.83203125" style="3" customWidth="1"/>
    <col min="2" max="2" width="3.83203125" style="3" customWidth="1"/>
    <col min="3" max="3" width="39.83203125" style="3" customWidth="1"/>
    <col min="4" max="4" width="12.83203125" style="3" customWidth="1"/>
    <col min="5" max="5" width="14.6640625" style="3" bestFit="1" customWidth="1"/>
    <col min="6" max="6" width="9.83203125" style="3"/>
    <col min="7" max="7" width="19.83203125" style="3" customWidth="1"/>
    <col min="8" max="8" width="9.83203125" style="3"/>
    <col min="9" max="9" width="16.83203125" style="3" customWidth="1"/>
    <col min="10" max="10" width="7.83203125" style="3" customWidth="1"/>
    <col min="11" max="11" width="8.83203125" style="3" customWidth="1"/>
    <col min="12" max="12" width="3.83203125" style="3" customWidth="1"/>
    <col min="13" max="13" width="13.83203125" style="3" customWidth="1"/>
    <col min="14" max="14" width="3.83203125" style="3" customWidth="1"/>
    <col min="15" max="15" width="16.83203125" style="3" customWidth="1"/>
    <col min="16" max="16384" width="9.83203125" style="3"/>
  </cols>
  <sheetData>
    <row r="1" spans="1:12" x14ac:dyDescent="0.2">
      <c r="A1" s="2063" t="str">
        <f>co</f>
        <v>COLUMBIA GAS OF KENTUCKY, INC.</v>
      </c>
      <c r="B1" s="2063"/>
      <c r="C1" s="2063"/>
      <c r="D1" s="2063"/>
      <c r="E1" s="2063"/>
      <c r="F1" s="2063"/>
      <c r="G1" s="2063"/>
      <c r="H1" s="2063"/>
      <c r="I1" s="2063"/>
      <c r="J1" s="2063"/>
      <c r="K1" s="232"/>
    </row>
    <row r="2" spans="1:12" x14ac:dyDescent="0.2">
      <c r="A2" s="2063" t="str">
        <f>case</f>
        <v>CASE NO. 2016 - 00162</v>
      </c>
      <c r="B2" s="2063"/>
      <c r="C2" s="2063"/>
      <c r="D2" s="2063"/>
      <c r="E2" s="2063"/>
      <c r="F2" s="2063"/>
      <c r="G2" s="2063"/>
      <c r="H2" s="2063"/>
      <c r="I2" s="2063"/>
      <c r="J2" s="2063"/>
      <c r="K2" s="232"/>
    </row>
    <row r="3" spans="1:12" x14ac:dyDescent="0.2">
      <c r="A3" s="2060" t="s">
        <v>1023</v>
      </c>
      <c r="B3" s="2060"/>
      <c r="C3" s="2060"/>
      <c r="D3" s="2060"/>
      <c r="E3" s="2060"/>
      <c r="F3" s="2060"/>
      <c r="G3" s="2060"/>
      <c r="H3" s="2060"/>
      <c r="I3" s="2060"/>
      <c r="J3" s="2060"/>
      <c r="K3" s="233"/>
    </row>
    <row r="4" spans="1:12" x14ac:dyDescent="0.2">
      <c r="A4" s="2061" t="str">
        <f>"FOR THE TWELVE MONTHS ENDING DECEMBER 31, 2017"</f>
        <v>FOR THE TWELVE MONTHS ENDING DECEMBER 31, 2017</v>
      </c>
      <c r="B4" s="2061"/>
      <c r="C4" s="2061"/>
      <c r="D4" s="2061"/>
      <c r="E4" s="2061"/>
      <c r="F4" s="2061"/>
      <c r="G4" s="2061"/>
      <c r="H4" s="2061"/>
      <c r="I4" s="2061"/>
      <c r="J4" s="2061"/>
      <c r="K4" s="233"/>
    </row>
    <row r="6" spans="1:12" x14ac:dyDescent="0.2">
      <c r="A6" s="285" t="s">
        <v>1109</v>
      </c>
      <c r="I6" s="4"/>
      <c r="J6" s="5" t="s">
        <v>875</v>
      </c>
    </row>
    <row r="7" spans="1:12" x14ac:dyDescent="0.2">
      <c r="A7" s="83" t="s">
        <v>977</v>
      </c>
      <c r="B7" s="82"/>
      <c r="C7" s="82"/>
      <c r="D7" s="82"/>
      <c r="E7" s="82"/>
      <c r="F7" s="82"/>
      <c r="G7" s="82"/>
      <c r="H7" s="82"/>
      <c r="I7" s="83"/>
      <c r="J7" s="227" t="s">
        <v>1111</v>
      </c>
    </row>
    <row r="8" spans="1:12" x14ac:dyDescent="0.2">
      <c r="A8" s="1459" t="s">
        <v>1873</v>
      </c>
      <c r="B8" s="210"/>
      <c r="C8" s="210"/>
      <c r="D8" s="82"/>
      <c r="E8" s="82"/>
      <c r="F8" s="82"/>
      <c r="G8" s="82"/>
      <c r="H8" s="82"/>
      <c r="I8" s="237"/>
      <c r="J8" s="227" t="str">
        <f>SMK</f>
        <v>WITNESS:  S. M. KATKO</v>
      </c>
    </row>
    <row r="9" spans="1:12" x14ac:dyDescent="0.2">
      <c r="A9" s="209"/>
      <c r="B9" s="210"/>
      <c r="C9" s="210"/>
      <c r="D9" s="82"/>
      <c r="E9" s="82"/>
      <c r="F9" s="82"/>
      <c r="G9" s="82"/>
      <c r="H9" s="82"/>
      <c r="I9" s="237"/>
      <c r="J9" s="227"/>
    </row>
    <row r="10" spans="1:12" x14ac:dyDescent="0.2">
      <c r="A10" s="230" t="s">
        <v>632</v>
      </c>
      <c r="B10" s="229"/>
      <c r="C10" s="229"/>
      <c r="D10" s="229"/>
      <c r="E10" s="230" t="s">
        <v>872</v>
      </c>
      <c r="F10" s="229"/>
      <c r="G10" s="230" t="s">
        <v>876</v>
      </c>
      <c r="H10" s="229"/>
      <c r="I10" s="230" t="s">
        <v>671</v>
      </c>
      <c r="J10" s="229"/>
    </row>
    <row r="11" spans="1:12" x14ac:dyDescent="0.2">
      <c r="A11" s="9" t="s">
        <v>635</v>
      </c>
      <c r="B11" s="7"/>
      <c r="C11" s="6" t="s">
        <v>778</v>
      </c>
      <c r="D11" s="7"/>
      <c r="E11" s="9" t="s">
        <v>675</v>
      </c>
      <c r="F11" s="7"/>
      <c r="G11" s="9" t="s">
        <v>676</v>
      </c>
      <c r="H11" s="7"/>
      <c r="I11" s="9" t="s">
        <v>771</v>
      </c>
      <c r="J11" s="7"/>
    </row>
    <row r="12" spans="1:12" x14ac:dyDescent="0.2">
      <c r="E12" s="1" t="s">
        <v>860</v>
      </c>
      <c r="G12" s="1" t="s">
        <v>877</v>
      </c>
      <c r="I12" s="1" t="s">
        <v>878</v>
      </c>
    </row>
    <row r="14" spans="1:12" x14ac:dyDescent="0.2">
      <c r="A14" s="1">
        <v>1</v>
      </c>
      <c r="C14" s="4" t="s">
        <v>879</v>
      </c>
      <c r="E14" s="11"/>
      <c r="I14" s="11"/>
      <c r="L14" s="11"/>
    </row>
    <row r="15" spans="1:12" x14ac:dyDescent="0.2">
      <c r="F15" s="11"/>
      <c r="G15" s="12"/>
      <c r="H15" s="11"/>
      <c r="I15" s="11"/>
      <c r="J15" s="11"/>
      <c r="L15" s="11"/>
    </row>
    <row r="16" spans="1:12" x14ac:dyDescent="0.2">
      <c r="A16" s="1">
        <f>A14+1</f>
        <v>2</v>
      </c>
      <c r="C16" s="4" t="s">
        <v>880</v>
      </c>
      <c r="E16" s="313">
        <f>'Oper Rev&amp;Exp by Accts C2.1B'!F47-'Total Co Accts Activ C2.2B'!P36+'Adj Operating Income Sum C-2'!K16</f>
        <v>341557</v>
      </c>
      <c r="G16" s="1" t="s">
        <v>881</v>
      </c>
      <c r="I16" s="11">
        <f>(E16*0.125)</f>
        <v>42694.625</v>
      </c>
      <c r="L16" s="11"/>
    </row>
    <row r="17" spans="1:12" x14ac:dyDescent="0.2">
      <c r="E17" s="76"/>
      <c r="L17" s="11"/>
    </row>
    <row r="18" spans="1:12" x14ac:dyDescent="0.2">
      <c r="A18" s="1">
        <f>A16+1</f>
        <v>3</v>
      </c>
      <c r="C18" s="4" t="s">
        <v>882</v>
      </c>
      <c r="E18" s="313">
        <f>'Adj Operating Income Sum C-2'!M17</f>
        <v>2139</v>
      </c>
      <c r="F18" s="11"/>
      <c r="G18" s="1" t="s">
        <v>881</v>
      </c>
      <c r="H18" s="11"/>
      <c r="I18" s="11">
        <f>(E18*0.125)</f>
        <v>267.375</v>
      </c>
      <c r="J18" s="11"/>
      <c r="L18" s="11"/>
    </row>
    <row r="19" spans="1:12" x14ac:dyDescent="0.2">
      <c r="E19" s="509"/>
      <c r="F19" s="11"/>
      <c r="I19" s="11"/>
      <c r="J19" s="11"/>
      <c r="L19" s="11"/>
    </row>
    <row r="20" spans="1:12" x14ac:dyDescent="0.2">
      <c r="A20" s="1">
        <f>A18+1</f>
        <v>4</v>
      </c>
      <c r="C20" s="4" t="s">
        <v>883</v>
      </c>
      <c r="E20" s="313">
        <f>'Adj Operating Income Sum C-2'!M18</f>
        <v>18468976</v>
      </c>
      <c r="F20" s="11"/>
      <c r="G20" s="1" t="s">
        <v>881</v>
      </c>
      <c r="H20" s="11"/>
      <c r="I20" s="11">
        <f>(E20*0.125)</f>
        <v>2308622</v>
      </c>
      <c r="L20" s="11"/>
    </row>
    <row r="21" spans="1:12" x14ac:dyDescent="0.2">
      <c r="E21" s="509"/>
      <c r="F21" s="11"/>
      <c r="G21" s="12"/>
      <c r="H21" s="11"/>
      <c r="I21" s="11"/>
      <c r="J21" s="11"/>
      <c r="L21" s="11"/>
    </row>
    <row r="22" spans="1:12" x14ac:dyDescent="0.2">
      <c r="A22" s="1">
        <f>A20+1</f>
        <v>5</v>
      </c>
      <c r="C22" s="4" t="s">
        <v>884</v>
      </c>
      <c r="E22" s="313">
        <f>'Adj Operating Income Sum C-2'!M19</f>
        <v>5539212</v>
      </c>
      <c r="F22" s="11"/>
      <c r="G22" s="1" t="s">
        <v>881</v>
      </c>
      <c r="H22" s="11"/>
      <c r="I22" s="11">
        <f>(E22*0.125)</f>
        <v>692401.5</v>
      </c>
      <c r="J22" s="11"/>
      <c r="L22" s="11"/>
    </row>
    <row r="23" spans="1:12" x14ac:dyDescent="0.2">
      <c r="E23" s="509"/>
      <c r="F23" s="11"/>
      <c r="G23" s="12"/>
      <c r="H23" s="11"/>
      <c r="I23" s="11"/>
      <c r="J23" s="11"/>
      <c r="L23" s="11"/>
    </row>
    <row r="24" spans="1:12" x14ac:dyDescent="0.2">
      <c r="A24" s="1">
        <f>A22+1</f>
        <v>6</v>
      </c>
      <c r="C24" s="4" t="s">
        <v>885</v>
      </c>
      <c r="E24" s="313">
        <f>'Adj Operating Income Sum C-2'!M20</f>
        <v>1546761</v>
      </c>
      <c r="F24" s="11"/>
      <c r="G24" s="1" t="s">
        <v>881</v>
      </c>
      <c r="H24" s="11"/>
      <c r="I24" s="11">
        <f>(E24*0.125)</f>
        <v>193345.125</v>
      </c>
      <c r="J24" s="11"/>
      <c r="L24" s="11"/>
    </row>
    <row r="25" spans="1:12" x14ac:dyDescent="0.2">
      <c r="E25" s="313"/>
      <c r="F25" s="11"/>
      <c r="G25" s="12"/>
      <c r="H25" s="11"/>
      <c r="I25" s="11"/>
      <c r="J25" s="11"/>
      <c r="L25" s="11"/>
    </row>
    <row r="26" spans="1:12" x14ac:dyDescent="0.2">
      <c r="A26" s="1">
        <f>A24+1</f>
        <v>7</v>
      </c>
      <c r="C26" s="4" t="s">
        <v>886</v>
      </c>
      <c r="E26" s="313">
        <f>'Adj Operating Income Sum C-2'!M21</f>
        <v>176183</v>
      </c>
      <c r="F26" s="11"/>
      <c r="G26" s="1" t="s">
        <v>881</v>
      </c>
      <c r="H26" s="11"/>
      <c r="I26" s="11">
        <f>(E26*0.125)</f>
        <v>22022.875</v>
      </c>
      <c r="J26" s="11"/>
      <c r="L26" s="11"/>
    </row>
    <row r="27" spans="1:12" x14ac:dyDescent="0.2">
      <c r="E27" s="313"/>
      <c r="F27" s="11"/>
      <c r="G27" s="12"/>
      <c r="H27" s="11"/>
      <c r="I27" s="11"/>
      <c r="J27" s="11"/>
      <c r="L27" s="11"/>
    </row>
    <row r="28" spans="1:12" x14ac:dyDescent="0.2">
      <c r="A28" s="1">
        <f>A26+1</f>
        <v>8</v>
      </c>
      <c r="C28" s="4" t="s">
        <v>887</v>
      </c>
      <c r="E28" s="1104">
        <f>'Adj Operating Income Sum C-2'!M22</f>
        <v>19020203.439959999</v>
      </c>
      <c r="F28" s="11"/>
      <c r="G28" s="1" t="s">
        <v>881</v>
      </c>
      <c r="H28" s="11"/>
      <c r="I28" s="13">
        <f>(E28*0.125)</f>
        <v>2377525.4299949999</v>
      </c>
      <c r="J28" s="11"/>
      <c r="L28" s="11"/>
    </row>
    <row r="29" spans="1:12" x14ac:dyDescent="0.2">
      <c r="E29" s="11"/>
      <c r="F29" s="11"/>
      <c r="G29" s="12"/>
      <c r="H29" s="11"/>
      <c r="I29" s="11"/>
      <c r="J29" s="11"/>
      <c r="L29" s="11"/>
    </row>
    <row r="30" spans="1:12" x14ac:dyDescent="0.2">
      <c r="A30" s="1">
        <f>A28+1</f>
        <v>9</v>
      </c>
      <c r="C30" s="4" t="s">
        <v>888</v>
      </c>
      <c r="E30" s="11">
        <f>SUM(E16:E28)</f>
        <v>45095031.439960003</v>
      </c>
      <c r="F30" s="11"/>
      <c r="H30" s="11"/>
      <c r="I30" s="59">
        <f>SUM(I16:I28)</f>
        <v>5636878.9299950004</v>
      </c>
      <c r="J30" s="11"/>
      <c r="L30" s="11"/>
    </row>
    <row r="31" spans="1:12" x14ac:dyDescent="0.2">
      <c r="F31" s="11"/>
      <c r="G31" s="12"/>
      <c r="H31" s="11"/>
      <c r="I31" s="11"/>
      <c r="J31" s="11"/>
      <c r="L31" s="11"/>
    </row>
    <row r="32" spans="1:12" x14ac:dyDescent="0.2">
      <c r="C32" s="4"/>
      <c r="H32" s="11"/>
      <c r="I32" s="11"/>
      <c r="J32" s="11"/>
    </row>
    <row r="33" spans="3:10" x14ac:dyDescent="0.2">
      <c r="C33" s="4"/>
      <c r="H33" s="11"/>
      <c r="I33" s="11"/>
      <c r="J33" s="11"/>
    </row>
    <row r="34" spans="3:10" x14ac:dyDescent="0.2">
      <c r="C34" s="4"/>
      <c r="H34" s="11"/>
      <c r="I34" s="11"/>
      <c r="J34" s="11"/>
    </row>
    <row r="35" spans="3:10" x14ac:dyDescent="0.2">
      <c r="H35" s="11"/>
      <c r="I35" s="11"/>
      <c r="J35" s="11"/>
    </row>
    <row r="36" spans="3:10" x14ac:dyDescent="0.2">
      <c r="H36" s="11"/>
      <c r="I36" s="11"/>
      <c r="J36" s="11"/>
    </row>
    <row r="37" spans="3:10" x14ac:dyDescent="0.2">
      <c r="H37" s="11"/>
      <c r="I37" s="11"/>
      <c r="J37" s="11"/>
    </row>
    <row r="38" spans="3:10" x14ac:dyDescent="0.2">
      <c r="H38" s="11"/>
      <c r="I38" s="11"/>
      <c r="J38" s="11"/>
    </row>
  </sheetData>
  <mergeCells count="4">
    <mergeCell ref="A1:J1"/>
    <mergeCell ref="A2:J2"/>
    <mergeCell ref="A3:J3"/>
    <mergeCell ref="A4:J4"/>
  </mergeCells>
  <phoneticPr fontId="0" type="noConversion"/>
  <pageMargins left="1" right="0.5" top="1" bottom="0.75" header="0.3" footer="0.3"/>
  <pageSetup scale="79" fitToHeight="0" orientation="portrait" r:id="rId1"/>
  <headerFooter>
    <oddHeader>&amp;R&amp;"Arial,Regular"&amp;10KY PSC Case No. 2016-00162, Attachment A to Staff 3-4</oddHeader>
  </headerFooter>
  <ignoredErrors>
    <ignoredError sqref="E12:I12 G16:G28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37">
    <pageSetUpPr fitToPage="1"/>
  </sheetPr>
  <dimension ref="A1:K49"/>
  <sheetViews>
    <sheetView showGridLines="0" view="pageBreakPreview" zoomScaleNormal="100" zoomScaleSheetLayoutView="100" workbookViewId="0">
      <selection activeCell="F46" sqref="F46"/>
    </sheetView>
  </sheetViews>
  <sheetFormatPr defaultColWidth="9.83203125" defaultRowHeight="12.75" x14ac:dyDescent="0.2"/>
  <cols>
    <col min="1" max="1" width="5.83203125" style="3" customWidth="1"/>
    <col min="2" max="2" width="13.5" style="3" bestFit="1" customWidth="1"/>
    <col min="3" max="3" width="7.83203125" style="3" customWidth="1"/>
    <col min="4" max="5" width="9.83203125" style="3"/>
    <col min="6" max="6" width="14.83203125" style="3" customWidth="1"/>
    <col min="7" max="7" width="22.6640625" style="3" customWidth="1"/>
    <col min="8" max="8" width="18.6640625" style="3" customWidth="1"/>
    <col min="9" max="9" width="21.5" style="3" customWidth="1"/>
    <col min="10" max="10" width="18" style="3" customWidth="1"/>
    <col min="11" max="11" width="12.83203125" style="3" customWidth="1"/>
    <col min="12" max="16384" width="9.83203125" style="3"/>
  </cols>
  <sheetData>
    <row r="1" spans="1:11" x14ac:dyDescent="0.2">
      <c r="A1" s="2063" t="str">
        <f>co</f>
        <v>COLUMBIA GAS OF KENTUCKY, INC.</v>
      </c>
      <c r="B1" s="2063"/>
      <c r="C1" s="2063"/>
      <c r="D1" s="2063"/>
      <c r="E1" s="2063"/>
      <c r="F1" s="2063"/>
      <c r="G1" s="2063"/>
      <c r="H1" s="2063"/>
      <c r="I1" s="2063"/>
      <c r="J1" s="2063"/>
    </row>
    <row r="2" spans="1:11" x14ac:dyDescent="0.2">
      <c r="A2" s="2063" t="str">
        <f>case</f>
        <v>CASE NO. 2016 - 00162</v>
      </c>
      <c r="B2" s="2063"/>
      <c r="C2" s="2063"/>
      <c r="D2" s="2063"/>
      <c r="E2" s="2063"/>
      <c r="F2" s="2063"/>
      <c r="G2" s="2063"/>
      <c r="H2" s="2063"/>
      <c r="I2" s="2063"/>
      <c r="J2" s="2063"/>
    </row>
    <row r="3" spans="1:11" x14ac:dyDescent="0.2">
      <c r="A3" s="2060" t="s">
        <v>900</v>
      </c>
      <c r="B3" s="2060"/>
      <c r="C3" s="2060"/>
      <c r="D3" s="2060"/>
      <c r="E3" s="2060"/>
      <c r="F3" s="2060"/>
      <c r="G3" s="2060"/>
      <c r="H3" s="2060"/>
      <c r="I3" s="2060"/>
      <c r="J3" s="2060"/>
    </row>
    <row r="4" spans="1:11" x14ac:dyDescent="0.2">
      <c r="A4" s="2088" t="str">
        <f>dateb</f>
        <v>AS OF AUGUST 31, 2016</v>
      </c>
      <c r="B4" s="2088"/>
      <c r="C4" s="2088"/>
      <c r="D4" s="2088"/>
      <c r="E4" s="2088"/>
      <c r="F4" s="2088"/>
      <c r="G4" s="2088"/>
      <c r="H4" s="2088"/>
      <c r="I4" s="2088"/>
      <c r="J4" s="2088"/>
    </row>
    <row r="5" spans="1:11" x14ac:dyDescent="0.2">
      <c r="A5" s="1"/>
      <c r="B5" s="1"/>
      <c r="C5" s="1"/>
      <c r="D5" s="1"/>
      <c r="E5" s="1"/>
      <c r="F5" s="1"/>
      <c r="G5" s="1"/>
      <c r="H5" s="1"/>
      <c r="I5" s="1"/>
      <c r="J5" s="1"/>
    </row>
    <row r="6" spans="1:11" x14ac:dyDescent="0.2">
      <c r="A6" s="1787" t="s">
        <v>976</v>
      </c>
      <c r="B6" s="83"/>
      <c r="C6" s="82"/>
      <c r="D6" s="82"/>
      <c r="J6" s="5" t="s">
        <v>901</v>
      </c>
    </row>
    <row r="7" spans="1:11" x14ac:dyDescent="0.2">
      <c r="A7" s="4" t="s">
        <v>977</v>
      </c>
      <c r="B7" s="82"/>
      <c r="C7" s="83"/>
      <c r="D7" s="83"/>
      <c r="E7" s="4"/>
      <c r="J7" s="5" t="s">
        <v>628</v>
      </c>
    </row>
    <row r="8" spans="1:11" x14ac:dyDescent="0.2">
      <c r="A8" s="156" t="s">
        <v>1003</v>
      </c>
      <c r="B8" s="8"/>
      <c r="C8" s="8"/>
      <c r="D8" s="8"/>
      <c r="E8" s="8"/>
      <c r="F8" s="8"/>
      <c r="G8" s="8"/>
      <c r="H8" s="8"/>
      <c r="I8" s="8"/>
      <c r="J8" s="552" t="s">
        <v>1248</v>
      </c>
    </row>
    <row r="9" spans="1:11" x14ac:dyDescent="0.2">
      <c r="D9" s="82"/>
      <c r="E9" s="82"/>
    </row>
    <row r="10" spans="1:11" x14ac:dyDescent="0.2">
      <c r="A10" s="1" t="s">
        <v>632</v>
      </c>
      <c r="B10" s="1" t="s">
        <v>983</v>
      </c>
      <c r="G10" s="1" t="s">
        <v>757</v>
      </c>
      <c r="H10" s="1" t="s">
        <v>872</v>
      </c>
      <c r="I10" s="1" t="s">
        <v>671</v>
      </c>
      <c r="J10" s="1" t="s">
        <v>671</v>
      </c>
    </row>
    <row r="11" spans="1:11" x14ac:dyDescent="0.2">
      <c r="A11" s="9" t="s">
        <v>635</v>
      </c>
      <c r="B11" s="9" t="s">
        <v>984</v>
      </c>
      <c r="C11" s="7"/>
      <c r="D11" s="7"/>
      <c r="E11" s="7"/>
      <c r="F11" s="7"/>
      <c r="G11" s="9" t="s">
        <v>637</v>
      </c>
      <c r="H11" s="9" t="s">
        <v>675</v>
      </c>
      <c r="I11" s="9" t="s">
        <v>676</v>
      </c>
      <c r="J11" s="9" t="s">
        <v>771</v>
      </c>
    </row>
    <row r="13" spans="1:11" x14ac:dyDescent="0.2">
      <c r="B13" s="147"/>
      <c r="H13" s="11"/>
      <c r="I13" s="11"/>
      <c r="J13" s="11"/>
      <c r="K13" s="11"/>
    </row>
    <row r="14" spans="1:11" x14ac:dyDescent="0.2">
      <c r="A14" s="78">
        <v>1</v>
      </c>
      <c r="B14" s="147"/>
      <c r="C14" s="79" t="s">
        <v>980</v>
      </c>
    </row>
    <row r="15" spans="1:11" x14ac:dyDescent="0.2">
      <c r="A15" s="78">
        <f t="shared" ref="A15:A20" si="0">A14+1</f>
        <v>2</v>
      </c>
      <c r="B15" s="309" t="s">
        <v>904</v>
      </c>
      <c r="C15" s="285" t="s">
        <v>981</v>
      </c>
      <c r="D15" s="305"/>
      <c r="E15" s="305"/>
      <c r="F15" s="305"/>
      <c r="G15" s="305"/>
      <c r="H15" s="505">
        <v>1135281.7</v>
      </c>
      <c r="I15" s="128">
        <v>1</v>
      </c>
      <c r="J15" s="10">
        <f t="shared" ref="J15:J20" si="1">H15</f>
        <v>1135281.7</v>
      </c>
      <c r="K15" s="11"/>
    </row>
    <row r="16" spans="1:11" x14ac:dyDescent="0.2">
      <c r="A16" s="78">
        <f t="shared" si="0"/>
        <v>3</v>
      </c>
      <c r="B16" s="309" t="s">
        <v>905</v>
      </c>
      <c r="C16" s="1787" t="s">
        <v>2329</v>
      </c>
      <c r="D16" s="305"/>
      <c r="E16" s="305"/>
      <c r="F16" s="305"/>
      <c r="G16" s="305"/>
      <c r="H16" s="505">
        <v>213133</v>
      </c>
      <c r="I16" s="10"/>
      <c r="J16" s="10">
        <f t="shared" si="1"/>
        <v>213133</v>
      </c>
      <c r="K16" s="11"/>
    </row>
    <row r="17" spans="1:11" x14ac:dyDescent="0.2">
      <c r="A17" s="78">
        <f t="shared" si="0"/>
        <v>4</v>
      </c>
      <c r="B17" s="504" t="s">
        <v>1177</v>
      </c>
      <c r="C17" s="285" t="s">
        <v>1178</v>
      </c>
      <c r="D17" s="305"/>
      <c r="E17" s="305"/>
      <c r="F17" s="305"/>
      <c r="G17" s="305"/>
      <c r="H17" s="505">
        <v>2303157</v>
      </c>
      <c r="I17" s="11"/>
      <c r="J17" s="11">
        <f t="shared" si="1"/>
        <v>2303157</v>
      </c>
      <c r="K17" s="11"/>
    </row>
    <row r="18" spans="1:11" x14ac:dyDescent="0.2">
      <c r="A18" s="78">
        <f t="shared" si="0"/>
        <v>5</v>
      </c>
      <c r="B18" s="504" t="s">
        <v>1179</v>
      </c>
      <c r="C18" s="285" t="s">
        <v>1180</v>
      </c>
      <c r="D18" s="305"/>
      <c r="E18" s="305"/>
      <c r="F18" s="305"/>
      <c r="G18" s="305"/>
      <c r="H18" s="506">
        <v>420026</v>
      </c>
      <c r="I18" s="11"/>
      <c r="J18" s="11">
        <f t="shared" si="1"/>
        <v>420026</v>
      </c>
      <c r="K18" s="11"/>
    </row>
    <row r="19" spans="1:11" x14ac:dyDescent="0.2">
      <c r="A19" s="78">
        <f t="shared" si="0"/>
        <v>6</v>
      </c>
      <c r="B19" s="504">
        <v>2969</v>
      </c>
      <c r="C19" s="285" t="s">
        <v>1181</v>
      </c>
      <c r="D19" s="305"/>
      <c r="E19" s="305"/>
      <c r="F19" s="305"/>
      <c r="G19" s="305"/>
      <c r="H19" s="507">
        <v>1406921</v>
      </c>
      <c r="I19" s="11"/>
      <c r="J19" s="80">
        <f t="shared" si="1"/>
        <v>1406921</v>
      </c>
      <c r="K19" s="11"/>
    </row>
    <row r="20" spans="1:11" x14ac:dyDescent="0.2">
      <c r="A20" s="78">
        <f t="shared" si="0"/>
        <v>7</v>
      </c>
      <c r="B20" s="147"/>
      <c r="C20" s="4" t="s">
        <v>982</v>
      </c>
      <c r="H20" s="59">
        <f>SUM(H15:H19)</f>
        <v>5478518.7000000002</v>
      </c>
      <c r="I20" s="11"/>
      <c r="J20" s="59">
        <f t="shared" si="1"/>
        <v>5478518.7000000002</v>
      </c>
      <c r="K20" s="11"/>
    </row>
    <row r="21" spans="1:11" x14ac:dyDescent="0.2">
      <c r="B21" s="147"/>
      <c r="H21" s="11"/>
      <c r="I21" s="11"/>
      <c r="J21" s="11"/>
      <c r="K21" s="11"/>
    </row>
    <row r="22" spans="1:11" x14ac:dyDescent="0.2">
      <c r="A22" s="78">
        <f>A20+1</f>
        <v>8</v>
      </c>
      <c r="B22" s="147"/>
      <c r="C22" s="79" t="s">
        <v>985</v>
      </c>
      <c r="H22" s="11"/>
      <c r="I22" s="11"/>
      <c r="J22" s="11"/>
      <c r="K22" s="11"/>
    </row>
    <row r="23" spans="1:11" x14ac:dyDescent="0.2">
      <c r="A23" s="78">
        <f t="shared" ref="A23:A36" si="2">A22+1</f>
        <v>9</v>
      </c>
      <c r="B23" s="309" t="s">
        <v>906</v>
      </c>
      <c r="C23" s="1787" t="s">
        <v>986</v>
      </c>
      <c r="D23" s="305"/>
      <c r="E23" s="305"/>
      <c r="F23" s="305"/>
      <c r="G23" s="305"/>
      <c r="H23" s="313">
        <f>'ADIT Calc-Do not print'!C15</f>
        <v>-65157586.561548814</v>
      </c>
      <c r="I23" s="11"/>
      <c r="J23" s="11">
        <f t="shared" ref="J23:J34" si="3">H23</f>
        <v>-65157586.561548814</v>
      </c>
      <c r="K23" s="11"/>
    </row>
    <row r="24" spans="1:11" x14ac:dyDescent="0.2">
      <c r="A24" s="78">
        <f t="shared" si="2"/>
        <v>10</v>
      </c>
      <c r="B24" s="309" t="s">
        <v>907</v>
      </c>
      <c r="C24" s="1787" t="s">
        <v>2324</v>
      </c>
      <c r="D24" s="305"/>
      <c r="E24" s="305"/>
      <c r="F24" s="305"/>
      <c r="G24" s="305"/>
      <c r="H24" s="313">
        <f>'ADIT Calc-Do not print'!E15</f>
        <v>-12941513.99356271</v>
      </c>
      <c r="J24" s="11">
        <f t="shared" si="3"/>
        <v>-12941513.99356271</v>
      </c>
      <c r="K24" s="11"/>
    </row>
    <row r="25" spans="1:11" x14ac:dyDescent="0.2">
      <c r="A25" s="78">
        <f t="shared" si="2"/>
        <v>11</v>
      </c>
      <c r="B25" s="309" t="s">
        <v>908</v>
      </c>
      <c r="C25" s="285" t="s">
        <v>987</v>
      </c>
      <c r="D25" s="305"/>
      <c r="E25" s="305"/>
      <c r="F25" s="305"/>
      <c r="G25" s="305"/>
      <c r="H25" s="505">
        <v>-5598363</v>
      </c>
      <c r="J25" s="11">
        <f t="shared" si="3"/>
        <v>-5598363</v>
      </c>
      <c r="K25" s="11"/>
    </row>
    <row r="26" spans="1:11" x14ac:dyDescent="0.2">
      <c r="A26" s="78">
        <f t="shared" si="2"/>
        <v>12</v>
      </c>
      <c r="B26" s="309" t="s">
        <v>909</v>
      </c>
      <c r="C26" s="1787" t="s">
        <v>1187</v>
      </c>
      <c r="D26" s="305"/>
      <c r="E26" s="305"/>
      <c r="F26" s="305"/>
      <c r="G26" s="305"/>
      <c r="H26" s="505">
        <v>-1051006</v>
      </c>
      <c r="J26" s="11">
        <f t="shared" si="3"/>
        <v>-1051006</v>
      </c>
      <c r="K26" s="11"/>
    </row>
    <row r="27" spans="1:11" x14ac:dyDescent="0.2">
      <c r="A27" s="78">
        <f t="shared" si="2"/>
        <v>13</v>
      </c>
      <c r="B27" s="309" t="s">
        <v>910</v>
      </c>
      <c r="C27" s="285" t="s">
        <v>988</v>
      </c>
      <c r="D27" s="305"/>
      <c r="E27" s="305"/>
      <c r="F27" s="305"/>
      <c r="G27" s="305"/>
      <c r="H27" s="505">
        <v>-446356</v>
      </c>
      <c r="J27" s="11">
        <f t="shared" si="3"/>
        <v>-446356</v>
      </c>
      <c r="K27" s="11"/>
    </row>
    <row r="28" spans="1:11" x14ac:dyDescent="0.2">
      <c r="A28" s="78">
        <f t="shared" si="2"/>
        <v>14</v>
      </c>
      <c r="B28" s="309" t="s">
        <v>911</v>
      </c>
      <c r="C28" s="285" t="s">
        <v>989</v>
      </c>
      <c r="D28" s="305"/>
      <c r="E28" s="305"/>
      <c r="F28" s="305"/>
      <c r="G28" s="305"/>
      <c r="H28" s="506">
        <v>-83797</v>
      </c>
      <c r="J28" s="11">
        <f t="shared" si="3"/>
        <v>-83797</v>
      </c>
      <c r="K28" s="11"/>
    </row>
    <row r="29" spans="1:11" x14ac:dyDescent="0.2">
      <c r="A29" s="78">
        <f t="shared" si="2"/>
        <v>15</v>
      </c>
      <c r="B29" s="309">
        <v>2232</v>
      </c>
      <c r="C29" s="285" t="s">
        <v>990</v>
      </c>
      <c r="D29" s="305"/>
      <c r="E29" s="305"/>
      <c r="F29" s="305"/>
      <c r="G29" s="305"/>
      <c r="H29" s="506">
        <v>1482994</v>
      </c>
      <c r="J29" s="11">
        <f t="shared" si="3"/>
        <v>1482994</v>
      </c>
      <c r="K29" s="11"/>
    </row>
    <row r="30" spans="1:11" x14ac:dyDescent="0.2">
      <c r="A30" s="78">
        <f t="shared" si="2"/>
        <v>16</v>
      </c>
      <c r="B30" s="309">
        <v>4232</v>
      </c>
      <c r="C30" s="1787" t="s">
        <v>2326</v>
      </c>
      <c r="D30" s="305"/>
      <c r="E30" s="305"/>
      <c r="F30" s="305"/>
      <c r="G30" s="305"/>
      <c r="H30" s="506">
        <v>278411</v>
      </c>
      <c r="I30" s="11"/>
      <c r="J30" s="11">
        <f t="shared" si="3"/>
        <v>278411</v>
      </c>
      <c r="K30" s="11"/>
    </row>
    <row r="31" spans="1:11" x14ac:dyDescent="0.2">
      <c r="A31" s="78">
        <f t="shared" si="2"/>
        <v>17</v>
      </c>
      <c r="B31" s="309">
        <v>2234</v>
      </c>
      <c r="C31" s="285" t="s">
        <v>1182</v>
      </c>
      <c r="D31" s="305"/>
      <c r="E31" s="305"/>
      <c r="F31" s="305"/>
      <c r="G31" s="305"/>
      <c r="H31" s="506">
        <v>8590</v>
      </c>
      <c r="I31" s="11"/>
      <c r="J31" s="11">
        <f t="shared" si="3"/>
        <v>8590</v>
      </c>
      <c r="K31" s="11"/>
    </row>
    <row r="32" spans="1:11" x14ac:dyDescent="0.2">
      <c r="A32" s="78">
        <f t="shared" si="2"/>
        <v>18</v>
      </c>
      <c r="B32" s="309">
        <v>4234</v>
      </c>
      <c r="C32" s="285" t="s">
        <v>1183</v>
      </c>
      <c r="D32" s="305"/>
      <c r="E32" s="305"/>
      <c r="F32" s="305"/>
      <c r="G32" s="305"/>
      <c r="H32" s="506">
        <v>1568</v>
      </c>
      <c r="I32" s="11"/>
      <c r="J32" s="11">
        <f t="shared" si="3"/>
        <v>1568</v>
      </c>
      <c r="K32" s="11"/>
    </row>
    <row r="33" spans="1:11" x14ac:dyDescent="0.2">
      <c r="A33" s="78">
        <f t="shared" si="2"/>
        <v>19</v>
      </c>
      <c r="B33" s="309">
        <v>4227</v>
      </c>
      <c r="C33" s="285" t="s">
        <v>1184</v>
      </c>
      <c r="D33" s="305"/>
      <c r="E33" s="305"/>
      <c r="F33" s="305"/>
      <c r="G33" s="305"/>
      <c r="H33" s="1103">
        <f>'ADIT Calc-Do not print'!F15</f>
        <v>3529074.0025722794</v>
      </c>
      <c r="I33" s="82"/>
      <c r="J33" s="11">
        <f t="shared" si="3"/>
        <v>3529074.0025722794</v>
      </c>
      <c r="K33" s="11"/>
    </row>
    <row r="34" spans="1:11" x14ac:dyDescent="0.2">
      <c r="A34" s="78">
        <f t="shared" si="2"/>
        <v>20</v>
      </c>
      <c r="B34" s="309">
        <v>2951</v>
      </c>
      <c r="C34" s="285" t="s">
        <v>1185</v>
      </c>
      <c r="D34" s="305"/>
      <c r="E34" s="305"/>
      <c r="F34" s="305"/>
      <c r="G34" s="305"/>
      <c r="H34" s="506">
        <v>-98814</v>
      </c>
      <c r="J34" s="11">
        <f t="shared" si="3"/>
        <v>-98814</v>
      </c>
      <c r="K34" s="11"/>
    </row>
    <row r="35" spans="1:11" x14ac:dyDescent="0.2">
      <c r="A35" s="78">
        <f t="shared" si="2"/>
        <v>21</v>
      </c>
      <c r="B35" s="309">
        <v>2953</v>
      </c>
      <c r="C35" s="285" t="s">
        <v>1186</v>
      </c>
      <c r="D35" s="305"/>
      <c r="E35" s="305"/>
      <c r="F35" s="305"/>
      <c r="G35" s="305"/>
      <c r="H35" s="507">
        <v>-64845</v>
      </c>
      <c r="I35" s="77"/>
      <c r="J35" s="80">
        <f>H35</f>
        <v>-64845</v>
      </c>
      <c r="K35" s="11"/>
    </row>
    <row r="36" spans="1:11" x14ac:dyDescent="0.2">
      <c r="A36" s="78">
        <f t="shared" si="2"/>
        <v>22</v>
      </c>
      <c r="B36" s="1"/>
      <c r="C36" s="4" t="s">
        <v>991</v>
      </c>
      <c r="H36" s="59">
        <f>SUM(H23:H35)</f>
        <v>-80141644.552539244</v>
      </c>
      <c r="I36" s="11"/>
      <c r="J36" s="59">
        <f>H36</f>
        <v>-80141644.552539244</v>
      </c>
      <c r="K36" s="11"/>
    </row>
    <row r="37" spans="1:11" x14ac:dyDescent="0.2">
      <c r="B37" s="147"/>
      <c r="H37" s="11"/>
      <c r="I37" s="11"/>
      <c r="J37" s="11"/>
      <c r="K37" s="11"/>
    </row>
    <row r="38" spans="1:11" x14ac:dyDescent="0.2">
      <c r="A38" s="78">
        <f>A36+1</f>
        <v>23</v>
      </c>
      <c r="B38" s="147"/>
      <c r="C38" s="79" t="s">
        <v>992</v>
      </c>
      <c r="H38" s="11"/>
      <c r="I38" s="11"/>
      <c r="J38" s="11"/>
      <c r="K38" s="11"/>
    </row>
    <row r="39" spans="1:11" x14ac:dyDescent="0.2">
      <c r="A39" s="78">
        <f>A38+1</f>
        <v>24</v>
      </c>
      <c r="B39" s="496" t="s">
        <v>912</v>
      </c>
      <c r="C39" s="508" t="s">
        <v>993</v>
      </c>
      <c r="D39" s="509"/>
      <c r="E39" s="509"/>
      <c r="F39" s="509"/>
      <c r="G39" s="509"/>
      <c r="H39" s="505">
        <v>0</v>
      </c>
      <c r="I39" s="11"/>
      <c r="J39" s="11">
        <f>H39</f>
        <v>0</v>
      </c>
      <c r="K39" s="11"/>
    </row>
    <row r="40" spans="1:11" x14ac:dyDescent="0.2">
      <c r="A40" s="78">
        <f>A39+1</f>
        <v>25</v>
      </c>
      <c r="B40" s="496" t="s">
        <v>913</v>
      </c>
      <c r="C40" s="1873" t="s">
        <v>2328</v>
      </c>
      <c r="D40" s="509"/>
      <c r="E40" s="509"/>
      <c r="F40" s="509"/>
      <c r="G40" s="509"/>
      <c r="H40" s="510">
        <v>0</v>
      </c>
      <c r="I40" s="11"/>
      <c r="J40" s="13">
        <f>H40</f>
        <v>0</v>
      </c>
      <c r="K40" s="11"/>
    </row>
    <row r="41" spans="1:11" x14ac:dyDescent="0.2">
      <c r="A41" s="78">
        <f>A40+1</f>
        <v>26</v>
      </c>
      <c r="B41" s="147"/>
      <c r="C41" s="4" t="s">
        <v>994</v>
      </c>
      <c r="H41" s="59">
        <f>H39+H40</f>
        <v>0</v>
      </c>
      <c r="I41" s="11"/>
      <c r="J41" s="59">
        <f>H41</f>
        <v>0</v>
      </c>
      <c r="K41" s="11"/>
    </row>
    <row r="42" spans="1:11" x14ac:dyDescent="0.2">
      <c r="B42" s="147"/>
      <c r="H42" s="11"/>
      <c r="I42" s="11"/>
      <c r="J42" s="11"/>
      <c r="K42" s="11"/>
    </row>
    <row r="43" spans="1:11" x14ac:dyDescent="0.2">
      <c r="A43" s="78">
        <f>A41+1</f>
        <v>27</v>
      </c>
      <c r="B43" s="147"/>
      <c r="C43" s="4" t="s">
        <v>995</v>
      </c>
      <c r="H43" s="511">
        <f>H20+H36+H41</f>
        <v>-74663125.852539241</v>
      </c>
      <c r="I43" s="11"/>
      <c r="J43" s="59">
        <f>H43</f>
        <v>-74663125.852539241</v>
      </c>
      <c r="K43" s="11"/>
    </row>
    <row r="44" spans="1:11" x14ac:dyDescent="0.2">
      <c r="J44" s="11"/>
    </row>
    <row r="45" spans="1:11" x14ac:dyDescent="0.2">
      <c r="A45" s="82"/>
      <c r="B45" s="82"/>
      <c r="C45" s="83"/>
      <c r="D45" s="82"/>
      <c r="E45" s="82"/>
      <c r="F45" s="82"/>
      <c r="G45" s="82"/>
      <c r="H45" s="82"/>
      <c r="I45" s="82"/>
      <c r="J45" s="81"/>
      <c r="K45" s="11"/>
    </row>
    <row r="46" spans="1:11" x14ac:dyDescent="0.2">
      <c r="A46" s="82"/>
      <c r="B46" s="82"/>
      <c r="C46" s="83"/>
      <c r="D46" s="82"/>
      <c r="E46" s="82"/>
      <c r="F46" s="82"/>
      <c r="G46" s="82"/>
      <c r="H46" s="82"/>
      <c r="I46" s="82"/>
      <c r="J46" s="81"/>
      <c r="K46" s="11"/>
    </row>
    <row r="47" spans="1:11" x14ac:dyDescent="0.2">
      <c r="J47" s="11"/>
      <c r="K47" s="11"/>
    </row>
    <row r="48" spans="1:11" x14ac:dyDescent="0.2">
      <c r="J48" s="11"/>
      <c r="K48" s="11"/>
    </row>
    <row r="49" spans="10:11" x14ac:dyDescent="0.2">
      <c r="J49" s="11"/>
      <c r="K49" s="11"/>
    </row>
  </sheetData>
  <mergeCells count="4">
    <mergeCell ref="A1:J1"/>
    <mergeCell ref="A2:J2"/>
    <mergeCell ref="A3:J3"/>
    <mergeCell ref="A4:J4"/>
  </mergeCells>
  <phoneticPr fontId="0" type="noConversion"/>
  <pageMargins left="1" right="0.5" top="1" bottom="0.75" header="0.3" footer="0.3"/>
  <pageSetup scale="79" fitToHeight="0" orientation="portrait" r:id="rId1"/>
  <headerFooter>
    <oddHeader>&amp;R&amp;"Arial,Regular"&amp;10KY PSC Case No. 2016-00162, Attachment A to Staff 3-4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21">
    <pageSetUpPr fitToPage="1"/>
  </sheetPr>
  <dimension ref="A1:L51"/>
  <sheetViews>
    <sheetView showGridLines="0" view="pageBreakPreview" zoomScale="60" zoomScaleNormal="100" workbookViewId="0">
      <selection activeCell="F46" sqref="F46"/>
    </sheetView>
  </sheetViews>
  <sheetFormatPr defaultColWidth="9.83203125" defaultRowHeight="12.75" x14ac:dyDescent="0.2"/>
  <cols>
    <col min="1" max="1" width="5.83203125" style="3" customWidth="1"/>
    <col min="2" max="2" width="15.6640625" style="3" bestFit="1" customWidth="1"/>
    <col min="3" max="3" width="11.1640625" style="3" customWidth="1"/>
    <col min="4" max="5" width="9.83203125" style="3"/>
    <col min="6" max="6" width="14.83203125" style="3" customWidth="1"/>
    <col min="7" max="7" width="22.6640625" style="3" customWidth="1"/>
    <col min="8" max="8" width="14.83203125" style="3" customWidth="1"/>
    <col min="9" max="9" width="18.6640625" style="3" customWidth="1"/>
    <col min="10" max="10" width="19" style="3" customWidth="1"/>
    <col min="11" max="11" width="13.83203125" style="3" customWidth="1"/>
    <col min="12" max="12" width="12.83203125" style="3" customWidth="1"/>
    <col min="13" max="16384" width="9.83203125" style="3"/>
  </cols>
  <sheetData>
    <row r="1" spans="1:12" x14ac:dyDescent="0.2">
      <c r="A1" s="2063" t="str">
        <f>co</f>
        <v>COLUMBIA GAS OF KENTUCKY, INC.</v>
      </c>
      <c r="B1" s="2063"/>
      <c r="C1" s="2063"/>
      <c r="D1" s="2063"/>
      <c r="E1" s="2063"/>
      <c r="F1" s="2063"/>
      <c r="G1" s="2063"/>
      <c r="H1" s="2063"/>
      <c r="I1" s="2063"/>
      <c r="J1" s="2063"/>
      <c r="K1" s="2063"/>
    </row>
    <row r="2" spans="1:12" x14ac:dyDescent="0.2">
      <c r="A2" s="2063" t="str">
        <f>case</f>
        <v>CASE NO. 2016 - 00162</v>
      </c>
      <c r="B2" s="2063"/>
      <c r="C2" s="2063"/>
      <c r="D2" s="2063"/>
      <c r="E2" s="2063"/>
      <c r="F2" s="2063"/>
      <c r="G2" s="2063"/>
      <c r="H2" s="2063"/>
      <c r="I2" s="2063"/>
      <c r="J2" s="2063"/>
      <c r="K2" s="2063"/>
    </row>
    <row r="3" spans="1:12" x14ac:dyDescent="0.2">
      <c r="A3" s="2060" t="s">
        <v>900</v>
      </c>
      <c r="B3" s="2060"/>
      <c r="C3" s="2060"/>
      <c r="D3" s="2060"/>
      <c r="E3" s="2060"/>
      <c r="F3" s="2060"/>
      <c r="G3" s="2060"/>
      <c r="H3" s="2060"/>
      <c r="I3" s="2060"/>
      <c r="J3" s="2060"/>
      <c r="K3" s="2060"/>
    </row>
    <row r="4" spans="1:12" x14ac:dyDescent="0.2">
      <c r="A4" s="2088" t="str">
        <f>datef</f>
        <v>AS OF DECEMBER 31, 2017</v>
      </c>
      <c r="B4" s="2088"/>
      <c r="C4" s="2088"/>
      <c r="D4" s="2088"/>
      <c r="E4" s="2088"/>
      <c r="F4" s="2088"/>
      <c r="G4" s="2088"/>
      <c r="H4" s="2088"/>
      <c r="I4" s="2088"/>
      <c r="J4" s="2088"/>
      <c r="K4" s="2088"/>
    </row>
    <row r="5" spans="1:12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2" x14ac:dyDescent="0.2">
      <c r="A6" s="285" t="s">
        <v>1109</v>
      </c>
      <c r="B6" s="83"/>
      <c r="C6" s="82"/>
      <c r="D6" s="82"/>
      <c r="K6" s="5" t="s">
        <v>901</v>
      </c>
    </row>
    <row r="7" spans="1:12" x14ac:dyDescent="0.2">
      <c r="A7" s="4" t="s">
        <v>977</v>
      </c>
      <c r="B7" s="82"/>
      <c r="C7" s="83"/>
      <c r="D7" s="83"/>
      <c r="E7" s="4"/>
      <c r="K7" s="306" t="s">
        <v>1111</v>
      </c>
    </row>
    <row r="8" spans="1:12" x14ac:dyDescent="0.2">
      <c r="A8" s="156" t="s">
        <v>1003</v>
      </c>
      <c r="B8" s="8"/>
      <c r="C8" s="8"/>
      <c r="D8" s="8"/>
      <c r="E8" s="8"/>
      <c r="F8" s="8"/>
      <c r="G8" s="8"/>
      <c r="H8" s="8"/>
      <c r="I8" s="8"/>
      <c r="J8" s="8"/>
      <c r="K8" s="552" t="s">
        <v>1248</v>
      </c>
    </row>
    <row r="9" spans="1:12" x14ac:dyDescent="0.2">
      <c r="D9" s="82"/>
      <c r="E9" s="82"/>
      <c r="K9" s="148" t="s">
        <v>673</v>
      </c>
    </row>
    <row r="10" spans="1:12" x14ac:dyDescent="0.2">
      <c r="A10" s="1" t="s">
        <v>632</v>
      </c>
      <c r="B10" s="1" t="s">
        <v>983</v>
      </c>
      <c r="G10" s="1" t="s">
        <v>757</v>
      </c>
      <c r="H10" s="1" t="s">
        <v>872</v>
      </c>
      <c r="I10" s="1" t="s">
        <v>671</v>
      </c>
      <c r="J10" s="1" t="s">
        <v>671</v>
      </c>
      <c r="K10" s="1" t="s">
        <v>631</v>
      </c>
    </row>
    <row r="11" spans="1:12" x14ac:dyDescent="0.2">
      <c r="A11" s="9" t="s">
        <v>635</v>
      </c>
      <c r="B11" s="9" t="s">
        <v>984</v>
      </c>
      <c r="C11" s="7"/>
      <c r="D11" s="7"/>
      <c r="E11" s="7"/>
      <c r="F11" s="7"/>
      <c r="G11" s="9" t="s">
        <v>637</v>
      </c>
      <c r="H11" s="9" t="s">
        <v>675</v>
      </c>
      <c r="I11" s="9" t="s">
        <v>676</v>
      </c>
      <c r="J11" s="9" t="s">
        <v>771</v>
      </c>
      <c r="K11" s="9" t="s">
        <v>768</v>
      </c>
    </row>
    <row r="13" spans="1:12" x14ac:dyDescent="0.2">
      <c r="A13" s="1406">
        <v>1</v>
      </c>
      <c r="B13" s="159">
        <v>15560</v>
      </c>
      <c r="C13" s="160" t="s">
        <v>979</v>
      </c>
      <c r="D13" s="129"/>
      <c r="E13" s="129"/>
      <c r="F13" s="129"/>
      <c r="G13" s="129"/>
      <c r="H13" s="511">
        <f>'DNF - WPB-6 Acct. (forecast)'!B29</f>
        <v>0</v>
      </c>
      <c r="I13" s="128">
        <v>1</v>
      </c>
      <c r="J13" s="511">
        <f>H13</f>
        <v>0</v>
      </c>
      <c r="K13" s="511">
        <f>'DNF - WPB-6 Acct. (forecast)'!B32</f>
        <v>0</v>
      </c>
      <c r="L13" s="11"/>
    </row>
    <row r="14" spans="1:12" x14ac:dyDescent="0.2">
      <c r="B14" s="147"/>
      <c r="H14" s="11"/>
      <c r="I14" s="11"/>
      <c r="J14" s="11"/>
      <c r="K14" s="11"/>
      <c r="L14" s="11"/>
    </row>
    <row r="15" spans="1:12" x14ac:dyDescent="0.2">
      <c r="A15" s="78">
        <f>A13+1</f>
        <v>2</v>
      </c>
      <c r="B15" s="147"/>
      <c r="C15" s="79" t="s">
        <v>980</v>
      </c>
    </row>
    <row r="16" spans="1:12" x14ac:dyDescent="0.2">
      <c r="A16" s="78">
        <f t="shared" ref="A16:A21" si="0">A15+1</f>
        <v>3</v>
      </c>
      <c r="B16" s="309" t="s">
        <v>904</v>
      </c>
      <c r="C16" s="285" t="s">
        <v>981</v>
      </c>
      <c r="D16" s="305"/>
      <c r="E16" s="305"/>
      <c r="F16" s="305"/>
      <c r="G16" s="305"/>
      <c r="H16" s="313">
        <f>'WPB-6 Acct. 190 (forecast)'!B$29</f>
        <v>1270403.7</v>
      </c>
      <c r="I16" s="128"/>
      <c r="J16" s="10">
        <f t="shared" ref="J16:J21" si="1">H16</f>
        <v>1270403.7</v>
      </c>
      <c r="K16" s="10">
        <f>'WPB-6 Acct. 190 (forecast)'!B32</f>
        <v>1219735.6999999997</v>
      </c>
      <c r="L16" s="11"/>
    </row>
    <row r="17" spans="1:12" x14ac:dyDescent="0.2">
      <c r="A17" s="78">
        <f t="shared" si="0"/>
        <v>4</v>
      </c>
      <c r="B17" s="309" t="s">
        <v>905</v>
      </c>
      <c r="C17" s="1787" t="s">
        <v>2327</v>
      </c>
      <c r="D17" s="305"/>
      <c r="E17" s="305"/>
      <c r="F17" s="305"/>
      <c r="G17" s="305"/>
      <c r="H17" s="313">
        <f>'WPB-6 Acct. 190 (forecast)'!C$29</f>
        <v>238505.39</v>
      </c>
      <c r="I17" s="128"/>
      <c r="J17" s="10">
        <f t="shared" si="1"/>
        <v>238505.39</v>
      </c>
      <c r="K17" s="10">
        <f>'WPB-6 Acct. 190 (forecast)'!C$32</f>
        <v>228991.3900000001</v>
      </c>
      <c r="L17" s="11"/>
    </row>
    <row r="18" spans="1:12" x14ac:dyDescent="0.2">
      <c r="A18" s="78">
        <f t="shared" si="0"/>
        <v>5</v>
      </c>
      <c r="B18" s="504" t="s">
        <v>1177</v>
      </c>
      <c r="C18" s="285" t="s">
        <v>1178</v>
      </c>
      <c r="D18" s="305"/>
      <c r="E18" s="305"/>
      <c r="F18" s="305"/>
      <c r="G18" s="305"/>
      <c r="H18" s="313">
        <f>'WPB-6 Acct. 190 (forecast)'!D$29</f>
        <v>2242077.11</v>
      </c>
      <c r="I18" s="10"/>
      <c r="J18" s="10">
        <f t="shared" si="1"/>
        <v>2242077.11</v>
      </c>
      <c r="K18" s="10">
        <f>'WPB-6 Acct. 190 (forecast)'!D$32</f>
        <v>2265907.11</v>
      </c>
      <c r="L18" s="11"/>
    </row>
    <row r="19" spans="1:12" x14ac:dyDescent="0.2">
      <c r="A19" s="78">
        <f t="shared" si="0"/>
        <v>6</v>
      </c>
      <c r="B19" s="504" t="s">
        <v>1179</v>
      </c>
      <c r="C19" s="285" t="s">
        <v>1180</v>
      </c>
      <c r="D19" s="305"/>
      <c r="E19" s="305"/>
      <c r="F19" s="305"/>
      <c r="G19" s="305"/>
      <c r="H19" s="313">
        <f>'WPB-6 Acct. 190 (forecast)'!E$29</f>
        <v>408886.10000000003</v>
      </c>
      <c r="I19" s="11"/>
      <c r="J19" s="10">
        <f t="shared" si="1"/>
        <v>408886.10000000003</v>
      </c>
      <c r="K19" s="10">
        <f>'WPB-6 Acct. 190 (forecast)'!E$32</f>
        <v>413232.09230769234</v>
      </c>
      <c r="L19" s="11"/>
    </row>
    <row r="20" spans="1:12" x14ac:dyDescent="0.2">
      <c r="A20" s="78">
        <f t="shared" si="0"/>
        <v>7</v>
      </c>
      <c r="B20" s="504">
        <v>2969</v>
      </c>
      <c r="C20" s="285" t="s">
        <v>1181</v>
      </c>
      <c r="D20" s="305"/>
      <c r="E20" s="305"/>
      <c r="F20" s="305"/>
      <c r="G20" s="305"/>
      <c r="H20" s="1081">
        <f>'WPB-6 Acct. 190 (forecast)'!F$29</f>
        <v>1152715.6499999999</v>
      </c>
      <c r="I20" s="11"/>
      <c r="J20" s="80">
        <f t="shared" si="1"/>
        <v>1152715.6499999999</v>
      </c>
      <c r="K20" s="550">
        <f>'WPB-6 Acct. 190 (forecast)'!F$32</f>
        <v>1258106.5730769234</v>
      </c>
      <c r="L20" s="11"/>
    </row>
    <row r="21" spans="1:12" x14ac:dyDescent="0.2">
      <c r="A21" s="78">
        <f t="shared" si="0"/>
        <v>8</v>
      </c>
      <c r="B21" s="147"/>
      <c r="C21" s="4" t="s">
        <v>982</v>
      </c>
      <c r="H21" s="59">
        <f>SUM(H16:H20)</f>
        <v>5312587.9499999993</v>
      </c>
      <c r="I21" s="11"/>
      <c r="J21" s="59">
        <f t="shared" si="1"/>
        <v>5312587.9499999993</v>
      </c>
      <c r="K21" s="59">
        <f>SUM(K16:K20)</f>
        <v>5385972.865384616</v>
      </c>
      <c r="L21" s="11"/>
    </row>
    <row r="22" spans="1:12" x14ac:dyDescent="0.2">
      <c r="B22" s="147"/>
      <c r="H22" s="11"/>
      <c r="I22" s="11"/>
      <c r="J22" s="11"/>
      <c r="K22" s="11"/>
      <c r="L22" s="11"/>
    </row>
    <row r="23" spans="1:12" x14ac:dyDescent="0.2">
      <c r="A23" s="78">
        <f>A21+1</f>
        <v>9</v>
      </c>
      <c r="B23" s="147"/>
      <c r="C23" s="79" t="s">
        <v>985</v>
      </c>
      <c r="H23" s="11"/>
      <c r="I23" s="11"/>
      <c r="J23" s="11"/>
      <c r="K23" s="11"/>
      <c r="L23" s="11"/>
    </row>
    <row r="24" spans="1:12" x14ac:dyDescent="0.2">
      <c r="A24" s="78">
        <f t="shared" ref="A24:A38" si="2">A23+1</f>
        <v>10</v>
      </c>
      <c r="B24" s="309" t="s">
        <v>906</v>
      </c>
      <c r="C24" s="1787" t="s">
        <v>986</v>
      </c>
      <c r="D24" s="305"/>
      <c r="E24" s="305"/>
      <c r="F24" s="305"/>
      <c r="G24" s="305"/>
      <c r="H24" s="11">
        <f>'WPB-6 Acct. 282 (forecast)'!B$29</f>
        <v>-72873206.27985318</v>
      </c>
      <c r="I24" s="11"/>
      <c r="J24" s="11">
        <f t="shared" ref="J24:J37" si="3">H24</f>
        <v>-72873206.27985318</v>
      </c>
      <c r="K24" s="11">
        <f>'WPB-6 Acct. 282 (forecast)'!B$32</f>
        <v>-70074904.274550617</v>
      </c>
      <c r="L24" s="11"/>
    </row>
    <row r="25" spans="1:12" x14ac:dyDescent="0.2">
      <c r="A25" s="78">
        <f t="shared" si="2"/>
        <v>11</v>
      </c>
      <c r="B25" s="309" t="s">
        <v>907</v>
      </c>
      <c r="C25" s="1787" t="s">
        <v>2324</v>
      </c>
      <c r="D25" s="305"/>
      <c r="E25" s="305"/>
      <c r="F25" s="305"/>
      <c r="G25" s="305"/>
      <c r="H25" s="11">
        <f>'WPB-6 Acct. 282 (forecast)'!C$29</f>
        <v>-14316495.860803377</v>
      </c>
      <c r="I25" s="11"/>
      <c r="J25" s="11">
        <f t="shared" si="3"/>
        <v>-14316495.860803377</v>
      </c>
      <c r="K25" s="11">
        <f>'WPB-6 Acct. 282 (forecast)'!C$32</f>
        <v>-13815521.925037278</v>
      </c>
      <c r="L25" s="11"/>
    </row>
    <row r="26" spans="1:12" x14ac:dyDescent="0.2">
      <c r="A26" s="78">
        <f t="shared" si="2"/>
        <v>12</v>
      </c>
      <c r="B26" s="309" t="s">
        <v>908</v>
      </c>
      <c r="C26" s="285" t="s">
        <v>987</v>
      </c>
      <c r="D26" s="305"/>
      <c r="E26" s="305"/>
      <c r="F26" s="305"/>
      <c r="G26" s="305"/>
      <c r="H26" s="11">
        <f>'WPB-6 Acct. 282 (forecast)'!E$29</f>
        <v>-5990504.9900000002</v>
      </c>
      <c r="I26" s="11"/>
      <c r="J26" s="11">
        <f t="shared" si="3"/>
        <v>-5990504.9900000002</v>
      </c>
      <c r="K26" s="11">
        <f>'WPB-6 Acct. 282 (forecast)'!E$32</f>
        <v>-5843458.9900000002</v>
      </c>
      <c r="L26" s="11"/>
    </row>
    <row r="27" spans="1:12" x14ac:dyDescent="0.2">
      <c r="A27" s="78">
        <f t="shared" si="2"/>
        <v>13</v>
      </c>
      <c r="B27" s="309" t="s">
        <v>909</v>
      </c>
      <c r="C27" s="285" t="s">
        <v>1187</v>
      </c>
      <c r="D27" s="305"/>
      <c r="E27" s="305"/>
      <c r="F27" s="305"/>
      <c r="G27" s="305"/>
      <c r="H27" s="11">
        <f>'WPB-6 Acct. 282 (forecast)'!F$29</f>
        <v>-1124626.2</v>
      </c>
      <c r="I27" s="11"/>
      <c r="J27" s="11">
        <f t="shared" si="3"/>
        <v>-1124626.2</v>
      </c>
      <c r="K27" s="11">
        <f>'WPB-6 Acct. 282 (forecast)'!F$32</f>
        <v>-1097020.1846153843</v>
      </c>
      <c r="L27" s="11"/>
    </row>
    <row r="28" spans="1:12" x14ac:dyDescent="0.2">
      <c r="A28" s="78">
        <f t="shared" si="2"/>
        <v>14</v>
      </c>
      <c r="B28" s="309" t="s">
        <v>910</v>
      </c>
      <c r="C28" s="285" t="s">
        <v>988</v>
      </c>
      <c r="D28" s="305"/>
      <c r="E28" s="305"/>
      <c r="F28" s="305"/>
      <c r="G28" s="305"/>
      <c r="H28" s="11">
        <f>'WPB-6 Acct. 282 (forecast)'!G$29</f>
        <v>-468255.83</v>
      </c>
      <c r="I28" s="11"/>
      <c r="J28" s="11">
        <f t="shared" si="3"/>
        <v>-468255.83</v>
      </c>
      <c r="K28" s="11">
        <f>'WPB-6 Acct. 282 (forecast)'!G$32</f>
        <v>-460043.84307692316</v>
      </c>
      <c r="L28" s="11"/>
    </row>
    <row r="29" spans="1:12" x14ac:dyDescent="0.2">
      <c r="A29" s="78">
        <f t="shared" si="2"/>
        <v>15</v>
      </c>
      <c r="B29" s="309" t="s">
        <v>911</v>
      </c>
      <c r="C29" s="1787" t="s">
        <v>2325</v>
      </c>
      <c r="D29" s="305"/>
      <c r="E29" s="305"/>
      <c r="F29" s="305"/>
      <c r="G29" s="305"/>
      <c r="H29" s="11">
        <f>'WPB-6 Acct. 282 (forecast)'!H$29</f>
        <v>-87909.36</v>
      </c>
      <c r="I29" s="11"/>
      <c r="J29" s="11">
        <f t="shared" si="3"/>
        <v>-87909.36</v>
      </c>
      <c r="K29" s="11">
        <f>'WPB-6 Acct. 282 (forecast)'!H$32</f>
        <v>-86367.332307692297</v>
      </c>
      <c r="L29" s="11"/>
    </row>
    <row r="30" spans="1:12" x14ac:dyDescent="0.2">
      <c r="A30" s="78">
        <f t="shared" si="2"/>
        <v>16</v>
      </c>
      <c r="B30" s="309">
        <v>2232</v>
      </c>
      <c r="C30" s="285" t="s">
        <v>990</v>
      </c>
      <c r="D30" s="305"/>
      <c r="E30" s="305"/>
      <c r="F30" s="305"/>
      <c r="G30" s="305"/>
      <c r="H30" s="11">
        <f>'WPB-6 Acct. 282 (forecast)'!I$29</f>
        <v>1501128.27</v>
      </c>
      <c r="I30" s="11"/>
      <c r="J30" s="11">
        <f t="shared" si="3"/>
        <v>1501128.27</v>
      </c>
      <c r="K30" s="11">
        <f>'WPB-6 Acct. 282 (forecast)'!I$32</f>
        <v>1494328.249230769</v>
      </c>
      <c r="L30" s="11"/>
    </row>
    <row r="31" spans="1:12" x14ac:dyDescent="0.2">
      <c r="A31" s="78">
        <f t="shared" si="2"/>
        <v>17</v>
      </c>
      <c r="B31" s="309">
        <v>4232</v>
      </c>
      <c r="C31" s="1787" t="s">
        <v>2326</v>
      </c>
      <c r="D31" s="305"/>
      <c r="E31" s="305"/>
      <c r="F31" s="305"/>
      <c r="G31" s="305"/>
      <c r="H31" s="11">
        <f>'WPB-6 Acct. 282 (forecast)'!J$29</f>
        <v>281818.92</v>
      </c>
      <c r="J31" s="11">
        <f t="shared" si="3"/>
        <v>281818.92</v>
      </c>
      <c r="K31" s="11">
        <f>'WPB-6 Acct. 282 (forecast)'!J$32</f>
        <v>280540.92615384609</v>
      </c>
      <c r="L31" s="11"/>
    </row>
    <row r="32" spans="1:12" x14ac:dyDescent="0.2">
      <c r="A32" s="78">
        <f t="shared" si="2"/>
        <v>18</v>
      </c>
      <c r="B32" s="309">
        <v>2234</v>
      </c>
      <c r="C32" s="285" t="s">
        <v>1182</v>
      </c>
      <c r="D32" s="305"/>
      <c r="E32" s="305"/>
      <c r="F32" s="305"/>
      <c r="G32" s="305"/>
      <c r="H32" s="11">
        <f>'WPB-6 Acct. 282 (forecast)'!K$29</f>
        <v>4136.3500000000004</v>
      </c>
      <c r="I32" s="11"/>
      <c r="J32" s="11">
        <f t="shared" si="3"/>
        <v>4136.3500000000004</v>
      </c>
      <c r="K32" s="11">
        <f>'WPB-6 Acct. 282 (forecast)'!K$32</f>
        <v>5800.3230769230777</v>
      </c>
      <c r="L32" s="11"/>
    </row>
    <row r="33" spans="1:12" x14ac:dyDescent="0.2">
      <c r="A33" s="78">
        <f t="shared" si="2"/>
        <v>19</v>
      </c>
      <c r="B33" s="309">
        <v>4234</v>
      </c>
      <c r="C33" s="285" t="s">
        <v>1183</v>
      </c>
      <c r="D33" s="305"/>
      <c r="E33" s="305"/>
      <c r="F33" s="305"/>
      <c r="G33" s="305"/>
      <c r="H33" s="11">
        <f>'WPB-6 Acct. 282 (forecast)'!L$29</f>
        <v>751.8599999999999</v>
      </c>
      <c r="I33" s="11"/>
      <c r="J33" s="11">
        <f t="shared" si="3"/>
        <v>751.8599999999999</v>
      </c>
      <c r="K33" s="11">
        <f>'WPB-6 Acct. 282 (forecast)'!L$32</f>
        <v>1057.8707692307694</v>
      </c>
      <c r="L33" s="11"/>
    </row>
    <row r="34" spans="1:12" x14ac:dyDescent="0.2">
      <c r="A34" s="78">
        <f t="shared" si="2"/>
        <v>20</v>
      </c>
      <c r="B34" s="309">
        <v>4227</v>
      </c>
      <c r="C34" s="285" t="s">
        <v>1184</v>
      </c>
      <c r="D34" s="305"/>
      <c r="E34" s="305"/>
      <c r="F34" s="305"/>
      <c r="G34" s="305"/>
      <c r="H34" s="11">
        <f>'WPB-6 Acct. 282 (forecast)'!M$29</f>
        <v>4400810.6899994947</v>
      </c>
      <c r="I34" s="11"/>
      <c r="J34" s="11">
        <f t="shared" si="3"/>
        <v>4400810.6899994947</v>
      </c>
      <c r="K34" s="11">
        <f>'WPB-6 Acct. 282 (forecast)'!M$32</f>
        <v>4046393.6804766459</v>
      </c>
      <c r="L34" s="11"/>
    </row>
    <row r="35" spans="1:12" x14ac:dyDescent="0.2">
      <c r="A35" s="78">
        <f t="shared" si="2"/>
        <v>21</v>
      </c>
      <c r="B35" s="309">
        <v>2951</v>
      </c>
      <c r="C35" s="285" t="s">
        <v>1185</v>
      </c>
      <c r="D35" s="305"/>
      <c r="E35" s="305"/>
      <c r="F35" s="305"/>
      <c r="G35" s="305"/>
      <c r="H35" s="11">
        <f>'WPB-6 Acct. 282 (forecast)'!N$29</f>
        <v>-97470</v>
      </c>
      <c r="I35" s="82"/>
      <c r="J35" s="11">
        <f t="shared" si="3"/>
        <v>-97470</v>
      </c>
      <c r="K35" s="11">
        <f>'WPB-6 Acct. 282 (forecast)'!N$32</f>
        <v>-97974</v>
      </c>
      <c r="L35" s="11"/>
    </row>
    <row r="36" spans="1:12" x14ac:dyDescent="0.2">
      <c r="A36" s="78">
        <f t="shared" si="2"/>
        <v>22</v>
      </c>
      <c r="B36" s="309">
        <v>2953</v>
      </c>
      <c r="C36" s="285" t="s">
        <v>1186</v>
      </c>
      <c r="D36" s="305"/>
      <c r="E36" s="305"/>
      <c r="F36" s="305"/>
      <c r="G36" s="305"/>
      <c r="H36" s="11">
        <f>'WPB-6 Acct. 282 (forecast)'!O$29</f>
        <v>-275489</v>
      </c>
      <c r="J36" s="11">
        <f t="shared" si="3"/>
        <v>-275489</v>
      </c>
      <c r="K36" s="11">
        <f>'WPB-6 Acct. 282 (forecast)'!O$32</f>
        <v>-196121</v>
      </c>
      <c r="L36" s="11"/>
    </row>
    <row r="37" spans="1:12" x14ac:dyDescent="0.2">
      <c r="A37" s="78">
        <f t="shared" si="2"/>
        <v>23</v>
      </c>
      <c r="B37" s="309"/>
      <c r="C37" s="285" t="s">
        <v>1188</v>
      </c>
      <c r="D37" s="305"/>
      <c r="E37" s="305"/>
      <c r="F37" s="305"/>
      <c r="G37" s="305"/>
      <c r="H37" s="550">
        <f>'WPB-6 Acct. 282 Adj (forecast)'!G60</f>
        <v>256740.99923816323</v>
      </c>
      <c r="I37" s="77"/>
      <c r="J37" s="80">
        <f t="shared" si="3"/>
        <v>256740.99923816323</v>
      </c>
      <c r="K37" s="551">
        <f>H37</f>
        <v>256740.99923816323</v>
      </c>
      <c r="L37" s="11"/>
    </row>
    <row r="38" spans="1:12" x14ac:dyDescent="0.2">
      <c r="A38" s="78">
        <f t="shared" si="2"/>
        <v>24</v>
      </c>
      <c r="B38" s="1"/>
      <c r="C38" s="4" t="s">
        <v>991</v>
      </c>
      <c r="H38" s="59">
        <f>SUM(H24:H37)</f>
        <v>-88788570.431418911</v>
      </c>
      <c r="I38" s="11"/>
      <c r="J38" s="59">
        <f>H38</f>
        <v>-88788570.431418911</v>
      </c>
      <c r="K38" s="59">
        <f>SUM(K24:K37)</f>
        <v>-85586549.500642329</v>
      </c>
      <c r="L38" s="11"/>
    </row>
    <row r="39" spans="1:12" x14ac:dyDescent="0.2">
      <c r="B39" s="147"/>
      <c r="H39" s="11"/>
      <c r="I39" s="11"/>
      <c r="J39" s="11"/>
      <c r="K39" s="11"/>
      <c r="L39" s="11"/>
    </row>
    <row r="40" spans="1:12" x14ac:dyDescent="0.2">
      <c r="A40" s="78">
        <f>A38+1</f>
        <v>25</v>
      </c>
      <c r="B40" s="147"/>
      <c r="C40" s="79" t="s">
        <v>992</v>
      </c>
      <c r="H40" s="11"/>
      <c r="I40" s="11"/>
      <c r="J40" s="11"/>
      <c r="K40" s="11"/>
      <c r="L40" s="11"/>
    </row>
    <row r="41" spans="1:12" x14ac:dyDescent="0.2">
      <c r="A41" s="78">
        <f>A40+1</f>
        <v>26</v>
      </c>
      <c r="B41" s="1" t="s">
        <v>912</v>
      </c>
      <c r="C41" s="1787" t="s">
        <v>993</v>
      </c>
      <c r="H41" s="11">
        <f>'DNF - WPB-6 Acct. (forecast)'!D29</f>
        <v>0</v>
      </c>
      <c r="I41" s="11"/>
      <c r="J41" s="11">
        <f>H41</f>
        <v>0</v>
      </c>
      <c r="K41" s="11">
        <f>'DNF - WPB-6 Acct. (forecast)'!D32</f>
        <v>0</v>
      </c>
      <c r="L41" s="11"/>
    </row>
    <row r="42" spans="1:12" x14ac:dyDescent="0.2">
      <c r="A42" s="78">
        <f>A41+1</f>
        <v>27</v>
      </c>
      <c r="B42" s="1" t="s">
        <v>913</v>
      </c>
      <c r="C42" s="1787" t="s">
        <v>2328</v>
      </c>
      <c r="H42" s="13">
        <f>'DNF - WPB-6 Acct. (forecast)'!F29</f>
        <v>0</v>
      </c>
      <c r="I42" s="11"/>
      <c r="J42" s="13">
        <f>H42</f>
        <v>0</v>
      </c>
      <c r="K42" s="13">
        <f>'DNF - WPB-6 Acct. (forecast)'!F32</f>
        <v>0</v>
      </c>
      <c r="L42" s="11"/>
    </row>
    <row r="43" spans="1:12" x14ac:dyDescent="0.2">
      <c r="A43" s="78">
        <f>A42+1</f>
        <v>28</v>
      </c>
      <c r="B43" s="147"/>
      <c r="C43" s="4" t="s">
        <v>994</v>
      </c>
      <c r="H43" s="59">
        <f>H41+H42</f>
        <v>0</v>
      </c>
      <c r="I43" s="11"/>
      <c r="J43" s="59">
        <f>H43</f>
        <v>0</v>
      </c>
      <c r="K43" s="59">
        <f>K41+K42</f>
        <v>0</v>
      </c>
      <c r="L43" s="11"/>
    </row>
    <row r="44" spans="1:12" x14ac:dyDescent="0.2">
      <c r="B44" s="147"/>
      <c r="H44" s="11"/>
      <c r="I44" s="11"/>
      <c r="J44" s="11"/>
      <c r="K44" s="11"/>
      <c r="L44" s="11"/>
    </row>
    <row r="45" spans="1:12" x14ac:dyDescent="0.2">
      <c r="A45" s="78">
        <f>A43+1</f>
        <v>29</v>
      </c>
      <c r="B45" s="147"/>
      <c r="C45" s="4" t="s">
        <v>995</v>
      </c>
      <c r="H45" s="59">
        <f>H21+H38+H43</f>
        <v>-83475982.481418908</v>
      </c>
      <c r="I45" s="11"/>
      <c r="J45" s="59">
        <f>H45</f>
        <v>-83475982.481418908</v>
      </c>
      <c r="K45" s="59">
        <f>K21+K38+K43</f>
        <v>-80200576.635257721</v>
      </c>
      <c r="L45" s="11"/>
    </row>
    <row r="46" spans="1:12" x14ac:dyDescent="0.2">
      <c r="J46" s="11"/>
      <c r="K46" s="11"/>
    </row>
    <row r="47" spans="1:12" x14ac:dyDescent="0.2">
      <c r="A47" s="82"/>
      <c r="B47" s="82"/>
      <c r="C47" s="83"/>
      <c r="D47" s="82"/>
      <c r="E47" s="82"/>
      <c r="F47" s="82"/>
      <c r="G47" s="82"/>
      <c r="H47" s="82"/>
      <c r="I47" s="82"/>
      <c r="J47" s="81"/>
      <c r="K47" s="81"/>
      <c r="L47" s="11"/>
    </row>
    <row r="48" spans="1:12" x14ac:dyDescent="0.2">
      <c r="A48" s="82"/>
      <c r="B48" s="82"/>
      <c r="C48" s="83"/>
      <c r="D48" s="82"/>
      <c r="E48" s="82"/>
      <c r="F48" s="82"/>
      <c r="G48" s="82"/>
      <c r="H48" s="82"/>
      <c r="I48" s="82"/>
      <c r="J48" s="81"/>
      <c r="K48" s="81"/>
      <c r="L48" s="11"/>
    </row>
    <row r="49" spans="10:12" x14ac:dyDescent="0.2">
      <c r="J49" s="11"/>
      <c r="K49" s="11"/>
      <c r="L49" s="11"/>
    </row>
    <row r="50" spans="10:12" x14ac:dyDescent="0.2">
      <c r="J50" s="11"/>
      <c r="K50" s="11"/>
      <c r="L50" s="11"/>
    </row>
    <row r="51" spans="10:12" x14ac:dyDescent="0.2">
      <c r="J51" s="11"/>
      <c r="K51" s="11"/>
      <c r="L51" s="11"/>
    </row>
  </sheetData>
  <mergeCells count="4">
    <mergeCell ref="A1:K1"/>
    <mergeCell ref="A2:K2"/>
    <mergeCell ref="A3:K3"/>
    <mergeCell ref="A4:K4"/>
  </mergeCells>
  <phoneticPr fontId="0" type="noConversion"/>
  <pageMargins left="1" right="0.5" top="1" bottom="0.75" header="0.3" footer="0.3"/>
  <pageSetup scale="71" fitToHeight="0" orientation="portrait" r:id="rId1"/>
  <headerFooter>
    <oddHeader>&amp;R&amp;"Arial,Regular"&amp;10KY PSC Case No. 2016-00162, Attachment A to Staff 3-4</oddHeader>
  </headerFooter>
  <rowBreaks count="1" manualBreakCount="1">
    <brk id="45" max="16383" man="1"/>
  </rowBreaks>
  <ignoredErrors>
    <ignoredError sqref="B16:B29 B41:B42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FF0000"/>
  </sheetPr>
  <dimension ref="A1:P89"/>
  <sheetViews>
    <sheetView zoomScaleNormal="100" workbookViewId="0">
      <selection activeCell="F19" sqref="F19:F31"/>
    </sheetView>
  </sheetViews>
  <sheetFormatPr defaultRowHeight="12.75" x14ac:dyDescent="0.2"/>
  <cols>
    <col min="1" max="1" width="19.6640625" bestFit="1" customWidth="1"/>
    <col min="3" max="3" width="16.6640625" bestFit="1" customWidth="1"/>
    <col min="4" max="4" width="14" bestFit="1" customWidth="1"/>
    <col min="5" max="5" width="16.6640625" bestFit="1" customWidth="1"/>
    <col min="6" max="6" width="16.6640625" customWidth="1"/>
    <col min="7" max="7" width="10.1640625" bestFit="1" customWidth="1"/>
    <col min="8" max="8" width="17.1640625" style="305" customWidth="1"/>
    <col min="9" max="9" width="16.33203125" style="305" bestFit="1" customWidth="1"/>
    <col min="10" max="10" width="14" style="305" bestFit="1" customWidth="1"/>
    <col min="11" max="11" width="15.1640625" style="305" bestFit="1" customWidth="1"/>
    <col min="12" max="12" width="16.33203125" style="305" bestFit="1" customWidth="1"/>
    <col min="13" max="13" width="14.1640625" style="305" customWidth="1"/>
    <col min="14" max="14" width="13.33203125" style="305" bestFit="1" customWidth="1"/>
  </cols>
  <sheetData>
    <row r="1" spans="1:16" x14ac:dyDescent="0.2">
      <c r="A1" s="512"/>
      <c r="B1" s="512"/>
      <c r="C1" s="90" t="s">
        <v>942</v>
      </c>
      <c r="D1" s="512"/>
      <c r="E1" s="90" t="s">
        <v>943</v>
      </c>
      <c r="F1" s="90" t="s">
        <v>1233</v>
      </c>
    </row>
    <row r="2" spans="1:16" x14ac:dyDescent="0.2">
      <c r="A2" s="512"/>
      <c r="B2" s="512"/>
      <c r="C2" s="90" t="s">
        <v>950</v>
      </c>
      <c r="D2" s="512"/>
      <c r="E2" s="90" t="s">
        <v>950</v>
      </c>
      <c r="F2" s="90" t="s">
        <v>950</v>
      </c>
      <c r="O2" s="513"/>
      <c r="P2" t="s">
        <v>1189</v>
      </c>
    </row>
    <row r="3" spans="1:16" x14ac:dyDescent="0.2">
      <c r="A3" s="512"/>
      <c r="B3" s="512"/>
      <c r="C3" s="90" t="s">
        <v>953</v>
      </c>
      <c r="D3" s="512"/>
      <c r="E3" s="90" t="s">
        <v>953</v>
      </c>
      <c r="F3" s="90" t="s">
        <v>953</v>
      </c>
      <c r="O3" s="514"/>
      <c r="P3" t="s">
        <v>1190</v>
      </c>
    </row>
    <row r="4" spans="1:16" x14ac:dyDescent="0.2">
      <c r="A4" s="512"/>
      <c r="B4" s="512"/>
      <c r="C4" s="90" t="s">
        <v>956</v>
      </c>
      <c r="D4" s="512"/>
      <c r="E4" s="90" t="s">
        <v>956</v>
      </c>
      <c r="F4" s="90" t="s">
        <v>956</v>
      </c>
      <c r="O4" s="515"/>
      <c r="P4" t="s">
        <v>1191</v>
      </c>
    </row>
    <row r="5" spans="1:16" x14ac:dyDescent="0.2">
      <c r="A5" s="512"/>
      <c r="B5" s="512"/>
      <c r="C5" s="102" t="s">
        <v>939</v>
      </c>
      <c r="D5" s="512"/>
      <c r="E5" s="102" t="s">
        <v>940</v>
      </c>
      <c r="F5" s="102" t="s">
        <v>940</v>
      </c>
    </row>
    <row r="6" spans="1:16" x14ac:dyDescent="0.2">
      <c r="A6" s="512"/>
      <c r="B6" s="92"/>
      <c r="C6" s="93" t="s">
        <v>639</v>
      </c>
      <c r="D6" s="94"/>
      <c r="E6" s="93" t="s">
        <v>639</v>
      </c>
      <c r="F6" s="93" t="s">
        <v>639</v>
      </c>
      <c r="I6" s="1871">
        <v>2016</v>
      </c>
      <c r="J6" s="1871">
        <v>2016</v>
      </c>
      <c r="K6" s="1871"/>
      <c r="L6" s="1871">
        <v>2017</v>
      </c>
      <c r="M6" s="1871">
        <v>2017</v>
      </c>
    </row>
    <row r="7" spans="1:16" x14ac:dyDescent="0.2">
      <c r="A7" s="512"/>
      <c r="B7" s="92"/>
      <c r="C7" s="93"/>
      <c r="D7" s="94"/>
      <c r="E7" s="93"/>
      <c r="F7" s="93"/>
      <c r="I7" s="314" t="s">
        <v>1192</v>
      </c>
      <c r="J7" s="314" t="s">
        <v>1193</v>
      </c>
      <c r="K7" s="314" t="s">
        <v>1194</v>
      </c>
      <c r="L7" s="314" t="s">
        <v>1192</v>
      </c>
      <c r="M7" s="314" t="s">
        <v>1193</v>
      </c>
      <c r="N7" s="314" t="s">
        <v>1194</v>
      </c>
    </row>
    <row r="8" spans="1:16" x14ac:dyDescent="0.2">
      <c r="A8" s="1866">
        <v>42370</v>
      </c>
      <c r="B8" s="1770"/>
      <c r="C8" s="150">
        <v>-61278182</v>
      </c>
      <c r="D8" s="151"/>
      <c r="E8" s="150">
        <v>-12293754</v>
      </c>
      <c r="F8" s="150">
        <v>3257909</v>
      </c>
      <c r="I8" s="516">
        <f>'WPB2.2 Plant detail-w slippage'!E18+'WPB2.2 Plant detail-w slippage'!E19+'WPB2.2 Plant detail-w slippage'!E20+'WPB2.2 Plant detail-w slippage'!E21+'WPB2.2 Plant detail-w slippage'!E22+'WPB2.2 Plant detail-w slippage'!E23+'WPB2.2 Plant detail-w slippage'!E24+'WPB2.2 Plant detail-w slippage'!E25+'WPB2.2 Plant detail-w slippage'!E26+'WPB2.2 Plant detail-w slippage'!E27-'ADIT Calc-Do not print'!J8</f>
        <v>25455569</v>
      </c>
      <c r="J8" s="517">
        <f>'WPB2.2 Plant detail-w slippage'!E69+'WPB2.2 Plant detail-w slippage'!E175+'WPB2.2 Plant detail-w slippage'!E281+'WPB2.2 Plant detail-w slippage'!E387+'WPB2.2 Plant detail-w slippage'!E493+'WPB2.2 Plant detail-w slippage'!E599+'WPB2.2 Plant detail-w slippage'!E705+'WPB2.2 Plant detail-w slippage'!E811+'WPB2.2 Plant detail-w slippage'!E917+'WPB2.2 Plant detail-w slippage'!E1023</f>
        <v>1528925</v>
      </c>
      <c r="K8" s="518">
        <f>I8+J8</f>
        <v>26984494</v>
      </c>
      <c r="L8" s="516">
        <f>'WPB2.2 Plant detail-w slippage'!E28+'WPB2.2 Plant detail-w slippage'!E29+'WPB2.2 Plant detail-w slippage'!E30+'WPB2.2 Plant detail-w slippage'!E31+'WPB2.2 Plant detail-w slippage'!E32+'WPB2.2 Plant detail-w slippage'!E33+'WPB2.2 Plant detail-w slippage'!E34+'WPB2.2 Plant detail-w slippage'!E35+'WPB2.2 Plant detail-w slippage'!E36+'WPB2.2 Plant detail-w slippage'!E37+'WPB2.2 Plant detail-w slippage'!E38+'WPB2.2 Plant detail-w slippage'!E39-'ADIT Calc-Do not print'!M8</f>
        <v>34723242</v>
      </c>
      <c r="M8" s="517">
        <f>'WPB2.2 Plant detail-w slippage'!E1129+'WPB2.2 Plant detail-w slippage'!E1235+'WPB2.2 Plant detail-w slippage'!E1341+'WPB2.2 Plant detail-w slippage'!E1447+'WPB2.2 Plant detail-w slippage'!E1553+'WPB2.2 Plant detail-w slippage'!E1659+'WPB2.2 Plant detail-w slippage'!E1765+'WPB2.2 Plant detail-w slippage'!E1871+'WPB2.2 Plant detail-w slippage'!E1977+'WPB2.2 Plant detail-w slippage'!E2083+'WPB2.2 Plant detail-w slippage'!E2189+'WPB2.2 Plant detail-w slippage'!E2295</f>
        <v>2886500</v>
      </c>
      <c r="N8" s="518">
        <f>L8+M8</f>
        <v>37609742</v>
      </c>
    </row>
    <row r="9" spans="1:16" x14ac:dyDescent="0.2">
      <c r="A9" s="1866">
        <v>42401</v>
      </c>
      <c r="B9" s="1770"/>
      <c r="C9" s="150">
        <v>-61979063</v>
      </c>
      <c r="D9" s="151"/>
      <c r="E9" s="150">
        <v>-12381963</v>
      </c>
      <c r="F9" s="150">
        <v>3284720</v>
      </c>
      <c r="I9" s="519">
        <v>0.223</v>
      </c>
      <c r="J9" s="519">
        <v>0</v>
      </c>
      <c r="L9" s="519">
        <v>0.223</v>
      </c>
      <c r="M9" s="519">
        <v>0</v>
      </c>
    </row>
    <row r="10" spans="1:16" x14ac:dyDescent="0.2">
      <c r="A10" s="1866">
        <v>42430</v>
      </c>
      <c r="B10" s="1770"/>
      <c r="C10" s="150">
        <f>C9+($K$47/10)</f>
        <v>-62508816.926924802</v>
      </c>
      <c r="D10" s="151"/>
      <c r="E10" s="150">
        <f t="shared" ref="E10:E19" si="0">E9+($K$49/10)-($K$51/10)</f>
        <v>-12475221.498927118</v>
      </c>
      <c r="F10" s="150">
        <f>F9+($K$51/10)</f>
        <v>3325445.6670953799</v>
      </c>
      <c r="H10" s="305" t="s">
        <v>1195</v>
      </c>
      <c r="I10" s="501">
        <f>I8*I9</f>
        <v>5676591.8870000001</v>
      </c>
      <c r="J10" s="501">
        <f>J8*J9</f>
        <v>0</v>
      </c>
      <c r="K10" s="518">
        <f>I10+J10</f>
        <v>5676591.8870000001</v>
      </c>
      <c r="L10" s="501">
        <f>L8*L9</f>
        <v>7743282.966</v>
      </c>
      <c r="M10" s="501">
        <f>M8*M9</f>
        <v>0</v>
      </c>
      <c r="N10" s="518">
        <f>M10+L10</f>
        <v>7743282.966</v>
      </c>
    </row>
    <row r="11" spans="1:16" x14ac:dyDescent="0.2">
      <c r="A11" s="1866">
        <v>42461</v>
      </c>
      <c r="B11" s="1770"/>
      <c r="C11" s="150">
        <f t="shared" ref="C11:C19" si="1">C10+($K$47/10)</f>
        <v>-63038570.853849605</v>
      </c>
      <c r="D11" s="151"/>
      <c r="E11" s="150">
        <f t="shared" si="0"/>
        <v>-12568479.997854237</v>
      </c>
      <c r="F11" s="150">
        <f t="shared" ref="F11:F19" si="2">F10+($K$51/10)</f>
        <v>3366171.3341907598</v>
      </c>
    </row>
    <row r="12" spans="1:16" x14ac:dyDescent="0.2">
      <c r="A12" s="1866">
        <v>42491</v>
      </c>
      <c r="B12" s="1770"/>
      <c r="C12" s="150">
        <f t="shared" si="1"/>
        <v>-63568324.780774407</v>
      </c>
      <c r="D12" s="151"/>
      <c r="E12" s="150">
        <f t="shared" si="0"/>
        <v>-12661738.496781355</v>
      </c>
      <c r="F12" s="150">
        <f t="shared" si="2"/>
        <v>3406897.0012861397</v>
      </c>
      <c r="I12" s="501">
        <f>I8-I10</f>
        <v>19778977.112999998</v>
      </c>
      <c r="J12" s="501">
        <f>J8-J10</f>
        <v>1528925</v>
      </c>
      <c r="L12" s="501">
        <f>L8-L10</f>
        <v>26979959.034000002</v>
      </c>
      <c r="M12" s="501">
        <f>M8-M10</f>
        <v>2886500</v>
      </c>
    </row>
    <row r="13" spans="1:16" x14ac:dyDescent="0.2">
      <c r="A13" s="1866">
        <v>42522</v>
      </c>
      <c r="B13" s="1770"/>
      <c r="C13" s="150">
        <f t="shared" si="1"/>
        <v>-64098078.707699209</v>
      </c>
      <c r="D13" s="151"/>
      <c r="E13" s="150">
        <f t="shared" si="0"/>
        <v>-12754996.995708473</v>
      </c>
      <c r="F13" s="150">
        <f t="shared" si="2"/>
        <v>3447622.6683815196</v>
      </c>
      <c r="I13" s="519">
        <v>9.1399999999999995E-2</v>
      </c>
      <c r="J13" s="519">
        <v>9.1399999999999995E-2</v>
      </c>
      <c r="L13" s="519">
        <v>9.1399999999999995E-2</v>
      </c>
      <c r="M13" s="519">
        <v>9.1399999999999995E-2</v>
      </c>
    </row>
    <row r="14" spans="1:16" x14ac:dyDescent="0.2">
      <c r="A14" s="1866">
        <v>42552</v>
      </c>
      <c r="B14" s="1770"/>
      <c r="C14" s="150">
        <f t="shared" si="1"/>
        <v>-64627832.634624012</v>
      </c>
      <c r="D14" s="151"/>
      <c r="E14" s="150">
        <f t="shared" si="0"/>
        <v>-12848255.494635591</v>
      </c>
      <c r="F14" s="150">
        <f t="shared" si="2"/>
        <v>3488348.3354768995</v>
      </c>
      <c r="H14" s="305" t="s">
        <v>1196</v>
      </c>
      <c r="I14" s="501">
        <f>I12*I13</f>
        <v>1807798.5081281997</v>
      </c>
      <c r="J14" s="501">
        <f>J12*J13</f>
        <v>139743.745</v>
      </c>
      <c r="K14" s="518">
        <f>I14+J14</f>
        <v>1947542.2531281998</v>
      </c>
      <c r="L14" s="501">
        <f>L12*L13</f>
        <v>2465968.2557076002</v>
      </c>
      <c r="M14" s="501">
        <f>M12*M13</f>
        <v>263826.09999999998</v>
      </c>
      <c r="N14" s="518">
        <f>L14+M14</f>
        <v>2729794.3557076002</v>
      </c>
    </row>
    <row r="15" spans="1:16" x14ac:dyDescent="0.2">
      <c r="A15" s="1866">
        <v>42583</v>
      </c>
      <c r="B15" s="1770"/>
      <c r="C15" s="150">
        <f t="shared" si="1"/>
        <v>-65157586.561548814</v>
      </c>
      <c r="D15" s="151"/>
      <c r="E15" s="150">
        <f t="shared" si="0"/>
        <v>-12941513.99356271</v>
      </c>
      <c r="F15" s="150">
        <f t="shared" si="2"/>
        <v>3529074.0025722794</v>
      </c>
    </row>
    <row r="16" spans="1:16" x14ac:dyDescent="0.2">
      <c r="A16" s="1866">
        <v>42614</v>
      </c>
      <c r="B16" s="1770"/>
      <c r="C16" s="150">
        <f t="shared" si="1"/>
        <v>-65687340.488473617</v>
      </c>
      <c r="D16" s="151"/>
      <c r="E16" s="150">
        <f t="shared" si="0"/>
        <v>-13034772.492489828</v>
      </c>
      <c r="F16" s="150">
        <f t="shared" si="2"/>
        <v>3569799.6696676593</v>
      </c>
      <c r="H16" s="305" t="s">
        <v>1197</v>
      </c>
      <c r="I16" s="501">
        <f>I8-I10-I14</f>
        <v>17971178.604871798</v>
      </c>
      <c r="J16" s="501">
        <f>J8-J10-J14</f>
        <v>1389181.2549999999</v>
      </c>
      <c r="L16" s="501">
        <f>L8-L10-L14</f>
        <v>24513990.778292403</v>
      </c>
      <c r="M16" s="501">
        <f>M8-M10-M14</f>
        <v>2622673.9</v>
      </c>
    </row>
    <row r="17" spans="1:14" x14ac:dyDescent="0.2">
      <c r="A17" s="1866">
        <v>42644</v>
      </c>
      <c r="B17" s="1770"/>
      <c r="C17" s="150">
        <f t="shared" si="1"/>
        <v>-66217094.415398419</v>
      </c>
      <c r="D17" s="151"/>
      <c r="E17" s="150">
        <f t="shared" si="0"/>
        <v>-13128030.991416946</v>
      </c>
      <c r="F17" s="150">
        <f t="shared" si="2"/>
        <v>3610525.3367630392</v>
      </c>
      <c r="I17" s="519">
        <v>0.5</v>
      </c>
      <c r="J17" s="519">
        <v>0.5</v>
      </c>
      <c r="L17" s="519">
        <v>0.5</v>
      </c>
      <c r="M17" s="519">
        <v>0.5</v>
      </c>
    </row>
    <row r="18" spans="1:14" x14ac:dyDescent="0.2">
      <c r="A18" s="1866">
        <v>42675</v>
      </c>
      <c r="B18" s="1770"/>
      <c r="C18" s="150">
        <f t="shared" si="1"/>
        <v>-66746848.342323221</v>
      </c>
      <c r="D18" s="151"/>
      <c r="E18" s="150">
        <f t="shared" si="0"/>
        <v>-13221289.490344064</v>
      </c>
      <c r="F18" s="150">
        <f t="shared" si="2"/>
        <v>3651251.0038584191</v>
      </c>
      <c r="H18" s="305" t="s">
        <v>1198</v>
      </c>
      <c r="I18" s="501">
        <f>I16*I17</f>
        <v>8985589.3024358992</v>
      </c>
      <c r="J18" s="501">
        <f>J16*J17</f>
        <v>694590.62749999994</v>
      </c>
      <c r="K18" s="518">
        <f>I18+J18</f>
        <v>9680179.9299358986</v>
      </c>
      <c r="L18" s="501">
        <f>L16*L17</f>
        <v>12256995.389146201</v>
      </c>
      <c r="M18" s="501">
        <f>M16*M17</f>
        <v>1311336.95</v>
      </c>
      <c r="N18" s="518">
        <f>L18+M18</f>
        <v>13568332.339146201</v>
      </c>
    </row>
    <row r="19" spans="1:14" x14ac:dyDescent="0.2">
      <c r="A19" s="1866">
        <v>42705</v>
      </c>
      <c r="B19" s="1770"/>
      <c r="C19" s="150">
        <f t="shared" si="1"/>
        <v>-67276602.269248024</v>
      </c>
      <c r="D19" s="151"/>
      <c r="E19" s="150">
        <f t="shared" si="0"/>
        <v>-13314547.989271183</v>
      </c>
      <c r="F19" s="150">
        <f t="shared" si="2"/>
        <v>3691976.670953799</v>
      </c>
    </row>
    <row r="20" spans="1:14" x14ac:dyDescent="0.2">
      <c r="A20" s="1866">
        <v>42736</v>
      </c>
      <c r="B20" s="1770"/>
      <c r="C20" s="150">
        <f>C19+($N$47/12)</f>
        <v>-67742985.936798453</v>
      </c>
      <c r="D20" s="151"/>
      <c r="E20" s="150">
        <f>E19+($N$49/12)-($N$51/12)</f>
        <v>-13398043.645232199</v>
      </c>
      <c r="F20" s="150">
        <f>F19+($N$51/12)</f>
        <v>3751046.1725409403</v>
      </c>
      <c r="H20" s="305" t="s">
        <v>1199</v>
      </c>
      <c r="I20" s="518">
        <f>I16-I18</f>
        <v>8985589.3024358992</v>
      </c>
      <c r="J20" s="518">
        <f>J16-J18</f>
        <v>694590.62749999994</v>
      </c>
      <c r="L20" s="518">
        <f>L16-L18</f>
        <v>12256995.389146201</v>
      </c>
      <c r="M20" s="518">
        <f>M16-M18</f>
        <v>1311336.95</v>
      </c>
    </row>
    <row r="21" spans="1:14" x14ac:dyDescent="0.2">
      <c r="A21" s="1866">
        <v>42767</v>
      </c>
      <c r="B21" s="1770"/>
      <c r="C21" s="150">
        <f t="shared" ref="C21:C31" si="3">C20+($N$47/12)</f>
        <v>-68209369.604348883</v>
      </c>
      <c r="D21" s="151"/>
      <c r="E21" s="150">
        <f t="shared" ref="E21:E31" si="4">E20+($N$49/12)-($N$51/12)</f>
        <v>-13481539.301193215</v>
      </c>
      <c r="F21" s="150">
        <f t="shared" ref="F21:F31" si="5">F20+($N$51/12)</f>
        <v>3810115.6741280816</v>
      </c>
      <c r="I21" s="519">
        <v>3.7499999999999999E-2</v>
      </c>
      <c r="J21" s="519">
        <f>0.33333</f>
        <v>0.33333000000000002</v>
      </c>
      <c r="L21" s="519">
        <v>3.7499999999999999E-2</v>
      </c>
      <c r="M21" s="519">
        <f>0.33333</f>
        <v>0.33333000000000002</v>
      </c>
    </row>
    <row r="22" spans="1:14" x14ac:dyDescent="0.2">
      <c r="A22" s="1866">
        <v>42795</v>
      </c>
      <c r="B22" s="1770"/>
      <c r="C22" s="150">
        <f t="shared" si="3"/>
        <v>-68675753.271899313</v>
      </c>
      <c r="D22" s="151"/>
      <c r="E22" s="150">
        <f t="shared" si="4"/>
        <v>-13565034.957154231</v>
      </c>
      <c r="F22" s="150">
        <f t="shared" si="5"/>
        <v>3869185.175715223</v>
      </c>
      <c r="H22" s="305" t="s">
        <v>1200</v>
      </c>
      <c r="I22" s="501">
        <f>I20*0.0375</f>
        <v>336959.59884134622</v>
      </c>
      <c r="J22" s="501">
        <f>J20*0.0375</f>
        <v>26047.148531249997</v>
      </c>
      <c r="K22" s="518">
        <f>I22+J22</f>
        <v>363006.74737259623</v>
      </c>
      <c r="L22" s="501">
        <f>L20*0.0375</f>
        <v>459637.32709298254</v>
      </c>
      <c r="M22" s="501">
        <f>M20*0.0375</f>
        <v>49175.135624999995</v>
      </c>
      <c r="N22" s="518">
        <f>L22+M22</f>
        <v>508812.46271798253</v>
      </c>
    </row>
    <row r="23" spans="1:14" x14ac:dyDescent="0.2">
      <c r="A23" s="1866">
        <v>42826</v>
      </c>
      <c r="B23" s="1770"/>
      <c r="C23" s="150">
        <f t="shared" si="3"/>
        <v>-69142136.939449742</v>
      </c>
      <c r="D23" s="151"/>
      <c r="E23" s="150">
        <f t="shared" si="4"/>
        <v>-13648530.613115247</v>
      </c>
      <c r="F23" s="150">
        <f t="shared" si="5"/>
        <v>3928254.6773023643</v>
      </c>
      <c r="I23" s="501"/>
      <c r="J23" s="501"/>
      <c r="K23" s="518"/>
      <c r="L23" s="501"/>
      <c r="M23" s="501"/>
      <c r="N23" s="518"/>
    </row>
    <row r="24" spans="1:14" x14ac:dyDescent="0.2">
      <c r="A24" s="1866">
        <v>42856</v>
      </c>
      <c r="B24" s="1770"/>
      <c r="C24" s="150">
        <f t="shared" si="3"/>
        <v>-69608520.607000172</v>
      </c>
      <c r="D24" s="151"/>
      <c r="E24" s="150">
        <f t="shared" si="4"/>
        <v>-13732026.269076264</v>
      </c>
      <c r="F24" s="150">
        <f t="shared" si="5"/>
        <v>3987324.1788895056</v>
      </c>
      <c r="H24" s="1869" t="s">
        <v>2323</v>
      </c>
      <c r="I24" s="1870">
        <f>6614819*10/12</f>
        <v>5512349.166666667</v>
      </c>
      <c r="J24" s="501">
        <v>0</v>
      </c>
      <c r="K24" s="518">
        <f>I24+J24</f>
        <v>5512349.166666667</v>
      </c>
      <c r="L24" s="1870">
        <f>(7019631*12/12)</f>
        <v>7019631</v>
      </c>
      <c r="M24" s="501">
        <v>0</v>
      </c>
      <c r="N24" s="518">
        <f>L24+M24</f>
        <v>7019631</v>
      </c>
    </row>
    <row r="25" spans="1:14" x14ac:dyDescent="0.2">
      <c r="A25" s="1866">
        <v>42887</v>
      </c>
      <c r="B25" s="1770"/>
      <c r="C25" s="150">
        <f t="shared" si="3"/>
        <v>-70074904.274550602</v>
      </c>
      <c r="D25" s="151"/>
      <c r="E25" s="150">
        <f t="shared" si="4"/>
        <v>-13815521.92503728</v>
      </c>
      <c r="F25" s="150">
        <f t="shared" si="5"/>
        <v>4046393.6804766469</v>
      </c>
      <c r="L25" s="1524">
        <f>I20*0.07219</f>
        <v>648669.69174284756</v>
      </c>
      <c r="M25" s="501">
        <f>J20*0.4445</f>
        <v>308745.53392374999</v>
      </c>
      <c r="N25" s="518">
        <f>L25+M25</f>
        <v>957415.22566659749</v>
      </c>
    </row>
    <row r="26" spans="1:14" x14ac:dyDescent="0.2">
      <c r="A26" s="1866">
        <v>42917</v>
      </c>
      <c r="B26" s="1770"/>
      <c r="C26" s="150">
        <f t="shared" si="3"/>
        <v>-70541287.942101032</v>
      </c>
      <c r="D26" s="151"/>
      <c r="E26" s="150">
        <f t="shared" si="4"/>
        <v>-13899017.580998296</v>
      </c>
      <c r="F26" s="150">
        <f t="shared" si="5"/>
        <v>4105463.1820637882</v>
      </c>
      <c r="H26" s="305" t="s">
        <v>1201</v>
      </c>
    </row>
    <row r="27" spans="1:14" ht="13.5" thickBot="1" x14ac:dyDescent="0.25">
      <c r="A27" s="1866">
        <v>42948</v>
      </c>
      <c r="B27" s="1770"/>
      <c r="C27" s="150">
        <f t="shared" si="3"/>
        <v>-71007671.609651461</v>
      </c>
      <c r="D27" s="151"/>
      <c r="E27" s="150">
        <f t="shared" si="4"/>
        <v>-13982513.236959312</v>
      </c>
      <c r="F27" s="150">
        <f t="shared" si="5"/>
        <v>4164532.6836509295</v>
      </c>
      <c r="H27" s="305" t="s">
        <v>1202</v>
      </c>
      <c r="I27" s="520">
        <f>I10+I14+I18+I22+I24</f>
        <v>22319288.463072114</v>
      </c>
      <c r="J27" s="520">
        <f>J10+J14+J18+J22+J24</f>
        <v>860381.5210312499</v>
      </c>
      <c r="K27" s="520">
        <f>K10+K14+K18+K22+K24</f>
        <v>23179669.984103363</v>
      </c>
      <c r="L27" s="520">
        <f>L10+L14+L18+L22+L24+L25</f>
        <v>30594184.629689634</v>
      </c>
      <c r="M27" s="520">
        <f>M10+M14+M18+M22+M24+M25</f>
        <v>1933083.71954875</v>
      </c>
      <c r="N27" s="520">
        <f>N10+N14+N18+N22+N24+N25</f>
        <v>32527268.349238385</v>
      </c>
    </row>
    <row r="28" spans="1:14" ht="13.5" thickTop="1" x14ac:dyDescent="0.2">
      <c r="A28" s="1866">
        <v>42979</v>
      </c>
      <c r="B28" s="100"/>
      <c r="C28" s="150">
        <f t="shared" si="3"/>
        <v>-71474055.277201891</v>
      </c>
      <c r="D28" s="153"/>
      <c r="E28" s="150">
        <f t="shared" si="4"/>
        <v>-14066008.892920328</v>
      </c>
      <c r="F28" s="150">
        <f t="shared" si="5"/>
        <v>4223602.1852380708</v>
      </c>
    </row>
    <row r="29" spans="1:14" x14ac:dyDescent="0.2">
      <c r="A29" s="1866">
        <v>43009</v>
      </c>
      <c r="B29" s="100"/>
      <c r="C29" s="150">
        <f t="shared" si="3"/>
        <v>-71940438.944752321</v>
      </c>
      <c r="D29" s="153"/>
      <c r="E29" s="150">
        <f t="shared" si="4"/>
        <v>-14149504.548881344</v>
      </c>
      <c r="F29" s="150">
        <f t="shared" si="5"/>
        <v>4282671.6868252121</v>
      </c>
    </row>
    <row r="30" spans="1:14" x14ac:dyDescent="0.2">
      <c r="A30" s="1866">
        <v>43040</v>
      </c>
      <c r="B30" s="1770"/>
      <c r="C30" s="150">
        <f t="shared" si="3"/>
        <v>-72406822.61230275</v>
      </c>
      <c r="D30" s="152"/>
      <c r="E30" s="150">
        <f t="shared" si="4"/>
        <v>-14233000.204842361</v>
      </c>
      <c r="F30" s="150">
        <f t="shared" si="5"/>
        <v>4341741.1884123534</v>
      </c>
      <c r="H30" s="305" t="s">
        <v>1203</v>
      </c>
      <c r="I30" s="518">
        <f>I16</f>
        <v>17971178.604871798</v>
      </c>
      <c r="J30" s="518">
        <f>J16</f>
        <v>1389181.2549999999</v>
      </c>
      <c r="L30" s="518">
        <f>L16</f>
        <v>24513990.778292403</v>
      </c>
      <c r="M30" s="518">
        <f>M16</f>
        <v>2622673.9</v>
      </c>
    </row>
    <row r="31" spans="1:14" x14ac:dyDescent="0.2">
      <c r="A31" s="1866">
        <v>43070</v>
      </c>
      <c r="B31" s="1867"/>
      <c r="C31" s="150">
        <f t="shared" si="3"/>
        <v>-72873206.27985318</v>
      </c>
      <c r="D31" s="1868"/>
      <c r="E31" s="150">
        <f t="shared" si="4"/>
        <v>-14316495.860803377</v>
      </c>
      <c r="F31" s="150">
        <f t="shared" si="5"/>
        <v>4400810.6899994947</v>
      </c>
      <c r="I31" s="519">
        <v>3.7499999999999999E-2</v>
      </c>
      <c r="J31" s="519">
        <f>0.33333</f>
        <v>0.33333000000000002</v>
      </c>
      <c r="L31" s="519">
        <v>3.7499999999999999E-2</v>
      </c>
      <c r="M31" s="519">
        <f>0.33333</f>
        <v>0.33333000000000002</v>
      </c>
    </row>
    <row r="32" spans="1:14" x14ac:dyDescent="0.2">
      <c r="H32" s="305" t="s">
        <v>1204</v>
      </c>
      <c r="I32" s="518">
        <f>I30*0.0375</f>
        <v>673919.19768269244</v>
      </c>
      <c r="J32" s="518">
        <f>J30*0.0375</f>
        <v>52094.297062499994</v>
      </c>
      <c r="K32" s="518">
        <f>I32+J32</f>
        <v>726013.49474519247</v>
      </c>
      <c r="L32" s="518">
        <f>L30*0.0375</f>
        <v>919274.65418596508</v>
      </c>
      <c r="M32" s="518">
        <f>M30*0.0375</f>
        <v>98350.271249999991</v>
      </c>
      <c r="N32" s="518">
        <f>L32+M32</f>
        <v>1017624.9254359651</v>
      </c>
    </row>
    <row r="33" spans="1:14" x14ac:dyDescent="0.2">
      <c r="A33" s="99" t="s">
        <v>902</v>
      </c>
      <c r="B33" s="100"/>
      <c r="C33" s="512"/>
      <c r="D33" s="512"/>
      <c r="E33" s="512"/>
      <c r="F33" s="512"/>
    </row>
    <row r="34" spans="1:14" x14ac:dyDescent="0.2">
      <c r="A34" s="99" t="s">
        <v>930</v>
      </c>
      <c r="B34" s="522"/>
      <c r="C34" s="101">
        <f>AVERAGE(C19:C31)</f>
        <v>-70074904.274550617</v>
      </c>
      <c r="D34" s="100"/>
      <c r="E34" s="101">
        <f>AVERAGE(E19:E31)</f>
        <v>-13815521.925037278</v>
      </c>
      <c r="F34" s="101">
        <f>AVERAGE(F19:F31)</f>
        <v>4046393.6804766459</v>
      </c>
      <c r="H34" s="305" t="s">
        <v>1205</v>
      </c>
    </row>
    <row r="35" spans="1:14" x14ac:dyDescent="0.2">
      <c r="H35" s="305" t="s">
        <v>1206</v>
      </c>
      <c r="I35" s="524">
        <f>(8772994*11/12)</f>
        <v>8041911.166666667</v>
      </c>
      <c r="J35" s="305">
        <v>0</v>
      </c>
      <c r="K35" s="518">
        <f>I35+J35</f>
        <v>8041911.166666667</v>
      </c>
      <c r="L35" s="524">
        <f>(7972184*11/12)</f>
        <v>7307835.333333333</v>
      </c>
      <c r="M35" s="305">
        <v>0</v>
      </c>
      <c r="N35" s="518">
        <f>L35+M35</f>
        <v>7307835.333333333</v>
      </c>
    </row>
    <row r="36" spans="1:14" x14ac:dyDescent="0.2">
      <c r="K36" s="518"/>
      <c r="L36" s="501">
        <f>I30*0.07219</f>
        <v>1297339.3834856951</v>
      </c>
      <c r="M36" s="501">
        <f>J30*0.4445</f>
        <v>617491.06784749997</v>
      </c>
      <c r="N36" s="518">
        <f>L36+M36</f>
        <v>1914830.451333195</v>
      </c>
    </row>
    <row r="37" spans="1:14" x14ac:dyDescent="0.2">
      <c r="H37" s="305" t="s">
        <v>1207</v>
      </c>
      <c r="K37" s="518"/>
      <c r="N37" s="518"/>
    </row>
    <row r="38" spans="1:14" ht="13.5" thickBot="1" x14ac:dyDescent="0.25">
      <c r="H38" s="305" t="s">
        <v>1202</v>
      </c>
      <c r="I38" s="520">
        <f>I10+I14+I32+I35</f>
        <v>16200220.759477559</v>
      </c>
      <c r="J38" s="520">
        <f>J10+J14+J32+J35</f>
        <v>191838.0420625</v>
      </c>
      <c r="K38" s="520">
        <f>I38+J38</f>
        <v>16392058.80154006</v>
      </c>
      <c r="L38" s="520">
        <f>L10+L14+L32+L35+L36</f>
        <v>19733700.592712592</v>
      </c>
      <c r="M38" s="520">
        <f>M10+M14+M32+M35+M36</f>
        <v>979667.43909749994</v>
      </c>
      <c r="N38" s="520">
        <f>L38+M38</f>
        <v>20713368.031810094</v>
      </c>
    </row>
    <row r="39" spans="1:14" ht="13.5" thickTop="1" x14ac:dyDescent="0.2"/>
    <row r="40" spans="1:14" x14ac:dyDescent="0.2">
      <c r="H40" s="305" t="s">
        <v>1208</v>
      </c>
      <c r="I40" s="518">
        <f>I27-I38</f>
        <v>6119067.7035945542</v>
      </c>
      <c r="J40" s="518">
        <f>J27-J38</f>
        <v>668543.47896874987</v>
      </c>
      <c r="K40" s="518">
        <f>I40+J40</f>
        <v>6787611.182563304</v>
      </c>
      <c r="L40" s="518">
        <f>L27-L38</f>
        <v>10860484.036977042</v>
      </c>
      <c r="M40" s="518">
        <f>M27-M38</f>
        <v>953416.28045125003</v>
      </c>
      <c r="N40" s="518">
        <f>L40+M40</f>
        <v>11813900.317428291</v>
      </c>
    </row>
    <row r="43" spans="1:14" x14ac:dyDescent="0.2">
      <c r="H43" s="305" t="s">
        <v>1209</v>
      </c>
      <c r="I43" s="516">
        <f>'WPB2.2 Plant detail-w slippage'!J18+'WPB2.2 Plant detail-w slippage'!J19+'WPB2.2 Plant detail-w slippage'!J20+'WPB2.2 Plant detail-w slippage'!J21+'WPB2.2 Plant detail-w slippage'!J22+'WPB2.2 Plant detail-w slippage'!J23+'WPB2.2 Plant detail-w slippage'!J24+'WPB2.2 Plant detail-w slippage'!J25+'WPB2.2 Plant detail-w slippage'!J26+'WPB2.2 Plant detail-w slippage'!J27</f>
        <v>7636586.8295836896</v>
      </c>
      <c r="J43" s="305">
        <v>0</v>
      </c>
      <c r="K43" s="518">
        <f>I43+J43</f>
        <v>7636586.8295836896</v>
      </c>
      <c r="L43" s="516">
        <f>'WPB2.2 Plant detail-w slippage'!J28+'WPB2.2 Plant detail-w slippage'!J29+'WPB2.2 Plant detail-w slippage'!J30+'WPB2.2 Plant detail-w slippage'!J31+'WPB2.2 Plant detail-w slippage'!J32+'WPB2.2 Plant detail-w slippage'!J33+'WPB2.2 Plant detail-w slippage'!J34+'WPB2.2 Plant detail-w slippage'!J35+'WPB2.2 Plant detail-w slippage'!J36+'WPB2.2 Plant detail-w slippage'!J37+'WPB2.2 Plant detail-w slippage'!J38+'WPB2.2 Plant detail-w slippage'!J39</f>
        <v>15828137.157035036</v>
      </c>
      <c r="M43" s="305">
        <v>0</v>
      </c>
      <c r="N43" s="518">
        <f>L43+M43</f>
        <v>15828137.157035036</v>
      </c>
    </row>
    <row r="45" spans="1:14" x14ac:dyDescent="0.2">
      <c r="H45" s="305" t="s">
        <v>1210</v>
      </c>
      <c r="I45" s="518">
        <f>I27-I43</f>
        <v>14682701.633488424</v>
      </c>
      <c r="J45" s="518">
        <f>J27-J43</f>
        <v>860381.5210312499</v>
      </c>
      <c r="K45" s="518">
        <f>I45+J45</f>
        <v>15543083.154519673</v>
      </c>
      <c r="L45" s="518">
        <f>L27-L43</f>
        <v>14766047.472654598</v>
      </c>
      <c r="M45" s="518">
        <f>M27-M43</f>
        <v>1933083.71954875</v>
      </c>
      <c r="N45" s="518">
        <f>L45+M45</f>
        <v>16699131.192203349</v>
      </c>
    </row>
    <row r="47" spans="1:14" x14ac:dyDescent="0.2">
      <c r="H47" s="305" t="s">
        <v>1211</v>
      </c>
      <c r="I47" s="518">
        <f>-I45*0.329+(I49*0.35)</f>
        <v>-5010445.1499454631</v>
      </c>
      <c r="J47" s="518">
        <f>-J45*0.329+(J49*0.35)</f>
        <v>-287094.1193025937</v>
      </c>
      <c r="K47" s="525">
        <f>I47+J47</f>
        <v>-5297539.2692480572</v>
      </c>
      <c r="L47" s="518">
        <f>-L45*0.329+(L49*0.35)</f>
        <v>-4940046.4506525919</v>
      </c>
      <c r="M47" s="518">
        <f>-M45*0.329+(M49*0.35)</f>
        <v>-656557.55995258631</v>
      </c>
      <c r="N47" s="525">
        <f>L47+M47</f>
        <v>-5596604.0106051778</v>
      </c>
    </row>
    <row r="49" spans="1:14" x14ac:dyDescent="0.2">
      <c r="H49" s="305" t="s">
        <v>1212</v>
      </c>
      <c r="I49" s="501">
        <f>-(I45-I40)*0.06</f>
        <v>-513818.03579363215</v>
      </c>
      <c r="J49" s="501">
        <f>-(J45-J40)*0.06</f>
        <v>-11510.282523750002</v>
      </c>
      <c r="K49" s="525">
        <f>I49+J49</f>
        <v>-525328.31831738213</v>
      </c>
      <c r="L49" s="501">
        <f>-(L45-L40)*0.06</f>
        <v>-234333.80614065338</v>
      </c>
      <c r="M49" s="501">
        <f>-(M45-M40)*0.06</f>
        <v>-58780.046345849994</v>
      </c>
      <c r="N49" s="525">
        <f>L49+M49</f>
        <v>-293113.85248650337</v>
      </c>
    </row>
    <row r="50" spans="1:14" x14ac:dyDescent="0.2">
      <c r="I50" s="518"/>
      <c r="J50" s="501"/>
    </row>
    <row r="51" spans="1:14" x14ac:dyDescent="0.2">
      <c r="H51" s="305" t="s">
        <v>96</v>
      </c>
      <c r="I51" s="501">
        <f>I40*0.06</f>
        <v>367144.06221567321</v>
      </c>
      <c r="J51" s="501">
        <f>J40*0.06</f>
        <v>40112.608738124989</v>
      </c>
      <c r="K51" s="525">
        <f>I51+J51</f>
        <v>407256.67095379822</v>
      </c>
      <c r="L51" s="501">
        <f>L40*0.06</f>
        <v>651629.04221862252</v>
      </c>
      <c r="M51" s="501">
        <f>M40*0.06</f>
        <v>57204.976827074999</v>
      </c>
      <c r="N51" s="525">
        <f>L51+M51</f>
        <v>708834.01904569753</v>
      </c>
    </row>
    <row r="52" spans="1:14" x14ac:dyDescent="0.2">
      <c r="H52" s="305" t="s">
        <v>97</v>
      </c>
    </row>
    <row r="53" spans="1:14" x14ac:dyDescent="0.2">
      <c r="I53" s="518"/>
      <c r="L53" s="518"/>
    </row>
    <row r="54" spans="1:14" x14ac:dyDescent="0.2">
      <c r="A54" s="501" t="s">
        <v>1213</v>
      </c>
      <c r="B54" s="501"/>
      <c r="C54" s="501"/>
      <c r="D54" s="501"/>
      <c r="E54" s="501"/>
      <c r="F54" s="501"/>
      <c r="G54" s="495"/>
      <c r="H54" s="501" t="s">
        <v>98</v>
      </c>
      <c r="I54" s="501"/>
      <c r="L54" s="501"/>
    </row>
    <row r="55" spans="1:14" x14ac:dyDescent="0.2">
      <c r="A55" s="501"/>
      <c r="B55" s="501"/>
      <c r="C55" s="501"/>
      <c r="D55" s="501"/>
      <c r="E55" s="501"/>
      <c r="F55" s="501"/>
      <c r="G55" s="495"/>
      <c r="H55" s="501" t="s">
        <v>99</v>
      </c>
      <c r="I55" s="501">
        <f>-I51*0.35</f>
        <v>-128500.42177548562</v>
      </c>
      <c r="J55" s="501">
        <f>-J51*0.35</f>
        <v>-14039.413058343745</v>
      </c>
      <c r="K55" s="525">
        <f>I55+J55</f>
        <v>-142539.83483382937</v>
      </c>
      <c r="L55" s="501">
        <f>-L51*0.35</f>
        <v>-228070.16477651786</v>
      </c>
      <c r="M55" s="501">
        <f>-M51*0.35</f>
        <v>-20021.741889476249</v>
      </c>
      <c r="N55" s="525">
        <f>L55+M55</f>
        <v>-248091.90666599412</v>
      </c>
    </row>
    <row r="56" spans="1:14" x14ac:dyDescent="0.2">
      <c r="A56" s="501" t="s">
        <v>1214</v>
      </c>
      <c r="B56" s="501"/>
      <c r="C56" s="501"/>
      <c r="D56" s="501"/>
      <c r="E56" s="501"/>
      <c r="F56" s="501"/>
      <c r="G56" s="495"/>
      <c r="H56" s="501"/>
      <c r="I56" s="501"/>
      <c r="K56" s="305" t="s">
        <v>100</v>
      </c>
      <c r="N56" s="305" t="s">
        <v>100</v>
      </c>
    </row>
    <row r="57" spans="1:14" x14ac:dyDescent="0.2">
      <c r="A57" s="501"/>
      <c r="B57" s="501"/>
      <c r="C57" s="501"/>
      <c r="D57" s="501"/>
      <c r="E57" s="501"/>
      <c r="F57" s="501"/>
      <c r="G57" s="495"/>
      <c r="H57" s="501"/>
      <c r="I57" s="501"/>
    </row>
    <row r="58" spans="1:14" x14ac:dyDescent="0.2">
      <c r="A58" s="1771" t="s">
        <v>2269</v>
      </c>
      <c r="B58" s="501"/>
      <c r="C58" s="1771">
        <f>-C19-E19-F19-'WPB-6 Acct. 282 (forecast)'!E17-'WPB-6 Acct. 282 (forecast)'!F17-'WPB-6 Acct. 282 (forecast)'!G17-'WPB-6 Acct. 282 (forecast)'!H17-'WPB-6 Acct. 282 (forecast)'!I17-'WPB-6 Acct. 282 (forecast)'!J17-'WPB-6 Acct. 282 (forecast)'!K17-'WPB-6 Acct. 282 (forecast)'!L17-'WPB-6 Acct. 282 (forecast)'!N17-'WPB-6 Acct. 282 (forecast)'!O17-'WPB-6 Acct. 190 (forecast)'!F17</f>
        <v>81277772.927565396</v>
      </c>
      <c r="D58" s="501"/>
      <c r="E58" s="501"/>
      <c r="F58" s="501"/>
      <c r="G58" s="495"/>
      <c r="H58" s="501"/>
      <c r="I58" s="501"/>
    </row>
    <row r="59" spans="1:14" x14ac:dyDescent="0.2">
      <c r="A59" s="501"/>
      <c r="B59" s="501"/>
      <c r="C59" s="501"/>
      <c r="D59" s="501"/>
      <c r="E59" s="501"/>
      <c r="F59" s="501"/>
      <c r="G59" s="495"/>
      <c r="H59" s="501"/>
      <c r="I59" s="501"/>
    </row>
    <row r="60" spans="1:14" x14ac:dyDescent="0.2">
      <c r="A60" s="501" t="s">
        <v>1215</v>
      </c>
      <c r="B60" s="501"/>
      <c r="C60" s="501"/>
      <c r="D60" s="501"/>
      <c r="E60" s="501"/>
      <c r="F60" s="501"/>
      <c r="G60" s="495"/>
      <c r="H60" s="501"/>
      <c r="I60" s="501"/>
    </row>
    <row r="61" spans="1:14" x14ac:dyDescent="0.2">
      <c r="A61" s="1771" t="s">
        <v>2270</v>
      </c>
      <c r="B61" s="501"/>
      <c r="C61" s="1771">
        <f>-C31-E31-F31-'WPB-6 Acct. 282 (forecast)'!E29-'WPB-6 Acct. 282 (forecast)'!F29-'WPB-6 Acct. 282 (forecast)'!G29-'WPB-6 Acct. 282 (forecast)'!H29-'WPB-6 Acct. 282 (forecast)'!I29-'WPB-6 Acct. 282 (forecast)'!J29-'WPB-6 Acct. 282 (forecast)'!K29-'WPB-6 Acct. 282 (forecast)'!L29-'WPB-6 Acct. 282 (forecast)'!N29-'WPB-6 Acct. 282 (forecast)'!O29-'WPB-6 Acct. 190 (forecast)'!F29</f>
        <v>87892595.780657068</v>
      </c>
      <c r="D61" s="501"/>
      <c r="E61" s="501"/>
      <c r="F61" s="501"/>
      <c r="G61" s="495"/>
      <c r="H61" s="501"/>
      <c r="I61" s="501"/>
    </row>
    <row r="62" spans="1:14" x14ac:dyDescent="0.2">
      <c r="A62" s="501"/>
      <c r="B62" s="501"/>
      <c r="C62" s="501"/>
      <c r="D62" s="501"/>
      <c r="E62" s="501"/>
      <c r="F62" s="501"/>
      <c r="G62" s="495"/>
      <c r="H62" s="501"/>
      <c r="I62" s="501"/>
    </row>
    <row r="63" spans="1:14" x14ac:dyDescent="0.2">
      <c r="A63" s="501" t="s">
        <v>1216</v>
      </c>
      <c r="B63" s="501"/>
      <c r="C63" s="501">
        <f>C61-C58</f>
        <v>6614822.8530916721</v>
      </c>
      <c r="D63" s="501"/>
      <c r="E63" s="501"/>
      <c r="F63" s="501"/>
      <c r="G63" s="495"/>
      <c r="H63" s="501"/>
      <c r="I63" s="501"/>
    </row>
    <row r="64" spans="1:14" x14ac:dyDescent="0.2">
      <c r="A64" s="501"/>
      <c r="B64" s="501"/>
      <c r="C64" s="501"/>
      <c r="D64" s="501"/>
      <c r="E64" s="501"/>
      <c r="F64" s="501"/>
      <c r="G64" s="495"/>
      <c r="H64" s="501"/>
      <c r="I64" s="501"/>
    </row>
    <row r="65" spans="1:10" x14ac:dyDescent="0.2">
      <c r="A65" s="501"/>
      <c r="B65" s="501"/>
      <c r="C65" s="501"/>
      <c r="D65" s="501"/>
      <c r="E65" s="501"/>
      <c r="F65" s="501"/>
      <c r="G65" s="495"/>
      <c r="H65" s="501"/>
      <c r="I65" s="501"/>
    </row>
    <row r="66" spans="1:10" x14ac:dyDescent="0.2">
      <c r="A66" s="501"/>
      <c r="B66" s="501"/>
      <c r="C66" s="501" t="s">
        <v>1217</v>
      </c>
      <c r="D66" s="501"/>
      <c r="E66" s="501" t="s">
        <v>1218</v>
      </c>
      <c r="F66" s="501"/>
      <c r="G66" s="495"/>
      <c r="H66" s="501" t="s">
        <v>1219</v>
      </c>
      <c r="I66" s="501" t="s">
        <v>1220</v>
      </c>
    </row>
    <row r="67" spans="1:10" x14ac:dyDescent="0.2">
      <c r="A67" s="501"/>
      <c r="B67" s="501"/>
      <c r="C67" s="501" t="s">
        <v>1221</v>
      </c>
      <c r="D67" s="501"/>
      <c r="E67" s="501" t="s">
        <v>1222</v>
      </c>
      <c r="F67" s="501"/>
      <c r="G67" s="495"/>
      <c r="H67" s="501"/>
      <c r="I67" s="501" t="s">
        <v>1223</v>
      </c>
    </row>
    <row r="68" spans="1:10" x14ac:dyDescent="0.2">
      <c r="A68" s="501"/>
      <c r="B68" s="501"/>
      <c r="C68" s="501"/>
      <c r="D68" s="501"/>
      <c r="E68" s="501"/>
      <c r="F68" s="501"/>
      <c r="G68" s="495"/>
      <c r="H68" s="501"/>
      <c r="I68" s="501"/>
    </row>
    <row r="69" spans="1:10" x14ac:dyDescent="0.2">
      <c r="A69" s="501" t="s">
        <v>1224</v>
      </c>
      <c r="B69" s="501"/>
      <c r="C69" s="501"/>
      <c r="D69" s="501"/>
      <c r="E69" s="501"/>
      <c r="F69" s="501"/>
      <c r="G69" s="495"/>
      <c r="H69" s="501"/>
      <c r="I69" s="501"/>
    </row>
    <row r="70" spans="1:10" x14ac:dyDescent="0.2">
      <c r="A70" s="540" t="s">
        <v>2219</v>
      </c>
      <c r="B70" s="501"/>
      <c r="C70" s="501">
        <f>C58</f>
        <v>81277772.927565396</v>
      </c>
      <c r="D70" s="501"/>
      <c r="E70" s="501">
        <v>0</v>
      </c>
      <c r="F70" s="501" t="s">
        <v>2274</v>
      </c>
      <c r="G70" s="495">
        <v>0</v>
      </c>
      <c r="H70" s="501">
        <f>C70</f>
        <v>81277772.927565396</v>
      </c>
      <c r="I70" s="501"/>
      <c r="J70" s="518">
        <f>-C70</f>
        <v>-81277772.927565396</v>
      </c>
    </row>
    <row r="71" spans="1:10" x14ac:dyDescent="0.2">
      <c r="A71" s="540" t="s">
        <v>2220</v>
      </c>
      <c r="B71" s="501"/>
      <c r="C71" s="1771">
        <f>-C20-E20-F20-'WPB-6 Acct. 282 (forecast)'!E18-'WPB-6 Acct. 282 (forecast)'!F18-'WPB-6 Acct. 282 (forecast)'!G18-'WPB-6 Acct. 282 (forecast)'!H18-'WPB-6 Acct. 282 (forecast)'!I18-'WPB-6 Acct. 282 (forecast)'!J18-'WPB-6 Acct. 282 (forecast)'!K18-'WPB-6 Acct. 282 (forecast)'!L18-'WPB-6 Acct. 282 (forecast)'!N18-'WPB-6 Acct. 282 (forecast)'!O18-'WPB-6 Acct. 190 (forecast)'!F18</f>
        <v>81829056.739489719</v>
      </c>
      <c r="D71" s="501"/>
      <c r="E71" s="501">
        <f>C71-C70</f>
        <v>551283.81192432344</v>
      </c>
      <c r="F71" s="501" t="s">
        <v>2275</v>
      </c>
      <c r="G71" s="1783">
        <f>ROUND(E71*335/365,0)</f>
        <v>505973</v>
      </c>
      <c r="H71" s="501">
        <f>G71+H70</f>
        <v>81783745.927565396</v>
      </c>
      <c r="I71" s="501"/>
      <c r="J71" s="518">
        <f t="shared" ref="J71:J82" si="6">-C71</f>
        <v>-81829056.739489719</v>
      </c>
    </row>
    <row r="72" spans="1:10" x14ac:dyDescent="0.2">
      <c r="A72" s="540" t="s">
        <v>2209</v>
      </c>
      <c r="B72" s="501"/>
      <c r="C72" s="1771">
        <f>-C21-E21-F21-'WPB-6 Acct. 282 (forecast)'!E19-'WPB-6 Acct. 282 (forecast)'!F19-'WPB-6 Acct. 282 (forecast)'!G19-'WPB-6 Acct. 282 (forecast)'!H19-'WPB-6 Acct. 282 (forecast)'!I19-'WPB-6 Acct. 282 (forecast)'!J19-'WPB-6 Acct. 282 (forecast)'!K19-'WPB-6 Acct. 282 (forecast)'!L19-'WPB-6 Acct. 282 (forecast)'!N19-'WPB-6 Acct. 282 (forecast)'!O19-'WPB-6 Acct. 190 (forecast)'!F19</f>
        <v>82380340.561414018</v>
      </c>
      <c r="D72" s="501"/>
      <c r="E72" s="501">
        <f t="shared" ref="E72:E82" si="7">C72-C71</f>
        <v>551283.821924299</v>
      </c>
      <c r="F72" s="501" t="s">
        <v>2276</v>
      </c>
      <c r="G72" s="1783">
        <f>ROUND(E72*305/365,0)</f>
        <v>460662</v>
      </c>
      <c r="H72" s="501">
        <f t="shared" ref="H72:H82" si="8">G72+H71</f>
        <v>82244407.927565396</v>
      </c>
      <c r="I72" s="501"/>
      <c r="J72" s="518">
        <f t="shared" si="6"/>
        <v>-82380340.561414018</v>
      </c>
    </row>
    <row r="73" spans="1:10" x14ac:dyDescent="0.2">
      <c r="A73" s="540" t="s">
        <v>2210</v>
      </c>
      <c r="B73" s="501"/>
      <c r="C73" s="1771">
        <f>-C22-E22-F22-'WPB-6 Acct. 282 (forecast)'!E20-'WPB-6 Acct. 282 (forecast)'!F20-'WPB-6 Acct. 282 (forecast)'!G20-'WPB-6 Acct. 282 (forecast)'!H20-'WPB-6 Acct. 282 (forecast)'!I20-'WPB-6 Acct. 282 (forecast)'!J20-'WPB-6 Acct. 282 (forecast)'!K20-'WPB-6 Acct. 282 (forecast)'!L20-'WPB-6 Acct. 282 (forecast)'!N20-'WPB-6 Acct. 282 (forecast)'!O20-'WPB-6 Acct. 190 (forecast)'!F20</f>
        <v>82931551.383338317</v>
      </c>
      <c r="D73" s="501"/>
      <c r="E73" s="501">
        <f t="shared" si="7"/>
        <v>551210.821924299</v>
      </c>
      <c r="F73" s="501" t="s">
        <v>2277</v>
      </c>
      <c r="G73" s="1783">
        <f>ROUND(E73*274/365,0)</f>
        <v>413786</v>
      </c>
      <c r="H73" s="501">
        <f t="shared" si="8"/>
        <v>82658193.927565396</v>
      </c>
      <c r="I73" s="501"/>
      <c r="J73" s="518">
        <f t="shared" si="6"/>
        <v>-82931551.383338317</v>
      </c>
    </row>
    <row r="74" spans="1:10" x14ac:dyDescent="0.2">
      <c r="A74" s="540" t="s">
        <v>2221</v>
      </c>
      <c r="B74" s="501"/>
      <c r="C74" s="1771">
        <f>-C23-E23-F23-'WPB-6 Acct. 282 (forecast)'!E21-'WPB-6 Acct. 282 (forecast)'!F21-'WPB-6 Acct. 282 (forecast)'!G21-'WPB-6 Acct. 282 (forecast)'!H21-'WPB-6 Acct. 282 (forecast)'!I21-'WPB-6 Acct. 282 (forecast)'!J21-'WPB-6 Acct. 282 (forecast)'!K21-'WPB-6 Acct. 282 (forecast)'!L21-'WPB-6 Acct. 282 (forecast)'!N21-'WPB-6 Acct. 282 (forecast)'!O21-'WPB-6 Acct. 190 (forecast)'!F21</f>
        <v>83482762.205262631</v>
      </c>
      <c r="D74" s="501"/>
      <c r="E74" s="501">
        <f t="shared" si="7"/>
        <v>551210.8219243139</v>
      </c>
      <c r="F74" s="501" t="s">
        <v>2278</v>
      </c>
      <c r="G74" s="1783">
        <f>ROUND(E74*243/365,0)</f>
        <v>366970</v>
      </c>
      <c r="H74" s="501">
        <f t="shared" si="8"/>
        <v>83025163.927565396</v>
      </c>
      <c r="I74" s="501"/>
      <c r="J74" s="518">
        <f t="shared" si="6"/>
        <v>-83482762.205262631</v>
      </c>
    </row>
    <row r="75" spans="1:10" x14ac:dyDescent="0.2">
      <c r="A75" s="540" t="s">
        <v>2222</v>
      </c>
      <c r="B75" s="501"/>
      <c r="C75" s="1771">
        <f>-C24-E24-F24-'WPB-6 Acct. 282 (forecast)'!E22-'WPB-6 Acct. 282 (forecast)'!F22-'WPB-6 Acct. 282 (forecast)'!G22-'WPB-6 Acct. 282 (forecast)'!H22-'WPB-6 Acct. 282 (forecast)'!I22-'WPB-6 Acct. 282 (forecast)'!J22-'WPB-6 Acct. 282 (forecast)'!K22-'WPB-6 Acct. 282 (forecast)'!L22-'WPB-6 Acct. 282 (forecast)'!N22-'WPB-6 Acct. 282 (forecast)'!O22-'WPB-6 Acct. 190 (forecast)'!F22</f>
        <v>84033973.027186915</v>
      </c>
      <c r="D75" s="501"/>
      <c r="E75" s="501">
        <f t="shared" si="7"/>
        <v>551210.8219242841</v>
      </c>
      <c r="F75" s="501" t="s">
        <v>2279</v>
      </c>
      <c r="G75" s="1783">
        <f>ROUND(E75*215/365,0)</f>
        <v>324686</v>
      </c>
      <c r="H75" s="501">
        <f t="shared" si="8"/>
        <v>83349849.927565396</v>
      </c>
      <c r="I75" s="501"/>
      <c r="J75" s="518">
        <f t="shared" si="6"/>
        <v>-84033973.027186915</v>
      </c>
    </row>
    <row r="76" spans="1:10" x14ac:dyDescent="0.2">
      <c r="A76" s="540" t="s">
        <v>2223</v>
      </c>
      <c r="B76" s="501"/>
      <c r="C76" s="1771">
        <f>-C25-E25-F25-'WPB-6 Acct. 282 (forecast)'!E23-'WPB-6 Acct. 282 (forecast)'!F23-'WPB-6 Acct. 282 (forecast)'!G23-'WPB-6 Acct. 282 (forecast)'!H23-'WPB-6 Acct. 282 (forecast)'!I23-'WPB-6 Acct. 282 (forecast)'!J23-'WPB-6 Acct. 282 (forecast)'!K23-'WPB-6 Acct. 282 (forecast)'!L23-'WPB-6 Acct. 282 (forecast)'!N23-'WPB-6 Acct. 282 (forecast)'!O23-'WPB-6 Acct. 190 (forecast)'!F23</f>
        <v>84585183.849111229</v>
      </c>
      <c r="D76" s="501"/>
      <c r="E76" s="501">
        <f t="shared" si="7"/>
        <v>551210.8219243139</v>
      </c>
      <c r="F76" s="501" t="s">
        <v>2280</v>
      </c>
      <c r="G76" s="1783">
        <f>ROUND(E76*184/365,0)</f>
        <v>277871</v>
      </c>
      <c r="H76" s="501">
        <f t="shared" si="8"/>
        <v>83627720.927565396</v>
      </c>
      <c r="I76" s="501"/>
      <c r="J76" s="518">
        <f t="shared" si="6"/>
        <v>-84585183.849111229</v>
      </c>
    </row>
    <row r="77" spans="1:10" x14ac:dyDescent="0.2">
      <c r="A77" s="540" t="s">
        <v>2224</v>
      </c>
      <c r="B77" s="501"/>
      <c r="C77" s="1771">
        <f>-C26-E26-F26-'WPB-6 Acct. 282 (forecast)'!E24-'WPB-6 Acct. 282 (forecast)'!F24-'WPB-6 Acct. 282 (forecast)'!G24-'WPB-6 Acct. 282 (forecast)'!H24-'WPB-6 Acct. 282 (forecast)'!I24-'WPB-6 Acct. 282 (forecast)'!J24-'WPB-6 Acct. 282 (forecast)'!K24-'WPB-6 Acct. 282 (forecast)'!L24-'WPB-6 Acct. 282 (forecast)'!N24-'WPB-6 Acct. 282 (forecast)'!O24-'WPB-6 Acct. 190 (forecast)'!F24</f>
        <v>85136394.671035543</v>
      </c>
      <c r="D77" s="501"/>
      <c r="E77" s="501">
        <f t="shared" si="7"/>
        <v>551210.8219243139</v>
      </c>
      <c r="F77" s="501" t="s">
        <v>2281</v>
      </c>
      <c r="G77" s="1783">
        <f>ROUND(E77*154/365,0)</f>
        <v>232566</v>
      </c>
      <c r="H77" s="501">
        <f t="shared" si="8"/>
        <v>83860286.927565396</v>
      </c>
      <c r="I77" s="501"/>
      <c r="J77" s="518">
        <f t="shared" si="6"/>
        <v>-85136394.671035543</v>
      </c>
    </row>
    <row r="78" spans="1:10" x14ac:dyDescent="0.2">
      <c r="A78" s="540" t="s">
        <v>2225</v>
      </c>
      <c r="B78" s="501"/>
      <c r="C78" s="1771">
        <f>-C27-E27-F27-'WPB-6 Acct. 282 (forecast)'!E25-'WPB-6 Acct. 282 (forecast)'!F25-'WPB-6 Acct. 282 (forecast)'!G25-'WPB-6 Acct. 282 (forecast)'!H25-'WPB-6 Acct. 282 (forecast)'!I25-'WPB-6 Acct. 282 (forecast)'!J25-'WPB-6 Acct. 282 (forecast)'!K25-'WPB-6 Acct. 282 (forecast)'!L25-'WPB-6 Acct. 282 (forecast)'!N25-'WPB-6 Acct. 282 (forecast)'!O25-'WPB-6 Acct. 190 (forecast)'!F25</f>
        <v>85687605.492959842</v>
      </c>
      <c r="D78" s="501"/>
      <c r="E78" s="501">
        <f t="shared" si="7"/>
        <v>551210.821924299</v>
      </c>
      <c r="F78" s="501" t="s">
        <v>2282</v>
      </c>
      <c r="G78" s="1783">
        <f>ROUND(E78*123/365,0)</f>
        <v>185750</v>
      </c>
      <c r="H78" s="501">
        <f t="shared" si="8"/>
        <v>84046036.927565396</v>
      </c>
      <c r="I78" s="501"/>
      <c r="J78" s="518">
        <f t="shared" si="6"/>
        <v>-85687605.492959842</v>
      </c>
    </row>
    <row r="79" spans="1:10" x14ac:dyDescent="0.2">
      <c r="A79" s="540" t="s">
        <v>2226</v>
      </c>
      <c r="B79" s="501"/>
      <c r="C79" s="1771">
        <f>-C28-E28-F28-'WPB-6 Acct. 282 (forecast)'!E26-'WPB-6 Acct. 282 (forecast)'!F26-'WPB-6 Acct. 282 (forecast)'!G26-'WPB-6 Acct. 282 (forecast)'!H26-'WPB-6 Acct. 282 (forecast)'!I26-'WPB-6 Acct. 282 (forecast)'!J26-'WPB-6 Acct. 282 (forecast)'!K26-'WPB-6 Acct. 282 (forecast)'!L26-'WPB-6 Acct. 282 (forecast)'!N26-'WPB-6 Acct. 282 (forecast)'!O26-'WPB-6 Acct. 190 (forecast)'!F26</f>
        <v>86238816.314884141</v>
      </c>
      <c r="D79" s="501"/>
      <c r="E79" s="501">
        <f t="shared" si="7"/>
        <v>551210.821924299</v>
      </c>
      <c r="F79" s="501" t="s">
        <v>2283</v>
      </c>
      <c r="G79" s="1783">
        <f>ROUND(E79*93/365,0)</f>
        <v>140445</v>
      </c>
      <c r="H79" s="501">
        <f t="shared" si="8"/>
        <v>84186481.927565396</v>
      </c>
      <c r="I79" s="501"/>
      <c r="J79" s="518">
        <f t="shared" si="6"/>
        <v>-86238816.314884141</v>
      </c>
    </row>
    <row r="80" spans="1:10" x14ac:dyDescent="0.2">
      <c r="A80" s="540" t="s">
        <v>2227</v>
      </c>
      <c r="B80" s="501"/>
      <c r="C80" s="1771">
        <f>-C29-E29-F29-'WPB-6 Acct. 282 (forecast)'!E27-'WPB-6 Acct. 282 (forecast)'!F27-'WPB-6 Acct. 282 (forecast)'!G27-'WPB-6 Acct. 282 (forecast)'!H27-'WPB-6 Acct. 282 (forecast)'!I27-'WPB-6 Acct. 282 (forecast)'!J27-'WPB-6 Acct. 282 (forecast)'!K27-'WPB-6 Acct. 282 (forecast)'!L27-'WPB-6 Acct. 282 (forecast)'!N27-'WPB-6 Acct. 282 (forecast)'!O27-'WPB-6 Acct. 190 (forecast)'!F27</f>
        <v>86790027.13680844</v>
      </c>
      <c r="D80" s="501"/>
      <c r="E80" s="501">
        <f t="shared" si="7"/>
        <v>551210.821924299</v>
      </c>
      <c r="F80" s="501" t="s">
        <v>2284</v>
      </c>
      <c r="G80" s="1783">
        <f>ROUND(E80*62/365,0)</f>
        <v>93630</v>
      </c>
      <c r="H80" s="501">
        <f t="shared" si="8"/>
        <v>84280111.927565396</v>
      </c>
      <c r="I80" s="501"/>
      <c r="J80" s="518">
        <f t="shared" si="6"/>
        <v>-86790027.13680844</v>
      </c>
    </row>
    <row r="81" spans="1:10" x14ac:dyDescent="0.2">
      <c r="A81" s="540" t="s">
        <v>2228</v>
      </c>
      <c r="B81" s="501"/>
      <c r="C81" s="1771">
        <f>-C30-E30-F30-'WPB-6 Acct. 282 (forecast)'!E28-'WPB-6 Acct. 282 (forecast)'!F28-'WPB-6 Acct. 282 (forecast)'!G28-'WPB-6 Acct. 282 (forecast)'!H28-'WPB-6 Acct. 282 (forecast)'!I28-'WPB-6 Acct. 282 (forecast)'!J28-'WPB-6 Acct. 282 (forecast)'!K28-'WPB-6 Acct. 282 (forecast)'!L28-'WPB-6 Acct. 282 (forecast)'!N28-'WPB-6 Acct. 282 (forecast)'!O28-'WPB-6 Acct. 190 (forecast)'!F28</f>
        <v>87341310.958732754</v>
      </c>
      <c r="D81" s="501"/>
      <c r="E81" s="501">
        <f t="shared" si="7"/>
        <v>551283.8219243139</v>
      </c>
      <c r="F81" s="501" t="s">
        <v>2285</v>
      </c>
      <c r="G81" s="1783">
        <f>ROUND(E81*31/365,0)</f>
        <v>46821</v>
      </c>
      <c r="H81" s="501">
        <f t="shared" si="8"/>
        <v>84326932.927565396</v>
      </c>
      <c r="I81" s="501"/>
      <c r="J81" s="518">
        <f t="shared" si="6"/>
        <v>-87341310.958732754</v>
      </c>
    </row>
    <row r="82" spans="1:10" x14ac:dyDescent="0.2">
      <c r="A82" s="540" t="s">
        <v>2229</v>
      </c>
      <c r="B82" s="501"/>
      <c r="C82" s="1771">
        <f>-C31-E31-F31-'WPB-6 Acct. 282 (forecast)'!E29-'WPB-6 Acct. 282 (forecast)'!F29-'WPB-6 Acct. 282 (forecast)'!G29-'WPB-6 Acct. 282 (forecast)'!H29-'WPB-6 Acct. 282 (forecast)'!I29-'WPB-6 Acct. 282 (forecast)'!J29-'WPB-6 Acct. 282 (forecast)'!K29-'WPB-6 Acct. 282 (forecast)'!L29-'WPB-6 Acct. 282 (forecast)'!N29-'WPB-6 Acct. 282 (forecast)'!O29-'WPB-6 Acct. 190 (forecast)'!F29</f>
        <v>87892595.780657068</v>
      </c>
      <c r="D82" s="501"/>
      <c r="E82" s="501">
        <f t="shared" si="7"/>
        <v>551284.8219243139</v>
      </c>
      <c r="F82" s="501" t="s">
        <v>2286</v>
      </c>
      <c r="G82" s="1783">
        <f>ROUND(E82*1/365,0)</f>
        <v>1510</v>
      </c>
      <c r="H82" s="1785">
        <f t="shared" si="8"/>
        <v>84328442.927565396</v>
      </c>
      <c r="I82" s="501"/>
      <c r="J82" s="518">
        <f t="shared" si="6"/>
        <v>-87892595.780657068</v>
      </c>
    </row>
    <row r="83" spans="1:10" x14ac:dyDescent="0.2">
      <c r="A83" s="501"/>
      <c r="B83" s="501"/>
      <c r="C83" s="1784">
        <f>AVERAGE(C70:C82)</f>
        <v>84585183.926803559</v>
      </c>
      <c r="D83" s="501"/>
      <c r="E83" s="501"/>
      <c r="F83" s="501"/>
      <c r="G83" s="495"/>
      <c r="H83" s="501">
        <f>H82</f>
        <v>84328442.927565396</v>
      </c>
      <c r="I83" s="1786">
        <f>H83-C83</f>
        <v>-256740.99923816323</v>
      </c>
    </row>
    <row r="84" spans="1:10" x14ac:dyDescent="0.2">
      <c r="A84" s="501"/>
      <c r="B84" s="501"/>
      <c r="C84" s="501"/>
      <c r="D84" s="501"/>
      <c r="E84" s="501"/>
      <c r="F84" s="501"/>
      <c r="G84" s="495"/>
      <c r="H84" s="501" t="s">
        <v>1226</v>
      </c>
      <c r="I84" s="501"/>
    </row>
    <row r="85" spans="1:10" x14ac:dyDescent="0.2">
      <c r="A85" s="495"/>
      <c r="B85" s="495"/>
      <c r="C85" s="495"/>
      <c r="D85" s="495"/>
      <c r="E85" s="495"/>
      <c r="F85" s="495"/>
      <c r="G85" s="495"/>
      <c r="H85" s="517">
        <f>(H70+H71+H72+H73+H74+H75+H76+H77+H78+H79+H80+H81+H82)/13</f>
        <v>83307319.158334598</v>
      </c>
      <c r="I85" s="501" t="s">
        <v>1227</v>
      </c>
    </row>
    <row r="86" spans="1:10" x14ac:dyDescent="0.2">
      <c r="A86" s="495"/>
      <c r="B86" s="495"/>
      <c r="C86" s="495"/>
      <c r="D86" s="495"/>
      <c r="E86" s="495"/>
      <c r="F86" s="495"/>
      <c r="G86" s="495"/>
      <c r="H86" s="501"/>
      <c r="I86" s="501"/>
    </row>
    <row r="89" spans="1:10" x14ac:dyDescent="0.2">
      <c r="H89" s="305">
        <f>H82/C61</f>
        <v>0.9594487701559492</v>
      </c>
    </row>
  </sheetData>
  <phoneticPr fontId="0" type="noConversion"/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22"/>
  <dimension ref="A1:O33"/>
  <sheetViews>
    <sheetView zoomScale="90" zoomScaleNormal="90" zoomScaleSheetLayoutView="85" workbookViewId="0">
      <selection activeCell="G23" sqref="G23"/>
    </sheetView>
  </sheetViews>
  <sheetFormatPr defaultColWidth="11.33203125" defaultRowHeight="12.75" x14ac:dyDescent="0.2"/>
  <cols>
    <col min="1" max="1" width="19.83203125" style="84" customWidth="1"/>
    <col min="2" max="2" width="19.83203125" style="84" bestFit="1" customWidth="1"/>
    <col min="3" max="3" width="4.33203125" style="84" customWidth="1"/>
    <col min="4" max="4" width="18.5" style="84" bestFit="1" customWidth="1"/>
    <col min="5" max="5" width="4.33203125" style="84" customWidth="1"/>
    <col min="6" max="6" width="18.5" style="84" bestFit="1" customWidth="1"/>
    <col min="7" max="16384" width="11.33203125" style="84"/>
  </cols>
  <sheetData>
    <row r="1" spans="1:15" x14ac:dyDescent="0.2">
      <c r="A1" s="2111" t="str">
        <f>co</f>
        <v>COLUMBIA GAS OF KENTUCKY, INC.</v>
      </c>
      <c r="B1" s="2111"/>
      <c r="C1" s="2111"/>
      <c r="D1" s="2111"/>
      <c r="E1" s="2111"/>
      <c r="F1" s="2111"/>
    </row>
    <row r="2" spans="1:15" x14ac:dyDescent="0.2">
      <c r="A2" s="2111" t="str">
        <f>case</f>
        <v>CASE NO. 2016 - 00162</v>
      </c>
      <c r="B2" s="2111"/>
      <c r="C2" s="2111"/>
      <c r="D2" s="2111"/>
      <c r="E2" s="2111"/>
      <c r="F2" s="2111"/>
    </row>
    <row r="3" spans="1:15" x14ac:dyDescent="0.2">
      <c r="A3" s="2112" t="s">
        <v>900</v>
      </c>
      <c r="B3" s="2112"/>
      <c r="C3" s="2112"/>
      <c r="D3" s="2112"/>
      <c r="E3" s="2112"/>
      <c r="F3" s="2112"/>
    </row>
    <row r="4" spans="1:15" x14ac:dyDescent="0.2">
      <c r="A4" s="2113" t="str">
        <f>datef</f>
        <v>AS OF DECEMBER 31, 2017</v>
      </c>
      <c r="B4" s="2113"/>
      <c r="C4" s="2113"/>
      <c r="D4" s="2113"/>
      <c r="E4" s="2113"/>
      <c r="F4" s="2113"/>
    </row>
    <row r="5" spans="1:15" x14ac:dyDescent="0.2">
      <c r="A5" s="85"/>
      <c r="B5" s="85"/>
      <c r="C5" s="85"/>
      <c r="D5" s="85"/>
      <c r="E5" s="85"/>
      <c r="F5" s="85"/>
    </row>
    <row r="6" spans="1:15" x14ac:dyDescent="0.2">
      <c r="A6" s="86"/>
      <c r="E6" s="157"/>
      <c r="F6" s="157" t="s">
        <v>914</v>
      </c>
    </row>
    <row r="7" spans="1:15" x14ac:dyDescent="0.2">
      <c r="E7" s="157"/>
      <c r="F7" s="250" t="s">
        <v>864</v>
      </c>
    </row>
    <row r="8" spans="1:15" x14ac:dyDescent="0.2">
      <c r="A8" s="87"/>
      <c r="B8" s="87"/>
      <c r="C8" s="87"/>
      <c r="D8" s="87"/>
      <c r="E8" s="158"/>
      <c r="F8" s="158" t="s">
        <v>915</v>
      </c>
      <c r="H8" s="88"/>
      <c r="I8" s="88"/>
      <c r="J8" s="88"/>
      <c r="K8" s="88"/>
      <c r="L8" s="88"/>
      <c r="M8" s="88"/>
      <c r="N8" s="88"/>
      <c r="O8" s="88"/>
    </row>
    <row r="9" spans="1:15" x14ac:dyDescent="0.2">
      <c r="A9" s="88"/>
      <c r="B9" s="88"/>
      <c r="C9" s="88"/>
      <c r="D9" s="2109" t="s">
        <v>916</v>
      </c>
      <c r="E9" s="2109"/>
      <c r="F9" s="2109"/>
      <c r="G9" s="90"/>
      <c r="H9" s="88"/>
      <c r="I9" s="88"/>
      <c r="J9" s="88"/>
      <c r="K9" s="88"/>
      <c r="L9" s="88"/>
      <c r="M9" s="88"/>
      <c r="N9" s="88"/>
      <c r="O9" s="88"/>
    </row>
    <row r="10" spans="1:15" x14ac:dyDescent="0.2">
      <c r="B10" s="90" t="s">
        <v>917</v>
      </c>
      <c r="D10" s="2110" t="s">
        <v>918</v>
      </c>
      <c r="E10" s="2110"/>
      <c r="F10" s="2110"/>
      <c r="G10" s="89"/>
    </row>
    <row r="11" spans="1:15" x14ac:dyDescent="0.2">
      <c r="B11" s="90" t="s">
        <v>919</v>
      </c>
      <c r="D11" s="90" t="s">
        <v>920</v>
      </c>
      <c r="F11" s="90" t="s">
        <v>921</v>
      </c>
    </row>
    <row r="12" spans="1:15" x14ac:dyDescent="0.2">
      <c r="B12" s="90" t="s">
        <v>923</v>
      </c>
      <c r="D12" s="90" t="s">
        <v>924</v>
      </c>
      <c r="F12" s="90" t="s">
        <v>924</v>
      </c>
    </row>
    <row r="13" spans="1:15" x14ac:dyDescent="0.2">
      <c r="B13" s="90" t="s">
        <v>925</v>
      </c>
      <c r="D13" s="90" t="s">
        <v>926</v>
      </c>
      <c r="F13" s="90" t="s">
        <v>926</v>
      </c>
    </row>
    <row r="14" spans="1:15" x14ac:dyDescent="0.2">
      <c r="B14" s="91" t="s">
        <v>927</v>
      </c>
      <c r="D14" s="91" t="s">
        <v>928</v>
      </c>
      <c r="F14" s="91" t="s">
        <v>929</v>
      </c>
    </row>
    <row r="15" spans="1:15" x14ac:dyDescent="0.2">
      <c r="B15" s="93" t="s">
        <v>639</v>
      </c>
      <c r="C15" s="94"/>
      <c r="D15" s="93" t="s">
        <v>639</v>
      </c>
      <c r="F15" s="90" t="s">
        <v>639</v>
      </c>
    </row>
    <row r="16" spans="1:15" x14ac:dyDescent="0.2">
      <c r="B16" s="93"/>
      <c r="C16" s="94"/>
      <c r="D16" s="93"/>
    </row>
    <row r="17" spans="1:6" x14ac:dyDescent="0.2">
      <c r="A17" s="540" t="s">
        <v>2219</v>
      </c>
      <c r="B17" s="453">
        <v>0</v>
      </c>
      <c r="C17" s="548"/>
      <c r="D17" s="453">
        <v>0</v>
      </c>
      <c r="E17" s="549"/>
      <c r="F17" s="453">
        <v>0</v>
      </c>
    </row>
    <row r="18" spans="1:6" x14ac:dyDescent="0.2">
      <c r="A18" s="540" t="s">
        <v>2220</v>
      </c>
      <c r="B18" s="453">
        <v>0</v>
      </c>
      <c r="C18" s="548"/>
      <c r="D18" s="453">
        <v>0</v>
      </c>
      <c r="E18" s="549"/>
      <c r="F18" s="453">
        <v>0</v>
      </c>
    </row>
    <row r="19" spans="1:6" x14ac:dyDescent="0.2">
      <c r="A19" s="540" t="s">
        <v>2209</v>
      </c>
      <c r="B19" s="453">
        <v>0</v>
      </c>
      <c r="C19" s="548"/>
      <c r="D19" s="453">
        <v>0</v>
      </c>
      <c r="E19" s="549"/>
      <c r="F19" s="453">
        <v>0</v>
      </c>
    </row>
    <row r="20" spans="1:6" x14ac:dyDescent="0.2">
      <c r="A20" s="540" t="s">
        <v>2210</v>
      </c>
      <c r="B20" s="453">
        <v>0</v>
      </c>
      <c r="C20" s="548"/>
      <c r="D20" s="453">
        <v>0</v>
      </c>
      <c r="E20" s="549"/>
      <c r="F20" s="453">
        <v>0</v>
      </c>
    </row>
    <row r="21" spans="1:6" x14ac:dyDescent="0.2">
      <c r="A21" s="540" t="s">
        <v>2221</v>
      </c>
      <c r="B21" s="453">
        <v>0</v>
      </c>
      <c r="C21" s="548"/>
      <c r="D21" s="453">
        <v>0</v>
      </c>
      <c r="E21" s="549"/>
      <c r="F21" s="453">
        <v>0</v>
      </c>
    </row>
    <row r="22" spans="1:6" x14ac:dyDescent="0.2">
      <c r="A22" s="540" t="s">
        <v>2222</v>
      </c>
      <c r="B22" s="453">
        <v>0</v>
      </c>
      <c r="C22" s="548"/>
      <c r="D22" s="453">
        <v>0</v>
      </c>
      <c r="E22" s="549"/>
      <c r="F22" s="453">
        <v>0</v>
      </c>
    </row>
    <row r="23" spans="1:6" x14ac:dyDescent="0.2">
      <c r="A23" s="540" t="s">
        <v>2223</v>
      </c>
      <c r="B23" s="453">
        <v>0</v>
      </c>
      <c r="C23" s="548"/>
      <c r="D23" s="453">
        <v>0</v>
      </c>
      <c r="E23" s="549"/>
      <c r="F23" s="453">
        <v>0</v>
      </c>
    </row>
    <row r="24" spans="1:6" x14ac:dyDescent="0.2">
      <c r="A24" s="540" t="s">
        <v>2224</v>
      </c>
      <c r="B24" s="453">
        <v>0</v>
      </c>
      <c r="C24" s="548"/>
      <c r="D24" s="453">
        <v>0</v>
      </c>
      <c r="E24" s="549"/>
      <c r="F24" s="453">
        <v>0</v>
      </c>
    </row>
    <row r="25" spans="1:6" x14ac:dyDescent="0.2">
      <c r="A25" s="540" t="s">
        <v>2225</v>
      </c>
      <c r="B25" s="453">
        <v>0</v>
      </c>
      <c r="C25" s="548"/>
      <c r="D25" s="453">
        <v>0</v>
      </c>
      <c r="E25" s="549"/>
      <c r="F25" s="453">
        <v>0</v>
      </c>
    </row>
    <row r="26" spans="1:6" x14ac:dyDescent="0.2">
      <c r="A26" s="540" t="s">
        <v>2226</v>
      </c>
      <c r="B26" s="453">
        <v>0</v>
      </c>
      <c r="C26" s="548"/>
      <c r="D26" s="453">
        <v>0</v>
      </c>
      <c r="E26" s="549"/>
      <c r="F26" s="453">
        <v>0</v>
      </c>
    </row>
    <row r="27" spans="1:6" x14ac:dyDescent="0.2">
      <c r="A27" s="540" t="s">
        <v>2227</v>
      </c>
      <c r="B27" s="454">
        <v>0</v>
      </c>
      <c r="C27" s="1083"/>
      <c r="D27" s="454">
        <v>0</v>
      </c>
      <c r="E27" s="542"/>
      <c r="F27" s="454">
        <v>0</v>
      </c>
    </row>
    <row r="28" spans="1:6" x14ac:dyDescent="0.2">
      <c r="A28" s="540" t="s">
        <v>2228</v>
      </c>
      <c r="B28" s="454">
        <v>0</v>
      </c>
      <c r="C28" s="1083"/>
      <c r="D28" s="454">
        <v>0</v>
      </c>
      <c r="E28" s="542"/>
      <c r="F28" s="454">
        <v>0</v>
      </c>
    </row>
    <row r="29" spans="1:6" x14ac:dyDescent="0.2">
      <c r="A29" s="540" t="s">
        <v>2229</v>
      </c>
      <c r="B29" s="455">
        <v>0</v>
      </c>
      <c r="C29" s="1084"/>
      <c r="D29" s="455">
        <v>0</v>
      </c>
      <c r="E29" s="1084"/>
      <c r="F29" s="455">
        <v>0</v>
      </c>
    </row>
    <row r="30" spans="1:6" x14ac:dyDescent="0.2">
      <c r="A30" s="98"/>
      <c r="B30" s="95"/>
      <c r="C30" s="96"/>
      <c r="D30" s="95"/>
      <c r="F30" s="95"/>
    </row>
    <row r="31" spans="1:6" x14ac:dyDescent="0.2">
      <c r="A31" s="99" t="s">
        <v>902</v>
      </c>
    </row>
    <row r="32" spans="1:6" x14ac:dyDescent="0.2">
      <c r="A32" s="99" t="s">
        <v>930</v>
      </c>
      <c r="B32" s="101">
        <f>AVERAGE(B17:B29)</f>
        <v>0</v>
      </c>
      <c r="C32" s="100"/>
      <c r="D32" s="101">
        <f>AVERAGE(D17:D29)</f>
        <v>0</v>
      </c>
      <c r="E32" s="92"/>
      <c r="F32" s="101">
        <f>AVERAGE(F17:F29)</f>
        <v>0</v>
      </c>
    </row>
    <row r="33" spans="2:2" x14ac:dyDescent="0.2">
      <c r="B33" s="97"/>
    </row>
  </sheetData>
  <mergeCells count="6">
    <mergeCell ref="D9:F9"/>
    <mergeCell ref="D10:F10"/>
    <mergeCell ref="A1:F1"/>
    <mergeCell ref="A2:F2"/>
    <mergeCell ref="A3:F3"/>
    <mergeCell ref="A4:F4"/>
  </mergeCells>
  <phoneticPr fontId="10" type="noConversion"/>
  <printOptions horizontalCentered="1"/>
  <pageMargins left="0.25" right="0.25" top="1" bottom="0.25" header="0.5" footer="0.5"/>
  <pageSetup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44">
    <pageSetUpPr fitToPage="1"/>
  </sheetPr>
  <dimension ref="A1:W32"/>
  <sheetViews>
    <sheetView view="pageBreakPreview" zoomScale="85" zoomScaleNormal="85" zoomScaleSheetLayoutView="85" workbookViewId="0">
      <selection activeCell="F46" sqref="F46"/>
    </sheetView>
  </sheetViews>
  <sheetFormatPr defaultColWidth="11.33203125" defaultRowHeight="12.75" x14ac:dyDescent="0.2"/>
  <cols>
    <col min="1" max="1" width="17.1640625" style="512" bestFit="1" customWidth="1"/>
    <col min="2" max="3" width="17" style="512" bestFit="1" customWidth="1"/>
    <col min="4" max="6" width="17.6640625" style="512" bestFit="1" customWidth="1"/>
    <col min="7" max="14" width="17" style="512" bestFit="1" customWidth="1"/>
    <col min="15" max="15" width="20.83203125" style="512" customWidth="1"/>
    <col min="16" max="16" width="13.6640625" style="512" bestFit="1" customWidth="1"/>
    <col min="17" max="17" width="11.33203125" style="512"/>
    <col min="18" max="18" width="13.6640625" style="512" bestFit="1" customWidth="1"/>
    <col min="19" max="16384" width="11.33203125" style="512"/>
  </cols>
  <sheetData>
    <row r="1" spans="1:18" x14ac:dyDescent="0.2">
      <c r="A1" s="2115" t="s">
        <v>624</v>
      </c>
      <c r="B1" s="2115"/>
      <c r="C1" s="2115"/>
      <c r="D1" s="2115"/>
      <c r="E1" s="2115"/>
      <c r="F1" s="2115"/>
      <c r="G1" s="2115"/>
      <c r="H1" s="2115"/>
      <c r="I1" s="2115"/>
      <c r="J1" s="2115"/>
      <c r="K1" s="2115"/>
      <c r="L1" s="2115"/>
      <c r="M1" s="2115"/>
      <c r="N1" s="2115"/>
      <c r="O1" s="2115"/>
    </row>
    <row r="2" spans="1:18" x14ac:dyDescent="0.2">
      <c r="A2" s="2116" t="s">
        <v>2290</v>
      </c>
      <c r="B2" s="2115"/>
      <c r="C2" s="2115"/>
      <c r="D2" s="2115"/>
      <c r="E2" s="2115"/>
      <c r="F2" s="2115"/>
      <c r="G2" s="2115"/>
      <c r="H2" s="2115"/>
      <c r="I2" s="2115"/>
      <c r="J2" s="2115"/>
      <c r="K2" s="2115"/>
      <c r="L2" s="2115"/>
      <c r="M2" s="2115"/>
      <c r="N2" s="2115"/>
      <c r="O2" s="2115"/>
    </row>
    <row r="3" spans="1:18" x14ac:dyDescent="0.2">
      <c r="A3" s="2112" t="s">
        <v>900</v>
      </c>
      <c r="B3" s="2112"/>
      <c r="C3" s="2112"/>
      <c r="D3" s="2112"/>
      <c r="E3" s="2112"/>
      <c r="F3" s="2112"/>
      <c r="G3" s="2112"/>
      <c r="H3" s="2112"/>
      <c r="I3" s="2112"/>
      <c r="J3" s="2112"/>
      <c r="K3" s="2112"/>
      <c r="L3" s="2112"/>
      <c r="M3" s="2112"/>
      <c r="N3" s="2112"/>
      <c r="O3" s="2112"/>
    </row>
    <row r="4" spans="1:18" x14ac:dyDescent="0.2">
      <c r="A4" s="2117" t="str">
        <f>datef</f>
        <v>AS OF DECEMBER 31, 2017</v>
      </c>
      <c r="B4" s="2117"/>
      <c r="C4" s="2117"/>
      <c r="D4" s="2117"/>
      <c r="E4" s="2117"/>
      <c r="F4" s="2117"/>
      <c r="G4" s="2117"/>
      <c r="H4" s="2117"/>
      <c r="I4" s="2117"/>
      <c r="J4" s="2117"/>
      <c r="K4" s="2117"/>
      <c r="L4" s="2117"/>
      <c r="M4" s="2117"/>
      <c r="N4" s="2117"/>
      <c r="O4" s="2117"/>
    </row>
    <row r="5" spans="1:18" x14ac:dyDescent="0.2">
      <c r="A5" s="526"/>
      <c r="B5" s="526"/>
      <c r="C5" s="526"/>
      <c r="D5" s="526"/>
      <c r="E5" s="526"/>
      <c r="F5" s="526"/>
      <c r="G5" s="526"/>
      <c r="H5" s="526"/>
      <c r="I5" s="526"/>
      <c r="J5" s="526"/>
      <c r="K5" s="526"/>
      <c r="L5" s="526"/>
      <c r="M5" s="526"/>
      <c r="N5" s="526"/>
      <c r="O5" s="526"/>
    </row>
    <row r="6" spans="1:18" x14ac:dyDescent="0.2">
      <c r="A6" s="527"/>
      <c r="O6" s="250" t="s">
        <v>914</v>
      </c>
    </row>
    <row r="7" spans="1:18" x14ac:dyDescent="0.2">
      <c r="O7" s="1933" t="s">
        <v>2374</v>
      </c>
    </row>
    <row r="8" spans="1:18" x14ac:dyDescent="0.2">
      <c r="A8" s="529"/>
      <c r="B8" s="529"/>
      <c r="C8" s="529"/>
      <c r="D8" s="529"/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530" t="s">
        <v>915</v>
      </c>
      <c r="P8" s="528"/>
      <c r="Q8" s="528"/>
      <c r="R8" s="528"/>
    </row>
    <row r="9" spans="1:18" x14ac:dyDescent="0.2">
      <c r="A9" s="2114" t="s">
        <v>941</v>
      </c>
      <c r="B9" s="2114"/>
      <c r="C9" s="2114"/>
      <c r="D9" s="2114"/>
      <c r="E9" s="2114"/>
      <c r="F9" s="2114"/>
      <c r="G9" s="2114"/>
      <c r="H9" s="2114"/>
      <c r="I9" s="2114"/>
      <c r="J9" s="2114"/>
      <c r="K9" s="2114"/>
      <c r="L9" s="2114"/>
      <c r="M9" s="2114"/>
      <c r="N9" s="2114"/>
      <c r="O9" s="2114"/>
    </row>
    <row r="10" spans="1:18" x14ac:dyDescent="0.2">
      <c r="B10" s="90" t="s">
        <v>942</v>
      </c>
      <c r="C10" s="90" t="s">
        <v>943</v>
      </c>
      <c r="D10" s="90"/>
      <c r="E10" s="90" t="s">
        <v>944</v>
      </c>
      <c r="F10" s="90" t="s">
        <v>945</v>
      </c>
      <c r="G10" s="89" t="s">
        <v>946</v>
      </c>
      <c r="H10" s="89" t="s">
        <v>947</v>
      </c>
      <c r="I10" s="89" t="s">
        <v>948</v>
      </c>
      <c r="J10" s="89" t="s">
        <v>949</v>
      </c>
      <c r="K10" s="89" t="s">
        <v>947</v>
      </c>
      <c r="L10" s="89" t="s">
        <v>948</v>
      </c>
      <c r="M10" s="89" t="s">
        <v>1233</v>
      </c>
      <c r="N10" s="89" t="s">
        <v>920</v>
      </c>
      <c r="O10" s="89" t="s">
        <v>1234</v>
      </c>
    </row>
    <row r="11" spans="1:18" x14ac:dyDescent="0.2">
      <c r="B11" s="90" t="s">
        <v>950</v>
      </c>
      <c r="C11" s="90" t="s">
        <v>950</v>
      </c>
      <c r="D11" s="90" t="s">
        <v>1235</v>
      </c>
      <c r="E11" s="90" t="s">
        <v>951</v>
      </c>
      <c r="F11" s="90" t="s">
        <v>951</v>
      </c>
      <c r="G11" s="90" t="s">
        <v>952</v>
      </c>
      <c r="H11" s="90" t="s">
        <v>952</v>
      </c>
      <c r="I11" s="90" t="s">
        <v>922</v>
      </c>
      <c r="J11" s="90" t="s">
        <v>922</v>
      </c>
      <c r="K11" s="90" t="s">
        <v>1236</v>
      </c>
      <c r="L11" s="90" t="s">
        <v>1237</v>
      </c>
      <c r="M11" s="90" t="s">
        <v>1238</v>
      </c>
      <c r="N11" s="90" t="s">
        <v>1239</v>
      </c>
      <c r="O11" s="90" t="s">
        <v>1239</v>
      </c>
    </row>
    <row r="12" spans="1:18" x14ac:dyDescent="0.2">
      <c r="B12" s="90" t="s">
        <v>953</v>
      </c>
      <c r="C12" s="90" t="s">
        <v>953</v>
      </c>
      <c r="D12" s="90" t="s">
        <v>1240</v>
      </c>
      <c r="E12" s="90" t="s">
        <v>954</v>
      </c>
      <c r="F12" s="90" t="s">
        <v>954</v>
      </c>
      <c r="G12" s="90" t="s">
        <v>955</v>
      </c>
      <c r="H12" s="90" t="s">
        <v>955</v>
      </c>
      <c r="I12" s="90" t="s">
        <v>935</v>
      </c>
      <c r="J12" s="90" t="s">
        <v>935</v>
      </c>
      <c r="K12" s="90" t="s">
        <v>1241</v>
      </c>
      <c r="L12" s="90" t="s">
        <v>1241</v>
      </c>
      <c r="M12" s="90" t="s">
        <v>1242</v>
      </c>
      <c r="N12" s="90" t="s">
        <v>1243</v>
      </c>
      <c r="O12" s="90" t="s">
        <v>1244</v>
      </c>
    </row>
    <row r="13" spans="1:18" x14ac:dyDescent="0.2">
      <c r="B13" s="90" t="s">
        <v>956</v>
      </c>
      <c r="C13" s="90" t="s">
        <v>956</v>
      </c>
      <c r="D13" s="90" t="s">
        <v>1245</v>
      </c>
      <c r="E13" s="90" t="s">
        <v>957</v>
      </c>
      <c r="F13" s="90" t="s">
        <v>957</v>
      </c>
      <c r="G13" s="90" t="s">
        <v>958</v>
      </c>
      <c r="H13" s="90" t="s">
        <v>958</v>
      </c>
      <c r="I13" s="90" t="s">
        <v>927</v>
      </c>
      <c r="J13" s="90" t="s">
        <v>927</v>
      </c>
      <c r="K13" s="90"/>
      <c r="L13" s="90"/>
      <c r="M13" s="90" t="s">
        <v>956</v>
      </c>
      <c r="N13" s="90"/>
      <c r="O13" s="90" t="s">
        <v>1246</v>
      </c>
    </row>
    <row r="14" spans="1:18" x14ac:dyDescent="0.2">
      <c r="B14" s="102" t="s">
        <v>939</v>
      </c>
      <c r="C14" s="102" t="s">
        <v>940</v>
      </c>
      <c r="D14" s="102" t="s">
        <v>939</v>
      </c>
      <c r="E14" s="102" t="s">
        <v>939</v>
      </c>
      <c r="F14" s="102" t="s">
        <v>940</v>
      </c>
      <c r="G14" s="102" t="s">
        <v>939</v>
      </c>
      <c r="H14" s="102" t="s">
        <v>940</v>
      </c>
      <c r="I14" s="102" t="s">
        <v>939</v>
      </c>
      <c r="J14" s="102" t="s">
        <v>940</v>
      </c>
      <c r="K14" s="102" t="s">
        <v>939</v>
      </c>
      <c r="L14" s="102" t="s">
        <v>940</v>
      </c>
      <c r="M14" s="102" t="s">
        <v>940</v>
      </c>
      <c r="N14" s="102" t="s">
        <v>939</v>
      </c>
      <c r="O14" s="102" t="s">
        <v>939</v>
      </c>
    </row>
    <row r="15" spans="1:18" x14ac:dyDescent="0.2">
      <c r="B15" s="93" t="s">
        <v>639</v>
      </c>
      <c r="C15" s="93" t="s">
        <v>639</v>
      </c>
      <c r="D15" s="93" t="s">
        <v>639</v>
      </c>
      <c r="E15" s="93" t="s">
        <v>639</v>
      </c>
      <c r="F15" s="93" t="s">
        <v>639</v>
      </c>
      <c r="G15" s="90" t="s">
        <v>639</v>
      </c>
      <c r="H15" s="90" t="s">
        <v>639</v>
      </c>
      <c r="I15" s="93" t="s">
        <v>639</v>
      </c>
      <c r="J15" s="93" t="s">
        <v>639</v>
      </c>
      <c r="K15" s="90" t="s">
        <v>639</v>
      </c>
      <c r="L15" s="93" t="s">
        <v>639</v>
      </c>
      <c r="M15" s="90" t="s">
        <v>639</v>
      </c>
      <c r="N15" s="93" t="s">
        <v>639</v>
      </c>
      <c r="O15" s="93" t="s">
        <v>639</v>
      </c>
    </row>
    <row r="16" spans="1:18" x14ac:dyDescent="0.2">
      <c r="B16" s="93"/>
      <c r="C16" s="93"/>
      <c r="D16" s="94"/>
      <c r="E16" s="93"/>
      <c r="F16" s="93"/>
    </row>
    <row r="17" spans="1:23" x14ac:dyDescent="0.2">
      <c r="A17" s="540" t="s">
        <v>2219</v>
      </c>
      <c r="B17" s="534">
        <v>-67276602.269248024</v>
      </c>
      <c r="C17" s="534">
        <v>-13314547.989271183</v>
      </c>
      <c r="D17" s="536">
        <f>$D$32</f>
        <v>256740.99923816323</v>
      </c>
      <c r="E17" s="453">
        <v>-5696412.9900000002</v>
      </c>
      <c r="F17" s="453">
        <v>-1069414</v>
      </c>
      <c r="G17" s="453">
        <v>-451832</v>
      </c>
      <c r="H17" s="453">
        <v>-84825</v>
      </c>
      <c r="I17" s="537">
        <v>1487528</v>
      </c>
      <c r="J17" s="537">
        <v>279263</v>
      </c>
      <c r="K17" s="453">
        <v>7464</v>
      </c>
      <c r="L17" s="537">
        <v>1364</v>
      </c>
      <c r="M17" s="534">
        <v>3691976.670953799</v>
      </c>
      <c r="N17" s="537">
        <v>-98478</v>
      </c>
      <c r="O17" s="537">
        <v>-116753</v>
      </c>
      <c r="P17" s="533"/>
      <c r="R17" s="533"/>
    </row>
    <row r="18" spans="1:23" x14ac:dyDescent="0.2">
      <c r="A18" s="540" t="s">
        <v>2220</v>
      </c>
      <c r="B18" s="534">
        <v>-67742985.936798453</v>
      </c>
      <c r="C18" s="534">
        <v>-13398043.645232199</v>
      </c>
      <c r="D18" s="536">
        <f t="shared" ref="D18:D29" si="0">$D$32</f>
        <v>256740.99923816323</v>
      </c>
      <c r="E18" s="453">
        <v>-5720939.9900000002</v>
      </c>
      <c r="F18" s="453">
        <v>-1074019.2</v>
      </c>
      <c r="G18" s="453">
        <v>-453201.83</v>
      </c>
      <c r="H18" s="453">
        <v>-85082.36</v>
      </c>
      <c r="I18" s="537">
        <v>1488662.27</v>
      </c>
      <c r="J18" s="537">
        <v>279475.92</v>
      </c>
      <c r="K18" s="453">
        <v>7186.35</v>
      </c>
      <c r="L18" s="537">
        <v>1312.86</v>
      </c>
      <c r="M18" s="534">
        <v>3751046.1725409403</v>
      </c>
      <c r="N18" s="537">
        <v>-98394</v>
      </c>
      <c r="O18" s="537">
        <v>-129991</v>
      </c>
      <c r="P18" s="533"/>
      <c r="R18" s="533"/>
    </row>
    <row r="19" spans="1:23" x14ac:dyDescent="0.2">
      <c r="A19" s="540" t="s">
        <v>2209</v>
      </c>
      <c r="B19" s="534">
        <v>-68209369.604348883</v>
      </c>
      <c r="C19" s="534">
        <v>-13481539.301193215</v>
      </c>
      <c r="D19" s="536">
        <f t="shared" si="0"/>
        <v>256740.99923816323</v>
      </c>
      <c r="E19" s="453">
        <v>-5745466.9900000002</v>
      </c>
      <c r="F19" s="453">
        <v>-1078624.2</v>
      </c>
      <c r="G19" s="453">
        <v>-454571.83</v>
      </c>
      <c r="H19" s="453">
        <v>-85339.36</v>
      </c>
      <c r="I19" s="537">
        <v>1489796.27</v>
      </c>
      <c r="J19" s="537">
        <v>279688.92</v>
      </c>
      <c r="K19" s="453">
        <v>6908.35</v>
      </c>
      <c r="L19" s="537">
        <v>1261.8599999999999</v>
      </c>
      <c r="M19" s="534">
        <v>3810115.6741280816</v>
      </c>
      <c r="N19" s="537">
        <v>-98310</v>
      </c>
      <c r="O19" s="537">
        <v>-143229</v>
      </c>
      <c r="P19" s="533"/>
      <c r="R19" s="533"/>
    </row>
    <row r="20" spans="1:23" x14ac:dyDescent="0.2">
      <c r="A20" s="540" t="s">
        <v>2210</v>
      </c>
      <c r="B20" s="534">
        <v>-68675753.271899313</v>
      </c>
      <c r="C20" s="534">
        <v>-13565034.957154231</v>
      </c>
      <c r="D20" s="536">
        <f t="shared" si="0"/>
        <v>256740.99923816323</v>
      </c>
      <c r="E20" s="453">
        <v>-5769964.9900000002</v>
      </c>
      <c r="F20" s="453">
        <v>-1083223.2</v>
      </c>
      <c r="G20" s="453">
        <v>-455939.83</v>
      </c>
      <c r="H20" s="453">
        <v>-85596.36</v>
      </c>
      <c r="I20" s="537">
        <v>1490929.27</v>
      </c>
      <c r="J20" s="537">
        <v>279901.92</v>
      </c>
      <c r="K20" s="453">
        <v>6631.35</v>
      </c>
      <c r="L20" s="537">
        <v>1210.8599999999999</v>
      </c>
      <c r="M20" s="534">
        <v>3869185.175715223</v>
      </c>
      <c r="N20" s="537">
        <v>-98226</v>
      </c>
      <c r="O20" s="537">
        <v>-156452</v>
      </c>
      <c r="P20" s="533"/>
      <c r="R20" s="533"/>
    </row>
    <row r="21" spans="1:23" x14ac:dyDescent="0.2">
      <c r="A21" s="540" t="s">
        <v>2221</v>
      </c>
      <c r="B21" s="534">
        <v>-69142136.939449742</v>
      </c>
      <c r="C21" s="534">
        <v>-13648530.613115247</v>
      </c>
      <c r="D21" s="536">
        <f t="shared" si="0"/>
        <v>256740.99923816323</v>
      </c>
      <c r="E21" s="453">
        <v>-5794462.9900000002</v>
      </c>
      <c r="F21" s="453">
        <v>-1087822.2</v>
      </c>
      <c r="G21" s="453">
        <v>-457307.83</v>
      </c>
      <c r="H21" s="453">
        <v>-85853.36</v>
      </c>
      <c r="I21" s="537">
        <v>1492062.27</v>
      </c>
      <c r="J21" s="537">
        <v>280114.92</v>
      </c>
      <c r="K21" s="453">
        <v>6354.35</v>
      </c>
      <c r="L21" s="537">
        <v>1159.8599999999999</v>
      </c>
      <c r="M21" s="534">
        <v>3928254.6773023643</v>
      </c>
      <c r="N21" s="537">
        <v>-98142</v>
      </c>
      <c r="O21" s="537">
        <v>-169675</v>
      </c>
      <c r="P21" s="533"/>
      <c r="R21" s="533"/>
    </row>
    <row r="22" spans="1:23" x14ac:dyDescent="0.2">
      <c r="A22" s="540" t="s">
        <v>2222</v>
      </c>
      <c r="B22" s="534">
        <v>-69608520.607000172</v>
      </c>
      <c r="C22" s="534">
        <v>-13732026.269076264</v>
      </c>
      <c r="D22" s="536">
        <f t="shared" si="0"/>
        <v>256740.99923816323</v>
      </c>
      <c r="E22" s="453">
        <v>-5818960.9900000002</v>
      </c>
      <c r="F22" s="453">
        <v>-1092421.2</v>
      </c>
      <c r="G22" s="453">
        <v>-458675.83</v>
      </c>
      <c r="H22" s="453">
        <v>-86110.36</v>
      </c>
      <c r="I22" s="537">
        <v>1493195.27</v>
      </c>
      <c r="J22" s="537">
        <v>280327.92</v>
      </c>
      <c r="K22" s="453">
        <v>6077.35</v>
      </c>
      <c r="L22" s="537">
        <v>1108.8599999999999</v>
      </c>
      <c r="M22" s="534">
        <v>3987324.1788895056</v>
      </c>
      <c r="N22" s="537">
        <v>-98058</v>
      </c>
      <c r="O22" s="537">
        <v>-182898</v>
      </c>
      <c r="P22" s="533"/>
      <c r="R22" s="533"/>
    </row>
    <row r="23" spans="1:23" x14ac:dyDescent="0.2">
      <c r="A23" s="540" t="s">
        <v>2223</v>
      </c>
      <c r="B23" s="534">
        <v>-70074904.274550602</v>
      </c>
      <c r="C23" s="534">
        <v>-13815521.92503728</v>
      </c>
      <c r="D23" s="536">
        <f t="shared" si="0"/>
        <v>256740.99923816323</v>
      </c>
      <c r="E23" s="453">
        <v>-5843458.9900000002</v>
      </c>
      <c r="F23" s="453">
        <v>-1097020.2</v>
      </c>
      <c r="G23" s="453">
        <v>-460043.83</v>
      </c>
      <c r="H23" s="453">
        <v>-86367.360000000001</v>
      </c>
      <c r="I23" s="537">
        <v>1494328.27</v>
      </c>
      <c r="J23" s="537">
        <v>280540.92</v>
      </c>
      <c r="K23" s="453">
        <v>5800.35</v>
      </c>
      <c r="L23" s="537">
        <v>1057.8599999999999</v>
      </c>
      <c r="M23" s="534">
        <v>4046393.6804766469</v>
      </c>
      <c r="N23" s="537">
        <v>-97974</v>
      </c>
      <c r="O23" s="537">
        <v>-196121</v>
      </c>
      <c r="P23" s="533"/>
      <c r="R23" s="533"/>
    </row>
    <row r="24" spans="1:23" x14ac:dyDescent="0.2">
      <c r="A24" s="540" t="s">
        <v>2224</v>
      </c>
      <c r="B24" s="534">
        <v>-70541287.942101032</v>
      </c>
      <c r="C24" s="534">
        <v>-13899017.580998296</v>
      </c>
      <c r="D24" s="536">
        <f t="shared" si="0"/>
        <v>256740.99923816323</v>
      </c>
      <c r="E24" s="453">
        <v>-5867956.9900000002</v>
      </c>
      <c r="F24" s="453">
        <v>-1101619.2</v>
      </c>
      <c r="G24" s="453">
        <v>-461411.83</v>
      </c>
      <c r="H24" s="453">
        <v>-86624.36</v>
      </c>
      <c r="I24" s="537">
        <v>1495461.27</v>
      </c>
      <c r="J24" s="537">
        <v>280753.91999999998</v>
      </c>
      <c r="K24" s="453">
        <v>5523.35</v>
      </c>
      <c r="L24" s="537">
        <v>1006.8599999999999</v>
      </c>
      <c r="M24" s="534">
        <v>4105463.1820637882</v>
      </c>
      <c r="N24" s="537">
        <v>-97890</v>
      </c>
      <c r="O24" s="537">
        <v>-209344</v>
      </c>
      <c r="P24" s="533"/>
      <c r="R24" s="533"/>
    </row>
    <row r="25" spans="1:23" x14ac:dyDescent="0.2">
      <c r="A25" s="540" t="s">
        <v>2225</v>
      </c>
      <c r="B25" s="534">
        <v>-71007671.609651461</v>
      </c>
      <c r="C25" s="534">
        <v>-13982513.236959312</v>
      </c>
      <c r="D25" s="536">
        <f t="shared" si="0"/>
        <v>256740.99923816323</v>
      </c>
      <c r="E25" s="453">
        <v>-5892454.9900000002</v>
      </c>
      <c r="F25" s="453">
        <v>-1106218.2</v>
      </c>
      <c r="G25" s="453">
        <v>-462779.83</v>
      </c>
      <c r="H25" s="453">
        <v>-86881.36</v>
      </c>
      <c r="I25" s="537">
        <v>1496594.27</v>
      </c>
      <c r="J25" s="537">
        <v>280966.92</v>
      </c>
      <c r="K25" s="453">
        <v>5246.35</v>
      </c>
      <c r="L25" s="537">
        <v>955.8599999999999</v>
      </c>
      <c r="M25" s="534">
        <v>4164532.6836509295</v>
      </c>
      <c r="N25" s="537">
        <v>-97806</v>
      </c>
      <c r="O25" s="537">
        <v>-222567</v>
      </c>
      <c r="P25" s="533"/>
      <c r="R25" s="533"/>
    </row>
    <row r="26" spans="1:23" x14ac:dyDescent="0.2">
      <c r="A26" s="540" t="s">
        <v>2226</v>
      </c>
      <c r="B26" s="534">
        <v>-71474055.277201891</v>
      </c>
      <c r="C26" s="534">
        <v>-14066008.892920328</v>
      </c>
      <c r="D26" s="536">
        <f t="shared" si="0"/>
        <v>256740.99923816323</v>
      </c>
      <c r="E26" s="453">
        <v>-5916952.9900000002</v>
      </c>
      <c r="F26" s="453">
        <v>-1110817.2</v>
      </c>
      <c r="G26" s="453">
        <v>-464147.83</v>
      </c>
      <c r="H26" s="453">
        <v>-87138.36</v>
      </c>
      <c r="I26" s="537">
        <v>1497727.27</v>
      </c>
      <c r="J26" s="537">
        <v>281179.92</v>
      </c>
      <c r="K26" s="453">
        <v>4969.3500000000004</v>
      </c>
      <c r="L26" s="537">
        <v>904.8599999999999</v>
      </c>
      <c r="M26" s="534">
        <v>4223602.1852380708</v>
      </c>
      <c r="N26" s="537">
        <v>-97722</v>
      </c>
      <c r="O26" s="537">
        <v>-235790</v>
      </c>
      <c r="P26" s="533"/>
      <c r="R26" s="533"/>
    </row>
    <row r="27" spans="1:23" x14ac:dyDescent="0.2">
      <c r="A27" s="540" t="s">
        <v>2227</v>
      </c>
      <c r="B27" s="534">
        <v>-71940438.944752321</v>
      </c>
      <c r="C27" s="534">
        <v>-14149504.548881344</v>
      </c>
      <c r="D27" s="536">
        <f t="shared" si="0"/>
        <v>256740.99923816323</v>
      </c>
      <c r="E27" s="453">
        <v>-5941450.9900000002</v>
      </c>
      <c r="F27" s="454">
        <v>-1115416.2</v>
      </c>
      <c r="G27" s="454">
        <v>-465515.83</v>
      </c>
      <c r="H27" s="454">
        <v>-87395.36</v>
      </c>
      <c r="I27" s="538">
        <v>1498860.27</v>
      </c>
      <c r="J27" s="538">
        <v>281392.92</v>
      </c>
      <c r="K27" s="454">
        <v>4692.3500000000004</v>
      </c>
      <c r="L27" s="538">
        <v>853.8599999999999</v>
      </c>
      <c r="M27" s="534">
        <v>4282671.6868252121</v>
      </c>
      <c r="N27" s="538">
        <v>-97638</v>
      </c>
      <c r="O27" s="538">
        <v>-249013</v>
      </c>
      <c r="P27" s="533"/>
      <c r="R27" s="533"/>
    </row>
    <row r="28" spans="1:23" x14ac:dyDescent="0.2">
      <c r="A28" s="540" t="s">
        <v>2228</v>
      </c>
      <c r="B28" s="534">
        <v>-72406822.61230275</v>
      </c>
      <c r="C28" s="534">
        <v>-14233000.204842361</v>
      </c>
      <c r="D28" s="536">
        <f t="shared" si="0"/>
        <v>256740.99923816323</v>
      </c>
      <c r="E28" s="453">
        <v>-5965977.9900000002</v>
      </c>
      <c r="F28" s="454">
        <v>-1120021.2</v>
      </c>
      <c r="G28" s="454">
        <v>-466885.83</v>
      </c>
      <c r="H28" s="454">
        <v>-87652.36</v>
      </c>
      <c r="I28" s="538">
        <v>1499994.27</v>
      </c>
      <c r="J28" s="538">
        <v>281605.92</v>
      </c>
      <c r="K28" s="454">
        <v>4414.3500000000004</v>
      </c>
      <c r="L28" s="538">
        <v>802.8599999999999</v>
      </c>
      <c r="M28" s="534">
        <v>4341741.1884123534</v>
      </c>
      <c r="N28" s="538">
        <v>-97554</v>
      </c>
      <c r="O28" s="538">
        <v>-262251</v>
      </c>
      <c r="P28" s="533"/>
      <c r="Q28" s="528"/>
      <c r="R28" s="533"/>
      <c r="T28" s="528"/>
      <c r="U28" s="528"/>
      <c r="V28" s="528"/>
      <c r="W28" s="528"/>
    </row>
    <row r="29" spans="1:23" x14ac:dyDescent="0.2">
      <c r="A29" s="540" t="s">
        <v>2229</v>
      </c>
      <c r="B29" s="535">
        <v>-72873206.27985318</v>
      </c>
      <c r="C29" s="535">
        <v>-14316495.860803377</v>
      </c>
      <c r="D29" s="1934">
        <f t="shared" si="0"/>
        <v>256740.99923816323</v>
      </c>
      <c r="E29" s="539">
        <v>-5990504.9900000002</v>
      </c>
      <c r="F29" s="455">
        <v>-1124626.2</v>
      </c>
      <c r="G29" s="455">
        <v>-468255.83</v>
      </c>
      <c r="H29" s="455">
        <v>-87909.36</v>
      </c>
      <c r="I29" s="455">
        <v>1501128.27</v>
      </c>
      <c r="J29" s="455">
        <v>281818.92</v>
      </c>
      <c r="K29" s="455">
        <v>4136.3500000000004</v>
      </c>
      <c r="L29" s="455">
        <v>751.8599999999999</v>
      </c>
      <c r="M29" s="535">
        <v>4400810.6899994947</v>
      </c>
      <c r="N29" s="455">
        <v>-97470</v>
      </c>
      <c r="O29" s="455">
        <v>-275489</v>
      </c>
      <c r="P29" s="533"/>
      <c r="R29" s="533"/>
    </row>
    <row r="30" spans="1:23" x14ac:dyDescent="0.2">
      <c r="A30" s="521"/>
      <c r="B30" s="523"/>
      <c r="C30" s="523"/>
      <c r="D30" s="522"/>
      <c r="E30" s="523"/>
      <c r="F30" s="523"/>
      <c r="G30" s="523"/>
      <c r="M30" s="523"/>
      <c r="N30" s="533"/>
      <c r="O30" s="533"/>
    </row>
    <row r="31" spans="1:23" x14ac:dyDescent="0.2">
      <c r="A31" s="99" t="s">
        <v>902</v>
      </c>
      <c r="N31" s="533"/>
      <c r="O31" s="533"/>
    </row>
    <row r="32" spans="1:23" x14ac:dyDescent="0.2">
      <c r="A32" s="99" t="s">
        <v>930</v>
      </c>
      <c r="B32" s="101">
        <f t="shared" ref="B32:O32" si="1">AVERAGE(B17:B29)</f>
        <v>-70074904.274550617</v>
      </c>
      <c r="C32" s="101">
        <f t="shared" si="1"/>
        <v>-13815521.925037278</v>
      </c>
      <c r="D32" s="101">
        <f>-'ADIT Calc-Do not print'!I83</f>
        <v>256740.99923816323</v>
      </c>
      <c r="E32" s="101">
        <f t="shared" si="1"/>
        <v>-5843458.9900000002</v>
      </c>
      <c r="F32" s="101">
        <f t="shared" si="1"/>
        <v>-1097020.1846153843</v>
      </c>
      <c r="G32" s="101">
        <f t="shared" si="1"/>
        <v>-460043.84307692316</v>
      </c>
      <c r="H32" s="101">
        <f t="shared" si="1"/>
        <v>-86367.332307692297</v>
      </c>
      <c r="I32" s="101">
        <f t="shared" si="1"/>
        <v>1494328.249230769</v>
      </c>
      <c r="J32" s="101">
        <f t="shared" si="1"/>
        <v>280540.92615384609</v>
      </c>
      <c r="K32" s="101">
        <f t="shared" si="1"/>
        <v>5800.3230769230777</v>
      </c>
      <c r="L32" s="101">
        <f t="shared" si="1"/>
        <v>1057.8707692307694</v>
      </c>
      <c r="M32" s="101">
        <f t="shared" si="1"/>
        <v>4046393.6804766459</v>
      </c>
      <c r="N32" s="101">
        <f t="shared" si="1"/>
        <v>-97974</v>
      </c>
      <c r="O32" s="101">
        <f t="shared" si="1"/>
        <v>-196121</v>
      </c>
    </row>
  </sheetData>
  <mergeCells count="5">
    <mergeCell ref="A9:O9"/>
    <mergeCell ref="A1:O1"/>
    <mergeCell ref="A2:O2"/>
    <mergeCell ref="A3:O3"/>
    <mergeCell ref="A4:O4"/>
  </mergeCells>
  <phoneticPr fontId="0" type="noConversion"/>
  <pageMargins left="1" right="0.5" top="1" bottom="0.75" header="0.3" footer="0.3"/>
  <pageSetup scale="57" fitToHeight="0" orientation="landscape" r:id="rId1"/>
  <headerFooter>
    <oddHeader>&amp;R&amp;"Arial,Regular"&amp;10KY PSC Case No. 2016-00162, Attachment A to Staff 3-4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42">
    <pageSetUpPr fitToPage="1"/>
  </sheetPr>
  <dimension ref="A1:L32"/>
  <sheetViews>
    <sheetView view="pageBreakPreview" zoomScale="85" zoomScaleNormal="90" zoomScaleSheetLayoutView="85" workbookViewId="0">
      <selection activeCell="F46" sqref="F46"/>
    </sheetView>
  </sheetViews>
  <sheetFormatPr defaultColWidth="11.33203125" defaultRowHeight="12.75" x14ac:dyDescent="0.2"/>
  <cols>
    <col min="1" max="1" width="18.6640625" style="512" customWidth="1"/>
    <col min="2" max="2" width="18.6640625" style="512" bestFit="1" customWidth="1"/>
    <col min="3" max="4" width="19.33203125" style="512" bestFit="1" customWidth="1"/>
    <col min="5" max="5" width="17.83203125" style="512" bestFit="1" customWidth="1"/>
    <col min="6" max="6" width="19.33203125" style="512" bestFit="1" customWidth="1"/>
    <col min="7" max="16384" width="11.33203125" style="512"/>
  </cols>
  <sheetData>
    <row r="1" spans="1:12" x14ac:dyDescent="0.2">
      <c r="A1" s="2115" t="s">
        <v>624</v>
      </c>
      <c r="B1" s="2115"/>
      <c r="C1" s="2115"/>
      <c r="D1" s="2115"/>
      <c r="E1" s="2115"/>
      <c r="F1" s="2115"/>
    </row>
    <row r="2" spans="1:12" x14ac:dyDescent="0.2">
      <c r="A2" s="2116" t="s">
        <v>2290</v>
      </c>
      <c r="B2" s="2115"/>
      <c r="C2" s="2115"/>
      <c r="D2" s="2115"/>
      <c r="E2" s="2115"/>
      <c r="F2" s="2115"/>
    </row>
    <row r="3" spans="1:12" x14ac:dyDescent="0.2">
      <c r="A3" s="2112" t="s">
        <v>900</v>
      </c>
      <c r="B3" s="2112"/>
      <c r="C3" s="2112"/>
      <c r="D3" s="2112"/>
      <c r="E3" s="2112"/>
      <c r="F3" s="2112"/>
    </row>
    <row r="4" spans="1:12" x14ac:dyDescent="0.2">
      <c r="A4" s="2119" t="str">
        <f>datef</f>
        <v>AS OF DECEMBER 31, 2017</v>
      </c>
      <c r="B4" s="2119"/>
      <c r="C4" s="2119"/>
      <c r="D4" s="2119"/>
      <c r="E4" s="2119"/>
      <c r="F4" s="2119"/>
    </row>
    <row r="5" spans="1:12" x14ac:dyDescent="0.2">
      <c r="A5" s="526"/>
      <c r="B5" s="526"/>
      <c r="C5" s="526"/>
      <c r="D5" s="526"/>
      <c r="E5" s="526"/>
      <c r="F5" s="526"/>
    </row>
    <row r="6" spans="1:12" x14ac:dyDescent="0.2">
      <c r="A6" s="527"/>
      <c r="E6" s="250"/>
      <c r="F6" s="250" t="s">
        <v>914</v>
      </c>
    </row>
    <row r="7" spans="1:12" x14ac:dyDescent="0.2">
      <c r="E7" s="250"/>
      <c r="F7" s="1933" t="s">
        <v>2375</v>
      </c>
      <c r="G7" s="528"/>
    </row>
    <row r="8" spans="1:12" x14ac:dyDescent="0.2">
      <c r="A8" s="529"/>
      <c r="B8" s="529"/>
      <c r="C8" s="529"/>
      <c r="D8" s="529"/>
      <c r="E8" s="530"/>
      <c r="F8" s="530" t="s">
        <v>915</v>
      </c>
      <c r="G8" s="528"/>
      <c r="H8" s="528"/>
      <c r="I8" s="528"/>
      <c r="J8" s="528"/>
      <c r="K8" s="528"/>
      <c r="L8" s="528"/>
    </row>
    <row r="9" spans="1:12" x14ac:dyDescent="0.2">
      <c r="A9" s="528"/>
      <c r="B9" s="2118" t="s">
        <v>903</v>
      </c>
      <c r="C9" s="2118"/>
      <c r="D9" s="2118"/>
      <c r="E9" s="2118"/>
      <c r="F9" s="2118"/>
      <c r="G9" s="528"/>
      <c r="H9" s="528"/>
      <c r="I9" s="528"/>
      <c r="J9" s="528"/>
      <c r="K9" s="528"/>
      <c r="L9" s="528"/>
    </row>
    <row r="10" spans="1:12" x14ac:dyDescent="0.2">
      <c r="B10" s="90" t="s">
        <v>931</v>
      </c>
      <c r="C10" s="90" t="s">
        <v>932</v>
      </c>
      <c r="D10" s="90" t="s">
        <v>933</v>
      </c>
      <c r="E10" s="90" t="s">
        <v>934</v>
      </c>
      <c r="F10" s="90" t="s">
        <v>1228</v>
      </c>
      <c r="G10" s="528"/>
    </row>
    <row r="11" spans="1:12" x14ac:dyDescent="0.2">
      <c r="B11" s="90" t="s">
        <v>922</v>
      </c>
      <c r="C11" s="90" t="s">
        <v>922</v>
      </c>
      <c r="D11" s="90" t="s">
        <v>1229</v>
      </c>
      <c r="E11" s="90" t="s">
        <v>1230</v>
      </c>
      <c r="F11" s="90" t="s">
        <v>1231</v>
      </c>
      <c r="G11" s="528"/>
    </row>
    <row r="12" spans="1:12" x14ac:dyDescent="0.2">
      <c r="B12" s="90" t="s">
        <v>935</v>
      </c>
      <c r="C12" s="90" t="s">
        <v>935</v>
      </c>
      <c r="D12" s="90" t="s">
        <v>936</v>
      </c>
      <c r="E12" s="90" t="s">
        <v>936</v>
      </c>
      <c r="F12" s="90" t="s">
        <v>1232</v>
      </c>
    </row>
    <row r="13" spans="1:12" x14ac:dyDescent="0.2">
      <c r="B13" s="90" t="s">
        <v>937</v>
      </c>
      <c r="C13" s="90" t="s">
        <v>937</v>
      </c>
      <c r="D13" s="90" t="s">
        <v>938</v>
      </c>
      <c r="E13" s="90" t="s">
        <v>938</v>
      </c>
      <c r="F13" s="90"/>
    </row>
    <row r="14" spans="1:12" x14ac:dyDescent="0.2">
      <c r="B14" s="102" t="s">
        <v>939</v>
      </c>
      <c r="C14" s="102" t="s">
        <v>940</v>
      </c>
      <c r="D14" s="102" t="s">
        <v>939</v>
      </c>
      <c r="E14" s="102" t="s">
        <v>940</v>
      </c>
      <c r="F14" s="102" t="s">
        <v>939</v>
      </c>
    </row>
    <row r="15" spans="1:12" x14ac:dyDescent="0.2">
      <c r="B15" s="93" t="s">
        <v>639</v>
      </c>
      <c r="C15" s="93" t="s">
        <v>639</v>
      </c>
      <c r="D15" s="93" t="s">
        <v>639</v>
      </c>
      <c r="E15" s="93" t="s">
        <v>639</v>
      </c>
      <c r="F15" s="93" t="s">
        <v>639</v>
      </c>
    </row>
    <row r="16" spans="1:12" x14ac:dyDescent="0.2">
      <c r="B16" s="93"/>
      <c r="C16" s="93"/>
      <c r="D16" s="93"/>
      <c r="E16" s="93"/>
      <c r="F16" s="93"/>
    </row>
    <row r="17" spans="1:6" x14ac:dyDescent="0.2">
      <c r="A17" s="540" t="s">
        <v>2219</v>
      </c>
      <c r="B17" s="453">
        <v>1169067.7</v>
      </c>
      <c r="C17" s="453">
        <v>219477.39</v>
      </c>
      <c r="D17" s="453">
        <v>2289737.11</v>
      </c>
      <c r="E17" s="453">
        <v>417578</v>
      </c>
      <c r="F17" s="453">
        <v>1363496.65</v>
      </c>
    </row>
    <row r="18" spans="1:6" x14ac:dyDescent="0.2">
      <c r="A18" s="540" t="s">
        <v>2220</v>
      </c>
      <c r="B18" s="453">
        <v>1177519.7</v>
      </c>
      <c r="C18" s="453">
        <v>221064.39</v>
      </c>
      <c r="D18" s="453">
        <v>2285762.11</v>
      </c>
      <c r="E18" s="453">
        <v>416853.10000000003</v>
      </c>
      <c r="F18" s="453">
        <v>1345917.65</v>
      </c>
    </row>
    <row r="19" spans="1:6" x14ac:dyDescent="0.2">
      <c r="A19" s="540" t="s">
        <v>2209</v>
      </c>
      <c r="B19" s="453">
        <v>1185971.7</v>
      </c>
      <c r="C19" s="453">
        <v>222651.39</v>
      </c>
      <c r="D19" s="453">
        <v>2281787.11</v>
      </c>
      <c r="E19" s="453">
        <v>416128.10000000003</v>
      </c>
      <c r="F19" s="453">
        <v>1328338.6499999999</v>
      </c>
    </row>
    <row r="20" spans="1:6" x14ac:dyDescent="0.2">
      <c r="A20" s="540" t="s">
        <v>2210</v>
      </c>
      <c r="B20" s="453">
        <v>1194412.7</v>
      </c>
      <c r="C20" s="453">
        <v>224236.39</v>
      </c>
      <c r="D20" s="453">
        <v>2277817.11</v>
      </c>
      <c r="E20" s="453">
        <v>415404.10000000003</v>
      </c>
      <c r="F20" s="453">
        <v>1310780.6499999999</v>
      </c>
    </row>
    <row r="21" spans="1:6" x14ac:dyDescent="0.2">
      <c r="A21" s="540" t="s">
        <v>2221</v>
      </c>
      <c r="B21" s="453">
        <v>1202853.7</v>
      </c>
      <c r="C21" s="453">
        <v>225821.39</v>
      </c>
      <c r="D21" s="453">
        <v>2273847.11</v>
      </c>
      <c r="E21" s="453">
        <v>414680.10000000003</v>
      </c>
      <c r="F21" s="453">
        <v>1293222.6499999999</v>
      </c>
    </row>
    <row r="22" spans="1:6" x14ac:dyDescent="0.2">
      <c r="A22" s="540" t="s">
        <v>2222</v>
      </c>
      <c r="B22" s="453">
        <v>1211294.7</v>
      </c>
      <c r="C22" s="453">
        <v>227406.39</v>
      </c>
      <c r="D22" s="453">
        <v>2269877.11</v>
      </c>
      <c r="E22" s="453">
        <v>413956.10000000003</v>
      </c>
      <c r="F22" s="453">
        <v>1275664.6499999999</v>
      </c>
    </row>
    <row r="23" spans="1:6" x14ac:dyDescent="0.2">
      <c r="A23" s="540" t="s">
        <v>2223</v>
      </c>
      <c r="B23" s="453">
        <v>1219735.7</v>
      </c>
      <c r="C23" s="453">
        <v>228991.39</v>
      </c>
      <c r="D23" s="453">
        <v>2265907.11</v>
      </c>
      <c r="E23" s="453">
        <v>413232.10000000003</v>
      </c>
      <c r="F23" s="453">
        <v>1258106.6499999999</v>
      </c>
    </row>
    <row r="24" spans="1:6" x14ac:dyDescent="0.2">
      <c r="A24" s="540" t="s">
        <v>2224</v>
      </c>
      <c r="B24" s="453">
        <v>1228176.7</v>
      </c>
      <c r="C24" s="453">
        <v>230576.39</v>
      </c>
      <c r="D24" s="453">
        <v>2261937.11</v>
      </c>
      <c r="E24" s="453">
        <v>412508.10000000003</v>
      </c>
      <c r="F24" s="453">
        <v>1240548.6499999999</v>
      </c>
    </row>
    <row r="25" spans="1:6" x14ac:dyDescent="0.2">
      <c r="A25" s="540" t="s">
        <v>2225</v>
      </c>
      <c r="B25" s="453">
        <v>1236617.7</v>
      </c>
      <c r="C25" s="453">
        <v>232161.39</v>
      </c>
      <c r="D25" s="453">
        <v>2257967.11</v>
      </c>
      <c r="E25" s="453">
        <v>411784.10000000003</v>
      </c>
      <c r="F25" s="453">
        <v>1222990.6499999999</v>
      </c>
    </row>
    <row r="26" spans="1:6" x14ac:dyDescent="0.2">
      <c r="A26" s="540" t="s">
        <v>2226</v>
      </c>
      <c r="B26" s="453">
        <v>1245058.7</v>
      </c>
      <c r="C26" s="453">
        <v>233746.39</v>
      </c>
      <c r="D26" s="453">
        <v>2253997.11</v>
      </c>
      <c r="E26" s="453">
        <v>411060.10000000003</v>
      </c>
      <c r="F26" s="453">
        <v>1205432.6499999999</v>
      </c>
    </row>
    <row r="27" spans="1:6" x14ac:dyDescent="0.2">
      <c r="A27" s="540" t="s">
        <v>2227</v>
      </c>
      <c r="B27" s="454">
        <v>1253499.7</v>
      </c>
      <c r="C27" s="454">
        <v>235331.39</v>
      </c>
      <c r="D27" s="454">
        <v>2250027.11</v>
      </c>
      <c r="E27" s="454">
        <v>410336.10000000003</v>
      </c>
      <c r="F27" s="454">
        <v>1187874.6499999999</v>
      </c>
    </row>
    <row r="28" spans="1:6" x14ac:dyDescent="0.2">
      <c r="A28" s="540" t="s">
        <v>2228</v>
      </c>
      <c r="B28" s="454">
        <v>1261951.7</v>
      </c>
      <c r="C28" s="454">
        <v>236918.39</v>
      </c>
      <c r="D28" s="454">
        <v>2246052.11</v>
      </c>
      <c r="E28" s="454">
        <v>409611.10000000003</v>
      </c>
      <c r="F28" s="454">
        <v>1170295.6499999999</v>
      </c>
    </row>
    <row r="29" spans="1:6" x14ac:dyDescent="0.2">
      <c r="A29" s="540" t="s">
        <v>2229</v>
      </c>
      <c r="B29" s="455">
        <v>1270403.7</v>
      </c>
      <c r="C29" s="455">
        <v>238505.39</v>
      </c>
      <c r="D29" s="455">
        <v>2242077.11</v>
      </c>
      <c r="E29" s="455">
        <v>408886.10000000003</v>
      </c>
      <c r="F29" s="455">
        <v>1152715.6499999999</v>
      </c>
    </row>
    <row r="30" spans="1:6" x14ac:dyDescent="0.2">
      <c r="A30" s="521"/>
      <c r="B30" s="523"/>
      <c r="C30" s="523"/>
      <c r="D30" s="523"/>
      <c r="E30" s="523"/>
      <c r="F30" s="523"/>
    </row>
    <row r="31" spans="1:6" x14ac:dyDescent="0.2">
      <c r="A31" s="99" t="s">
        <v>902</v>
      </c>
    </row>
    <row r="32" spans="1:6" x14ac:dyDescent="0.2">
      <c r="A32" s="99" t="s">
        <v>930</v>
      </c>
      <c r="B32" s="101">
        <f>AVERAGE(B17:B29)</f>
        <v>1219735.6999999997</v>
      </c>
      <c r="C32" s="101">
        <f>AVERAGE(C17:C29)</f>
        <v>228991.3900000001</v>
      </c>
      <c r="D32" s="101">
        <f>AVERAGE(D17:D29)</f>
        <v>2265907.11</v>
      </c>
      <c r="E32" s="101">
        <f>AVERAGE(E17:E29)</f>
        <v>413232.09230769234</v>
      </c>
      <c r="F32" s="101">
        <f>AVERAGE(F17:F29)</f>
        <v>1258106.5730769234</v>
      </c>
    </row>
  </sheetData>
  <mergeCells count="5">
    <mergeCell ref="B9:F9"/>
    <mergeCell ref="A1:F1"/>
    <mergeCell ref="A2:F2"/>
    <mergeCell ref="A3:F3"/>
    <mergeCell ref="A4:F4"/>
  </mergeCells>
  <phoneticPr fontId="0" type="noConversion"/>
  <pageMargins left="1" right="0.5" top="1" bottom="0.75" header="0.3" footer="0.3"/>
  <pageSetup fitToHeight="0" orientation="portrait" r:id="rId1"/>
  <headerFooter>
    <oddHeader>&amp;R&amp;"Arial,Regular"&amp;10KY PSC Case No. 2016-00162, Attachment A to Staff 3-4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45">
    <pageSetUpPr fitToPage="1"/>
  </sheetPr>
  <dimension ref="A1:P61"/>
  <sheetViews>
    <sheetView view="pageBreakPreview" zoomScale="85" zoomScaleNormal="85" zoomScaleSheetLayoutView="85" workbookViewId="0">
      <selection activeCell="F46" sqref="F46"/>
    </sheetView>
  </sheetViews>
  <sheetFormatPr defaultColWidth="11.33203125" defaultRowHeight="12.75" x14ac:dyDescent="0.2"/>
  <cols>
    <col min="1" max="1" width="24.5" style="512" customWidth="1"/>
    <col min="2" max="2" width="4.33203125" style="512" customWidth="1"/>
    <col min="3" max="3" width="17" style="512" bestFit="1" customWidth="1"/>
    <col min="4" max="4" width="3.1640625" style="512" customWidth="1"/>
    <col min="5" max="5" width="13.6640625" style="512" bestFit="1" customWidth="1"/>
    <col min="6" max="6" width="3.1640625" style="512" customWidth="1"/>
    <col min="7" max="7" width="19.1640625" style="512" bestFit="1" customWidth="1"/>
    <col min="8" max="8" width="16.6640625" style="512" bestFit="1" customWidth="1"/>
    <col min="9" max="16384" width="11.33203125" style="512"/>
  </cols>
  <sheetData>
    <row r="1" spans="1:11" x14ac:dyDescent="0.2">
      <c r="A1" s="2115" t="s">
        <v>624</v>
      </c>
      <c r="B1" s="2115"/>
      <c r="C1" s="2115"/>
      <c r="D1" s="2115"/>
      <c r="E1" s="2115"/>
      <c r="F1" s="2115"/>
      <c r="G1" s="2115"/>
      <c r="H1" s="531"/>
    </row>
    <row r="2" spans="1:11" x14ac:dyDescent="0.2">
      <c r="A2" s="2116" t="s">
        <v>2290</v>
      </c>
      <c r="B2" s="2115"/>
      <c r="C2" s="2115"/>
      <c r="D2" s="2115"/>
      <c r="E2" s="2115"/>
      <c r="F2" s="2115"/>
      <c r="G2" s="2115"/>
      <c r="H2" s="531"/>
    </row>
    <row r="3" spans="1:11" x14ac:dyDescent="0.2">
      <c r="A3" s="2112" t="s">
        <v>900</v>
      </c>
      <c r="B3" s="2112"/>
      <c r="C3" s="2112"/>
      <c r="D3" s="2112"/>
      <c r="E3" s="2112"/>
      <c r="F3" s="2112"/>
      <c r="G3" s="2112"/>
      <c r="H3" s="239"/>
    </row>
    <row r="4" spans="1:11" x14ac:dyDescent="0.2">
      <c r="A4" s="2120" t="s">
        <v>2026</v>
      </c>
      <c r="B4" s="2117"/>
      <c r="C4" s="2117"/>
      <c r="D4" s="2117"/>
      <c r="E4" s="2117"/>
      <c r="F4" s="2117"/>
      <c r="G4" s="2117"/>
      <c r="H4" s="532"/>
    </row>
    <row r="5" spans="1:11" x14ac:dyDescent="0.2">
      <c r="A5" s="526"/>
      <c r="B5" s="526"/>
      <c r="C5" s="526"/>
      <c r="D5" s="526"/>
      <c r="E5" s="526"/>
      <c r="F5" s="526"/>
      <c r="G5" s="526"/>
      <c r="H5" s="532"/>
    </row>
    <row r="6" spans="1:11" x14ac:dyDescent="0.2">
      <c r="A6" s="527"/>
      <c r="F6" s="250"/>
      <c r="G6" s="250" t="s">
        <v>914</v>
      </c>
    </row>
    <row r="7" spans="1:11" x14ac:dyDescent="0.2">
      <c r="F7" s="250"/>
      <c r="G7" s="1933" t="s">
        <v>2376</v>
      </c>
      <c r="H7" s="528"/>
    </row>
    <row r="8" spans="1:11" x14ac:dyDescent="0.2">
      <c r="A8" s="529"/>
      <c r="B8" s="529"/>
      <c r="C8" s="529"/>
      <c r="D8" s="529"/>
      <c r="E8" s="529"/>
      <c r="F8" s="530"/>
      <c r="G8" s="530"/>
      <c r="H8" s="528"/>
      <c r="I8" s="528"/>
      <c r="J8" s="528"/>
      <c r="K8" s="528"/>
    </row>
    <row r="9" spans="1:11" x14ac:dyDescent="0.2">
      <c r="A9" s="2114" t="s">
        <v>1247</v>
      </c>
      <c r="B9" s="2114"/>
      <c r="C9" s="2114"/>
      <c r="D9" s="2114"/>
      <c r="E9" s="2114"/>
      <c r="F9" s="2114"/>
      <c r="G9" s="2114"/>
      <c r="H9" s="238"/>
    </row>
    <row r="10" spans="1:11" x14ac:dyDescent="0.2">
      <c r="C10" s="90"/>
      <c r="E10" s="541"/>
      <c r="F10" s="541"/>
      <c r="G10" s="541"/>
      <c r="H10" s="528"/>
    </row>
    <row r="11" spans="1:11" x14ac:dyDescent="0.2">
      <c r="C11" s="90" t="s">
        <v>1235</v>
      </c>
      <c r="E11" s="541"/>
      <c r="F11" s="542"/>
      <c r="G11" s="541"/>
    </row>
    <row r="12" spans="1:11" x14ac:dyDescent="0.2">
      <c r="C12" s="90" t="s">
        <v>1240</v>
      </c>
      <c r="E12" s="541"/>
      <c r="F12" s="542"/>
      <c r="G12" s="541"/>
    </row>
    <row r="13" spans="1:11" x14ac:dyDescent="0.2">
      <c r="C13" s="90" t="s">
        <v>1245</v>
      </c>
      <c r="E13" s="541"/>
      <c r="F13" s="542"/>
      <c r="G13" s="541"/>
    </row>
    <row r="14" spans="1:11" x14ac:dyDescent="0.2">
      <c r="C14" s="102" t="s">
        <v>939</v>
      </c>
      <c r="E14" s="543"/>
      <c r="F14" s="542"/>
      <c r="G14" s="543"/>
    </row>
    <row r="15" spans="1:11" x14ac:dyDescent="0.2">
      <c r="B15" s="92"/>
      <c r="C15" s="93" t="s">
        <v>639</v>
      </c>
      <c r="D15" s="94"/>
      <c r="E15" s="544"/>
      <c r="F15" s="545"/>
      <c r="G15" s="544"/>
    </row>
    <row r="16" spans="1:11" x14ac:dyDescent="0.2">
      <c r="B16" s="92"/>
      <c r="C16" s="94"/>
      <c r="D16" s="94"/>
      <c r="E16" s="542"/>
      <c r="F16" s="542"/>
      <c r="G16" s="542"/>
    </row>
    <row r="17" spans="1:16" x14ac:dyDescent="0.2">
      <c r="A17" s="540" t="s">
        <v>2219</v>
      </c>
      <c r="C17" s="536">
        <f>$G$60</f>
        <v>256740.99923816323</v>
      </c>
      <c r="D17" s="546"/>
      <c r="E17" s="538"/>
      <c r="F17" s="538"/>
      <c r="G17" s="538"/>
    </row>
    <row r="18" spans="1:16" x14ac:dyDescent="0.2">
      <c r="A18" s="540" t="s">
        <v>2220</v>
      </c>
      <c r="C18" s="536">
        <f t="shared" ref="C18:C29" si="0">$G$60</f>
        <v>256740.99923816323</v>
      </c>
      <c r="D18" s="546"/>
      <c r="E18" s="538"/>
      <c r="F18" s="538"/>
      <c r="G18" s="538"/>
    </row>
    <row r="19" spans="1:16" x14ac:dyDescent="0.2">
      <c r="A19" s="540" t="s">
        <v>2209</v>
      </c>
      <c r="C19" s="536">
        <f t="shared" si="0"/>
        <v>256740.99923816323</v>
      </c>
      <c r="D19" s="546"/>
      <c r="E19" s="538"/>
      <c r="F19" s="538"/>
      <c r="G19" s="538"/>
    </row>
    <row r="20" spans="1:16" x14ac:dyDescent="0.2">
      <c r="A20" s="540" t="s">
        <v>2210</v>
      </c>
      <c r="C20" s="536">
        <f t="shared" si="0"/>
        <v>256740.99923816323</v>
      </c>
      <c r="D20" s="546"/>
      <c r="E20" s="538"/>
      <c r="F20" s="538"/>
      <c r="G20" s="538"/>
    </row>
    <row r="21" spans="1:16" x14ac:dyDescent="0.2">
      <c r="A21" s="540" t="s">
        <v>2221</v>
      </c>
      <c r="C21" s="536">
        <f t="shared" si="0"/>
        <v>256740.99923816323</v>
      </c>
      <c r="D21" s="546"/>
      <c r="E21" s="538"/>
      <c r="F21" s="538"/>
      <c r="G21" s="538"/>
    </row>
    <row r="22" spans="1:16" x14ac:dyDescent="0.2">
      <c r="A22" s="540" t="s">
        <v>2222</v>
      </c>
      <c r="C22" s="536">
        <f t="shared" si="0"/>
        <v>256740.99923816323</v>
      </c>
      <c r="D22" s="546"/>
      <c r="E22" s="538"/>
      <c r="F22" s="538"/>
      <c r="G22" s="538"/>
    </row>
    <row r="23" spans="1:16" x14ac:dyDescent="0.2">
      <c r="A23" s="540" t="s">
        <v>2223</v>
      </c>
      <c r="C23" s="536">
        <f t="shared" si="0"/>
        <v>256740.99923816323</v>
      </c>
      <c r="D23" s="546"/>
      <c r="E23" s="538"/>
      <c r="F23" s="538"/>
      <c r="G23" s="538"/>
    </row>
    <row r="24" spans="1:16" x14ac:dyDescent="0.2">
      <c r="A24" s="540" t="s">
        <v>2224</v>
      </c>
      <c r="C24" s="536">
        <f t="shared" si="0"/>
        <v>256740.99923816323</v>
      </c>
      <c r="D24" s="546"/>
      <c r="E24" s="538"/>
      <c r="F24" s="538"/>
      <c r="G24" s="538"/>
    </row>
    <row r="25" spans="1:16" x14ac:dyDescent="0.2">
      <c r="A25" s="540" t="s">
        <v>2225</v>
      </c>
      <c r="C25" s="536">
        <f t="shared" si="0"/>
        <v>256740.99923816323</v>
      </c>
      <c r="D25" s="546"/>
      <c r="E25" s="538"/>
      <c r="F25" s="538"/>
      <c r="G25" s="538"/>
    </row>
    <row r="26" spans="1:16" x14ac:dyDescent="0.2">
      <c r="A26" s="540" t="s">
        <v>2226</v>
      </c>
      <c r="C26" s="536">
        <f t="shared" si="0"/>
        <v>256740.99923816323</v>
      </c>
      <c r="D26" s="546"/>
      <c r="E26" s="538"/>
      <c r="F26" s="538"/>
      <c r="G26" s="538"/>
    </row>
    <row r="27" spans="1:16" x14ac:dyDescent="0.2">
      <c r="A27" s="540" t="s">
        <v>2227</v>
      </c>
      <c r="B27" s="100"/>
      <c r="C27" s="536">
        <f t="shared" si="0"/>
        <v>256740.99923816323</v>
      </c>
      <c r="D27" s="547"/>
      <c r="E27" s="538"/>
      <c r="F27" s="538"/>
      <c r="G27" s="538"/>
    </row>
    <row r="28" spans="1:16" x14ac:dyDescent="0.2">
      <c r="A28" s="540" t="s">
        <v>2228</v>
      </c>
      <c r="B28" s="100"/>
      <c r="C28" s="536">
        <f t="shared" si="0"/>
        <v>256740.99923816323</v>
      </c>
      <c r="D28" s="547"/>
      <c r="E28" s="538"/>
      <c r="F28" s="538"/>
      <c r="G28" s="538"/>
      <c r="H28" s="528"/>
      <c r="I28" s="528"/>
      <c r="J28" s="528"/>
      <c r="K28" s="528"/>
      <c r="L28" s="528"/>
      <c r="M28" s="528"/>
      <c r="N28" s="528"/>
      <c r="O28" s="528"/>
      <c r="P28" s="528"/>
    </row>
    <row r="29" spans="1:16" x14ac:dyDescent="0.2">
      <c r="A29" s="540" t="s">
        <v>2229</v>
      </c>
      <c r="C29" s="536">
        <f t="shared" si="0"/>
        <v>256740.99923816323</v>
      </c>
      <c r="D29" s="537"/>
      <c r="E29" s="538"/>
      <c r="F29" s="538"/>
      <c r="G29" s="538"/>
    </row>
    <row r="30" spans="1:16" x14ac:dyDescent="0.2">
      <c r="E30" s="542"/>
      <c r="F30" s="542"/>
      <c r="G30" s="542"/>
    </row>
    <row r="31" spans="1:16" x14ac:dyDescent="0.2">
      <c r="E31" s="542"/>
      <c r="F31" s="542"/>
      <c r="G31" s="542"/>
    </row>
    <row r="32" spans="1:16" x14ac:dyDescent="0.2">
      <c r="A32" s="512" t="s">
        <v>1214</v>
      </c>
    </row>
    <row r="34" spans="1:9" x14ac:dyDescent="0.2">
      <c r="A34" s="1770" t="s">
        <v>2269</v>
      </c>
      <c r="C34" s="501">
        <f>C46</f>
        <v>81277772.927565396</v>
      </c>
    </row>
    <row r="35" spans="1:9" x14ac:dyDescent="0.2">
      <c r="C35" s="501"/>
    </row>
    <row r="36" spans="1:9" x14ac:dyDescent="0.2">
      <c r="A36" s="512" t="s">
        <v>1215</v>
      </c>
      <c r="C36" s="501"/>
    </row>
    <row r="37" spans="1:9" x14ac:dyDescent="0.2">
      <c r="A37" s="1770" t="s">
        <v>2270</v>
      </c>
      <c r="C37" s="501">
        <f>'ADIT Calc-Do not print'!C61</f>
        <v>87892595.780657068</v>
      </c>
    </row>
    <row r="38" spans="1:9" x14ac:dyDescent="0.2">
      <c r="C38" s="501"/>
    </row>
    <row r="39" spans="1:9" x14ac:dyDescent="0.2">
      <c r="A39" s="512" t="s">
        <v>1216</v>
      </c>
      <c r="C39" s="501">
        <f>C37-C34</f>
        <v>6614822.8530916721</v>
      </c>
    </row>
    <row r="42" spans="1:9" x14ac:dyDescent="0.2">
      <c r="C42" s="512" t="s">
        <v>1217</v>
      </c>
      <c r="E42" s="512" t="s">
        <v>1218</v>
      </c>
      <c r="G42" s="512" t="s">
        <v>1219</v>
      </c>
    </row>
    <row r="43" spans="1:9" x14ac:dyDescent="0.2">
      <c r="C43" s="512" t="s">
        <v>1221</v>
      </c>
      <c r="E43" s="512" t="s">
        <v>1222</v>
      </c>
    </row>
    <row r="45" spans="1:9" x14ac:dyDescent="0.2">
      <c r="A45" s="512" t="s">
        <v>1224</v>
      </c>
    </row>
    <row r="46" spans="1:9" x14ac:dyDescent="0.2">
      <c r="A46" s="1872" t="s">
        <v>2219</v>
      </c>
      <c r="C46" s="501">
        <f>'ADIT Calc-Do not print'!C70</f>
        <v>81277772.927565396</v>
      </c>
      <c r="D46" s="501"/>
      <c r="E46" s="501">
        <f>'ADIT Calc-Do not print'!H70</f>
        <v>81277772.927565396</v>
      </c>
      <c r="F46" s="501"/>
      <c r="G46" s="1771">
        <f>C46-E46</f>
        <v>0</v>
      </c>
      <c r="H46" s="1771"/>
      <c r="I46" s="501"/>
    </row>
    <row r="47" spans="1:9" x14ac:dyDescent="0.2">
      <c r="A47" s="1872" t="s">
        <v>2220</v>
      </c>
      <c r="C47" s="501">
        <f>'ADIT Calc-Do not print'!C71</f>
        <v>81829056.739489719</v>
      </c>
      <c r="D47" s="501"/>
      <c r="E47" s="501">
        <f>'ADIT Calc-Do not print'!H71</f>
        <v>81783745.927565396</v>
      </c>
      <c r="F47" s="501"/>
      <c r="G47" s="1771">
        <f t="shared" ref="G47:G60" si="1">C47-E47</f>
        <v>45310.81192432344</v>
      </c>
      <c r="H47" s="1771"/>
      <c r="I47" s="501"/>
    </row>
    <row r="48" spans="1:9" x14ac:dyDescent="0.2">
      <c r="A48" s="1872" t="s">
        <v>2209</v>
      </c>
      <c r="C48" s="501">
        <f>'ADIT Calc-Do not print'!C72</f>
        <v>82380340.561414018</v>
      </c>
      <c r="D48" s="501"/>
      <c r="E48" s="501">
        <f>'ADIT Calc-Do not print'!H72</f>
        <v>82244407.927565396</v>
      </c>
      <c r="F48" s="501"/>
      <c r="G48" s="1771">
        <f t="shared" si="1"/>
        <v>135932.63384862244</v>
      </c>
      <c r="H48" s="1771"/>
      <c r="I48" s="501"/>
    </row>
    <row r="49" spans="1:9" x14ac:dyDescent="0.2">
      <c r="A49" s="1872" t="s">
        <v>2210</v>
      </c>
      <c r="C49" s="501">
        <f>'ADIT Calc-Do not print'!C73</f>
        <v>82931551.383338317</v>
      </c>
      <c r="D49" s="501"/>
      <c r="E49" s="501">
        <f>'ADIT Calc-Do not print'!H73</f>
        <v>82658193.927565396</v>
      </c>
      <c r="F49" s="501"/>
      <c r="G49" s="1771">
        <f t="shared" si="1"/>
        <v>273357.45577292144</v>
      </c>
      <c r="H49" s="1771"/>
      <c r="I49" s="501"/>
    </row>
    <row r="50" spans="1:9" x14ac:dyDescent="0.2">
      <c r="A50" s="1872" t="s">
        <v>2221</v>
      </c>
      <c r="C50" s="501">
        <f>'ADIT Calc-Do not print'!C74</f>
        <v>83482762.205262631</v>
      </c>
      <c r="D50" s="501"/>
      <c r="E50" s="501">
        <f>'ADIT Calc-Do not print'!H74</f>
        <v>83025163.927565396</v>
      </c>
      <c r="F50" s="501"/>
      <c r="G50" s="1771">
        <f t="shared" si="1"/>
        <v>457598.27769723535</v>
      </c>
      <c r="H50" s="1771"/>
      <c r="I50" s="501"/>
    </row>
    <row r="51" spans="1:9" x14ac:dyDescent="0.2">
      <c r="A51" s="1872" t="s">
        <v>2222</v>
      </c>
      <c r="C51" s="501">
        <f>'ADIT Calc-Do not print'!C75</f>
        <v>84033973.027186915</v>
      </c>
      <c r="D51" s="501"/>
      <c r="E51" s="501">
        <f>'ADIT Calc-Do not print'!H75</f>
        <v>83349849.927565396</v>
      </c>
      <c r="F51" s="501"/>
      <c r="G51" s="1771">
        <f t="shared" si="1"/>
        <v>684123.09962151945</v>
      </c>
      <c r="H51" s="1771"/>
      <c r="I51" s="501"/>
    </row>
    <row r="52" spans="1:9" x14ac:dyDescent="0.2">
      <c r="A52" s="1872" t="s">
        <v>2223</v>
      </c>
      <c r="C52" s="501">
        <f>'ADIT Calc-Do not print'!C76</f>
        <v>84585183.849111229</v>
      </c>
      <c r="D52" s="501"/>
      <c r="E52" s="501">
        <f>'ADIT Calc-Do not print'!H76</f>
        <v>83627720.927565396</v>
      </c>
      <c r="F52" s="501"/>
      <c r="G52" s="1771">
        <f t="shared" si="1"/>
        <v>957462.92154583335</v>
      </c>
      <c r="H52" s="1771"/>
      <c r="I52" s="501"/>
    </row>
    <row r="53" spans="1:9" x14ac:dyDescent="0.2">
      <c r="A53" s="1872" t="s">
        <v>2224</v>
      </c>
      <c r="C53" s="501">
        <f>'ADIT Calc-Do not print'!C77</f>
        <v>85136394.671035543</v>
      </c>
      <c r="D53" s="501"/>
      <c r="E53" s="501">
        <f>'ADIT Calc-Do not print'!H77</f>
        <v>83860286.927565396</v>
      </c>
      <c r="F53" s="501"/>
      <c r="G53" s="1771">
        <f t="shared" si="1"/>
        <v>1276107.7434701473</v>
      </c>
      <c r="H53" s="1771"/>
      <c r="I53" s="501"/>
    </row>
    <row r="54" spans="1:9" x14ac:dyDescent="0.2">
      <c r="A54" s="1872" t="s">
        <v>2225</v>
      </c>
      <c r="C54" s="501">
        <f>'ADIT Calc-Do not print'!C78</f>
        <v>85687605.492959842</v>
      </c>
      <c r="D54" s="501"/>
      <c r="E54" s="501">
        <f>'ADIT Calc-Do not print'!H78</f>
        <v>84046036.927565396</v>
      </c>
      <c r="F54" s="501"/>
      <c r="G54" s="1771">
        <f t="shared" si="1"/>
        <v>1641568.5653944463</v>
      </c>
      <c r="H54" s="1771"/>
      <c r="I54" s="501"/>
    </row>
    <row r="55" spans="1:9" x14ac:dyDescent="0.2">
      <c r="A55" s="1872" t="s">
        <v>2226</v>
      </c>
      <c r="C55" s="501">
        <f>'ADIT Calc-Do not print'!C79</f>
        <v>86238816.314884141</v>
      </c>
      <c r="D55" s="501"/>
      <c r="E55" s="501">
        <f>'ADIT Calc-Do not print'!H79</f>
        <v>84186481.927565396</v>
      </c>
      <c r="F55" s="501"/>
      <c r="G55" s="1771">
        <f t="shared" si="1"/>
        <v>2052334.3873187453</v>
      </c>
      <c r="H55" s="1771"/>
      <c r="I55" s="501"/>
    </row>
    <row r="56" spans="1:9" x14ac:dyDescent="0.2">
      <c r="A56" s="1872" t="s">
        <v>2227</v>
      </c>
      <c r="C56" s="501">
        <f>'ADIT Calc-Do not print'!C80</f>
        <v>86790027.13680844</v>
      </c>
      <c r="D56" s="501"/>
      <c r="E56" s="501">
        <f>'ADIT Calc-Do not print'!H80</f>
        <v>84280111.927565396</v>
      </c>
      <c r="F56" s="501"/>
      <c r="G56" s="1771">
        <f t="shared" si="1"/>
        <v>2509915.2092430443</v>
      </c>
      <c r="H56" s="1771"/>
      <c r="I56" s="501"/>
    </row>
    <row r="57" spans="1:9" x14ac:dyDescent="0.2">
      <c r="A57" s="1872" t="s">
        <v>2228</v>
      </c>
      <c r="C57" s="501">
        <f>'ADIT Calc-Do not print'!C81</f>
        <v>87341310.958732754</v>
      </c>
      <c r="D57" s="501"/>
      <c r="E57" s="501">
        <f>'ADIT Calc-Do not print'!H81</f>
        <v>84326932.927565396</v>
      </c>
      <c r="F57" s="501"/>
      <c r="G57" s="1771">
        <f t="shared" si="1"/>
        <v>3014378.0311673582</v>
      </c>
      <c r="H57" s="1771"/>
      <c r="I57" s="501"/>
    </row>
    <row r="58" spans="1:9" x14ac:dyDescent="0.2">
      <c r="A58" s="1872" t="s">
        <v>2229</v>
      </c>
      <c r="C58" s="501">
        <f>'ADIT Calc-Do not print'!C82</f>
        <v>87892595.780657068</v>
      </c>
      <c r="D58" s="501"/>
      <c r="E58" s="501">
        <f>'ADIT Calc-Do not print'!H82</f>
        <v>84328442.927565396</v>
      </c>
      <c r="F58" s="501"/>
      <c r="G58" s="1771">
        <f t="shared" si="1"/>
        <v>3564152.8530916721</v>
      </c>
      <c r="H58" s="1771"/>
      <c r="I58" s="501"/>
    </row>
    <row r="60" spans="1:9" x14ac:dyDescent="0.2">
      <c r="A60" s="512" t="s">
        <v>1225</v>
      </c>
      <c r="C60" s="1082">
        <f>AVERAGE(C46:C58)</f>
        <v>84585183.926803559</v>
      </c>
      <c r="E60" s="1082">
        <f>E58</f>
        <v>84328442.927565396</v>
      </c>
      <c r="G60" s="1771">
        <f t="shared" si="1"/>
        <v>256740.99923816323</v>
      </c>
      <c r="H60" s="1082"/>
    </row>
    <row r="61" spans="1:9" x14ac:dyDescent="0.2">
      <c r="G61" s="501"/>
    </row>
  </sheetData>
  <mergeCells count="5">
    <mergeCell ref="A9:G9"/>
    <mergeCell ref="A1:G1"/>
    <mergeCell ref="A2:G2"/>
    <mergeCell ref="A3:G3"/>
    <mergeCell ref="A4:G4"/>
  </mergeCells>
  <phoneticPr fontId="0" type="noConversion"/>
  <pageMargins left="1" right="0.5" top="1" bottom="0.75" header="0.3" footer="0.3"/>
  <pageSetup scale="84" orientation="portrait" r:id="rId1"/>
  <headerFooter>
    <oddHeader>&amp;R&amp;"Arial,Regular"&amp;10KY PSC Case No. 2016-00162, Attachment A to Staff 3-4</oddHeader>
  </headerFooter>
  <rowBreaks count="1" manualBreakCount="1">
    <brk id="60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30">
    <pageSetUpPr fitToPage="1"/>
  </sheetPr>
  <dimension ref="A1:K41"/>
  <sheetViews>
    <sheetView showGridLines="0" view="pageBreakPreview" zoomScale="60" zoomScaleNormal="100" workbookViewId="0">
      <selection activeCell="F46" sqref="F46"/>
    </sheetView>
  </sheetViews>
  <sheetFormatPr defaultColWidth="9.83203125" defaultRowHeight="12.75" x14ac:dyDescent="0.2"/>
  <cols>
    <col min="1" max="1" width="7.83203125" style="305" customWidth="1"/>
    <col min="2" max="2" width="21" style="305" customWidth="1"/>
    <col min="3" max="4" width="9.83203125" style="305"/>
    <col min="5" max="5" width="15.83203125" style="305" customWidth="1"/>
    <col min="6" max="6" width="13.6640625" style="305" customWidth="1"/>
    <col min="7" max="7" width="15.83203125" style="305" customWidth="1"/>
    <col min="8" max="8" width="18.1640625" style="305" customWidth="1"/>
    <col min="9" max="9" width="20.1640625" style="305" customWidth="1"/>
    <col min="10" max="10" width="9.33203125" style="305" customWidth="1"/>
    <col min="11" max="11" width="14.5" style="305" bestFit="1" customWidth="1"/>
    <col min="12" max="16384" width="9.83203125" style="305"/>
  </cols>
  <sheetData>
    <row r="1" spans="1:9" x14ac:dyDescent="0.2">
      <c r="A1" s="2062" t="str">
        <f>co</f>
        <v>COLUMBIA GAS OF KENTUCKY, INC.</v>
      </c>
      <c r="B1" s="2062"/>
      <c r="C1" s="2062"/>
      <c r="D1" s="2062"/>
      <c r="E1" s="2062"/>
      <c r="F1" s="2062"/>
      <c r="G1" s="2062"/>
      <c r="H1" s="2062"/>
      <c r="I1" s="2062"/>
    </row>
    <row r="2" spans="1:9" x14ac:dyDescent="0.2">
      <c r="A2" s="2062" t="str">
        <f>case</f>
        <v>CASE NO. 2016 - 00162</v>
      </c>
      <c r="B2" s="2062"/>
      <c r="C2" s="2062"/>
      <c r="D2" s="2062"/>
      <c r="E2" s="2062"/>
      <c r="F2" s="2062"/>
      <c r="G2" s="2062"/>
      <c r="H2" s="2062"/>
      <c r="I2" s="2062"/>
    </row>
    <row r="3" spans="1:9" x14ac:dyDescent="0.2">
      <c r="A3" s="2060" t="s">
        <v>625</v>
      </c>
      <c r="B3" s="2060"/>
      <c r="C3" s="2060"/>
      <c r="D3" s="2060"/>
      <c r="E3" s="2060"/>
      <c r="F3" s="2060"/>
      <c r="G3" s="2060"/>
      <c r="H3" s="2060"/>
      <c r="I3" s="2060"/>
    </row>
    <row r="4" spans="1:9" x14ac:dyDescent="0.2">
      <c r="A4" s="2061" t="s">
        <v>2026</v>
      </c>
      <c r="B4" s="2061"/>
      <c r="C4" s="2061"/>
      <c r="D4" s="2061"/>
      <c r="E4" s="2061"/>
      <c r="F4" s="2061"/>
      <c r="G4" s="2061"/>
      <c r="H4" s="2061"/>
      <c r="I4" s="2061"/>
    </row>
    <row r="6" spans="1:9" x14ac:dyDescent="0.2">
      <c r="A6" s="285" t="s">
        <v>1109</v>
      </c>
      <c r="I6" s="306" t="s">
        <v>626</v>
      </c>
    </row>
    <row r="7" spans="1:9" x14ac:dyDescent="0.2">
      <c r="A7" s="285" t="s">
        <v>1110</v>
      </c>
      <c r="I7" s="306" t="s">
        <v>1111</v>
      </c>
    </row>
    <row r="8" spans="1:9" x14ac:dyDescent="0.2">
      <c r="A8" s="307" t="s">
        <v>996</v>
      </c>
      <c r="B8" s="308"/>
      <c r="C8" s="308"/>
      <c r="D8" s="308"/>
      <c r="E8" s="308"/>
      <c r="F8" s="308"/>
      <c r="G8" s="308"/>
      <c r="H8" s="308"/>
      <c r="I8" s="249" t="str">
        <f>SMK</f>
        <v>WITNESS:  S. M. KATKO</v>
      </c>
    </row>
    <row r="9" spans="1:9" x14ac:dyDescent="0.2">
      <c r="H9" s="314" t="s">
        <v>1114</v>
      </c>
      <c r="I9" s="309" t="s">
        <v>629</v>
      </c>
    </row>
    <row r="10" spans="1:9" x14ac:dyDescent="0.2">
      <c r="G10" s="309" t="s">
        <v>630</v>
      </c>
      <c r="H10" s="314" t="s">
        <v>1112</v>
      </c>
      <c r="I10" s="309" t="s">
        <v>631</v>
      </c>
    </row>
    <row r="11" spans="1:9" x14ac:dyDescent="0.2">
      <c r="A11" s="309" t="s">
        <v>632</v>
      </c>
      <c r="G11" s="309" t="s">
        <v>633</v>
      </c>
      <c r="H11" s="309" t="s">
        <v>1113</v>
      </c>
      <c r="I11" s="309" t="s">
        <v>1112</v>
      </c>
    </row>
    <row r="12" spans="1:9" x14ac:dyDescent="0.2">
      <c r="A12" s="310" t="s">
        <v>635</v>
      </c>
      <c r="B12" s="307" t="s">
        <v>636</v>
      </c>
      <c r="C12" s="308"/>
      <c r="D12" s="308"/>
      <c r="E12" s="308"/>
      <c r="F12" s="308"/>
      <c r="G12" s="310" t="s">
        <v>637</v>
      </c>
      <c r="H12" s="310" t="s">
        <v>638</v>
      </c>
      <c r="I12" s="310" t="s">
        <v>638</v>
      </c>
    </row>
    <row r="13" spans="1:9" x14ac:dyDescent="0.2">
      <c r="H13" s="309" t="s">
        <v>639</v>
      </c>
      <c r="I13" s="309" t="s">
        <v>639</v>
      </c>
    </row>
    <row r="15" spans="1:9" x14ac:dyDescent="0.2">
      <c r="A15" s="309">
        <v>1</v>
      </c>
      <c r="B15" s="285" t="s">
        <v>641</v>
      </c>
      <c r="G15" s="193" t="s">
        <v>642</v>
      </c>
      <c r="H15" s="311">
        <f>'B-2 p.2 Grouping (Forecast)'!I32</f>
        <v>455066635.36999995</v>
      </c>
      <c r="I15" s="311">
        <f>'B-2 p.2 Grouping (Forecast)'!J32</f>
        <v>435160689.37000006</v>
      </c>
    </row>
    <row r="16" spans="1:9" x14ac:dyDescent="0.2">
      <c r="G16" s="194"/>
      <c r="H16" s="311"/>
      <c r="I16" s="311"/>
    </row>
    <row r="17" spans="1:11" x14ac:dyDescent="0.2">
      <c r="A17" s="309">
        <f>A15+1</f>
        <v>2</v>
      </c>
      <c r="B17" s="285" t="s">
        <v>644</v>
      </c>
      <c r="G17" s="193" t="s">
        <v>645</v>
      </c>
      <c r="H17" s="553">
        <v>0</v>
      </c>
      <c r="I17" s="553">
        <v>0</v>
      </c>
    </row>
    <row r="18" spans="1:11" x14ac:dyDescent="0.2">
      <c r="G18" s="194"/>
      <c r="H18" s="313"/>
      <c r="I18" s="313"/>
    </row>
    <row r="19" spans="1:11" x14ac:dyDescent="0.2">
      <c r="A19" s="309">
        <f>A17+1</f>
        <v>3</v>
      </c>
      <c r="B19" s="285" t="s">
        <v>647</v>
      </c>
      <c r="G19" s="193" t="s">
        <v>648</v>
      </c>
      <c r="H19" s="553">
        <v>0</v>
      </c>
      <c r="I19" s="553">
        <v>0</v>
      </c>
    </row>
    <row r="20" spans="1:11" x14ac:dyDescent="0.2">
      <c r="G20" s="194"/>
      <c r="H20" s="311"/>
      <c r="I20" s="311"/>
    </row>
    <row r="21" spans="1:11" x14ac:dyDescent="0.2">
      <c r="A21" s="309">
        <f>A19+1</f>
        <v>4</v>
      </c>
      <c r="B21" s="285" t="s">
        <v>650</v>
      </c>
      <c r="G21" s="193" t="s">
        <v>651</v>
      </c>
      <c r="H21" s="312">
        <f>-'B-3 Accum Dep&amp;A (Forecast)'!K98</f>
        <v>-157252419.58661872</v>
      </c>
      <c r="I21" s="312">
        <f>-'B-3 Accum Dep&amp;A (Forecast)'!L98</f>
        <v>-152037512.57084686</v>
      </c>
    </row>
    <row r="22" spans="1:11" x14ac:dyDescent="0.2">
      <c r="G22" s="194"/>
      <c r="H22" s="311"/>
      <c r="I22" s="311"/>
    </row>
    <row r="23" spans="1:11" x14ac:dyDescent="0.2">
      <c r="A23" s="309">
        <f>A21+1</f>
        <v>5</v>
      </c>
      <c r="B23" s="285" t="s">
        <v>653</v>
      </c>
      <c r="G23" s="194"/>
      <c r="H23" s="311">
        <f>SUM(H15:H21)</f>
        <v>297814215.78338122</v>
      </c>
      <c r="I23" s="311">
        <f>SUM(I15:I21)</f>
        <v>283123176.79915321</v>
      </c>
    </row>
    <row r="24" spans="1:11" x14ac:dyDescent="0.2">
      <c r="G24" s="194"/>
      <c r="H24" s="311"/>
      <c r="I24" s="311"/>
    </row>
    <row r="25" spans="1:11" x14ac:dyDescent="0.2">
      <c r="A25" s="309">
        <f>A23+1</f>
        <v>6</v>
      </c>
      <c r="B25" s="285" t="s">
        <v>658</v>
      </c>
      <c r="G25" s="193" t="s">
        <v>659</v>
      </c>
      <c r="H25" s="311">
        <f>'B-5.2 CWC (Forecast)'!$I$30</f>
        <v>5636878.9299950004</v>
      </c>
      <c r="I25" s="311">
        <f>'B-5.2 CWC (Forecast)'!$I$30</f>
        <v>5636878.9299950004</v>
      </c>
    </row>
    <row r="26" spans="1:11" x14ac:dyDescent="0.2">
      <c r="G26" s="194"/>
      <c r="H26" s="311"/>
      <c r="I26" s="311"/>
    </row>
    <row r="27" spans="1:11" x14ac:dyDescent="0.2">
      <c r="A27" s="309">
        <f>A25+1</f>
        <v>7</v>
      </c>
      <c r="B27" s="285" t="s">
        <v>1136</v>
      </c>
      <c r="G27" s="193" t="s">
        <v>662</v>
      </c>
      <c r="H27" s="313">
        <f>'B-5.1 Working Cap. (Forecast)'!$G$23</f>
        <v>42324080.384869225</v>
      </c>
      <c r="I27" s="313">
        <f>'B-5.1 Working Cap. (Forecast)'!$G$23</f>
        <v>42324080.384869225</v>
      </c>
    </row>
    <row r="28" spans="1:11" x14ac:dyDescent="0.2">
      <c r="G28" s="194"/>
      <c r="H28" s="313"/>
      <c r="I28" s="313"/>
    </row>
    <row r="29" spans="1:11" x14ac:dyDescent="0.2">
      <c r="A29" s="309">
        <f>A27+1</f>
        <v>8</v>
      </c>
      <c r="B29" s="285" t="s">
        <v>666</v>
      </c>
      <c r="G29" s="193" t="s">
        <v>664</v>
      </c>
      <c r="H29" s="313">
        <f>'B-6 Def. Cr. &amp; ADIT (Forecast)'!J45</f>
        <v>-83475982.481418908</v>
      </c>
      <c r="I29" s="313">
        <f>'B-6 Def. Cr. &amp; ADIT (Forecast)'!K45</f>
        <v>-80200576.635257721</v>
      </c>
    </row>
    <row r="30" spans="1:11" x14ac:dyDescent="0.2">
      <c r="H30" s="313"/>
      <c r="I30" s="313"/>
    </row>
    <row r="31" spans="1:11" x14ac:dyDescent="0.2">
      <c r="A31" s="309">
        <f>A29+1</f>
        <v>9</v>
      </c>
      <c r="B31" s="285" t="s">
        <v>667</v>
      </c>
      <c r="H31" s="554">
        <v>0</v>
      </c>
      <c r="I31" s="554">
        <v>0</v>
      </c>
    </row>
    <row r="32" spans="1:11" x14ac:dyDescent="0.2">
      <c r="K32" s="518"/>
    </row>
    <row r="33" spans="1:11" x14ac:dyDescent="0.2">
      <c r="A33" s="309">
        <f>A31+1</f>
        <v>10</v>
      </c>
      <c r="B33" s="285" t="s">
        <v>1883</v>
      </c>
      <c r="H33" s="59">
        <f>SUM(H23:H31)</f>
        <v>262299192.61682653</v>
      </c>
      <c r="I33" s="59">
        <f>SUM(I23:I31)</f>
        <v>250883559.47875971</v>
      </c>
      <c r="K33" s="501"/>
    </row>
    <row r="34" spans="1:11" x14ac:dyDescent="0.2">
      <c r="H34" s="311"/>
      <c r="I34" s="311"/>
    </row>
    <row r="36" spans="1:11" x14ac:dyDescent="0.2">
      <c r="I36" s="317"/>
    </row>
    <row r="38" spans="1:11" x14ac:dyDescent="0.2">
      <c r="A38" s="285"/>
      <c r="B38" s="285"/>
    </row>
    <row r="39" spans="1:11" x14ac:dyDescent="0.2">
      <c r="B39" s="285"/>
    </row>
    <row r="40" spans="1:11" x14ac:dyDescent="0.2">
      <c r="B40" s="285"/>
    </row>
    <row r="41" spans="1:11" x14ac:dyDescent="0.2">
      <c r="B41" s="285"/>
    </row>
  </sheetData>
  <mergeCells count="4">
    <mergeCell ref="A1:I1"/>
    <mergeCell ref="A2:I2"/>
    <mergeCell ref="A3:I3"/>
    <mergeCell ref="A4:I4"/>
  </mergeCells>
  <phoneticPr fontId="0" type="noConversion"/>
  <pageMargins left="1" right="0.5" top="1" bottom="0.75" header="0.3" footer="0.3"/>
  <pageSetup scale="84" fitToHeight="0" orientation="portrait" r:id="rId1"/>
  <headerFooter>
    <oddHeader>&amp;R&amp;"Arial,Regular"&amp;10KY PSC Case No. 2016-00162, Attachment A to Staff 3-4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E76"/>
  <sheetViews>
    <sheetView view="pageBreakPreview" zoomScale="60" zoomScaleNormal="100" workbookViewId="0">
      <selection activeCell="F46" sqref="F46"/>
    </sheetView>
  </sheetViews>
  <sheetFormatPr defaultRowHeight="10.5" x14ac:dyDescent="0.15"/>
  <cols>
    <col min="1" max="1" width="5.5" customWidth="1"/>
    <col min="2" max="2" width="8.83203125" bestFit="1" customWidth="1"/>
    <col min="3" max="3" width="27.1640625" customWidth="1"/>
    <col min="4" max="4" width="42.83203125" customWidth="1"/>
    <col min="5" max="5" width="42.1640625" bestFit="1" customWidth="1"/>
  </cols>
  <sheetData>
    <row r="1" spans="1:5" ht="12.75" x14ac:dyDescent="0.2">
      <c r="A1" s="2060" t="s">
        <v>624</v>
      </c>
      <c r="B1" s="2060"/>
      <c r="C1" s="2060"/>
      <c r="D1" s="2060"/>
      <c r="E1" s="2060"/>
    </row>
    <row r="2" spans="1:5" ht="12.75" x14ac:dyDescent="0.2">
      <c r="A2" s="2121" t="str">
        <f>case</f>
        <v>CASE NO. 2016 - 00162</v>
      </c>
      <c r="B2" s="2121"/>
      <c r="C2" s="2121"/>
      <c r="D2" s="2121"/>
      <c r="E2" s="2121"/>
    </row>
    <row r="3" spans="1:5" ht="12.75" x14ac:dyDescent="0.2">
      <c r="A3" s="2060" t="s">
        <v>1944</v>
      </c>
      <c r="B3" s="2060"/>
      <c r="C3" s="2060"/>
      <c r="D3" s="2060"/>
      <c r="E3" s="2060"/>
    </row>
    <row r="4" spans="1:5" ht="12.75" x14ac:dyDescent="0.2">
      <c r="A4" s="2122" t="s">
        <v>2034</v>
      </c>
      <c r="B4" s="2122"/>
      <c r="C4" s="2122"/>
      <c r="D4" s="2122"/>
      <c r="E4" s="2122"/>
    </row>
    <row r="5" spans="1:5" ht="12.75" x14ac:dyDescent="0.2">
      <c r="A5" s="2122" t="s">
        <v>2035</v>
      </c>
      <c r="B5" s="2122"/>
      <c r="C5" s="2122"/>
      <c r="D5" s="2122"/>
      <c r="E5" s="2122"/>
    </row>
    <row r="6" spans="1:5" ht="12.75" x14ac:dyDescent="0.2">
      <c r="A6" s="1842"/>
      <c r="B6" s="1842"/>
      <c r="C6" s="1842"/>
      <c r="D6" s="1842"/>
      <c r="E6" s="1842"/>
    </row>
    <row r="7" spans="1:5" ht="12.75" x14ac:dyDescent="0.2">
      <c r="A7" s="509"/>
      <c r="B7" s="509"/>
      <c r="C7" s="509"/>
      <c r="D7" s="509"/>
      <c r="E7" s="509"/>
    </row>
    <row r="8" spans="1:5" ht="12.75" x14ac:dyDescent="0.2">
      <c r="A8" s="508" t="s">
        <v>1949</v>
      </c>
      <c r="B8" s="509"/>
      <c r="C8" s="509"/>
      <c r="D8" s="509"/>
      <c r="E8" s="1251" t="s">
        <v>1945</v>
      </c>
    </row>
    <row r="9" spans="1:5" ht="12.75" x14ac:dyDescent="0.2">
      <c r="A9" s="160" t="s">
        <v>977</v>
      </c>
      <c r="B9" s="509"/>
      <c r="C9" s="509"/>
      <c r="D9" s="509"/>
      <c r="E9" s="1251" t="s">
        <v>1299</v>
      </c>
    </row>
    <row r="10" spans="1:5" ht="12.75" x14ac:dyDescent="0.2">
      <c r="A10" s="1853" t="s">
        <v>247</v>
      </c>
      <c r="B10" s="1335"/>
      <c r="C10" s="1335"/>
      <c r="D10" s="1335"/>
      <c r="E10" s="552" t="str">
        <f>SMK</f>
        <v>WITNESS:  S. M. KATKO</v>
      </c>
    </row>
    <row r="11" spans="1:5" ht="12.75" x14ac:dyDescent="0.2">
      <c r="A11" s="1842" t="s">
        <v>632</v>
      </c>
      <c r="B11" s="1842" t="s">
        <v>692</v>
      </c>
      <c r="C11" s="509"/>
      <c r="D11" s="1842" t="s">
        <v>671</v>
      </c>
      <c r="E11" s="1842" t="s">
        <v>1946</v>
      </c>
    </row>
    <row r="12" spans="1:5" ht="12.75" x14ac:dyDescent="0.2">
      <c r="A12" s="1268" t="s">
        <v>635</v>
      </c>
      <c r="B12" s="1268" t="s">
        <v>635</v>
      </c>
      <c r="C12" s="1268" t="s">
        <v>767</v>
      </c>
      <c r="D12" s="1268" t="s">
        <v>676</v>
      </c>
      <c r="E12" s="1268" t="s">
        <v>1947</v>
      </c>
    </row>
    <row r="13" spans="1:5" ht="12.75" x14ac:dyDescent="0.2">
      <c r="A13" s="509"/>
      <c r="B13" s="509"/>
      <c r="C13" s="509"/>
      <c r="D13" s="509"/>
      <c r="E13" s="509"/>
    </row>
    <row r="14" spans="1:5" ht="12.75" x14ac:dyDescent="0.2">
      <c r="A14" s="509"/>
      <c r="B14" s="509"/>
      <c r="C14" s="509"/>
      <c r="D14" s="509"/>
      <c r="E14" s="509"/>
    </row>
    <row r="15" spans="1:5" ht="12.75" x14ac:dyDescent="0.2">
      <c r="A15" s="509"/>
      <c r="B15" s="509"/>
      <c r="C15" s="509"/>
      <c r="D15" s="1854"/>
      <c r="E15" s="313"/>
    </row>
    <row r="16" spans="1:5" ht="12.75" x14ac:dyDescent="0.2">
      <c r="A16" s="305"/>
      <c r="B16" s="305"/>
      <c r="C16" s="305"/>
      <c r="D16" s="305"/>
      <c r="E16" s="311"/>
    </row>
    <row r="17" spans="1:5" ht="12.75" x14ac:dyDescent="0.2">
      <c r="A17" s="2121" t="s">
        <v>1948</v>
      </c>
      <c r="B17" s="2121"/>
      <c r="C17" s="2121"/>
      <c r="D17" s="2121"/>
      <c r="E17" s="2121"/>
    </row>
    <row r="18" spans="1:5" ht="12.75" x14ac:dyDescent="0.2">
      <c r="A18" s="305"/>
      <c r="B18" s="305"/>
      <c r="C18" s="305"/>
      <c r="D18" s="305"/>
      <c r="E18" s="305"/>
    </row>
    <row r="19" spans="1:5" ht="12.75" x14ac:dyDescent="0.2">
      <c r="A19" s="305"/>
      <c r="B19" s="305"/>
      <c r="C19" s="305"/>
      <c r="D19" s="315"/>
      <c r="E19" s="311"/>
    </row>
    <row r="20" spans="1:5" ht="12.75" x14ac:dyDescent="0.2">
      <c r="A20" s="305"/>
      <c r="B20" s="305"/>
      <c r="C20" s="305"/>
      <c r="D20" s="305"/>
      <c r="E20" s="311"/>
    </row>
    <row r="21" spans="1:5" ht="12.75" x14ac:dyDescent="0.2">
      <c r="A21" s="305"/>
      <c r="B21" s="305"/>
      <c r="C21" s="305"/>
      <c r="D21" s="315"/>
      <c r="E21" s="311"/>
    </row>
    <row r="22" spans="1:5" ht="12.75" x14ac:dyDescent="0.2">
      <c r="A22" s="305"/>
      <c r="B22" s="305"/>
      <c r="C22" s="305"/>
      <c r="D22" s="305"/>
      <c r="E22" s="311"/>
    </row>
    <row r="23" spans="1:5" ht="12.75" x14ac:dyDescent="0.2">
      <c r="A23" s="305"/>
      <c r="B23" s="305"/>
      <c r="C23" s="305"/>
      <c r="D23" s="315"/>
      <c r="E23" s="311"/>
    </row>
    <row r="24" spans="1:5" ht="12.75" x14ac:dyDescent="0.2">
      <c r="A24" s="305"/>
      <c r="B24" s="305"/>
      <c r="C24" s="305"/>
      <c r="D24" s="305"/>
      <c r="E24" s="305"/>
    </row>
    <row r="25" spans="1:5" ht="11.25" x14ac:dyDescent="0.2">
      <c r="A25" s="2"/>
      <c r="B25" s="2"/>
      <c r="C25" s="2"/>
      <c r="D25" s="2"/>
      <c r="E25" s="2"/>
    </row>
    <row r="76" spans="3:3" x14ac:dyDescent="0.15">
      <c r="C76" t="s">
        <v>2245</v>
      </c>
    </row>
  </sheetData>
  <mergeCells count="6">
    <mergeCell ref="A17:E17"/>
    <mergeCell ref="A1:E1"/>
    <mergeCell ref="A2:E2"/>
    <mergeCell ref="A3:E3"/>
    <mergeCell ref="A4:E4"/>
    <mergeCell ref="A5:E5"/>
  </mergeCells>
  <pageMargins left="1" right="0.5" top="1" bottom="0.75" header="0.3" footer="0.3"/>
  <pageSetup scale="90" fitToHeight="0" orientation="portrait" r:id="rId1"/>
  <headerFooter>
    <oddHeader>&amp;R&amp;"Arial,Regular"&amp;10KY PSC Case No. 2016-00162, Attachment A to Staff 3-4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47">
    <pageSetUpPr fitToPage="1"/>
  </sheetPr>
  <dimension ref="A1:I26"/>
  <sheetViews>
    <sheetView zoomScaleNormal="100" workbookViewId="0">
      <selection activeCell="D20" sqref="D20"/>
    </sheetView>
  </sheetViews>
  <sheetFormatPr defaultColWidth="9.83203125" defaultRowHeight="10.5" x14ac:dyDescent="0.15"/>
  <cols>
    <col min="1" max="1" width="25.6640625" style="573" customWidth="1"/>
    <col min="2" max="2" width="4.83203125" style="573" customWidth="1"/>
    <col min="3" max="3" width="84.5" style="573" customWidth="1"/>
    <col min="4" max="9" width="9.83203125" style="573"/>
    <col min="10" max="10" width="9.83203125" style="573" customWidth="1"/>
    <col min="11" max="11" width="9.83203125" style="573"/>
    <col min="12" max="12" width="1.83203125" style="573" customWidth="1"/>
    <col min="13" max="13" width="7.83203125" style="573" customWidth="1"/>
    <col min="14" max="14" width="6.83203125" style="573" customWidth="1"/>
    <col min="15" max="16384" width="9.83203125" style="573"/>
  </cols>
  <sheetData>
    <row r="1" spans="1:3" ht="12.75" x14ac:dyDescent="0.2">
      <c r="A1" s="240" t="s">
        <v>1006</v>
      </c>
      <c r="B1" s="241"/>
      <c r="C1" s="241"/>
    </row>
    <row r="2" spans="1:3" ht="12.75" x14ac:dyDescent="0.2">
      <c r="A2" s="241"/>
      <c r="B2" s="241"/>
      <c r="C2" s="241"/>
    </row>
    <row r="3" spans="1:3" ht="12.75" x14ac:dyDescent="0.2">
      <c r="A3" s="2055" t="s">
        <v>1279</v>
      </c>
      <c r="B3" s="2055"/>
      <c r="C3" s="2055"/>
    </row>
    <row r="4" spans="1:3" ht="12.75" x14ac:dyDescent="0.2">
      <c r="A4" s="241"/>
      <c r="B4" s="241"/>
      <c r="C4" s="241"/>
    </row>
    <row r="5" spans="1:3" ht="12.75" x14ac:dyDescent="0.2">
      <c r="A5" s="2055" t="s">
        <v>1280</v>
      </c>
      <c r="B5" s="2055"/>
      <c r="C5" s="2055"/>
    </row>
    <row r="6" spans="1:3" ht="12.75" x14ac:dyDescent="0.2">
      <c r="A6" s="241"/>
      <c r="B6" s="241"/>
      <c r="C6" s="241"/>
    </row>
    <row r="7" spans="1:3" ht="12.75" x14ac:dyDescent="0.2">
      <c r="A7" s="2055" t="s">
        <v>624</v>
      </c>
      <c r="B7" s="2055"/>
      <c r="C7" s="2055"/>
    </row>
    <row r="8" spans="1:3" ht="12.75" x14ac:dyDescent="0.2">
      <c r="A8" s="241"/>
      <c r="B8" s="241"/>
      <c r="C8" s="241"/>
    </row>
    <row r="9" spans="1:3" ht="12.75" x14ac:dyDescent="0.2">
      <c r="A9" s="2055" t="str">
        <f>case</f>
        <v>CASE NO. 2016 - 00162</v>
      </c>
      <c r="B9" s="2055"/>
      <c r="C9" s="2055"/>
    </row>
    <row r="10" spans="1:3" ht="12.75" x14ac:dyDescent="0.2">
      <c r="A10" s="241"/>
      <c r="B10" s="241"/>
      <c r="C10" s="241"/>
    </row>
    <row r="11" spans="1:3" ht="12.75" x14ac:dyDescent="0.2">
      <c r="A11" s="241"/>
      <c r="B11" s="241"/>
      <c r="C11" s="241"/>
    </row>
    <row r="12" spans="1:3" ht="12.75" x14ac:dyDescent="0.2">
      <c r="A12" s="241"/>
      <c r="B12" s="241"/>
      <c r="C12" s="241"/>
    </row>
    <row r="13" spans="1:3" ht="12.75" x14ac:dyDescent="0.2">
      <c r="A13" s="242" t="s">
        <v>1252</v>
      </c>
      <c r="B13" s="241"/>
      <c r="C13" s="242" t="str">
        <f>base</f>
        <v>FOR THE TWELVE MONTHS ENDED AUGUST 31, 2016</v>
      </c>
    </row>
    <row r="14" spans="1:3" ht="12.75" x14ac:dyDescent="0.2">
      <c r="A14" s="241"/>
      <c r="B14" s="241"/>
      <c r="C14" s="241"/>
    </row>
    <row r="15" spans="1:3" ht="12.75" x14ac:dyDescent="0.2">
      <c r="A15" s="242" t="s">
        <v>1253</v>
      </c>
      <c r="B15" s="241"/>
      <c r="C15" s="242" t="str">
        <f>forecast</f>
        <v>FOR THE TWELVE MONTHS ENDED DECEMBER 31, 2017</v>
      </c>
    </row>
    <row r="16" spans="1:3" ht="12.75" x14ac:dyDescent="0.2">
      <c r="A16" s="241"/>
      <c r="B16" s="241"/>
      <c r="C16" s="241"/>
    </row>
    <row r="17" spans="1:9" ht="12.75" x14ac:dyDescent="0.2">
      <c r="A17" s="241"/>
      <c r="B17" s="241"/>
      <c r="C17" s="241"/>
    </row>
    <row r="18" spans="1:9" ht="12.75" x14ac:dyDescent="0.2">
      <c r="A18" s="243" t="s">
        <v>633</v>
      </c>
      <c r="B18" s="244"/>
      <c r="C18" s="245" t="s">
        <v>778</v>
      </c>
      <c r="D18" s="574"/>
      <c r="E18" s="574"/>
      <c r="F18" s="574"/>
      <c r="G18" s="574"/>
      <c r="H18" s="574"/>
      <c r="I18" s="574"/>
    </row>
    <row r="19" spans="1:9" ht="12.75" x14ac:dyDescent="0.2">
      <c r="A19" s="241"/>
      <c r="B19" s="241"/>
      <c r="C19" s="241"/>
    </row>
    <row r="20" spans="1:9" ht="12.75" x14ac:dyDescent="0.2">
      <c r="A20" s="241"/>
      <c r="B20" s="241"/>
      <c r="C20" s="241"/>
    </row>
    <row r="21" spans="1:9" ht="12.75" x14ac:dyDescent="0.2">
      <c r="A21" s="246" t="s">
        <v>1281</v>
      </c>
      <c r="B21" s="247"/>
      <c r="C21" s="246" t="s">
        <v>1282</v>
      </c>
    </row>
    <row r="22" spans="1:9" ht="12.75" x14ac:dyDescent="0.2">
      <c r="A22" s="246" t="s">
        <v>1283</v>
      </c>
      <c r="B22" s="247"/>
      <c r="C22" s="246" t="s">
        <v>1284</v>
      </c>
    </row>
    <row r="23" spans="1:9" ht="12.75" x14ac:dyDescent="0.2">
      <c r="A23" s="246" t="s">
        <v>1285</v>
      </c>
      <c r="B23" s="247"/>
      <c r="C23" s="246" t="s">
        <v>1286</v>
      </c>
      <c r="D23" s="1143"/>
    </row>
    <row r="24" spans="1:9" ht="12" customHeight="1" x14ac:dyDescent="0.2">
      <c r="A24" s="246" t="s">
        <v>1287</v>
      </c>
      <c r="B24" s="247"/>
      <c r="C24" s="246" t="s">
        <v>1288</v>
      </c>
      <c r="D24" s="1143"/>
    </row>
    <row r="25" spans="1:9" ht="12.75" x14ac:dyDescent="0.2">
      <c r="A25" s="241"/>
      <c r="B25" s="241"/>
      <c r="C25" s="241"/>
    </row>
    <row r="26" spans="1:9" ht="12.75" x14ac:dyDescent="0.2">
      <c r="A26" s="241"/>
      <c r="B26" s="241"/>
      <c r="C26" s="241"/>
    </row>
  </sheetData>
  <mergeCells count="4">
    <mergeCell ref="A3:C3"/>
    <mergeCell ref="A5:C5"/>
    <mergeCell ref="A7:C7"/>
    <mergeCell ref="A9:C9"/>
  </mergeCells>
  <phoneticPr fontId="0" type="noConversion"/>
  <printOptions horizontalCentered="1"/>
  <pageMargins left="1" right="1" top="1" bottom="1" header="0.5" footer="0.5"/>
  <pageSetup scale="91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X79"/>
  <sheetViews>
    <sheetView zoomScale="90" zoomScaleNormal="90" zoomScaleSheetLayoutView="90" workbookViewId="0">
      <selection activeCell="O16" sqref="O16"/>
    </sheetView>
  </sheetViews>
  <sheetFormatPr defaultColWidth="11.83203125" defaultRowHeight="10.5" x14ac:dyDescent="0.15"/>
  <cols>
    <col min="1" max="1" width="4.83203125" style="573" customWidth="1"/>
    <col min="2" max="2" width="3.83203125" style="573" customWidth="1"/>
    <col min="3" max="3" width="48.83203125" style="573" customWidth="1"/>
    <col min="4" max="4" width="3.83203125" style="573" customWidth="1"/>
    <col min="5" max="5" width="19.33203125" style="573" bestFit="1" customWidth="1"/>
    <col min="6" max="6" width="3.83203125" style="573" customWidth="1"/>
    <col min="7" max="7" width="20.83203125" style="573" bestFit="1" customWidth="1"/>
    <col min="8" max="8" width="3.83203125" style="573" customWidth="1"/>
    <col min="9" max="9" width="20.83203125" style="573" bestFit="1" customWidth="1"/>
    <col min="10" max="10" width="3.83203125" style="573" customWidth="1"/>
    <col min="11" max="11" width="15.83203125" style="573" customWidth="1"/>
    <col min="12" max="12" width="3.83203125" style="573" customWidth="1"/>
    <col min="13" max="13" width="21.6640625" style="573" customWidth="1"/>
    <col min="14" max="14" width="6.83203125" style="573" customWidth="1"/>
    <col min="15" max="15" width="13.83203125" style="573" customWidth="1"/>
    <col min="16" max="16" width="5.83203125" style="573" customWidth="1"/>
    <col min="17" max="17" width="15.83203125" style="573" customWidth="1"/>
    <col min="18" max="18" width="10.83203125" style="573" customWidth="1"/>
    <col min="19" max="19" width="21.83203125" style="573" customWidth="1"/>
    <col min="20" max="16384" width="11.83203125" style="573"/>
  </cols>
  <sheetData>
    <row r="1" spans="1:24" ht="12.75" x14ac:dyDescent="0.2">
      <c r="A1" s="2123" t="s">
        <v>624</v>
      </c>
      <c r="B1" s="2123"/>
      <c r="C1" s="2123"/>
      <c r="D1" s="2123"/>
      <c r="E1" s="2123"/>
      <c r="F1" s="2123"/>
      <c r="G1" s="2123"/>
      <c r="H1" s="2123"/>
      <c r="I1" s="2123"/>
      <c r="J1" s="2123"/>
      <c r="K1" s="2123"/>
      <c r="L1" s="2123"/>
      <c r="M1" s="2123"/>
      <c r="N1" s="575"/>
      <c r="O1" s="575"/>
      <c r="P1" s="575"/>
    </row>
    <row r="2" spans="1:24" ht="12.75" x14ac:dyDescent="0.2">
      <c r="A2" s="2124" t="str">
        <f>case</f>
        <v>CASE NO. 2016 - 00162</v>
      </c>
      <c r="B2" s="2124"/>
      <c r="C2" s="2124"/>
      <c r="D2" s="2124"/>
      <c r="E2" s="2124"/>
      <c r="F2" s="2124"/>
      <c r="G2" s="2124"/>
      <c r="H2" s="2124"/>
      <c r="I2" s="2124"/>
      <c r="J2" s="2124"/>
      <c r="K2" s="2124"/>
      <c r="L2" s="2124"/>
      <c r="M2" s="2124"/>
      <c r="N2" s="575"/>
      <c r="O2" s="575"/>
      <c r="P2" s="575"/>
    </row>
    <row r="3" spans="1:24" ht="12.75" x14ac:dyDescent="0.2">
      <c r="A3" s="2055" t="s">
        <v>1282</v>
      </c>
      <c r="B3" s="2055"/>
      <c r="C3" s="2055"/>
      <c r="D3" s="2055"/>
      <c r="E3" s="2055"/>
      <c r="F3" s="2055"/>
      <c r="G3" s="2055"/>
      <c r="H3" s="2055"/>
      <c r="I3" s="2055"/>
      <c r="J3" s="2055"/>
      <c r="K3" s="2055"/>
      <c r="L3" s="2055"/>
      <c r="M3" s="2055"/>
      <c r="N3" s="575"/>
      <c r="O3" s="575"/>
      <c r="P3" s="575"/>
    </row>
    <row r="4" spans="1:24" ht="12.75" x14ac:dyDescent="0.2">
      <c r="A4" s="2125" t="s">
        <v>2036</v>
      </c>
      <c r="B4" s="2125"/>
      <c r="C4" s="2125"/>
      <c r="D4" s="2125"/>
      <c r="E4" s="2125"/>
      <c r="F4" s="2125"/>
      <c r="G4" s="2125"/>
      <c r="H4" s="2125"/>
      <c r="I4" s="2125"/>
      <c r="J4" s="2125"/>
      <c r="K4" s="2125"/>
      <c r="L4" s="2125"/>
      <c r="M4" s="2125"/>
      <c r="N4" s="576"/>
      <c r="O4" s="576"/>
      <c r="P4" s="575"/>
    </row>
    <row r="5" spans="1:24" ht="12.75" x14ac:dyDescent="0.2">
      <c r="A5" s="241"/>
      <c r="B5" s="241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</row>
    <row r="6" spans="1:24" ht="12.75" x14ac:dyDescent="0.2">
      <c r="A6" s="241"/>
      <c r="B6" s="241"/>
      <c r="C6" s="241"/>
      <c r="D6" s="241"/>
      <c r="E6" s="241"/>
      <c r="F6" s="241"/>
      <c r="G6" s="241"/>
      <c r="H6" s="241"/>
      <c r="I6" s="241"/>
      <c r="J6" s="241"/>
      <c r="K6" s="241"/>
      <c r="L6" s="241"/>
      <c r="M6" s="241"/>
    </row>
    <row r="7" spans="1:24" ht="12.75" x14ac:dyDescent="0.2">
      <c r="A7" s="242" t="s">
        <v>1256</v>
      </c>
      <c r="B7" s="241"/>
      <c r="C7" s="241"/>
      <c r="D7" s="241"/>
      <c r="E7" s="241"/>
      <c r="F7" s="241"/>
      <c r="G7" s="241"/>
      <c r="H7" s="241"/>
      <c r="I7" s="241"/>
      <c r="J7" s="241"/>
      <c r="K7" s="577"/>
      <c r="L7" s="241"/>
      <c r="M7" s="578" t="s">
        <v>1298</v>
      </c>
    </row>
    <row r="8" spans="1:24" ht="12.75" x14ac:dyDescent="0.2">
      <c r="A8" s="242" t="s">
        <v>977</v>
      </c>
      <c r="B8" s="241"/>
      <c r="C8" s="241"/>
      <c r="D8" s="241"/>
      <c r="E8" s="241"/>
      <c r="F8" s="241"/>
      <c r="G8" s="241"/>
      <c r="H8" s="241"/>
      <c r="I8" s="241"/>
      <c r="J8" s="241"/>
      <c r="K8" s="577"/>
      <c r="L8" s="241"/>
      <c r="M8" s="578" t="s">
        <v>1299</v>
      </c>
    </row>
    <row r="9" spans="1:24" ht="12.75" x14ac:dyDescent="0.2">
      <c r="A9" s="579" t="s">
        <v>996</v>
      </c>
      <c r="B9" s="580"/>
      <c r="C9" s="580"/>
      <c r="D9" s="580"/>
      <c r="E9" s="580"/>
      <c r="F9" s="580"/>
      <c r="G9" s="580"/>
      <c r="H9" s="580"/>
      <c r="I9" s="580"/>
      <c r="J9" s="581"/>
      <c r="K9" s="582"/>
      <c r="L9" s="583"/>
      <c r="M9" s="1855" t="s">
        <v>2265</v>
      </c>
    </row>
    <row r="10" spans="1:24" s="585" customFormat="1" ht="12.75" x14ac:dyDescent="0.2">
      <c r="A10" s="584"/>
      <c r="B10" s="584"/>
      <c r="C10" s="584"/>
      <c r="D10" s="584"/>
      <c r="E10" s="560" t="s">
        <v>830</v>
      </c>
      <c r="F10" s="584"/>
      <c r="G10" s="560" t="s">
        <v>1112</v>
      </c>
      <c r="H10" s="584"/>
      <c r="I10" s="560" t="s">
        <v>1112</v>
      </c>
      <c r="J10" s="584"/>
      <c r="K10" s="584"/>
      <c r="L10" s="584"/>
      <c r="M10" s="560" t="s">
        <v>1112</v>
      </c>
    </row>
    <row r="11" spans="1:24" s="585" customFormat="1" ht="12.75" x14ac:dyDescent="0.2">
      <c r="A11" s="560" t="s">
        <v>632</v>
      </c>
      <c r="B11" s="584"/>
      <c r="C11" s="584"/>
      <c r="D11" s="584"/>
      <c r="E11" s="560" t="s">
        <v>1300</v>
      </c>
      <c r="F11" s="584"/>
      <c r="G11" s="560" t="s">
        <v>1301</v>
      </c>
      <c r="H11" s="584"/>
      <c r="I11" s="560" t="s">
        <v>1300</v>
      </c>
      <c r="J11" s="584"/>
      <c r="K11" s="560" t="s">
        <v>851</v>
      </c>
      <c r="L11" s="584"/>
      <c r="M11" s="560" t="s">
        <v>1300</v>
      </c>
    </row>
    <row r="12" spans="1:24" s="585" customFormat="1" ht="12.75" x14ac:dyDescent="0.2">
      <c r="A12" s="586" t="s">
        <v>635</v>
      </c>
      <c r="B12" s="587"/>
      <c r="C12" s="586" t="s">
        <v>778</v>
      </c>
      <c r="D12" s="586"/>
      <c r="E12" s="586" t="s">
        <v>1302</v>
      </c>
      <c r="F12" s="586"/>
      <c r="G12" s="586" t="s">
        <v>1302</v>
      </c>
      <c r="H12" s="587"/>
      <c r="I12" s="586" t="s">
        <v>1302</v>
      </c>
      <c r="J12" s="587"/>
      <c r="K12" s="586" t="s">
        <v>1303</v>
      </c>
      <c r="L12" s="587"/>
      <c r="M12" s="586" t="s">
        <v>1304</v>
      </c>
    </row>
    <row r="13" spans="1:24" ht="12.75" x14ac:dyDescent="0.2">
      <c r="A13" s="241"/>
      <c r="B13" s="241"/>
      <c r="C13" s="241"/>
      <c r="D13" s="241"/>
      <c r="E13" s="560" t="s">
        <v>639</v>
      </c>
      <c r="F13" s="241"/>
      <c r="G13" s="560" t="s">
        <v>639</v>
      </c>
      <c r="H13" s="241"/>
      <c r="I13" s="560" t="s">
        <v>639</v>
      </c>
      <c r="J13" s="241"/>
      <c r="K13" s="560" t="s">
        <v>639</v>
      </c>
      <c r="L13" s="241"/>
      <c r="M13" s="560" t="s">
        <v>639</v>
      </c>
    </row>
    <row r="14" spans="1:24" ht="12.75" x14ac:dyDescent="0.2">
      <c r="A14" s="241"/>
      <c r="B14" s="241"/>
      <c r="C14" s="241"/>
      <c r="D14" s="241"/>
      <c r="E14" s="241"/>
      <c r="F14" s="241"/>
      <c r="G14" s="241"/>
      <c r="H14" s="241"/>
      <c r="I14" s="241"/>
      <c r="J14" s="241"/>
      <c r="K14" s="241"/>
      <c r="L14" s="241"/>
      <c r="M14" s="241"/>
    </row>
    <row r="15" spans="1:24" ht="12.75" x14ac:dyDescent="0.2">
      <c r="A15" s="560" t="s">
        <v>640</v>
      </c>
      <c r="B15" s="241"/>
      <c r="C15" s="242" t="s">
        <v>1305</v>
      </c>
      <c r="D15" s="242"/>
      <c r="E15" s="588">
        <f>'Adj Operating Income Sum C-2'!E13</f>
        <v>102043183.86</v>
      </c>
      <c r="F15" s="589"/>
      <c r="G15" s="588">
        <f>I15-E15</f>
        <v>-9361016.7899999917</v>
      </c>
      <c r="H15" s="590"/>
      <c r="I15" s="588">
        <f>'Adj Operating Income Sum C-2'!M13</f>
        <v>92682167.070000008</v>
      </c>
      <c r="J15" s="591"/>
      <c r="K15" s="588">
        <f>ROUND(K29*'Gross Conversion Factor H-1'!H33,0)</f>
        <v>24990005</v>
      </c>
      <c r="L15" s="591"/>
      <c r="M15" s="591">
        <f>K15+I15</f>
        <v>117672172.07000001</v>
      </c>
      <c r="N15" s="592"/>
      <c r="O15" s="592"/>
      <c r="P15" s="592"/>
      <c r="Q15" s="592"/>
      <c r="R15" s="592"/>
      <c r="S15" s="592"/>
      <c r="T15" s="592"/>
      <c r="U15" s="592"/>
      <c r="V15" s="592"/>
      <c r="W15" s="592"/>
      <c r="X15" s="592"/>
    </row>
    <row r="16" spans="1:24" ht="12.75" x14ac:dyDescent="0.2">
      <c r="A16" s="241"/>
      <c r="B16" s="241"/>
      <c r="C16" s="241"/>
      <c r="D16" s="241"/>
      <c r="E16" s="593"/>
      <c r="F16" s="590"/>
      <c r="G16" s="594"/>
      <c r="H16" s="590"/>
      <c r="I16" s="593"/>
      <c r="J16" s="591"/>
      <c r="K16" s="591"/>
      <c r="L16" s="591"/>
      <c r="M16" s="594"/>
      <c r="N16" s="592"/>
      <c r="O16" s="592"/>
      <c r="P16" s="592"/>
      <c r="Q16" s="592"/>
      <c r="R16" s="592"/>
      <c r="S16" s="592"/>
      <c r="T16" s="592"/>
      <c r="U16" s="592"/>
      <c r="V16" s="592"/>
      <c r="W16" s="592"/>
      <c r="X16" s="592"/>
    </row>
    <row r="17" spans="1:24" ht="12.75" x14ac:dyDescent="0.2">
      <c r="A17" s="560">
        <f>A15+1</f>
        <v>2</v>
      </c>
      <c r="B17" s="241"/>
      <c r="C17" s="242" t="s">
        <v>1306</v>
      </c>
      <c r="D17" s="242"/>
      <c r="E17" s="593"/>
      <c r="F17" s="589"/>
      <c r="G17" s="594"/>
      <c r="H17" s="595"/>
      <c r="I17" s="593"/>
      <c r="J17" s="591"/>
      <c r="K17" s="591"/>
      <c r="L17" s="591"/>
      <c r="M17" s="594"/>
      <c r="N17" s="592"/>
      <c r="O17" s="592"/>
      <c r="P17" s="592"/>
      <c r="Q17" s="592"/>
      <c r="R17" s="592"/>
      <c r="S17" s="592"/>
      <c r="T17" s="592"/>
      <c r="U17" s="592"/>
      <c r="V17" s="592"/>
      <c r="W17" s="592"/>
      <c r="X17" s="592"/>
    </row>
    <row r="18" spans="1:24" ht="12.75" x14ac:dyDescent="0.2">
      <c r="A18" s="560">
        <f>A17+1</f>
        <v>3</v>
      </c>
      <c r="B18" s="241"/>
      <c r="C18" s="242" t="s">
        <v>1307</v>
      </c>
      <c r="D18" s="242"/>
      <c r="E18" s="588">
        <f>'Adj Operating Income Sum C-2'!E16</f>
        <v>30222805.32</v>
      </c>
      <c r="F18" s="589"/>
      <c r="G18" s="588">
        <f>I18-E18</f>
        <v>-8405298.200000003</v>
      </c>
      <c r="H18" s="595"/>
      <c r="I18" s="588">
        <f>'Adj Operating Income Sum C-2'!M16</f>
        <v>21817507.119999997</v>
      </c>
      <c r="J18" s="591"/>
      <c r="K18" s="588">
        <v>0</v>
      </c>
      <c r="L18" s="591"/>
      <c r="M18" s="591">
        <f>K18+I18</f>
        <v>21817507.119999997</v>
      </c>
      <c r="N18" s="592"/>
      <c r="O18" s="592"/>
      <c r="P18" s="592"/>
      <c r="Q18" s="592"/>
      <c r="R18" s="592"/>
      <c r="S18" s="592"/>
      <c r="T18" s="592"/>
      <c r="U18" s="592"/>
      <c r="V18" s="592"/>
      <c r="W18" s="592"/>
      <c r="X18" s="592"/>
    </row>
    <row r="19" spans="1:24" ht="12.75" x14ac:dyDescent="0.2">
      <c r="A19" s="560">
        <f>A18+1</f>
        <v>4</v>
      </c>
      <c r="B19" s="241"/>
      <c r="C19" s="242" t="s">
        <v>1308</v>
      </c>
      <c r="D19" s="242"/>
      <c r="E19" s="588">
        <f>'Adj Operating Income Sum C-2'!E17+'Adj Operating Income Sum C-2'!E18+'Adj Operating Income Sum C-2'!E19+'Adj Operating Income Sum C-2'!E20+'Adj Operating Income Sum C-2'!E21+'Adj Operating Income Sum C-2'!E22</f>
        <v>38741762.560000002</v>
      </c>
      <c r="F19" s="589"/>
      <c r="G19" s="588">
        <f>I19-E19</f>
        <v>6011711.8799600005</v>
      </c>
      <c r="H19" s="590"/>
      <c r="I19" s="588">
        <f>'Adj Operating Income Sum C-2'!M17+'Adj Operating Income Sum C-2'!M18+'Adj Operating Income Sum C-2'!M19+'Adj Operating Income Sum C-2'!M20+'Adj Operating Income Sum C-2'!M21+'Adj Operating Income Sum C-2'!M22</f>
        <v>44753474.439960003</v>
      </c>
      <c r="J19" s="591"/>
      <c r="K19" s="588">
        <f>ROUND(K15*('Gross Conversion Factor H-1'!H18+'Gross Conversion Factor H-1'!H20),0)</f>
        <v>278246</v>
      </c>
      <c r="L19" s="591"/>
      <c r="M19" s="591">
        <f>K19+I19</f>
        <v>45031720.439960003</v>
      </c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</row>
    <row r="20" spans="1:24" ht="12.75" x14ac:dyDescent="0.2">
      <c r="A20" s="560">
        <f>A19+1</f>
        <v>5</v>
      </c>
      <c r="B20" s="241"/>
      <c r="C20" s="242" t="s">
        <v>1309</v>
      </c>
      <c r="D20" s="242"/>
      <c r="E20" s="588">
        <f>'Adj Operating Income Sum C-2'!E23</f>
        <v>8846618.3807191737</v>
      </c>
      <c r="F20" s="589"/>
      <c r="G20" s="588">
        <f>I20-E20</f>
        <v>6981518.7763158623</v>
      </c>
      <c r="H20" s="590"/>
      <c r="I20" s="588">
        <f>'Adj Operating Income Sum C-2'!M23</f>
        <v>15828137.157035036</v>
      </c>
      <c r="J20" s="591"/>
      <c r="K20" s="588">
        <v>0</v>
      </c>
      <c r="L20" s="591"/>
      <c r="M20" s="591">
        <f>K20+I20</f>
        <v>15828137.157035036</v>
      </c>
      <c r="N20" s="592"/>
      <c r="O20" s="592"/>
      <c r="P20" s="592"/>
      <c r="Q20" s="592"/>
      <c r="R20" s="592"/>
      <c r="S20" s="592"/>
      <c r="T20" s="592"/>
      <c r="U20" s="592"/>
      <c r="V20" s="592"/>
      <c r="W20" s="592"/>
      <c r="X20" s="592"/>
    </row>
    <row r="21" spans="1:24" ht="12.75" x14ac:dyDescent="0.2">
      <c r="A21" s="560">
        <f>A20+1</f>
        <v>6</v>
      </c>
      <c r="B21" s="241"/>
      <c r="C21" s="242" t="s">
        <v>1310</v>
      </c>
      <c r="D21" s="242"/>
      <c r="E21" s="596">
        <f>'Adj Operating Income Sum C-2'!E25+'Adj Operating Income Sum C-2'!E26+'Adj Operating Income Sum C-2'!E27</f>
        <v>4010989.3299999996</v>
      </c>
      <c r="F21" s="589"/>
      <c r="G21" s="596">
        <f>I21-E21</f>
        <v>779891.67000000039</v>
      </c>
      <c r="H21" s="590"/>
      <c r="I21" s="596">
        <f>'Adj Operating Income Sum C-2'!M25+'Adj Operating Income Sum C-2'!M26+'Adj Operating Income Sum C-2'!M27</f>
        <v>4790881</v>
      </c>
      <c r="J21" s="591"/>
      <c r="K21" s="596">
        <v>0</v>
      </c>
      <c r="L21" s="591"/>
      <c r="M21" s="597">
        <f>K21+I21</f>
        <v>4790881</v>
      </c>
      <c r="N21" s="592"/>
      <c r="O21" s="592"/>
      <c r="P21" s="592"/>
      <c r="Q21" s="592"/>
      <c r="R21" s="592"/>
      <c r="S21" s="592"/>
      <c r="T21" s="592"/>
      <c r="U21" s="592"/>
      <c r="V21" s="592"/>
      <c r="W21" s="592"/>
      <c r="X21" s="592"/>
    </row>
    <row r="22" spans="1:24" ht="12.75" x14ac:dyDescent="0.2">
      <c r="A22" s="560"/>
      <c r="B22" s="241"/>
      <c r="C22" s="242"/>
      <c r="D22" s="242"/>
      <c r="E22" s="588"/>
      <c r="F22" s="589"/>
      <c r="G22" s="588"/>
      <c r="H22" s="590"/>
      <c r="I22" s="588"/>
      <c r="J22" s="591"/>
      <c r="K22" s="588"/>
      <c r="L22" s="591"/>
      <c r="M22" s="591"/>
      <c r="N22" s="592"/>
      <c r="O22" s="592"/>
      <c r="P22" s="592"/>
      <c r="Q22" s="592"/>
      <c r="R22" s="592"/>
      <c r="S22" s="592"/>
      <c r="T22" s="592"/>
      <c r="U22" s="592"/>
      <c r="V22" s="592"/>
      <c r="W22" s="592"/>
      <c r="X22" s="592"/>
    </row>
    <row r="23" spans="1:24" ht="12.75" x14ac:dyDescent="0.2">
      <c r="A23" s="560">
        <f>A21+1</f>
        <v>7</v>
      </c>
      <c r="B23" s="241"/>
      <c r="C23" s="242" t="s">
        <v>1311</v>
      </c>
      <c r="D23" s="242"/>
      <c r="E23" s="588">
        <f>+E15-SUM(E18:E21)</f>
        <v>20221008.269280836</v>
      </c>
      <c r="F23" s="589"/>
      <c r="G23" s="588">
        <f>+G15-SUM(G18:G21)</f>
        <v>-14728840.916275851</v>
      </c>
      <c r="H23" s="590"/>
      <c r="I23" s="588">
        <f>+I15-SUM(I18:I21)</f>
        <v>5492167.3530049771</v>
      </c>
      <c r="J23" s="591"/>
      <c r="K23" s="588">
        <f>+K15-SUM(K18:K21)</f>
        <v>24711759</v>
      </c>
      <c r="L23" s="591"/>
      <c r="M23" s="588">
        <f>+M15-SUM(M18:M21)</f>
        <v>30203926.353004977</v>
      </c>
      <c r="N23" s="592"/>
      <c r="O23" s="592"/>
      <c r="P23" s="592"/>
      <c r="Q23" s="592"/>
      <c r="R23" s="592"/>
      <c r="S23" s="592"/>
      <c r="T23" s="592"/>
      <c r="U23" s="592"/>
      <c r="V23" s="592"/>
      <c r="W23" s="592"/>
      <c r="X23" s="592"/>
    </row>
    <row r="24" spans="1:24" ht="12.75" x14ac:dyDescent="0.2">
      <c r="A24" s="560"/>
      <c r="B24" s="241"/>
      <c r="C24" s="242"/>
      <c r="D24" s="242"/>
      <c r="E24" s="588"/>
      <c r="F24" s="637"/>
      <c r="G24" s="588"/>
      <c r="H24" s="638"/>
      <c r="I24" s="588"/>
      <c r="J24" s="591"/>
      <c r="K24" s="588"/>
      <c r="L24" s="591"/>
      <c r="M24" s="591"/>
      <c r="N24" s="592"/>
      <c r="O24" s="592"/>
      <c r="P24" s="592"/>
      <c r="Q24" s="592"/>
      <c r="R24" s="592"/>
      <c r="S24" s="592"/>
      <c r="T24" s="592"/>
      <c r="U24" s="592"/>
      <c r="V24" s="592"/>
      <c r="W24" s="592"/>
      <c r="X24" s="592"/>
    </row>
    <row r="25" spans="1:24" ht="12.75" x14ac:dyDescent="0.2">
      <c r="A25" s="560">
        <f>A23+1</f>
        <v>8</v>
      </c>
      <c r="B25" s="241"/>
      <c r="C25" s="242" t="s">
        <v>1312</v>
      </c>
      <c r="D25" s="242"/>
      <c r="E25" s="588">
        <f>'Adj Operating Income Sum C-2'!E28</f>
        <v>4931999.4319288172</v>
      </c>
      <c r="F25" s="637"/>
      <c r="G25" s="588">
        <f>I25-E25</f>
        <v>-5359866.6543084243</v>
      </c>
      <c r="H25" s="638"/>
      <c r="I25" s="588">
        <f>'Adj Operating Income Sum C-2'!M28</f>
        <v>-427867.22237960756</v>
      </c>
      <c r="J25" s="591"/>
      <c r="K25" s="588">
        <f>ROUND(K15*'Gross Conversion Factor H-1'!H28,0)</f>
        <v>8130169</v>
      </c>
      <c r="L25" s="591"/>
      <c r="M25" s="591">
        <f>K25+I25</f>
        <v>7702301.7776203929</v>
      </c>
      <c r="N25" s="592"/>
      <c r="O25" s="592"/>
      <c r="P25" s="592"/>
      <c r="Q25" s="592"/>
      <c r="R25" s="592"/>
      <c r="S25" s="592"/>
      <c r="T25" s="592"/>
      <c r="U25" s="592"/>
      <c r="V25" s="592"/>
      <c r="W25" s="592"/>
      <c r="X25" s="592"/>
    </row>
    <row r="26" spans="1:24" ht="12.75" x14ac:dyDescent="0.2">
      <c r="A26" s="560">
        <f>A25+1</f>
        <v>9</v>
      </c>
      <c r="B26" s="241"/>
      <c r="C26" s="242" t="s">
        <v>1313</v>
      </c>
      <c r="D26" s="242"/>
      <c r="E26" s="598">
        <f>'Adj Operating Income Sum C-2'!E29</f>
        <v>1070502.1533333333</v>
      </c>
      <c r="F26" s="637"/>
      <c r="G26" s="596">
        <f>I26-E26</f>
        <v>-1150885.8521530344</v>
      </c>
      <c r="H26" s="638"/>
      <c r="I26" s="598">
        <f>'Adj Operating Income Sum C-2'!M29</f>
        <v>-80383.698819701036</v>
      </c>
      <c r="J26" s="591"/>
      <c r="K26" s="596">
        <f>ROUND(K15*'Gross Conversion Factor H-1'!H24,0)</f>
        <v>1482705</v>
      </c>
      <c r="L26" s="591"/>
      <c r="M26" s="597">
        <f>K26+I26</f>
        <v>1402321.3011802989</v>
      </c>
      <c r="N26" s="592"/>
      <c r="O26" s="592"/>
      <c r="P26" s="592"/>
      <c r="Q26" s="592"/>
      <c r="R26" s="592"/>
      <c r="S26" s="592"/>
      <c r="T26" s="592"/>
      <c r="U26" s="592"/>
      <c r="V26" s="592"/>
      <c r="W26" s="592"/>
      <c r="X26" s="592"/>
    </row>
    <row r="27" spans="1:24" ht="12.75" x14ac:dyDescent="0.2">
      <c r="A27" s="560">
        <f>A26+1</f>
        <v>10</v>
      </c>
      <c r="B27" s="241"/>
      <c r="C27" s="242" t="s">
        <v>1314</v>
      </c>
      <c r="D27" s="242"/>
      <c r="E27" s="588">
        <f>+E25+E26</f>
        <v>6002501.5852621505</v>
      </c>
      <c r="F27" s="589"/>
      <c r="G27" s="591">
        <f>+G25+G26</f>
        <v>-6510752.5064614583</v>
      </c>
      <c r="H27" s="590"/>
      <c r="I27" s="588">
        <f>+I25+I26</f>
        <v>-508250.92119930859</v>
      </c>
      <c r="J27" s="591"/>
      <c r="K27" s="591">
        <f>+K25+K26</f>
        <v>9612874</v>
      </c>
      <c r="L27" s="591"/>
      <c r="M27" s="591">
        <f>+M25+M26</f>
        <v>9104623.0788006913</v>
      </c>
      <c r="N27" s="592"/>
      <c r="P27" s="592"/>
      <c r="Q27" s="592"/>
      <c r="R27" s="592"/>
      <c r="S27" s="592"/>
      <c r="T27" s="592"/>
      <c r="U27" s="592"/>
      <c r="V27" s="592"/>
      <c r="W27" s="592"/>
      <c r="X27" s="592"/>
    </row>
    <row r="28" spans="1:24" ht="12.75" x14ac:dyDescent="0.2">
      <c r="A28" s="241"/>
      <c r="B28" s="241"/>
      <c r="C28" s="241"/>
      <c r="D28" s="241"/>
      <c r="E28" s="588"/>
      <c r="F28" s="590"/>
      <c r="G28" s="591"/>
      <c r="H28" s="590"/>
      <c r="I28" s="588"/>
      <c r="J28" s="591"/>
      <c r="K28" s="591"/>
      <c r="L28" s="591"/>
      <c r="M28" s="591"/>
      <c r="N28" s="592"/>
      <c r="O28" s="592"/>
      <c r="P28" s="592"/>
      <c r="Q28" s="592"/>
      <c r="R28" s="592"/>
      <c r="S28" s="592"/>
      <c r="T28" s="592"/>
      <c r="U28" s="592"/>
      <c r="V28" s="592"/>
      <c r="W28" s="592"/>
      <c r="X28" s="592"/>
    </row>
    <row r="29" spans="1:24" ht="12.75" customHeight="1" thickBot="1" x14ac:dyDescent="0.25">
      <c r="A29" s="560">
        <f>A27+1</f>
        <v>11</v>
      </c>
      <c r="B29" s="241"/>
      <c r="C29" s="242" t="s">
        <v>1315</v>
      </c>
      <c r="D29" s="242"/>
      <c r="E29" s="599">
        <f>+E23-E27</f>
        <v>14218506.684018686</v>
      </c>
      <c r="F29" s="589"/>
      <c r="G29" s="600">
        <f>+G23-G27</f>
        <v>-8218088.4098143931</v>
      </c>
      <c r="H29" s="590"/>
      <c r="I29" s="599">
        <f>+I23-I27</f>
        <v>6000418.2742042858</v>
      </c>
      <c r="J29" s="591"/>
      <c r="K29" s="599">
        <f>M29-I29</f>
        <v>15098888.725795714</v>
      </c>
      <c r="L29" s="591"/>
      <c r="M29" s="600">
        <f>ROUND(M31*M33,0)</f>
        <v>21099307</v>
      </c>
      <c r="N29" s="592"/>
      <c r="O29" s="592"/>
      <c r="P29" s="592"/>
      <c r="Q29" s="592"/>
      <c r="R29" s="592"/>
      <c r="S29" s="592"/>
      <c r="T29" s="592"/>
      <c r="U29" s="592"/>
      <c r="V29" s="592"/>
      <c r="W29" s="592"/>
      <c r="X29" s="592"/>
    </row>
    <row r="30" spans="1:24" ht="13.5" thickTop="1" x14ac:dyDescent="0.2">
      <c r="A30" s="241"/>
      <c r="B30" s="241"/>
      <c r="C30" s="241"/>
      <c r="D30" s="241"/>
      <c r="E30" s="588"/>
      <c r="F30" s="590"/>
      <c r="G30" s="591"/>
      <c r="H30" s="590"/>
      <c r="I30" s="588"/>
      <c r="J30" s="591"/>
      <c r="K30" s="591"/>
      <c r="L30" s="591"/>
      <c r="M30" s="591"/>
      <c r="N30" s="592"/>
      <c r="O30" s="592"/>
      <c r="P30" s="592"/>
      <c r="Q30" s="592"/>
      <c r="R30" s="592"/>
      <c r="S30" s="592"/>
      <c r="T30" s="592"/>
      <c r="U30" s="592"/>
      <c r="V30" s="592"/>
      <c r="W30" s="592"/>
      <c r="X30" s="592"/>
    </row>
    <row r="31" spans="1:24" ht="13.5" thickBot="1" x14ac:dyDescent="0.25">
      <c r="A31" s="560">
        <f>A29+1</f>
        <v>12</v>
      </c>
      <c r="B31" s="241"/>
      <c r="C31" s="242" t="s">
        <v>1265</v>
      </c>
      <c r="D31" s="242"/>
      <c r="E31" s="599">
        <f>'B-1 p.1 Summary (Base)'!J33</f>
        <v>242714501.93964785</v>
      </c>
      <c r="F31" s="589"/>
      <c r="G31" s="599">
        <f>I31-E31</f>
        <v>8169057.5391118526</v>
      </c>
      <c r="H31" s="595"/>
      <c r="I31" s="599">
        <f>'B-1 p.2 Summary (Forecast)'!I33</f>
        <v>250883559.47875971</v>
      </c>
      <c r="J31" s="591"/>
      <c r="K31" s="601"/>
      <c r="L31" s="591"/>
      <c r="M31" s="600">
        <f>I31</f>
        <v>250883559.47875971</v>
      </c>
      <c r="N31" s="592"/>
      <c r="O31" s="592"/>
      <c r="P31" s="592"/>
      <c r="Q31" s="592"/>
      <c r="R31" s="592"/>
      <c r="S31" s="592"/>
      <c r="T31" s="592"/>
      <c r="U31" s="592"/>
      <c r="V31" s="592"/>
      <c r="W31" s="592"/>
      <c r="X31" s="592"/>
    </row>
    <row r="32" spans="1:24" ht="13.5" thickTop="1" x14ac:dyDescent="0.2">
      <c r="A32" s="241"/>
      <c r="B32" s="241"/>
      <c r="C32" s="241"/>
      <c r="D32" s="241"/>
      <c r="E32" s="591"/>
      <c r="F32" s="241"/>
      <c r="G32" s="591"/>
      <c r="H32" s="241"/>
      <c r="I32" s="591"/>
      <c r="J32" s="591"/>
      <c r="K32" s="591"/>
      <c r="L32" s="591"/>
      <c r="M32" s="591"/>
      <c r="N32" s="592"/>
      <c r="O32" s="592"/>
      <c r="P32" s="592"/>
      <c r="Q32" s="592"/>
      <c r="R32" s="592"/>
      <c r="S32" s="592"/>
      <c r="T32" s="592"/>
      <c r="U32" s="592"/>
      <c r="V32" s="592"/>
      <c r="W32" s="592"/>
      <c r="X32" s="592"/>
    </row>
    <row r="33" spans="1:17" ht="13.5" thickBot="1" x14ac:dyDescent="0.25">
      <c r="A33" s="560">
        <f>A31+1</f>
        <v>13</v>
      </c>
      <c r="B33" s="241"/>
      <c r="C33" s="242" t="s">
        <v>1316</v>
      </c>
      <c r="D33" s="242"/>
      <c r="E33" s="602">
        <f>ROUND(E29/E31,4)</f>
        <v>5.8599999999999999E-2</v>
      </c>
      <c r="F33" s="242"/>
      <c r="G33" s="603"/>
      <c r="H33" s="241"/>
      <c r="I33" s="602">
        <f>ROUND(I29/I31,4)</f>
        <v>2.3900000000000001E-2</v>
      </c>
      <c r="J33" s="241"/>
      <c r="K33" s="603"/>
      <c r="L33" s="241"/>
      <c r="M33" s="1105">
        <f>'J-1.1, J-1.2 13 MO AVG WACC'!M24</f>
        <v>8.4100000000000008E-2</v>
      </c>
      <c r="O33" s="1133"/>
      <c r="Q33" s="592"/>
    </row>
    <row r="34" spans="1:17" ht="13.5" thickTop="1" x14ac:dyDescent="0.2">
      <c r="A34" s="241"/>
      <c r="B34" s="241"/>
      <c r="C34" s="241"/>
      <c r="D34" s="241"/>
      <c r="E34" s="591"/>
      <c r="F34" s="241"/>
      <c r="G34" s="601"/>
      <c r="H34" s="241"/>
      <c r="I34" s="591"/>
      <c r="J34" s="241"/>
      <c r="K34" s="604"/>
      <c r="L34" s="241"/>
      <c r="M34" s="591"/>
      <c r="O34" s="592"/>
      <c r="Q34" s="592"/>
    </row>
    <row r="35" spans="1:17" ht="11.25" x14ac:dyDescent="0.2">
      <c r="A35" s="577"/>
      <c r="B35" s="577"/>
      <c r="C35" s="605"/>
      <c r="D35" s="605"/>
      <c r="E35" s="606"/>
      <c r="F35" s="605"/>
      <c r="G35" s="606"/>
      <c r="H35" s="605"/>
      <c r="I35" s="606"/>
      <c r="J35" s="577"/>
      <c r="K35" s="607"/>
      <c r="L35" s="577"/>
      <c r="M35" s="607"/>
      <c r="O35" s="592"/>
      <c r="Q35" s="592"/>
    </row>
    <row r="36" spans="1:17" ht="11.25" x14ac:dyDescent="0.2">
      <c r="A36" s="577"/>
      <c r="B36" s="577"/>
      <c r="C36" s="605"/>
      <c r="D36" s="605"/>
      <c r="E36" s="608"/>
      <c r="F36" s="605"/>
      <c r="G36" s="605"/>
      <c r="H36" s="605"/>
      <c r="I36" s="608"/>
      <c r="J36" s="577"/>
      <c r="K36" s="608"/>
      <c r="L36" s="577"/>
      <c r="M36" s="608"/>
      <c r="O36" s="592"/>
      <c r="Q36" s="592"/>
    </row>
    <row r="37" spans="1:17" ht="11.25" x14ac:dyDescent="0.2">
      <c r="A37" s="577"/>
      <c r="B37" s="577"/>
      <c r="C37" s="577"/>
      <c r="D37" s="577"/>
      <c r="E37" s="577"/>
      <c r="F37" s="577"/>
      <c r="G37" s="577"/>
      <c r="H37" s="577"/>
      <c r="I37" s="609"/>
      <c r="J37" s="577"/>
      <c r="K37" s="577"/>
      <c r="L37" s="577"/>
      <c r="M37" s="577"/>
      <c r="O37" s="592"/>
      <c r="Q37" s="592"/>
    </row>
    <row r="38" spans="1:17" ht="11.25" x14ac:dyDescent="0.2">
      <c r="A38" s="577"/>
      <c r="B38" s="577"/>
      <c r="C38" s="605"/>
      <c r="D38" s="605"/>
      <c r="E38" s="605"/>
      <c r="F38" s="605"/>
      <c r="G38" s="605"/>
      <c r="H38" s="605"/>
      <c r="I38" s="606"/>
      <c r="J38" s="577"/>
      <c r="K38" s="577"/>
      <c r="L38" s="577"/>
      <c r="M38" s="577"/>
      <c r="O38" s="592"/>
      <c r="Q38" s="592"/>
    </row>
    <row r="39" spans="1:17" ht="11.25" x14ac:dyDescent="0.2">
      <c r="A39" s="577"/>
      <c r="B39" s="577"/>
      <c r="C39" s="610"/>
      <c r="D39" s="610"/>
      <c r="E39" s="611"/>
      <c r="F39" s="610"/>
      <c r="G39" s="611"/>
      <c r="H39" s="605"/>
      <c r="I39" s="682"/>
      <c r="J39" s="612"/>
      <c r="K39" s="577"/>
      <c r="L39" s="577"/>
      <c r="M39" s="577"/>
    </row>
    <row r="40" spans="1:17" ht="11.25" x14ac:dyDescent="0.2">
      <c r="A40" s="577"/>
      <c r="B40" s="577"/>
      <c r="C40" s="577"/>
      <c r="D40" s="577"/>
      <c r="E40" s="577"/>
      <c r="F40" s="577"/>
      <c r="G40" s="577"/>
      <c r="H40" s="577"/>
      <c r="I40" s="577"/>
      <c r="J40" s="577"/>
      <c r="K40" s="577"/>
      <c r="L40" s="577"/>
      <c r="M40" s="577"/>
    </row>
    <row r="41" spans="1:17" ht="11.25" x14ac:dyDescent="0.2">
      <c r="A41" s="577"/>
      <c r="B41" s="577"/>
      <c r="C41" s="577"/>
      <c r="D41" s="577"/>
      <c r="E41" s="577"/>
      <c r="F41" s="577"/>
      <c r="G41" s="577"/>
      <c r="H41" s="577"/>
      <c r="I41" s="577"/>
      <c r="J41" s="577"/>
      <c r="K41" s="577"/>
      <c r="L41" s="577"/>
      <c r="M41" s="577"/>
    </row>
    <row r="42" spans="1:17" ht="11.25" x14ac:dyDescent="0.2">
      <c r="A42" s="577"/>
      <c r="B42" s="577"/>
      <c r="C42" s="577"/>
      <c r="D42" s="577"/>
      <c r="E42" s="577"/>
      <c r="F42" s="577"/>
      <c r="G42" s="577"/>
      <c r="H42" s="577"/>
      <c r="I42" s="577"/>
      <c r="J42" s="577"/>
      <c r="K42" s="577"/>
      <c r="L42" s="577"/>
      <c r="M42" s="577"/>
    </row>
    <row r="43" spans="1:17" ht="11.25" x14ac:dyDescent="0.2">
      <c r="A43" s="577"/>
      <c r="B43" s="577"/>
      <c r="C43" s="577"/>
      <c r="D43" s="577"/>
      <c r="E43" s="577"/>
      <c r="F43" s="577"/>
      <c r="G43" s="577"/>
      <c r="H43" s="577"/>
      <c r="I43" s="577"/>
      <c r="J43" s="577"/>
      <c r="K43" s="577"/>
      <c r="L43" s="577"/>
      <c r="M43" s="577"/>
    </row>
    <row r="44" spans="1:17" ht="11.25" x14ac:dyDescent="0.2">
      <c r="A44" s="577"/>
      <c r="B44" s="577"/>
      <c r="C44" s="577"/>
      <c r="D44" s="577"/>
      <c r="E44" s="577"/>
      <c r="F44" s="577"/>
      <c r="G44" s="577"/>
      <c r="H44" s="577"/>
      <c r="I44" s="577"/>
      <c r="J44" s="577"/>
      <c r="K44" s="577"/>
      <c r="L44" s="577"/>
      <c r="M44" s="577"/>
    </row>
    <row r="45" spans="1:17" ht="11.25" x14ac:dyDescent="0.2">
      <c r="A45" s="577"/>
      <c r="B45" s="577"/>
      <c r="C45" s="577"/>
      <c r="D45" s="577"/>
      <c r="E45" s="577"/>
      <c r="F45" s="577"/>
      <c r="G45" s="577"/>
      <c r="H45" s="577"/>
      <c r="I45" s="577"/>
      <c r="J45" s="577"/>
      <c r="K45" s="577"/>
      <c r="L45" s="577"/>
      <c r="M45" s="577"/>
    </row>
    <row r="46" spans="1:17" ht="11.25" x14ac:dyDescent="0.2">
      <c r="A46" s="577"/>
      <c r="B46" s="577"/>
      <c r="C46" s="577"/>
      <c r="D46" s="577"/>
      <c r="E46" s="577"/>
      <c r="F46" s="577"/>
      <c r="G46" s="577"/>
      <c r="H46" s="577"/>
      <c r="I46" s="577"/>
      <c r="J46" s="577"/>
      <c r="K46" s="577"/>
      <c r="L46" s="577"/>
      <c r="M46" s="577"/>
    </row>
    <row r="47" spans="1:17" ht="11.25" x14ac:dyDescent="0.2">
      <c r="A47" s="577"/>
      <c r="B47" s="577"/>
      <c r="C47" s="577"/>
      <c r="D47" s="577"/>
      <c r="E47" s="577"/>
      <c r="F47" s="577"/>
      <c r="G47" s="577"/>
      <c r="H47" s="577"/>
      <c r="I47" s="577"/>
      <c r="J47" s="577"/>
      <c r="K47" s="577"/>
      <c r="L47" s="577"/>
      <c r="M47" s="577"/>
    </row>
    <row r="48" spans="1:17" ht="11.25" x14ac:dyDescent="0.2">
      <c r="A48" s="577"/>
      <c r="B48" s="577"/>
      <c r="C48" s="577"/>
      <c r="D48" s="577"/>
      <c r="E48" s="577"/>
      <c r="F48" s="577"/>
      <c r="G48" s="577"/>
      <c r="H48" s="577"/>
      <c r="I48" s="577"/>
      <c r="J48" s="577"/>
      <c r="K48" s="577"/>
      <c r="L48" s="577"/>
      <c r="M48" s="577"/>
    </row>
    <row r="49" spans="1:13" ht="11.25" x14ac:dyDescent="0.2">
      <c r="A49" s="577"/>
      <c r="B49" s="577"/>
      <c r="C49" s="577"/>
      <c r="D49" s="577"/>
      <c r="E49" s="577"/>
      <c r="F49" s="577"/>
      <c r="G49" s="577"/>
      <c r="H49" s="577"/>
      <c r="I49" s="577"/>
      <c r="J49" s="577"/>
      <c r="K49" s="577"/>
      <c r="L49" s="577"/>
      <c r="M49" s="577"/>
    </row>
    <row r="50" spans="1:13" ht="11.25" x14ac:dyDescent="0.2">
      <c r="A50" s="577"/>
      <c r="B50" s="577"/>
      <c r="C50" s="577"/>
      <c r="D50" s="577"/>
      <c r="E50" s="577"/>
      <c r="F50" s="577"/>
      <c r="G50" s="577"/>
      <c r="H50" s="577"/>
      <c r="I50" s="577"/>
      <c r="J50" s="577"/>
      <c r="K50" s="577"/>
      <c r="L50" s="577"/>
      <c r="M50" s="577"/>
    </row>
    <row r="51" spans="1:13" ht="11.25" x14ac:dyDescent="0.2">
      <c r="A51" s="577"/>
      <c r="B51" s="577"/>
      <c r="C51" s="577"/>
      <c r="D51" s="577"/>
      <c r="E51" s="577"/>
      <c r="F51" s="577"/>
      <c r="G51" s="577"/>
      <c r="H51" s="577"/>
      <c r="I51" s="577"/>
      <c r="J51" s="577"/>
      <c r="K51" s="577"/>
      <c r="L51" s="577"/>
      <c r="M51" s="577"/>
    </row>
    <row r="52" spans="1:13" ht="11.25" x14ac:dyDescent="0.2">
      <c r="A52" s="577"/>
      <c r="B52" s="577"/>
      <c r="C52" s="577"/>
      <c r="D52" s="577"/>
      <c r="E52" s="577"/>
      <c r="F52" s="577"/>
      <c r="G52" s="577"/>
      <c r="H52" s="577"/>
      <c r="I52" s="577"/>
      <c r="J52" s="577"/>
      <c r="K52" s="577"/>
      <c r="L52" s="577"/>
      <c r="M52" s="577"/>
    </row>
    <row r="53" spans="1:13" ht="11.25" x14ac:dyDescent="0.2">
      <c r="A53" s="577"/>
      <c r="B53" s="577"/>
      <c r="C53" s="577"/>
      <c r="D53" s="577"/>
      <c r="E53" s="577"/>
      <c r="F53" s="577"/>
      <c r="G53" s="577"/>
      <c r="H53" s="577"/>
      <c r="I53" s="577"/>
      <c r="J53" s="577"/>
      <c r="K53" s="577"/>
      <c r="L53" s="577"/>
      <c r="M53" s="577"/>
    </row>
    <row r="54" spans="1:13" ht="11.25" x14ac:dyDescent="0.2">
      <c r="A54" s="577"/>
      <c r="B54" s="577"/>
      <c r="C54" s="577"/>
      <c r="D54" s="577"/>
      <c r="E54" s="577"/>
      <c r="F54" s="577"/>
      <c r="G54" s="577"/>
      <c r="H54" s="577"/>
      <c r="I54" s="577"/>
      <c r="J54" s="577"/>
      <c r="K54" s="577"/>
      <c r="L54" s="577"/>
      <c r="M54" s="577"/>
    </row>
    <row r="55" spans="1:13" ht="11.25" x14ac:dyDescent="0.2">
      <c r="A55" s="577"/>
      <c r="B55" s="577"/>
      <c r="C55" s="577"/>
      <c r="D55" s="577"/>
      <c r="E55" s="577"/>
      <c r="F55" s="577"/>
      <c r="G55" s="577"/>
      <c r="H55" s="577"/>
      <c r="I55" s="577"/>
      <c r="J55" s="577"/>
      <c r="K55" s="577"/>
      <c r="L55" s="577"/>
      <c r="M55" s="577"/>
    </row>
    <row r="56" spans="1:13" ht="11.25" x14ac:dyDescent="0.2">
      <c r="A56" s="577"/>
      <c r="B56" s="577"/>
      <c r="C56" s="577"/>
      <c r="D56" s="577"/>
      <c r="E56" s="577"/>
      <c r="F56" s="577"/>
      <c r="G56" s="577"/>
      <c r="H56" s="577"/>
      <c r="I56" s="577"/>
      <c r="J56" s="577"/>
      <c r="K56" s="577"/>
      <c r="L56" s="577"/>
      <c r="M56" s="577"/>
    </row>
    <row r="57" spans="1:13" ht="11.25" x14ac:dyDescent="0.2">
      <c r="A57" s="577"/>
      <c r="B57" s="577"/>
      <c r="C57" s="577"/>
      <c r="D57" s="577"/>
      <c r="E57" s="577"/>
      <c r="F57" s="577"/>
      <c r="G57" s="577"/>
      <c r="H57" s="577"/>
      <c r="I57" s="577"/>
      <c r="J57" s="577"/>
      <c r="K57" s="577"/>
      <c r="L57" s="577"/>
      <c r="M57" s="577"/>
    </row>
    <row r="58" spans="1:13" ht="11.25" x14ac:dyDescent="0.2">
      <c r="A58" s="577"/>
      <c r="B58" s="577"/>
      <c r="C58" s="577"/>
      <c r="D58" s="577"/>
      <c r="E58" s="577"/>
      <c r="F58" s="577"/>
      <c r="G58" s="577"/>
      <c r="H58" s="577"/>
      <c r="I58" s="577"/>
      <c r="J58" s="577"/>
      <c r="K58" s="577"/>
      <c r="L58" s="577"/>
      <c r="M58" s="577"/>
    </row>
    <row r="59" spans="1:13" ht="11.25" x14ac:dyDescent="0.2">
      <c r="A59" s="577"/>
      <c r="B59" s="577"/>
      <c r="C59" s="577"/>
      <c r="D59" s="577"/>
      <c r="E59" s="577"/>
      <c r="F59" s="577"/>
      <c r="G59" s="577"/>
      <c r="H59" s="577"/>
      <c r="I59" s="577"/>
      <c r="J59" s="577"/>
      <c r="K59" s="577"/>
      <c r="L59" s="577"/>
      <c r="M59" s="577"/>
    </row>
    <row r="60" spans="1:13" ht="11.25" x14ac:dyDescent="0.2">
      <c r="A60" s="577"/>
      <c r="B60" s="577"/>
      <c r="C60" s="577"/>
      <c r="D60" s="577"/>
      <c r="E60" s="577"/>
      <c r="F60" s="577"/>
      <c r="G60" s="577"/>
      <c r="H60" s="577"/>
      <c r="I60" s="577"/>
      <c r="J60" s="577"/>
      <c r="K60" s="577"/>
      <c r="L60" s="577"/>
      <c r="M60" s="577"/>
    </row>
    <row r="61" spans="1:13" ht="11.25" x14ac:dyDescent="0.2">
      <c r="A61" s="577"/>
      <c r="B61" s="577"/>
      <c r="C61" s="577"/>
      <c r="D61" s="577"/>
      <c r="E61" s="577"/>
      <c r="F61" s="577"/>
      <c r="G61" s="577"/>
      <c r="H61" s="577"/>
      <c r="I61" s="577"/>
      <c r="J61" s="577"/>
      <c r="K61" s="577"/>
      <c r="L61" s="577"/>
      <c r="M61" s="577"/>
    </row>
    <row r="62" spans="1:13" ht="11.25" x14ac:dyDescent="0.2">
      <c r="A62" s="577"/>
      <c r="B62" s="577"/>
      <c r="C62" s="577"/>
      <c r="D62" s="577"/>
      <c r="E62" s="577"/>
      <c r="F62" s="577"/>
      <c r="G62" s="577"/>
      <c r="H62" s="577"/>
      <c r="I62" s="577"/>
      <c r="J62" s="577"/>
      <c r="K62" s="577"/>
      <c r="L62" s="577"/>
      <c r="M62" s="577"/>
    </row>
    <row r="63" spans="1:13" ht="11.25" x14ac:dyDescent="0.2">
      <c r="A63" s="577"/>
      <c r="B63" s="577"/>
      <c r="C63" s="577"/>
      <c r="D63" s="577"/>
      <c r="E63" s="577"/>
      <c r="F63" s="577"/>
      <c r="G63" s="577"/>
      <c r="H63" s="577"/>
      <c r="I63" s="577"/>
      <c r="J63" s="577"/>
      <c r="K63" s="577"/>
      <c r="L63" s="577"/>
      <c r="M63" s="577"/>
    </row>
    <row r="64" spans="1:13" ht="11.25" x14ac:dyDescent="0.2">
      <c r="A64" s="577"/>
      <c r="B64" s="577"/>
      <c r="C64" s="577"/>
      <c r="D64" s="577"/>
      <c r="E64" s="577"/>
      <c r="F64" s="577"/>
      <c r="G64" s="577"/>
      <c r="H64" s="577"/>
      <c r="I64" s="577"/>
      <c r="J64" s="577"/>
      <c r="K64" s="577"/>
      <c r="L64" s="577"/>
      <c r="M64" s="577"/>
    </row>
    <row r="65" spans="1:13" ht="11.25" x14ac:dyDescent="0.2">
      <c r="A65" s="577"/>
      <c r="B65" s="577"/>
      <c r="C65" s="577"/>
      <c r="D65" s="577"/>
      <c r="E65" s="577"/>
      <c r="F65" s="577"/>
      <c r="G65" s="577"/>
      <c r="H65" s="577"/>
      <c r="I65" s="577"/>
      <c r="J65" s="577"/>
      <c r="K65" s="577"/>
      <c r="L65" s="577"/>
      <c r="M65" s="577"/>
    </row>
    <row r="66" spans="1:13" ht="11.25" x14ac:dyDescent="0.2">
      <c r="A66" s="577"/>
      <c r="B66" s="577"/>
      <c r="C66" s="577"/>
      <c r="D66" s="577"/>
      <c r="E66" s="577"/>
      <c r="F66" s="577"/>
      <c r="G66" s="577"/>
      <c r="H66" s="577"/>
      <c r="I66" s="577"/>
      <c r="J66" s="577"/>
      <c r="K66" s="577"/>
      <c r="L66" s="577"/>
      <c r="M66" s="577"/>
    </row>
    <row r="67" spans="1:13" ht="11.25" x14ac:dyDescent="0.2">
      <c r="A67" s="577"/>
      <c r="B67" s="577"/>
      <c r="C67" s="577"/>
      <c r="D67" s="577"/>
      <c r="E67" s="577"/>
      <c r="F67" s="577"/>
      <c r="G67" s="577"/>
      <c r="H67" s="577"/>
      <c r="I67" s="577"/>
      <c r="J67" s="577"/>
      <c r="K67" s="577"/>
      <c r="L67" s="577"/>
      <c r="M67" s="577"/>
    </row>
    <row r="68" spans="1:13" ht="11.25" x14ac:dyDescent="0.2">
      <c r="A68" s="577"/>
      <c r="B68" s="577"/>
      <c r="C68" s="577"/>
      <c r="D68" s="577"/>
      <c r="E68" s="577"/>
      <c r="F68" s="577"/>
      <c r="G68" s="577"/>
      <c r="H68" s="577"/>
      <c r="I68" s="577"/>
      <c r="J68" s="577"/>
      <c r="K68" s="577"/>
      <c r="L68" s="577"/>
      <c r="M68" s="577"/>
    </row>
    <row r="69" spans="1:13" ht="11.25" x14ac:dyDescent="0.2">
      <c r="A69" s="577"/>
      <c r="B69" s="577"/>
      <c r="C69" s="577"/>
      <c r="D69" s="577"/>
      <c r="E69" s="577"/>
      <c r="F69" s="577"/>
      <c r="G69" s="577"/>
      <c r="H69" s="577"/>
      <c r="I69" s="577"/>
      <c r="J69" s="577"/>
      <c r="K69" s="577"/>
      <c r="L69" s="577"/>
      <c r="M69" s="577"/>
    </row>
    <row r="70" spans="1:13" ht="11.25" x14ac:dyDescent="0.2">
      <c r="A70" s="577"/>
      <c r="B70" s="577"/>
      <c r="C70" s="577"/>
      <c r="D70" s="577"/>
      <c r="E70" s="577"/>
      <c r="F70" s="577"/>
      <c r="G70" s="577"/>
      <c r="H70" s="577"/>
      <c r="I70" s="577"/>
      <c r="J70" s="577"/>
      <c r="K70" s="577"/>
      <c r="L70" s="577"/>
      <c r="M70" s="577"/>
    </row>
    <row r="71" spans="1:13" ht="11.25" x14ac:dyDescent="0.2">
      <c r="A71" s="577"/>
      <c r="B71" s="577"/>
      <c r="C71" s="577"/>
      <c r="D71" s="577"/>
      <c r="E71" s="577"/>
      <c r="F71" s="577"/>
      <c r="G71" s="577"/>
      <c r="H71" s="577"/>
      <c r="I71" s="577"/>
      <c r="J71" s="577"/>
      <c r="K71" s="577"/>
      <c r="L71" s="577"/>
      <c r="M71" s="577"/>
    </row>
    <row r="72" spans="1:13" ht="11.25" x14ac:dyDescent="0.2">
      <c r="A72" s="577"/>
      <c r="B72" s="577"/>
      <c r="C72" s="577"/>
      <c r="D72" s="577"/>
      <c r="E72" s="577"/>
      <c r="F72" s="577"/>
      <c r="G72" s="577"/>
      <c r="H72" s="577"/>
      <c r="I72" s="577"/>
      <c r="J72" s="577"/>
      <c r="K72" s="577"/>
      <c r="L72" s="577"/>
      <c r="M72" s="577"/>
    </row>
    <row r="73" spans="1:13" ht="11.25" x14ac:dyDescent="0.2">
      <c r="A73" s="577"/>
      <c r="B73" s="577"/>
      <c r="C73" s="577"/>
      <c r="D73" s="577"/>
      <c r="E73" s="577"/>
      <c r="F73" s="577"/>
      <c r="G73" s="577"/>
      <c r="H73" s="577"/>
      <c r="I73" s="577"/>
      <c r="J73" s="577"/>
      <c r="K73" s="577"/>
      <c r="L73" s="577"/>
      <c r="M73" s="577"/>
    </row>
    <row r="74" spans="1:13" ht="11.25" x14ac:dyDescent="0.2">
      <c r="A74" s="577"/>
      <c r="B74" s="577"/>
      <c r="C74" s="577"/>
      <c r="D74" s="577"/>
      <c r="E74" s="577"/>
      <c r="F74" s="577"/>
      <c r="G74" s="577"/>
      <c r="H74" s="577"/>
      <c r="I74" s="577"/>
      <c r="J74" s="577"/>
      <c r="K74" s="577"/>
      <c r="L74" s="577"/>
      <c r="M74" s="577"/>
    </row>
    <row r="75" spans="1:13" ht="11.25" x14ac:dyDescent="0.2">
      <c r="A75" s="577"/>
      <c r="B75" s="577"/>
      <c r="C75" s="577"/>
      <c r="D75" s="577"/>
      <c r="E75" s="577"/>
      <c r="F75" s="577"/>
      <c r="G75" s="577"/>
      <c r="H75" s="577"/>
      <c r="I75" s="577"/>
      <c r="J75" s="577"/>
      <c r="K75" s="577"/>
      <c r="L75" s="577"/>
      <c r="M75" s="577"/>
    </row>
    <row r="76" spans="1:13" ht="11.25" x14ac:dyDescent="0.2">
      <c r="A76" s="577"/>
      <c r="B76" s="577"/>
      <c r="C76" s="577"/>
      <c r="D76" s="577"/>
      <c r="E76" s="577"/>
      <c r="F76" s="577"/>
      <c r="G76" s="577"/>
      <c r="H76" s="577"/>
      <c r="I76" s="577"/>
      <c r="J76" s="577"/>
      <c r="K76" s="577"/>
      <c r="L76" s="577"/>
      <c r="M76" s="577"/>
    </row>
    <row r="77" spans="1:13" ht="11.25" x14ac:dyDescent="0.2">
      <c r="A77" s="577"/>
      <c r="B77" s="577"/>
      <c r="C77" s="577"/>
      <c r="D77" s="577"/>
      <c r="E77" s="577"/>
      <c r="F77" s="577"/>
      <c r="G77" s="577"/>
      <c r="H77" s="577"/>
      <c r="I77" s="577"/>
      <c r="J77" s="577"/>
      <c r="K77" s="577"/>
      <c r="L77" s="577"/>
      <c r="M77" s="577"/>
    </row>
    <row r="78" spans="1:13" ht="11.25" x14ac:dyDescent="0.2">
      <c r="A78" s="577"/>
      <c r="B78" s="577"/>
      <c r="C78" s="577"/>
      <c r="D78" s="577"/>
      <c r="E78" s="577"/>
      <c r="F78" s="577"/>
      <c r="G78" s="577"/>
      <c r="H78" s="577"/>
      <c r="I78" s="577"/>
      <c r="J78" s="577"/>
      <c r="K78" s="577"/>
      <c r="L78" s="577"/>
      <c r="M78" s="577"/>
    </row>
    <row r="79" spans="1:13" ht="11.25" x14ac:dyDescent="0.2">
      <c r="A79" s="577"/>
      <c r="B79" s="577"/>
      <c r="C79" s="577"/>
      <c r="D79" s="577"/>
      <c r="E79" s="577"/>
      <c r="F79" s="577"/>
      <c r="G79" s="577"/>
      <c r="H79" s="577"/>
      <c r="I79" s="577"/>
      <c r="J79" s="577"/>
      <c r="K79" s="577"/>
      <c r="L79" s="577"/>
      <c r="M79" s="577"/>
    </row>
  </sheetData>
  <mergeCells count="4">
    <mergeCell ref="A1:M1"/>
    <mergeCell ref="A2:M2"/>
    <mergeCell ref="A3:M3"/>
    <mergeCell ref="A4:M4"/>
  </mergeCells>
  <phoneticPr fontId="0" type="noConversion"/>
  <printOptions horizontalCentered="1"/>
  <pageMargins left="0.5" right="0.5" top="1" bottom="0.5" header="0.3" footer="0.3"/>
  <pageSetup scale="87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A97"/>
  <sheetViews>
    <sheetView zoomScaleNormal="100" workbookViewId="0">
      <selection activeCell="C22" sqref="C22"/>
    </sheetView>
  </sheetViews>
  <sheetFormatPr defaultColWidth="8.33203125" defaultRowHeight="9" x14ac:dyDescent="0.15"/>
  <cols>
    <col min="1" max="1" width="5" style="614" customWidth="1"/>
    <col min="2" max="2" width="3.83203125" style="614" customWidth="1"/>
    <col min="3" max="3" width="60.1640625" style="614" bestFit="1" customWidth="1"/>
    <col min="4" max="4" width="4" style="614" customWidth="1"/>
    <col min="5" max="5" width="16.6640625" style="614" bestFit="1" customWidth="1"/>
    <col min="6" max="6" width="4" style="614" customWidth="1"/>
    <col min="7" max="7" width="16.6640625" style="614" bestFit="1" customWidth="1"/>
    <col min="8" max="8" width="4" style="614" customWidth="1"/>
    <col min="9" max="9" width="16.83203125" style="614" bestFit="1" customWidth="1"/>
    <col min="10" max="10" width="4" style="614" customWidth="1"/>
    <col min="11" max="11" width="18" style="614" customWidth="1"/>
    <col min="12" max="12" width="4" style="614" customWidth="1"/>
    <col min="13" max="13" width="15.33203125" style="614" customWidth="1"/>
    <col min="14" max="14" width="14" style="614" customWidth="1"/>
    <col min="15" max="15" width="20.83203125" style="614" customWidth="1"/>
    <col min="16" max="17" width="15.83203125" style="614" customWidth="1"/>
    <col min="18" max="18" width="10.83203125" style="614" customWidth="1"/>
    <col min="19" max="19" width="10" style="614" customWidth="1"/>
    <col min="20" max="20" width="11.6640625" style="614" customWidth="1"/>
    <col min="21" max="21" width="2.5" style="614" customWidth="1"/>
    <col min="22" max="22" width="10" style="614" customWidth="1"/>
    <col min="23" max="16384" width="8.33203125" style="614"/>
  </cols>
  <sheetData>
    <row r="1" spans="1:24" ht="12.75" x14ac:dyDescent="0.2">
      <c r="A1" s="2126" t="str">
        <f>co</f>
        <v>COLUMBIA GAS OF KENTUCKY, INC.</v>
      </c>
      <c r="B1" s="2126"/>
      <c r="C1" s="2126"/>
      <c r="D1" s="2126"/>
      <c r="E1" s="2126"/>
      <c r="F1" s="2126"/>
      <c r="G1" s="2126"/>
      <c r="H1" s="2126"/>
      <c r="I1" s="2126"/>
      <c r="J1" s="2126"/>
      <c r="K1" s="2126"/>
      <c r="L1" s="2126"/>
      <c r="M1" s="2126"/>
      <c r="N1" s="575"/>
      <c r="O1" s="575"/>
      <c r="P1" s="575"/>
      <c r="Q1" s="573"/>
      <c r="R1" s="573"/>
      <c r="S1" s="573"/>
      <c r="T1" s="573"/>
    </row>
    <row r="2" spans="1:24" ht="12.75" x14ac:dyDescent="0.2">
      <c r="A2" s="2126" t="str">
        <f>case</f>
        <v>CASE NO. 2016 - 00162</v>
      </c>
      <c r="B2" s="2126"/>
      <c r="C2" s="2126"/>
      <c r="D2" s="2126"/>
      <c r="E2" s="2126"/>
      <c r="F2" s="2126"/>
      <c r="G2" s="2126"/>
      <c r="H2" s="2126"/>
      <c r="I2" s="2126"/>
      <c r="J2" s="2126"/>
      <c r="K2" s="2126"/>
      <c r="L2" s="2126"/>
      <c r="M2" s="2126"/>
      <c r="N2" s="575"/>
      <c r="O2" s="575"/>
      <c r="P2" s="575"/>
      <c r="Q2" s="573"/>
      <c r="R2" s="573"/>
      <c r="S2" s="573"/>
      <c r="T2" s="573"/>
    </row>
    <row r="3" spans="1:24" ht="12.75" x14ac:dyDescent="0.2">
      <c r="A3" s="2127" t="s">
        <v>1284</v>
      </c>
      <c r="B3" s="2127"/>
      <c r="C3" s="2127"/>
      <c r="D3" s="2127"/>
      <c r="E3" s="2127"/>
      <c r="F3" s="2127"/>
      <c r="G3" s="2127"/>
      <c r="H3" s="2127"/>
      <c r="I3" s="2127"/>
      <c r="J3" s="2127"/>
      <c r="K3" s="2127"/>
      <c r="L3" s="2127"/>
      <c r="M3" s="2127"/>
      <c r="N3" s="575"/>
      <c r="O3" s="575"/>
      <c r="P3" s="575"/>
      <c r="Q3" s="573"/>
      <c r="R3" s="573"/>
      <c r="S3" s="573"/>
      <c r="T3" s="573"/>
    </row>
    <row r="4" spans="1:24" ht="12.75" x14ac:dyDescent="0.2">
      <c r="A4" s="2126" t="str">
        <f>'Operating Income Summary C-1'!A4:M4</f>
        <v>FOR THE BASE PERIOD 12 MONTHS ENDED AUGUST 31, 2016 AND THE FORECAST PERIOD 12 MONTHS ENDED DECEMBER 31, 2017</v>
      </c>
      <c r="B4" s="2126"/>
      <c r="C4" s="2126"/>
      <c r="D4" s="2126"/>
      <c r="E4" s="2126"/>
      <c r="F4" s="2126"/>
      <c r="G4" s="2126"/>
      <c r="H4" s="2126"/>
      <c r="I4" s="2126"/>
      <c r="J4" s="2126"/>
      <c r="K4" s="2126"/>
      <c r="L4" s="2126"/>
      <c r="M4" s="2126"/>
      <c r="N4" s="575"/>
      <c r="O4" s="575"/>
      <c r="P4" s="575"/>
      <c r="Q4" s="573"/>
      <c r="R4" s="573"/>
      <c r="S4" s="573"/>
      <c r="T4" s="573"/>
    </row>
    <row r="5" spans="1:24" ht="12.75" x14ac:dyDescent="0.2">
      <c r="A5" s="241"/>
      <c r="B5" s="241"/>
      <c r="C5" s="615"/>
      <c r="D5" s="615"/>
      <c r="E5" s="615"/>
      <c r="F5" s="615"/>
      <c r="G5" s="615"/>
      <c r="H5" s="241"/>
      <c r="I5" s="241"/>
      <c r="J5" s="241"/>
      <c r="K5" s="241"/>
      <c r="L5" s="241"/>
      <c r="M5" s="241"/>
      <c r="N5" s="573"/>
      <c r="O5" s="573"/>
      <c r="P5" s="573"/>
      <c r="Q5" s="573"/>
      <c r="R5" s="573"/>
      <c r="S5" s="573"/>
      <c r="T5" s="573"/>
    </row>
    <row r="6" spans="1:24" ht="12.75" x14ac:dyDescent="0.2">
      <c r="A6" s="242" t="s">
        <v>1317</v>
      </c>
      <c r="B6" s="241"/>
      <c r="C6" s="241"/>
      <c r="D6" s="241"/>
      <c r="E6" s="241"/>
      <c r="F6" s="241"/>
      <c r="G6" s="241"/>
      <c r="H6" s="241"/>
      <c r="I6" s="241"/>
      <c r="J6" s="241"/>
      <c r="K6" s="616"/>
      <c r="L6" s="241"/>
      <c r="M6" s="617" t="s">
        <v>1318</v>
      </c>
      <c r="N6" s="573"/>
      <c r="Q6" s="573"/>
      <c r="S6" s="573"/>
      <c r="T6" s="573"/>
    </row>
    <row r="7" spans="1:24" ht="12.75" x14ac:dyDescent="0.2">
      <c r="A7" s="242" t="s">
        <v>977</v>
      </c>
      <c r="B7" s="241"/>
      <c r="C7" s="241"/>
      <c r="D7" s="241"/>
      <c r="E7" s="241"/>
      <c r="F7" s="241"/>
      <c r="G7" s="247"/>
      <c r="H7" s="247"/>
      <c r="I7" s="247"/>
      <c r="J7" s="247"/>
      <c r="K7" s="616"/>
      <c r="L7" s="241"/>
      <c r="M7" s="617" t="s">
        <v>1299</v>
      </c>
      <c r="N7" s="573"/>
      <c r="Q7" s="573"/>
      <c r="S7" s="573"/>
      <c r="T7" s="573"/>
    </row>
    <row r="8" spans="1:24" ht="12.75" x14ac:dyDescent="0.2">
      <c r="A8" s="579" t="s">
        <v>996</v>
      </c>
      <c r="B8" s="580"/>
      <c r="C8" s="580"/>
      <c r="D8" s="580"/>
      <c r="E8" s="580"/>
      <c r="F8" s="580"/>
      <c r="G8" s="1238"/>
      <c r="H8" s="1238"/>
      <c r="I8" s="1238"/>
      <c r="J8" s="1238"/>
      <c r="K8" s="618"/>
      <c r="L8" s="581"/>
      <c r="M8" s="619" t="str">
        <f>JTC</f>
        <v>WITNESS:  J. T. CROOM</v>
      </c>
      <c r="N8" s="573"/>
      <c r="O8" s="573"/>
      <c r="P8" s="573"/>
      <c r="Q8" s="573"/>
      <c r="S8" s="573"/>
      <c r="T8" s="573"/>
    </row>
    <row r="9" spans="1:24" ht="12.75" x14ac:dyDescent="0.2">
      <c r="A9" s="241"/>
      <c r="B9" s="241"/>
      <c r="C9" s="241"/>
      <c r="D9" s="241"/>
      <c r="E9" s="560" t="s">
        <v>634</v>
      </c>
      <c r="F9" s="241"/>
      <c r="G9" s="1234" t="s">
        <v>1319</v>
      </c>
      <c r="H9" s="241"/>
      <c r="I9" s="560" t="s">
        <v>1320</v>
      </c>
      <c r="J9" s="241"/>
      <c r="K9" s="1239" t="s">
        <v>1319</v>
      </c>
      <c r="L9" s="248"/>
      <c r="M9" s="620" t="s">
        <v>672</v>
      </c>
      <c r="N9" s="573"/>
      <c r="O9" s="573"/>
      <c r="P9" s="573"/>
      <c r="Q9" s="573"/>
      <c r="R9" s="573"/>
      <c r="S9" s="573"/>
      <c r="T9" s="573"/>
    </row>
    <row r="10" spans="1:24" ht="12.75" x14ac:dyDescent="0.2">
      <c r="A10" s="613" t="s">
        <v>632</v>
      </c>
      <c r="B10" s="241"/>
      <c r="C10" s="560"/>
      <c r="D10" s="560"/>
      <c r="E10" s="1886" t="s">
        <v>1321</v>
      </c>
      <c r="F10" s="1884"/>
      <c r="G10" s="1239" t="s">
        <v>1322</v>
      </c>
      <c r="H10" s="247"/>
      <c r="I10" s="1886" t="s">
        <v>1321</v>
      </c>
      <c r="J10" s="247"/>
      <c r="K10" s="1239">
        <v>2.4</v>
      </c>
      <c r="L10" s="1887"/>
      <c r="M10" s="1886" t="s">
        <v>1321</v>
      </c>
      <c r="N10" s="573"/>
      <c r="O10" s="573"/>
      <c r="P10" s="573"/>
      <c r="Q10" s="573"/>
      <c r="R10" s="573"/>
      <c r="S10" s="573"/>
      <c r="T10" s="573"/>
    </row>
    <row r="11" spans="1:24" ht="12.75" x14ac:dyDescent="0.2">
      <c r="A11" s="621" t="s">
        <v>635</v>
      </c>
      <c r="B11" s="580"/>
      <c r="C11" s="621" t="s">
        <v>1323</v>
      </c>
      <c r="D11" s="621"/>
      <c r="E11" s="1888" t="s">
        <v>1324</v>
      </c>
      <c r="F11" s="1889"/>
      <c r="G11" s="1240" t="s">
        <v>677</v>
      </c>
      <c r="H11" s="1238"/>
      <c r="I11" s="1888" t="s">
        <v>1324</v>
      </c>
      <c r="J11" s="1238"/>
      <c r="K11" s="1240" t="s">
        <v>677</v>
      </c>
      <c r="L11" s="583"/>
      <c r="M11" s="1888" t="s">
        <v>1324</v>
      </c>
      <c r="N11" s="573"/>
      <c r="O11" s="573"/>
      <c r="P11" s="573"/>
      <c r="Q11" s="573"/>
      <c r="R11" s="573"/>
      <c r="S11" s="573"/>
      <c r="T11" s="573"/>
    </row>
    <row r="12" spans="1:24" ht="12.75" x14ac:dyDescent="0.2">
      <c r="A12" s="241"/>
      <c r="B12" s="241"/>
      <c r="C12" s="622"/>
      <c r="D12" s="622"/>
      <c r="E12" s="1884" t="s">
        <v>639</v>
      </c>
      <c r="F12" s="1890"/>
      <c r="G12" s="1884" t="s">
        <v>639</v>
      </c>
      <c r="H12" s="247"/>
      <c r="I12" s="1884" t="s">
        <v>639</v>
      </c>
      <c r="J12" s="247"/>
      <c r="K12" s="623" t="s">
        <v>639</v>
      </c>
      <c r="L12" s="247"/>
      <c r="M12" s="1884" t="s">
        <v>639</v>
      </c>
      <c r="N12" s="573"/>
      <c r="O12" s="681"/>
      <c r="P12" s="573"/>
      <c r="Q12" s="573"/>
      <c r="R12" s="573"/>
      <c r="S12" s="573"/>
      <c r="T12" s="573"/>
    </row>
    <row r="13" spans="1:24" ht="12.75" x14ac:dyDescent="0.2">
      <c r="A13" s="617" t="s">
        <v>1325</v>
      </c>
      <c r="B13" s="241"/>
      <c r="C13" s="242" t="s">
        <v>1326</v>
      </c>
      <c r="D13" s="242"/>
      <c r="E13" s="624">
        <f>'Oper Rev&amp;Exp by Accts C2.1A'!F30</f>
        <v>102043183.86</v>
      </c>
      <c r="F13" s="637"/>
      <c r="G13" s="624">
        <f>I13-E13</f>
        <v>-9458195.7899999917</v>
      </c>
      <c r="H13" s="638"/>
      <c r="I13" s="624">
        <f>'Oper Rev&amp;Exp by Accts C2.1B'!F30</f>
        <v>92584988.070000008</v>
      </c>
      <c r="J13" s="638"/>
      <c r="K13" s="638">
        <f>SUM('D-1'!N18)</f>
        <v>97179</v>
      </c>
      <c r="L13" s="638"/>
      <c r="M13" s="638">
        <f>I13+K13</f>
        <v>92682167.070000008</v>
      </c>
      <c r="N13" s="573"/>
      <c r="O13" s="682"/>
      <c r="P13" s="627"/>
      <c r="Q13" s="628"/>
      <c r="R13" s="627"/>
      <c r="S13" s="628"/>
      <c r="T13" s="627"/>
      <c r="U13" s="573"/>
    </row>
    <row r="14" spans="1:24" ht="12.75" x14ac:dyDescent="0.2">
      <c r="A14" s="629"/>
      <c r="B14" s="241"/>
      <c r="C14" s="630"/>
      <c r="D14" s="630"/>
      <c r="E14" s="631"/>
      <c r="F14" s="1620"/>
      <c r="G14" s="631"/>
      <c r="H14" s="638"/>
      <c r="I14" s="631"/>
      <c r="J14" s="638"/>
      <c r="K14" s="625"/>
      <c r="L14" s="638"/>
      <c r="M14" s="638"/>
      <c r="N14" s="573"/>
      <c r="O14" s="682"/>
      <c r="P14" s="627"/>
      <c r="Q14" s="573"/>
      <c r="R14" s="627"/>
      <c r="S14" s="573"/>
      <c r="T14" s="627"/>
      <c r="U14" s="573"/>
    </row>
    <row r="15" spans="1:24" ht="12.75" x14ac:dyDescent="0.2">
      <c r="A15" s="617">
        <f>A13+1</f>
        <v>2</v>
      </c>
      <c r="B15" s="241"/>
      <c r="C15" s="242" t="s">
        <v>1306</v>
      </c>
      <c r="D15" s="242"/>
      <c r="E15" s="625"/>
      <c r="F15" s="637"/>
      <c r="G15" s="625"/>
      <c r="H15" s="638"/>
      <c r="I15" s="625"/>
      <c r="J15" s="638"/>
      <c r="K15" s="625"/>
      <c r="L15" s="638"/>
      <c r="M15" s="638"/>
      <c r="N15" s="573"/>
      <c r="O15" s="682"/>
      <c r="P15" s="573"/>
      <c r="Q15" s="573"/>
      <c r="R15" s="573"/>
      <c r="S15" s="573"/>
      <c r="T15" s="573"/>
      <c r="U15" s="628"/>
      <c r="W15" s="632"/>
      <c r="X15" s="633"/>
    </row>
    <row r="16" spans="1:24" ht="12.75" x14ac:dyDescent="0.2">
      <c r="A16" s="617">
        <f>A15+1</f>
        <v>3</v>
      </c>
      <c r="B16" s="241"/>
      <c r="C16" s="242" t="s">
        <v>1307</v>
      </c>
      <c r="D16" s="242"/>
      <c r="E16" s="624">
        <f>'Oper Rev&amp;Exp by Accts C2.1A'!D51</f>
        <v>30222805.32</v>
      </c>
      <c r="F16" s="637"/>
      <c r="G16" s="1891">
        <f>I16-E16</f>
        <v>-8402732.200000003</v>
      </c>
      <c r="H16" s="638"/>
      <c r="I16" s="624">
        <f>'Oper Rev&amp;Exp by Accts C2.1B'!F51</f>
        <v>21820073.119999997</v>
      </c>
      <c r="J16" s="638"/>
      <c r="K16" s="638">
        <f>SUM('D-1'!N156:N161)</f>
        <v>-2566</v>
      </c>
      <c r="L16" s="638"/>
      <c r="M16" s="638">
        <f t="shared" ref="M16:M23" si="0">I16+K16</f>
        <v>21817507.119999997</v>
      </c>
      <c r="N16" s="1143"/>
      <c r="O16" s="682"/>
      <c r="P16" s="627"/>
      <c r="Q16" s="628"/>
      <c r="R16" s="627"/>
      <c r="S16" s="628"/>
      <c r="T16" s="627"/>
      <c r="U16" s="628"/>
      <c r="W16" s="632"/>
      <c r="X16" s="633"/>
    </row>
    <row r="17" spans="1:24" ht="12.75" x14ac:dyDescent="0.2">
      <c r="A17" s="617">
        <f t="shared" ref="A17:A29" si="1">A16+1</f>
        <v>4</v>
      </c>
      <c r="B17" s="241"/>
      <c r="C17" s="242" t="s">
        <v>1327</v>
      </c>
      <c r="D17" s="242"/>
      <c r="E17" s="588">
        <f>'Oper Rev&amp;Exp by Accts C2.1A'!D39</f>
        <v>1191.99</v>
      </c>
      <c r="F17" s="637"/>
      <c r="G17" s="624">
        <f t="shared" ref="G17:G28" si="2">I17-E17</f>
        <v>947.01</v>
      </c>
      <c r="H17" s="638"/>
      <c r="I17" s="588">
        <f>'Oper Rev&amp;Exp by Accts C2.1B'!F39</f>
        <v>2139</v>
      </c>
      <c r="J17" s="638"/>
      <c r="K17" s="1892">
        <v>0</v>
      </c>
      <c r="L17" s="638"/>
      <c r="M17" s="638">
        <f t="shared" si="0"/>
        <v>2139</v>
      </c>
      <c r="N17" s="573"/>
      <c r="O17" s="682"/>
      <c r="P17" s="592"/>
      <c r="Q17" s="628"/>
      <c r="R17" s="592"/>
      <c r="S17" s="628"/>
      <c r="T17" s="592"/>
      <c r="U17" s="573"/>
    </row>
    <row r="18" spans="1:24" ht="12.75" x14ac:dyDescent="0.2">
      <c r="A18" s="617">
        <f t="shared" si="1"/>
        <v>5</v>
      </c>
      <c r="B18" s="241"/>
      <c r="C18" s="634" t="s">
        <v>1328</v>
      </c>
      <c r="D18" s="634"/>
      <c r="E18" s="588">
        <f>'Oper Rev&amp;Exp by Accts C2.1A'!F63+'Oper Rev&amp;Exp by Accts C2.1A'!F74</f>
        <v>15465973.108720001</v>
      </c>
      <c r="F18" s="639"/>
      <c r="G18" s="624">
        <f t="shared" si="2"/>
        <v>1563790.8912799992</v>
      </c>
      <c r="H18" s="638"/>
      <c r="I18" s="588">
        <f>'Oper Rev&amp;Exp by Accts C2.1B'!F63+'Oper Rev&amp;Exp by Accts C2.1B'!F74</f>
        <v>17029764</v>
      </c>
      <c r="J18" s="638"/>
      <c r="K18" s="638">
        <f>SUM('D-1'!N162:N178)</f>
        <v>1439212</v>
      </c>
      <c r="L18" s="638"/>
      <c r="M18" s="638">
        <f t="shared" si="0"/>
        <v>18468976</v>
      </c>
      <c r="N18" s="1143"/>
      <c r="O18" s="682"/>
      <c r="P18" s="592"/>
      <c r="Q18" s="628"/>
      <c r="R18" s="592"/>
      <c r="S18" s="628"/>
      <c r="T18" s="592"/>
      <c r="U18" s="573"/>
    </row>
    <row r="19" spans="1:24" ht="12.75" x14ac:dyDescent="0.2">
      <c r="A19" s="617">
        <f t="shared" si="1"/>
        <v>6</v>
      </c>
      <c r="B19" s="241"/>
      <c r="C19" s="634" t="s">
        <v>1329</v>
      </c>
      <c r="D19" s="634"/>
      <c r="E19" s="588">
        <f>'Oper Rev&amp;Exp by Accts C2.1A'!F97</f>
        <v>4497598.2565200003</v>
      </c>
      <c r="F19" s="639"/>
      <c r="G19" s="624">
        <f t="shared" si="2"/>
        <v>1355366.7434799997</v>
      </c>
      <c r="H19" s="638"/>
      <c r="I19" s="588">
        <f>'Oper Rev&amp;Exp by Accts C2.1B'!F97</f>
        <v>5852965</v>
      </c>
      <c r="J19" s="638"/>
      <c r="K19" s="638">
        <f>SUM('D-1'!N179:N183)</f>
        <v>-313753</v>
      </c>
      <c r="L19" s="638"/>
      <c r="M19" s="638">
        <f t="shared" si="0"/>
        <v>5539212</v>
      </c>
      <c r="N19" s="1143"/>
      <c r="O19" s="682"/>
      <c r="P19" s="626"/>
      <c r="Q19" s="628"/>
      <c r="R19" s="592"/>
      <c r="S19" s="628"/>
      <c r="T19" s="592"/>
      <c r="U19" s="573"/>
      <c r="X19" s="636"/>
    </row>
    <row r="20" spans="1:24" ht="12.75" x14ac:dyDescent="0.2">
      <c r="A20" s="617">
        <f t="shared" si="1"/>
        <v>7</v>
      </c>
      <c r="B20" s="241"/>
      <c r="C20" s="242" t="s">
        <v>1330</v>
      </c>
      <c r="D20" s="242"/>
      <c r="E20" s="624">
        <f>'Oper Rev&amp;Exp by Accts C2.1A'!F106</f>
        <v>1225708.2447599997</v>
      </c>
      <c r="F20" s="637"/>
      <c r="G20" s="624">
        <f t="shared" si="2"/>
        <v>467091.75524000032</v>
      </c>
      <c r="H20" s="638"/>
      <c r="I20" s="624">
        <f>'Oper Rev&amp;Exp by Accts C2.1B'!F106</f>
        <v>1692800</v>
      </c>
      <c r="J20" s="638"/>
      <c r="K20" s="638">
        <f>SUM('D-1'!N184:N187)</f>
        <v>-146039</v>
      </c>
      <c r="L20" s="638"/>
      <c r="M20" s="638">
        <f t="shared" si="0"/>
        <v>1546761</v>
      </c>
      <c r="N20" s="1143"/>
      <c r="O20" s="1470"/>
      <c r="P20" s="627"/>
      <c r="Q20" s="628"/>
      <c r="R20" s="592"/>
      <c r="S20" s="628"/>
      <c r="T20" s="627"/>
      <c r="U20" s="573"/>
      <c r="X20" s="633"/>
    </row>
    <row r="21" spans="1:24" ht="12.75" x14ac:dyDescent="0.2">
      <c r="A21" s="617">
        <f t="shared" si="1"/>
        <v>8</v>
      </c>
      <c r="B21" s="241"/>
      <c r="C21" s="634" t="s">
        <v>1331</v>
      </c>
      <c r="D21" s="634"/>
      <c r="E21" s="624">
        <f>'Oper Rev&amp;Exp by Accts C2.1A'!F113</f>
        <v>129660.43</v>
      </c>
      <c r="F21" s="639"/>
      <c r="G21" s="624">
        <f t="shared" si="2"/>
        <v>105674.57</v>
      </c>
      <c r="H21" s="638"/>
      <c r="I21" s="624">
        <f>'Oper Rev&amp;Exp by Accts C2.1B'!F113</f>
        <v>235335</v>
      </c>
      <c r="J21" s="638"/>
      <c r="K21" s="638">
        <f>SUM('D-1'!N188:N190)</f>
        <v>-59152</v>
      </c>
      <c r="L21" s="638"/>
      <c r="M21" s="638">
        <f t="shared" si="0"/>
        <v>176183</v>
      </c>
      <c r="N21" s="1143"/>
      <c r="O21" s="1470"/>
      <c r="P21" s="627"/>
      <c r="Q21" s="628"/>
      <c r="R21" s="627"/>
      <c r="S21" s="628"/>
      <c r="T21" s="627"/>
      <c r="U21" s="573"/>
      <c r="X21" s="633"/>
    </row>
    <row r="22" spans="1:24" ht="12.75" x14ac:dyDescent="0.2">
      <c r="A22" s="617">
        <f t="shared" si="1"/>
        <v>9</v>
      </c>
      <c r="B22" s="241"/>
      <c r="C22" s="634" t="s">
        <v>1332</v>
      </c>
      <c r="D22" s="634"/>
      <c r="E22" s="624">
        <f>'Oper Rev&amp;Exp by Accts C2.1A'!F127+'Oper Rev&amp;Exp by Accts C2.1A'!F132</f>
        <v>17421630.530000001</v>
      </c>
      <c r="F22" s="639"/>
      <c r="G22" s="624">
        <f t="shared" si="2"/>
        <v>1591252.909959998</v>
      </c>
      <c r="H22" s="638"/>
      <c r="I22" s="624">
        <f>'Oper Rev&amp;Exp by Accts C2.1B'!F127+'Oper Rev&amp;Exp by Accts C2.1B'!F132</f>
        <v>19012883.439959999</v>
      </c>
      <c r="J22" s="638"/>
      <c r="K22" s="638">
        <f>SUM('D-1'!N191:N196,'D-1'!N210:N216)</f>
        <v>7320</v>
      </c>
      <c r="L22" s="638"/>
      <c r="M22" s="638">
        <f t="shared" si="0"/>
        <v>19020203.439959999</v>
      </c>
      <c r="N22" s="1143"/>
      <c r="O22" s="682"/>
      <c r="P22" s="627"/>
      <c r="Q22" s="628"/>
      <c r="R22" s="627"/>
      <c r="S22" s="628"/>
      <c r="T22" s="627"/>
      <c r="U22" s="628"/>
      <c r="W22" s="632"/>
      <c r="X22" s="633"/>
    </row>
    <row r="23" spans="1:24" ht="12.75" x14ac:dyDescent="0.2">
      <c r="A23" s="617">
        <f t="shared" si="1"/>
        <v>10</v>
      </c>
      <c r="B23" s="241"/>
      <c r="C23" s="634" t="s">
        <v>1309</v>
      </c>
      <c r="D23" s="634"/>
      <c r="E23" s="624">
        <f>'Oper Rev&amp;Exp by Accts C2.1A'!F136</f>
        <v>8846618.3807191737</v>
      </c>
      <c r="F23" s="639"/>
      <c r="G23" s="624">
        <f t="shared" si="2"/>
        <v>6981518.7763158623</v>
      </c>
      <c r="H23" s="638"/>
      <c r="I23" s="624">
        <f>'Oper Rev&amp;Exp by Accts C2.1B'!F136</f>
        <v>15828137.157035036</v>
      </c>
      <c r="J23" s="638"/>
      <c r="K23" s="625">
        <v>0</v>
      </c>
      <c r="L23" s="638"/>
      <c r="M23" s="638">
        <f t="shared" si="0"/>
        <v>15828137.157035036</v>
      </c>
      <c r="N23" s="573"/>
      <c r="O23" s="682"/>
      <c r="P23" s="627"/>
      <c r="Q23" s="628"/>
      <c r="R23" s="627"/>
      <c r="S23" s="628"/>
      <c r="T23" s="627"/>
      <c r="U23" s="628"/>
      <c r="W23" s="632"/>
      <c r="X23" s="633"/>
    </row>
    <row r="24" spans="1:24" ht="12.75" x14ac:dyDescent="0.2">
      <c r="A24" s="617">
        <f t="shared" si="1"/>
        <v>11</v>
      </c>
      <c r="B24" s="241"/>
      <c r="C24" s="634" t="s">
        <v>1333</v>
      </c>
      <c r="D24" s="634"/>
      <c r="E24" s="588"/>
      <c r="F24" s="639"/>
      <c r="G24" s="588"/>
      <c r="H24" s="638"/>
      <c r="I24" s="588"/>
      <c r="J24" s="638"/>
      <c r="K24" s="625"/>
      <c r="L24" s="638"/>
      <c r="M24" s="638"/>
      <c r="N24" s="573"/>
      <c r="O24" s="682"/>
      <c r="P24" s="592"/>
      <c r="Q24" s="628"/>
      <c r="R24" s="592"/>
      <c r="S24" s="628"/>
      <c r="T24" s="592"/>
      <c r="U24" s="628"/>
      <c r="W24" s="632"/>
      <c r="X24" s="640"/>
    </row>
    <row r="25" spans="1:24" ht="12.75" x14ac:dyDescent="0.2">
      <c r="A25" s="617">
        <f t="shared" si="1"/>
        <v>12</v>
      </c>
      <c r="B25" s="241"/>
      <c r="C25" s="634" t="s">
        <v>1334</v>
      </c>
      <c r="D25" s="634"/>
      <c r="E25" s="588">
        <f>'Total Co Accts Activ C2.2A'!P15</f>
        <v>3398539.84</v>
      </c>
      <c r="F25" s="639"/>
      <c r="G25" s="624">
        <f t="shared" si="2"/>
        <v>525460.16000000015</v>
      </c>
      <c r="H25" s="638"/>
      <c r="I25" s="588">
        <f>'Total Co Accts Activ C2.2B'!P15</f>
        <v>3924000</v>
      </c>
      <c r="J25" s="638"/>
      <c r="K25" s="638">
        <f>'D-1'!G264</f>
        <v>212779</v>
      </c>
      <c r="L25" s="638"/>
      <c r="M25" s="638">
        <f>I25+K25</f>
        <v>4136779</v>
      </c>
      <c r="N25" s="573"/>
      <c r="O25" s="647"/>
      <c r="P25" s="592"/>
      <c r="Q25" s="628"/>
      <c r="R25" s="592"/>
      <c r="S25" s="628"/>
      <c r="T25" s="592"/>
      <c r="U25" s="573"/>
    </row>
    <row r="26" spans="1:24" ht="12.75" x14ac:dyDescent="0.2">
      <c r="A26" s="617">
        <f t="shared" si="1"/>
        <v>13</v>
      </c>
      <c r="B26" s="241"/>
      <c r="C26" s="634" t="s">
        <v>1335</v>
      </c>
      <c r="D26" s="634"/>
      <c r="E26" s="588">
        <f>'Total Co Accts Activ C2.2A'!P16</f>
        <v>610286.88</v>
      </c>
      <c r="F26" s="639"/>
      <c r="G26" s="624">
        <f t="shared" si="2"/>
        <v>61713.119999999995</v>
      </c>
      <c r="H26" s="638"/>
      <c r="I26" s="588">
        <f>'Total Co Accts Activ C2.2B'!P16</f>
        <v>672000</v>
      </c>
      <c r="J26" s="638"/>
      <c r="K26" s="638">
        <f>'D-1'!G265</f>
        <v>-17898</v>
      </c>
      <c r="L26" s="638"/>
      <c r="M26" s="638">
        <f>I26+K26</f>
        <v>654102</v>
      </c>
      <c r="N26" s="626"/>
      <c r="O26" s="647"/>
      <c r="P26" s="592"/>
      <c r="Q26" s="628"/>
      <c r="R26" s="592"/>
      <c r="S26" s="628"/>
      <c r="T26" s="592"/>
      <c r="U26" s="573"/>
      <c r="X26" s="636"/>
    </row>
    <row r="27" spans="1:24" ht="12.75" x14ac:dyDescent="0.2">
      <c r="A27" s="617">
        <f t="shared" si="1"/>
        <v>14</v>
      </c>
      <c r="B27" s="241"/>
      <c r="C27" s="242" t="s">
        <v>1336</v>
      </c>
      <c r="D27" s="242"/>
      <c r="E27" s="588">
        <f>'Total Co Accts Activ C2.2A'!P17</f>
        <v>2162.6099999999997</v>
      </c>
      <c r="F27" s="637"/>
      <c r="G27" s="624">
        <f t="shared" si="2"/>
        <v>-2162.6099999999997</v>
      </c>
      <c r="H27" s="638"/>
      <c r="I27" s="588">
        <f>'Total Co Accts Activ C2.2B'!P17</f>
        <v>0</v>
      </c>
      <c r="J27" s="638"/>
      <c r="K27" s="625">
        <v>0</v>
      </c>
      <c r="L27" s="638"/>
      <c r="M27" s="638">
        <f>I27+K27</f>
        <v>0</v>
      </c>
      <c r="N27" s="573"/>
      <c r="O27" s="647"/>
      <c r="P27" s="627"/>
      <c r="Q27" s="628"/>
      <c r="R27" s="627"/>
      <c r="S27" s="628"/>
      <c r="T27" s="627"/>
      <c r="U27" s="573"/>
      <c r="X27" s="633"/>
    </row>
    <row r="28" spans="1:24" ht="12.75" x14ac:dyDescent="0.2">
      <c r="A28" s="617">
        <f t="shared" si="1"/>
        <v>15</v>
      </c>
      <c r="B28" s="241"/>
      <c r="C28" s="634" t="s">
        <v>1337</v>
      </c>
      <c r="D28" s="634"/>
      <c r="E28" s="624">
        <f>'Oper Rev&amp;Exp by Accts C2.1A'!D138</f>
        <v>4931999.4319288172</v>
      </c>
      <c r="F28" s="639"/>
      <c r="G28" s="624">
        <f t="shared" si="2"/>
        <v>-5033004.0639084252</v>
      </c>
      <c r="H28" s="638"/>
      <c r="I28" s="624">
        <f>'E-1.1 Fed &amp; State Income Taxes'!I52</f>
        <v>-101004.63197960754</v>
      </c>
      <c r="J28" s="638"/>
      <c r="K28" s="625">
        <f>M28-I28</f>
        <v>-326862.59039999999</v>
      </c>
      <c r="L28" s="638"/>
      <c r="M28" s="638">
        <f>'E-1.1 Fed &amp; State Income Taxes'!M52</f>
        <v>-427867.22237960756</v>
      </c>
      <c r="N28" s="573"/>
      <c r="O28" s="1471"/>
      <c r="P28" s="627"/>
      <c r="Q28" s="628"/>
      <c r="R28" s="627"/>
      <c r="S28" s="628"/>
      <c r="T28" s="627"/>
      <c r="U28" s="628"/>
      <c r="W28" s="632"/>
      <c r="X28" s="633"/>
    </row>
    <row r="29" spans="1:24" ht="12.75" x14ac:dyDescent="0.2">
      <c r="A29" s="617">
        <f t="shared" si="1"/>
        <v>16</v>
      </c>
      <c r="B29" s="241"/>
      <c r="C29" s="634" t="s">
        <v>1338</v>
      </c>
      <c r="D29" s="634"/>
      <c r="E29" s="598">
        <f>'Oper Rev&amp;Exp by Accts C2.1A'!D139</f>
        <v>1070502.1533333333</v>
      </c>
      <c r="F29" s="639"/>
      <c r="G29" s="641">
        <f>I29-E29</f>
        <v>-1089522.4121530345</v>
      </c>
      <c r="H29" s="638"/>
      <c r="I29" s="598">
        <f>'E-1.1 Fed &amp; State Income Taxes'!I54</f>
        <v>-19020.258819701037</v>
      </c>
      <c r="J29" s="638"/>
      <c r="K29" s="1893">
        <f>M29-I29</f>
        <v>-61363.44</v>
      </c>
      <c r="L29" s="638"/>
      <c r="M29" s="1395">
        <f>'E-1.1 Fed &amp; State Income Taxes'!M54</f>
        <v>-80383.698819701036</v>
      </c>
      <c r="N29" s="573"/>
      <c r="O29" s="682"/>
      <c r="P29" s="592"/>
      <c r="Q29" s="628"/>
      <c r="R29" s="592"/>
      <c r="S29" s="628"/>
      <c r="T29" s="592"/>
      <c r="U29" s="573"/>
    </row>
    <row r="30" spans="1:24" ht="12.75" x14ac:dyDescent="0.2">
      <c r="A30" s="617"/>
      <c r="B30" s="241"/>
      <c r="C30" s="615"/>
      <c r="D30" s="615"/>
      <c r="E30" s="588"/>
      <c r="F30" s="624"/>
      <c r="G30" s="588"/>
      <c r="H30" s="638"/>
      <c r="I30" s="588"/>
      <c r="J30" s="638"/>
      <c r="K30" s="638"/>
      <c r="L30" s="638"/>
      <c r="M30" s="638"/>
      <c r="N30" s="573"/>
      <c r="O30" s="682"/>
      <c r="P30" s="592"/>
      <c r="Q30" s="573"/>
      <c r="R30" s="592"/>
      <c r="S30" s="573"/>
      <c r="T30" s="592"/>
      <c r="U30" s="573"/>
      <c r="X30" s="636"/>
    </row>
    <row r="31" spans="1:24" ht="12.75" x14ac:dyDescent="0.2">
      <c r="A31" s="617">
        <f>A29+1</f>
        <v>17</v>
      </c>
      <c r="B31" s="241"/>
      <c r="C31" s="242" t="s">
        <v>1339</v>
      </c>
      <c r="D31" s="242"/>
      <c r="E31" s="588">
        <f>SUM(E16:E29)</f>
        <v>87824677.175981313</v>
      </c>
      <c r="F31" s="637"/>
      <c r="G31" s="588">
        <f>SUM(G16:G29)</f>
        <v>-1874605.3497856036</v>
      </c>
      <c r="H31" s="638"/>
      <c r="I31" s="588">
        <f>SUM(I16:I29)</f>
        <v>85950071.826195717</v>
      </c>
      <c r="J31" s="638"/>
      <c r="K31" s="588">
        <f>SUM(K16:K29)</f>
        <v>731676.96959999995</v>
      </c>
      <c r="L31" s="638"/>
      <c r="M31" s="588">
        <f>SUM(M16:M29)</f>
        <v>86681748.795795724</v>
      </c>
      <c r="N31" s="573"/>
      <c r="O31" s="682"/>
      <c r="P31" s="592"/>
      <c r="Q31" s="628"/>
      <c r="R31" s="592"/>
      <c r="S31" s="628"/>
      <c r="T31" s="592"/>
      <c r="U31" s="573"/>
    </row>
    <row r="32" spans="1:24" ht="12.75" x14ac:dyDescent="0.2">
      <c r="A32" s="617"/>
      <c r="B32" s="241"/>
      <c r="C32" s="241"/>
      <c r="D32" s="241"/>
      <c r="E32" s="624"/>
      <c r="F32" s="638"/>
      <c r="G32" s="624"/>
      <c r="H32" s="638"/>
      <c r="I32" s="624"/>
      <c r="J32" s="638"/>
      <c r="K32" s="624"/>
      <c r="L32" s="638"/>
      <c r="M32" s="624"/>
      <c r="O32" s="1472"/>
      <c r="P32" s="627"/>
      <c r="Q32" s="573"/>
      <c r="R32" s="627"/>
      <c r="S32" s="573"/>
      <c r="T32" s="627"/>
      <c r="U32" s="573"/>
    </row>
    <row r="33" spans="1:26" ht="13.5" thickBot="1" x14ac:dyDescent="0.25">
      <c r="A33" s="617">
        <f>A31+1</f>
        <v>18</v>
      </c>
      <c r="B33" s="241"/>
      <c r="C33" s="242" t="s">
        <v>1340</v>
      </c>
      <c r="D33" s="242"/>
      <c r="E33" s="600">
        <f>E13-E31</f>
        <v>14218506.684018686</v>
      </c>
      <c r="F33" s="589"/>
      <c r="G33" s="600">
        <f>G13-G31</f>
        <v>-7583590.4402143881</v>
      </c>
      <c r="H33" s="590"/>
      <c r="I33" s="600">
        <f>I13-I31</f>
        <v>6634916.2438042909</v>
      </c>
      <c r="J33" s="590"/>
      <c r="K33" s="599">
        <f>K13-K31</f>
        <v>-634497.96959999995</v>
      </c>
      <c r="L33" s="590"/>
      <c r="M33" s="600">
        <f>M13-M31</f>
        <v>6000418.274204284</v>
      </c>
      <c r="O33" s="1473"/>
      <c r="P33" s="592"/>
      <c r="Q33" s="628"/>
      <c r="R33" s="592"/>
      <c r="S33" s="628"/>
      <c r="T33" s="592"/>
      <c r="U33" s="628"/>
      <c r="W33" s="632"/>
      <c r="X33" s="640"/>
      <c r="Y33" s="640"/>
    </row>
    <row r="34" spans="1:26" ht="13.5" thickTop="1" x14ac:dyDescent="0.2">
      <c r="A34" s="629"/>
      <c r="B34" s="241"/>
      <c r="C34" s="241"/>
      <c r="D34" s="241"/>
      <c r="E34" s="241"/>
      <c r="F34" s="241"/>
      <c r="G34" s="241"/>
      <c r="H34" s="241"/>
      <c r="I34" s="591"/>
      <c r="J34" s="241"/>
      <c r="K34" s="643"/>
      <c r="L34" s="591"/>
      <c r="M34" s="604"/>
      <c r="O34" s="592"/>
      <c r="P34" s="592"/>
      <c r="Q34" s="628"/>
      <c r="R34" s="592"/>
      <c r="S34" s="628"/>
      <c r="T34" s="592"/>
      <c r="U34" s="628"/>
      <c r="W34" s="632"/>
      <c r="X34" s="640"/>
      <c r="Y34" s="640"/>
    </row>
    <row r="35" spans="1:26" ht="11.25" x14ac:dyDescent="0.2">
      <c r="A35" s="644"/>
      <c r="B35" s="616"/>
      <c r="C35" s="577"/>
      <c r="D35" s="577"/>
      <c r="E35" s="1241"/>
      <c r="F35" s="1241"/>
      <c r="G35" s="1241"/>
      <c r="H35" s="1242"/>
      <c r="I35" s="1243"/>
      <c r="J35" s="616"/>
      <c r="K35" s="607"/>
      <c r="L35" s="607"/>
      <c r="M35" s="645"/>
      <c r="O35" s="592"/>
      <c r="P35" s="592"/>
      <c r="Q35" s="628"/>
      <c r="R35" s="592"/>
      <c r="S35" s="628"/>
      <c r="T35" s="592"/>
      <c r="U35" s="573"/>
    </row>
    <row r="36" spans="1:26" ht="11.25" x14ac:dyDescent="0.2">
      <c r="A36" s="577"/>
      <c r="B36" s="616"/>
      <c r="C36" s="1394"/>
      <c r="D36" s="577"/>
      <c r="E36" s="682"/>
      <c r="F36" s="577"/>
      <c r="G36" s="577"/>
      <c r="H36" s="616"/>
      <c r="I36" s="682"/>
      <c r="J36" s="616"/>
      <c r="K36" s="607"/>
      <c r="L36" s="607"/>
      <c r="M36" s="607"/>
      <c r="O36" s="592"/>
      <c r="P36" s="592"/>
      <c r="Q36" s="573"/>
      <c r="R36" s="592"/>
      <c r="S36" s="573"/>
      <c r="T36" s="592"/>
      <c r="U36" s="573"/>
    </row>
    <row r="37" spans="1:26" ht="11.25" x14ac:dyDescent="0.2">
      <c r="A37" s="646"/>
      <c r="B37" s="616"/>
      <c r="C37" s="577"/>
      <c r="D37" s="577"/>
      <c r="E37" s="577"/>
      <c r="F37" s="577"/>
      <c r="G37" s="577"/>
      <c r="H37" s="616"/>
      <c r="I37" s="645"/>
      <c r="J37" s="616"/>
      <c r="K37" s="648"/>
      <c r="L37" s="607"/>
      <c r="M37" s="645"/>
      <c r="O37" s="592"/>
      <c r="P37" s="592"/>
      <c r="Q37" s="628"/>
      <c r="R37" s="592"/>
      <c r="S37" s="628"/>
      <c r="T37" s="592"/>
      <c r="U37" s="573"/>
      <c r="X37" s="636"/>
    </row>
    <row r="38" spans="1:26" ht="11.25" x14ac:dyDescent="0.2">
      <c r="A38" s="577"/>
      <c r="B38" s="616"/>
      <c r="C38" s="577"/>
      <c r="D38" s="577"/>
      <c r="E38" s="577"/>
      <c r="F38" s="577"/>
      <c r="G38" s="577"/>
      <c r="H38" s="616"/>
      <c r="I38" s="682"/>
      <c r="J38" s="616"/>
      <c r="K38" s="649"/>
      <c r="L38" s="607"/>
      <c r="M38" s="682"/>
      <c r="O38" s="592"/>
      <c r="P38" s="592"/>
      <c r="Q38" s="573"/>
      <c r="R38" s="592"/>
      <c r="S38" s="573"/>
      <c r="T38" s="592"/>
      <c r="U38" s="573"/>
    </row>
    <row r="39" spans="1:26" ht="11.25" x14ac:dyDescent="0.2">
      <c r="A39" s="577"/>
      <c r="B39" s="616"/>
      <c r="C39" s="577"/>
      <c r="D39" s="577"/>
      <c r="E39" s="577"/>
      <c r="F39" s="577"/>
      <c r="G39" s="577"/>
      <c r="H39" s="616"/>
      <c r="I39" s="616"/>
      <c r="J39" s="616"/>
      <c r="K39" s="607"/>
      <c r="L39" s="607"/>
      <c r="M39" s="645"/>
      <c r="O39" s="592"/>
      <c r="P39" s="592"/>
      <c r="Q39" s="628"/>
      <c r="R39" s="592"/>
      <c r="S39" s="628"/>
      <c r="T39" s="592"/>
      <c r="U39" s="573"/>
    </row>
    <row r="40" spans="1:26" ht="11.25" x14ac:dyDescent="0.2">
      <c r="A40" s="646"/>
      <c r="B40" s="616"/>
      <c r="C40" s="577"/>
      <c r="D40" s="577"/>
      <c r="E40" s="577"/>
      <c r="F40" s="577"/>
      <c r="G40" s="577"/>
      <c r="H40" s="616"/>
      <c r="I40" s="650"/>
      <c r="J40" s="616"/>
      <c r="K40" s="607"/>
      <c r="L40" s="607"/>
      <c r="M40" s="577"/>
      <c r="O40" s="592"/>
      <c r="P40" s="592"/>
      <c r="Q40" s="573"/>
      <c r="R40" s="592"/>
      <c r="S40" s="573"/>
      <c r="T40" s="592"/>
      <c r="U40" s="628"/>
      <c r="W40" s="632"/>
      <c r="X40" s="640"/>
      <c r="Y40" s="640"/>
    </row>
    <row r="41" spans="1:26" ht="11.25" x14ac:dyDescent="0.2">
      <c r="A41" s="646"/>
      <c r="B41" s="616"/>
      <c r="C41" s="577"/>
      <c r="D41" s="577"/>
      <c r="E41" s="577"/>
      <c r="F41" s="577"/>
      <c r="G41" s="577"/>
      <c r="H41" s="616"/>
      <c r="I41" s="616"/>
      <c r="J41" s="616"/>
      <c r="K41" s="651"/>
      <c r="L41" s="651"/>
      <c r="M41" s="652"/>
      <c r="O41" s="640"/>
      <c r="P41" s="592"/>
      <c r="Q41" s="628"/>
      <c r="R41" s="592"/>
      <c r="S41" s="628"/>
      <c r="T41" s="592"/>
      <c r="U41" s="628"/>
      <c r="W41" s="632"/>
      <c r="X41" s="640"/>
      <c r="Y41" s="640"/>
    </row>
    <row r="42" spans="1:26" ht="12.75" x14ac:dyDescent="0.2">
      <c r="A42" s="646"/>
      <c r="B42" s="577"/>
      <c r="C42" s="577"/>
      <c r="D42" s="577"/>
      <c r="E42" s="577"/>
      <c r="F42" s="577"/>
      <c r="G42" s="577"/>
      <c r="H42" s="616"/>
      <c r="I42" s="647"/>
      <c r="J42" s="616"/>
      <c r="K42" s="591"/>
      <c r="L42" s="607"/>
      <c r="M42" s="577"/>
      <c r="O42" s="573"/>
      <c r="P42" s="573"/>
      <c r="Q42" s="573"/>
      <c r="R42" s="573"/>
      <c r="S42" s="573"/>
      <c r="T42" s="573"/>
      <c r="U42" s="573"/>
    </row>
    <row r="43" spans="1:26" ht="12.75" x14ac:dyDescent="0.2">
      <c r="A43" s="646"/>
      <c r="B43" s="577"/>
      <c r="C43" s="577"/>
      <c r="D43" s="577"/>
      <c r="E43" s="577"/>
      <c r="F43" s="577"/>
      <c r="G43" s="577"/>
      <c r="H43" s="616"/>
      <c r="I43" s="616"/>
      <c r="J43" s="616"/>
      <c r="K43" s="591"/>
      <c r="L43" s="607"/>
      <c r="M43" s="577"/>
      <c r="O43" s="573"/>
      <c r="P43" s="573"/>
      <c r="Q43" s="573"/>
      <c r="R43" s="573"/>
      <c r="S43" s="573"/>
      <c r="T43" s="573"/>
    </row>
    <row r="44" spans="1:26" ht="12.75" x14ac:dyDescent="0.2">
      <c r="A44" s="577"/>
      <c r="B44" s="577"/>
      <c r="C44" s="577"/>
      <c r="D44" s="577"/>
      <c r="E44" s="577"/>
      <c r="F44" s="577"/>
      <c r="G44" s="577"/>
      <c r="H44" s="616"/>
      <c r="I44" s="647"/>
      <c r="J44" s="616"/>
      <c r="K44" s="591"/>
      <c r="L44" s="607"/>
      <c r="M44" s="577"/>
      <c r="O44" s="653"/>
      <c r="P44" s="653"/>
      <c r="Q44" s="573"/>
      <c r="R44" s="653"/>
      <c r="S44" s="573"/>
      <c r="T44" s="653"/>
      <c r="X44" s="636"/>
    </row>
    <row r="45" spans="1:26" ht="12.75" x14ac:dyDescent="0.2">
      <c r="A45" s="646"/>
      <c r="B45" s="577"/>
      <c r="C45" s="577"/>
      <c r="D45" s="577"/>
      <c r="E45" s="577"/>
      <c r="F45" s="577"/>
      <c r="G45" s="577"/>
      <c r="H45" s="616"/>
      <c r="I45" s="616"/>
      <c r="J45" s="616"/>
      <c r="K45" s="591"/>
      <c r="L45" s="607"/>
      <c r="M45" s="577"/>
      <c r="O45" s="573"/>
      <c r="P45" s="573"/>
      <c r="Q45" s="573"/>
      <c r="R45" s="573"/>
      <c r="S45" s="573"/>
      <c r="T45" s="573"/>
    </row>
    <row r="46" spans="1:26" ht="12.75" x14ac:dyDescent="0.2">
      <c r="A46" s="616"/>
      <c r="B46" s="616"/>
      <c r="C46" s="577"/>
      <c r="D46" s="577"/>
      <c r="E46" s="577"/>
      <c r="F46" s="577"/>
      <c r="G46" s="577"/>
      <c r="H46" s="651"/>
      <c r="I46" s="616"/>
      <c r="J46" s="651"/>
      <c r="K46" s="241"/>
      <c r="L46" s="651"/>
      <c r="M46" s="616"/>
    </row>
    <row r="47" spans="1:26" ht="12.75" x14ac:dyDescent="0.2">
      <c r="A47" s="654"/>
      <c r="B47" s="616"/>
      <c r="C47" s="654"/>
      <c r="D47" s="654"/>
      <c r="E47" s="654"/>
      <c r="F47" s="654"/>
      <c r="G47" s="654"/>
      <c r="H47" s="651"/>
      <c r="I47" s="616"/>
      <c r="J47" s="651"/>
      <c r="K47" s="604"/>
      <c r="L47" s="651"/>
      <c r="M47" s="652"/>
      <c r="O47" s="632"/>
      <c r="P47" s="633"/>
      <c r="Q47" s="632"/>
      <c r="R47" s="633"/>
      <c r="S47" s="632"/>
      <c r="T47" s="633"/>
      <c r="U47" s="632"/>
      <c r="W47" s="632"/>
      <c r="X47" s="640"/>
      <c r="Z47" s="655"/>
    </row>
    <row r="48" spans="1:26" ht="12.75" x14ac:dyDescent="0.2">
      <c r="A48" s="616"/>
      <c r="B48" s="616"/>
      <c r="C48" s="654"/>
      <c r="D48" s="654"/>
      <c r="E48" s="654"/>
      <c r="F48" s="654"/>
      <c r="G48" s="654"/>
      <c r="H48" s="651"/>
      <c r="I48" s="652"/>
      <c r="J48" s="651"/>
      <c r="K48" s="591"/>
      <c r="L48" s="651"/>
      <c r="M48" s="652"/>
      <c r="O48" s="632"/>
      <c r="P48" s="633"/>
      <c r="Q48" s="632"/>
      <c r="R48" s="633"/>
      <c r="S48" s="632"/>
      <c r="T48" s="633"/>
      <c r="U48" s="632"/>
      <c r="W48" s="632"/>
      <c r="X48" s="640"/>
    </row>
    <row r="49" spans="1:27" ht="12.75" x14ac:dyDescent="0.2">
      <c r="A49" s="616"/>
      <c r="B49" s="616"/>
      <c r="C49" s="616"/>
      <c r="D49" s="616"/>
      <c r="E49" s="616"/>
      <c r="F49" s="616"/>
      <c r="G49" s="616"/>
      <c r="H49" s="651"/>
      <c r="I49" s="652"/>
      <c r="J49" s="616"/>
      <c r="K49" s="241"/>
      <c r="L49" s="616"/>
      <c r="M49" s="616"/>
      <c r="Z49" s="655"/>
    </row>
    <row r="50" spans="1:27" ht="12.75" x14ac:dyDescent="0.2">
      <c r="A50" s="616"/>
      <c r="B50" s="616"/>
      <c r="C50" s="616"/>
      <c r="D50" s="616"/>
      <c r="E50" s="616"/>
      <c r="F50" s="616"/>
      <c r="G50" s="616"/>
      <c r="H50" s="651"/>
      <c r="I50" s="616"/>
      <c r="J50" s="616"/>
      <c r="K50" s="241"/>
      <c r="L50" s="616"/>
      <c r="M50" s="616"/>
      <c r="Z50" s="633"/>
      <c r="AA50" s="640"/>
    </row>
    <row r="51" spans="1:27" x14ac:dyDescent="0.15">
      <c r="A51" s="616"/>
      <c r="B51" s="616"/>
      <c r="C51" s="616"/>
      <c r="D51" s="616"/>
      <c r="E51" s="616"/>
      <c r="F51" s="616"/>
      <c r="G51" s="616"/>
      <c r="H51" s="651"/>
      <c r="I51" s="616"/>
      <c r="J51" s="616"/>
      <c r="K51" s="616"/>
      <c r="L51" s="616"/>
      <c r="M51" s="616"/>
      <c r="Z51" s="633"/>
      <c r="AA51" s="640"/>
    </row>
    <row r="52" spans="1:27" x14ac:dyDescent="0.15">
      <c r="A52" s="616"/>
      <c r="B52" s="616"/>
      <c r="C52" s="616"/>
      <c r="D52" s="616"/>
      <c r="E52" s="616"/>
      <c r="F52" s="616"/>
      <c r="G52" s="616"/>
      <c r="H52" s="651"/>
      <c r="I52" s="616"/>
      <c r="J52" s="616"/>
      <c r="K52" s="616"/>
      <c r="L52" s="616"/>
      <c r="M52" s="616"/>
    </row>
    <row r="53" spans="1:27" x14ac:dyDescent="0.15">
      <c r="A53" s="616"/>
      <c r="B53" s="616"/>
      <c r="C53" s="616"/>
      <c r="D53" s="616"/>
      <c r="E53" s="616"/>
      <c r="F53" s="616"/>
      <c r="G53" s="616"/>
      <c r="H53" s="651"/>
      <c r="I53" s="616"/>
      <c r="J53" s="616"/>
      <c r="K53" s="616"/>
      <c r="L53" s="616"/>
      <c r="M53" s="616"/>
    </row>
    <row r="54" spans="1:27" x14ac:dyDescent="0.15">
      <c r="A54" s="616"/>
      <c r="B54" s="616"/>
      <c r="C54" s="616"/>
      <c r="D54" s="616"/>
      <c r="E54" s="616"/>
      <c r="F54" s="616"/>
      <c r="G54" s="616"/>
      <c r="H54" s="651"/>
      <c r="I54" s="616"/>
      <c r="J54" s="616"/>
      <c r="K54" s="616"/>
      <c r="L54" s="616"/>
      <c r="M54" s="616"/>
      <c r="Z54" s="636"/>
    </row>
    <row r="55" spans="1:27" x14ac:dyDescent="0.15">
      <c r="A55" s="616"/>
      <c r="B55" s="616"/>
      <c r="C55" s="616"/>
      <c r="D55" s="616"/>
      <c r="E55" s="616"/>
      <c r="F55" s="616"/>
      <c r="G55" s="616"/>
      <c r="H55" s="651"/>
      <c r="I55" s="616"/>
      <c r="J55" s="616"/>
      <c r="K55" s="616"/>
      <c r="L55" s="616"/>
      <c r="M55" s="616"/>
    </row>
    <row r="56" spans="1:27" x14ac:dyDescent="0.15">
      <c r="A56" s="616"/>
      <c r="B56" s="616"/>
      <c r="C56" s="616"/>
      <c r="D56" s="616"/>
      <c r="E56" s="616"/>
      <c r="F56" s="616"/>
      <c r="G56" s="616"/>
      <c r="H56" s="651"/>
      <c r="I56" s="616"/>
      <c r="J56" s="616"/>
      <c r="K56" s="616"/>
      <c r="L56" s="616"/>
      <c r="M56" s="616"/>
      <c r="W56" s="640"/>
      <c r="X56" s="640"/>
    </row>
    <row r="57" spans="1:27" x14ac:dyDescent="0.15">
      <c r="A57" s="616"/>
      <c r="B57" s="616"/>
      <c r="C57" s="616"/>
      <c r="D57" s="616"/>
      <c r="E57" s="616"/>
      <c r="F57" s="616"/>
      <c r="G57" s="616"/>
      <c r="H57" s="651"/>
      <c r="I57" s="616"/>
      <c r="J57" s="656"/>
      <c r="K57" s="616"/>
      <c r="L57" s="616"/>
      <c r="M57" s="616"/>
      <c r="V57" s="633"/>
      <c r="W57" s="640"/>
      <c r="X57" s="640"/>
    </row>
    <row r="58" spans="1:27" x14ac:dyDescent="0.15">
      <c r="A58" s="616"/>
      <c r="B58" s="616"/>
      <c r="C58" s="616"/>
      <c r="D58" s="616"/>
      <c r="E58" s="616"/>
      <c r="F58" s="616"/>
      <c r="G58" s="616"/>
      <c r="H58" s="616"/>
      <c r="I58" s="616"/>
      <c r="J58" s="616"/>
      <c r="K58" s="616"/>
      <c r="L58" s="616"/>
      <c r="M58" s="616"/>
    </row>
    <row r="59" spans="1:27" x14ac:dyDescent="0.15">
      <c r="A59" s="616"/>
      <c r="B59" s="616"/>
      <c r="C59" s="616"/>
      <c r="D59" s="616"/>
      <c r="E59" s="616"/>
      <c r="F59" s="616"/>
      <c r="G59" s="616"/>
      <c r="H59" s="616"/>
      <c r="I59" s="616"/>
      <c r="J59" s="616"/>
      <c r="K59" s="616"/>
      <c r="L59" s="616"/>
      <c r="M59" s="616"/>
    </row>
    <row r="60" spans="1:27" x14ac:dyDescent="0.15">
      <c r="A60" s="616"/>
      <c r="B60" s="616"/>
      <c r="C60" s="616"/>
      <c r="D60" s="616"/>
      <c r="E60" s="616"/>
      <c r="F60" s="616"/>
      <c r="G60" s="616"/>
      <c r="H60" s="616"/>
      <c r="I60" s="616"/>
      <c r="J60" s="616"/>
      <c r="K60" s="616"/>
      <c r="L60" s="616"/>
      <c r="M60" s="616"/>
      <c r="V60" s="636"/>
    </row>
    <row r="61" spans="1:27" x14ac:dyDescent="0.15">
      <c r="A61" s="616"/>
      <c r="B61" s="616"/>
      <c r="C61" s="616"/>
      <c r="D61" s="616"/>
      <c r="E61" s="616"/>
      <c r="F61" s="616"/>
      <c r="G61" s="616"/>
      <c r="H61" s="616"/>
      <c r="I61" s="616"/>
      <c r="J61" s="616"/>
      <c r="K61" s="616"/>
      <c r="L61" s="616"/>
      <c r="M61" s="616"/>
      <c r="V61" s="633"/>
    </row>
    <row r="62" spans="1:27" x14ac:dyDescent="0.15">
      <c r="A62" s="616"/>
      <c r="B62" s="616"/>
      <c r="C62" s="616"/>
      <c r="D62" s="616"/>
      <c r="E62" s="616"/>
      <c r="F62" s="616"/>
      <c r="G62" s="616"/>
      <c r="H62" s="616"/>
      <c r="I62" s="616"/>
      <c r="J62" s="616"/>
      <c r="K62" s="616"/>
      <c r="L62" s="616"/>
      <c r="M62" s="616"/>
      <c r="V62" s="633"/>
    </row>
    <row r="63" spans="1:27" x14ac:dyDescent="0.15">
      <c r="A63" s="616"/>
      <c r="B63" s="616"/>
      <c r="C63" s="616"/>
      <c r="D63" s="616"/>
      <c r="E63" s="616"/>
      <c r="F63" s="616"/>
      <c r="G63" s="616"/>
      <c r="H63" s="616"/>
      <c r="I63" s="616"/>
      <c r="J63" s="616"/>
      <c r="K63" s="616"/>
      <c r="L63" s="616"/>
      <c r="M63" s="616"/>
      <c r="V63" s="633"/>
    </row>
    <row r="64" spans="1:27" x14ac:dyDescent="0.15">
      <c r="A64" s="616"/>
      <c r="B64" s="616"/>
      <c r="C64" s="616"/>
      <c r="D64" s="616"/>
      <c r="E64" s="616"/>
      <c r="F64" s="616"/>
      <c r="G64" s="616"/>
      <c r="H64" s="616"/>
      <c r="I64" s="616"/>
      <c r="J64" s="616"/>
      <c r="K64" s="616"/>
      <c r="L64" s="616"/>
      <c r="M64" s="616"/>
    </row>
    <row r="65" spans="1:22" x14ac:dyDescent="0.15">
      <c r="A65" s="654"/>
      <c r="B65" s="616"/>
      <c r="C65" s="616"/>
      <c r="D65" s="616"/>
      <c r="E65" s="616"/>
      <c r="F65" s="616"/>
      <c r="G65" s="616"/>
      <c r="H65" s="616"/>
      <c r="I65" s="616"/>
      <c r="J65" s="616"/>
      <c r="K65" s="616"/>
      <c r="L65" s="616"/>
      <c r="M65" s="616"/>
    </row>
    <row r="66" spans="1:22" x14ac:dyDescent="0.15">
      <c r="A66" s="654"/>
      <c r="B66" s="616"/>
      <c r="C66" s="654"/>
      <c r="D66" s="654"/>
      <c r="E66" s="654"/>
      <c r="F66" s="654"/>
      <c r="G66" s="654"/>
      <c r="H66" s="616"/>
      <c r="I66" s="616"/>
      <c r="J66" s="616"/>
      <c r="K66" s="616"/>
      <c r="L66" s="657"/>
      <c r="M66" s="616"/>
      <c r="N66" s="636"/>
      <c r="P66" s="636"/>
      <c r="R66" s="636"/>
      <c r="T66" s="636"/>
      <c r="V66" s="636"/>
    </row>
    <row r="67" spans="1:22" x14ac:dyDescent="0.15">
      <c r="A67" s="616"/>
      <c r="B67" s="616"/>
      <c r="C67" s="616"/>
      <c r="D67" s="616"/>
      <c r="E67" s="616"/>
      <c r="F67" s="616"/>
      <c r="G67" s="616"/>
      <c r="H67" s="616"/>
      <c r="I67" s="616"/>
      <c r="J67" s="616"/>
      <c r="K67" s="616"/>
      <c r="L67" s="656"/>
      <c r="M67" s="616"/>
      <c r="V67" s="633"/>
    </row>
    <row r="68" spans="1:22" x14ac:dyDescent="0.15">
      <c r="A68" s="654"/>
      <c r="B68" s="616"/>
      <c r="C68" s="616"/>
      <c r="D68" s="616"/>
      <c r="E68" s="616"/>
      <c r="F68" s="616"/>
      <c r="G68" s="616"/>
      <c r="H68" s="616"/>
      <c r="I68" s="616"/>
      <c r="J68" s="616"/>
      <c r="K68" s="616"/>
      <c r="L68" s="616"/>
      <c r="M68" s="616"/>
    </row>
    <row r="69" spans="1:22" x14ac:dyDescent="0.15">
      <c r="A69" s="654"/>
      <c r="B69" s="616"/>
      <c r="C69" s="616"/>
      <c r="D69" s="616"/>
      <c r="E69" s="616"/>
      <c r="F69" s="616"/>
      <c r="G69" s="616"/>
      <c r="H69" s="616"/>
      <c r="I69" s="616"/>
      <c r="J69" s="616"/>
      <c r="K69" s="616"/>
      <c r="L69" s="616"/>
      <c r="M69" s="616"/>
    </row>
    <row r="70" spans="1:22" x14ac:dyDescent="0.15">
      <c r="A70" s="654"/>
      <c r="B70" s="616"/>
      <c r="C70" s="616"/>
      <c r="D70" s="616"/>
      <c r="E70" s="616"/>
      <c r="F70" s="616"/>
      <c r="G70" s="616"/>
      <c r="H70" s="616"/>
      <c r="I70" s="616"/>
      <c r="J70" s="616"/>
      <c r="K70" s="616"/>
      <c r="L70" s="616"/>
      <c r="M70" s="616"/>
    </row>
    <row r="71" spans="1:22" x14ac:dyDescent="0.15">
      <c r="A71" s="658"/>
      <c r="B71" s="658"/>
      <c r="C71" s="616"/>
      <c r="D71" s="616"/>
      <c r="E71" s="616"/>
      <c r="F71" s="616"/>
      <c r="G71" s="616"/>
      <c r="H71" s="616"/>
      <c r="I71" s="616"/>
      <c r="J71" s="616"/>
      <c r="K71" s="616"/>
      <c r="L71" s="616"/>
      <c r="M71" s="616"/>
    </row>
    <row r="72" spans="1:22" x14ac:dyDescent="0.15">
      <c r="A72" s="654"/>
      <c r="B72" s="658"/>
      <c r="C72" s="616"/>
      <c r="D72" s="616"/>
      <c r="E72" s="616"/>
      <c r="F72" s="616"/>
      <c r="G72" s="616"/>
      <c r="H72" s="616"/>
      <c r="I72" s="616"/>
      <c r="J72" s="616"/>
      <c r="K72" s="616"/>
      <c r="L72" s="616"/>
      <c r="M72" s="616"/>
    </row>
    <row r="73" spans="1:22" x14ac:dyDescent="0.15">
      <c r="A73" s="654"/>
      <c r="B73" s="658"/>
      <c r="C73" s="616"/>
      <c r="D73" s="616"/>
      <c r="E73" s="616"/>
      <c r="F73" s="616"/>
      <c r="G73" s="616"/>
      <c r="H73" s="616"/>
      <c r="I73" s="616"/>
      <c r="J73" s="616"/>
      <c r="K73" s="616"/>
      <c r="L73" s="616"/>
      <c r="M73" s="616"/>
    </row>
    <row r="74" spans="1:22" x14ac:dyDescent="0.15">
      <c r="A74" s="616"/>
      <c r="B74" s="616"/>
      <c r="C74" s="616"/>
      <c r="D74" s="616"/>
      <c r="E74" s="616"/>
      <c r="F74" s="616"/>
      <c r="G74" s="616"/>
      <c r="H74" s="616"/>
      <c r="I74" s="616"/>
      <c r="J74" s="616"/>
      <c r="K74" s="616"/>
      <c r="L74" s="616"/>
      <c r="M74" s="616"/>
    </row>
    <row r="75" spans="1:22" x14ac:dyDescent="0.15">
      <c r="A75" s="654"/>
      <c r="B75" s="616"/>
      <c r="C75" s="616"/>
      <c r="D75" s="616"/>
      <c r="E75" s="616"/>
      <c r="F75" s="616"/>
      <c r="G75" s="616"/>
      <c r="H75" s="616"/>
      <c r="I75" s="616"/>
      <c r="J75" s="616"/>
      <c r="K75" s="616"/>
      <c r="L75" s="616"/>
      <c r="M75" s="616"/>
    </row>
    <row r="76" spans="1:22" x14ac:dyDescent="0.15">
      <c r="A76" s="616"/>
      <c r="B76" s="616"/>
      <c r="C76" s="616"/>
      <c r="D76" s="616"/>
      <c r="E76" s="616"/>
      <c r="F76" s="616"/>
      <c r="G76" s="616"/>
      <c r="H76" s="616"/>
      <c r="I76" s="616"/>
      <c r="J76" s="616"/>
      <c r="K76" s="616"/>
      <c r="L76" s="616"/>
      <c r="M76" s="616"/>
    </row>
    <row r="77" spans="1:22" x14ac:dyDescent="0.15">
      <c r="A77" s="654"/>
      <c r="B77" s="616"/>
      <c r="C77" s="616"/>
      <c r="D77" s="616"/>
      <c r="E77" s="616"/>
      <c r="F77" s="616"/>
      <c r="G77" s="616"/>
      <c r="H77" s="616"/>
      <c r="I77" s="616"/>
      <c r="J77" s="616"/>
      <c r="K77" s="616"/>
      <c r="L77" s="616"/>
      <c r="M77" s="616"/>
    </row>
    <row r="78" spans="1:22" x14ac:dyDescent="0.15">
      <c r="A78" s="654"/>
      <c r="B78" s="616"/>
      <c r="C78" s="616"/>
      <c r="D78" s="616"/>
      <c r="E78" s="616"/>
      <c r="F78" s="616"/>
      <c r="G78" s="616"/>
      <c r="H78" s="616"/>
      <c r="I78" s="616"/>
      <c r="J78" s="616"/>
      <c r="K78" s="616"/>
      <c r="L78" s="616"/>
      <c r="M78" s="616"/>
    </row>
    <row r="79" spans="1:22" x14ac:dyDescent="0.15">
      <c r="A79" s="616"/>
      <c r="B79" s="616"/>
      <c r="C79" s="616"/>
      <c r="D79" s="616"/>
      <c r="E79" s="616"/>
      <c r="F79" s="616"/>
      <c r="G79" s="616"/>
      <c r="H79" s="616"/>
      <c r="I79" s="616"/>
      <c r="J79" s="616"/>
      <c r="K79" s="616"/>
      <c r="L79" s="616"/>
      <c r="M79" s="616"/>
    </row>
    <row r="80" spans="1:22" x14ac:dyDescent="0.15">
      <c r="A80" s="616"/>
      <c r="B80" s="616"/>
      <c r="C80" s="616"/>
      <c r="D80" s="616"/>
      <c r="E80" s="616"/>
      <c r="F80" s="616"/>
      <c r="G80" s="616"/>
      <c r="H80" s="616"/>
      <c r="I80" s="616"/>
      <c r="J80" s="616"/>
      <c r="K80" s="616"/>
      <c r="L80" s="616"/>
      <c r="M80" s="616"/>
    </row>
    <row r="81" spans="1:22" x14ac:dyDescent="0.15">
      <c r="A81" s="654"/>
      <c r="B81" s="616"/>
      <c r="C81" s="616"/>
      <c r="D81" s="616"/>
      <c r="E81" s="616"/>
      <c r="F81" s="616"/>
      <c r="G81" s="616"/>
      <c r="H81" s="616"/>
      <c r="I81" s="616"/>
      <c r="J81" s="616"/>
      <c r="K81" s="616"/>
      <c r="L81" s="616"/>
      <c r="M81" s="616"/>
    </row>
    <row r="82" spans="1:22" x14ac:dyDescent="0.15">
      <c r="A82" s="616"/>
      <c r="B82" s="616"/>
      <c r="C82" s="654"/>
      <c r="D82" s="654"/>
      <c r="E82" s="654"/>
      <c r="F82" s="654"/>
      <c r="G82" s="654"/>
      <c r="H82" s="616"/>
      <c r="I82" s="616"/>
      <c r="J82" s="616"/>
      <c r="K82" s="616"/>
      <c r="L82" s="616"/>
      <c r="M82" s="616"/>
    </row>
    <row r="83" spans="1:22" x14ac:dyDescent="0.15">
      <c r="A83" s="616"/>
      <c r="B83" s="616"/>
      <c r="C83" s="616"/>
      <c r="D83" s="616"/>
      <c r="E83" s="616"/>
      <c r="F83" s="616"/>
      <c r="G83" s="616"/>
      <c r="H83" s="616"/>
      <c r="I83" s="616"/>
      <c r="J83" s="616"/>
      <c r="K83" s="616"/>
      <c r="L83" s="616"/>
      <c r="M83" s="616"/>
    </row>
    <row r="84" spans="1:22" x14ac:dyDescent="0.15">
      <c r="A84" s="616"/>
      <c r="B84" s="616"/>
      <c r="C84" s="616"/>
      <c r="D84" s="616"/>
      <c r="E84" s="616"/>
      <c r="F84" s="616"/>
      <c r="G84" s="616"/>
      <c r="H84" s="616"/>
      <c r="I84" s="616"/>
      <c r="J84" s="616"/>
      <c r="K84" s="616"/>
      <c r="L84" s="616"/>
      <c r="M84" s="616"/>
    </row>
    <row r="88" spans="1:22" x14ac:dyDescent="0.15">
      <c r="L88" s="633"/>
      <c r="N88" s="633"/>
      <c r="P88" s="633"/>
      <c r="R88" s="633"/>
      <c r="T88" s="633"/>
      <c r="V88" s="633"/>
    </row>
    <row r="89" spans="1:22" x14ac:dyDescent="0.15">
      <c r="L89" s="633"/>
      <c r="N89" s="633"/>
      <c r="P89" s="633"/>
      <c r="R89" s="633"/>
      <c r="T89" s="633"/>
      <c r="V89" s="633"/>
    </row>
    <row r="90" spans="1:22" x14ac:dyDescent="0.15">
      <c r="L90" s="633"/>
      <c r="N90" s="633"/>
      <c r="P90" s="633"/>
      <c r="R90" s="633"/>
      <c r="T90" s="633"/>
      <c r="V90" s="633"/>
    </row>
    <row r="91" spans="1:22" x14ac:dyDescent="0.15">
      <c r="L91" s="633"/>
      <c r="N91" s="633"/>
      <c r="P91" s="633"/>
      <c r="R91" s="633"/>
      <c r="T91" s="633"/>
      <c r="V91" s="633"/>
    </row>
    <row r="92" spans="1:22" x14ac:dyDescent="0.15">
      <c r="L92" s="633"/>
      <c r="N92" s="633"/>
      <c r="P92" s="633"/>
      <c r="R92" s="633"/>
      <c r="T92" s="633"/>
      <c r="V92" s="633"/>
    </row>
    <row r="93" spans="1:22" x14ac:dyDescent="0.15">
      <c r="L93" s="633"/>
      <c r="N93" s="633"/>
      <c r="P93" s="633"/>
      <c r="R93" s="633"/>
      <c r="T93" s="633"/>
      <c r="V93" s="633"/>
    </row>
    <row r="94" spans="1:22" x14ac:dyDescent="0.15">
      <c r="L94" s="633"/>
      <c r="N94" s="633"/>
      <c r="P94" s="633"/>
      <c r="R94" s="633"/>
      <c r="T94" s="633"/>
      <c r="V94" s="633"/>
    </row>
    <row r="95" spans="1:22" x14ac:dyDescent="0.15">
      <c r="L95" s="633"/>
      <c r="N95" s="633"/>
      <c r="P95" s="633"/>
      <c r="R95" s="633"/>
      <c r="T95" s="633"/>
      <c r="V95" s="633"/>
    </row>
    <row r="96" spans="1:22" x14ac:dyDescent="0.15">
      <c r="L96" s="633"/>
      <c r="N96" s="633"/>
      <c r="P96" s="633"/>
      <c r="R96" s="633"/>
      <c r="T96" s="633"/>
      <c r="V96" s="633"/>
    </row>
    <row r="97" spans="12:22" x14ac:dyDescent="0.15">
      <c r="L97" s="633"/>
      <c r="N97" s="633"/>
      <c r="P97" s="633"/>
      <c r="R97" s="633"/>
      <c r="T97" s="633"/>
      <c r="V97" s="633"/>
    </row>
  </sheetData>
  <mergeCells count="4">
    <mergeCell ref="A1:M1"/>
    <mergeCell ref="A2:M2"/>
    <mergeCell ref="A3:M3"/>
    <mergeCell ref="A4:M4"/>
  </mergeCells>
  <phoneticPr fontId="0" type="noConversion"/>
  <printOptions horizontalCentered="1"/>
  <pageMargins left="0.5" right="0.5" top="1" bottom="0.5" header="0.3" footer="0.3"/>
  <pageSetup scale="92" orientation="landscape" r:id="rId1"/>
  <headerFooter alignWithMargins="0"/>
  <ignoredErrors>
    <ignoredError sqref="E13:E29 G13:G29 I13:I29" unlockedFormula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L148"/>
  <sheetViews>
    <sheetView zoomScaleNormal="100" zoomScaleSheetLayoutView="85" workbookViewId="0">
      <selection activeCell="C32" sqref="C32"/>
    </sheetView>
  </sheetViews>
  <sheetFormatPr defaultColWidth="9.33203125" defaultRowHeight="12.75" x14ac:dyDescent="0.2"/>
  <cols>
    <col min="1" max="1" width="5.5" style="659" customWidth="1"/>
    <col min="2" max="2" width="10.83203125" style="659" customWidth="1"/>
    <col min="3" max="3" width="63" style="659" customWidth="1"/>
    <col min="4" max="4" width="17.6640625" style="659" bestFit="1" customWidth="1"/>
    <col min="5" max="5" width="15.33203125" style="659" customWidth="1"/>
    <col min="6" max="6" width="18" style="659" bestFit="1" customWidth="1"/>
    <col min="7" max="7" width="18.1640625" style="659" customWidth="1"/>
    <col min="8" max="8" width="15.6640625" style="659" bestFit="1" customWidth="1"/>
    <col min="9" max="16384" width="9.33203125" style="659"/>
  </cols>
  <sheetData>
    <row r="1" spans="1:7" x14ac:dyDescent="0.2">
      <c r="A1" s="2126" t="s">
        <v>624</v>
      </c>
      <c r="B1" s="2129"/>
      <c r="C1" s="2129"/>
      <c r="D1" s="2129"/>
      <c r="E1" s="2129"/>
      <c r="F1" s="2129"/>
      <c r="G1" s="2129"/>
    </row>
    <row r="2" spans="1:7" x14ac:dyDescent="0.2">
      <c r="A2" s="2126" t="str">
        <f>case</f>
        <v>CASE NO. 2016 - 00162</v>
      </c>
      <c r="B2" s="2129"/>
      <c r="C2" s="2129"/>
      <c r="D2" s="2129"/>
      <c r="E2" s="2129"/>
      <c r="F2" s="2129"/>
      <c r="G2" s="2129"/>
    </row>
    <row r="3" spans="1:7" x14ac:dyDescent="0.2">
      <c r="A3" s="2127" t="s">
        <v>1341</v>
      </c>
      <c r="B3" s="2130"/>
      <c r="C3" s="2130"/>
      <c r="D3" s="2130"/>
      <c r="E3" s="2130"/>
      <c r="F3" s="2130"/>
      <c r="G3" s="2130"/>
    </row>
    <row r="4" spans="1:7" x14ac:dyDescent="0.2">
      <c r="A4" s="2125" t="s">
        <v>1982</v>
      </c>
      <c r="B4" s="2131"/>
      <c r="C4" s="2131"/>
      <c r="D4" s="2131"/>
      <c r="E4" s="2131"/>
      <c r="F4" s="2131"/>
      <c r="G4" s="2131"/>
    </row>
    <row r="5" spans="1:7" x14ac:dyDescent="0.2">
      <c r="A5" s="584"/>
      <c r="B5" s="615"/>
      <c r="C5" s="241"/>
      <c r="D5" s="241"/>
      <c r="E5" s="622"/>
      <c r="F5" s="241"/>
      <c r="G5" s="629"/>
    </row>
    <row r="6" spans="1:7" x14ac:dyDescent="0.2">
      <c r="A6" s="242" t="s">
        <v>976</v>
      </c>
      <c r="B6" s="241"/>
      <c r="C6" s="241"/>
      <c r="D6" s="241"/>
      <c r="E6" s="241"/>
      <c r="F6" s="577"/>
      <c r="G6" s="617" t="s">
        <v>1342</v>
      </c>
    </row>
    <row r="7" spans="1:7" x14ac:dyDescent="0.2">
      <c r="A7" s="242" t="s">
        <v>977</v>
      </c>
      <c r="B7" s="241"/>
      <c r="C7" s="241"/>
      <c r="D7" s="241"/>
      <c r="E7" s="241"/>
      <c r="F7" s="577"/>
      <c r="G7" s="617" t="s">
        <v>1343</v>
      </c>
    </row>
    <row r="8" spans="1:7" x14ac:dyDescent="0.2">
      <c r="A8" s="579" t="s">
        <v>996</v>
      </c>
      <c r="B8" s="580"/>
      <c r="C8" s="580"/>
      <c r="D8" s="580"/>
      <c r="E8" s="580"/>
      <c r="F8" s="660"/>
      <c r="G8" s="619" t="str">
        <f>JTC</f>
        <v>WITNESS:  J. T. CROOM</v>
      </c>
    </row>
    <row r="9" spans="1:7" x14ac:dyDescent="0.2">
      <c r="A9" s="584"/>
      <c r="B9" s="584"/>
      <c r="C9" s="584"/>
      <c r="D9" s="613" t="s">
        <v>1344</v>
      </c>
      <c r="E9" s="584"/>
      <c r="F9" s="584"/>
      <c r="G9" s="560" t="s">
        <v>671</v>
      </c>
    </row>
    <row r="10" spans="1:7" x14ac:dyDescent="0.2">
      <c r="A10" s="613" t="s">
        <v>632</v>
      </c>
      <c r="B10" s="613" t="s">
        <v>756</v>
      </c>
      <c r="C10" s="613"/>
      <c r="D10" s="613" t="s">
        <v>670</v>
      </c>
      <c r="E10" s="613" t="s">
        <v>1345</v>
      </c>
      <c r="F10" s="613" t="s">
        <v>1344</v>
      </c>
      <c r="G10" s="560" t="s">
        <v>1346</v>
      </c>
    </row>
    <row r="11" spans="1:7" x14ac:dyDescent="0.2">
      <c r="A11" s="621" t="s">
        <v>635</v>
      </c>
      <c r="B11" s="621" t="s">
        <v>1347</v>
      </c>
      <c r="C11" s="621" t="s">
        <v>767</v>
      </c>
      <c r="D11" s="621" t="s">
        <v>1348</v>
      </c>
      <c r="E11" s="621" t="s">
        <v>1349</v>
      </c>
      <c r="F11" s="621" t="s">
        <v>696</v>
      </c>
      <c r="G11" s="621" t="s">
        <v>778</v>
      </c>
    </row>
    <row r="12" spans="1:7" x14ac:dyDescent="0.2">
      <c r="A12" s="584"/>
      <c r="B12" s="241"/>
      <c r="C12" s="241"/>
      <c r="D12" s="613" t="s">
        <v>860</v>
      </c>
      <c r="E12" s="613" t="s">
        <v>877</v>
      </c>
      <c r="F12" s="613" t="s">
        <v>878</v>
      </c>
      <c r="G12" s="613" t="s">
        <v>1145</v>
      </c>
    </row>
    <row r="13" spans="1:7" x14ac:dyDescent="0.2">
      <c r="A13" s="584"/>
      <c r="B13" s="241"/>
      <c r="C13" s="241"/>
      <c r="D13" s="613" t="s">
        <v>639</v>
      </c>
      <c r="E13" s="613" t="s">
        <v>857</v>
      </c>
      <c r="F13" s="613" t="s">
        <v>639</v>
      </c>
      <c r="G13" s="241"/>
    </row>
    <row r="14" spans="1:7" x14ac:dyDescent="0.2">
      <c r="A14" s="613">
        <v>1</v>
      </c>
      <c r="B14" s="615"/>
      <c r="C14" s="661" t="s">
        <v>1350</v>
      </c>
      <c r="D14" s="241"/>
      <c r="E14" s="241"/>
      <c r="F14" s="241"/>
      <c r="G14" s="241"/>
    </row>
    <row r="15" spans="1:7" x14ac:dyDescent="0.2">
      <c r="A15" s="613">
        <f t="shared" ref="A15:A20" si="0">1+A14</f>
        <v>2</v>
      </c>
      <c r="B15" s="615"/>
      <c r="C15" s="661" t="s">
        <v>1351</v>
      </c>
      <c r="D15" s="241"/>
      <c r="E15" s="241"/>
      <c r="F15" s="241"/>
      <c r="G15" s="241"/>
    </row>
    <row r="16" spans="1:7" x14ac:dyDescent="0.2">
      <c r="A16" s="613">
        <f t="shared" si="0"/>
        <v>3</v>
      </c>
      <c r="B16" s="613" t="s">
        <v>1352</v>
      </c>
      <c r="C16" s="634" t="s">
        <v>1353</v>
      </c>
      <c r="D16" s="624">
        <f>-'Total Co Accts Activ C2.2A'!P18</f>
        <v>50027627.229999997</v>
      </c>
      <c r="E16" s="662">
        <v>1</v>
      </c>
      <c r="F16" s="642">
        <f>D16</f>
        <v>50027627.229999997</v>
      </c>
      <c r="G16" s="613" t="s">
        <v>1354</v>
      </c>
    </row>
    <row r="17" spans="1:7" x14ac:dyDescent="0.2">
      <c r="A17" s="613">
        <f t="shared" si="0"/>
        <v>4</v>
      </c>
      <c r="B17" s="613" t="s">
        <v>1355</v>
      </c>
      <c r="C17" s="634" t="s">
        <v>1356</v>
      </c>
      <c r="D17" s="624">
        <f>-'Total Co Accts Activ C2.2A'!P19</f>
        <v>18619386.41</v>
      </c>
      <c r="E17" s="662">
        <v>1</v>
      </c>
      <c r="F17" s="642">
        <f>D17</f>
        <v>18619386.41</v>
      </c>
      <c r="G17" s="615"/>
    </row>
    <row r="18" spans="1:7" x14ac:dyDescent="0.2">
      <c r="A18" s="613">
        <f t="shared" si="0"/>
        <v>5</v>
      </c>
      <c r="B18" s="613" t="s">
        <v>1357</v>
      </c>
      <c r="C18" s="634" t="s">
        <v>1358</v>
      </c>
      <c r="D18" s="624">
        <f>-'Total Co Accts Activ C2.2A'!P20</f>
        <v>938767.47</v>
      </c>
      <c r="E18" s="662">
        <v>1</v>
      </c>
      <c r="F18" s="642">
        <f>D18</f>
        <v>938767.47</v>
      </c>
      <c r="G18" s="615"/>
    </row>
    <row r="19" spans="1:7" x14ac:dyDescent="0.2">
      <c r="A19" s="613">
        <f t="shared" si="0"/>
        <v>6</v>
      </c>
      <c r="B19" s="613" t="s">
        <v>1359</v>
      </c>
      <c r="C19" s="634" t="s">
        <v>1360</v>
      </c>
      <c r="D19" s="1408">
        <v>0</v>
      </c>
      <c r="E19" s="662">
        <v>1</v>
      </c>
      <c r="F19" s="663">
        <f>D19</f>
        <v>0</v>
      </c>
      <c r="G19" s="615"/>
    </row>
    <row r="20" spans="1:7" x14ac:dyDescent="0.2">
      <c r="A20" s="613">
        <f t="shared" si="0"/>
        <v>7</v>
      </c>
      <c r="B20" s="613"/>
      <c r="C20" s="634" t="s">
        <v>1361</v>
      </c>
      <c r="D20" s="591">
        <f>SUM(D16:D19)</f>
        <v>69585781.109999999</v>
      </c>
      <c r="E20" s="662" t="s">
        <v>680</v>
      </c>
      <c r="F20" s="591">
        <f>SUM(F16:F19)</f>
        <v>69585781.109999999</v>
      </c>
      <c r="G20" s="615"/>
    </row>
    <row r="21" spans="1:7" x14ac:dyDescent="0.2">
      <c r="A21" s="613"/>
      <c r="B21" s="584"/>
      <c r="C21" s="241"/>
      <c r="D21" s="590"/>
      <c r="E21" s="664"/>
      <c r="F21" s="241"/>
      <c r="G21" s="615"/>
    </row>
    <row r="22" spans="1:7" x14ac:dyDescent="0.2">
      <c r="A22" s="613">
        <f>1+A20</f>
        <v>8</v>
      </c>
      <c r="B22" s="584"/>
      <c r="C22" s="661" t="s">
        <v>1362</v>
      </c>
      <c r="D22" s="590"/>
      <c r="E22" s="665"/>
      <c r="F22" s="642"/>
      <c r="G22" s="615"/>
    </row>
    <row r="23" spans="1:7" x14ac:dyDescent="0.2">
      <c r="A23" s="613">
        <f>A22+1</f>
        <v>9</v>
      </c>
      <c r="B23" s="584">
        <v>483</v>
      </c>
      <c r="C23" s="634" t="s">
        <v>1363</v>
      </c>
      <c r="D23" s="590">
        <f>-'Total Co Accts Activ C2.2A'!P21</f>
        <v>43030.970000000008</v>
      </c>
      <c r="E23" s="662">
        <v>1</v>
      </c>
      <c r="F23" s="642">
        <f>D23</f>
        <v>43030.970000000008</v>
      </c>
      <c r="G23" s="615"/>
    </row>
    <row r="24" spans="1:7" x14ac:dyDescent="0.2">
      <c r="A24" s="613">
        <f>A23+1</f>
        <v>10</v>
      </c>
      <c r="B24" s="613" t="s">
        <v>1364</v>
      </c>
      <c r="C24" s="634" t="s">
        <v>1365</v>
      </c>
      <c r="D24" s="590">
        <f>-'Total Co Accts Activ C2.2A'!P22</f>
        <v>434815.49</v>
      </c>
      <c r="E24" s="662">
        <v>1</v>
      </c>
      <c r="F24" s="642">
        <f>D24</f>
        <v>434815.49</v>
      </c>
      <c r="G24" s="615"/>
    </row>
    <row r="25" spans="1:7" x14ac:dyDescent="0.2">
      <c r="A25" s="613">
        <f>A24+1</f>
        <v>11</v>
      </c>
      <c r="B25" s="613" t="s">
        <v>1366</v>
      </c>
      <c r="C25" s="634" t="s">
        <v>1367</v>
      </c>
      <c r="D25" s="590">
        <f>-'Total Co Accts Activ C2.2A'!P23</f>
        <v>136923.37</v>
      </c>
      <c r="E25" s="662">
        <v>1</v>
      </c>
      <c r="F25" s="642">
        <f>D25</f>
        <v>136923.37</v>
      </c>
      <c r="G25" s="615"/>
    </row>
    <row r="26" spans="1:7" x14ac:dyDescent="0.2">
      <c r="A26" s="613">
        <f>A25+1</f>
        <v>12</v>
      </c>
      <c r="B26" s="613" t="s">
        <v>1368</v>
      </c>
      <c r="C26" s="634" t="s">
        <v>1369</v>
      </c>
      <c r="D26" s="590">
        <f>-'Total Co Accts Activ C2.2A'!P24</f>
        <v>21950546.569999997</v>
      </c>
      <c r="E26" s="662">
        <v>1</v>
      </c>
      <c r="F26" s="601">
        <f>D26</f>
        <v>21950546.569999997</v>
      </c>
      <c r="G26" s="241"/>
    </row>
    <row r="27" spans="1:7" x14ac:dyDescent="0.2">
      <c r="A27" s="613">
        <f>1+A26</f>
        <v>13</v>
      </c>
      <c r="B27" s="613" t="s">
        <v>1370</v>
      </c>
      <c r="C27" s="634" t="s">
        <v>1371</v>
      </c>
      <c r="D27" s="641">
        <f>-'Total Co Accts Activ C2.2A'!P26-'Total Co Accts Activ C2.2A'!P25</f>
        <v>9892086.3499999996</v>
      </c>
      <c r="E27" s="662">
        <v>1</v>
      </c>
      <c r="F27" s="597">
        <f>D27</f>
        <v>9892086.3499999996</v>
      </c>
      <c r="G27" s="241"/>
    </row>
    <row r="28" spans="1:7" x14ac:dyDescent="0.2">
      <c r="A28" s="613"/>
      <c r="B28" s="584"/>
      <c r="C28" s="634" t="s">
        <v>1372</v>
      </c>
      <c r="D28" s="591">
        <f>SUM(D23:D27)</f>
        <v>32457402.75</v>
      </c>
      <c r="E28" s="662" t="s">
        <v>680</v>
      </c>
      <c r="F28" s="591">
        <f>SUM(F23:F27)</f>
        <v>32457402.75</v>
      </c>
      <c r="G28" s="615"/>
    </row>
    <row r="29" spans="1:7" x14ac:dyDescent="0.2">
      <c r="A29" s="613"/>
      <c r="B29" s="584"/>
      <c r="C29" s="241"/>
      <c r="D29" s="642"/>
      <c r="E29" s="662" t="s">
        <v>680</v>
      </c>
      <c r="F29" s="642"/>
      <c r="G29" s="615"/>
    </row>
    <row r="30" spans="1:7" ht="13.5" thickBot="1" x14ac:dyDescent="0.25">
      <c r="A30" s="613">
        <f>1+A27</f>
        <v>14</v>
      </c>
      <c r="B30" s="613"/>
      <c r="C30" s="634" t="s">
        <v>1373</v>
      </c>
      <c r="D30" s="600">
        <f>D20+D28</f>
        <v>102043183.86</v>
      </c>
      <c r="E30" s="662" t="s">
        <v>680</v>
      </c>
      <c r="F30" s="600">
        <f>(F20+F28)</f>
        <v>102043183.86</v>
      </c>
      <c r="G30" s="615"/>
    </row>
    <row r="31" spans="1:7" ht="13.5" thickTop="1" x14ac:dyDescent="0.2">
      <c r="A31" s="613"/>
      <c r="B31" s="584"/>
      <c r="C31" s="241"/>
      <c r="D31" s="642"/>
      <c r="E31" s="665"/>
      <c r="F31" s="642"/>
      <c r="G31" s="241"/>
    </row>
    <row r="32" spans="1:7" x14ac:dyDescent="0.2">
      <c r="A32" s="613">
        <f>1+A30</f>
        <v>15</v>
      </c>
      <c r="B32" s="584"/>
      <c r="C32" s="661" t="s">
        <v>1374</v>
      </c>
      <c r="D32" s="642"/>
      <c r="E32" s="665"/>
      <c r="F32" s="642"/>
      <c r="G32" s="241"/>
    </row>
    <row r="33" spans="1:7" x14ac:dyDescent="0.2">
      <c r="A33" s="613">
        <f t="shared" ref="A33:A39" si="1">1+A32</f>
        <v>16</v>
      </c>
      <c r="B33" s="584"/>
      <c r="C33" s="666" t="s">
        <v>1375</v>
      </c>
      <c r="D33" s="590"/>
      <c r="E33" s="664"/>
      <c r="F33" s="241"/>
      <c r="G33" s="241"/>
    </row>
    <row r="34" spans="1:7" x14ac:dyDescent="0.2">
      <c r="A34" s="613">
        <f t="shared" si="1"/>
        <v>17</v>
      </c>
      <c r="B34" s="560" t="s">
        <v>1376</v>
      </c>
      <c r="C34" s="634" t="s">
        <v>882</v>
      </c>
      <c r="D34" s="588">
        <f>'Total Co Accts Activ C2.2A'!P27</f>
        <v>1191.99</v>
      </c>
      <c r="E34" s="662">
        <v>1</v>
      </c>
      <c r="F34" s="642">
        <f>D34</f>
        <v>1191.99</v>
      </c>
      <c r="G34" s="615"/>
    </row>
    <row r="35" spans="1:7" x14ac:dyDescent="0.2">
      <c r="A35" s="613">
        <f t="shared" si="1"/>
        <v>18</v>
      </c>
      <c r="B35" s="560" t="s">
        <v>1377</v>
      </c>
      <c r="C35" s="634" t="s">
        <v>1378</v>
      </c>
      <c r="D35" s="588">
        <f>'Total Co Accts Activ C2.2A'!P28</f>
        <v>0</v>
      </c>
      <c r="E35" s="662">
        <v>1</v>
      </c>
      <c r="F35" s="642">
        <f>D35</f>
        <v>0</v>
      </c>
      <c r="G35" s="615"/>
    </row>
    <row r="36" spans="1:7" x14ac:dyDescent="0.2">
      <c r="A36" s="613">
        <f t="shared" si="1"/>
        <v>19</v>
      </c>
      <c r="B36" s="560" t="s">
        <v>1379</v>
      </c>
      <c r="C36" s="634" t="s">
        <v>1380</v>
      </c>
      <c r="D36" s="588">
        <f>'Total Co Accts Activ C2.2A'!P29</f>
        <v>0</v>
      </c>
      <c r="E36" s="662">
        <v>1</v>
      </c>
      <c r="F36" s="642">
        <f>D36</f>
        <v>0</v>
      </c>
      <c r="G36" s="615"/>
    </row>
    <row r="37" spans="1:7" x14ac:dyDescent="0.2">
      <c r="A37" s="613">
        <f t="shared" si="1"/>
        <v>20</v>
      </c>
      <c r="B37" s="560" t="s">
        <v>1381</v>
      </c>
      <c r="C37" s="634" t="s">
        <v>1382</v>
      </c>
      <c r="D37" s="588">
        <f>'Total Co Accts Activ C2.2A'!P30</f>
        <v>0</v>
      </c>
      <c r="E37" s="662">
        <v>1</v>
      </c>
      <c r="F37" s="642">
        <f>D37</f>
        <v>0</v>
      </c>
      <c r="G37" s="615"/>
    </row>
    <row r="38" spans="1:7" x14ac:dyDescent="0.2">
      <c r="A38" s="613">
        <f t="shared" si="1"/>
        <v>21</v>
      </c>
      <c r="B38" s="560" t="s">
        <v>1383</v>
      </c>
      <c r="C38" s="634" t="s">
        <v>1384</v>
      </c>
      <c r="D38" s="596">
        <f>'Total Co Accts Activ C2.2A'!P31</f>
        <v>0</v>
      </c>
      <c r="E38" s="662">
        <v>1</v>
      </c>
      <c r="F38" s="663">
        <f>D38</f>
        <v>0</v>
      </c>
      <c r="G38" s="615"/>
    </row>
    <row r="39" spans="1:7" x14ac:dyDescent="0.2">
      <c r="A39" s="613">
        <f t="shared" si="1"/>
        <v>22</v>
      </c>
      <c r="B39" s="584"/>
      <c r="C39" s="242" t="s">
        <v>1385</v>
      </c>
      <c r="D39" s="591">
        <f>SUM(D33:D38)</f>
        <v>1191.99</v>
      </c>
      <c r="E39" s="662" t="s">
        <v>680</v>
      </c>
      <c r="F39" s="591">
        <f>SUM(F33:F38)</f>
        <v>1191.99</v>
      </c>
      <c r="G39" s="241"/>
    </row>
    <row r="40" spans="1:7" x14ac:dyDescent="0.2">
      <c r="A40" s="584"/>
      <c r="B40" s="241"/>
      <c r="C40" s="241"/>
      <c r="D40" s="590"/>
      <c r="E40" s="664"/>
      <c r="F40" s="241"/>
      <c r="G40" s="241"/>
    </row>
    <row r="41" spans="1:7" x14ac:dyDescent="0.2">
      <c r="A41" s="613">
        <f>1+A39</f>
        <v>23</v>
      </c>
      <c r="B41" s="241"/>
      <c r="C41" s="661" t="s">
        <v>1386</v>
      </c>
      <c r="D41" s="642"/>
      <c r="E41" s="665"/>
      <c r="F41" s="642"/>
      <c r="G41" s="615"/>
    </row>
    <row r="42" spans="1:7" x14ac:dyDescent="0.2">
      <c r="A42" s="613">
        <f t="shared" ref="A42:A51" si="2">1+A41</f>
        <v>24</v>
      </c>
      <c r="B42" s="241"/>
      <c r="C42" s="661" t="s">
        <v>1387</v>
      </c>
      <c r="D42" s="642"/>
      <c r="E42" s="665"/>
      <c r="F42" s="642"/>
      <c r="G42" s="241"/>
    </row>
    <row r="43" spans="1:7" x14ac:dyDescent="0.2">
      <c r="A43" s="613">
        <f t="shared" si="2"/>
        <v>25</v>
      </c>
      <c r="B43" s="613" t="s">
        <v>1388</v>
      </c>
      <c r="C43" s="634" t="s">
        <v>1389</v>
      </c>
      <c r="D43" s="624">
        <f>'Total Co Accts Activ C2.2A'!P32</f>
        <v>24384719.419999998</v>
      </c>
      <c r="E43" s="662">
        <v>1</v>
      </c>
      <c r="F43" s="642">
        <f t="shared" ref="F43:F50" si="3">D43</f>
        <v>24384719.419999998</v>
      </c>
      <c r="G43" s="613" t="s">
        <v>1354</v>
      </c>
    </row>
    <row r="44" spans="1:7" x14ac:dyDescent="0.2">
      <c r="A44" s="613">
        <f t="shared" si="2"/>
        <v>26</v>
      </c>
      <c r="B44" s="613" t="s">
        <v>1390</v>
      </c>
      <c r="C44" s="634" t="s">
        <v>1391</v>
      </c>
      <c r="D44" s="624">
        <f>'Total Co Accts Activ C2.2A'!P33</f>
        <v>575741.15</v>
      </c>
      <c r="E44" s="662">
        <v>1</v>
      </c>
      <c r="F44" s="642">
        <f t="shared" si="3"/>
        <v>575741.15</v>
      </c>
      <c r="G44" s="615"/>
    </row>
    <row r="45" spans="1:7" x14ac:dyDescent="0.2">
      <c r="A45" s="613">
        <f t="shared" si="2"/>
        <v>27</v>
      </c>
      <c r="B45" s="613" t="s">
        <v>1392</v>
      </c>
      <c r="C45" s="634" t="s">
        <v>1393</v>
      </c>
      <c r="D45" s="624">
        <f>'Total Co Accts Activ C2.2A'!P34</f>
        <v>-8784163.0299999975</v>
      </c>
      <c r="E45" s="662">
        <v>1</v>
      </c>
      <c r="F45" s="642">
        <f t="shared" si="3"/>
        <v>-8784163.0299999975</v>
      </c>
      <c r="G45" s="615"/>
    </row>
    <row r="46" spans="1:7" x14ac:dyDescent="0.2">
      <c r="A46" s="613">
        <f t="shared" si="2"/>
        <v>28</v>
      </c>
      <c r="B46" s="613" t="s">
        <v>1394</v>
      </c>
      <c r="C46" s="634" t="s">
        <v>1395</v>
      </c>
      <c r="D46" s="624">
        <f>'Total Co Accts Activ C2.2A'!P35</f>
        <v>-2035564.5399999998</v>
      </c>
      <c r="E46" s="662">
        <v>1</v>
      </c>
      <c r="F46" s="642">
        <f t="shared" si="3"/>
        <v>-2035564.5399999998</v>
      </c>
      <c r="G46" s="615"/>
    </row>
    <row r="47" spans="1:7" x14ac:dyDescent="0.2">
      <c r="A47" s="613">
        <f t="shared" si="2"/>
        <v>29</v>
      </c>
      <c r="B47" s="613" t="s">
        <v>1396</v>
      </c>
      <c r="C47" s="634" t="s">
        <v>880</v>
      </c>
      <c r="D47" s="624">
        <f>+'Total Co Accts Activ C2.2A'!P37+'Total Co Accts Activ C2.2A'!P36</f>
        <v>324707.32999999996</v>
      </c>
      <c r="E47" s="662">
        <v>1</v>
      </c>
      <c r="F47" s="642">
        <f t="shared" si="3"/>
        <v>324707.32999999996</v>
      </c>
      <c r="G47" s="615"/>
    </row>
    <row r="48" spans="1:7" x14ac:dyDescent="0.2">
      <c r="A48" s="613">
        <f t="shared" si="2"/>
        <v>30</v>
      </c>
      <c r="B48" s="613" t="s">
        <v>1397</v>
      </c>
      <c r="C48" s="634" t="s">
        <v>1398</v>
      </c>
      <c r="D48" s="624">
        <f>'Total Co Accts Activ C2.2A'!P38</f>
        <v>15800335.310000001</v>
      </c>
      <c r="E48" s="662">
        <v>1</v>
      </c>
      <c r="F48" s="642">
        <f t="shared" si="3"/>
        <v>15800335.310000001</v>
      </c>
      <c r="G48" s="615"/>
    </row>
    <row r="49" spans="1:7" x14ac:dyDescent="0.2">
      <c r="A49" s="613">
        <f t="shared" si="2"/>
        <v>31</v>
      </c>
      <c r="B49" s="613" t="s">
        <v>1399</v>
      </c>
      <c r="C49" s="634" t="s">
        <v>1400</v>
      </c>
      <c r="D49" s="624">
        <f>'Total Co Accts Activ C2.2A'!P39</f>
        <v>-42970.32</v>
      </c>
      <c r="E49" s="667">
        <v>1</v>
      </c>
      <c r="F49" s="668">
        <f t="shared" si="3"/>
        <v>-42970.32</v>
      </c>
      <c r="G49" s="615"/>
    </row>
    <row r="50" spans="1:7" x14ac:dyDescent="0.2">
      <c r="A50" s="613">
        <f t="shared" si="2"/>
        <v>32</v>
      </c>
      <c r="B50" s="613">
        <v>813</v>
      </c>
      <c r="C50" s="669" t="s">
        <v>1401</v>
      </c>
      <c r="D50" s="641">
        <f>'Total Co Accts Activ C2.2A'!P40</f>
        <v>0</v>
      </c>
      <c r="E50" s="667">
        <v>1</v>
      </c>
      <c r="F50" s="670">
        <f t="shared" si="3"/>
        <v>0</v>
      </c>
      <c r="G50" s="615"/>
    </row>
    <row r="51" spans="1:7" x14ac:dyDescent="0.2">
      <c r="A51" s="613">
        <f t="shared" si="2"/>
        <v>33</v>
      </c>
      <c r="B51" s="584"/>
      <c r="C51" s="634" t="s">
        <v>1402</v>
      </c>
      <c r="D51" s="591">
        <f>SUM(D43:D50)</f>
        <v>30222805.32</v>
      </c>
      <c r="E51" s="662" t="s">
        <v>680</v>
      </c>
      <c r="F51" s="591">
        <f>SUM(F43:F49)</f>
        <v>30222805.32</v>
      </c>
      <c r="G51" s="615"/>
    </row>
    <row r="52" spans="1:7" x14ac:dyDescent="0.2">
      <c r="A52" s="584"/>
      <c r="B52" s="584"/>
      <c r="C52" s="241"/>
      <c r="D52" s="590"/>
      <c r="E52" s="662" t="s">
        <v>680</v>
      </c>
      <c r="F52" s="635" t="s">
        <v>680</v>
      </c>
      <c r="G52" s="241"/>
    </row>
    <row r="53" spans="1:7" x14ac:dyDescent="0.2">
      <c r="A53" s="613">
        <f>1+A51</f>
        <v>34</v>
      </c>
      <c r="B53" s="584"/>
      <c r="C53" s="661" t="s">
        <v>1403</v>
      </c>
      <c r="D53" s="590"/>
      <c r="E53" s="662" t="s">
        <v>680</v>
      </c>
      <c r="F53" s="635" t="s">
        <v>680</v>
      </c>
      <c r="G53" s="241"/>
    </row>
    <row r="54" spans="1:7" x14ac:dyDescent="0.2">
      <c r="A54" s="613">
        <f t="shared" ref="A54:A63" si="4">1+A53</f>
        <v>35</v>
      </c>
      <c r="B54" s="613" t="s">
        <v>1404</v>
      </c>
      <c r="C54" s="634" t="s">
        <v>1405</v>
      </c>
      <c r="D54" s="624">
        <f>'Total Co Accts Activ C2.2A'!P41</f>
        <v>682370.48</v>
      </c>
      <c r="E54" s="662">
        <v>1</v>
      </c>
      <c r="F54" s="642">
        <f t="shared" ref="F54:F62" si="5">D54</f>
        <v>682370.48</v>
      </c>
      <c r="G54" s="615"/>
    </row>
    <row r="55" spans="1:7" x14ac:dyDescent="0.2">
      <c r="A55" s="613">
        <f t="shared" si="4"/>
        <v>36</v>
      </c>
      <c r="B55" s="613" t="s">
        <v>1406</v>
      </c>
      <c r="C55" s="634" t="s">
        <v>1407</v>
      </c>
      <c r="D55" s="624">
        <f>'Total Co Accts Activ C2.2A'!P42</f>
        <v>179279.47999999998</v>
      </c>
      <c r="E55" s="662">
        <v>1</v>
      </c>
      <c r="F55" s="642">
        <f t="shared" si="5"/>
        <v>179279.47999999998</v>
      </c>
      <c r="G55" s="615"/>
    </row>
    <row r="56" spans="1:7" x14ac:dyDescent="0.2">
      <c r="A56" s="613">
        <f t="shared" si="4"/>
        <v>37</v>
      </c>
      <c r="B56" s="613" t="s">
        <v>1408</v>
      </c>
      <c r="C56" s="634" t="s">
        <v>1409</v>
      </c>
      <c r="D56" s="624">
        <f>'Total Co Accts Activ C2.2A'!P43</f>
        <v>5029244.9800000004</v>
      </c>
      <c r="E56" s="662">
        <v>1</v>
      </c>
      <c r="F56" s="642">
        <f t="shared" si="5"/>
        <v>5029244.9800000004</v>
      </c>
      <c r="G56" s="615"/>
    </row>
    <row r="57" spans="1:7" x14ac:dyDescent="0.2">
      <c r="A57" s="613">
        <f t="shared" si="4"/>
        <v>38</v>
      </c>
      <c r="B57" s="613" t="s">
        <v>1410</v>
      </c>
      <c r="C57" s="634" t="s">
        <v>1411</v>
      </c>
      <c r="D57" s="624">
        <f>'Total Co Accts Activ C2.2A'!P44</f>
        <v>158413.91999999998</v>
      </c>
      <c r="E57" s="662">
        <v>1</v>
      </c>
      <c r="F57" s="642">
        <f t="shared" si="5"/>
        <v>158413.91999999998</v>
      </c>
      <c r="G57" s="615"/>
    </row>
    <row r="58" spans="1:7" x14ac:dyDescent="0.2">
      <c r="A58" s="613">
        <f t="shared" si="4"/>
        <v>39</v>
      </c>
      <c r="B58" s="613" t="s">
        <v>1412</v>
      </c>
      <c r="C58" s="634" t="s">
        <v>1413</v>
      </c>
      <c r="D58" s="624">
        <f>'Total Co Accts Activ C2.2A'!P45</f>
        <v>66115.03</v>
      </c>
      <c r="E58" s="662">
        <v>1</v>
      </c>
      <c r="F58" s="642">
        <f t="shared" si="5"/>
        <v>66115.03</v>
      </c>
      <c r="G58" s="615"/>
    </row>
    <row r="59" spans="1:7" x14ac:dyDescent="0.2">
      <c r="A59" s="613">
        <f t="shared" si="4"/>
        <v>40</v>
      </c>
      <c r="B59" s="613" t="s">
        <v>1414</v>
      </c>
      <c r="C59" s="634" t="s">
        <v>1415</v>
      </c>
      <c r="D59" s="624">
        <f>'Total Co Accts Activ C2.2A'!P46</f>
        <v>1528786.8384599998</v>
      </c>
      <c r="E59" s="662">
        <v>1</v>
      </c>
      <c r="F59" s="642">
        <f t="shared" si="5"/>
        <v>1528786.8384599998</v>
      </c>
      <c r="G59" s="615"/>
    </row>
    <row r="60" spans="1:7" x14ac:dyDescent="0.2">
      <c r="A60" s="613">
        <f t="shared" si="4"/>
        <v>41</v>
      </c>
      <c r="B60" s="613" t="s">
        <v>1416</v>
      </c>
      <c r="C60" s="634" t="s">
        <v>1417</v>
      </c>
      <c r="D60" s="624">
        <f>'Total Co Accts Activ C2.2A'!P47</f>
        <v>1840759.544</v>
      </c>
      <c r="E60" s="662">
        <v>1</v>
      </c>
      <c r="F60" s="642">
        <f t="shared" si="5"/>
        <v>1840759.544</v>
      </c>
      <c r="G60" s="615"/>
    </row>
    <row r="61" spans="1:7" x14ac:dyDescent="0.2">
      <c r="A61" s="613">
        <f t="shared" si="4"/>
        <v>42</v>
      </c>
      <c r="B61" s="613" t="s">
        <v>1418</v>
      </c>
      <c r="C61" s="634" t="s">
        <v>1419</v>
      </c>
      <c r="D61" s="624">
        <f>'Total Co Accts Activ C2.2A'!P48</f>
        <v>1549136.67</v>
      </c>
      <c r="E61" s="662">
        <v>1</v>
      </c>
      <c r="F61" s="642">
        <f t="shared" si="5"/>
        <v>1549136.67</v>
      </c>
      <c r="G61" s="615"/>
    </row>
    <row r="62" spans="1:7" x14ac:dyDescent="0.2">
      <c r="A62" s="613">
        <f t="shared" si="4"/>
        <v>43</v>
      </c>
      <c r="B62" s="613" t="s">
        <v>1420</v>
      </c>
      <c r="C62" s="634" t="s">
        <v>1421</v>
      </c>
      <c r="D62" s="641">
        <f>'Total Co Accts Activ C2.2A'!P49</f>
        <v>86542.36</v>
      </c>
      <c r="E62" s="662">
        <v>1</v>
      </c>
      <c r="F62" s="663">
        <f t="shared" si="5"/>
        <v>86542.36</v>
      </c>
      <c r="G62" s="615"/>
    </row>
    <row r="63" spans="1:7" x14ac:dyDescent="0.2">
      <c r="A63" s="613">
        <f t="shared" si="4"/>
        <v>44</v>
      </c>
      <c r="B63" s="584"/>
      <c r="C63" s="634" t="s">
        <v>1422</v>
      </c>
      <c r="D63" s="591">
        <f>SUM(D54:D62)</f>
        <v>11120649.30246</v>
      </c>
      <c r="E63" s="662" t="s">
        <v>680</v>
      </c>
      <c r="F63" s="591">
        <f>SUM(F54:F62)</f>
        <v>11120649.30246</v>
      </c>
      <c r="G63" s="642"/>
    </row>
    <row r="64" spans="1:7" x14ac:dyDescent="0.2">
      <c r="A64" s="584"/>
      <c r="B64" s="584"/>
      <c r="C64" s="241"/>
      <c r="D64" s="590"/>
      <c r="E64" s="662" t="s">
        <v>680</v>
      </c>
      <c r="F64" s="635" t="s">
        <v>680</v>
      </c>
      <c r="G64" s="615"/>
    </row>
    <row r="65" spans="1:7" x14ac:dyDescent="0.2">
      <c r="A65" s="613">
        <f>1+A63</f>
        <v>45</v>
      </c>
      <c r="B65" s="613"/>
      <c r="C65" s="661" t="s">
        <v>1423</v>
      </c>
      <c r="D65" s="642"/>
      <c r="E65" s="662" t="s">
        <v>680</v>
      </c>
      <c r="F65" s="635" t="s">
        <v>680</v>
      </c>
      <c r="G65" s="615"/>
    </row>
    <row r="66" spans="1:7" x14ac:dyDescent="0.2">
      <c r="A66" s="613">
        <f t="shared" ref="A66:A74" si="6">1+A65</f>
        <v>46</v>
      </c>
      <c r="B66" s="613" t="s">
        <v>1424</v>
      </c>
      <c r="C66" s="634" t="s">
        <v>1405</v>
      </c>
      <c r="D66" s="624">
        <f>'Total Co Accts Activ C2.2A'!P50</f>
        <v>9794.57</v>
      </c>
      <c r="E66" s="662">
        <v>1</v>
      </c>
      <c r="F66" s="642">
        <f t="shared" ref="F66:F73" si="7">D66</f>
        <v>9794.57</v>
      </c>
      <c r="G66" s="615"/>
    </row>
    <row r="67" spans="1:7" x14ac:dyDescent="0.2">
      <c r="A67" s="613">
        <f t="shared" si="6"/>
        <v>47</v>
      </c>
      <c r="B67" s="613" t="s">
        <v>1425</v>
      </c>
      <c r="C67" s="634" t="s">
        <v>1426</v>
      </c>
      <c r="D67" s="624">
        <f>'Total Co Accts Activ C2.2A'!P51</f>
        <v>255921.81</v>
      </c>
      <c r="E67" s="662">
        <v>1</v>
      </c>
      <c r="F67" s="642">
        <f t="shared" si="7"/>
        <v>255921.81</v>
      </c>
      <c r="G67" s="615"/>
    </row>
    <row r="68" spans="1:7" x14ac:dyDescent="0.2">
      <c r="A68" s="613">
        <f t="shared" si="6"/>
        <v>48</v>
      </c>
      <c r="B68" s="613" t="s">
        <v>1427</v>
      </c>
      <c r="C68" s="634" t="s">
        <v>1428</v>
      </c>
      <c r="D68" s="624">
        <f>'Total Co Accts Activ C2.2A'!P52</f>
        <v>2786673.2094700001</v>
      </c>
      <c r="E68" s="662">
        <v>1</v>
      </c>
      <c r="F68" s="642">
        <f t="shared" si="7"/>
        <v>2786673.2094700001</v>
      </c>
      <c r="G68" s="615"/>
    </row>
    <row r="69" spans="1:7" x14ac:dyDescent="0.2">
      <c r="A69" s="613">
        <f t="shared" si="6"/>
        <v>49</v>
      </c>
      <c r="B69" s="613" t="s">
        <v>1429</v>
      </c>
      <c r="C69" s="634" t="s">
        <v>1411</v>
      </c>
      <c r="D69" s="624">
        <f>'Total Co Accts Activ C2.2A'!P53</f>
        <v>269427.95999999996</v>
      </c>
      <c r="E69" s="662">
        <v>1</v>
      </c>
      <c r="F69" s="642">
        <f t="shared" si="7"/>
        <v>269427.95999999996</v>
      </c>
      <c r="G69" s="615"/>
    </row>
    <row r="70" spans="1:7" x14ac:dyDescent="0.2">
      <c r="A70" s="613">
        <f t="shared" si="6"/>
        <v>50</v>
      </c>
      <c r="B70" s="613" t="s">
        <v>1430</v>
      </c>
      <c r="C70" s="634" t="s">
        <v>1413</v>
      </c>
      <c r="D70" s="624">
        <f>'Total Co Accts Activ C2.2A'!P54</f>
        <v>60575.87</v>
      </c>
      <c r="E70" s="662">
        <v>1</v>
      </c>
      <c r="F70" s="642">
        <f t="shared" si="7"/>
        <v>60575.87</v>
      </c>
      <c r="G70" s="615"/>
    </row>
    <row r="71" spans="1:7" x14ac:dyDescent="0.2">
      <c r="A71" s="613">
        <f t="shared" si="6"/>
        <v>51</v>
      </c>
      <c r="B71" s="613" t="s">
        <v>1431</v>
      </c>
      <c r="C71" s="634" t="s">
        <v>1432</v>
      </c>
      <c r="D71" s="624">
        <f>'Total Co Accts Activ C2.2A'!P68</f>
        <v>516033.07678999996</v>
      </c>
      <c r="E71" s="662">
        <v>1</v>
      </c>
      <c r="F71" s="642">
        <f t="shared" si="7"/>
        <v>516033.07678999996</v>
      </c>
      <c r="G71" s="615"/>
    </row>
    <row r="72" spans="1:7" x14ac:dyDescent="0.2">
      <c r="A72" s="613">
        <f t="shared" si="6"/>
        <v>52</v>
      </c>
      <c r="B72" s="613" t="s">
        <v>1433</v>
      </c>
      <c r="C72" s="634" t="s">
        <v>1434</v>
      </c>
      <c r="D72" s="624">
        <f>'Total Co Accts Activ C2.2A'!P69</f>
        <v>151628.13</v>
      </c>
      <c r="E72" s="662">
        <v>1</v>
      </c>
      <c r="F72" s="642">
        <f t="shared" si="7"/>
        <v>151628.13</v>
      </c>
      <c r="G72" s="615"/>
    </row>
    <row r="73" spans="1:7" x14ac:dyDescent="0.2">
      <c r="A73" s="613">
        <f t="shared" si="6"/>
        <v>53</v>
      </c>
      <c r="B73" s="613" t="s">
        <v>1435</v>
      </c>
      <c r="C73" s="634" t="s">
        <v>1436</v>
      </c>
      <c r="D73" s="641">
        <f>'Total Co Accts Activ C2.2A'!P70</f>
        <v>295269.18</v>
      </c>
      <c r="E73" s="662">
        <v>1</v>
      </c>
      <c r="F73" s="663">
        <f t="shared" si="7"/>
        <v>295269.18</v>
      </c>
      <c r="G73" s="615"/>
    </row>
    <row r="74" spans="1:7" x14ac:dyDescent="0.2">
      <c r="A74" s="613">
        <f t="shared" si="6"/>
        <v>54</v>
      </c>
      <c r="B74" s="241"/>
      <c r="C74" s="634" t="s">
        <v>1437</v>
      </c>
      <c r="D74" s="591">
        <f>SUM(D66:D73)</f>
        <v>4345323.80626</v>
      </c>
      <c r="E74" s="672" t="s">
        <v>680</v>
      </c>
      <c r="F74" s="591">
        <f>SUM(F66:F73)</f>
        <v>4345323.80626</v>
      </c>
      <c r="G74" s="615"/>
    </row>
    <row r="75" spans="1:7" x14ac:dyDescent="0.2">
      <c r="A75" s="613"/>
      <c r="B75" s="241"/>
      <c r="C75" s="241"/>
      <c r="D75" s="590"/>
      <c r="E75" s="241"/>
      <c r="F75" s="241"/>
      <c r="G75" s="241"/>
    </row>
    <row r="76" spans="1:7" x14ac:dyDescent="0.2">
      <c r="A76" s="584"/>
      <c r="B76" s="241"/>
      <c r="C76" s="241"/>
      <c r="D76" s="241"/>
      <c r="E76" s="241"/>
      <c r="F76" s="241"/>
      <c r="G76" s="241"/>
    </row>
    <row r="77" spans="1:7" x14ac:dyDescent="0.2">
      <c r="A77" s="2126" t="s">
        <v>624</v>
      </c>
      <c r="B77" s="2128"/>
      <c r="C77" s="2128"/>
      <c r="D77" s="2128"/>
      <c r="E77" s="2128"/>
      <c r="F77" s="2128"/>
      <c r="G77" s="2128"/>
    </row>
    <row r="78" spans="1:7" x14ac:dyDescent="0.2">
      <c r="A78" s="2126" t="str">
        <f>case</f>
        <v>CASE NO. 2016 - 00162</v>
      </c>
      <c r="B78" s="2128"/>
      <c r="C78" s="2128"/>
      <c r="D78" s="2128"/>
      <c r="E78" s="2128"/>
      <c r="F78" s="2128"/>
      <c r="G78" s="2128"/>
    </row>
    <row r="79" spans="1:7" x14ac:dyDescent="0.2">
      <c r="A79" s="2126" t="str">
        <f>A3</f>
        <v xml:space="preserve">OPERATING REVENUE AND EXPENSES BY ACCOUNTS - JURISDICTION </v>
      </c>
      <c r="B79" s="2128"/>
      <c r="C79" s="2128"/>
      <c r="D79" s="2128"/>
      <c r="E79" s="2128"/>
      <c r="F79" s="2128"/>
      <c r="G79" s="2128"/>
    </row>
    <row r="80" spans="1:7" x14ac:dyDescent="0.2">
      <c r="A80" s="2126" t="str">
        <f>A4</f>
        <v>FOR THE TWELVE MONTHS ENDED AUGUST 31, 2016</v>
      </c>
      <c r="B80" s="2128"/>
      <c r="C80" s="2128"/>
      <c r="D80" s="2128"/>
      <c r="E80" s="2128"/>
      <c r="F80" s="2128"/>
      <c r="G80" s="2128"/>
    </row>
    <row r="81" spans="1:7" x14ac:dyDescent="0.2">
      <c r="A81" s="241"/>
      <c r="B81" s="615"/>
      <c r="C81" s="241"/>
      <c r="D81" s="241"/>
      <c r="E81" s="241"/>
      <c r="F81" s="241"/>
      <c r="G81" s="241"/>
    </row>
    <row r="82" spans="1:7" x14ac:dyDescent="0.2">
      <c r="A82" s="242" t="s">
        <v>976</v>
      </c>
      <c r="B82" s="241"/>
      <c r="C82" s="241"/>
      <c r="D82" s="241"/>
      <c r="E82" s="241"/>
      <c r="F82" s="577"/>
      <c r="G82" s="617" t="str">
        <f>G6</f>
        <v>SCHEDULE C-2.1A</v>
      </c>
    </row>
    <row r="83" spans="1:7" x14ac:dyDescent="0.2">
      <c r="A83" s="242" t="s">
        <v>977</v>
      </c>
      <c r="B83" s="241"/>
      <c r="C83" s="241"/>
      <c r="D83" s="241"/>
      <c r="E83" s="241"/>
      <c r="F83" s="577"/>
      <c r="G83" s="617" t="s">
        <v>1438</v>
      </c>
    </row>
    <row r="84" spans="1:7" x14ac:dyDescent="0.2">
      <c r="A84" s="579" t="s">
        <v>996</v>
      </c>
      <c r="B84" s="580"/>
      <c r="C84" s="580"/>
      <c r="D84" s="580"/>
      <c r="E84" s="580"/>
      <c r="F84" s="660"/>
      <c r="G84" s="619" t="str">
        <f>G8</f>
        <v>WITNESS:  J. T. CROOM</v>
      </c>
    </row>
    <row r="85" spans="1:7" x14ac:dyDescent="0.2">
      <c r="A85" s="584"/>
      <c r="B85" s="584"/>
      <c r="C85" s="584"/>
      <c r="D85" s="613" t="s">
        <v>1344</v>
      </c>
      <c r="E85" s="584"/>
      <c r="F85" s="584"/>
      <c r="G85" s="560" t="s">
        <v>671</v>
      </c>
    </row>
    <row r="86" spans="1:7" x14ac:dyDescent="0.2">
      <c r="A86" s="613" t="s">
        <v>632</v>
      </c>
      <c r="B86" s="613" t="s">
        <v>756</v>
      </c>
      <c r="C86" s="613"/>
      <c r="D86" s="613" t="s">
        <v>670</v>
      </c>
      <c r="E86" s="613" t="s">
        <v>1345</v>
      </c>
      <c r="F86" s="613" t="s">
        <v>1344</v>
      </c>
      <c r="G86" s="560" t="s">
        <v>1346</v>
      </c>
    </row>
    <row r="87" spans="1:7" x14ac:dyDescent="0.2">
      <c r="A87" s="621" t="s">
        <v>635</v>
      </c>
      <c r="B87" s="621" t="s">
        <v>1347</v>
      </c>
      <c r="C87" s="674" t="s">
        <v>767</v>
      </c>
      <c r="D87" s="621" t="s">
        <v>1348</v>
      </c>
      <c r="E87" s="621" t="s">
        <v>1349</v>
      </c>
      <c r="F87" s="621" t="s">
        <v>696</v>
      </c>
      <c r="G87" s="621" t="s">
        <v>778</v>
      </c>
    </row>
    <row r="88" spans="1:7" x14ac:dyDescent="0.2">
      <c r="A88" s="584"/>
      <c r="B88" s="241"/>
      <c r="C88" s="241"/>
      <c r="D88" s="613" t="s">
        <v>860</v>
      </c>
      <c r="E88" s="613" t="s">
        <v>877</v>
      </c>
      <c r="F88" s="613" t="s">
        <v>878</v>
      </c>
      <c r="G88" s="613" t="s">
        <v>1145</v>
      </c>
    </row>
    <row r="89" spans="1:7" x14ac:dyDescent="0.2">
      <c r="A89" s="613"/>
      <c r="B89" s="615"/>
      <c r="C89" s="661" t="s">
        <v>1439</v>
      </c>
      <c r="D89" s="642"/>
      <c r="E89" s="675"/>
      <c r="F89" s="642"/>
      <c r="G89" s="241"/>
    </row>
    <row r="90" spans="1:7" x14ac:dyDescent="0.2">
      <c r="A90" s="613">
        <v>1</v>
      </c>
      <c r="B90" s="613" t="s">
        <v>1440</v>
      </c>
      <c r="C90" s="634" t="s">
        <v>1441</v>
      </c>
      <c r="D90" s="624">
        <f>'Total Co Accts Activ C2.2A'!P71</f>
        <v>0</v>
      </c>
      <c r="E90" s="662">
        <v>1</v>
      </c>
      <c r="F90" s="642">
        <f t="shared" ref="F90:F96" si="8">D90</f>
        <v>0</v>
      </c>
      <c r="G90" s="613" t="s">
        <v>1354</v>
      </c>
    </row>
    <row r="91" spans="1:7" x14ac:dyDescent="0.2">
      <c r="A91" s="613">
        <f t="shared" ref="A91:A97" si="9">1+A90</f>
        <v>2</v>
      </c>
      <c r="B91" s="613" t="s">
        <v>1442</v>
      </c>
      <c r="C91" s="634" t="s">
        <v>1443</v>
      </c>
      <c r="D91" s="624">
        <f>'Total Co Accts Activ C2.2A'!P72</f>
        <v>367942.22</v>
      </c>
      <c r="E91" s="662">
        <v>1</v>
      </c>
      <c r="F91" s="642">
        <f t="shared" si="8"/>
        <v>367942.22</v>
      </c>
      <c r="G91" s="615"/>
    </row>
    <row r="92" spans="1:7" x14ac:dyDescent="0.2">
      <c r="A92" s="613">
        <f t="shared" si="9"/>
        <v>3</v>
      </c>
      <c r="B92" s="613" t="s">
        <v>1444</v>
      </c>
      <c r="C92" s="634" t="s">
        <v>1445</v>
      </c>
      <c r="D92" s="624">
        <f>'Total Co Accts Activ C2.2A'!P73</f>
        <v>3316269.0465199999</v>
      </c>
      <c r="E92" s="662">
        <v>1</v>
      </c>
      <c r="F92" s="642">
        <f t="shared" si="8"/>
        <v>3316269.0465199999</v>
      </c>
      <c r="G92" s="615"/>
    </row>
    <row r="93" spans="1:7" x14ac:dyDescent="0.2">
      <c r="A93" s="613">
        <f t="shared" si="9"/>
        <v>4</v>
      </c>
      <c r="B93" s="613" t="s">
        <v>1446</v>
      </c>
      <c r="C93" s="634" t="s">
        <v>1447</v>
      </c>
      <c r="D93" s="624">
        <f>'Total Co Accts Activ C2.2A'!P74</f>
        <v>811974.07000000007</v>
      </c>
      <c r="E93" s="662">
        <v>1</v>
      </c>
      <c r="F93" s="642">
        <f t="shared" si="8"/>
        <v>811974.07000000007</v>
      </c>
      <c r="G93" s="615"/>
    </row>
    <row r="94" spans="1:7" x14ac:dyDescent="0.2">
      <c r="A94" s="613">
        <f t="shared" si="9"/>
        <v>5</v>
      </c>
      <c r="B94" s="613" t="s">
        <v>1448</v>
      </c>
      <c r="C94" s="634" t="s">
        <v>1449</v>
      </c>
      <c r="D94" s="624">
        <f>'Total Co Accts Activ C2.2A'!P75</f>
        <v>1200.5700000000002</v>
      </c>
      <c r="E94" s="662">
        <v>1</v>
      </c>
      <c r="F94" s="668">
        <f t="shared" si="8"/>
        <v>1200.5700000000002</v>
      </c>
      <c r="G94" s="615"/>
    </row>
    <row r="95" spans="1:7" x14ac:dyDescent="0.2">
      <c r="A95" s="613">
        <f t="shared" si="9"/>
        <v>6</v>
      </c>
      <c r="B95" s="613">
        <v>921</v>
      </c>
      <c r="C95" s="634" t="s">
        <v>1450</v>
      </c>
      <c r="D95" s="676">
        <f>'Total Co Accts Activ C2.2A'!P84</f>
        <v>212.35000000000002</v>
      </c>
      <c r="E95" s="662">
        <v>1</v>
      </c>
      <c r="F95" s="668">
        <f t="shared" si="8"/>
        <v>212.35000000000002</v>
      </c>
      <c r="G95" s="615"/>
    </row>
    <row r="96" spans="1:7" x14ac:dyDescent="0.2">
      <c r="A96" s="613">
        <f t="shared" si="9"/>
        <v>7</v>
      </c>
      <c r="B96" s="613">
        <v>935</v>
      </c>
      <c r="C96" s="634" t="s">
        <v>1451</v>
      </c>
      <c r="D96" s="641">
        <f>'Total Co Accts Activ C2.2A'!P98</f>
        <v>0</v>
      </c>
      <c r="E96" s="662">
        <v>1</v>
      </c>
      <c r="F96" s="670">
        <f t="shared" si="8"/>
        <v>0</v>
      </c>
      <c r="G96" s="615"/>
    </row>
    <row r="97" spans="1:7" x14ac:dyDescent="0.2">
      <c r="A97" s="613">
        <f t="shared" si="9"/>
        <v>8</v>
      </c>
      <c r="B97" s="613"/>
      <c r="C97" s="634" t="s">
        <v>1452</v>
      </c>
      <c r="D97" s="591">
        <f>SUM(D90:D96)</f>
        <v>4497598.2565200003</v>
      </c>
      <c r="E97" s="662"/>
      <c r="F97" s="591">
        <f>SUM(F90:F96)</f>
        <v>4497598.2565200003</v>
      </c>
      <c r="G97" s="615"/>
    </row>
    <row r="98" spans="1:7" x14ac:dyDescent="0.2">
      <c r="A98" s="613"/>
      <c r="B98" s="584"/>
      <c r="C98" s="241"/>
      <c r="D98" s="590"/>
      <c r="E98" s="584"/>
      <c r="F98" s="241"/>
      <c r="G98" s="241"/>
    </row>
    <row r="99" spans="1:7" x14ac:dyDescent="0.2">
      <c r="A99" s="584">
        <f>1+A97</f>
        <v>9</v>
      </c>
      <c r="B99" s="584"/>
      <c r="C99" s="661" t="s">
        <v>1453</v>
      </c>
      <c r="D99" s="590"/>
      <c r="E99" s="584"/>
      <c r="F99" s="241"/>
      <c r="G99" s="241"/>
    </row>
    <row r="100" spans="1:7" x14ac:dyDescent="0.2">
      <c r="A100" s="613">
        <f t="shared" ref="A100:A106" si="10">1+A99</f>
        <v>10</v>
      </c>
      <c r="B100" s="613" t="s">
        <v>1454</v>
      </c>
      <c r="C100" s="634" t="s">
        <v>1441</v>
      </c>
      <c r="D100" s="624">
        <f>'Total Co Accts Activ C2.2A'!P76</f>
        <v>15816.6</v>
      </c>
      <c r="E100" s="662">
        <v>1</v>
      </c>
      <c r="F100" s="642">
        <f t="shared" ref="F100:F105" si="11">D100</f>
        <v>15816.6</v>
      </c>
      <c r="G100" s="615"/>
    </row>
    <row r="101" spans="1:7" x14ac:dyDescent="0.2">
      <c r="A101" s="613">
        <f t="shared" si="10"/>
        <v>11</v>
      </c>
      <c r="B101" s="613" t="s">
        <v>1455</v>
      </c>
      <c r="C101" s="634" t="s">
        <v>1456</v>
      </c>
      <c r="D101" s="624">
        <f>'Total Co Accts Activ C2.2A'!P77</f>
        <v>887206.67475999973</v>
      </c>
      <c r="E101" s="662">
        <v>1</v>
      </c>
      <c r="F101" s="642">
        <f t="shared" si="11"/>
        <v>887206.67475999973</v>
      </c>
      <c r="G101" s="615"/>
    </row>
    <row r="102" spans="1:7" x14ac:dyDescent="0.2">
      <c r="A102" s="613">
        <f t="shared" si="10"/>
        <v>12</v>
      </c>
      <c r="B102" s="613" t="s">
        <v>1457</v>
      </c>
      <c r="C102" s="634" t="s">
        <v>1458</v>
      </c>
      <c r="D102" s="624">
        <f>'Total Co Accts Activ C2.2A'!P78</f>
        <v>79942.59</v>
      </c>
      <c r="E102" s="662">
        <v>1</v>
      </c>
      <c r="F102" s="642">
        <f t="shared" si="11"/>
        <v>79942.59</v>
      </c>
      <c r="G102" s="615"/>
    </row>
    <row r="103" spans="1:7" x14ac:dyDescent="0.2">
      <c r="A103" s="613">
        <f t="shared" si="10"/>
        <v>13</v>
      </c>
      <c r="B103" s="613" t="s">
        <v>1459</v>
      </c>
      <c r="C103" s="634" t="s">
        <v>1460</v>
      </c>
      <c r="D103" s="624">
        <f>'Total Co Accts Activ C2.2A'!P79</f>
        <v>227785.5</v>
      </c>
      <c r="E103" s="662">
        <v>1</v>
      </c>
      <c r="F103" s="668">
        <f t="shared" si="11"/>
        <v>227785.5</v>
      </c>
      <c r="G103" s="615"/>
    </row>
    <row r="104" spans="1:7" x14ac:dyDescent="0.2">
      <c r="A104" s="613">
        <f t="shared" si="10"/>
        <v>14</v>
      </c>
      <c r="B104" s="613">
        <v>921</v>
      </c>
      <c r="C104" s="634" t="s">
        <v>1450</v>
      </c>
      <c r="D104" s="676">
        <f>'Total Co Accts Activ C2.2A'!P85</f>
        <v>14956.880000000001</v>
      </c>
      <c r="E104" s="662">
        <v>1</v>
      </c>
      <c r="F104" s="668">
        <f t="shared" si="11"/>
        <v>14956.880000000001</v>
      </c>
      <c r="G104" s="615"/>
    </row>
    <row r="105" spans="1:7" x14ac:dyDescent="0.2">
      <c r="A105" s="613">
        <f t="shared" si="10"/>
        <v>15</v>
      </c>
      <c r="B105" s="613">
        <v>935</v>
      </c>
      <c r="C105" s="634" t="s">
        <v>1451</v>
      </c>
      <c r="D105" s="641">
        <f>'Total Co Accts Activ C2.2A'!P97</f>
        <v>0</v>
      </c>
      <c r="E105" s="662">
        <v>1</v>
      </c>
      <c r="F105" s="670">
        <f t="shared" si="11"/>
        <v>0</v>
      </c>
      <c r="G105" s="615"/>
    </row>
    <row r="106" spans="1:7" x14ac:dyDescent="0.2">
      <c r="A106" s="613">
        <f t="shared" si="10"/>
        <v>16</v>
      </c>
      <c r="B106" s="613"/>
      <c r="C106" s="634" t="s">
        <v>1461</v>
      </c>
      <c r="D106" s="591">
        <f>SUM(D100:D105)</f>
        <v>1225708.2447599997</v>
      </c>
      <c r="E106" s="677" t="s">
        <v>680</v>
      </c>
      <c r="F106" s="591">
        <f>SUM(F100:F105)</f>
        <v>1225708.2447599997</v>
      </c>
      <c r="G106" s="615"/>
    </row>
    <row r="107" spans="1:7" x14ac:dyDescent="0.2">
      <c r="A107" s="584"/>
      <c r="B107" s="613"/>
      <c r="C107" s="615"/>
      <c r="D107" s="642"/>
      <c r="E107" s="678"/>
      <c r="F107" s="642"/>
      <c r="G107" s="615"/>
    </row>
    <row r="108" spans="1:7" x14ac:dyDescent="0.2">
      <c r="A108" s="584">
        <f>1+A106</f>
        <v>17</v>
      </c>
      <c r="B108" s="613"/>
      <c r="C108" s="661" t="s">
        <v>1462</v>
      </c>
      <c r="D108" s="642"/>
      <c r="E108" s="678"/>
      <c r="F108" s="642"/>
      <c r="G108" s="615"/>
    </row>
    <row r="109" spans="1:7" x14ac:dyDescent="0.2">
      <c r="A109" s="613">
        <f>1+A108</f>
        <v>18</v>
      </c>
      <c r="B109" s="613" t="s">
        <v>1463</v>
      </c>
      <c r="C109" s="634" t="s">
        <v>1441</v>
      </c>
      <c r="D109" s="624">
        <f>'Total Co Accts Activ C2.2A'!P80</f>
        <v>0</v>
      </c>
      <c r="E109" s="662">
        <v>1</v>
      </c>
      <c r="F109" s="642">
        <f>D109</f>
        <v>0</v>
      </c>
      <c r="G109" s="615"/>
    </row>
    <row r="110" spans="1:7" x14ac:dyDescent="0.2">
      <c r="A110" s="613">
        <f>1+A109</f>
        <v>19</v>
      </c>
      <c r="B110" s="613" t="s">
        <v>1464</v>
      </c>
      <c r="C110" s="634" t="s">
        <v>1465</v>
      </c>
      <c r="D110" s="624">
        <f>'Total Co Accts Activ C2.2A'!P81</f>
        <v>44003.94</v>
      </c>
      <c r="E110" s="662">
        <v>1</v>
      </c>
      <c r="F110" s="642">
        <f>D110</f>
        <v>44003.94</v>
      </c>
      <c r="G110" s="615"/>
    </row>
    <row r="111" spans="1:7" x14ac:dyDescent="0.2">
      <c r="A111" s="613">
        <f>1+A110</f>
        <v>20</v>
      </c>
      <c r="B111" s="613" t="s">
        <v>1466</v>
      </c>
      <c r="C111" s="634" t="s">
        <v>1467</v>
      </c>
      <c r="D111" s="624">
        <f>'Total Co Accts Activ C2.2A'!P82</f>
        <v>85656.489999999991</v>
      </c>
      <c r="E111" s="662">
        <v>1</v>
      </c>
      <c r="F111" s="642">
        <f>D111</f>
        <v>85656.489999999991</v>
      </c>
      <c r="G111" s="615"/>
    </row>
    <row r="112" spans="1:7" x14ac:dyDescent="0.2">
      <c r="A112" s="613">
        <f>1+A111</f>
        <v>21</v>
      </c>
      <c r="B112" s="613" t="s">
        <v>1468</v>
      </c>
      <c r="C112" s="634" t="s">
        <v>1469</v>
      </c>
      <c r="D112" s="1408">
        <v>0</v>
      </c>
      <c r="E112" s="662">
        <v>1</v>
      </c>
      <c r="F112" s="663">
        <f>D112</f>
        <v>0</v>
      </c>
      <c r="G112" s="615"/>
    </row>
    <row r="113" spans="1:7" x14ac:dyDescent="0.2">
      <c r="A113" s="613">
        <f>1+A112</f>
        <v>22</v>
      </c>
      <c r="B113" s="613"/>
      <c r="C113" s="634" t="s">
        <v>1470</v>
      </c>
      <c r="D113" s="591">
        <f>SUM(D109:D112)</f>
        <v>129660.43</v>
      </c>
      <c r="E113" s="679" t="s">
        <v>680</v>
      </c>
      <c r="F113" s="591">
        <f>SUM(F109:F112)</f>
        <v>129660.43</v>
      </c>
      <c r="G113" s="615"/>
    </row>
    <row r="114" spans="1:7" x14ac:dyDescent="0.2">
      <c r="A114" s="613"/>
      <c r="B114" s="584"/>
      <c r="C114" s="241"/>
      <c r="D114" s="642"/>
      <c r="E114" s="678"/>
      <c r="F114" s="642"/>
      <c r="G114" s="615"/>
    </row>
    <row r="115" spans="1:7" x14ac:dyDescent="0.2">
      <c r="A115" s="584">
        <f>1+A113</f>
        <v>23</v>
      </c>
      <c r="B115" s="613"/>
      <c r="C115" s="661" t="s">
        <v>1471</v>
      </c>
      <c r="D115" s="642"/>
      <c r="E115" s="678"/>
      <c r="F115" s="642"/>
      <c r="G115" s="615"/>
    </row>
    <row r="116" spans="1:7" x14ac:dyDescent="0.2">
      <c r="A116" s="613">
        <f t="shared" ref="A116:A127" si="12">1+A115</f>
        <v>24</v>
      </c>
      <c r="B116" s="613" t="s">
        <v>1472</v>
      </c>
      <c r="C116" s="634" t="s">
        <v>1473</v>
      </c>
      <c r="D116" s="624">
        <f>'Total Co Accts Activ C2.2A'!P83</f>
        <v>4590985.55</v>
      </c>
      <c r="E116" s="662">
        <v>1</v>
      </c>
      <c r="F116" s="642">
        <f t="shared" ref="F116:F126" si="13">D116</f>
        <v>4590985.55</v>
      </c>
      <c r="G116" s="615"/>
    </row>
    <row r="117" spans="1:7" x14ac:dyDescent="0.2">
      <c r="A117" s="613">
        <f t="shared" si="12"/>
        <v>25</v>
      </c>
      <c r="B117" s="613" t="s">
        <v>1474</v>
      </c>
      <c r="C117" s="634" t="s">
        <v>1450</v>
      </c>
      <c r="D117" s="624">
        <f>'Total Co Accts Activ C2.2A'!P86</f>
        <v>830266.76</v>
      </c>
      <c r="E117" s="662">
        <v>1</v>
      </c>
      <c r="F117" s="642">
        <f t="shared" si="13"/>
        <v>830266.76</v>
      </c>
      <c r="G117" s="615"/>
    </row>
    <row r="118" spans="1:7" x14ac:dyDescent="0.2">
      <c r="A118" s="613">
        <f t="shared" si="12"/>
        <v>26</v>
      </c>
      <c r="B118" s="613" t="s">
        <v>1475</v>
      </c>
      <c r="C118" s="634" t="s">
        <v>1476</v>
      </c>
      <c r="D118" s="624">
        <f>'Total Co Accts Activ C2.2A'!P87</f>
        <v>6386972.1500000004</v>
      </c>
      <c r="E118" s="662">
        <v>1</v>
      </c>
      <c r="F118" s="642">
        <f t="shared" si="13"/>
        <v>6386972.1500000004</v>
      </c>
      <c r="G118" s="615"/>
    </row>
    <row r="119" spans="1:7" x14ac:dyDescent="0.2">
      <c r="A119" s="613">
        <f t="shared" si="12"/>
        <v>27</v>
      </c>
      <c r="B119" s="613" t="s">
        <v>1477</v>
      </c>
      <c r="C119" s="634" t="s">
        <v>1478</v>
      </c>
      <c r="D119" s="624">
        <f>'Total Co Accts Activ C2.2A'!P88</f>
        <v>65766.12</v>
      </c>
      <c r="E119" s="662">
        <v>1</v>
      </c>
      <c r="F119" s="642">
        <f t="shared" si="13"/>
        <v>65766.12</v>
      </c>
      <c r="G119" s="615"/>
    </row>
    <row r="120" spans="1:7" x14ac:dyDescent="0.2">
      <c r="A120" s="613">
        <f t="shared" si="12"/>
        <v>28</v>
      </c>
      <c r="B120" s="613" t="s">
        <v>1479</v>
      </c>
      <c r="C120" s="634" t="s">
        <v>1480</v>
      </c>
      <c r="D120" s="624">
        <f>'Total Co Accts Activ C2.2A'!P89</f>
        <v>949737.06</v>
      </c>
      <c r="E120" s="662">
        <v>1</v>
      </c>
      <c r="F120" s="642">
        <f t="shared" si="13"/>
        <v>949737.06</v>
      </c>
      <c r="G120" s="615"/>
    </row>
    <row r="121" spans="1:7" x14ac:dyDescent="0.2">
      <c r="A121" s="613">
        <f t="shared" si="12"/>
        <v>29</v>
      </c>
      <c r="B121" s="613" t="s">
        <v>1481</v>
      </c>
      <c r="C121" s="634" t="s">
        <v>1482</v>
      </c>
      <c r="D121" s="624">
        <f>'Total Co Accts Activ C2.2A'!P90</f>
        <v>3358562.27</v>
      </c>
      <c r="E121" s="662">
        <v>1</v>
      </c>
      <c r="F121" s="642">
        <f t="shared" si="13"/>
        <v>3358562.27</v>
      </c>
      <c r="G121" s="615"/>
    </row>
    <row r="122" spans="1:7" x14ac:dyDescent="0.2">
      <c r="A122" s="613">
        <f t="shared" si="12"/>
        <v>30</v>
      </c>
      <c r="B122" s="613" t="s">
        <v>1483</v>
      </c>
      <c r="C122" s="634" t="s">
        <v>1484</v>
      </c>
      <c r="D122" s="624">
        <f>'Total Co Accts Activ C2.2A'!P91</f>
        <v>0</v>
      </c>
      <c r="E122" s="662">
        <v>1</v>
      </c>
      <c r="F122" s="642">
        <f t="shared" si="13"/>
        <v>0</v>
      </c>
      <c r="G122" s="241"/>
    </row>
    <row r="123" spans="1:7" x14ac:dyDescent="0.2">
      <c r="A123" s="613">
        <f t="shared" si="12"/>
        <v>31</v>
      </c>
      <c r="B123" s="613" t="s">
        <v>1485</v>
      </c>
      <c r="C123" s="634" t="s">
        <v>1486</v>
      </c>
      <c r="D123" s="624">
        <f>'Total Co Accts Activ C2.2A'!P92</f>
        <v>402591.42000000004</v>
      </c>
      <c r="E123" s="662">
        <v>1</v>
      </c>
      <c r="F123" s="642">
        <f t="shared" si="13"/>
        <v>402591.42000000004</v>
      </c>
      <c r="G123" s="615"/>
    </row>
    <row r="124" spans="1:7" x14ac:dyDescent="0.2">
      <c r="A124" s="613">
        <f t="shared" si="12"/>
        <v>32</v>
      </c>
      <c r="B124" s="613" t="s">
        <v>1487</v>
      </c>
      <c r="C124" s="634" t="s">
        <v>1488</v>
      </c>
      <c r="D124" s="624">
        <f>'Total Co Accts Activ C2.2A'!P93</f>
        <v>0</v>
      </c>
      <c r="E124" s="662">
        <v>1</v>
      </c>
      <c r="F124" s="642">
        <f t="shared" si="13"/>
        <v>0</v>
      </c>
      <c r="G124" s="615"/>
    </row>
    <row r="125" spans="1:7" x14ac:dyDescent="0.2">
      <c r="A125" s="613">
        <f t="shared" si="12"/>
        <v>33</v>
      </c>
      <c r="B125" s="613" t="s">
        <v>1489</v>
      </c>
      <c r="C125" s="634" t="s">
        <v>1490</v>
      </c>
      <c r="D125" s="624">
        <f>'Total Co Accts Activ C2.2A'!P94</f>
        <v>-74061.290000000008</v>
      </c>
      <c r="E125" s="662">
        <v>1</v>
      </c>
      <c r="F125" s="642">
        <f t="shared" si="13"/>
        <v>-74061.290000000008</v>
      </c>
      <c r="G125" s="615"/>
    </row>
    <row r="126" spans="1:7" x14ac:dyDescent="0.2">
      <c r="A126" s="613">
        <f t="shared" si="12"/>
        <v>34</v>
      </c>
      <c r="B126" s="613" t="s">
        <v>1491</v>
      </c>
      <c r="C126" s="634" t="s">
        <v>1492</v>
      </c>
      <c r="D126" s="671">
        <f>'Total Co Accts Activ C2.2A'!P95</f>
        <v>661434.81000000006</v>
      </c>
      <c r="E126" s="662">
        <v>1</v>
      </c>
      <c r="F126" s="663">
        <f t="shared" si="13"/>
        <v>661434.81000000006</v>
      </c>
      <c r="G126" s="615"/>
    </row>
    <row r="127" spans="1:7" x14ac:dyDescent="0.2">
      <c r="A127" s="613">
        <f t="shared" si="12"/>
        <v>35</v>
      </c>
      <c r="B127" s="615"/>
      <c r="C127" s="634" t="s">
        <v>1493</v>
      </c>
      <c r="D127" s="591">
        <f>SUM(D116:D126)</f>
        <v>17172254.850000001</v>
      </c>
      <c r="E127" s="679" t="s">
        <v>680</v>
      </c>
      <c r="F127" s="591">
        <f>SUM(F116:F126)</f>
        <v>17172254.850000001</v>
      </c>
      <c r="G127" s="615"/>
    </row>
    <row r="128" spans="1:7" x14ac:dyDescent="0.2">
      <c r="A128" s="584"/>
      <c r="B128" s="241"/>
      <c r="C128" s="241"/>
      <c r="D128" s="590"/>
      <c r="E128" s="584"/>
      <c r="F128" s="241"/>
      <c r="G128" s="241"/>
    </row>
    <row r="129" spans="1:12" x14ac:dyDescent="0.2">
      <c r="A129" s="613">
        <f>1+A127</f>
        <v>36</v>
      </c>
      <c r="B129" s="615"/>
      <c r="C129" s="661" t="s">
        <v>1494</v>
      </c>
      <c r="D129" s="642"/>
      <c r="E129" s="678"/>
      <c r="F129" s="642"/>
      <c r="G129" s="615"/>
    </row>
    <row r="130" spans="1:12" x14ac:dyDescent="0.2">
      <c r="A130" s="1577">
        <f>A129+1</f>
        <v>37</v>
      </c>
      <c r="B130" s="1577">
        <v>932</v>
      </c>
      <c r="C130" s="634" t="s">
        <v>1451</v>
      </c>
      <c r="D130" s="642">
        <f>'Total Co Accts Activ C2.2A'!P96</f>
        <v>249236.68</v>
      </c>
      <c r="E130" s="662">
        <v>1</v>
      </c>
      <c r="F130" s="642">
        <f>D130</f>
        <v>249236.68</v>
      </c>
      <c r="G130" s="615"/>
    </row>
    <row r="131" spans="1:12" x14ac:dyDescent="0.2">
      <c r="A131" s="613">
        <f>A130+1</f>
        <v>38</v>
      </c>
      <c r="B131" s="613" t="s">
        <v>1495</v>
      </c>
      <c r="C131" s="634" t="s">
        <v>1451</v>
      </c>
      <c r="D131" s="671">
        <f>'Total Co Accts Activ C2.2A'!P99</f>
        <v>139</v>
      </c>
      <c r="E131" s="662">
        <v>1</v>
      </c>
      <c r="F131" s="663">
        <f>D131</f>
        <v>139</v>
      </c>
      <c r="G131" s="613" t="s">
        <v>1354</v>
      </c>
    </row>
    <row r="132" spans="1:12" x14ac:dyDescent="0.2">
      <c r="A132" s="613">
        <f>1+A131</f>
        <v>39</v>
      </c>
      <c r="B132" s="613"/>
      <c r="C132" s="634" t="s">
        <v>1496</v>
      </c>
      <c r="D132" s="591">
        <f>SUM(D129:D131)</f>
        <v>249375.68</v>
      </c>
      <c r="E132" s="662"/>
      <c r="F132" s="642">
        <f>D132</f>
        <v>249375.68</v>
      </c>
      <c r="G132" s="615"/>
    </row>
    <row r="133" spans="1:12" x14ac:dyDescent="0.2">
      <c r="A133" s="584"/>
      <c r="B133" s="584"/>
      <c r="C133" s="241"/>
      <c r="D133" s="590"/>
      <c r="E133" s="584"/>
      <c r="F133" s="241"/>
      <c r="G133" s="241"/>
    </row>
    <row r="134" spans="1:12" ht="13.5" thickBot="1" x14ac:dyDescent="0.25">
      <c r="A134" s="613">
        <f>1+A132</f>
        <v>40</v>
      </c>
      <c r="B134" s="613"/>
      <c r="C134" s="634" t="s">
        <v>1497</v>
      </c>
      <c r="D134" s="599">
        <f>D132+D127+D113+D106+D97+D74+D63+D51+D39</f>
        <v>68964567.879999995</v>
      </c>
      <c r="E134" s="662">
        <v>1</v>
      </c>
      <c r="F134" s="680">
        <f>D134</f>
        <v>68964567.879999995</v>
      </c>
      <c r="H134" s="624"/>
      <c r="I134" s="1699"/>
      <c r="J134" s="881"/>
      <c r="K134" s="881"/>
      <c r="L134" s="881"/>
    </row>
    <row r="135" spans="1:12" ht="13.5" thickTop="1" x14ac:dyDescent="0.2">
      <c r="A135" s="584"/>
      <c r="B135" s="584"/>
      <c r="C135" s="241"/>
      <c r="D135" s="590"/>
      <c r="E135" s="584"/>
      <c r="F135" s="241"/>
      <c r="G135" s="241"/>
      <c r="H135" s="865"/>
    </row>
    <row r="136" spans="1:12" x14ac:dyDescent="0.2">
      <c r="A136" s="613">
        <f>1+A134</f>
        <v>41</v>
      </c>
      <c r="B136" s="613" t="s">
        <v>1498</v>
      </c>
      <c r="C136" s="634" t="s">
        <v>1499</v>
      </c>
      <c r="D136" s="624">
        <f>'Total Co Accts Activ C2.2A'!P13</f>
        <v>8846618.3807191737</v>
      </c>
      <c r="E136" s="662">
        <v>1</v>
      </c>
      <c r="F136" s="642">
        <f>D136</f>
        <v>8846618.3807191737</v>
      </c>
      <c r="G136" s="634" t="s">
        <v>680</v>
      </c>
      <c r="H136" s="853"/>
      <c r="I136" s="855"/>
    </row>
    <row r="137" spans="1:12" x14ac:dyDescent="0.2">
      <c r="A137" s="613">
        <f>1+A136</f>
        <v>42</v>
      </c>
      <c r="B137" s="613" t="s">
        <v>1500</v>
      </c>
      <c r="C137" s="634" t="s">
        <v>1501</v>
      </c>
      <c r="D137" s="624">
        <f>'Total Co Accts Activ C2.2A'!P15+'Total Co Accts Activ C2.2A'!P16+'Total Co Accts Activ C2.2A'!P17</f>
        <v>4010989.3299999996</v>
      </c>
      <c r="E137" s="662">
        <v>1</v>
      </c>
      <c r="F137" s="642">
        <f>D137</f>
        <v>4010989.3299999996</v>
      </c>
      <c r="G137" s="615"/>
    </row>
    <row r="138" spans="1:12" x14ac:dyDescent="0.2">
      <c r="A138" s="613">
        <f>1+A137</f>
        <v>43</v>
      </c>
      <c r="B138" s="613" t="s">
        <v>1502</v>
      </c>
      <c r="C138" s="634" t="s">
        <v>1312</v>
      </c>
      <c r="D138" s="624">
        <f>'E-1.1 Fed &amp; State Income Taxes'!E52</f>
        <v>4931999.4319288172</v>
      </c>
      <c r="E138" s="662">
        <v>1</v>
      </c>
      <c r="F138" s="642">
        <f>D138</f>
        <v>4931999.4319288172</v>
      </c>
      <c r="G138" s="615"/>
    </row>
    <row r="139" spans="1:12" x14ac:dyDescent="0.2">
      <c r="A139" s="613">
        <f>1+A138</f>
        <v>44</v>
      </c>
      <c r="B139" s="613" t="s">
        <v>1502</v>
      </c>
      <c r="C139" s="634" t="s">
        <v>1313</v>
      </c>
      <c r="D139" s="598">
        <f>'E-1.1 Fed &amp; State Income Taxes'!E54</f>
        <v>1070502.1533333333</v>
      </c>
      <c r="E139" s="662">
        <v>1</v>
      </c>
      <c r="F139" s="663">
        <f>D139</f>
        <v>1070502.1533333333</v>
      </c>
      <c r="G139" s="615"/>
    </row>
    <row r="140" spans="1:12" x14ac:dyDescent="0.2">
      <c r="A140" s="584"/>
      <c r="B140" s="241"/>
      <c r="C140" s="241"/>
      <c r="D140" s="590"/>
      <c r="E140" s="678"/>
      <c r="F140" s="241"/>
      <c r="G140" s="241"/>
    </row>
    <row r="141" spans="1:12" ht="13.5" thickBot="1" x14ac:dyDescent="0.25">
      <c r="A141" s="613">
        <f>1+A139</f>
        <v>45</v>
      </c>
      <c r="B141" s="615"/>
      <c r="C141" s="634" t="s">
        <v>1503</v>
      </c>
      <c r="D141" s="599">
        <f>(D134+D136+D137+D138+D139)</f>
        <v>87824677.175981313</v>
      </c>
      <c r="E141" s="662">
        <v>1</v>
      </c>
      <c r="F141" s="600">
        <f>(F134+F136+F137+F138+F139)</f>
        <v>87824677.175981313</v>
      </c>
      <c r="G141" s="615"/>
    </row>
    <row r="142" spans="1:12" ht="13.5" thickTop="1" x14ac:dyDescent="0.2">
      <c r="A142" s="584"/>
      <c r="B142" s="241"/>
      <c r="C142" s="241"/>
      <c r="D142" s="590"/>
      <c r="E142" s="584"/>
      <c r="F142" s="241"/>
      <c r="G142" s="241"/>
      <c r="H142" s="853"/>
    </row>
    <row r="143" spans="1:12" ht="13.5" thickBot="1" x14ac:dyDescent="0.25">
      <c r="A143" s="613">
        <f>1+A141</f>
        <v>46</v>
      </c>
      <c r="B143" s="615"/>
      <c r="C143" s="634" t="s">
        <v>1504</v>
      </c>
      <c r="D143" s="599">
        <f>D30-D141</f>
        <v>14218506.684018686</v>
      </c>
      <c r="E143" s="662">
        <v>1</v>
      </c>
      <c r="F143" s="600">
        <f>D143</f>
        <v>14218506.684018686</v>
      </c>
      <c r="G143" s="615"/>
    </row>
    <row r="144" spans="1:12" ht="13.5" thickTop="1" x14ac:dyDescent="0.2">
      <c r="A144" s="241"/>
      <c r="B144" s="241"/>
      <c r="C144" s="241"/>
      <c r="D144" s="590"/>
      <c r="E144" s="241"/>
      <c r="F144" s="241"/>
      <c r="G144" s="241"/>
    </row>
    <row r="145" spans="1:7" x14ac:dyDescent="0.2">
      <c r="A145" s="681"/>
      <c r="B145" s="577"/>
      <c r="C145" s="577"/>
      <c r="D145" s="577"/>
      <c r="E145" s="577"/>
      <c r="F145" s="577"/>
      <c r="G145" s="577"/>
    </row>
    <row r="146" spans="1:7" x14ac:dyDescent="0.2">
      <c r="A146" s="681"/>
      <c r="B146" s="577"/>
      <c r="C146" s="577"/>
      <c r="D146" s="577"/>
      <c r="E146" s="577"/>
      <c r="F146" s="577"/>
      <c r="G146" s="577"/>
    </row>
    <row r="147" spans="1:7" x14ac:dyDescent="0.2">
      <c r="A147" s="681"/>
      <c r="B147" s="577"/>
      <c r="C147" s="1387"/>
      <c r="D147" s="1386"/>
      <c r="E147" s="577"/>
      <c r="F147" s="577"/>
      <c r="G147" s="577"/>
    </row>
    <row r="148" spans="1:7" x14ac:dyDescent="0.2">
      <c r="A148" s="681"/>
      <c r="B148" s="577"/>
      <c r="C148" s="577"/>
      <c r="D148" s="577"/>
      <c r="E148" s="577"/>
      <c r="F148" s="577"/>
      <c r="G148" s="577"/>
    </row>
  </sheetData>
  <mergeCells count="8">
    <mergeCell ref="A79:G79"/>
    <mergeCell ref="A80:G80"/>
    <mergeCell ref="A1:G1"/>
    <mergeCell ref="A2:G2"/>
    <mergeCell ref="A3:G3"/>
    <mergeCell ref="A4:G4"/>
    <mergeCell ref="A77:G77"/>
    <mergeCell ref="A78:G78"/>
  </mergeCells>
  <phoneticPr fontId="0" type="noConversion"/>
  <printOptions horizontalCentered="1"/>
  <pageMargins left="0.5" right="0.25" top="0.75" bottom="0.25" header="0.5" footer="0.5"/>
  <pageSetup scale="76" orientation="portrait" r:id="rId1"/>
  <headerFooter alignWithMargins="0"/>
  <rowBreaks count="1" manualBreakCount="1">
    <brk id="76" max="11" man="1"/>
  </rowBreaks>
  <ignoredErrors>
    <ignoredError sqref="D16:F19 D23:F27 F34:F38 D43:F50 D54:F62 D66:F73 D90:F96 D100:F105 D109:F112 D116:F126 G82 D130:F139" unlockedFormula="1"/>
    <ignoredError sqref="D12:G12 D88:G88 G90 G43 G16 G131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I265"/>
  <sheetViews>
    <sheetView zoomScaleNormal="100" workbookViewId="0">
      <selection activeCell="H27" sqref="H27"/>
    </sheetView>
  </sheetViews>
  <sheetFormatPr defaultColWidth="9.33203125" defaultRowHeight="10.5" x14ac:dyDescent="0.15"/>
  <cols>
    <col min="1" max="1" width="5.5" style="585" customWidth="1"/>
    <col min="2" max="2" width="9.83203125" style="1896" customWidth="1"/>
    <col min="3" max="3" width="70.6640625" style="573" bestFit="1" customWidth="1"/>
    <col min="4" max="4" width="17.6640625" style="573" bestFit="1" customWidth="1"/>
    <col min="5" max="5" width="15.6640625" style="573" customWidth="1"/>
    <col min="6" max="6" width="18" style="573" bestFit="1" customWidth="1"/>
    <col min="7" max="7" width="18.33203125" style="573" customWidth="1"/>
    <col min="8" max="8" width="18" style="573" customWidth="1"/>
    <col min="9" max="9" width="47.1640625" style="573" bestFit="1" customWidth="1"/>
    <col min="10" max="16384" width="9.33203125" style="573"/>
  </cols>
  <sheetData>
    <row r="1" spans="1:9" ht="12.75" x14ac:dyDescent="0.2">
      <c r="A1" s="2126" t="s">
        <v>624</v>
      </c>
      <c r="B1" s="2129"/>
      <c r="C1" s="2129"/>
      <c r="D1" s="2129"/>
      <c r="E1" s="2129"/>
      <c r="F1" s="2129"/>
      <c r="G1" s="2129"/>
      <c r="H1" s="577"/>
      <c r="I1" s="577"/>
    </row>
    <row r="2" spans="1:9" ht="12.75" x14ac:dyDescent="0.2">
      <c r="A2" s="2126" t="str">
        <f>case</f>
        <v>CASE NO. 2016 - 00162</v>
      </c>
      <c r="B2" s="2129"/>
      <c r="C2" s="2129"/>
      <c r="D2" s="2129"/>
      <c r="E2" s="2129"/>
      <c r="F2" s="2129"/>
      <c r="G2" s="2129"/>
      <c r="H2" s="577"/>
      <c r="I2" s="577"/>
    </row>
    <row r="3" spans="1:9" ht="12.75" x14ac:dyDescent="0.2">
      <c r="A3" s="2127" t="s">
        <v>1341</v>
      </c>
      <c r="B3" s="2130"/>
      <c r="C3" s="2130"/>
      <c r="D3" s="2130"/>
      <c r="E3" s="2130"/>
      <c r="F3" s="2130"/>
      <c r="G3" s="2130"/>
      <c r="H3" s="577"/>
      <c r="I3" s="577"/>
    </row>
    <row r="4" spans="1:9" ht="12.75" x14ac:dyDescent="0.2">
      <c r="A4" s="2125" t="s">
        <v>1983</v>
      </c>
      <c r="B4" s="2131"/>
      <c r="C4" s="2131"/>
      <c r="D4" s="2131"/>
      <c r="E4" s="2131"/>
      <c r="F4" s="2131"/>
      <c r="G4" s="2131"/>
      <c r="H4" s="577"/>
      <c r="I4" s="577"/>
    </row>
    <row r="5" spans="1:9" ht="12.75" x14ac:dyDescent="0.2">
      <c r="A5" s="584"/>
      <c r="B5" s="1894"/>
      <c r="C5" s="241"/>
      <c r="D5" s="241"/>
      <c r="E5" s="622"/>
      <c r="F5" s="241"/>
      <c r="G5" s="629"/>
      <c r="H5" s="577"/>
      <c r="I5" s="577"/>
    </row>
    <row r="6" spans="1:9" ht="12.75" x14ac:dyDescent="0.2">
      <c r="A6" s="242" t="s">
        <v>1505</v>
      </c>
      <c r="B6" s="247"/>
      <c r="C6" s="241"/>
      <c r="D6" s="241"/>
      <c r="E6" s="241"/>
      <c r="F6" s="577"/>
      <c r="G6" s="617" t="s">
        <v>1506</v>
      </c>
      <c r="H6" s="577"/>
      <c r="I6" s="577"/>
    </row>
    <row r="7" spans="1:9" ht="12.75" x14ac:dyDescent="0.2">
      <c r="A7" s="242" t="s">
        <v>977</v>
      </c>
      <c r="B7" s="247"/>
      <c r="C7" s="241"/>
      <c r="D7" s="241"/>
      <c r="E7" s="241"/>
      <c r="F7" s="577"/>
      <c r="G7" s="617" t="s">
        <v>1343</v>
      </c>
      <c r="H7" s="577"/>
      <c r="I7" s="577"/>
    </row>
    <row r="8" spans="1:9" ht="12.75" x14ac:dyDescent="0.2">
      <c r="A8" s="579" t="s">
        <v>996</v>
      </c>
      <c r="B8" s="1238"/>
      <c r="C8" s="580"/>
      <c r="D8" s="580"/>
      <c r="E8" s="580"/>
      <c r="F8" s="660"/>
      <c r="G8" s="619" t="str">
        <f>JTC</f>
        <v>WITNESS:  J. T. CROOM</v>
      </c>
      <c r="H8" s="577"/>
      <c r="I8" s="577"/>
    </row>
    <row r="9" spans="1:9" s="585" customFormat="1" ht="12.75" x14ac:dyDescent="0.2">
      <c r="A9" s="584"/>
      <c r="B9" s="1239"/>
      <c r="C9" s="584"/>
      <c r="D9" s="613" t="s">
        <v>1344</v>
      </c>
      <c r="E9" s="584"/>
      <c r="F9" s="584"/>
      <c r="G9" s="560" t="s">
        <v>671</v>
      </c>
      <c r="H9" s="681"/>
      <c r="I9" s="681"/>
    </row>
    <row r="10" spans="1:9" s="585" customFormat="1" ht="12.75" x14ac:dyDescent="0.2">
      <c r="A10" s="613" t="s">
        <v>632</v>
      </c>
      <c r="B10" s="1886" t="s">
        <v>756</v>
      </c>
      <c r="C10" s="613"/>
      <c r="D10" s="613" t="s">
        <v>670</v>
      </c>
      <c r="E10" s="613" t="s">
        <v>1345</v>
      </c>
      <c r="F10" s="613" t="s">
        <v>1344</v>
      </c>
      <c r="G10" s="560" t="s">
        <v>1346</v>
      </c>
      <c r="H10" s="681"/>
      <c r="I10" s="681"/>
    </row>
    <row r="11" spans="1:9" s="585" customFormat="1" ht="12.75" x14ac:dyDescent="0.2">
      <c r="A11" s="621" t="s">
        <v>635</v>
      </c>
      <c r="B11" s="1889" t="s">
        <v>1347</v>
      </c>
      <c r="C11" s="621" t="s">
        <v>767</v>
      </c>
      <c r="D11" s="621" t="s">
        <v>1348</v>
      </c>
      <c r="E11" s="621" t="s">
        <v>1349</v>
      </c>
      <c r="F11" s="621" t="s">
        <v>696</v>
      </c>
      <c r="G11" s="621" t="s">
        <v>778</v>
      </c>
      <c r="H11" s="681"/>
      <c r="I11" s="681"/>
    </row>
    <row r="12" spans="1:9" ht="12.75" x14ac:dyDescent="0.2">
      <c r="A12" s="584"/>
      <c r="B12" s="247"/>
      <c r="C12" s="241"/>
      <c r="D12" s="613" t="s">
        <v>860</v>
      </c>
      <c r="E12" s="613" t="s">
        <v>877</v>
      </c>
      <c r="F12" s="613" t="s">
        <v>878</v>
      </c>
      <c r="G12" s="613" t="s">
        <v>1145</v>
      </c>
      <c r="H12" s="577"/>
      <c r="I12" s="577"/>
    </row>
    <row r="13" spans="1:9" ht="12.75" x14ac:dyDescent="0.2">
      <c r="A13" s="584"/>
      <c r="B13" s="247"/>
      <c r="C13" s="241"/>
      <c r="D13" s="613" t="s">
        <v>639</v>
      </c>
      <c r="E13" s="613" t="s">
        <v>857</v>
      </c>
      <c r="F13" s="613" t="s">
        <v>639</v>
      </c>
      <c r="G13" s="241"/>
      <c r="H13" s="577"/>
      <c r="I13" s="577"/>
    </row>
    <row r="14" spans="1:9" ht="12.75" x14ac:dyDescent="0.2">
      <c r="A14" s="613">
        <v>1</v>
      </c>
      <c r="B14" s="1894"/>
      <c r="C14" s="661" t="s">
        <v>1350</v>
      </c>
      <c r="D14" s="241"/>
      <c r="E14" s="241"/>
      <c r="F14" s="241"/>
      <c r="G14" s="241"/>
      <c r="H14" s="577"/>
      <c r="I14" s="577"/>
    </row>
    <row r="15" spans="1:9" ht="12.75" x14ac:dyDescent="0.2">
      <c r="A15" s="613">
        <f t="shared" ref="A15:A20" si="0">1+A14</f>
        <v>2</v>
      </c>
      <c r="B15" s="1894"/>
      <c r="C15" s="661" t="s">
        <v>1351</v>
      </c>
      <c r="D15" s="241"/>
      <c r="E15" s="241"/>
      <c r="F15" s="241"/>
      <c r="G15" s="241"/>
      <c r="H15" s="1999"/>
      <c r="I15" s="577"/>
    </row>
    <row r="16" spans="1:9" ht="12.75" x14ac:dyDescent="0.2">
      <c r="A16" s="613">
        <f t="shared" si="0"/>
        <v>3</v>
      </c>
      <c r="B16" s="1886" t="s">
        <v>1352</v>
      </c>
      <c r="C16" s="634" t="s">
        <v>1353</v>
      </c>
      <c r="D16" s="624">
        <f>-'Total Co Accts Activ C2.2B'!P18</f>
        <v>49633580.289999999</v>
      </c>
      <c r="E16" s="662">
        <v>1</v>
      </c>
      <c r="F16" s="642">
        <f>D16</f>
        <v>49633580.289999999</v>
      </c>
      <c r="G16" s="613" t="s">
        <v>1354</v>
      </c>
      <c r="H16" s="1997"/>
      <c r="I16" s="577"/>
    </row>
    <row r="17" spans="1:9" ht="12.75" x14ac:dyDescent="0.2">
      <c r="A17" s="613">
        <f t="shared" si="0"/>
        <v>4</v>
      </c>
      <c r="B17" s="1886" t="s">
        <v>1355</v>
      </c>
      <c r="C17" s="634" t="s">
        <v>1356</v>
      </c>
      <c r="D17" s="624">
        <f>-'Total Co Accts Activ C2.2B'!P19</f>
        <v>18489335.329999998</v>
      </c>
      <c r="E17" s="662">
        <v>1</v>
      </c>
      <c r="F17" s="642">
        <f>D17</f>
        <v>18489335.329999998</v>
      </c>
      <c r="G17" s="615"/>
      <c r="H17" s="1997"/>
      <c r="I17" s="577"/>
    </row>
    <row r="18" spans="1:9" ht="12.75" x14ac:dyDescent="0.2">
      <c r="A18" s="613">
        <f t="shared" si="0"/>
        <v>5</v>
      </c>
      <c r="B18" s="1886" t="s">
        <v>1357</v>
      </c>
      <c r="C18" s="634" t="s">
        <v>1358</v>
      </c>
      <c r="D18" s="624">
        <f>-'Total Co Accts Activ C2.2B'!P20</f>
        <v>1407299.0899999999</v>
      </c>
      <c r="E18" s="662">
        <v>1</v>
      </c>
      <c r="F18" s="642">
        <f>D18</f>
        <v>1407299.0899999999</v>
      </c>
      <c r="G18" s="615"/>
      <c r="H18" s="1997"/>
      <c r="I18" s="577"/>
    </row>
    <row r="19" spans="1:9" ht="12.75" x14ac:dyDescent="0.2">
      <c r="A19" s="613">
        <f t="shared" si="0"/>
        <v>6</v>
      </c>
      <c r="B19" s="1886" t="s">
        <v>1359</v>
      </c>
      <c r="C19" s="634" t="s">
        <v>1360</v>
      </c>
      <c r="D19" s="1408">
        <v>0</v>
      </c>
      <c r="E19" s="662">
        <v>1</v>
      </c>
      <c r="F19" s="663">
        <f>D19</f>
        <v>0</v>
      </c>
      <c r="G19" s="615"/>
      <c r="H19" s="1997"/>
      <c r="I19" s="577"/>
    </row>
    <row r="20" spans="1:9" ht="12.75" x14ac:dyDescent="0.2">
      <c r="A20" s="613">
        <f t="shared" si="0"/>
        <v>7</v>
      </c>
      <c r="B20" s="1886"/>
      <c r="C20" s="634" t="s">
        <v>1361</v>
      </c>
      <c r="D20" s="588">
        <f>SUM(D16:D19)</f>
        <v>69530214.710000008</v>
      </c>
      <c r="E20" s="662" t="s">
        <v>680</v>
      </c>
      <c r="F20" s="591">
        <f>SUM(F16:F19)</f>
        <v>69530214.710000008</v>
      </c>
      <c r="G20" s="615"/>
      <c r="H20" s="1997"/>
      <c r="I20" s="577"/>
    </row>
    <row r="21" spans="1:9" ht="12.75" x14ac:dyDescent="0.2">
      <c r="A21" s="613"/>
      <c r="B21" s="1239"/>
      <c r="C21" s="241"/>
      <c r="D21" s="638"/>
      <c r="E21" s="664"/>
      <c r="F21" s="241"/>
      <c r="G21" s="615"/>
      <c r="H21" s="1998"/>
      <c r="I21" s="577"/>
    </row>
    <row r="22" spans="1:9" ht="12.75" x14ac:dyDescent="0.2">
      <c r="A22" s="613">
        <f>1+A20</f>
        <v>8</v>
      </c>
      <c r="B22" s="1239"/>
      <c r="C22" s="661" t="s">
        <v>1362</v>
      </c>
      <c r="D22" s="247"/>
      <c r="E22" s="665"/>
      <c r="F22" s="642"/>
      <c r="G22" s="615"/>
      <c r="H22" s="1998"/>
      <c r="I22" s="577"/>
    </row>
    <row r="23" spans="1:9" ht="12.75" x14ac:dyDescent="0.2">
      <c r="A23" s="613">
        <f>A22+1</f>
        <v>9</v>
      </c>
      <c r="B23" s="1239">
        <v>483</v>
      </c>
      <c r="C23" s="634" t="s">
        <v>1363</v>
      </c>
      <c r="D23" s="590">
        <f>-'Total Co Accts Activ C2.2B'!P21</f>
        <v>47711.12000000001</v>
      </c>
      <c r="E23" s="665"/>
      <c r="F23" s="642">
        <f>D23</f>
        <v>47711.12000000001</v>
      </c>
      <c r="G23" s="615"/>
      <c r="H23" s="1997"/>
      <c r="I23" s="577"/>
    </row>
    <row r="24" spans="1:9" ht="12.75" x14ac:dyDescent="0.2">
      <c r="A24" s="613">
        <f>A23+1</f>
        <v>10</v>
      </c>
      <c r="B24" s="1886" t="s">
        <v>1364</v>
      </c>
      <c r="C24" s="634" t="s">
        <v>1365</v>
      </c>
      <c r="D24" s="590">
        <f>-'Total Co Accts Activ C2.2B'!P22</f>
        <v>476000</v>
      </c>
      <c r="E24" s="662">
        <v>1</v>
      </c>
      <c r="F24" s="642">
        <f>D24</f>
        <v>476000</v>
      </c>
      <c r="G24" s="615"/>
      <c r="H24" s="1997"/>
      <c r="I24" s="577"/>
    </row>
    <row r="25" spans="1:9" ht="12.75" x14ac:dyDescent="0.2">
      <c r="A25" s="613">
        <f>A24+1</f>
        <v>11</v>
      </c>
      <c r="B25" s="1886" t="s">
        <v>1366</v>
      </c>
      <c r="C25" s="634" t="s">
        <v>1367</v>
      </c>
      <c r="D25" s="590">
        <f>-'Total Co Accts Activ C2.2B'!P23</f>
        <v>137000</v>
      </c>
      <c r="E25" s="662">
        <v>1</v>
      </c>
      <c r="F25" s="642">
        <f>D25</f>
        <v>137000</v>
      </c>
      <c r="G25" s="615"/>
      <c r="H25" s="1997"/>
      <c r="I25" s="577"/>
    </row>
    <row r="26" spans="1:9" ht="12.75" x14ac:dyDescent="0.2">
      <c r="A26" s="613">
        <f>1+A25</f>
        <v>12</v>
      </c>
      <c r="B26" s="1886" t="s">
        <v>1368</v>
      </c>
      <c r="C26" s="634" t="s">
        <v>1507</v>
      </c>
      <c r="D26" s="590">
        <f>-'Total Co Accts Activ C2.2B'!P24</f>
        <v>21807062.239999998</v>
      </c>
      <c r="E26" s="662">
        <v>1</v>
      </c>
      <c r="F26" s="601">
        <f>D26</f>
        <v>21807062.239999998</v>
      </c>
      <c r="G26" s="241"/>
      <c r="H26" s="1997"/>
      <c r="I26" s="577"/>
    </row>
    <row r="27" spans="1:9" ht="12.75" x14ac:dyDescent="0.2">
      <c r="A27" s="613">
        <f>1+A26</f>
        <v>13</v>
      </c>
      <c r="B27" s="1886" t="s">
        <v>1370</v>
      </c>
      <c r="C27" s="634" t="s">
        <v>1371</v>
      </c>
      <c r="D27" s="641">
        <f>-'Total Co Accts Activ C2.2B'!P25-'Total Co Accts Activ C2.2B'!P26</f>
        <v>587000</v>
      </c>
      <c r="E27" s="662">
        <v>1</v>
      </c>
      <c r="F27" s="597">
        <f>D27</f>
        <v>587000</v>
      </c>
      <c r="G27" s="241"/>
      <c r="H27" s="2038"/>
      <c r="I27" s="577"/>
    </row>
    <row r="28" spans="1:9" ht="12.75" x14ac:dyDescent="0.2">
      <c r="A28" s="613">
        <f>1+A27</f>
        <v>14</v>
      </c>
      <c r="B28" s="1239"/>
      <c r="C28" s="634" t="s">
        <v>1372</v>
      </c>
      <c r="D28" s="591">
        <f>SUM(D23:D27)</f>
        <v>23054773.359999999</v>
      </c>
      <c r="E28" s="662" t="s">
        <v>680</v>
      </c>
      <c r="F28" s="591">
        <f>SUM(F23:F27)</f>
        <v>23054773.359999999</v>
      </c>
      <c r="G28" s="615"/>
      <c r="H28" s="1997"/>
      <c r="I28" s="577"/>
    </row>
    <row r="29" spans="1:9" ht="12.75" x14ac:dyDescent="0.2">
      <c r="A29" s="613"/>
      <c r="B29" s="1239"/>
      <c r="C29" s="241"/>
      <c r="D29" s="642"/>
      <c r="E29" s="662" t="s">
        <v>680</v>
      </c>
      <c r="F29" s="642"/>
      <c r="G29" s="615"/>
      <c r="H29" s="1998"/>
      <c r="I29" s="577"/>
    </row>
    <row r="30" spans="1:9" ht="13.5" thickBot="1" x14ac:dyDescent="0.25">
      <c r="A30" s="613">
        <f>A28+1</f>
        <v>15</v>
      </c>
      <c r="B30" s="1886"/>
      <c r="C30" s="634" t="s">
        <v>1373</v>
      </c>
      <c r="D30" s="600">
        <f>D20+D28</f>
        <v>92584988.070000008</v>
      </c>
      <c r="E30" s="662" t="s">
        <v>680</v>
      </c>
      <c r="F30" s="600">
        <f>(F20+F28)</f>
        <v>92584988.070000008</v>
      </c>
      <c r="G30" s="615"/>
      <c r="H30" s="1997"/>
      <c r="I30" s="577"/>
    </row>
    <row r="31" spans="1:9" ht="13.5" thickTop="1" x14ac:dyDescent="0.2">
      <c r="A31" s="613"/>
      <c r="B31" s="1239"/>
      <c r="C31" s="241"/>
      <c r="D31" s="642"/>
      <c r="E31" s="665"/>
      <c r="F31" s="642"/>
      <c r="G31" s="241"/>
      <c r="H31" s="577"/>
      <c r="I31" s="577"/>
    </row>
    <row r="32" spans="1:9" ht="12.75" x14ac:dyDescent="0.2">
      <c r="A32" s="613">
        <f>1+A30</f>
        <v>16</v>
      </c>
      <c r="B32" s="1239"/>
      <c r="C32" s="661" t="s">
        <v>1374</v>
      </c>
      <c r="D32" s="642"/>
      <c r="E32" s="665"/>
      <c r="F32" s="642"/>
      <c r="G32" s="241"/>
      <c r="H32" s="682"/>
      <c r="I32" s="577"/>
    </row>
    <row r="33" spans="1:9" ht="12.75" x14ac:dyDescent="0.2">
      <c r="A33" s="613">
        <f t="shared" ref="A33:A39" si="1">1+A32</f>
        <v>17</v>
      </c>
      <c r="B33" s="1239"/>
      <c r="C33" s="666" t="s">
        <v>1375</v>
      </c>
      <c r="D33" s="241"/>
      <c r="E33" s="664"/>
      <c r="F33" s="241"/>
      <c r="G33" s="241"/>
      <c r="H33" s="577"/>
      <c r="I33" s="577"/>
    </row>
    <row r="34" spans="1:9" ht="12.75" x14ac:dyDescent="0.2">
      <c r="A34" s="613">
        <f t="shared" si="1"/>
        <v>18</v>
      </c>
      <c r="B34" s="1884" t="s">
        <v>1376</v>
      </c>
      <c r="C34" s="634" t="s">
        <v>882</v>
      </c>
      <c r="D34" s="588">
        <f>'Total Co Accts Activ C2.2B'!P27</f>
        <v>2139</v>
      </c>
      <c r="E34" s="662">
        <v>1</v>
      </c>
      <c r="F34" s="642">
        <f>D34</f>
        <v>2139</v>
      </c>
      <c r="G34" s="615"/>
      <c r="H34" s="577"/>
      <c r="I34" s="577"/>
    </row>
    <row r="35" spans="1:9" ht="12.75" x14ac:dyDescent="0.2">
      <c r="A35" s="613">
        <f t="shared" si="1"/>
        <v>19</v>
      </c>
      <c r="B35" s="1884" t="s">
        <v>1377</v>
      </c>
      <c r="C35" s="634" t="s">
        <v>1378</v>
      </c>
      <c r="D35" s="588">
        <f>'Total Co Accts Activ C2.2B'!P28</f>
        <v>0</v>
      </c>
      <c r="E35" s="662">
        <v>1</v>
      </c>
      <c r="F35" s="642">
        <f>D35</f>
        <v>0</v>
      </c>
      <c r="G35" s="615"/>
      <c r="H35" s="577"/>
      <c r="I35" s="577"/>
    </row>
    <row r="36" spans="1:9" ht="12.75" x14ac:dyDescent="0.2">
      <c r="A36" s="613">
        <f t="shared" si="1"/>
        <v>20</v>
      </c>
      <c r="B36" s="1884" t="s">
        <v>1379</v>
      </c>
      <c r="C36" s="634" t="s">
        <v>1380</v>
      </c>
      <c r="D36" s="588">
        <f>'Total Co Accts Activ C2.2B'!P29</f>
        <v>0</v>
      </c>
      <c r="E36" s="662">
        <v>1</v>
      </c>
      <c r="F36" s="642">
        <f>D36</f>
        <v>0</v>
      </c>
      <c r="G36" s="615"/>
      <c r="H36" s="577"/>
      <c r="I36" s="577"/>
    </row>
    <row r="37" spans="1:9" ht="12.75" x14ac:dyDescent="0.2">
      <c r="A37" s="613">
        <f t="shared" si="1"/>
        <v>21</v>
      </c>
      <c r="B37" s="1884" t="s">
        <v>1381</v>
      </c>
      <c r="C37" s="634" t="s">
        <v>1382</v>
      </c>
      <c r="D37" s="588">
        <f>'Total Co Accts Activ C2.2B'!P30</f>
        <v>0</v>
      </c>
      <c r="E37" s="662">
        <v>1</v>
      </c>
      <c r="F37" s="642">
        <f>D37</f>
        <v>0</v>
      </c>
      <c r="G37" s="615"/>
      <c r="H37" s="577"/>
      <c r="I37" s="577"/>
    </row>
    <row r="38" spans="1:9" ht="12.75" x14ac:dyDescent="0.2">
      <c r="A38" s="613">
        <f t="shared" si="1"/>
        <v>22</v>
      </c>
      <c r="B38" s="1884" t="s">
        <v>1383</v>
      </c>
      <c r="C38" s="634" t="s">
        <v>1384</v>
      </c>
      <c r="D38" s="596">
        <f>'Total Co Accts Activ C2.2B'!P31</f>
        <v>0</v>
      </c>
      <c r="E38" s="662">
        <v>1</v>
      </c>
      <c r="F38" s="663">
        <f>D38</f>
        <v>0</v>
      </c>
      <c r="G38" s="615"/>
      <c r="H38" s="577"/>
      <c r="I38" s="577"/>
    </row>
    <row r="39" spans="1:9" ht="12.75" x14ac:dyDescent="0.2">
      <c r="A39" s="613">
        <f t="shared" si="1"/>
        <v>23</v>
      </c>
      <c r="B39" s="1239"/>
      <c r="C39" s="242" t="s">
        <v>1508</v>
      </c>
      <c r="D39" s="591">
        <f>SUM(D33:D38)</f>
        <v>2139</v>
      </c>
      <c r="E39" s="662" t="s">
        <v>680</v>
      </c>
      <c r="F39" s="591">
        <f>SUM(F33:F38)</f>
        <v>2139</v>
      </c>
      <c r="G39" s="241"/>
      <c r="H39" s="577"/>
      <c r="I39" s="577"/>
    </row>
    <row r="40" spans="1:9" ht="12.75" x14ac:dyDescent="0.2">
      <c r="A40" s="584"/>
      <c r="B40" s="247"/>
      <c r="C40" s="241"/>
      <c r="D40" s="241"/>
      <c r="E40" s="664"/>
      <c r="F40" s="241"/>
      <c r="G40" s="241"/>
      <c r="H40" s="577"/>
      <c r="I40" s="577"/>
    </row>
    <row r="41" spans="1:9" ht="12.75" x14ac:dyDescent="0.2">
      <c r="A41" s="613">
        <f>1+A39</f>
        <v>24</v>
      </c>
      <c r="B41" s="247"/>
      <c r="C41" s="661" t="s">
        <v>1386</v>
      </c>
      <c r="D41" s="642"/>
      <c r="E41" s="665"/>
      <c r="F41" s="642"/>
      <c r="G41" s="615"/>
      <c r="H41" s="577"/>
      <c r="I41" s="577"/>
    </row>
    <row r="42" spans="1:9" ht="12.75" x14ac:dyDescent="0.2">
      <c r="A42" s="613">
        <f t="shared" ref="A42:A51" si="2">1+A41</f>
        <v>25</v>
      </c>
      <c r="B42" s="247"/>
      <c r="C42" s="661" t="s">
        <v>1387</v>
      </c>
      <c r="D42" s="642"/>
      <c r="E42" s="665"/>
      <c r="F42" s="642"/>
      <c r="G42" s="241"/>
      <c r="H42" s="577"/>
      <c r="I42" s="577"/>
    </row>
    <row r="43" spans="1:9" ht="12.75" x14ac:dyDescent="0.2">
      <c r="A43" s="613">
        <f t="shared" si="2"/>
        <v>26</v>
      </c>
      <c r="B43" s="1886" t="s">
        <v>1388</v>
      </c>
      <c r="C43" s="634" t="s">
        <v>1509</v>
      </c>
      <c r="D43" s="624">
        <f>'Total Co Accts Activ C2.2B'!P32</f>
        <v>16536481.579999998</v>
      </c>
      <c r="E43" s="662">
        <v>1</v>
      </c>
      <c r="F43" s="642">
        <f t="shared" ref="F43:F50" si="3">D43</f>
        <v>16536481.579999998</v>
      </c>
      <c r="G43" s="613" t="s">
        <v>1354</v>
      </c>
      <c r="I43" s="590"/>
    </row>
    <row r="44" spans="1:9" ht="12.75" x14ac:dyDescent="0.2">
      <c r="A44" s="613">
        <f t="shared" si="2"/>
        <v>27</v>
      </c>
      <c r="B44" s="1886" t="s">
        <v>1390</v>
      </c>
      <c r="C44" s="634" t="s">
        <v>1391</v>
      </c>
      <c r="D44" s="624">
        <f>'Total Co Accts Activ C2.2B'!P33</f>
        <v>429518.99999999994</v>
      </c>
      <c r="E44" s="662">
        <v>1</v>
      </c>
      <c r="F44" s="642">
        <f t="shared" si="3"/>
        <v>429518.99999999994</v>
      </c>
      <c r="G44" s="615"/>
      <c r="I44" s="590"/>
    </row>
    <row r="45" spans="1:9" ht="12.75" x14ac:dyDescent="0.2">
      <c r="A45" s="613">
        <f t="shared" si="2"/>
        <v>28</v>
      </c>
      <c r="B45" s="1886" t="s">
        <v>1392</v>
      </c>
      <c r="C45" s="634" t="s">
        <v>1393</v>
      </c>
      <c r="D45" s="624">
        <f>'Total Co Accts Activ C2.2B'!P34</f>
        <v>4724709.0199999996</v>
      </c>
      <c r="E45" s="662">
        <v>1</v>
      </c>
      <c r="F45" s="642">
        <f t="shared" si="3"/>
        <v>4724709.0199999996</v>
      </c>
      <c r="G45" s="615"/>
      <c r="I45" s="590"/>
    </row>
    <row r="46" spans="1:9" ht="12.75" x14ac:dyDescent="0.2">
      <c r="A46" s="613">
        <f t="shared" si="2"/>
        <v>29</v>
      </c>
      <c r="B46" s="1886" t="s">
        <v>1394</v>
      </c>
      <c r="C46" s="634" t="s">
        <v>1395</v>
      </c>
      <c r="D46" s="624">
        <f>'Total Co Accts Activ C2.2B'!P35</f>
        <v>-1718075.9899999998</v>
      </c>
      <c r="E46" s="662">
        <v>1</v>
      </c>
      <c r="F46" s="642">
        <f t="shared" si="3"/>
        <v>-1718075.9899999998</v>
      </c>
      <c r="G46" s="615"/>
      <c r="I46" s="590"/>
    </row>
    <row r="47" spans="1:9" ht="12.75" x14ac:dyDescent="0.2">
      <c r="A47" s="613">
        <f t="shared" si="2"/>
        <v>30</v>
      </c>
      <c r="B47" s="1886" t="s">
        <v>1396</v>
      </c>
      <c r="C47" s="634" t="s">
        <v>880</v>
      </c>
      <c r="D47" s="624">
        <f>'Total Co Accts Activ C2.2B'!P36+'Total Co Accts Activ C2.2B'!P37</f>
        <v>344123</v>
      </c>
      <c r="E47" s="662">
        <v>1</v>
      </c>
      <c r="F47" s="642">
        <f t="shared" si="3"/>
        <v>344123</v>
      </c>
      <c r="G47" s="615"/>
      <c r="I47" s="590"/>
    </row>
    <row r="48" spans="1:9" ht="12.75" x14ac:dyDescent="0.2">
      <c r="A48" s="613">
        <f t="shared" si="2"/>
        <v>31</v>
      </c>
      <c r="B48" s="1886" t="s">
        <v>1397</v>
      </c>
      <c r="C48" s="634" t="s">
        <v>1398</v>
      </c>
      <c r="D48" s="624">
        <f>'Total Co Accts Activ C2.2B'!P38</f>
        <v>1503316.5099999998</v>
      </c>
      <c r="E48" s="662">
        <v>1</v>
      </c>
      <c r="F48" s="642">
        <f t="shared" si="3"/>
        <v>1503316.5099999998</v>
      </c>
      <c r="G48" s="615"/>
      <c r="I48" s="590"/>
    </row>
    <row r="49" spans="1:9" ht="12.75" x14ac:dyDescent="0.2">
      <c r="A49" s="613">
        <f t="shared" si="2"/>
        <v>32</v>
      </c>
      <c r="B49" s="1886" t="s">
        <v>1399</v>
      </c>
      <c r="C49" s="634" t="s">
        <v>1400</v>
      </c>
      <c r="D49" s="624">
        <f>'Total Co Accts Activ C2.2B'!P39</f>
        <v>0</v>
      </c>
      <c r="E49" s="667">
        <v>1</v>
      </c>
      <c r="F49" s="668">
        <f t="shared" si="3"/>
        <v>0</v>
      </c>
      <c r="G49" s="615"/>
      <c r="I49" s="1997"/>
    </row>
    <row r="50" spans="1:9" ht="12.75" x14ac:dyDescent="0.2">
      <c r="A50" s="613">
        <f t="shared" si="2"/>
        <v>33</v>
      </c>
      <c r="B50" s="1886">
        <v>813</v>
      </c>
      <c r="C50" s="669" t="s">
        <v>1401</v>
      </c>
      <c r="D50" s="641">
        <f>'Total Co Accts Activ C2.2B'!P40</f>
        <v>0</v>
      </c>
      <c r="E50" s="667">
        <v>1</v>
      </c>
      <c r="F50" s="670">
        <f t="shared" si="3"/>
        <v>0</v>
      </c>
      <c r="G50" s="615"/>
      <c r="I50" s="1997"/>
    </row>
    <row r="51" spans="1:9" ht="12.75" x14ac:dyDescent="0.2">
      <c r="A51" s="613">
        <f t="shared" si="2"/>
        <v>34</v>
      </c>
      <c r="B51" s="1239"/>
      <c r="C51" s="634" t="s">
        <v>1402</v>
      </c>
      <c r="D51" s="591">
        <f>SUM(D43:D50)</f>
        <v>21820073.119999997</v>
      </c>
      <c r="E51" s="662" t="s">
        <v>680</v>
      </c>
      <c r="F51" s="591">
        <f>SUM(F43:F50)</f>
        <v>21820073.119999997</v>
      </c>
      <c r="H51" s="642"/>
      <c r="I51" s="1997"/>
    </row>
    <row r="52" spans="1:9" ht="12.75" x14ac:dyDescent="0.2">
      <c r="A52" s="584"/>
      <c r="B52" s="1239"/>
      <c r="C52" s="241"/>
      <c r="D52" s="590"/>
      <c r="E52" s="662" t="s">
        <v>680</v>
      </c>
      <c r="F52" s="635" t="s">
        <v>680</v>
      </c>
      <c r="G52" s="241"/>
      <c r="I52" s="2038"/>
    </row>
    <row r="53" spans="1:9" ht="12.75" x14ac:dyDescent="0.2">
      <c r="A53" s="613">
        <f>1+A51</f>
        <v>35</v>
      </c>
      <c r="B53" s="1239"/>
      <c r="C53" s="661" t="s">
        <v>1403</v>
      </c>
      <c r="D53" s="241"/>
      <c r="E53" s="662" t="s">
        <v>680</v>
      </c>
      <c r="F53" s="635" t="s">
        <v>680</v>
      </c>
      <c r="G53" s="241"/>
      <c r="H53" s="577"/>
      <c r="I53" s="1998"/>
    </row>
    <row r="54" spans="1:9" ht="12.75" x14ac:dyDescent="0.2">
      <c r="A54" s="613">
        <f t="shared" ref="A54:A63" si="4">1+A53</f>
        <v>36</v>
      </c>
      <c r="B54" s="1886" t="s">
        <v>1404</v>
      </c>
      <c r="C54" s="634" t="s">
        <v>1405</v>
      </c>
      <c r="D54" s="624">
        <f>'Total Co Accts Activ C2.2B'!P41</f>
        <v>876974</v>
      </c>
      <c r="E54" s="662">
        <v>1</v>
      </c>
      <c r="F54" s="642">
        <f t="shared" ref="F54:F62" si="5">D54</f>
        <v>876974</v>
      </c>
      <c r="G54" s="615"/>
      <c r="H54" s="682"/>
      <c r="I54" s="577"/>
    </row>
    <row r="55" spans="1:9" ht="12.75" x14ac:dyDescent="0.2">
      <c r="A55" s="613">
        <f t="shared" si="4"/>
        <v>37</v>
      </c>
      <c r="B55" s="1886" t="s">
        <v>1406</v>
      </c>
      <c r="C55" s="634" t="s">
        <v>1407</v>
      </c>
      <c r="D55" s="624">
        <f>'Total Co Accts Activ C2.2B'!P42</f>
        <v>77827</v>
      </c>
      <c r="E55" s="662">
        <v>1</v>
      </c>
      <c r="F55" s="642">
        <f t="shared" si="5"/>
        <v>77827</v>
      </c>
      <c r="G55" s="615"/>
      <c r="H55" s="682"/>
      <c r="I55" s="577"/>
    </row>
    <row r="56" spans="1:9" ht="12.75" x14ac:dyDescent="0.2">
      <c r="A56" s="613">
        <f t="shared" si="4"/>
        <v>38</v>
      </c>
      <c r="B56" s="1886" t="s">
        <v>1408</v>
      </c>
      <c r="C56" s="634" t="s">
        <v>1409</v>
      </c>
      <c r="D56" s="624">
        <f>'Total Co Accts Activ C2.2B'!P43</f>
        <v>5585295</v>
      </c>
      <c r="E56" s="662">
        <v>1</v>
      </c>
      <c r="F56" s="642">
        <f t="shared" si="5"/>
        <v>5585295</v>
      </c>
      <c r="G56" s="615"/>
      <c r="H56" s="682"/>
      <c r="I56" s="577"/>
    </row>
    <row r="57" spans="1:9" ht="12.75" x14ac:dyDescent="0.2">
      <c r="A57" s="613">
        <f t="shared" si="4"/>
        <v>39</v>
      </c>
      <c r="B57" s="1886" t="s">
        <v>1410</v>
      </c>
      <c r="C57" s="634" t="s">
        <v>1411</v>
      </c>
      <c r="D57" s="624">
        <f>'Total Co Accts Activ C2.2B'!P44</f>
        <v>192465</v>
      </c>
      <c r="E57" s="662">
        <v>1</v>
      </c>
      <c r="F57" s="642">
        <f t="shared" si="5"/>
        <v>192465</v>
      </c>
      <c r="G57" s="615"/>
      <c r="H57" s="682"/>
      <c r="I57" s="577"/>
    </row>
    <row r="58" spans="1:9" ht="12.75" x14ac:dyDescent="0.2">
      <c r="A58" s="613">
        <f t="shared" si="4"/>
        <v>40</v>
      </c>
      <c r="B58" s="1886" t="s">
        <v>1412</v>
      </c>
      <c r="C58" s="634" t="s">
        <v>1413</v>
      </c>
      <c r="D58" s="624">
        <f>'Total Co Accts Activ C2.2B'!P45</f>
        <v>64566</v>
      </c>
      <c r="E58" s="662">
        <v>1</v>
      </c>
      <c r="F58" s="642">
        <f t="shared" si="5"/>
        <v>64566</v>
      </c>
      <c r="G58" s="615"/>
      <c r="H58" s="682"/>
      <c r="I58" s="577"/>
    </row>
    <row r="59" spans="1:9" ht="12.75" x14ac:dyDescent="0.2">
      <c r="A59" s="613">
        <f t="shared" si="4"/>
        <v>41</v>
      </c>
      <c r="B59" s="1886" t="s">
        <v>1414</v>
      </c>
      <c r="C59" s="634" t="s">
        <v>1415</v>
      </c>
      <c r="D59" s="624">
        <f>'Total Co Accts Activ C2.2B'!P46</f>
        <v>1635888</v>
      </c>
      <c r="E59" s="662">
        <v>1</v>
      </c>
      <c r="F59" s="642">
        <f t="shared" si="5"/>
        <v>1635888</v>
      </c>
      <c r="G59" s="615"/>
      <c r="H59" s="682"/>
      <c r="I59" s="577"/>
    </row>
    <row r="60" spans="1:9" ht="12.75" x14ac:dyDescent="0.2">
      <c r="A60" s="613">
        <f t="shared" si="4"/>
        <v>42</v>
      </c>
      <c r="B60" s="1886" t="s">
        <v>1416</v>
      </c>
      <c r="C60" s="634" t="s">
        <v>1417</v>
      </c>
      <c r="D60" s="624">
        <f>'Total Co Accts Activ C2.2B'!P47</f>
        <v>2005981</v>
      </c>
      <c r="E60" s="662">
        <v>1</v>
      </c>
      <c r="F60" s="642">
        <f t="shared" si="5"/>
        <v>2005981</v>
      </c>
      <c r="G60" s="615"/>
      <c r="H60" s="682"/>
      <c r="I60" s="577"/>
    </row>
    <row r="61" spans="1:9" ht="12.75" x14ac:dyDescent="0.2">
      <c r="A61" s="613">
        <f t="shared" si="4"/>
        <v>43</v>
      </c>
      <c r="B61" s="1886" t="s">
        <v>1418</v>
      </c>
      <c r="C61" s="634" t="s">
        <v>1419</v>
      </c>
      <c r="D61" s="624">
        <f>'Total Co Accts Activ C2.2B'!P48</f>
        <v>1715569</v>
      </c>
      <c r="E61" s="662">
        <v>1</v>
      </c>
      <c r="F61" s="642">
        <f t="shared" si="5"/>
        <v>1715569</v>
      </c>
      <c r="G61" s="615"/>
      <c r="H61" s="682"/>
      <c r="I61" s="577"/>
    </row>
    <row r="62" spans="1:9" ht="12.75" x14ac:dyDescent="0.2">
      <c r="A62" s="613">
        <f t="shared" si="4"/>
        <v>44</v>
      </c>
      <c r="B62" s="1886" t="s">
        <v>1420</v>
      </c>
      <c r="C62" s="634" t="s">
        <v>1421</v>
      </c>
      <c r="D62" s="641">
        <f>'Total Co Accts Activ C2.2B'!P49</f>
        <v>85757</v>
      </c>
      <c r="E62" s="662">
        <v>1</v>
      </c>
      <c r="F62" s="663">
        <f t="shared" si="5"/>
        <v>85757</v>
      </c>
      <c r="G62" s="615"/>
      <c r="H62" s="682"/>
      <c r="I62" s="577"/>
    </row>
    <row r="63" spans="1:9" ht="12.75" x14ac:dyDescent="0.2">
      <c r="A63" s="613">
        <f t="shared" si="4"/>
        <v>45</v>
      </c>
      <c r="B63" s="1239"/>
      <c r="C63" s="634" t="s">
        <v>1422</v>
      </c>
      <c r="D63" s="591">
        <f>SUM(D54:D62)</f>
        <v>12240322</v>
      </c>
      <c r="E63" s="662" t="s">
        <v>680</v>
      </c>
      <c r="F63" s="591">
        <f>SUM(F54:F62)</f>
        <v>12240322</v>
      </c>
      <c r="G63" s="615"/>
      <c r="H63" s="577"/>
      <c r="I63" s="577"/>
    </row>
    <row r="64" spans="1:9" ht="12.75" x14ac:dyDescent="0.2">
      <c r="A64" s="584"/>
      <c r="B64" s="1239"/>
      <c r="C64" s="241"/>
      <c r="D64" s="241"/>
      <c r="E64" s="662" t="s">
        <v>680</v>
      </c>
      <c r="F64" s="635" t="s">
        <v>680</v>
      </c>
      <c r="G64" s="615"/>
      <c r="H64" s="577"/>
      <c r="I64" s="577"/>
    </row>
    <row r="65" spans="1:9" ht="12.75" x14ac:dyDescent="0.2">
      <c r="A65" s="613">
        <f>1+A63</f>
        <v>46</v>
      </c>
      <c r="B65" s="1886"/>
      <c r="C65" s="661" t="s">
        <v>1423</v>
      </c>
      <c r="D65" s="642"/>
      <c r="E65" s="662" t="s">
        <v>680</v>
      </c>
      <c r="F65" s="635" t="s">
        <v>680</v>
      </c>
      <c r="G65" s="615"/>
      <c r="H65" s="577"/>
      <c r="I65" s="577"/>
    </row>
    <row r="66" spans="1:9" ht="12.75" x14ac:dyDescent="0.2">
      <c r="A66" s="613">
        <f t="shared" ref="A66:A74" si="6">1+A65</f>
        <v>47</v>
      </c>
      <c r="B66" s="1886" t="s">
        <v>1424</v>
      </c>
      <c r="C66" s="634" t="s">
        <v>1405</v>
      </c>
      <c r="D66" s="624">
        <f>'Total Co Accts Activ C2.2B'!P50</f>
        <v>10353</v>
      </c>
      <c r="E66" s="662">
        <v>1</v>
      </c>
      <c r="F66" s="642">
        <f t="shared" ref="F66:F73" si="7">D66</f>
        <v>10353</v>
      </c>
      <c r="G66" s="615"/>
      <c r="H66" s="682"/>
      <c r="I66" s="577"/>
    </row>
    <row r="67" spans="1:9" ht="12.75" x14ac:dyDescent="0.2">
      <c r="A67" s="613">
        <f t="shared" si="6"/>
        <v>48</v>
      </c>
      <c r="B67" s="1886" t="s">
        <v>1425</v>
      </c>
      <c r="C67" s="634" t="s">
        <v>1426</v>
      </c>
      <c r="D67" s="624">
        <f>'Total Co Accts Activ C2.2B'!P51</f>
        <v>253472</v>
      </c>
      <c r="E67" s="662">
        <v>1</v>
      </c>
      <c r="F67" s="642">
        <f t="shared" si="7"/>
        <v>253472</v>
      </c>
      <c r="G67" s="615"/>
      <c r="H67" s="682"/>
      <c r="I67" s="577"/>
    </row>
    <row r="68" spans="1:9" ht="12.75" x14ac:dyDescent="0.2">
      <c r="A68" s="613">
        <f t="shared" si="6"/>
        <v>49</v>
      </c>
      <c r="B68" s="1886" t="s">
        <v>1427</v>
      </c>
      <c r="C68" s="634" t="s">
        <v>1428</v>
      </c>
      <c r="D68" s="624">
        <f>'Total Co Accts Activ C2.2B'!P52</f>
        <v>3031716</v>
      </c>
      <c r="E68" s="662">
        <v>1</v>
      </c>
      <c r="F68" s="642">
        <f t="shared" si="7"/>
        <v>3031716</v>
      </c>
      <c r="G68" s="615"/>
      <c r="H68" s="682"/>
      <c r="I68" s="577"/>
    </row>
    <row r="69" spans="1:9" ht="12.75" x14ac:dyDescent="0.2">
      <c r="A69" s="613">
        <f t="shared" si="6"/>
        <v>50</v>
      </c>
      <c r="B69" s="1886" t="s">
        <v>1429</v>
      </c>
      <c r="C69" s="634" t="s">
        <v>1411</v>
      </c>
      <c r="D69" s="624">
        <f>'Total Co Accts Activ C2.2B'!P53</f>
        <v>269555</v>
      </c>
      <c r="E69" s="662">
        <v>1</v>
      </c>
      <c r="F69" s="642">
        <f t="shared" si="7"/>
        <v>269555</v>
      </c>
      <c r="G69" s="615"/>
      <c r="H69" s="682"/>
      <c r="I69" s="577"/>
    </row>
    <row r="70" spans="1:9" ht="12.75" x14ac:dyDescent="0.2">
      <c r="A70" s="613">
        <f t="shared" si="6"/>
        <v>51</v>
      </c>
      <c r="B70" s="1886" t="s">
        <v>1430</v>
      </c>
      <c r="C70" s="634" t="s">
        <v>1413</v>
      </c>
      <c r="D70" s="624">
        <f>'Total Co Accts Activ C2.2B'!P54</f>
        <v>69705</v>
      </c>
      <c r="E70" s="662">
        <v>1</v>
      </c>
      <c r="F70" s="642">
        <f t="shared" si="7"/>
        <v>69705</v>
      </c>
      <c r="G70" s="615"/>
      <c r="H70" s="682"/>
      <c r="I70" s="577"/>
    </row>
    <row r="71" spans="1:9" ht="12.75" x14ac:dyDescent="0.2">
      <c r="A71" s="613">
        <f t="shared" si="6"/>
        <v>52</v>
      </c>
      <c r="B71" s="1886" t="s">
        <v>1431</v>
      </c>
      <c r="C71" s="634" t="s">
        <v>1432</v>
      </c>
      <c r="D71" s="624">
        <f>'Total Co Accts Activ C2.2B'!P68</f>
        <v>699761</v>
      </c>
      <c r="E71" s="662">
        <v>1</v>
      </c>
      <c r="F71" s="642">
        <f t="shared" si="7"/>
        <v>699761</v>
      </c>
      <c r="G71" s="615"/>
      <c r="H71" s="682"/>
      <c r="I71" s="577"/>
    </row>
    <row r="72" spans="1:9" ht="12.75" x14ac:dyDescent="0.2">
      <c r="A72" s="613">
        <f t="shared" si="6"/>
        <v>53</v>
      </c>
      <c r="B72" s="1886" t="s">
        <v>1433</v>
      </c>
      <c r="C72" s="634" t="s">
        <v>1434</v>
      </c>
      <c r="D72" s="624">
        <f>'Total Co Accts Activ C2.2B'!P69</f>
        <v>143039</v>
      </c>
      <c r="E72" s="662">
        <v>1</v>
      </c>
      <c r="F72" s="642">
        <f t="shared" si="7"/>
        <v>143039</v>
      </c>
      <c r="G72" s="615"/>
      <c r="H72" s="682"/>
      <c r="I72" s="577"/>
    </row>
    <row r="73" spans="1:9" ht="12.75" x14ac:dyDescent="0.2">
      <c r="A73" s="613">
        <f t="shared" si="6"/>
        <v>54</v>
      </c>
      <c r="B73" s="1886" t="s">
        <v>1435</v>
      </c>
      <c r="C73" s="634" t="s">
        <v>1436</v>
      </c>
      <c r="D73" s="641">
        <f>'Total Co Accts Activ C2.2B'!P70</f>
        <v>311841</v>
      </c>
      <c r="E73" s="662">
        <v>1</v>
      </c>
      <c r="F73" s="663">
        <f t="shared" si="7"/>
        <v>311841</v>
      </c>
      <c r="G73" s="615"/>
      <c r="H73" s="682"/>
      <c r="I73" s="577"/>
    </row>
    <row r="74" spans="1:9" ht="12.75" x14ac:dyDescent="0.2">
      <c r="A74" s="613">
        <f t="shared" si="6"/>
        <v>55</v>
      </c>
      <c r="B74" s="247"/>
      <c r="C74" s="634" t="s">
        <v>1437</v>
      </c>
      <c r="D74" s="591">
        <f>SUM(D66:D73)</f>
        <v>4789442</v>
      </c>
      <c r="E74" s="672" t="s">
        <v>680</v>
      </c>
      <c r="F74" s="591">
        <f>SUM(F66:F73)</f>
        <v>4789442</v>
      </c>
      <c r="G74" s="615"/>
      <c r="H74" s="682"/>
      <c r="I74" s="577"/>
    </row>
    <row r="75" spans="1:9" ht="12.75" x14ac:dyDescent="0.2">
      <c r="A75" s="613"/>
      <c r="B75" s="247"/>
      <c r="C75" s="241"/>
      <c r="D75" s="590"/>
      <c r="E75" s="241"/>
      <c r="F75" s="241"/>
      <c r="G75" s="241"/>
      <c r="H75" s="577"/>
      <c r="I75" s="577"/>
    </row>
    <row r="76" spans="1:9" ht="12.75" x14ac:dyDescent="0.2">
      <c r="A76" s="584"/>
      <c r="B76" s="247"/>
      <c r="C76" s="241"/>
      <c r="D76" s="241"/>
      <c r="E76" s="241"/>
      <c r="F76" s="241"/>
      <c r="G76" s="241"/>
      <c r="H76" s="577"/>
      <c r="I76" s="577"/>
    </row>
    <row r="77" spans="1:9" ht="12.75" x14ac:dyDescent="0.2">
      <c r="A77" s="2126" t="s">
        <v>624</v>
      </c>
      <c r="B77" s="2128"/>
      <c r="C77" s="2128"/>
      <c r="D77" s="2128"/>
      <c r="E77" s="2128"/>
      <c r="F77" s="2128"/>
      <c r="G77" s="2128"/>
      <c r="H77" s="577"/>
      <c r="I77" s="577"/>
    </row>
    <row r="78" spans="1:9" ht="12.75" x14ac:dyDescent="0.2">
      <c r="A78" s="2126" t="str">
        <f>case</f>
        <v>CASE NO. 2016 - 00162</v>
      </c>
      <c r="B78" s="2128"/>
      <c r="C78" s="2128"/>
      <c r="D78" s="2128"/>
      <c r="E78" s="2128"/>
      <c r="F78" s="2128"/>
      <c r="G78" s="2128"/>
      <c r="H78" s="577"/>
      <c r="I78" s="577"/>
    </row>
    <row r="79" spans="1:9" ht="12.75" x14ac:dyDescent="0.2">
      <c r="A79" s="2126" t="str">
        <f>A3</f>
        <v xml:space="preserve">OPERATING REVENUE AND EXPENSES BY ACCOUNTS - JURISDICTION </v>
      </c>
      <c r="B79" s="2128"/>
      <c r="C79" s="2128"/>
      <c r="D79" s="2128"/>
      <c r="E79" s="2128"/>
      <c r="F79" s="2128"/>
      <c r="G79" s="2128"/>
      <c r="H79" s="577"/>
      <c r="I79" s="577"/>
    </row>
    <row r="80" spans="1:9" ht="12.75" x14ac:dyDescent="0.2">
      <c r="A80" s="2126" t="s">
        <v>2387</v>
      </c>
      <c r="B80" s="2128"/>
      <c r="C80" s="2128"/>
      <c r="D80" s="2128"/>
      <c r="E80" s="2128"/>
      <c r="F80" s="2128"/>
      <c r="G80" s="2128"/>
      <c r="H80" s="577"/>
      <c r="I80" s="577"/>
    </row>
    <row r="81" spans="1:9" ht="12.75" x14ac:dyDescent="0.2">
      <c r="A81" s="241"/>
      <c r="B81" s="1894"/>
      <c r="C81" s="241"/>
      <c r="D81" s="241"/>
      <c r="E81" s="241"/>
      <c r="F81" s="241"/>
      <c r="G81" s="241"/>
      <c r="H81" s="577"/>
      <c r="I81" s="577"/>
    </row>
    <row r="82" spans="1:9" ht="12.75" x14ac:dyDescent="0.2">
      <c r="A82" s="242" t="s">
        <v>1505</v>
      </c>
      <c r="B82" s="247"/>
      <c r="C82" s="241"/>
      <c r="D82" s="241"/>
      <c r="E82" s="241"/>
      <c r="F82" s="577"/>
      <c r="G82" s="617" t="str">
        <f>G6</f>
        <v>SCHEDULE C-2.1B</v>
      </c>
      <c r="H82" s="577"/>
      <c r="I82" s="577"/>
    </row>
    <row r="83" spans="1:9" ht="12.75" x14ac:dyDescent="0.2">
      <c r="A83" s="242" t="s">
        <v>977</v>
      </c>
      <c r="B83" s="247"/>
      <c r="C83" s="241"/>
      <c r="D83" s="241"/>
      <c r="E83" s="241"/>
      <c r="F83" s="577"/>
      <c r="G83" s="617" t="s">
        <v>1438</v>
      </c>
      <c r="H83" s="577"/>
      <c r="I83" s="577"/>
    </row>
    <row r="84" spans="1:9" ht="12.75" x14ac:dyDescent="0.2">
      <c r="A84" s="579" t="s">
        <v>996</v>
      </c>
      <c r="B84" s="1238"/>
      <c r="C84" s="580"/>
      <c r="D84" s="580"/>
      <c r="E84" s="580"/>
      <c r="F84" s="660"/>
      <c r="G84" s="619" t="str">
        <f>G8</f>
        <v>WITNESS:  J. T. CROOM</v>
      </c>
      <c r="H84" s="577"/>
      <c r="I84" s="577"/>
    </row>
    <row r="85" spans="1:9" ht="12.75" x14ac:dyDescent="0.2">
      <c r="A85" s="584"/>
      <c r="B85" s="1239"/>
      <c r="C85" s="584"/>
      <c r="D85" s="613" t="s">
        <v>1344</v>
      </c>
      <c r="E85" s="584"/>
      <c r="F85" s="584"/>
      <c r="G85" s="560" t="s">
        <v>671</v>
      </c>
      <c r="H85" s="577"/>
      <c r="I85" s="577"/>
    </row>
    <row r="86" spans="1:9" ht="12.75" x14ac:dyDescent="0.2">
      <c r="A86" s="613" t="s">
        <v>632</v>
      </c>
      <c r="B86" s="1886" t="s">
        <v>756</v>
      </c>
      <c r="C86" s="613"/>
      <c r="D86" s="613" t="s">
        <v>670</v>
      </c>
      <c r="E86" s="613" t="s">
        <v>1345</v>
      </c>
      <c r="F86" s="613" t="s">
        <v>1344</v>
      </c>
      <c r="G86" s="560" t="s">
        <v>1346</v>
      </c>
      <c r="H86" s="577"/>
      <c r="I86" s="577"/>
    </row>
    <row r="87" spans="1:9" ht="12.75" x14ac:dyDescent="0.2">
      <c r="A87" s="621" t="s">
        <v>635</v>
      </c>
      <c r="B87" s="1889" t="s">
        <v>1347</v>
      </c>
      <c r="C87" s="674" t="s">
        <v>767</v>
      </c>
      <c r="D87" s="621" t="s">
        <v>1348</v>
      </c>
      <c r="E87" s="621" t="s">
        <v>1349</v>
      </c>
      <c r="F87" s="621" t="s">
        <v>696</v>
      </c>
      <c r="G87" s="621" t="s">
        <v>778</v>
      </c>
      <c r="H87" s="577"/>
      <c r="I87" s="577"/>
    </row>
    <row r="88" spans="1:9" ht="12.75" x14ac:dyDescent="0.2">
      <c r="A88" s="584"/>
      <c r="B88" s="247"/>
      <c r="C88" s="241"/>
      <c r="D88" s="613" t="s">
        <v>860</v>
      </c>
      <c r="E88" s="613" t="s">
        <v>877</v>
      </c>
      <c r="F88" s="613" t="s">
        <v>878</v>
      </c>
      <c r="G88" s="613" t="s">
        <v>1145</v>
      </c>
      <c r="H88" s="577"/>
      <c r="I88" s="577"/>
    </row>
    <row r="89" spans="1:9" ht="12.75" x14ac:dyDescent="0.2">
      <c r="A89" s="613"/>
      <c r="B89" s="1894"/>
      <c r="C89" s="661" t="s">
        <v>1439</v>
      </c>
      <c r="D89" s="642"/>
      <c r="E89" s="675"/>
      <c r="F89" s="642"/>
      <c r="G89" s="241"/>
      <c r="H89" s="577"/>
      <c r="I89" s="577"/>
    </row>
    <row r="90" spans="1:9" ht="12.75" x14ac:dyDescent="0.2">
      <c r="A90" s="613">
        <v>1</v>
      </c>
      <c r="B90" s="1886" t="s">
        <v>1440</v>
      </c>
      <c r="C90" s="634" t="s">
        <v>1441</v>
      </c>
      <c r="D90" s="624">
        <f>'Total Co Accts Activ C2.2B'!P71</f>
        <v>0</v>
      </c>
      <c r="E90" s="662">
        <v>1</v>
      </c>
      <c r="F90" s="642">
        <f t="shared" ref="F90:F96" si="8">D90</f>
        <v>0</v>
      </c>
      <c r="G90" s="613" t="s">
        <v>1354</v>
      </c>
      <c r="H90" s="577"/>
      <c r="I90" s="577"/>
    </row>
    <row r="91" spans="1:9" ht="12.75" x14ac:dyDescent="0.2">
      <c r="A91" s="613">
        <f t="shared" ref="A91:A97" si="9">1+A90</f>
        <v>2</v>
      </c>
      <c r="B91" s="1886" t="s">
        <v>1442</v>
      </c>
      <c r="C91" s="634" t="s">
        <v>1443</v>
      </c>
      <c r="D91" s="624">
        <f>'Total Co Accts Activ C2.2B'!P72</f>
        <v>547130</v>
      </c>
      <c r="E91" s="662">
        <v>1</v>
      </c>
      <c r="F91" s="642">
        <f t="shared" si="8"/>
        <v>547130</v>
      </c>
      <c r="G91" s="615"/>
      <c r="H91" s="577"/>
      <c r="I91" s="577"/>
    </row>
    <row r="92" spans="1:9" ht="12.75" x14ac:dyDescent="0.2">
      <c r="A92" s="613">
        <f t="shared" si="9"/>
        <v>3</v>
      </c>
      <c r="B92" s="1886" t="s">
        <v>1444</v>
      </c>
      <c r="C92" s="634" t="s">
        <v>1510</v>
      </c>
      <c r="D92" s="624">
        <f>'Total Co Accts Activ C2.2B'!P73</f>
        <v>3649038</v>
      </c>
      <c r="E92" s="662">
        <v>1</v>
      </c>
      <c r="F92" s="642">
        <f t="shared" si="8"/>
        <v>3649038</v>
      </c>
      <c r="G92" s="615"/>
      <c r="H92" s="577"/>
      <c r="I92" s="577"/>
    </row>
    <row r="93" spans="1:9" ht="12.75" x14ac:dyDescent="0.2">
      <c r="A93" s="613">
        <f t="shared" si="9"/>
        <v>4</v>
      </c>
      <c r="B93" s="1886" t="s">
        <v>1446</v>
      </c>
      <c r="C93" s="634" t="s">
        <v>1447</v>
      </c>
      <c r="D93" s="624">
        <f>'Total Co Accts Activ C2.2B'!P74</f>
        <v>1655463</v>
      </c>
      <c r="E93" s="662">
        <v>1</v>
      </c>
      <c r="F93" s="642">
        <f t="shared" si="8"/>
        <v>1655463</v>
      </c>
      <c r="G93" s="615"/>
      <c r="H93" s="577"/>
      <c r="I93" s="577"/>
    </row>
    <row r="94" spans="1:9" ht="12.75" x14ac:dyDescent="0.2">
      <c r="A94" s="613">
        <f t="shared" si="9"/>
        <v>5</v>
      </c>
      <c r="B94" s="1886" t="s">
        <v>1448</v>
      </c>
      <c r="C94" s="634" t="s">
        <v>1449</v>
      </c>
      <c r="D94" s="624">
        <f>'Total Co Accts Activ C2.2B'!P75</f>
        <v>1081</v>
      </c>
      <c r="E94" s="662">
        <v>1</v>
      </c>
      <c r="F94" s="668">
        <f t="shared" si="8"/>
        <v>1081</v>
      </c>
      <c r="G94" s="615"/>
      <c r="H94" s="577"/>
      <c r="I94" s="577"/>
    </row>
    <row r="95" spans="1:9" ht="12.75" x14ac:dyDescent="0.2">
      <c r="A95" s="613">
        <f t="shared" si="9"/>
        <v>6</v>
      </c>
      <c r="B95" s="1886">
        <v>921</v>
      </c>
      <c r="C95" s="634" t="s">
        <v>1450</v>
      </c>
      <c r="D95" s="676">
        <f>'Total Co Accts Activ C2.2B'!P84</f>
        <v>253</v>
      </c>
      <c r="E95" s="662">
        <v>1</v>
      </c>
      <c r="F95" s="668">
        <f t="shared" si="8"/>
        <v>253</v>
      </c>
      <c r="G95" s="615"/>
      <c r="H95" s="577"/>
      <c r="I95" s="577"/>
    </row>
    <row r="96" spans="1:9" ht="12.75" x14ac:dyDescent="0.2">
      <c r="A96" s="613">
        <f t="shared" si="9"/>
        <v>7</v>
      </c>
      <c r="B96" s="1886">
        <v>935</v>
      </c>
      <c r="C96" s="634" t="s">
        <v>1451</v>
      </c>
      <c r="D96" s="641">
        <f>'Total Co Accts Activ C2.2B'!P98</f>
        <v>0</v>
      </c>
      <c r="E96" s="662">
        <v>1</v>
      </c>
      <c r="F96" s="670">
        <f t="shared" si="8"/>
        <v>0</v>
      </c>
      <c r="G96" s="615"/>
      <c r="H96" s="577"/>
      <c r="I96" s="577"/>
    </row>
    <row r="97" spans="1:9" ht="12.75" x14ac:dyDescent="0.2">
      <c r="A97" s="613">
        <f t="shared" si="9"/>
        <v>8</v>
      </c>
      <c r="B97" s="1886"/>
      <c r="C97" s="634" t="s">
        <v>1452</v>
      </c>
      <c r="D97" s="591">
        <f>SUM(D90:D96)</f>
        <v>5852965</v>
      </c>
      <c r="E97" s="662"/>
      <c r="F97" s="591">
        <f>SUM(F90:F96)</f>
        <v>5852965</v>
      </c>
      <c r="G97" s="615"/>
      <c r="H97" s="577"/>
      <c r="I97" s="577"/>
    </row>
    <row r="98" spans="1:9" ht="12.75" x14ac:dyDescent="0.2">
      <c r="A98" s="613"/>
      <c r="B98" s="1239"/>
      <c r="C98" s="241"/>
      <c r="D98" s="241"/>
      <c r="E98" s="584"/>
      <c r="F98" s="241"/>
      <c r="G98" s="241"/>
      <c r="H98" s="577"/>
      <c r="I98" s="577"/>
    </row>
    <row r="99" spans="1:9" ht="12.75" x14ac:dyDescent="0.2">
      <c r="A99" s="584">
        <f>1+A97</f>
        <v>9</v>
      </c>
      <c r="B99" s="1239"/>
      <c r="C99" s="661" t="s">
        <v>1453</v>
      </c>
      <c r="D99" s="241"/>
      <c r="E99" s="584"/>
      <c r="F99" s="241"/>
      <c r="G99" s="241"/>
      <c r="H99" s="577"/>
      <c r="I99" s="577"/>
    </row>
    <row r="100" spans="1:9" ht="12.75" x14ac:dyDescent="0.2">
      <c r="A100" s="613">
        <f t="shared" ref="A100:A106" si="10">1+A99</f>
        <v>10</v>
      </c>
      <c r="B100" s="1886" t="s">
        <v>1454</v>
      </c>
      <c r="C100" s="634" t="s">
        <v>1441</v>
      </c>
      <c r="D100" s="624">
        <f>'Total Co Accts Activ C2.2B'!P76</f>
        <v>22212</v>
      </c>
      <c r="E100" s="662">
        <v>1</v>
      </c>
      <c r="F100" s="642">
        <f t="shared" ref="F100:F105" si="11">D100</f>
        <v>22212</v>
      </c>
      <c r="G100" s="615"/>
      <c r="H100" s="577"/>
      <c r="I100" s="577"/>
    </row>
    <row r="101" spans="1:9" ht="12.75" x14ac:dyDescent="0.2">
      <c r="A101" s="613">
        <f t="shared" si="10"/>
        <v>11</v>
      </c>
      <c r="B101" s="1886" t="s">
        <v>1455</v>
      </c>
      <c r="C101" s="634" t="s">
        <v>1456</v>
      </c>
      <c r="D101" s="624">
        <f>'Total Co Accts Activ C2.2B'!P77</f>
        <v>1325046</v>
      </c>
      <c r="E101" s="662">
        <v>1</v>
      </c>
      <c r="F101" s="642">
        <f t="shared" si="11"/>
        <v>1325046</v>
      </c>
      <c r="G101" s="615"/>
      <c r="H101" s="577"/>
      <c r="I101" s="577"/>
    </row>
    <row r="102" spans="1:9" ht="12.75" x14ac:dyDescent="0.2">
      <c r="A102" s="613">
        <f t="shared" si="10"/>
        <v>12</v>
      </c>
      <c r="B102" s="1886" t="s">
        <v>1457</v>
      </c>
      <c r="C102" s="634" t="s">
        <v>1458</v>
      </c>
      <c r="D102" s="624">
        <f>'Total Co Accts Activ C2.2B'!P78</f>
        <v>66405</v>
      </c>
      <c r="E102" s="662">
        <v>1</v>
      </c>
      <c r="F102" s="642">
        <f t="shared" si="11"/>
        <v>66405</v>
      </c>
      <c r="G102" s="615"/>
      <c r="H102" s="577"/>
      <c r="I102" s="577"/>
    </row>
    <row r="103" spans="1:9" ht="12.75" x14ac:dyDescent="0.2">
      <c r="A103" s="613">
        <f t="shared" si="10"/>
        <v>13</v>
      </c>
      <c r="B103" s="1886" t="s">
        <v>1459</v>
      </c>
      <c r="C103" s="634" t="s">
        <v>1460</v>
      </c>
      <c r="D103" s="624">
        <f>'Total Co Accts Activ C2.2B'!P79</f>
        <v>265269</v>
      </c>
      <c r="E103" s="662">
        <v>1</v>
      </c>
      <c r="F103" s="668">
        <f t="shared" si="11"/>
        <v>265269</v>
      </c>
      <c r="G103" s="615"/>
      <c r="H103" s="577"/>
      <c r="I103" s="577"/>
    </row>
    <row r="104" spans="1:9" ht="12.75" x14ac:dyDescent="0.2">
      <c r="A104" s="613">
        <f t="shared" si="10"/>
        <v>14</v>
      </c>
      <c r="B104" s="1886">
        <v>921</v>
      </c>
      <c r="C104" s="634" t="s">
        <v>1450</v>
      </c>
      <c r="D104" s="676">
        <f>'Total Co Accts Activ C2.2B'!P85</f>
        <v>13868</v>
      </c>
      <c r="E104" s="662">
        <v>1</v>
      </c>
      <c r="F104" s="668">
        <f t="shared" si="11"/>
        <v>13868</v>
      </c>
      <c r="G104" s="615"/>
      <c r="H104" s="577"/>
      <c r="I104" s="577"/>
    </row>
    <row r="105" spans="1:9" ht="12.75" x14ac:dyDescent="0.2">
      <c r="A105" s="613">
        <f t="shared" si="10"/>
        <v>15</v>
      </c>
      <c r="B105" s="1886">
        <v>935</v>
      </c>
      <c r="C105" s="634" t="s">
        <v>1451</v>
      </c>
      <c r="D105" s="641">
        <f>'Total Co Accts Activ C2.2B'!P97</f>
        <v>0</v>
      </c>
      <c r="E105" s="662">
        <v>1</v>
      </c>
      <c r="F105" s="670">
        <f t="shared" si="11"/>
        <v>0</v>
      </c>
      <c r="G105" s="615"/>
      <c r="H105" s="577"/>
      <c r="I105" s="577"/>
    </row>
    <row r="106" spans="1:9" ht="12.75" x14ac:dyDescent="0.2">
      <c r="A106" s="613">
        <f t="shared" si="10"/>
        <v>16</v>
      </c>
      <c r="B106" s="1886"/>
      <c r="C106" s="634" t="s">
        <v>1511</v>
      </c>
      <c r="D106" s="591">
        <f>SUM(D100:D105)</f>
        <v>1692800</v>
      </c>
      <c r="E106" s="677" t="s">
        <v>680</v>
      </c>
      <c r="F106" s="591">
        <f>SUM(F100:F105)</f>
        <v>1692800</v>
      </c>
      <c r="G106" s="615"/>
      <c r="H106" s="577"/>
      <c r="I106" s="577"/>
    </row>
    <row r="107" spans="1:9" ht="12.75" x14ac:dyDescent="0.2">
      <c r="A107" s="584"/>
      <c r="B107" s="1886"/>
      <c r="C107" s="615"/>
      <c r="D107" s="642"/>
      <c r="E107" s="678"/>
      <c r="F107" s="642"/>
      <c r="G107" s="615"/>
      <c r="H107" s="577"/>
      <c r="I107" s="577"/>
    </row>
    <row r="108" spans="1:9" ht="12.75" x14ac:dyDescent="0.2">
      <c r="A108" s="584">
        <f>1+A106</f>
        <v>17</v>
      </c>
      <c r="B108" s="1886"/>
      <c r="C108" s="661" t="s">
        <v>1462</v>
      </c>
      <c r="D108" s="642"/>
      <c r="E108" s="678"/>
      <c r="F108" s="642"/>
      <c r="G108" s="615"/>
      <c r="H108" s="577"/>
      <c r="I108" s="577"/>
    </row>
    <row r="109" spans="1:9" ht="12.75" x14ac:dyDescent="0.2">
      <c r="A109" s="613">
        <f>1+A108</f>
        <v>18</v>
      </c>
      <c r="B109" s="1886" t="s">
        <v>1463</v>
      </c>
      <c r="C109" s="634" t="s">
        <v>1441</v>
      </c>
      <c r="D109" s="624">
        <f>'Total Co Accts Activ C2.2B'!P80</f>
        <v>0</v>
      </c>
      <c r="E109" s="662">
        <v>1</v>
      </c>
      <c r="F109" s="642">
        <f>D109</f>
        <v>0</v>
      </c>
      <c r="G109" s="615"/>
      <c r="H109" s="577"/>
      <c r="I109" s="577"/>
    </row>
    <row r="110" spans="1:9" ht="12.75" x14ac:dyDescent="0.2">
      <c r="A110" s="613">
        <f>1+A109</f>
        <v>19</v>
      </c>
      <c r="B110" s="1886" t="s">
        <v>1464</v>
      </c>
      <c r="C110" s="634" t="s">
        <v>1465</v>
      </c>
      <c r="D110" s="624">
        <f>'Total Co Accts Activ C2.2B'!P81</f>
        <v>54506</v>
      </c>
      <c r="E110" s="662">
        <v>1</v>
      </c>
      <c r="F110" s="642">
        <f>D110</f>
        <v>54506</v>
      </c>
      <c r="G110" s="615"/>
      <c r="H110" s="577"/>
      <c r="I110" s="577"/>
    </row>
    <row r="111" spans="1:9" ht="12.75" x14ac:dyDescent="0.2">
      <c r="A111" s="613">
        <f>1+A110</f>
        <v>20</v>
      </c>
      <c r="B111" s="1886" t="s">
        <v>1466</v>
      </c>
      <c r="C111" s="634" t="s">
        <v>1467</v>
      </c>
      <c r="D111" s="624">
        <f>'Total Co Accts Activ C2.2B'!P82</f>
        <v>180829</v>
      </c>
      <c r="E111" s="662">
        <v>1</v>
      </c>
      <c r="F111" s="642">
        <f>D111</f>
        <v>180829</v>
      </c>
      <c r="G111" s="615"/>
      <c r="H111" s="577"/>
      <c r="I111" s="577"/>
    </row>
    <row r="112" spans="1:9" ht="12.75" x14ac:dyDescent="0.2">
      <c r="A112" s="613">
        <f>1+A111</f>
        <v>21</v>
      </c>
      <c r="B112" s="1886" t="s">
        <v>1468</v>
      </c>
      <c r="C112" s="634" t="s">
        <v>1469</v>
      </c>
      <c r="D112" s="1408">
        <v>0</v>
      </c>
      <c r="E112" s="662">
        <v>1</v>
      </c>
      <c r="F112" s="663">
        <f>D112</f>
        <v>0</v>
      </c>
      <c r="G112" s="615"/>
      <c r="H112" s="577"/>
      <c r="I112" s="577"/>
    </row>
    <row r="113" spans="1:9" ht="12.75" x14ac:dyDescent="0.2">
      <c r="A113" s="613">
        <f>1+A112</f>
        <v>22</v>
      </c>
      <c r="B113" s="1886"/>
      <c r="C113" s="634" t="s">
        <v>1470</v>
      </c>
      <c r="D113" s="588">
        <f>SUM(D109:D112)</f>
        <v>235335</v>
      </c>
      <c r="E113" s="679" t="s">
        <v>680</v>
      </c>
      <c r="F113" s="591">
        <f>SUM(F109:F112)</f>
        <v>235335</v>
      </c>
      <c r="G113" s="615"/>
      <c r="H113" s="577"/>
      <c r="I113" s="577"/>
    </row>
    <row r="114" spans="1:9" ht="12.75" x14ac:dyDescent="0.2">
      <c r="A114" s="613"/>
      <c r="B114" s="1239"/>
      <c r="C114" s="241"/>
      <c r="D114" s="624"/>
      <c r="E114" s="678"/>
      <c r="F114" s="642"/>
      <c r="G114" s="615"/>
      <c r="H114" s="577"/>
      <c r="I114" s="577"/>
    </row>
    <row r="115" spans="1:9" ht="12.75" x14ac:dyDescent="0.2">
      <c r="A115" s="584">
        <f>1+A113</f>
        <v>23</v>
      </c>
      <c r="B115" s="1886"/>
      <c r="C115" s="661" t="s">
        <v>1471</v>
      </c>
      <c r="D115" s="642"/>
      <c r="E115" s="678"/>
      <c r="F115" s="642"/>
      <c r="G115" s="615"/>
      <c r="H115" s="577"/>
      <c r="I115" s="577"/>
    </row>
    <row r="116" spans="1:9" ht="12.75" x14ac:dyDescent="0.2">
      <c r="A116" s="613">
        <f t="shared" ref="A116:A127" si="12">1+A115</f>
        <v>24</v>
      </c>
      <c r="B116" s="1886" t="s">
        <v>1472</v>
      </c>
      <c r="C116" s="634" t="s">
        <v>1473</v>
      </c>
      <c r="D116" s="624">
        <f>'Total Co Accts Activ C2.2B'!P83</f>
        <v>4428466</v>
      </c>
      <c r="E116" s="662">
        <v>1</v>
      </c>
      <c r="F116" s="642">
        <f t="shared" ref="F116:F126" si="13">D116</f>
        <v>4428466</v>
      </c>
      <c r="G116" s="615"/>
      <c r="H116" s="577"/>
      <c r="I116" s="577"/>
    </row>
    <row r="117" spans="1:9" ht="12.75" x14ac:dyDescent="0.2">
      <c r="A117" s="613">
        <f t="shared" si="12"/>
        <v>25</v>
      </c>
      <c r="B117" s="1886" t="s">
        <v>1474</v>
      </c>
      <c r="C117" s="634" t="s">
        <v>1450</v>
      </c>
      <c r="D117" s="624">
        <f>'Total Co Accts Activ C2.2B'!P86</f>
        <v>910108</v>
      </c>
      <c r="E117" s="662">
        <v>1</v>
      </c>
      <c r="F117" s="642">
        <f t="shared" si="13"/>
        <v>910108</v>
      </c>
      <c r="G117" s="615"/>
      <c r="H117" s="577"/>
      <c r="I117" s="577"/>
    </row>
    <row r="118" spans="1:9" ht="12.75" x14ac:dyDescent="0.2">
      <c r="A118" s="613">
        <f t="shared" si="12"/>
        <v>26</v>
      </c>
      <c r="B118" s="1886" t="s">
        <v>1475</v>
      </c>
      <c r="C118" s="634" t="s">
        <v>1476</v>
      </c>
      <c r="D118" s="624">
        <f>'Total Co Accts Activ C2.2B'!P87</f>
        <v>7929990.4399600001</v>
      </c>
      <c r="E118" s="662">
        <v>1</v>
      </c>
      <c r="F118" s="642">
        <f t="shared" si="13"/>
        <v>7929990.4399600001</v>
      </c>
      <c r="G118" s="615"/>
      <c r="H118" s="577"/>
      <c r="I118" s="577"/>
    </row>
    <row r="119" spans="1:9" ht="12.75" x14ac:dyDescent="0.2">
      <c r="A119" s="613">
        <f t="shared" si="12"/>
        <v>27</v>
      </c>
      <c r="B119" s="1886" t="s">
        <v>1477</v>
      </c>
      <c r="C119" s="634" t="s">
        <v>1478</v>
      </c>
      <c r="D119" s="624">
        <f>'Total Co Accts Activ C2.2B'!P88</f>
        <v>81748</v>
      </c>
      <c r="E119" s="662">
        <v>1</v>
      </c>
      <c r="F119" s="642">
        <f t="shared" si="13"/>
        <v>81748</v>
      </c>
      <c r="G119" s="615"/>
      <c r="H119" s="577"/>
      <c r="I119" s="577"/>
    </row>
    <row r="120" spans="1:9" ht="12.75" x14ac:dyDescent="0.2">
      <c r="A120" s="613">
        <f t="shared" si="12"/>
        <v>28</v>
      </c>
      <c r="B120" s="1886" t="s">
        <v>1479</v>
      </c>
      <c r="C120" s="634" t="s">
        <v>1480</v>
      </c>
      <c r="D120" s="624">
        <f>'Total Co Accts Activ C2.2B'!P89</f>
        <v>1044557</v>
      </c>
      <c r="E120" s="662">
        <v>1</v>
      </c>
      <c r="F120" s="642">
        <f t="shared" si="13"/>
        <v>1044557</v>
      </c>
      <c r="G120" s="615"/>
      <c r="H120" s="577"/>
      <c r="I120" s="577"/>
    </row>
    <row r="121" spans="1:9" ht="12.75" x14ac:dyDescent="0.2">
      <c r="A121" s="613">
        <f t="shared" si="12"/>
        <v>29</v>
      </c>
      <c r="B121" s="1886" t="s">
        <v>1481</v>
      </c>
      <c r="C121" s="634" t="s">
        <v>1482</v>
      </c>
      <c r="D121" s="624">
        <f>'Total Co Accts Activ C2.2B'!P90</f>
        <v>3543380</v>
      </c>
      <c r="E121" s="662">
        <v>1</v>
      </c>
      <c r="F121" s="642">
        <f t="shared" si="13"/>
        <v>3543380</v>
      </c>
      <c r="G121" s="615"/>
      <c r="H121" s="577"/>
      <c r="I121" s="577"/>
    </row>
    <row r="122" spans="1:9" ht="12.75" x14ac:dyDescent="0.2">
      <c r="A122" s="613">
        <f t="shared" si="12"/>
        <v>30</v>
      </c>
      <c r="B122" s="1886" t="s">
        <v>1483</v>
      </c>
      <c r="C122" s="634" t="s">
        <v>1484</v>
      </c>
      <c r="D122" s="624">
        <f>'Total Co Accts Activ C2.2B'!P91</f>
        <v>0</v>
      </c>
      <c r="E122" s="662">
        <v>1</v>
      </c>
      <c r="F122" s="642">
        <f t="shared" si="13"/>
        <v>0</v>
      </c>
      <c r="G122" s="241"/>
      <c r="H122" s="577"/>
      <c r="I122" s="577"/>
    </row>
    <row r="123" spans="1:9" ht="12.75" x14ac:dyDescent="0.2">
      <c r="A123" s="613">
        <f t="shared" si="12"/>
        <v>31</v>
      </c>
      <c r="B123" s="1886" t="s">
        <v>1485</v>
      </c>
      <c r="C123" s="634" t="s">
        <v>1486</v>
      </c>
      <c r="D123" s="624">
        <f>'Total Co Accts Activ C2.2B'!P92</f>
        <v>239863</v>
      </c>
      <c r="E123" s="662">
        <v>1</v>
      </c>
      <c r="F123" s="642">
        <f t="shared" si="13"/>
        <v>239863</v>
      </c>
      <c r="G123" s="615"/>
      <c r="H123" s="577"/>
      <c r="I123" s="577"/>
    </row>
    <row r="124" spans="1:9" ht="12.75" x14ac:dyDescent="0.2">
      <c r="A124" s="613">
        <f t="shared" si="12"/>
        <v>32</v>
      </c>
      <c r="B124" s="1886" t="s">
        <v>1487</v>
      </c>
      <c r="C124" s="634" t="s">
        <v>1488</v>
      </c>
      <c r="D124" s="624">
        <f>'Total Co Accts Activ C2.2B'!P93</f>
        <v>0</v>
      </c>
      <c r="E124" s="662">
        <v>1</v>
      </c>
      <c r="F124" s="642">
        <f t="shared" si="13"/>
        <v>0</v>
      </c>
      <c r="G124" s="615"/>
      <c r="H124" s="577"/>
      <c r="I124" s="577"/>
    </row>
    <row r="125" spans="1:9" ht="12.75" x14ac:dyDescent="0.2">
      <c r="A125" s="613">
        <f t="shared" si="12"/>
        <v>33</v>
      </c>
      <c r="B125" s="1886" t="s">
        <v>1489</v>
      </c>
      <c r="C125" s="634" t="s">
        <v>1490</v>
      </c>
      <c r="D125" s="624">
        <f>'Total Co Accts Activ C2.2B'!P94</f>
        <v>-61662</v>
      </c>
      <c r="E125" s="662">
        <v>1</v>
      </c>
      <c r="F125" s="642">
        <f t="shared" si="13"/>
        <v>-61662</v>
      </c>
      <c r="G125" s="615"/>
      <c r="H125" s="577"/>
      <c r="I125" s="577"/>
    </row>
    <row r="126" spans="1:9" ht="12.75" x14ac:dyDescent="0.2">
      <c r="A126" s="613">
        <f t="shared" si="12"/>
        <v>34</v>
      </c>
      <c r="B126" s="1886" t="s">
        <v>1491</v>
      </c>
      <c r="C126" s="634" t="s">
        <v>1492</v>
      </c>
      <c r="D126" s="641">
        <f>'Total Co Accts Activ C2.2B'!P95</f>
        <v>646910</v>
      </c>
      <c r="E126" s="662">
        <v>1</v>
      </c>
      <c r="F126" s="663">
        <f t="shared" si="13"/>
        <v>646910</v>
      </c>
      <c r="G126" s="615"/>
      <c r="H126" s="577"/>
      <c r="I126" s="577"/>
    </row>
    <row r="127" spans="1:9" ht="12.75" x14ac:dyDescent="0.2">
      <c r="A127" s="613">
        <f t="shared" si="12"/>
        <v>35</v>
      </c>
      <c r="B127" s="1894"/>
      <c r="C127" s="634" t="s">
        <v>1512</v>
      </c>
      <c r="D127" s="591">
        <f>SUM(D116:D126)</f>
        <v>18763360.439959999</v>
      </c>
      <c r="E127" s="679" t="s">
        <v>680</v>
      </c>
      <c r="F127" s="591">
        <f>SUM(F116:F126)</f>
        <v>18763360.439959999</v>
      </c>
      <c r="G127" s="615"/>
      <c r="H127" s="577"/>
      <c r="I127" s="577"/>
    </row>
    <row r="128" spans="1:9" ht="12.75" x14ac:dyDescent="0.2">
      <c r="A128" s="584"/>
      <c r="B128" s="247"/>
      <c r="C128" s="241"/>
      <c r="D128" s="241"/>
      <c r="E128" s="584"/>
      <c r="F128" s="241"/>
      <c r="G128" s="241"/>
      <c r="H128" s="577"/>
      <c r="I128" s="577"/>
    </row>
    <row r="129" spans="1:9" ht="12.75" x14ac:dyDescent="0.2">
      <c r="A129" s="613">
        <f>1+A127</f>
        <v>36</v>
      </c>
      <c r="B129" s="1894"/>
      <c r="C129" s="661" t="s">
        <v>1494</v>
      </c>
      <c r="D129" s="642"/>
      <c r="E129" s="678"/>
      <c r="F129" s="642"/>
      <c r="G129" s="615"/>
      <c r="H129" s="577"/>
      <c r="I129" s="577"/>
    </row>
    <row r="130" spans="1:9" ht="12.75" x14ac:dyDescent="0.2">
      <c r="A130" s="1577">
        <f>A129+1</f>
        <v>37</v>
      </c>
      <c r="B130" s="1886">
        <v>932</v>
      </c>
      <c r="C130" s="634" t="s">
        <v>1451</v>
      </c>
      <c r="D130" s="642">
        <f>'Total Co Accts Activ C2.2B'!P96</f>
        <v>249393</v>
      </c>
      <c r="E130" s="662">
        <v>1</v>
      </c>
      <c r="F130" s="642">
        <f>D130</f>
        <v>249393</v>
      </c>
      <c r="G130" s="615"/>
      <c r="H130" s="577"/>
      <c r="I130" s="577"/>
    </row>
    <row r="131" spans="1:9" ht="12.75" x14ac:dyDescent="0.2">
      <c r="A131" s="613">
        <f>A130+1</f>
        <v>38</v>
      </c>
      <c r="B131" s="1886" t="s">
        <v>1495</v>
      </c>
      <c r="C131" s="634" t="s">
        <v>1451</v>
      </c>
      <c r="D131" s="671">
        <f>'Total Co Accts Activ C2.2B'!P99</f>
        <v>130</v>
      </c>
      <c r="E131" s="662">
        <v>1</v>
      </c>
      <c r="F131" s="663">
        <f>D131</f>
        <v>130</v>
      </c>
      <c r="G131" s="613" t="s">
        <v>1354</v>
      </c>
      <c r="H131" s="577"/>
      <c r="I131" s="577"/>
    </row>
    <row r="132" spans="1:9" ht="12.75" x14ac:dyDescent="0.2">
      <c r="A132" s="613">
        <f>1+A131</f>
        <v>39</v>
      </c>
      <c r="B132" s="1886"/>
      <c r="C132" s="634" t="s">
        <v>1513</v>
      </c>
      <c r="D132" s="591">
        <f>SUM(D129:D131)</f>
        <v>249523</v>
      </c>
      <c r="E132" s="662"/>
      <c r="F132" s="642">
        <f>D132</f>
        <v>249523</v>
      </c>
      <c r="G132" s="615"/>
      <c r="H132" s="577"/>
      <c r="I132" s="577"/>
    </row>
    <row r="133" spans="1:9" ht="12.75" x14ac:dyDescent="0.2">
      <c r="A133" s="584"/>
      <c r="B133" s="1239"/>
      <c r="C133" s="241"/>
      <c r="D133" s="590"/>
      <c r="E133" s="584"/>
      <c r="F133" s="241"/>
      <c r="G133" s="241"/>
      <c r="H133" s="577"/>
      <c r="I133" s="577"/>
    </row>
    <row r="134" spans="1:9" ht="13.5" thickBot="1" x14ac:dyDescent="0.25">
      <c r="A134" s="613">
        <f>1+A132</f>
        <v>40</v>
      </c>
      <c r="B134" s="1886"/>
      <c r="C134" s="634" t="s">
        <v>1514</v>
      </c>
      <c r="D134" s="599">
        <f>D132+D127+D113+D106+D97+D74+D63+D51+D39</f>
        <v>65645959.55996</v>
      </c>
      <c r="E134" s="662">
        <v>1</v>
      </c>
      <c r="F134" s="680">
        <f>D134</f>
        <v>65645959.55996</v>
      </c>
      <c r="H134" s="682"/>
      <c r="I134" s="682"/>
    </row>
    <row r="135" spans="1:9" ht="13.5" thickTop="1" x14ac:dyDescent="0.2">
      <c r="A135" s="584"/>
      <c r="B135" s="1239"/>
      <c r="C135" s="241"/>
      <c r="D135" s="241"/>
      <c r="E135" s="584"/>
      <c r="F135" s="241"/>
      <c r="G135" s="241"/>
      <c r="H135" s="682"/>
      <c r="I135" s="577"/>
    </row>
    <row r="136" spans="1:9" ht="12.75" x14ac:dyDescent="0.2">
      <c r="A136" s="613">
        <f>1+A134</f>
        <v>41</v>
      </c>
      <c r="B136" s="1886" t="s">
        <v>1498</v>
      </c>
      <c r="C136" s="634" t="s">
        <v>1499</v>
      </c>
      <c r="D136" s="624">
        <f>'Total Co Accts Activ C2.2B'!P13</f>
        <v>15828137.157035036</v>
      </c>
      <c r="E136" s="662">
        <v>1</v>
      </c>
      <c r="F136" s="642">
        <f>D136</f>
        <v>15828137.157035036</v>
      </c>
      <c r="G136" s="634" t="s">
        <v>680</v>
      </c>
      <c r="H136" s="577"/>
      <c r="I136" s="577"/>
    </row>
    <row r="137" spans="1:9" ht="12.75" x14ac:dyDescent="0.2">
      <c r="A137" s="613">
        <f>1+A136</f>
        <v>42</v>
      </c>
      <c r="B137" s="1886" t="s">
        <v>1500</v>
      </c>
      <c r="C137" s="634" t="s">
        <v>1501</v>
      </c>
      <c r="D137" s="624">
        <f>'Total Co Accts Activ C2.2B'!P15+'Total Co Accts Activ C2.2B'!P16+'Total Co Accts Activ C2.2B'!P17</f>
        <v>4596000</v>
      </c>
      <c r="E137" s="662">
        <v>1</v>
      </c>
      <c r="F137" s="642">
        <f>D137</f>
        <v>4596000</v>
      </c>
      <c r="G137" s="615"/>
      <c r="H137" s="577"/>
      <c r="I137" s="577"/>
    </row>
    <row r="138" spans="1:9" ht="12.75" x14ac:dyDescent="0.2">
      <c r="A138" s="613">
        <f>1+A137</f>
        <v>43</v>
      </c>
      <c r="B138" s="1886" t="s">
        <v>1502</v>
      </c>
      <c r="C138" s="634" t="s">
        <v>1312</v>
      </c>
      <c r="D138" s="624">
        <f>'E-1.1 Fed &amp; State Income Taxes'!I52</f>
        <v>-101004.63197960754</v>
      </c>
      <c r="E138" s="662">
        <v>1</v>
      </c>
      <c r="F138" s="624">
        <f>D138</f>
        <v>-101004.63197960754</v>
      </c>
      <c r="G138" s="615"/>
      <c r="H138" s="577"/>
      <c r="I138" s="577"/>
    </row>
    <row r="139" spans="1:9" ht="12.75" x14ac:dyDescent="0.2">
      <c r="A139" s="613">
        <f>1+A138</f>
        <v>44</v>
      </c>
      <c r="B139" s="1886" t="s">
        <v>1502</v>
      </c>
      <c r="C139" s="634" t="s">
        <v>1313</v>
      </c>
      <c r="D139" s="641">
        <f>'E-1.1 Fed &amp; State Income Taxes'!I54</f>
        <v>-19020.258819701037</v>
      </c>
      <c r="E139" s="662">
        <v>1</v>
      </c>
      <c r="F139" s="671">
        <f>D139</f>
        <v>-19020.258819701037</v>
      </c>
      <c r="G139" s="642"/>
      <c r="H139" s="577"/>
      <c r="I139" s="577"/>
    </row>
    <row r="140" spans="1:9" ht="12.75" x14ac:dyDescent="0.2">
      <c r="A140" s="584"/>
      <c r="B140" s="247"/>
      <c r="C140" s="241"/>
      <c r="D140" s="1080"/>
      <c r="E140" s="678"/>
      <c r="F140" s="241"/>
      <c r="G140" s="241"/>
      <c r="H140" s="577"/>
      <c r="I140" s="577"/>
    </row>
    <row r="141" spans="1:9" ht="13.5" thickBot="1" x14ac:dyDescent="0.25">
      <c r="A141" s="613">
        <f>1+A139</f>
        <v>45</v>
      </c>
      <c r="B141" s="1894"/>
      <c r="C141" s="634" t="s">
        <v>1503</v>
      </c>
      <c r="D141" s="599">
        <f>(D134+D136+D137+D138+D139)</f>
        <v>85950071.826195717</v>
      </c>
      <c r="E141" s="662">
        <v>1</v>
      </c>
      <c r="F141" s="600">
        <f>(F134+F136+F137+F138+F139)</f>
        <v>85950071.826195717</v>
      </c>
      <c r="G141" s="615"/>
      <c r="H141" s="577"/>
      <c r="I141" s="577"/>
    </row>
    <row r="142" spans="1:9" ht="13.5" thickTop="1" x14ac:dyDescent="0.2">
      <c r="A142" s="584"/>
      <c r="B142" s="247"/>
      <c r="C142" s="241"/>
      <c r="D142" s="241"/>
      <c r="E142" s="584"/>
      <c r="F142" s="241"/>
      <c r="G142" s="241"/>
      <c r="H142" s="577"/>
      <c r="I142" s="577"/>
    </row>
    <row r="143" spans="1:9" ht="13.5" thickBot="1" x14ac:dyDescent="0.25">
      <c r="A143" s="613">
        <f>1+A141</f>
        <v>46</v>
      </c>
      <c r="B143" s="1894"/>
      <c r="C143" s="634" t="s">
        <v>1504</v>
      </c>
      <c r="D143" s="599">
        <f>D30-D141</f>
        <v>6634916.2438042909</v>
      </c>
      <c r="E143" s="662">
        <v>1</v>
      </c>
      <c r="F143" s="600">
        <f>D143</f>
        <v>6634916.2438042909</v>
      </c>
      <c r="G143" s="615"/>
      <c r="H143" s="577"/>
      <c r="I143" s="577"/>
    </row>
    <row r="144" spans="1:9" ht="13.5" thickTop="1" x14ac:dyDescent="0.2">
      <c r="A144" s="241"/>
      <c r="B144" s="247"/>
      <c r="C144" s="241"/>
      <c r="D144" s="590"/>
      <c r="E144" s="241"/>
      <c r="F144" s="241"/>
      <c r="G144" s="241"/>
      <c r="H144" s="577"/>
      <c r="I144" s="577"/>
    </row>
    <row r="145" spans="1:9" ht="11.25" x14ac:dyDescent="0.2">
      <c r="A145" s="681"/>
      <c r="B145" s="1895"/>
      <c r="C145" s="577"/>
      <c r="D145" s="577"/>
      <c r="E145" s="577"/>
      <c r="F145" s="577"/>
      <c r="G145" s="577"/>
      <c r="H145" s="577"/>
      <c r="I145" s="577"/>
    </row>
    <row r="146" spans="1:9" ht="11.25" x14ac:dyDescent="0.2">
      <c r="A146" s="681"/>
      <c r="B146" s="1895"/>
      <c r="C146" s="577"/>
      <c r="D146" s="577"/>
      <c r="E146" s="577"/>
      <c r="F146" s="577"/>
      <c r="G146" s="577"/>
      <c r="H146" s="577"/>
      <c r="I146" s="577"/>
    </row>
    <row r="147" spans="1:9" ht="11.25" x14ac:dyDescent="0.2">
      <c r="A147" s="681"/>
      <c r="B147" s="1895"/>
      <c r="C147" s="2037"/>
      <c r="D147" s="682"/>
      <c r="E147" s="577"/>
      <c r="F147" s="577"/>
      <c r="G147" s="577"/>
      <c r="H147" s="577"/>
      <c r="I147" s="577"/>
    </row>
    <row r="148" spans="1:9" ht="11.25" x14ac:dyDescent="0.2">
      <c r="A148" s="681"/>
      <c r="B148" s="1895"/>
      <c r="C148" s="577"/>
      <c r="D148" s="577"/>
      <c r="E148" s="577"/>
      <c r="F148" s="577"/>
      <c r="G148" s="577"/>
      <c r="H148" s="577"/>
      <c r="I148" s="577"/>
    </row>
    <row r="149" spans="1:9" ht="11.25" x14ac:dyDescent="0.2">
      <c r="A149" s="681"/>
      <c r="B149" s="1895"/>
      <c r="C149" s="577"/>
      <c r="D149" s="577"/>
      <c r="E149" s="577"/>
      <c r="F149" s="577"/>
      <c r="G149" s="577"/>
      <c r="H149" s="577"/>
      <c r="I149" s="577"/>
    </row>
    <row r="150" spans="1:9" ht="11.25" x14ac:dyDescent="0.2">
      <c r="A150" s="681"/>
      <c r="B150" s="1895"/>
      <c r="C150" s="577"/>
      <c r="D150" s="577"/>
      <c r="E150" s="577"/>
      <c r="F150" s="577"/>
      <c r="G150" s="577"/>
      <c r="H150" s="577"/>
      <c r="I150" s="577"/>
    </row>
    <row r="151" spans="1:9" ht="11.25" x14ac:dyDescent="0.2">
      <c r="A151" s="681"/>
      <c r="B151" s="1895"/>
      <c r="C151" s="577"/>
      <c r="D151" s="577"/>
      <c r="E151" s="577"/>
      <c r="F151" s="577"/>
      <c r="G151" s="577"/>
      <c r="H151" s="577"/>
      <c r="I151" s="577"/>
    </row>
    <row r="152" spans="1:9" ht="11.25" x14ac:dyDescent="0.2">
      <c r="A152" s="681"/>
      <c r="B152" s="1895"/>
      <c r="C152" s="577"/>
      <c r="D152" s="577"/>
      <c r="E152" s="577"/>
      <c r="F152" s="577"/>
      <c r="G152" s="577"/>
      <c r="H152" s="577"/>
      <c r="I152" s="577"/>
    </row>
    <row r="153" spans="1:9" ht="11.25" x14ac:dyDescent="0.2">
      <c r="A153" s="681"/>
      <c r="B153" s="1895"/>
      <c r="C153" s="577"/>
      <c r="D153" s="577"/>
      <c r="E153" s="577"/>
      <c r="F153" s="577"/>
      <c r="G153" s="577"/>
      <c r="H153" s="577"/>
      <c r="I153" s="577"/>
    </row>
    <row r="154" spans="1:9" ht="11.25" x14ac:dyDescent="0.2">
      <c r="A154" s="681"/>
      <c r="B154" s="1895"/>
      <c r="C154" s="577"/>
      <c r="D154" s="577"/>
      <c r="E154" s="577"/>
      <c r="F154" s="577"/>
      <c r="G154" s="577"/>
      <c r="H154" s="577"/>
      <c r="I154" s="577"/>
    </row>
    <row r="155" spans="1:9" ht="11.25" x14ac:dyDescent="0.2">
      <c r="A155" s="681"/>
      <c r="B155" s="1895"/>
      <c r="C155" s="577"/>
      <c r="D155" s="577"/>
      <c r="E155" s="577"/>
      <c r="F155" s="577"/>
      <c r="G155" s="577"/>
      <c r="H155" s="577"/>
      <c r="I155" s="577"/>
    </row>
    <row r="156" spans="1:9" ht="11.25" x14ac:dyDescent="0.2">
      <c r="A156" s="681"/>
      <c r="B156" s="1895"/>
      <c r="C156" s="577"/>
      <c r="D156" s="577"/>
      <c r="E156" s="577"/>
      <c r="F156" s="577"/>
      <c r="G156" s="577"/>
      <c r="H156" s="577"/>
      <c r="I156" s="577"/>
    </row>
    <row r="157" spans="1:9" ht="11.25" x14ac:dyDescent="0.2">
      <c r="A157" s="681"/>
      <c r="B157" s="1895"/>
      <c r="C157" s="577"/>
      <c r="D157" s="577"/>
      <c r="E157" s="577"/>
      <c r="F157" s="577"/>
      <c r="G157" s="577"/>
      <c r="H157" s="577"/>
      <c r="I157" s="577"/>
    </row>
    <row r="158" spans="1:9" ht="11.25" x14ac:dyDescent="0.2">
      <c r="A158" s="681"/>
      <c r="B158" s="1895"/>
      <c r="C158" s="577"/>
      <c r="D158" s="577"/>
      <c r="E158" s="577"/>
      <c r="F158" s="577"/>
      <c r="G158" s="577"/>
      <c r="H158" s="577"/>
      <c r="I158" s="577"/>
    </row>
    <row r="159" spans="1:9" ht="11.25" x14ac:dyDescent="0.2">
      <c r="A159" s="681"/>
      <c r="B159" s="1895"/>
      <c r="C159" s="577"/>
      <c r="D159" s="577"/>
      <c r="E159" s="577"/>
      <c r="F159" s="577"/>
      <c r="G159" s="577"/>
      <c r="H159" s="577"/>
      <c r="I159" s="577"/>
    </row>
    <row r="160" spans="1:9" ht="11.25" x14ac:dyDescent="0.2">
      <c r="A160" s="681"/>
      <c r="B160" s="1895"/>
      <c r="C160" s="577"/>
      <c r="D160" s="577"/>
      <c r="E160" s="577"/>
      <c r="F160" s="577"/>
      <c r="G160" s="577"/>
      <c r="H160" s="577"/>
      <c r="I160" s="577"/>
    </row>
    <row r="161" spans="1:9" ht="11.25" x14ac:dyDescent="0.2">
      <c r="A161" s="681"/>
      <c r="B161" s="1895"/>
      <c r="C161" s="577"/>
      <c r="D161" s="577"/>
      <c r="E161" s="577"/>
      <c r="F161" s="577"/>
      <c r="G161" s="577"/>
      <c r="H161" s="577"/>
      <c r="I161" s="577"/>
    </row>
    <row r="162" spans="1:9" ht="11.25" x14ac:dyDescent="0.2">
      <c r="A162" s="681"/>
      <c r="B162" s="1895"/>
      <c r="C162" s="577"/>
      <c r="D162" s="577"/>
      <c r="E162" s="577"/>
      <c r="F162" s="577"/>
      <c r="G162" s="577"/>
      <c r="H162" s="577"/>
      <c r="I162" s="577"/>
    </row>
    <row r="163" spans="1:9" ht="11.25" x14ac:dyDescent="0.2">
      <c r="A163" s="681"/>
      <c r="B163" s="1895"/>
      <c r="C163" s="577"/>
      <c r="D163" s="577"/>
      <c r="E163" s="577"/>
      <c r="F163" s="577"/>
      <c r="G163" s="577"/>
      <c r="H163" s="577"/>
      <c r="I163" s="577"/>
    </row>
    <row r="164" spans="1:9" ht="11.25" x14ac:dyDescent="0.2">
      <c r="A164" s="681"/>
      <c r="B164" s="1895"/>
      <c r="C164" s="577"/>
      <c r="D164" s="577"/>
      <c r="E164" s="577"/>
      <c r="F164" s="577"/>
      <c r="G164" s="577"/>
      <c r="H164" s="577"/>
      <c r="I164" s="577"/>
    </row>
    <row r="165" spans="1:9" ht="11.25" x14ac:dyDescent="0.2">
      <c r="A165" s="681"/>
      <c r="B165" s="1895"/>
      <c r="C165" s="577"/>
      <c r="D165" s="577"/>
      <c r="E165" s="577"/>
      <c r="F165" s="577"/>
      <c r="G165" s="577"/>
      <c r="H165" s="577"/>
      <c r="I165" s="577"/>
    </row>
    <row r="166" spans="1:9" ht="11.25" x14ac:dyDescent="0.2">
      <c r="A166" s="681"/>
      <c r="B166" s="1895"/>
      <c r="C166" s="577"/>
      <c r="D166" s="577"/>
      <c r="E166" s="577"/>
      <c r="F166" s="577"/>
      <c r="G166" s="577"/>
      <c r="H166" s="577"/>
      <c r="I166" s="577"/>
    </row>
    <row r="167" spans="1:9" ht="11.25" x14ac:dyDescent="0.2">
      <c r="A167" s="681"/>
      <c r="B167" s="1895"/>
      <c r="C167" s="577"/>
      <c r="D167" s="577"/>
      <c r="E167" s="577"/>
      <c r="F167" s="577"/>
      <c r="G167" s="577"/>
      <c r="H167" s="577"/>
      <c r="I167" s="577"/>
    </row>
    <row r="168" spans="1:9" ht="11.25" x14ac:dyDescent="0.2">
      <c r="A168" s="681"/>
      <c r="B168" s="1895"/>
      <c r="C168" s="577"/>
      <c r="D168" s="577"/>
      <c r="E168" s="577"/>
      <c r="F168" s="577"/>
      <c r="G168" s="577"/>
      <c r="H168" s="577"/>
      <c r="I168" s="577"/>
    </row>
    <row r="169" spans="1:9" ht="11.25" x14ac:dyDescent="0.2">
      <c r="A169" s="681"/>
      <c r="B169" s="1895"/>
      <c r="C169" s="577"/>
      <c r="D169" s="577"/>
      <c r="E169" s="577"/>
      <c r="F169" s="577"/>
      <c r="G169" s="577"/>
      <c r="H169" s="577"/>
      <c r="I169" s="577"/>
    </row>
    <row r="170" spans="1:9" ht="11.25" x14ac:dyDescent="0.2">
      <c r="A170" s="681"/>
      <c r="B170" s="1895"/>
      <c r="C170" s="577"/>
      <c r="D170" s="577"/>
      <c r="E170" s="577"/>
      <c r="F170" s="577"/>
      <c r="G170" s="577"/>
      <c r="H170" s="577"/>
      <c r="I170" s="577"/>
    </row>
    <row r="171" spans="1:9" ht="11.25" x14ac:dyDescent="0.2">
      <c r="A171" s="681"/>
      <c r="B171" s="1895"/>
      <c r="C171" s="577"/>
      <c r="D171" s="577"/>
      <c r="E171" s="577"/>
      <c r="F171" s="577"/>
      <c r="G171" s="577"/>
      <c r="H171" s="577"/>
      <c r="I171" s="577"/>
    </row>
    <row r="172" spans="1:9" ht="11.25" x14ac:dyDescent="0.2">
      <c r="A172" s="681"/>
      <c r="B172" s="1895"/>
      <c r="C172" s="577"/>
      <c r="D172" s="577"/>
      <c r="E172" s="577"/>
      <c r="F172" s="577"/>
      <c r="G172" s="577"/>
      <c r="H172" s="577"/>
      <c r="I172" s="577"/>
    </row>
    <row r="173" spans="1:9" ht="11.25" x14ac:dyDescent="0.2">
      <c r="A173" s="681"/>
      <c r="B173" s="1895"/>
      <c r="C173" s="577"/>
      <c r="D173" s="577"/>
      <c r="E173" s="577"/>
      <c r="F173" s="577"/>
      <c r="G173" s="577"/>
      <c r="H173" s="577"/>
      <c r="I173" s="577"/>
    </row>
    <row r="174" spans="1:9" ht="11.25" x14ac:dyDescent="0.2">
      <c r="A174" s="681"/>
      <c r="B174" s="1895"/>
      <c r="C174" s="577"/>
      <c r="D174" s="577"/>
      <c r="E174" s="577"/>
      <c r="F174" s="577"/>
      <c r="G174" s="577"/>
      <c r="H174" s="577"/>
      <c r="I174" s="577"/>
    </row>
    <row r="175" spans="1:9" ht="11.25" x14ac:dyDescent="0.2">
      <c r="A175" s="681"/>
      <c r="B175" s="1895"/>
      <c r="C175" s="577"/>
      <c r="D175" s="577"/>
      <c r="E175" s="577"/>
      <c r="F175" s="577"/>
      <c r="G175" s="577"/>
      <c r="H175" s="577"/>
      <c r="I175" s="577"/>
    </row>
    <row r="176" spans="1:9" ht="11.25" x14ac:dyDescent="0.2">
      <c r="A176" s="681"/>
      <c r="B176" s="1895"/>
      <c r="C176" s="577"/>
      <c r="D176" s="577"/>
      <c r="E176" s="577"/>
      <c r="F176" s="577"/>
      <c r="G176" s="577"/>
      <c r="H176" s="577"/>
      <c r="I176" s="577"/>
    </row>
    <row r="177" spans="1:9" ht="11.25" x14ac:dyDescent="0.2">
      <c r="A177" s="681"/>
      <c r="B177" s="1895"/>
      <c r="C177" s="577"/>
      <c r="D177" s="577"/>
      <c r="E177" s="577"/>
      <c r="F177" s="577"/>
      <c r="G177" s="577"/>
      <c r="H177" s="577"/>
      <c r="I177" s="577"/>
    </row>
    <row r="178" spans="1:9" ht="11.25" x14ac:dyDescent="0.2">
      <c r="A178" s="681"/>
      <c r="B178" s="1895"/>
      <c r="C178" s="577"/>
      <c r="D178" s="577"/>
      <c r="E178" s="577"/>
      <c r="F178" s="577"/>
      <c r="G178" s="577"/>
      <c r="H178" s="577"/>
      <c r="I178" s="577"/>
    </row>
    <row r="179" spans="1:9" ht="11.25" x14ac:dyDescent="0.2">
      <c r="A179" s="681"/>
      <c r="B179" s="1895"/>
      <c r="C179" s="577"/>
      <c r="D179" s="577"/>
      <c r="E179" s="577"/>
      <c r="F179" s="577"/>
      <c r="G179" s="577"/>
      <c r="H179" s="577"/>
      <c r="I179" s="577"/>
    </row>
    <row r="180" spans="1:9" ht="11.25" x14ac:dyDescent="0.2">
      <c r="A180" s="681"/>
      <c r="B180" s="1895"/>
      <c r="C180" s="577"/>
      <c r="D180" s="577"/>
      <c r="E180" s="577"/>
      <c r="F180" s="577"/>
      <c r="G180" s="577"/>
      <c r="H180" s="577"/>
      <c r="I180" s="577"/>
    </row>
    <row r="181" spans="1:9" ht="11.25" x14ac:dyDescent="0.2">
      <c r="A181" s="681"/>
      <c r="B181" s="1895"/>
      <c r="C181" s="577"/>
      <c r="D181" s="577"/>
      <c r="E181" s="577"/>
      <c r="F181" s="577"/>
      <c r="G181" s="577"/>
      <c r="H181" s="577"/>
      <c r="I181" s="577"/>
    </row>
    <row r="182" spans="1:9" ht="11.25" x14ac:dyDescent="0.2">
      <c r="A182" s="681"/>
      <c r="B182" s="1895"/>
      <c r="C182" s="577"/>
      <c r="D182" s="577"/>
      <c r="E182" s="577"/>
      <c r="F182" s="577"/>
      <c r="G182" s="577"/>
      <c r="H182" s="577"/>
      <c r="I182" s="577"/>
    </row>
    <row r="183" spans="1:9" ht="11.25" x14ac:dyDescent="0.2">
      <c r="A183" s="681"/>
      <c r="B183" s="1895"/>
      <c r="C183" s="577"/>
      <c r="D183" s="577"/>
      <c r="E183" s="577"/>
      <c r="F183" s="577"/>
      <c r="G183" s="577"/>
      <c r="H183" s="577"/>
      <c r="I183" s="577"/>
    </row>
    <row r="184" spans="1:9" ht="11.25" x14ac:dyDescent="0.2">
      <c r="A184" s="681"/>
      <c r="B184" s="1895"/>
      <c r="C184" s="577"/>
      <c r="D184" s="577"/>
      <c r="E184" s="577"/>
      <c r="F184" s="577"/>
      <c r="G184" s="577"/>
      <c r="H184" s="577"/>
      <c r="I184" s="577"/>
    </row>
    <row r="185" spans="1:9" ht="11.25" x14ac:dyDescent="0.2">
      <c r="A185" s="681"/>
      <c r="B185" s="1895"/>
      <c r="C185" s="577"/>
      <c r="D185" s="577"/>
      <c r="E185" s="577"/>
      <c r="F185" s="577"/>
      <c r="G185" s="577"/>
      <c r="H185" s="577"/>
      <c r="I185" s="577"/>
    </row>
    <row r="186" spans="1:9" ht="11.25" x14ac:dyDescent="0.2">
      <c r="A186" s="681"/>
      <c r="B186" s="1895"/>
      <c r="C186" s="577"/>
      <c r="D186" s="577"/>
      <c r="E186" s="577"/>
      <c r="F186" s="577"/>
      <c r="G186" s="577"/>
      <c r="H186" s="577"/>
      <c r="I186" s="577"/>
    </row>
    <row r="187" spans="1:9" ht="11.25" x14ac:dyDescent="0.2">
      <c r="A187" s="681"/>
      <c r="B187" s="1895"/>
      <c r="C187" s="577"/>
      <c r="D187" s="577"/>
      <c r="E187" s="577"/>
      <c r="F187" s="577"/>
      <c r="G187" s="577"/>
      <c r="H187" s="577"/>
      <c r="I187" s="577"/>
    </row>
    <row r="188" spans="1:9" ht="11.25" x14ac:dyDescent="0.2">
      <c r="A188" s="681"/>
      <c r="B188" s="1895"/>
      <c r="C188" s="577"/>
      <c r="D188" s="577"/>
      <c r="E188" s="577"/>
      <c r="F188" s="577"/>
      <c r="G188" s="577"/>
      <c r="H188" s="577"/>
      <c r="I188" s="577"/>
    </row>
    <row r="189" spans="1:9" ht="11.25" x14ac:dyDescent="0.2">
      <c r="A189" s="681"/>
      <c r="B189" s="1895"/>
      <c r="C189" s="577"/>
      <c r="D189" s="577"/>
      <c r="E189" s="577"/>
      <c r="F189" s="577"/>
      <c r="G189" s="577"/>
      <c r="H189" s="577"/>
      <c r="I189" s="577"/>
    </row>
    <row r="190" spans="1:9" ht="11.25" x14ac:dyDescent="0.2">
      <c r="A190" s="681"/>
      <c r="B190" s="1895"/>
      <c r="C190" s="577"/>
      <c r="D190" s="577"/>
      <c r="E190" s="577"/>
      <c r="F190" s="577"/>
      <c r="G190" s="577"/>
      <c r="H190" s="577"/>
      <c r="I190" s="577"/>
    </row>
    <row r="191" spans="1:9" ht="11.25" x14ac:dyDescent="0.2">
      <c r="A191" s="681"/>
      <c r="B191" s="1895"/>
      <c r="C191" s="577"/>
      <c r="D191" s="577"/>
      <c r="E191" s="577"/>
      <c r="F191" s="577"/>
      <c r="G191" s="577"/>
      <c r="H191" s="577"/>
      <c r="I191" s="577"/>
    </row>
    <row r="192" spans="1:9" ht="11.25" x14ac:dyDescent="0.2">
      <c r="A192" s="681"/>
      <c r="B192" s="1895"/>
      <c r="C192" s="577"/>
      <c r="D192" s="577"/>
      <c r="E192" s="577"/>
      <c r="F192" s="577"/>
      <c r="G192" s="577"/>
      <c r="H192" s="577"/>
      <c r="I192" s="577"/>
    </row>
    <row r="193" spans="1:9" ht="11.25" x14ac:dyDescent="0.2">
      <c r="A193" s="681"/>
      <c r="B193" s="1895"/>
      <c r="C193" s="577"/>
      <c r="D193" s="577"/>
      <c r="E193" s="577"/>
      <c r="F193" s="577"/>
      <c r="G193" s="577"/>
      <c r="H193" s="577"/>
      <c r="I193" s="577"/>
    </row>
    <row r="194" spans="1:9" ht="11.25" x14ac:dyDescent="0.2">
      <c r="A194" s="681"/>
      <c r="B194" s="1895"/>
      <c r="C194" s="577"/>
      <c r="D194" s="577"/>
      <c r="E194" s="577"/>
      <c r="F194" s="577"/>
      <c r="G194" s="577"/>
      <c r="H194" s="577"/>
      <c r="I194" s="577"/>
    </row>
    <row r="195" spans="1:9" ht="11.25" x14ac:dyDescent="0.2">
      <c r="A195" s="681"/>
      <c r="B195" s="1895"/>
      <c r="C195" s="577"/>
      <c r="D195" s="577"/>
      <c r="E195" s="577"/>
      <c r="F195" s="577"/>
      <c r="G195" s="577"/>
      <c r="H195" s="577"/>
      <c r="I195" s="577"/>
    </row>
    <row r="196" spans="1:9" ht="11.25" x14ac:dyDescent="0.2">
      <c r="A196" s="681"/>
      <c r="B196" s="1895"/>
      <c r="C196" s="577"/>
      <c r="D196" s="577"/>
      <c r="E196" s="577"/>
      <c r="F196" s="577"/>
      <c r="G196" s="577"/>
      <c r="H196" s="577"/>
      <c r="I196" s="577"/>
    </row>
    <row r="197" spans="1:9" ht="11.25" x14ac:dyDescent="0.2">
      <c r="A197" s="681"/>
      <c r="B197" s="1895"/>
      <c r="C197" s="577"/>
      <c r="D197" s="577"/>
      <c r="E197" s="577"/>
      <c r="F197" s="577"/>
      <c r="G197" s="577"/>
      <c r="H197" s="577"/>
      <c r="I197" s="577"/>
    </row>
    <row r="198" spans="1:9" ht="11.25" x14ac:dyDescent="0.2">
      <c r="A198" s="681"/>
      <c r="B198" s="1895"/>
      <c r="C198" s="577"/>
      <c r="D198" s="577"/>
      <c r="E198" s="577"/>
      <c r="F198" s="577"/>
      <c r="G198" s="577"/>
      <c r="H198" s="577"/>
      <c r="I198" s="577"/>
    </row>
    <row r="199" spans="1:9" ht="11.25" x14ac:dyDescent="0.2">
      <c r="A199" s="681"/>
      <c r="B199" s="1895"/>
      <c r="C199" s="577"/>
      <c r="D199" s="577"/>
      <c r="E199" s="577"/>
      <c r="F199" s="577"/>
      <c r="G199" s="577"/>
      <c r="H199" s="577"/>
      <c r="I199" s="577"/>
    </row>
    <row r="200" spans="1:9" ht="11.25" x14ac:dyDescent="0.2">
      <c r="A200" s="681"/>
      <c r="B200" s="1895"/>
      <c r="C200" s="577"/>
      <c r="D200" s="577"/>
      <c r="E200" s="577"/>
      <c r="F200" s="577"/>
      <c r="G200" s="577"/>
      <c r="H200" s="577"/>
      <c r="I200" s="577"/>
    </row>
    <row r="201" spans="1:9" ht="11.25" x14ac:dyDescent="0.2">
      <c r="A201" s="681"/>
      <c r="B201" s="1895"/>
      <c r="C201" s="577"/>
      <c r="D201" s="577"/>
      <c r="E201" s="577"/>
      <c r="F201" s="577"/>
      <c r="G201" s="577"/>
      <c r="H201" s="577"/>
      <c r="I201" s="577"/>
    </row>
    <row r="202" spans="1:9" ht="11.25" x14ac:dyDescent="0.2">
      <c r="A202" s="681"/>
      <c r="B202" s="1895"/>
      <c r="C202" s="577"/>
      <c r="D202" s="577"/>
      <c r="E202" s="577"/>
      <c r="F202" s="577"/>
      <c r="G202" s="577"/>
      <c r="H202" s="577"/>
      <c r="I202" s="577"/>
    </row>
    <row r="203" spans="1:9" ht="11.25" x14ac:dyDescent="0.2">
      <c r="A203" s="681"/>
      <c r="B203" s="1895"/>
      <c r="C203" s="577"/>
      <c r="D203" s="577"/>
      <c r="E203" s="577"/>
      <c r="F203" s="577"/>
      <c r="G203" s="577"/>
      <c r="H203" s="577"/>
      <c r="I203" s="577"/>
    </row>
    <row r="204" spans="1:9" ht="11.25" x14ac:dyDescent="0.2">
      <c r="A204" s="681"/>
      <c r="B204" s="1895"/>
      <c r="C204" s="577"/>
      <c r="D204" s="577"/>
      <c r="E204" s="577"/>
      <c r="F204" s="577"/>
      <c r="G204" s="577"/>
      <c r="H204" s="577"/>
      <c r="I204" s="577"/>
    </row>
    <row r="205" spans="1:9" ht="11.25" x14ac:dyDescent="0.2">
      <c r="A205" s="681"/>
      <c r="B205" s="1895"/>
      <c r="C205" s="577"/>
      <c r="D205" s="577"/>
      <c r="E205" s="577"/>
      <c r="F205" s="577"/>
      <c r="G205" s="577"/>
      <c r="H205" s="577"/>
      <c r="I205" s="577"/>
    </row>
    <row r="206" spans="1:9" ht="11.25" x14ac:dyDescent="0.2">
      <c r="A206" s="681"/>
      <c r="B206" s="1895"/>
      <c r="C206" s="577"/>
      <c r="D206" s="577"/>
      <c r="E206" s="577"/>
      <c r="F206" s="577"/>
      <c r="G206" s="577"/>
      <c r="H206" s="577"/>
      <c r="I206" s="577"/>
    </row>
    <row r="207" spans="1:9" ht="11.25" x14ac:dyDescent="0.2">
      <c r="A207" s="681"/>
      <c r="B207" s="1895"/>
      <c r="C207" s="577"/>
      <c r="D207" s="577"/>
      <c r="E207" s="577"/>
      <c r="F207" s="577"/>
      <c r="G207" s="577"/>
      <c r="H207" s="577"/>
      <c r="I207" s="577"/>
    </row>
    <row r="208" spans="1:9" ht="11.25" x14ac:dyDescent="0.2">
      <c r="A208" s="681"/>
      <c r="B208" s="1895"/>
      <c r="C208" s="577"/>
      <c r="D208" s="577"/>
      <c r="E208" s="577"/>
      <c r="F208" s="577"/>
      <c r="G208" s="577"/>
      <c r="H208" s="577"/>
      <c r="I208" s="577"/>
    </row>
    <row r="209" spans="1:9" ht="11.25" x14ac:dyDescent="0.2">
      <c r="A209" s="681"/>
      <c r="B209" s="1895"/>
      <c r="C209" s="577"/>
      <c r="D209" s="577"/>
      <c r="E209" s="577"/>
      <c r="F209" s="577"/>
      <c r="G209" s="577"/>
      <c r="H209" s="577"/>
      <c r="I209" s="577"/>
    </row>
    <row r="210" spans="1:9" ht="11.25" x14ac:dyDescent="0.2">
      <c r="A210" s="681"/>
      <c r="B210" s="1895"/>
      <c r="C210" s="577"/>
      <c r="D210" s="577"/>
      <c r="E210" s="577"/>
      <c r="F210" s="577"/>
      <c r="G210" s="577"/>
      <c r="H210" s="577"/>
      <c r="I210" s="577"/>
    </row>
    <row r="211" spans="1:9" ht="11.25" x14ac:dyDescent="0.2">
      <c r="A211" s="681"/>
      <c r="B211" s="1895"/>
      <c r="C211" s="577"/>
      <c r="D211" s="577"/>
      <c r="E211" s="577"/>
      <c r="F211" s="577"/>
      <c r="G211" s="577"/>
      <c r="H211" s="577"/>
      <c r="I211" s="577"/>
    </row>
    <row r="212" spans="1:9" ht="11.25" x14ac:dyDescent="0.2">
      <c r="A212" s="681"/>
      <c r="B212" s="1895"/>
      <c r="C212" s="577"/>
      <c r="D212" s="577"/>
      <c r="E212" s="577"/>
      <c r="F212" s="577"/>
      <c r="G212" s="577"/>
      <c r="H212" s="577"/>
      <c r="I212" s="577"/>
    </row>
    <row r="213" spans="1:9" ht="11.25" x14ac:dyDescent="0.2">
      <c r="A213" s="681"/>
      <c r="B213" s="1895"/>
      <c r="C213" s="577"/>
      <c r="D213" s="577"/>
      <c r="E213" s="577"/>
      <c r="F213" s="577"/>
      <c r="G213" s="577"/>
      <c r="H213" s="577"/>
      <c r="I213" s="577"/>
    </row>
    <row r="214" spans="1:9" ht="11.25" x14ac:dyDescent="0.2">
      <c r="A214" s="681"/>
      <c r="B214" s="1895"/>
      <c r="C214" s="577"/>
      <c r="D214" s="577"/>
      <c r="E214" s="577"/>
      <c r="F214" s="577"/>
      <c r="G214" s="577"/>
      <c r="H214" s="577"/>
      <c r="I214" s="577"/>
    </row>
    <row r="215" spans="1:9" ht="11.25" x14ac:dyDescent="0.2">
      <c r="A215" s="681"/>
      <c r="B215" s="1895"/>
      <c r="C215" s="577"/>
      <c r="D215" s="577"/>
      <c r="E215" s="577"/>
      <c r="F215" s="577"/>
      <c r="G215" s="577"/>
      <c r="H215" s="577"/>
      <c r="I215" s="577"/>
    </row>
    <row r="216" spans="1:9" ht="11.25" x14ac:dyDescent="0.2">
      <c r="A216" s="681"/>
      <c r="B216" s="1895"/>
      <c r="C216" s="577"/>
      <c r="D216" s="577"/>
      <c r="E216" s="577"/>
      <c r="F216" s="577"/>
      <c r="G216" s="577"/>
      <c r="H216" s="577"/>
      <c r="I216" s="577"/>
    </row>
    <row r="217" spans="1:9" ht="11.25" x14ac:dyDescent="0.2">
      <c r="A217" s="681"/>
      <c r="B217" s="1895"/>
      <c r="C217" s="577"/>
      <c r="D217" s="577"/>
      <c r="E217" s="577"/>
      <c r="F217" s="577"/>
      <c r="G217" s="577"/>
      <c r="H217" s="577"/>
      <c r="I217" s="577"/>
    </row>
    <row r="218" spans="1:9" ht="11.25" x14ac:dyDescent="0.2">
      <c r="A218" s="681"/>
      <c r="B218" s="1895"/>
      <c r="C218" s="577"/>
      <c r="D218" s="577"/>
      <c r="E218" s="577"/>
      <c r="F218" s="577"/>
      <c r="G218" s="577"/>
      <c r="H218" s="577"/>
      <c r="I218" s="577"/>
    </row>
    <row r="219" spans="1:9" ht="11.25" x14ac:dyDescent="0.2">
      <c r="A219" s="681"/>
      <c r="B219" s="1895"/>
      <c r="C219" s="577"/>
      <c r="D219" s="577"/>
      <c r="E219" s="577"/>
      <c r="F219" s="577"/>
      <c r="G219" s="577"/>
      <c r="H219" s="577"/>
      <c r="I219" s="577"/>
    </row>
    <row r="220" spans="1:9" ht="11.25" x14ac:dyDescent="0.2">
      <c r="A220" s="681"/>
      <c r="B220" s="1895"/>
      <c r="C220" s="577"/>
      <c r="D220" s="577"/>
      <c r="E220" s="577"/>
      <c r="F220" s="577"/>
      <c r="G220" s="577"/>
      <c r="H220" s="577"/>
      <c r="I220" s="577"/>
    </row>
    <row r="221" spans="1:9" ht="11.25" x14ac:dyDescent="0.2">
      <c r="A221" s="681"/>
      <c r="B221" s="1895"/>
      <c r="C221" s="577"/>
      <c r="D221" s="577"/>
      <c r="E221" s="577"/>
      <c r="F221" s="577"/>
      <c r="G221" s="577"/>
      <c r="H221" s="577"/>
      <c r="I221" s="577"/>
    </row>
    <row r="222" spans="1:9" ht="11.25" x14ac:dyDescent="0.2">
      <c r="A222" s="681"/>
      <c r="B222" s="1895"/>
      <c r="C222" s="577"/>
      <c r="D222" s="577"/>
      <c r="E222" s="577"/>
      <c r="F222" s="577"/>
      <c r="G222" s="577"/>
      <c r="H222" s="577"/>
      <c r="I222" s="577"/>
    </row>
    <row r="223" spans="1:9" ht="11.25" x14ac:dyDescent="0.2">
      <c r="A223" s="681"/>
      <c r="B223" s="1895"/>
      <c r="C223" s="577"/>
      <c r="D223" s="577"/>
      <c r="E223" s="577"/>
      <c r="F223" s="577"/>
      <c r="G223" s="577"/>
      <c r="H223" s="577"/>
      <c r="I223" s="577"/>
    </row>
    <row r="224" spans="1:9" ht="11.25" x14ac:dyDescent="0.2">
      <c r="A224" s="681"/>
      <c r="B224" s="1895"/>
      <c r="C224" s="577"/>
      <c r="D224" s="577"/>
      <c r="E224" s="577"/>
      <c r="F224" s="577"/>
      <c r="G224" s="577"/>
      <c r="H224" s="577"/>
      <c r="I224" s="577"/>
    </row>
    <row r="225" spans="1:9" ht="11.25" x14ac:dyDescent="0.2">
      <c r="A225" s="681"/>
      <c r="B225" s="1895"/>
      <c r="C225" s="577"/>
      <c r="D225" s="577"/>
      <c r="E225" s="577"/>
      <c r="F225" s="577"/>
      <c r="G225" s="577"/>
      <c r="H225" s="577"/>
      <c r="I225" s="577"/>
    </row>
    <row r="226" spans="1:9" ht="11.25" x14ac:dyDescent="0.2">
      <c r="A226" s="681"/>
      <c r="B226" s="1895"/>
      <c r="C226" s="577"/>
      <c r="D226" s="577"/>
      <c r="E226" s="577"/>
      <c r="F226" s="577"/>
      <c r="G226" s="577"/>
      <c r="H226" s="577"/>
      <c r="I226" s="577"/>
    </row>
    <row r="227" spans="1:9" ht="11.25" x14ac:dyDescent="0.2">
      <c r="A227" s="681"/>
      <c r="B227" s="1895"/>
      <c r="C227" s="577"/>
      <c r="D227" s="577"/>
      <c r="E227" s="577"/>
      <c r="F227" s="577"/>
      <c r="G227" s="577"/>
      <c r="H227" s="577"/>
      <c r="I227" s="577"/>
    </row>
    <row r="228" spans="1:9" ht="11.25" x14ac:dyDescent="0.2">
      <c r="A228" s="681"/>
      <c r="B228" s="1895"/>
      <c r="C228" s="577"/>
      <c r="D228" s="577"/>
      <c r="E228" s="577"/>
      <c r="F228" s="577"/>
      <c r="G228" s="577"/>
      <c r="H228" s="577"/>
      <c r="I228" s="577"/>
    </row>
    <row r="229" spans="1:9" ht="11.25" x14ac:dyDescent="0.2">
      <c r="A229" s="681"/>
      <c r="B229" s="1895"/>
      <c r="C229" s="577"/>
      <c r="D229" s="577"/>
      <c r="E229" s="577"/>
      <c r="F229" s="577"/>
      <c r="G229" s="577"/>
      <c r="H229" s="577"/>
      <c r="I229" s="577"/>
    </row>
    <row r="230" spans="1:9" ht="11.25" x14ac:dyDescent="0.2">
      <c r="A230" s="681"/>
      <c r="B230" s="1895"/>
      <c r="C230" s="577"/>
      <c r="D230" s="577"/>
      <c r="E230" s="577"/>
      <c r="F230" s="577"/>
      <c r="G230" s="577"/>
      <c r="H230" s="577"/>
      <c r="I230" s="577"/>
    </row>
    <row r="231" spans="1:9" ht="11.25" x14ac:dyDescent="0.2">
      <c r="A231" s="681"/>
      <c r="B231" s="1895"/>
      <c r="C231" s="577"/>
      <c r="D231" s="577"/>
      <c r="E231" s="577"/>
      <c r="F231" s="577"/>
      <c r="G231" s="577"/>
      <c r="H231" s="577"/>
      <c r="I231" s="577"/>
    </row>
    <row r="232" spans="1:9" ht="11.25" x14ac:dyDescent="0.2">
      <c r="A232" s="681"/>
      <c r="B232" s="1895"/>
      <c r="C232" s="577"/>
      <c r="D232" s="577"/>
      <c r="E232" s="577"/>
      <c r="F232" s="577"/>
      <c r="G232" s="577"/>
      <c r="H232" s="577"/>
      <c r="I232" s="577"/>
    </row>
    <row r="233" spans="1:9" ht="11.25" x14ac:dyDescent="0.2">
      <c r="A233" s="681"/>
      <c r="B233" s="1895"/>
      <c r="C233" s="577"/>
      <c r="D233" s="577"/>
      <c r="E233" s="577"/>
      <c r="F233" s="577"/>
      <c r="G233" s="577"/>
      <c r="H233" s="577"/>
      <c r="I233" s="577"/>
    </row>
    <row r="234" spans="1:9" ht="11.25" x14ac:dyDescent="0.2">
      <c r="A234" s="681"/>
      <c r="B234" s="1895"/>
      <c r="C234" s="577"/>
      <c r="D234" s="577"/>
      <c r="E234" s="577"/>
      <c r="F234" s="577"/>
      <c r="G234" s="577"/>
      <c r="H234" s="577"/>
      <c r="I234" s="577"/>
    </row>
    <row r="235" spans="1:9" ht="11.25" x14ac:dyDescent="0.2">
      <c r="A235" s="681"/>
      <c r="B235" s="1895"/>
      <c r="C235" s="577"/>
      <c r="D235" s="577"/>
      <c r="E235" s="577"/>
      <c r="F235" s="577"/>
      <c r="G235" s="577"/>
      <c r="H235" s="577"/>
      <c r="I235" s="577"/>
    </row>
    <row r="236" spans="1:9" ht="11.25" x14ac:dyDescent="0.2">
      <c r="A236" s="681"/>
      <c r="B236" s="1895"/>
      <c r="C236" s="577"/>
      <c r="D236" s="577"/>
      <c r="E236" s="577"/>
      <c r="F236" s="577"/>
      <c r="G236" s="577"/>
      <c r="H236" s="577"/>
      <c r="I236" s="577"/>
    </row>
    <row r="237" spans="1:9" ht="11.25" x14ac:dyDescent="0.2">
      <c r="A237" s="681"/>
      <c r="B237" s="1895"/>
      <c r="C237" s="577"/>
      <c r="D237" s="577"/>
      <c r="E237" s="577"/>
      <c r="F237" s="577"/>
      <c r="G237" s="577"/>
      <c r="H237" s="577"/>
      <c r="I237" s="577"/>
    </row>
    <row r="238" spans="1:9" ht="11.25" x14ac:dyDescent="0.2">
      <c r="A238" s="681"/>
      <c r="B238" s="1895"/>
      <c r="C238" s="577"/>
      <c r="D238" s="577"/>
      <c r="E238" s="577"/>
      <c r="F238" s="577"/>
      <c r="G238" s="577"/>
      <c r="H238" s="577"/>
      <c r="I238" s="577"/>
    </row>
    <row r="239" spans="1:9" ht="11.25" x14ac:dyDescent="0.2">
      <c r="A239" s="681"/>
      <c r="B239" s="1895"/>
      <c r="C239" s="577"/>
      <c r="D239" s="577"/>
      <c r="E239" s="577"/>
      <c r="F239" s="577"/>
      <c r="G239" s="577"/>
      <c r="H239" s="577"/>
      <c r="I239" s="577"/>
    </row>
    <row r="240" spans="1:9" ht="11.25" x14ac:dyDescent="0.2">
      <c r="A240" s="681"/>
      <c r="B240" s="1895"/>
      <c r="C240" s="577"/>
      <c r="D240" s="577"/>
      <c r="E240" s="577"/>
      <c r="F240" s="577"/>
      <c r="G240" s="577"/>
      <c r="H240" s="577"/>
      <c r="I240" s="577"/>
    </row>
    <row r="241" spans="1:9" ht="11.25" x14ac:dyDescent="0.2">
      <c r="A241" s="681"/>
      <c r="B241" s="1895"/>
      <c r="C241" s="577"/>
      <c r="D241" s="577"/>
      <c r="E241" s="577"/>
      <c r="F241" s="577"/>
      <c r="G241" s="577"/>
      <c r="H241" s="577"/>
      <c r="I241" s="577"/>
    </row>
    <row r="242" spans="1:9" ht="11.25" x14ac:dyDescent="0.2">
      <c r="A242" s="681"/>
      <c r="B242" s="1895"/>
      <c r="C242" s="577"/>
      <c r="D242" s="577"/>
      <c r="E242" s="577"/>
      <c r="F242" s="577"/>
      <c r="G242" s="577"/>
      <c r="H242" s="577"/>
      <c r="I242" s="577"/>
    </row>
    <row r="243" spans="1:9" ht="11.25" x14ac:dyDescent="0.2">
      <c r="A243" s="681"/>
      <c r="B243" s="1895"/>
      <c r="C243" s="577"/>
      <c r="D243" s="577"/>
      <c r="E243" s="577"/>
      <c r="F243" s="577"/>
      <c r="G243" s="577"/>
      <c r="H243" s="577"/>
      <c r="I243" s="577"/>
    </row>
    <row r="244" spans="1:9" ht="11.25" x14ac:dyDescent="0.2">
      <c r="A244" s="681"/>
      <c r="B244" s="1895"/>
      <c r="C244" s="577"/>
      <c r="D244" s="577"/>
      <c r="E244" s="577"/>
      <c r="F244" s="577"/>
      <c r="G244" s="577"/>
      <c r="H244" s="577"/>
      <c r="I244" s="577"/>
    </row>
    <row r="245" spans="1:9" ht="11.25" x14ac:dyDescent="0.2">
      <c r="A245" s="681"/>
      <c r="B245" s="1895"/>
      <c r="C245" s="577"/>
      <c r="D245" s="577"/>
      <c r="E245" s="577"/>
      <c r="F245" s="577"/>
      <c r="G245" s="577"/>
      <c r="H245" s="577"/>
      <c r="I245" s="577"/>
    </row>
    <row r="246" spans="1:9" ht="11.25" x14ac:dyDescent="0.2">
      <c r="A246" s="681"/>
      <c r="B246" s="1895"/>
      <c r="C246" s="577"/>
      <c r="D246" s="577"/>
      <c r="E246" s="577"/>
      <c r="F246" s="577"/>
      <c r="G246" s="577"/>
      <c r="H246" s="577"/>
      <c r="I246" s="577"/>
    </row>
    <row r="247" spans="1:9" ht="11.25" x14ac:dyDescent="0.2">
      <c r="A247" s="681"/>
      <c r="B247" s="1895"/>
      <c r="C247" s="577"/>
      <c r="D247" s="577"/>
      <c r="E247" s="577"/>
      <c r="F247" s="577"/>
      <c r="G247" s="577"/>
      <c r="H247" s="577"/>
      <c r="I247" s="577"/>
    </row>
    <row r="248" spans="1:9" ht="11.25" x14ac:dyDescent="0.2">
      <c r="A248" s="681"/>
      <c r="B248" s="1895"/>
      <c r="C248" s="577"/>
      <c r="D248" s="577"/>
      <c r="E248" s="577"/>
      <c r="F248" s="577"/>
      <c r="G248" s="577"/>
      <c r="H248" s="577"/>
      <c r="I248" s="577"/>
    </row>
    <row r="249" spans="1:9" ht="11.25" x14ac:dyDescent="0.2">
      <c r="A249" s="681"/>
      <c r="B249" s="1895"/>
      <c r="C249" s="577"/>
      <c r="D249" s="577"/>
      <c r="E249" s="577"/>
      <c r="F249" s="577"/>
      <c r="G249" s="577"/>
      <c r="H249" s="577"/>
      <c r="I249" s="577"/>
    </row>
    <row r="250" spans="1:9" ht="11.25" x14ac:dyDescent="0.2">
      <c r="A250" s="681"/>
      <c r="B250" s="1895"/>
      <c r="C250" s="577"/>
      <c r="D250" s="577"/>
      <c r="E250" s="577"/>
      <c r="F250" s="577"/>
      <c r="G250" s="577"/>
      <c r="H250" s="577"/>
      <c r="I250" s="577"/>
    </row>
    <row r="251" spans="1:9" ht="11.25" x14ac:dyDescent="0.2">
      <c r="A251" s="681"/>
      <c r="B251" s="1895"/>
      <c r="C251" s="577"/>
      <c r="D251" s="577"/>
      <c r="E251" s="577"/>
      <c r="F251" s="577"/>
      <c r="G251" s="577"/>
      <c r="H251" s="577"/>
      <c r="I251" s="577"/>
    </row>
    <row r="252" spans="1:9" ht="11.25" x14ac:dyDescent="0.2">
      <c r="A252" s="681"/>
      <c r="B252" s="1895"/>
      <c r="C252" s="577"/>
      <c r="D252" s="577"/>
      <c r="E252" s="577"/>
      <c r="F252" s="577"/>
      <c r="G252" s="577"/>
      <c r="H252" s="577"/>
      <c r="I252" s="577"/>
    </row>
    <row r="253" spans="1:9" ht="11.25" x14ac:dyDescent="0.2">
      <c r="A253" s="681"/>
      <c r="B253" s="1895"/>
      <c r="C253" s="577"/>
      <c r="D253" s="577"/>
      <c r="E253" s="577"/>
      <c r="F253" s="577"/>
      <c r="G253" s="577"/>
      <c r="H253" s="577"/>
      <c r="I253" s="577"/>
    </row>
    <row r="254" spans="1:9" ht="11.25" x14ac:dyDescent="0.2">
      <c r="A254" s="681"/>
      <c r="B254" s="1895"/>
      <c r="C254" s="577"/>
      <c r="D254" s="577"/>
      <c r="E254" s="577"/>
      <c r="F254" s="577"/>
      <c r="G254" s="577"/>
      <c r="H254" s="577"/>
      <c r="I254" s="577"/>
    </row>
    <row r="255" spans="1:9" ht="11.25" x14ac:dyDescent="0.2">
      <c r="A255" s="681"/>
      <c r="B255" s="1895"/>
      <c r="C255" s="577"/>
      <c r="D255" s="577"/>
      <c r="E255" s="577"/>
      <c r="F255" s="577"/>
      <c r="G255" s="577"/>
      <c r="H255" s="577"/>
      <c r="I255" s="577"/>
    </row>
    <row r="256" spans="1:9" ht="11.25" x14ac:dyDescent="0.2">
      <c r="A256" s="681"/>
      <c r="B256" s="1895"/>
      <c r="C256" s="577"/>
      <c r="D256" s="577"/>
      <c r="E256" s="577"/>
      <c r="F256" s="577"/>
      <c r="G256" s="577"/>
      <c r="H256" s="577"/>
      <c r="I256" s="577"/>
    </row>
    <row r="257" spans="1:9" ht="11.25" x14ac:dyDescent="0.2">
      <c r="A257" s="681"/>
      <c r="B257" s="1895"/>
      <c r="C257" s="577"/>
      <c r="D257" s="577"/>
      <c r="E257" s="577"/>
      <c r="F257" s="577"/>
      <c r="G257" s="577"/>
      <c r="H257" s="577"/>
      <c r="I257" s="577"/>
    </row>
    <row r="258" spans="1:9" ht="11.25" x14ac:dyDescent="0.2">
      <c r="A258" s="681"/>
      <c r="B258" s="1895"/>
      <c r="C258" s="577"/>
      <c r="D258" s="577"/>
      <c r="E258" s="577"/>
      <c r="F258" s="577"/>
      <c r="G258" s="577"/>
      <c r="H258" s="577"/>
      <c r="I258" s="577"/>
    </row>
    <row r="259" spans="1:9" ht="11.25" x14ac:dyDescent="0.2">
      <c r="A259" s="681"/>
      <c r="B259" s="1895"/>
      <c r="C259" s="577"/>
      <c r="D259" s="577"/>
      <c r="E259" s="577"/>
      <c r="F259" s="577"/>
      <c r="G259" s="577"/>
      <c r="H259" s="577"/>
      <c r="I259" s="577"/>
    </row>
    <row r="260" spans="1:9" ht="11.25" x14ac:dyDescent="0.2">
      <c r="A260" s="681"/>
      <c r="B260" s="1895"/>
      <c r="C260" s="577"/>
      <c r="D260" s="577"/>
      <c r="E260" s="577"/>
      <c r="F260" s="577"/>
      <c r="G260" s="577"/>
      <c r="H260" s="577"/>
      <c r="I260" s="577"/>
    </row>
    <row r="261" spans="1:9" ht="11.25" x14ac:dyDescent="0.2">
      <c r="A261" s="681"/>
      <c r="B261" s="1895"/>
      <c r="C261" s="577"/>
      <c r="D261" s="577"/>
      <c r="E261" s="577"/>
      <c r="F261" s="577"/>
      <c r="G261" s="577"/>
      <c r="H261" s="577"/>
      <c r="I261" s="577"/>
    </row>
    <row r="262" spans="1:9" ht="11.25" x14ac:dyDescent="0.2">
      <c r="A262" s="681"/>
      <c r="B262" s="1895"/>
      <c r="C262" s="577"/>
      <c r="D262" s="577"/>
      <c r="E262" s="577"/>
      <c r="F262" s="577"/>
      <c r="G262" s="577"/>
      <c r="H262" s="577"/>
      <c r="I262" s="577"/>
    </row>
    <row r="263" spans="1:9" ht="11.25" x14ac:dyDescent="0.2">
      <c r="A263" s="681"/>
      <c r="B263" s="1895"/>
      <c r="C263" s="577"/>
      <c r="D263" s="577"/>
      <c r="E263" s="577"/>
      <c r="F263" s="577"/>
      <c r="G263" s="577"/>
      <c r="H263" s="577"/>
      <c r="I263" s="577"/>
    </row>
    <row r="264" spans="1:9" ht="11.25" x14ac:dyDescent="0.2">
      <c r="A264" s="681"/>
      <c r="B264" s="1895"/>
      <c r="C264" s="577"/>
      <c r="D264" s="577"/>
      <c r="E264" s="577"/>
      <c r="F264" s="577"/>
      <c r="G264" s="577"/>
      <c r="H264" s="577"/>
      <c r="I264" s="577"/>
    </row>
    <row r="265" spans="1:9" ht="11.25" x14ac:dyDescent="0.2">
      <c r="A265" s="681"/>
      <c r="B265" s="1895"/>
      <c r="C265" s="577"/>
      <c r="D265" s="577"/>
      <c r="E265" s="577"/>
      <c r="F265" s="577"/>
      <c r="G265" s="577"/>
      <c r="H265" s="577"/>
      <c r="I265" s="577"/>
    </row>
  </sheetData>
  <mergeCells count="8">
    <mergeCell ref="A79:G79"/>
    <mergeCell ref="A80:G80"/>
    <mergeCell ref="A1:G1"/>
    <mergeCell ref="A2:G2"/>
    <mergeCell ref="A3:G3"/>
    <mergeCell ref="A4:G4"/>
    <mergeCell ref="A77:G77"/>
    <mergeCell ref="A78:G78"/>
  </mergeCells>
  <phoneticPr fontId="0" type="noConversion"/>
  <printOptions horizontalCentered="1"/>
  <pageMargins left="0.5" right="0.25" top="0.75" bottom="0.25" header="0.5" footer="0.5"/>
  <pageSetup scale="75" orientation="portrait" r:id="rId1"/>
  <headerFooter alignWithMargins="0"/>
  <rowBreaks count="1" manualBreakCount="1">
    <brk id="75" max="16383" man="1"/>
  </rowBreaks>
  <ignoredErrors>
    <ignoredError sqref="A12:G14 A76:G81 B16:C38 G16:G38 B15:G15 B39:G42 B74:G75 B43:C73 G43:G73 A83:G89 A82:F82 B97:G99 A90:C90 G90 B91:C96 G91:G96 B106:G108 B100:C105 G100:G105 B127:G129 B109:C126 G109:G126 B140:G144 B130:C139 G130:G139" numberStoredAsText="1"/>
    <ignoredError sqref="D16:F38 A16:A38 A39:A75 A15 D43:F73 G82 A91:A144 D91:F96 D90:F90 D100:F105 D109:F126 D130:F139" numberStoredAsText="1" unlockedFormula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U115"/>
  <sheetViews>
    <sheetView zoomScale="90" zoomScaleNormal="90" zoomScaleSheetLayoutView="70" workbookViewId="0">
      <pane xSplit="3" ySplit="10" topLeftCell="D11" activePane="bottomRight" state="frozen"/>
      <selection activeCell="E61" sqref="E61"/>
      <selection pane="topRight" activeCell="E61" sqref="E61"/>
      <selection pane="bottomLeft" activeCell="E61" sqref="E61"/>
      <selection pane="bottomRight" activeCell="K40" sqref="K40"/>
    </sheetView>
  </sheetViews>
  <sheetFormatPr defaultColWidth="9.33203125" defaultRowHeight="12" x14ac:dyDescent="0.2"/>
  <cols>
    <col min="1" max="1" width="4.1640625" style="683" customWidth="1"/>
    <col min="2" max="2" width="14" style="683" bestFit="1" customWidth="1"/>
    <col min="3" max="3" width="58.83203125" style="683" customWidth="1"/>
    <col min="4" max="4" width="14.33203125" style="683" customWidth="1"/>
    <col min="5" max="5" width="12.5" style="683" customWidth="1"/>
    <col min="6" max="6" width="13" style="683" customWidth="1"/>
    <col min="7" max="7" width="12.83203125" style="683" customWidth="1"/>
    <col min="8" max="9" width="12.5" style="683" customWidth="1"/>
    <col min="10" max="10" width="12.6640625" style="683" customWidth="1"/>
    <col min="11" max="11" width="12.83203125" style="683" customWidth="1"/>
    <col min="12" max="12" width="12.83203125" style="683" bestFit="1" customWidth="1"/>
    <col min="13" max="13" width="12.6640625" style="683" customWidth="1"/>
    <col min="14" max="14" width="12.83203125" style="683" customWidth="1"/>
    <col min="15" max="15" width="12.6640625" style="683" customWidth="1"/>
    <col min="16" max="16" width="15.5" style="683" customWidth="1"/>
    <col min="17" max="17" width="2.1640625" style="683" customWidth="1"/>
    <col min="18" max="18" width="9.33203125" style="689"/>
    <col min="19" max="16384" width="9.33203125" style="683"/>
  </cols>
  <sheetData>
    <row r="1" spans="1:21" x14ac:dyDescent="0.2">
      <c r="A1" s="2134" t="s">
        <v>624</v>
      </c>
      <c r="B1" s="2134"/>
      <c r="C1" s="2135"/>
      <c r="D1" s="2135"/>
      <c r="E1" s="2135"/>
      <c r="F1" s="2135"/>
      <c r="G1" s="2135"/>
      <c r="H1" s="2135"/>
      <c r="I1" s="2135"/>
      <c r="J1" s="2135"/>
      <c r="K1" s="2135"/>
      <c r="L1" s="2135"/>
      <c r="M1" s="2135"/>
      <c r="N1" s="2135"/>
      <c r="O1" s="2135"/>
      <c r="P1" s="2135"/>
    </row>
    <row r="2" spans="1:21" x14ac:dyDescent="0.2">
      <c r="A2" s="2132" t="str">
        <f>case</f>
        <v>CASE NO. 2016 - 00162</v>
      </c>
      <c r="B2" s="2132"/>
      <c r="C2" s="2133"/>
      <c r="D2" s="2133"/>
      <c r="E2" s="2133"/>
      <c r="F2" s="2133"/>
      <c r="G2" s="2133"/>
      <c r="H2" s="2133"/>
      <c r="I2" s="2133"/>
      <c r="J2" s="2133"/>
      <c r="K2" s="2133"/>
      <c r="L2" s="2133"/>
      <c r="M2" s="2133"/>
      <c r="N2" s="2133"/>
      <c r="O2" s="2133"/>
      <c r="P2" s="2133"/>
    </row>
    <row r="3" spans="1:21" x14ac:dyDescent="0.2">
      <c r="A3" s="2134" t="s">
        <v>1515</v>
      </c>
      <c r="B3" s="2134"/>
      <c r="C3" s="2135"/>
      <c r="D3" s="2135"/>
      <c r="E3" s="2135"/>
      <c r="F3" s="2135"/>
      <c r="G3" s="2135"/>
      <c r="H3" s="2135"/>
      <c r="I3" s="2135"/>
      <c r="J3" s="2135"/>
      <c r="K3" s="2135"/>
      <c r="L3" s="2135"/>
      <c r="M3" s="2135"/>
      <c r="N3" s="2135"/>
      <c r="O3" s="2135"/>
      <c r="P3" s="2135"/>
    </row>
    <row r="4" spans="1:21" x14ac:dyDescent="0.2">
      <c r="A4" s="2136" t="s">
        <v>1984</v>
      </c>
      <c r="B4" s="2136"/>
      <c r="C4" s="2137"/>
      <c r="D4" s="2137"/>
      <c r="E4" s="2137"/>
      <c r="F4" s="2137"/>
      <c r="G4" s="2137"/>
      <c r="H4" s="2137"/>
      <c r="I4" s="2137"/>
      <c r="J4" s="2137"/>
      <c r="K4" s="2137"/>
      <c r="L4" s="2137"/>
      <c r="M4" s="2137"/>
      <c r="N4" s="2137"/>
      <c r="O4" s="2137"/>
      <c r="P4" s="2137"/>
    </row>
    <row r="5" spans="1:21" x14ac:dyDescent="0.2">
      <c r="A5" s="686"/>
      <c r="B5" s="686"/>
      <c r="C5" s="686"/>
      <c r="D5" s="687"/>
      <c r="E5" s="686"/>
      <c r="F5" s="686"/>
      <c r="G5" s="686"/>
      <c r="H5" s="688"/>
      <c r="I5" s="686"/>
      <c r="J5" s="686"/>
      <c r="K5" s="686"/>
      <c r="L5" s="686"/>
      <c r="M5" s="686"/>
      <c r="N5" s="686"/>
      <c r="O5" s="686"/>
      <c r="P5" s="686"/>
      <c r="S5" s="689"/>
      <c r="T5" s="689"/>
      <c r="U5" s="689"/>
    </row>
    <row r="6" spans="1:21" ht="12" customHeight="1" x14ac:dyDescent="0.2">
      <c r="A6" s="690" t="s">
        <v>976</v>
      </c>
      <c r="B6" s="690"/>
      <c r="C6" s="686"/>
      <c r="D6" s="686"/>
      <c r="E6" s="686"/>
      <c r="F6" s="686"/>
      <c r="G6" s="686"/>
      <c r="H6" s="686"/>
      <c r="I6" s="686"/>
      <c r="J6" s="686"/>
      <c r="K6" s="686"/>
      <c r="L6" s="686"/>
      <c r="M6" s="686"/>
      <c r="N6" s="691"/>
      <c r="O6" s="686"/>
      <c r="P6" s="692" t="s">
        <v>1516</v>
      </c>
      <c r="R6" s="693"/>
      <c r="S6" s="693"/>
      <c r="T6" s="693"/>
      <c r="U6" s="689"/>
    </row>
    <row r="7" spans="1:21" x14ac:dyDescent="0.2">
      <c r="A7" s="690" t="s">
        <v>977</v>
      </c>
      <c r="B7" s="690"/>
      <c r="C7" s="686"/>
      <c r="D7" s="686"/>
      <c r="E7" s="686"/>
      <c r="F7" s="686"/>
      <c r="G7" s="686"/>
      <c r="H7" s="686"/>
      <c r="I7" s="686"/>
      <c r="J7" s="686"/>
      <c r="K7" s="686"/>
      <c r="L7" s="686"/>
      <c r="M7" s="686"/>
      <c r="N7" s="691"/>
      <c r="O7" s="686"/>
      <c r="P7" s="692" t="s">
        <v>1517</v>
      </c>
      <c r="R7" s="693"/>
      <c r="S7" s="693"/>
      <c r="T7" s="693"/>
      <c r="U7" s="689"/>
    </row>
    <row r="8" spans="1:21" x14ac:dyDescent="0.2">
      <c r="A8" s="694" t="s">
        <v>996</v>
      </c>
      <c r="B8" s="694"/>
      <c r="C8" s="695"/>
      <c r="D8" s="695"/>
      <c r="E8" s="695"/>
      <c r="F8" s="695"/>
      <c r="G8" s="695"/>
      <c r="H8" s="695"/>
      <c r="I8" s="695"/>
      <c r="J8" s="695"/>
      <c r="K8" s="695"/>
      <c r="L8" s="695"/>
      <c r="M8" s="695"/>
      <c r="N8" s="696"/>
      <c r="O8" s="695"/>
      <c r="P8" s="1813" t="str">
        <f>JTC</f>
        <v>WITNESS:  J. T. CROOM</v>
      </c>
      <c r="R8" s="693"/>
      <c r="S8" s="693"/>
      <c r="T8" s="693"/>
      <c r="U8" s="689"/>
    </row>
    <row r="9" spans="1:21" x14ac:dyDescent="0.2">
      <c r="A9" s="698" t="s">
        <v>1080</v>
      </c>
      <c r="B9" s="699"/>
      <c r="C9" s="699"/>
      <c r="D9" s="700" t="s">
        <v>1104</v>
      </c>
      <c r="E9" s="700" t="s">
        <v>1104</v>
      </c>
      <c r="F9" s="700" t="s">
        <v>1104</v>
      </c>
      <c r="G9" s="700" t="s">
        <v>1104</v>
      </c>
      <c r="H9" s="700" t="s">
        <v>1104</v>
      </c>
      <c r="I9" s="700" t="s">
        <v>1104</v>
      </c>
      <c r="J9" s="701" t="s">
        <v>1598</v>
      </c>
      <c r="K9" s="701" t="s">
        <v>1598</v>
      </c>
      <c r="L9" s="701" t="s">
        <v>1598</v>
      </c>
      <c r="M9" s="701" t="s">
        <v>1598</v>
      </c>
      <c r="N9" s="701" t="s">
        <v>1598</v>
      </c>
      <c r="O9" s="701" t="s">
        <v>1598</v>
      </c>
      <c r="P9" s="686"/>
      <c r="R9" s="693"/>
      <c r="S9" s="693"/>
      <c r="T9" s="693"/>
      <c r="U9" s="689"/>
    </row>
    <row r="10" spans="1:21" s="689" customFormat="1" x14ac:dyDescent="0.2">
      <c r="A10" s="1759" t="s">
        <v>1081</v>
      </c>
      <c r="B10" s="1759" t="s">
        <v>1518</v>
      </c>
      <c r="C10" s="1759" t="s">
        <v>1519</v>
      </c>
      <c r="D10" s="703" t="s">
        <v>1520</v>
      </c>
      <c r="E10" s="703" t="s">
        <v>1521</v>
      </c>
      <c r="F10" s="703" t="s">
        <v>1522</v>
      </c>
      <c r="G10" s="703" t="s">
        <v>1523</v>
      </c>
      <c r="H10" s="703" t="s">
        <v>1524</v>
      </c>
      <c r="I10" s="703" t="s">
        <v>1525</v>
      </c>
      <c r="J10" s="703" t="s">
        <v>1526</v>
      </c>
      <c r="K10" s="703" t="s">
        <v>1527</v>
      </c>
      <c r="L10" s="703" t="s">
        <v>1528</v>
      </c>
      <c r="M10" s="703" t="s">
        <v>1529</v>
      </c>
      <c r="N10" s="703" t="s">
        <v>1530</v>
      </c>
      <c r="O10" s="1758" t="s">
        <v>2048</v>
      </c>
      <c r="P10" s="1760" t="s">
        <v>670</v>
      </c>
      <c r="R10" s="693"/>
      <c r="S10" s="693"/>
      <c r="T10" s="693"/>
    </row>
    <row r="11" spans="1:21" x14ac:dyDescent="0.2">
      <c r="A11" s="705"/>
      <c r="B11" s="686"/>
      <c r="C11" s="686"/>
      <c r="D11" s="706" t="s">
        <v>639</v>
      </c>
      <c r="E11" s="706" t="s">
        <v>639</v>
      </c>
      <c r="F11" s="706" t="s">
        <v>639</v>
      </c>
      <c r="G11" s="706" t="s">
        <v>639</v>
      </c>
      <c r="H11" s="706" t="s">
        <v>639</v>
      </c>
      <c r="I11" s="706" t="s">
        <v>639</v>
      </c>
      <c r="J11" s="706" t="s">
        <v>639</v>
      </c>
      <c r="K11" s="706" t="s">
        <v>639</v>
      </c>
      <c r="L11" s="706" t="s">
        <v>639</v>
      </c>
      <c r="M11" s="706" t="s">
        <v>639</v>
      </c>
      <c r="N11" s="706" t="s">
        <v>639</v>
      </c>
      <c r="O11" s="706" t="s">
        <v>639</v>
      </c>
      <c r="P11" s="706" t="s">
        <v>639</v>
      </c>
      <c r="R11" s="693"/>
      <c r="S11" s="693"/>
      <c r="T11" s="693"/>
      <c r="U11" s="689"/>
    </row>
    <row r="12" spans="1:21" x14ac:dyDescent="0.2">
      <c r="A12" s="705"/>
      <c r="B12" s="686"/>
      <c r="C12" s="686"/>
      <c r="D12" s="706"/>
      <c r="E12" s="706"/>
      <c r="F12" s="706"/>
      <c r="G12" s="706"/>
      <c r="H12" s="706"/>
      <c r="I12" s="706"/>
      <c r="J12" s="706"/>
      <c r="K12" s="706"/>
      <c r="L12" s="706"/>
      <c r="M12" s="706"/>
      <c r="N12" s="706"/>
      <c r="O12" s="706"/>
      <c r="P12" s="706"/>
      <c r="R12" s="693"/>
      <c r="S12" s="693"/>
      <c r="T12" s="693"/>
      <c r="U12" s="689"/>
    </row>
    <row r="13" spans="1:21" x14ac:dyDescent="0.2">
      <c r="A13" s="707">
        <v>1</v>
      </c>
      <c r="B13" s="684" t="s">
        <v>2116</v>
      </c>
      <c r="C13" s="691" t="s">
        <v>622</v>
      </c>
      <c r="D13" s="708">
        <v>702343.01</v>
      </c>
      <c r="E13" s="708">
        <v>712954.53</v>
      </c>
      <c r="F13" s="708">
        <v>717499.86</v>
      </c>
      <c r="G13" s="708">
        <f>632419.25+95878.44</f>
        <v>728297.69</v>
      </c>
      <c r="H13" s="708">
        <v>734553.24</v>
      </c>
      <c r="I13" s="708">
        <f>640268.04+100939.85</f>
        <v>741207.89</v>
      </c>
      <c r="J13" s="709">
        <f>'WPB2.2 Plant detail-w slippage'!J18</f>
        <v>726857.26289764023</v>
      </c>
      <c r="K13" s="709">
        <f>'WPB2.2 Plant detail-w slippage'!J19</f>
        <v>743715.17956430686</v>
      </c>
      <c r="L13" s="709">
        <f>'WPB2.2 Plant detail-w slippage'!J20</f>
        <v>750849.17956430686</v>
      </c>
      <c r="M13" s="709">
        <f>'WPB2.2 Plant detail-w slippage'!J21</f>
        <v>757383.17956430686</v>
      </c>
      <c r="N13" s="709">
        <f>'WPB2.2 Plant detail-w slippage'!J22</f>
        <v>762670.17956430686</v>
      </c>
      <c r="O13" s="709">
        <f>'WPB2.2 Plant detail-w slippage'!J23</f>
        <v>768287.17956430686</v>
      </c>
      <c r="P13" s="709">
        <f>SUM(D13:O13)</f>
        <v>8846618.3807191737</v>
      </c>
      <c r="S13" s="689"/>
      <c r="T13" s="689"/>
      <c r="U13" s="689"/>
    </row>
    <row r="14" spans="1:21" x14ac:dyDescent="0.2">
      <c r="A14" s="707">
        <f>A13+1</f>
        <v>2</v>
      </c>
      <c r="B14" s="684">
        <v>406</v>
      </c>
      <c r="C14" s="691" t="s">
        <v>1531</v>
      </c>
      <c r="D14" s="708">
        <v>0</v>
      </c>
      <c r="E14" s="708">
        <v>0</v>
      </c>
      <c r="F14" s="708">
        <v>0</v>
      </c>
      <c r="G14" s="708">
        <v>0</v>
      </c>
      <c r="H14" s="708">
        <v>0</v>
      </c>
      <c r="I14" s="708">
        <v>0</v>
      </c>
      <c r="J14" s="708">
        <v>0</v>
      </c>
      <c r="K14" s="708">
        <v>0</v>
      </c>
      <c r="L14" s="708">
        <v>0</v>
      </c>
      <c r="M14" s="708">
        <v>0</v>
      </c>
      <c r="N14" s="708">
        <v>0</v>
      </c>
      <c r="O14" s="708">
        <v>0</v>
      </c>
      <c r="P14" s="709">
        <f t="shared" ref="P14:P54" si="0">SUM(D14:O14)</f>
        <v>0</v>
      </c>
    </row>
    <row r="15" spans="1:21" x14ac:dyDescent="0.2">
      <c r="A15" s="707">
        <f t="shared" ref="A15:A54" si="1">A14+1</f>
        <v>3</v>
      </c>
      <c r="B15" s="706">
        <v>408</v>
      </c>
      <c r="C15" s="690" t="s">
        <v>1532</v>
      </c>
      <c r="D15" s="708">
        <v>261421</v>
      </c>
      <c r="E15" s="708">
        <v>262132.68</v>
      </c>
      <c r="F15" s="708">
        <v>262132.68</v>
      </c>
      <c r="G15" s="708">
        <v>272551.67999999999</v>
      </c>
      <c r="H15" s="708">
        <v>288567.59000000003</v>
      </c>
      <c r="I15" s="708">
        <v>299734.21000000002</v>
      </c>
      <c r="J15" s="708">
        <v>292000</v>
      </c>
      <c r="K15" s="708">
        <v>292000</v>
      </c>
      <c r="L15" s="708">
        <v>292000</v>
      </c>
      <c r="M15" s="708">
        <v>292000</v>
      </c>
      <c r="N15" s="708">
        <v>292000</v>
      </c>
      <c r="O15" s="708">
        <v>292000</v>
      </c>
      <c r="P15" s="709">
        <f t="shared" si="0"/>
        <v>3398539.84</v>
      </c>
    </row>
    <row r="16" spans="1:21" x14ac:dyDescent="0.2">
      <c r="A16" s="707">
        <f t="shared" si="1"/>
        <v>4</v>
      </c>
      <c r="B16" s="706">
        <v>408</v>
      </c>
      <c r="C16" s="690" t="s">
        <v>1533</v>
      </c>
      <c r="D16" s="708">
        <v>40727.57</v>
      </c>
      <c r="E16" s="708">
        <f>2825+43847.78+10572.38+41.59+9.5</f>
        <v>57296.249999999993</v>
      </c>
      <c r="F16" s="708">
        <f>6544+32382.86+7957.69+35.92+27.43</f>
        <v>46947.9</v>
      </c>
      <c r="G16" s="708">
        <v>48268.91</v>
      </c>
      <c r="H16" s="708">
        <v>57714.73</v>
      </c>
      <c r="I16" s="708">
        <v>53331.519999999997</v>
      </c>
      <c r="J16" s="708">
        <v>46000</v>
      </c>
      <c r="K16" s="708">
        <v>45000</v>
      </c>
      <c r="L16" s="708">
        <v>56000</v>
      </c>
      <c r="M16" s="708">
        <v>56000</v>
      </c>
      <c r="N16" s="708">
        <v>55000</v>
      </c>
      <c r="O16" s="708">
        <v>48000</v>
      </c>
      <c r="P16" s="709">
        <f t="shared" si="0"/>
        <v>610286.88</v>
      </c>
    </row>
    <row r="17" spans="1:16" x14ac:dyDescent="0.2">
      <c r="A17" s="707">
        <f t="shared" si="1"/>
        <v>5</v>
      </c>
      <c r="B17" s="706">
        <v>408</v>
      </c>
      <c r="C17" s="690" t="s">
        <v>1534</v>
      </c>
      <c r="D17" s="708">
        <v>30.02</v>
      </c>
      <c r="E17" s="708">
        <f>0.1+2023.35</f>
        <v>2023.4499999999998</v>
      </c>
      <c r="F17" s="708">
        <v>7913.38</v>
      </c>
      <c r="G17" s="708">
        <v>109.15</v>
      </c>
      <c r="H17" s="708">
        <v>-7913.38</v>
      </c>
      <c r="I17" s="708">
        <v>-0.01</v>
      </c>
      <c r="J17" s="708">
        <v>0</v>
      </c>
      <c r="K17" s="708">
        <v>0</v>
      </c>
      <c r="L17" s="708">
        <v>0</v>
      </c>
      <c r="M17" s="708">
        <v>0</v>
      </c>
      <c r="N17" s="708">
        <v>0</v>
      </c>
      <c r="O17" s="708">
        <v>0</v>
      </c>
      <c r="P17" s="709">
        <f t="shared" si="0"/>
        <v>2162.6099999999997</v>
      </c>
    </row>
    <row r="18" spans="1:16" x14ac:dyDescent="0.2">
      <c r="A18" s="707">
        <f>A17+1</f>
        <v>6</v>
      </c>
      <c r="B18" s="706">
        <v>480</v>
      </c>
      <c r="C18" s="711" t="s">
        <v>1535</v>
      </c>
      <c r="D18" s="708">
        <v>-2040957.07</v>
      </c>
      <c r="E18" s="708">
        <v>-2271052.92</v>
      </c>
      <c r="F18" s="708">
        <v>-3223562.25</v>
      </c>
      <c r="G18" s="708">
        <v>-5657358.0599999996</v>
      </c>
      <c r="H18" s="708">
        <v>-8074993.79</v>
      </c>
      <c r="I18" s="708">
        <v>-8528416.8800000008</v>
      </c>
      <c r="J18" s="708">
        <v>-6276123.6600000001</v>
      </c>
      <c r="K18" s="708">
        <v>-4382490.8199999984</v>
      </c>
      <c r="L18" s="708">
        <v>-2940691.3299999991</v>
      </c>
      <c r="M18" s="708">
        <v>-2336929.52</v>
      </c>
      <c r="N18" s="708">
        <v>-2148655.77</v>
      </c>
      <c r="O18" s="708">
        <v>-2146395.1599999997</v>
      </c>
      <c r="P18" s="709">
        <f t="shared" si="0"/>
        <v>-50027627.229999997</v>
      </c>
    </row>
    <row r="19" spans="1:16" x14ac:dyDescent="0.2">
      <c r="A19" s="707">
        <f t="shared" si="1"/>
        <v>7</v>
      </c>
      <c r="B19" s="712">
        <v>481.1</v>
      </c>
      <c r="C19" s="711" t="s">
        <v>1536</v>
      </c>
      <c r="D19" s="708">
        <v>-811429.49</v>
      </c>
      <c r="E19" s="708">
        <v>-894753.27</v>
      </c>
      <c r="F19" s="708">
        <v>-1208791.69</v>
      </c>
      <c r="G19" s="708">
        <v>-2109389.25</v>
      </c>
      <c r="H19" s="708">
        <v>-3068313.99</v>
      </c>
      <c r="I19" s="708">
        <v>-3318380.91</v>
      </c>
      <c r="J19" s="708">
        <v>-2391533.8299999996</v>
      </c>
      <c r="K19" s="708">
        <v>-1662488.64</v>
      </c>
      <c r="L19" s="708">
        <v>-998723.68</v>
      </c>
      <c r="M19" s="708">
        <v>-799681.41</v>
      </c>
      <c r="N19" s="708">
        <v>-686631.04</v>
      </c>
      <c r="O19" s="708">
        <v>-669269.21000000008</v>
      </c>
      <c r="P19" s="709">
        <f t="shared" si="0"/>
        <v>-18619386.41</v>
      </c>
    </row>
    <row r="20" spans="1:16" x14ac:dyDescent="0.2">
      <c r="A20" s="707">
        <f t="shared" si="1"/>
        <v>8</v>
      </c>
      <c r="B20" s="706">
        <v>481.2</v>
      </c>
      <c r="C20" s="690" t="s">
        <v>1537</v>
      </c>
      <c r="D20" s="708">
        <v>-44486.84</v>
      </c>
      <c r="E20" s="708">
        <v>-78083.38</v>
      </c>
      <c r="F20" s="708">
        <v>-118235.83</v>
      </c>
      <c r="G20" s="708">
        <v>-111056.09</v>
      </c>
      <c r="H20" s="708">
        <v>-147639.13</v>
      </c>
      <c r="I20" s="708">
        <v>-163223.01</v>
      </c>
      <c r="J20" s="708">
        <v>-45927.729999999996</v>
      </c>
      <c r="K20" s="708">
        <v>-41980.84</v>
      </c>
      <c r="L20" s="708">
        <v>-37593</v>
      </c>
      <c r="M20" s="708">
        <v>-33563.770000000004</v>
      </c>
      <c r="N20" s="708">
        <v>-56476.7</v>
      </c>
      <c r="O20" s="708">
        <v>-60501.15</v>
      </c>
      <c r="P20" s="709">
        <f t="shared" si="0"/>
        <v>-938767.47</v>
      </c>
    </row>
    <row r="21" spans="1:16" x14ac:dyDescent="0.2">
      <c r="A21" s="707">
        <f t="shared" si="1"/>
        <v>9</v>
      </c>
      <c r="B21" s="706">
        <v>483</v>
      </c>
      <c r="C21" s="690" t="s">
        <v>1538</v>
      </c>
      <c r="D21" s="708">
        <v>-2967.59</v>
      </c>
      <c r="E21" s="708">
        <v>-1756.26</v>
      </c>
      <c r="F21" s="708">
        <v>-4392.0200000000004</v>
      </c>
      <c r="G21" s="708">
        <v>-4508.97</v>
      </c>
      <c r="H21" s="708">
        <v>-4373.25</v>
      </c>
      <c r="I21" s="708">
        <v>-9977.35</v>
      </c>
      <c r="J21" s="708">
        <v>-4455.08</v>
      </c>
      <c r="K21" s="708">
        <v>-3108.31</v>
      </c>
      <c r="L21" s="708">
        <v>-2161.6200000000003</v>
      </c>
      <c r="M21" s="708">
        <v>-1797.41</v>
      </c>
      <c r="N21" s="708">
        <v>-1839.67</v>
      </c>
      <c r="O21" s="708">
        <v>-1693.44</v>
      </c>
      <c r="P21" s="709">
        <f t="shared" si="0"/>
        <v>-43030.970000000008</v>
      </c>
    </row>
    <row r="22" spans="1:16" x14ac:dyDescent="0.2">
      <c r="A22" s="707">
        <f t="shared" si="1"/>
        <v>10</v>
      </c>
      <c r="B22" s="706">
        <v>487</v>
      </c>
      <c r="C22" s="690" t="s">
        <v>1539</v>
      </c>
      <c r="D22" s="708">
        <v>-19234.05</v>
      </c>
      <c r="E22" s="708">
        <v>-18784.47</v>
      </c>
      <c r="F22" s="708">
        <v>-31423.64</v>
      </c>
      <c r="G22" s="708">
        <v>-22898.400000000001</v>
      </c>
      <c r="H22" s="708">
        <v>-37450.400000000001</v>
      </c>
      <c r="I22" s="708">
        <v>-49024.53</v>
      </c>
      <c r="J22" s="708">
        <v>-78000</v>
      </c>
      <c r="K22" s="708">
        <v>-74000</v>
      </c>
      <c r="L22" s="708">
        <v>-40000</v>
      </c>
      <c r="M22" s="708">
        <v>-25000</v>
      </c>
      <c r="N22" s="708">
        <v>-20000</v>
      </c>
      <c r="O22" s="708">
        <v>-19000</v>
      </c>
      <c r="P22" s="709">
        <f t="shared" si="0"/>
        <v>-434815.49</v>
      </c>
    </row>
    <row r="23" spans="1:16" x14ac:dyDescent="0.2">
      <c r="A23" s="707">
        <f t="shared" si="1"/>
        <v>11</v>
      </c>
      <c r="B23" s="706">
        <v>488</v>
      </c>
      <c r="C23" s="690" t="s">
        <v>1540</v>
      </c>
      <c r="D23" s="708">
        <v>-10120.4</v>
      </c>
      <c r="E23" s="708">
        <v>-21314.47</v>
      </c>
      <c r="F23" s="708">
        <v>-19819.87</v>
      </c>
      <c r="G23" s="708">
        <v>-8795.01</v>
      </c>
      <c r="H23" s="708">
        <v>-8072.06</v>
      </c>
      <c r="I23" s="708">
        <v>-6801.56</v>
      </c>
      <c r="J23" s="708">
        <v>-11000</v>
      </c>
      <c r="K23" s="708">
        <v>-13000</v>
      </c>
      <c r="L23" s="708">
        <v>-10000</v>
      </c>
      <c r="M23" s="708">
        <v>-11000</v>
      </c>
      <c r="N23" s="708">
        <v>-9000</v>
      </c>
      <c r="O23" s="708">
        <v>-8000</v>
      </c>
      <c r="P23" s="709">
        <f t="shared" si="0"/>
        <v>-136923.37</v>
      </c>
    </row>
    <row r="24" spans="1:16" x14ac:dyDescent="0.2">
      <c r="A24" s="707">
        <f t="shared" si="1"/>
        <v>12</v>
      </c>
      <c r="B24" s="706">
        <v>489</v>
      </c>
      <c r="C24" s="690" t="s">
        <v>1541</v>
      </c>
      <c r="D24" s="708">
        <v>-1247905.76</v>
      </c>
      <c r="E24" s="708">
        <v>-1475497.72</v>
      </c>
      <c r="F24" s="708">
        <v>-1779535.85</v>
      </c>
      <c r="G24" s="708">
        <v>-2116636.16</v>
      </c>
      <c r="H24" s="708">
        <v>-3198535.42</v>
      </c>
      <c r="I24" s="708">
        <v>-2370700.84</v>
      </c>
      <c r="J24" s="708">
        <v>-2393189.44</v>
      </c>
      <c r="K24" s="708">
        <v>-1888258.28</v>
      </c>
      <c r="L24" s="708">
        <v>-1519881.65</v>
      </c>
      <c r="M24" s="708">
        <v>-1359869.48</v>
      </c>
      <c r="N24" s="708">
        <v>-1299643.5000000002</v>
      </c>
      <c r="O24" s="708">
        <v>-1300892.4700000002</v>
      </c>
      <c r="P24" s="709">
        <f t="shared" si="0"/>
        <v>-21950546.569999997</v>
      </c>
    </row>
    <row r="25" spans="1:16" x14ac:dyDescent="0.2">
      <c r="A25" s="707">
        <f t="shared" si="1"/>
        <v>13</v>
      </c>
      <c r="B25" s="706">
        <v>493</v>
      </c>
      <c r="C25" s="690" t="s">
        <v>1542</v>
      </c>
      <c r="D25" s="708">
        <v>-7887.46</v>
      </c>
      <c r="E25" s="708">
        <v>-5684</v>
      </c>
      <c r="F25" s="708">
        <v>-5684</v>
      </c>
      <c r="G25" s="708">
        <v>-5684</v>
      </c>
      <c r="H25" s="708">
        <v>-5684</v>
      </c>
      <c r="I25" s="708">
        <v>-4130</v>
      </c>
      <c r="J25" s="708">
        <v>-6000</v>
      </c>
      <c r="K25" s="708">
        <v>-6000</v>
      </c>
      <c r="L25" s="708">
        <v>-6000</v>
      </c>
      <c r="M25" s="708">
        <v>-6000</v>
      </c>
      <c r="N25" s="708">
        <v>-6000</v>
      </c>
      <c r="O25" s="708">
        <v>-6000</v>
      </c>
      <c r="P25" s="709">
        <f t="shared" si="0"/>
        <v>-70753.459999999992</v>
      </c>
    </row>
    <row r="26" spans="1:16" x14ac:dyDescent="0.2">
      <c r="A26" s="707">
        <f t="shared" si="1"/>
        <v>14</v>
      </c>
      <c r="B26" s="706">
        <v>495</v>
      </c>
      <c r="C26" s="690" t="s">
        <v>1543</v>
      </c>
      <c r="D26" s="708">
        <f>-12463.34-629087.08</f>
        <v>-641550.41999999993</v>
      </c>
      <c r="E26" s="708">
        <f>-15919.48-1478615.29</f>
        <v>-1494534.77</v>
      </c>
      <c r="F26" s="708">
        <f>-22399.64-2581634.33</f>
        <v>-2604033.9700000002</v>
      </c>
      <c r="G26" s="708">
        <v>-1358767.06</v>
      </c>
      <c r="H26" s="708">
        <v>-3136654.55</v>
      </c>
      <c r="I26" s="708">
        <v>-365792.12</v>
      </c>
      <c r="J26" s="708">
        <v>-61000</v>
      </c>
      <c r="K26" s="708">
        <v>-85000</v>
      </c>
      <c r="L26" s="708">
        <v>-24000</v>
      </c>
      <c r="M26" s="708">
        <v>-19000</v>
      </c>
      <c r="N26" s="708">
        <v>-16000</v>
      </c>
      <c r="O26" s="708">
        <v>-15000</v>
      </c>
      <c r="P26" s="709">
        <f t="shared" si="0"/>
        <v>-9821332.8899999987</v>
      </c>
    </row>
    <row r="27" spans="1:16" x14ac:dyDescent="0.2">
      <c r="A27" s="707">
        <f t="shared" si="1"/>
        <v>15</v>
      </c>
      <c r="B27" s="684">
        <v>717</v>
      </c>
      <c r="C27" s="691" t="s">
        <v>1544</v>
      </c>
      <c r="D27" s="709">
        <f>'Input O&amp;M FERC 8-16'!C9</f>
        <v>0</v>
      </c>
      <c r="E27" s="709">
        <f>'Input O&amp;M FERC 8-16'!D9</f>
        <v>35.090000000000003</v>
      </c>
      <c r="F27" s="709">
        <f>'Input O&amp;M FERC 8-16'!E9</f>
        <v>0</v>
      </c>
      <c r="G27" s="709">
        <f>'Input O&amp;M FERC 8-16'!F9</f>
        <v>36.840000000000003</v>
      </c>
      <c r="H27" s="709">
        <f>'Input O&amp;M FERC 8-16'!G9</f>
        <v>35.06</v>
      </c>
      <c r="I27" s="709">
        <f>'Input O&amp;M FERC 8-16'!H9</f>
        <v>0</v>
      </c>
      <c r="J27" s="709">
        <f>'Input O&amp;M FERC 8-16'!I9</f>
        <v>185</v>
      </c>
      <c r="K27" s="709">
        <f>'Input O&amp;M FERC 8-16'!J9</f>
        <v>163</v>
      </c>
      <c r="L27" s="709">
        <f>'Input O&amp;M FERC 8-16'!K9</f>
        <v>196</v>
      </c>
      <c r="M27" s="709">
        <f>'Input O&amp;M FERC 8-16'!L9</f>
        <v>191</v>
      </c>
      <c r="N27" s="709">
        <f>'Input O&amp;M FERC 8-16'!M9</f>
        <v>175</v>
      </c>
      <c r="O27" s="709">
        <f>'Input O&amp;M FERC 8-16'!N9</f>
        <v>175</v>
      </c>
      <c r="P27" s="709">
        <f t="shared" si="0"/>
        <v>1191.99</v>
      </c>
    </row>
    <row r="28" spans="1:16" x14ac:dyDescent="0.2">
      <c r="A28" s="707">
        <f t="shared" si="1"/>
        <v>16</v>
      </c>
      <c r="B28" s="684">
        <v>723</v>
      </c>
      <c r="C28" s="691" t="s">
        <v>1545</v>
      </c>
      <c r="D28" s="708">
        <v>0</v>
      </c>
      <c r="E28" s="708">
        <v>0</v>
      </c>
      <c r="F28" s="708">
        <v>0</v>
      </c>
      <c r="G28" s="708">
        <v>0</v>
      </c>
      <c r="H28" s="708">
        <v>0</v>
      </c>
      <c r="I28" s="708">
        <v>0</v>
      </c>
      <c r="J28" s="708">
        <v>0</v>
      </c>
      <c r="K28" s="708">
        <v>0</v>
      </c>
      <c r="L28" s="708">
        <v>0</v>
      </c>
      <c r="M28" s="708">
        <v>0</v>
      </c>
      <c r="N28" s="708">
        <v>0</v>
      </c>
      <c r="O28" s="708">
        <v>0</v>
      </c>
      <c r="P28" s="709">
        <f t="shared" si="0"/>
        <v>0</v>
      </c>
    </row>
    <row r="29" spans="1:16" x14ac:dyDescent="0.2">
      <c r="A29" s="707">
        <f t="shared" si="1"/>
        <v>17</v>
      </c>
      <c r="B29" s="684">
        <v>728</v>
      </c>
      <c r="C29" s="691" t="s">
        <v>1546</v>
      </c>
      <c r="D29" s="708">
        <v>0</v>
      </c>
      <c r="E29" s="708">
        <v>0</v>
      </c>
      <c r="F29" s="708">
        <v>0</v>
      </c>
      <c r="G29" s="708">
        <v>0</v>
      </c>
      <c r="H29" s="708">
        <v>0</v>
      </c>
      <c r="I29" s="708">
        <v>0</v>
      </c>
      <c r="J29" s="708">
        <v>0</v>
      </c>
      <c r="K29" s="708">
        <v>0</v>
      </c>
      <c r="L29" s="708">
        <v>0</v>
      </c>
      <c r="M29" s="708">
        <v>0</v>
      </c>
      <c r="N29" s="708">
        <v>0</v>
      </c>
      <c r="O29" s="708">
        <v>0</v>
      </c>
      <c r="P29" s="709">
        <f t="shared" si="0"/>
        <v>0</v>
      </c>
    </row>
    <row r="30" spans="1:16" x14ac:dyDescent="0.2">
      <c r="A30" s="707">
        <f t="shared" si="1"/>
        <v>18</v>
      </c>
      <c r="B30" s="684">
        <v>741</v>
      </c>
      <c r="C30" s="691" t="s">
        <v>1547</v>
      </c>
      <c r="D30" s="708">
        <v>0</v>
      </c>
      <c r="E30" s="708">
        <v>0</v>
      </c>
      <c r="F30" s="708">
        <v>0</v>
      </c>
      <c r="G30" s="708">
        <v>0</v>
      </c>
      <c r="H30" s="708">
        <v>0</v>
      </c>
      <c r="I30" s="708">
        <v>0</v>
      </c>
      <c r="J30" s="708">
        <v>0</v>
      </c>
      <c r="K30" s="708">
        <v>0</v>
      </c>
      <c r="L30" s="708">
        <v>0</v>
      </c>
      <c r="M30" s="708">
        <v>0</v>
      </c>
      <c r="N30" s="708">
        <v>0</v>
      </c>
      <c r="O30" s="708">
        <v>0</v>
      </c>
      <c r="P30" s="709">
        <f t="shared" si="0"/>
        <v>0</v>
      </c>
    </row>
    <row r="31" spans="1:16" x14ac:dyDescent="0.2">
      <c r="A31" s="707">
        <f t="shared" si="1"/>
        <v>19</v>
      </c>
      <c r="B31" s="684">
        <v>742</v>
      </c>
      <c r="C31" s="691" t="s">
        <v>1548</v>
      </c>
      <c r="D31" s="708">
        <v>0</v>
      </c>
      <c r="E31" s="708">
        <v>0</v>
      </c>
      <c r="F31" s="708">
        <v>0</v>
      </c>
      <c r="G31" s="708">
        <v>0</v>
      </c>
      <c r="H31" s="708">
        <v>0</v>
      </c>
      <c r="I31" s="708">
        <v>0</v>
      </c>
      <c r="J31" s="708">
        <v>0</v>
      </c>
      <c r="K31" s="708">
        <v>0</v>
      </c>
      <c r="L31" s="708">
        <v>0</v>
      </c>
      <c r="M31" s="708">
        <v>0</v>
      </c>
      <c r="N31" s="708">
        <v>0</v>
      </c>
      <c r="O31" s="708">
        <v>0</v>
      </c>
      <c r="P31" s="709">
        <f t="shared" si="0"/>
        <v>0</v>
      </c>
    </row>
    <row r="32" spans="1:16" x14ac:dyDescent="0.2">
      <c r="A32" s="707">
        <f t="shared" si="1"/>
        <v>20</v>
      </c>
      <c r="B32" s="684" t="s">
        <v>1549</v>
      </c>
      <c r="C32" s="710" t="s">
        <v>1550</v>
      </c>
      <c r="D32" s="708">
        <v>4890051.09</v>
      </c>
      <c r="E32" s="708">
        <v>3259076.65</v>
      </c>
      <c r="F32" s="708">
        <v>2473258.65</v>
      </c>
      <c r="G32" s="708">
        <v>1932637.17</v>
      </c>
      <c r="H32" s="708">
        <v>3065344.09</v>
      </c>
      <c r="I32" s="708">
        <f>16279.99+3224128.45</f>
        <v>3240408.4400000004</v>
      </c>
      <c r="J32" s="708">
        <v>2478351.04</v>
      </c>
      <c r="K32" s="708">
        <v>1472845.49</v>
      </c>
      <c r="L32" s="708">
        <v>669785.62</v>
      </c>
      <c r="M32" s="708">
        <v>370694.67</v>
      </c>
      <c r="N32" s="708">
        <v>270365.7</v>
      </c>
      <c r="O32" s="708">
        <v>261900.81</v>
      </c>
      <c r="P32" s="709">
        <f t="shared" si="0"/>
        <v>24384719.419999998</v>
      </c>
    </row>
    <row r="33" spans="1:16" x14ac:dyDescent="0.2">
      <c r="A33" s="707">
        <f t="shared" si="1"/>
        <v>21</v>
      </c>
      <c r="B33" s="684">
        <v>804</v>
      </c>
      <c r="C33" s="691" t="s">
        <v>1551</v>
      </c>
      <c r="D33" s="708">
        <v>15197.52</v>
      </c>
      <c r="E33" s="708">
        <v>-13268.47</v>
      </c>
      <c r="F33" s="708">
        <v>70555</v>
      </c>
      <c r="G33" s="708">
        <v>114812.18</v>
      </c>
      <c r="H33" s="708">
        <v>133269.12</v>
      </c>
      <c r="I33" s="708">
        <v>111696.75</v>
      </c>
      <c r="J33" s="708">
        <v>64372.75</v>
      </c>
      <c r="K33" s="708">
        <v>38255.730000000003</v>
      </c>
      <c r="L33" s="708">
        <v>17397.03</v>
      </c>
      <c r="M33" s="708">
        <v>9628.43</v>
      </c>
      <c r="N33" s="708">
        <v>7022.49</v>
      </c>
      <c r="O33" s="708">
        <v>6802.62</v>
      </c>
      <c r="P33" s="709">
        <f t="shared" si="0"/>
        <v>575741.15</v>
      </c>
    </row>
    <row r="34" spans="1:16" x14ac:dyDescent="0.2">
      <c r="A34" s="707">
        <f t="shared" si="1"/>
        <v>22</v>
      </c>
      <c r="B34" s="684">
        <v>805</v>
      </c>
      <c r="C34" s="691" t="s">
        <v>1552</v>
      </c>
      <c r="D34" s="708">
        <v>-893611.31</v>
      </c>
      <c r="E34" s="708">
        <v>-1209609.1200000001</v>
      </c>
      <c r="F34" s="708">
        <v>-2006840.26</v>
      </c>
      <c r="G34" s="708">
        <v>-4016634.73</v>
      </c>
      <c r="H34" s="708">
        <v>-2212600.62</v>
      </c>
      <c r="I34" s="708">
        <v>-23136.51</v>
      </c>
      <c r="J34" s="708">
        <v>708100.3</v>
      </c>
      <c r="K34" s="708">
        <v>420813</v>
      </c>
      <c r="L34" s="708">
        <v>191367.32</v>
      </c>
      <c r="M34" s="708">
        <v>105912.76</v>
      </c>
      <c r="N34" s="708">
        <v>77247.34</v>
      </c>
      <c r="O34" s="708">
        <v>74828.800000000003</v>
      </c>
      <c r="P34" s="709">
        <f t="shared" si="0"/>
        <v>-8784163.0299999975</v>
      </c>
    </row>
    <row r="35" spans="1:16" x14ac:dyDescent="0.2">
      <c r="A35" s="707">
        <f t="shared" si="1"/>
        <v>23</v>
      </c>
      <c r="B35" s="684">
        <v>806</v>
      </c>
      <c r="C35" s="691" t="s">
        <v>1553</v>
      </c>
      <c r="D35" s="708">
        <v>730145</v>
      </c>
      <c r="E35" s="708">
        <v>341201.41</v>
      </c>
      <c r="F35" s="708">
        <v>644435.04</v>
      </c>
      <c r="G35" s="708">
        <v>-878851.5</v>
      </c>
      <c r="H35" s="708">
        <v>-797219.3</v>
      </c>
      <c r="I35" s="708">
        <v>-1501359</v>
      </c>
      <c r="J35" s="708">
        <v>-257491.02</v>
      </c>
      <c r="K35" s="708">
        <v>-153022.91</v>
      </c>
      <c r="L35" s="708">
        <v>-69588.12</v>
      </c>
      <c r="M35" s="708">
        <v>-38513.730000000003</v>
      </c>
      <c r="N35" s="708">
        <v>-28089.94</v>
      </c>
      <c r="O35" s="708">
        <v>-27210.47</v>
      </c>
      <c r="P35" s="709">
        <f t="shared" si="0"/>
        <v>-2035564.5399999998</v>
      </c>
    </row>
    <row r="36" spans="1:16" x14ac:dyDescent="0.2">
      <c r="A36" s="707">
        <f t="shared" si="1"/>
        <v>24</v>
      </c>
      <c r="B36" s="684">
        <v>807</v>
      </c>
      <c r="C36" s="691" t="s">
        <v>1554</v>
      </c>
      <c r="D36" s="713">
        <v>0</v>
      </c>
      <c r="E36" s="713">
        <v>0</v>
      </c>
      <c r="F36" s="713">
        <v>0</v>
      </c>
      <c r="G36" s="713">
        <v>0</v>
      </c>
      <c r="H36" s="713">
        <v>0</v>
      </c>
      <c r="I36" s="713">
        <v>0</v>
      </c>
      <c r="J36" s="713">
        <v>0</v>
      </c>
      <c r="K36" s="713">
        <v>0</v>
      </c>
      <c r="L36" s="713">
        <v>0</v>
      </c>
      <c r="M36" s="713">
        <v>0</v>
      </c>
      <c r="N36" s="713">
        <v>0</v>
      </c>
      <c r="O36" s="713">
        <v>0</v>
      </c>
      <c r="P36" s="709">
        <f t="shared" si="0"/>
        <v>0</v>
      </c>
    </row>
    <row r="37" spans="1:16" x14ac:dyDescent="0.2">
      <c r="A37" s="707">
        <f t="shared" si="1"/>
        <v>25</v>
      </c>
      <c r="B37" s="684">
        <v>807</v>
      </c>
      <c r="C37" s="691" t="s">
        <v>1555</v>
      </c>
      <c r="D37" s="709">
        <f>'Input O&amp;M FERC 8-16'!C10</f>
        <v>27355.75</v>
      </c>
      <c r="E37" s="709">
        <f>'Input O&amp;M FERC 8-16'!D10</f>
        <v>25807.440000000002</v>
      </c>
      <c r="F37" s="709">
        <f>'Input O&amp;M FERC 8-16'!E10</f>
        <v>28949.62</v>
      </c>
      <c r="G37" s="709">
        <f>'Input O&amp;M FERC 8-16'!F10</f>
        <v>27195.449999999997</v>
      </c>
      <c r="H37" s="709">
        <f>'Input O&amp;M FERC 8-16'!G10</f>
        <v>27505.279999999999</v>
      </c>
      <c r="I37" s="709">
        <f>'Input O&amp;M FERC 8-16'!H10</f>
        <v>28378.789999999997</v>
      </c>
      <c r="J37" s="709">
        <f>'Input O&amp;M FERC 8-16'!I10</f>
        <v>26572</v>
      </c>
      <c r="K37" s="709">
        <f>'Input O&amp;M FERC 8-16'!J10</f>
        <v>25338</v>
      </c>
      <c r="L37" s="709">
        <f>'Input O&amp;M FERC 8-16'!K10</f>
        <v>26021</v>
      </c>
      <c r="M37" s="709">
        <f>'Input O&amp;M FERC 8-16'!L10</f>
        <v>27852</v>
      </c>
      <c r="N37" s="709">
        <f>'Input O&amp;M FERC 8-16'!M10</f>
        <v>27116</v>
      </c>
      <c r="O37" s="709">
        <f>'Input O&amp;M FERC 8-16'!N10</f>
        <v>26616</v>
      </c>
      <c r="P37" s="709">
        <f t="shared" si="0"/>
        <v>324707.32999999996</v>
      </c>
    </row>
    <row r="38" spans="1:16" x14ac:dyDescent="0.2">
      <c r="A38" s="707">
        <f t="shared" si="1"/>
        <v>26</v>
      </c>
      <c r="B38" s="684">
        <v>808</v>
      </c>
      <c r="C38" s="691" t="s">
        <v>1556</v>
      </c>
      <c r="D38" s="708">
        <f>416647.59-4071514.87</f>
        <v>-3654867.2800000003</v>
      </c>
      <c r="E38" s="708">
        <f>-123917.65-569144.86</f>
        <v>-693062.51</v>
      </c>
      <c r="F38" s="708">
        <f>1884247.17-118160.45</f>
        <v>1766086.72</v>
      </c>
      <c r="G38" s="708">
        <f>-20453547.04+26447769.67</f>
        <v>5994222.6300000027</v>
      </c>
      <c r="H38" s="708">
        <f>7838074.89-406680.75</f>
        <v>7431394.1399999997</v>
      </c>
      <c r="I38" s="708">
        <f>4508708.59-54323.64</f>
        <v>4454384.95</v>
      </c>
      <c r="J38" s="708">
        <v>225304.64</v>
      </c>
      <c r="K38" s="708">
        <v>133895.04000000001</v>
      </c>
      <c r="L38" s="708">
        <v>60889.599999999999</v>
      </c>
      <c r="M38" s="708">
        <v>33699.519999999997</v>
      </c>
      <c r="N38" s="708">
        <v>24578.7</v>
      </c>
      <c r="O38" s="708">
        <v>23809.16</v>
      </c>
      <c r="P38" s="709">
        <f t="shared" si="0"/>
        <v>15800335.310000001</v>
      </c>
    </row>
    <row r="39" spans="1:16" ht="12.6" customHeight="1" x14ac:dyDescent="0.2">
      <c r="A39" s="707">
        <f t="shared" si="1"/>
        <v>27</v>
      </c>
      <c r="B39" s="705">
        <v>812</v>
      </c>
      <c r="C39" s="686" t="s">
        <v>1557</v>
      </c>
      <c r="D39" s="708">
        <v>-1757.1</v>
      </c>
      <c r="E39" s="708">
        <v>-2806.65</v>
      </c>
      <c r="F39" s="708">
        <v>-3687.32</v>
      </c>
      <c r="G39" s="708">
        <v>-8087.96</v>
      </c>
      <c r="H39" s="708">
        <v>-13823.5</v>
      </c>
      <c r="I39" s="708">
        <v>-12807.79</v>
      </c>
      <c r="J39" s="708">
        <v>0</v>
      </c>
      <c r="K39" s="708">
        <v>0</v>
      </c>
      <c r="L39" s="708">
        <v>0</v>
      </c>
      <c r="M39" s="708">
        <v>0</v>
      </c>
      <c r="N39" s="708">
        <v>0</v>
      </c>
      <c r="O39" s="708">
        <v>0</v>
      </c>
      <c r="P39" s="709">
        <f t="shared" si="0"/>
        <v>-42970.32</v>
      </c>
    </row>
    <row r="40" spans="1:16" ht="12.6" customHeight="1" x14ac:dyDescent="0.2">
      <c r="A40" s="707">
        <f t="shared" si="1"/>
        <v>28</v>
      </c>
      <c r="B40" s="684">
        <v>813</v>
      </c>
      <c r="C40" s="691" t="s">
        <v>1558</v>
      </c>
      <c r="D40" s="708">
        <v>0</v>
      </c>
      <c r="E40" s="708">
        <v>0</v>
      </c>
      <c r="F40" s="708">
        <v>0</v>
      </c>
      <c r="G40" s="708">
        <v>0</v>
      </c>
      <c r="H40" s="708">
        <v>0</v>
      </c>
      <c r="I40" s="708">
        <v>0</v>
      </c>
      <c r="J40" s="708">
        <v>0</v>
      </c>
      <c r="K40" s="708">
        <v>0</v>
      </c>
      <c r="L40" s="708">
        <v>0</v>
      </c>
      <c r="M40" s="708">
        <v>0</v>
      </c>
      <c r="N40" s="708">
        <v>0</v>
      </c>
      <c r="O40" s="708">
        <v>0</v>
      </c>
      <c r="P40" s="709">
        <f t="shared" si="0"/>
        <v>0</v>
      </c>
    </row>
    <row r="41" spans="1:16" x14ac:dyDescent="0.2">
      <c r="A41" s="707">
        <f t="shared" si="1"/>
        <v>29</v>
      </c>
      <c r="B41" s="684">
        <v>870</v>
      </c>
      <c r="C41" s="691" t="s">
        <v>1559</v>
      </c>
      <c r="D41" s="709">
        <f>'Input O&amp;M FERC 8-16'!C11</f>
        <v>77061.490000000005</v>
      </c>
      <c r="E41" s="709">
        <f>'Input O&amp;M FERC 8-16'!D11</f>
        <v>80947.09</v>
      </c>
      <c r="F41" s="709">
        <f>'Input O&amp;M FERC 8-16'!E11</f>
        <v>-6823.21</v>
      </c>
      <c r="G41" s="709">
        <f>'Input O&amp;M FERC 8-16'!F11</f>
        <v>123553.5</v>
      </c>
      <c r="H41" s="709">
        <f>'Input O&amp;M FERC 8-16'!G11</f>
        <v>44357.07</v>
      </c>
      <c r="I41" s="709">
        <f>'Input O&amp;M FERC 8-16'!H11</f>
        <v>-45150.46</v>
      </c>
      <c r="J41" s="709">
        <f>'Input O&amp;M FERC 8-16'!I11</f>
        <v>67988</v>
      </c>
      <c r="K41" s="709">
        <f>'Input O&amp;M FERC 8-16'!J11</f>
        <v>65394</v>
      </c>
      <c r="L41" s="709">
        <f>'Input O&amp;M FERC 8-16'!K11</f>
        <v>66720</v>
      </c>
      <c r="M41" s="709">
        <f>'Input O&amp;M FERC 8-16'!L11</f>
        <v>71187</v>
      </c>
      <c r="N41" s="709">
        <f>'Input O&amp;M FERC 8-16'!M11</f>
        <v>69122</v>
      </c>
      <c r="O41" s="709">
        <f>'Input O&amp;M FERC 8-16'!N11</f>
        <v>68014</v>
      </c>
      <c r="P41" s="709">
        <f t="shared" si="0"/>
        <v>682370.48</v>
      </c>
    </row>
    <row r="42" spans="1:16" x14ac:dyDescent="0.2">
      <c r="A42" s="707">
        <f t="shared" si="1"/>
        <v>30</v>
      </c>
      <c r="B42" s="684">
        <v>871</v>
      </c>
      <c r="C42" s="691" t="s">
        <v>1560</v>
      </c>
      <c r="D42" s="709">
        <f>'Input O&amp;M FERC 8-16'!C12</f>
        <v>2979.05</v>
      </c>
      <c r="E42" s="709">
        <f>'Input O&amp;M FERC 8-16'!D12</f>
        <v>2433.39</v>
      </c>
      <c r="F42" s="709">
        <f>'Input O&amp;M FERC 8-16'!E12</f>
        <v>1190.4000000000001</v>
      </c>
      <c r="G42" s="709">
        <f>'Input O&amp;M FERC 8-16'!F12</f>
        <v>1272.71</v>
      </c>
      <c r="H42" s="709">
        <f>'Input O&amp;M FERC 8-16'!G12</f>
        <v>19541.919999999998</v>
      </c>
      <c r="I42" s="709">
        <f>'Input O&amp;M FERC 8-16'!H12</f>
        <v>613.01</v>
      </c>
      <c r="J42" s="709">
        <f>'Input O&amp;M FERC 8-16'!I12</f>
        <v>25216</v>
      </c>
      <c r="K42" s="709">
        <f>'Input O&amp;M FERC 8-16'!J12</f>
        <v>22509</v>
      </c>
      <c r="L42" s="709">
        <f>'Input O&amp;M FERC 8-16'!K12</f>
        <v>28540</v>
      </c>
      <c r="M42" s="709">
        <f>'Input O&amp;M FERC 8-16'!L12</f>
        <v>27068</v>
      </c>
      <c r="N42" s="709">
        <f>'Input O&amp;M FERC 8-16'!M12</f>
        <v>24089</v>
      </c>
      <c r="O42" s="709">
        <f>'Input O&amp;M FERC 8-16'!N12</f>
        <v>23827</v>
      </c>
      <c r="P42" s="709">
        <f t="shared" si="0"/>
        <v>179279.47999999998</v>
      </c>
    </row>
    <row r="43" spans="1:16" x14ac:dyDescent="0.2">
      <c r="A43" s="707">
        <f t="shared" si="1"/>
        <v>31</v>
      </c>
      <c r="B43" s="684">
        <v>874</v>
      </c>
      <c r="C43" s="691" t="s">
        <v>1561</v>
      </c>
      <c r="D43" s="709">
        <f>'Input O&amp;M FERC 8-16'!C13</f>
        <v>258886.76</v>
      </c>
      <c r="E43" s="709">
        <f>'Input O&amp;M FERC 8-16'!D13</f>
        <v>395716.75</v>
      </c>
      <c r="F43" s="709">
        <f>'Input O&amp;M FERC 8-16'!E13</f>
        <v>416915.8</v>
      </c>
      <c r="G43" s="709">
        <f>'Input O&amp;M FERC 8-16'!F13</f>
        <v>622931.13</v>
      </c>
      <c r="H43" s="709">
        <f>'Input O&amp;M FERC 8-16'!G13</f>
        <v>301161.26</v>
      </c>
      <c r="I43" s="709">
        <f>'Input O&amp;M FERC 8-16'!H13</f>
        <v>343724.28</v>
      </c>
      <c r="J43" s="709">
        <f>'Input O&amp;M FERC 8-16'!I13</f>
        <v>394477</v>
      </c>
      <c r="K43" s="709">
        <f>'Input O&amp;M FERC 8-16'!J13</f>
        <v>431389</v>
      </c>
      <c r="L43" s="709">
        <f>'Input O&amp;M FERC 8-16'!K13</f>
        <v>451417</v>
      </c>
      <c r="M43" s="709">
        <f>'Input O&amp;M FERC 8-16'!L13</f>
        <v>467298</v>
      </c>
      <c r="N43" s="709">
        <f>'Input O&amp;M FERC 8-16'!M13</f>
        <v>454649</v>
      </c>
      <c r="O43" s="709">
        <f>'Input O&amp;M FERC 8-16'!N13</f>
        <v>490679</v>
      </c>
      <c r="P43" s="709">
        <f t="shared" si="0"/>
        <v>5029244.9800000004</v>
      </c>
    </row>
    <row r="44" spans="1:16" x14ac:dyDescent="0.2">
      <c r="A44" s="707">
        <f t="shared" si="1"/>
        <v>32</v>
      </c>
      <c r="B44" s="684">
        <v>875</v>
      </c>
      <c r="C44" s="691" t="s">
        <v>1562</v>
      </c>
      <c r="D44" s="709">
        <f>'Input O&amp;M FERC 8-16'!C14</f>
        <v>7459.83</v>
      </c>
      <c r="E44" s="709">
        <f>'Input O&amp;M FERC 8-16'!D14</f>
        <v>10741</v>
      </c>
      <c r="F44" s="709">
        <f>'Input O&amp;M FERC 8-16'!E14</f>
        <v>15428.19</v>
      </c>
      <c r="G44" s="709">
        <f>'Input O&amp;M FERC 8-16'!F14</f>
        <v>11082.74</v>
      </c>
      <c r="H44" s="709">
        <f>'Input O&amp;M FERC 8-16'!G14</f>
        <v>11393.31</v>
      </c>
      <c r="I44" s="709">
        <f>'Input O&amp;M FERC 8-16'!H14</f>
        <v>9451.85</v>
      </c>
      <c r="J44" s="709">
        <f>'Input O&amp;M FERC 8-16'!I14</f>
        <v>14689</v>
      </c>
      <c r="K44" s="709">
        <f>'Input O&amp;M FERC 8-16'!J14</f>
        <v>14702</v>
      </c>
      <c r="L44" s="709">
        <f>'Input O&amp;M FERC 8-16'!K14</f>
        <v>15631</v>
      </c>
      <c r="M44" s="709">
        <f>'Input O&amp;M FERC 8-16'!L14</f>
        <v>16208</v>
      </c>
      <c r="N44" s="709">
        <f>'Input O&amp;M FERC 8-16'!M14</f>
        <v>15513</v>
      </c>
      <c r="O44" s="709">
        <f>'Input O&amp;M FERC 8-16'!N14</f>
        <v>16114</v>
      </c>
      <c r="P44" s="709">
        <f t="shared" si="0"/>
        <v>158413.91999999998</v>
      </c>
    </row>
    <row r="45" spans="1:16" x14ac:dyDescent="0.2">
      <c r="A45" s="707">
        <f t="shared" si="1"/>
        <v>33</v>
      </c>
      <c r="B45" s="684">
        <v>876</v>
      </c>
      <c r="C45" s="691" t="s">
        <v>1563</v>
      </c>
      <c r="D45" s="709">
        <f>'Input O&amp;M FERC 8-16'!C15</f>
        <v>4721.8599999999997</v>
      </c>
      <c r="E45" s="709">
        <f>'Input O&amp;M FERC 8-16'!D15</f>
        <v>5063.74</v>
      </c>
      <c r="F45" s="709">
        <f>'Input O&amp;M FERC 8-16'!E15</f>
        <v>9233.67</v>
      </c>
      <c r="G45" s="709">
        <f>'Input O&amp;M FERC 8-16'!F15</f>
        <v>9014.4500000000007</v>
      </c>
      <c r="H45" s="709">
        <f>'Input O&amp;M FERC 8-16'!G15</f>
        <v>4347.8100000000004</v>
      </c>
      <c r="I45" s="709">
        <f>'Input O&amp;M FERC 8-16'!H15</f>
        <v>2761.5</v>
      </c>
      <c r="J45" s="709">
        <f>'Input O&amp;M FERC 8-16'!I15</f>
        <v>5278</v>
      </c>
      <c r="K45" s="709">
        <f>'Input O&amp;M FERC 8-16'!J15</f>
        <v>4916</v>
      </c>
      <c r="L45" s="709">
        <f>'Input O&amp;M FERC 8-16'!K15</f>
        <v>5165</v>
      </c>
      <c r="M45" s="709">
        <f>'Input O&amp;M FERC 8-16'!L15</f>
        <v>5421</v>
      </c>
      <c r="N45" s="709">
        <f>'Input O&amp;M FERC 8-16'!M15</f>
        <v>5162</v>
      </c>
      <c r="O45" s="709">
        <f>'Input O&amp;M FERC 8-16'!N15</f>
        <v>5030</v>
      </c>
      <c r="P45" s="709">
        <f t="shared" si="0"/>
        <v>66115.03</v>
      </c>
    </row>
    <row r="46" spans="1:16" x14ac:dyDescent="0.2">
      <c r="A46" s="707">
        <f t="shared" si="1"/>
        <v>34</v>
      </c>
      <c r="B46" s="684">
        <v>878</v>
      </c>
      <c r="C46" s="691" t="s">
        <v>1564</v>
      </c>
      <c r="D46" s="709">
        <f>'Input O&amp;M FERC 8-16'!C16</f>
        <v>92943.89</v>
      </c>
      <c r="E46" s="709">
        <f>'Input O&amp;M FERC 8-16'!D16</f>
        <v>107139.23</v>
      </c>
      <c r="F46" s="709">
        <f>'Input O&amp;M FERC 8-16'!E16</f>
        <v>169978.8</v>
      </c>
      <c r="G46" s="709">
        <f>'Input O&amp;M FERC 8-16'!F16</f>
        <v>138962.26999999999</v>
      </c>
      <c r="H46" s="709">
        <f>'Input O&amp;M FERC 8-16'!G16</f>
        <v>105594.3</v>
      </c>
      <c r="I46" s="709">
        <f>'Input O&amp;M FERC 8-16'!H16</f>
        <v>123497.84</v>
      </c>
      <c r="J46" s="709">
        <f>'Input O&amp;M FERC 8-16'!I16</f>
        <v>135590.62557999999</v>
      </c>
      <c r="K46" s="709">
        <f>'Input O&amp;M FERC 8-16'!J16</f>
        <v>125290.35245999999</v>
      </c>
      <c r="L46" s="709">
        <f>'Input O&amp;M FERC 8-16'!K16</f>
        <v>131843.56682000001</v>
      </c>
      <c r="M46" s="709">
        <f>'Input O&amp;M FERC 8-16'!L16</f>
        <v>138852.0962</v>
      </c>
      <c r="N46" s="709">
        <f>'Input O&amp;M FERC 8-16'!M16</f>
        <v>132238.93369999999</v>
      </c>
      <c r="O46" s="709">
        <f>'Input O&amp;M FERC 8-16'!N16</f>
        <v>126854.93369999999</v>
      </c>
      <c r="P46" s="709">
        <f t="shared" si="0"/>
        <v>1528786.8384599998</v>
      </c>
    </row>
    <row r="47" spans="1:16" x14ac:dyDescent="0.2">
      <c r="A47" s="707">
        <f t="shared" si="1"/>
        <v>35</v>
      </c>
      <c r="B47" s="684">
        <v>879</v>
      </c>
      <c r="C47" s="691" t="s">
        <v>1565</v>
      </c>
      <c r="D47" s="709">
        <f>'Input O&amp;M FERC 8-16'!C17</f>
        <v>122617.45</v>
      </c>
      <c r="E47" s="709">
        <f>'Input O&amp;M FERC 8-16'!D17</f>
        <v>133666.07999999999</v>
      </c>
      <c r="F47" s="709">
        <f>'Input O&amp;M FERC 8-16'!E17</f>
        <v>155248.44</v>
      </c>
      <c r="G47" s="709">
        <f>'Input O&amp;M FERC 8-16'!F17</f>
        <v>146283.26999999999</v>
      </c>
      <c r="H47" s="709">
        <f>'Input O&amp;M FERC 8-16'!G17</f>
        <v>143995.59</v>
      </c>
      <c r="I47" s="709">
        <f>'Input O&amp;M FERC 8-16'!H17</f>
        <v>168549.15</v>
      </c>
      <c r="J47" s="709">
        <f>'Input O&amp;M FERC 8-16'!I17</f>
        <v>163673.68400000001</v>
      </c>
      <c r="K47" s="709">
        <f>'Input O&amp;M FERC 8-16'!J17</f>
        <v>154857.606</v>
      </c>
      <c r="L47" s="709">
        <f>'Input O&amp;M FERC 8-16'!K17</f>
        <v>162072.21599999999</v>
      </c>
      <c r="M47" s="709">
        <f>'Input O&amp;M FERC 8-16'!L17</f>
        <v>169768.95</v>
      </c>
      <c r="N47" s="709">
        <f>'Input O&amp;M FERC 8-16'!M17</f>
        <v>161997.054</v>
      </c>
      <c r="O47" s="709">
        <f>'Input O&amp;M FERC 8-16'!N17</f>
        <v>158030.054</v>
      </c>
      <c r="P47" s="709">
        <f t="shared" si="0"/>
        <v>1840759.544</v>
      </c>
    </row>
    <row r="48" spans="1:16" x14ac:dyDescent="0.2">
      <c r="A48" s="707">
        <f t="shared" si="1"/>
        <v>36</v>
      </c>
      <c r="B48" s="684">
        <v>880</v>
      </c>
      <c r="C48" s="691" t="s">
        <v>1566</v>
      </c>
      <c r="D48" s="709">
        <f>'Input O&amp;M FERC 8-16'!C18</f>
        <v>156391.14000000001</v>
      </c>
      <c r="E48" s="709">
        <f>'Input O&amp;M FERC 8-16'!D18</f>
        <v>68182.98</v>
      </c>
      <c r="F48" s="709">
        <f>'Input O&amp;M FERC 8-16'!E18</f>
        <v>124098.16</v>
      </c>
      <c r="G48" s="709">
        <f>'Input O&amp;M FERC 8-16'!F18</f>
        <v>118552.83</v>
      </c>
      <c r="H48" s="709">
        <f>'Input O&amp;M FERC 8-16'!G18</f>
        <v>121434.56</v>
      </c>
      <c r="I48" s="709">
        <f>'Input O&amp;M FERC 8-16'!H18</f>
        <v>124798</v>
      </c>
      <c r="J48" s="709">
        <f>'Input O&amp;M FERC 8-16'!I18</f>
        <v>130036</v>
      </c>
      <c r="K48" s="709">
        <f>'Input O&amp;M FERC 8-16'!J18</f>
        <v>132891</v>
      </c>
      <c r="L48" s="709">
        <f>'Input O&amp;M FERC 8-16'!K18</f>
        <v>142531</v>
      </c>
      <c r="M48" s="709">
        <f>'Input O&amp;M FERC 8-16'!L18</f>
        <v>146040</v>
      </c>
      <c r="N48" s="709">
        <f>'Input O&amp;M FERC 8-16'!M18</f>
        <v>141227</v>
      </c>
      <c r="O48" s="709">
        <f>'Input O&amp;M FERC 8-16'!N18</f>
        <v>142954</v>
      </c>
      <c r="P48" s="709">
        <f t="shared" si="0"/>
        <v>1549136.67</v>
      </c>
    </row>
    <row r="49" spans="1:16" x14ac:dyDescent="0.2">
      <c r="A49" s="707">
        <f t="shared" si="1"/>
        <v>37</v>
      </c>
      <c r="B49" s="684">
        <v>881</v>
      </c>
      <c r="C49" s="691" t="s">
        <v>1567</v>
      </c>
      <c r="D49" s="709">
        <f>'Input O&amp;M FERC 8-16'!C19</f>
        <v>6584.28</v>
      </c>
      <c r="E49" s="709">
        <f>'Input O&amp;M FERC 8-16'!D19</f>
        <v>6229.3</v>
      </c>
      <c r="F49" s="709">
        <f>'Input O&amp;M FERC 8-16'!E19</f>
        <v>10207.879999999999</v>
      </c>
      <c r="G49" s="709">
        <f>'Input O&amp;M FERC 8-16'!F19</f>
        <v>8256.67</v>
      </c>
      <c r="H49" s="709">
        <f>'Input O&amp;M FERC 8-16'!G19</f>
        <v>6333.8</v>
      </c>
      <c r="I49" s="709">
        <f>'Input O&amp;M FERC 8-16'!H19</f>
        <v>6598.43</v>
      </c>
      <c r="J49" s="709">
        <f>'Input O&amp;M FERC 8-16'!I19</f>
        <v>7239</v>
      </c>
      <c r="K49" s="709">
        <f>'Input O&amp;M FERC 8-16'!J19</f>
        <v>7536</v>
      </c>
      <c r="L49" s="709">
        <f>'Input O&amp;M FERC 8-16'!K19</f>
        <v>6169</v>
      </c>
      <c r="M49" s="709">
        <f>'Input O&amp;M FERC 8-16'!L19</f>
        <v>6712</v>
      </c>
      <c r="N49" s="709">
        <f>'Input O&amp;M FERC 8-16'!M19</f>
        <v>7346</v>
      </c>
      <c r="O49" s="709">
        <f>'Input O&amp;M FERC 8-16'!N19</f>
        <v>7330</v>
      </c>
      <c r="P49" s="709">
        <f t="shared" si="0"/>
        <v>86542.36</v>
      </c>
    </row>
    <row r="50" spans="1:16" x14ac:dyDescent="0.2">
      <c r="A50" s="707">
        <f t="shared" si="1"/>
        <v>38</v>
      </c>
      <c r="B50" s="684">
        <v>885</v>
      </c>
      <c r="C50" s="691" t="s">
        <v>1559</v>
      </c>
      <c r="D50" s="709">
        <f>'Input O&amp;M FERC 8-16'!C21</f>
        <v>826.58</v>
      </c>
      <c r="E50" s="709">
        <f>'Input O&amp;M FERC 8-16'!D21</f>
        <v>847.85</v>
      </c>
      <c r="F50" s="709">
        <f>'Input O&amp;M FERC 8-16'!E21</f>
        <v>725.72</v>
      </c>
      <c r="G50" s="709">
        <f>'Input O&amp;M FERC 8-16'!F21</f>
        <v>770.57</v>
      </c>
      <c r="H50" s="709">
        <f>'Input O&amp;M FERC 8-16'!G21</f>
        <v>723.77</v>
      </c>
      <c r="I50" s="709">
        <f>'Input O&amp;M FERC 8-16'!H21</f>
        <v>902.08</v>
      </c>
      <c r="J50" s="709">
        <f>'Input O&amp;M FERC 8-16'!I21</f>
        <v>859</v>
      </c>
      <c r="K50" s="709">
        <f>'Input O&amp;M FERC 8-16'!J21</f>
        <v>800</v>
      </c>
      <c r="L50" s="709">
        <f>'Input O&amp;M FERC 8-16'!K21</f>
        <v>827</v>
      </c>
      <c r="M50" s="709">
        <f>'Input O&amp;M FERC 8-16'!L21</f>
        <v>875</v>
      </c>
      <c r="N50" s="709">
        <f>'Input O&amp;M FERC 8-16'!M21</f>
        <v>832</v>
      </c>
      <c r="O50" s="709">
        <f>'Input O&amp;M FERC 8-16'!N21</f>
        <v>805</v>
      </c>
      <c r="P50" s="709">
        <f t="shared" si="0"/>
        <v>9794.57</v>
      </c>
    </row>
    <row r="51" spans="1:16" x14ac:dyDescent="0.2">
      <c r="A51" s="707">
        <f t="shared" si="1"/>
        <v>39</v>
      </c>
      <c r="B51" s="684">
        <v>886</v>
      </c>
      <c r="C51" s="691" t="s">
        <v>1568</v>
      </c>
      <c r="D51" s="709">
        <f>'Input O&amp;M FERC 8-16'!C22</f>
        <v>19581.25</v>
      </c>
      <c r="E51" s="709">
        <f>'Input O&amp;M FERC 8-16'!D22</f>
        <v>22463.29</v>
      </c>
      <c r="F51" s="709">
        <f>'Input O&amp;M FERC 8-16'!E22</f>
        <v>11890.44</v>
      </c>
      <c r="G51" s="709">
        <f>'Input O&amp;M FERC 8-16'!F22</f>
        <v>36214.6</v>
      </c>
      <c r="H51" s="709">
        <f>'Input O&amp;M FERC 8-16'!G22</f>
        <v>12727.51</v>
      </c>
      <c r="I51" s="709">
        <f>'Input O&amp;M FERC 8-16'!H22</f>
        <v>30269.72</v>
      </c>
      <c r="J51" s="709">
        <f>'Input O&amp;M FERC 8-16'!I22</f>
        <v>16197</v>
      </c>
      <c r="K51" s="709">
        <f>'Input O&amp;M FERC 8-16'!J22</f>
        <v>19611</v>
      </c>
      <c r="L51" s="709">
        <f>'Input O&amp;M FERC 8-16'!K22</f>
        <v>20769</v>
      </c>
      <c r="M51" s="709">
        <f>'Input O&amp;M FERC 8-16'!L22</f>
        <v>21324</v>
      </c>
      <c r="N51" s="709">
        <f>'Input O&amp;M FERC 8-16'!M22</f>
        <v>21019</v>
      </c>
      <c r="O51" s="709">
        <f>'Input O&amp;M FERC 8-16'!N22</f>
        <v>23855</v>
      </c>
      <c r="P51" s="709">
        <f t="shared" si="0"/>
        <v>255921.81</v>
      </c>
    </row>
    <row r="52" spans="1:16" x14ac:dyDescent="0.2">
      <c r="A52" s="707">
        <f t="shared" si="1"/>
        <v>40</v>
      </c>
      <c r="B52" s="684">
        <v>887</v>
      </c>
      <c r="C52" s="691" t="s">
        <v>719</v>
      </c>
      <c r="D52" s="709">
        <f>'Input O&amp;M FERC 8-16'!C23</f>
        <v>220107.59</v>
      </c>
      <c r="E52" s="709">
        <f>'Input O&amp;M FERC 8-16'!D23</f>
        <v>198340.64</v>
      </c>
      <c r="F52" s="709">
        <f>'Input O&amp;M FERC 8-16'!E23</f>
        <v>197265.87</v>
      </c>
      <c r="G52" s="709">
        <f>'Input O&amp;M FERC 8-16'!F23</f>
        <v>261001.48</v>
      </c>
      <c r="H52" s="709">
        <f>'Input O&amp;M FERC 8-16'!G23</f>
        <v>178550.77</v>
      </c>
      <c r="I52" s="709">
        <f>'Input O&amp;M FERC 8-16'!H23</f>
        <v>266886.57</v>
      </c>
      <c r="J52" s="709">
        <f>'Input O&amp;M FERC 8-16'!I23</f>
        <v>213543.20272</v>
      </c>
      <c r="K52" s="709">
        <f>'Input O&amp;M FERC 8-16'!J23</f>
        <v>234918.80574000001</v>
      </c>
      <c r="L52" s="709">
        <f>'Input O&amp;M FERC 8-16'!K23</f>
        <v>244990.29332999999</v>
      </c>
      <c r="M52" s="709">
        <f>'Input O&amp;M FERC 8-16'!L23</f>
        <v>255380.74802</v>
      </c>
      <c r="N52" s="709">
        <f>'Input O&amp;M FERC 8-16'!M23</f>
        <v>249751.11983000001</v>
      </c>
      <c r="O52" s="709">
        <f>'Input O&amp;M FERC 8-16'!N23</f>
        <v>265936.11982999998</v>
      </c>
      <c r="P52" s="709">
        <f t="shared" si="0"/>
        <v>2786673.2094700001</v>
      </c>
    </row>
    <row r="53" spans="1:16" x14ac:dyDescent="0.2">
      <c r="A53" s="707">
        <f t="shared" si="1"/>
        <v>41</v>
      </c>
      <c r="B53" s="684">
        <v>889</v>
      </c>
      <c r="C53" s="691" t="s">
        <v>1562</v>
      </c>
      <c r="D53" s="709">
        <f>'Input O&amp;M FERC 8-16'!C24</f>
        <v>23337.71</v>
      </c>
      <c r="E53" s="709">
        <f>'Input O&amp;M FERC 8-16'!D24</f>
        <v>15301.92</v>
      </c>
      <c r="F53" s="709">
        <f>'Input O&amp;M FERC 8-16'!E24</f>
        <v>8274.73</v>
      </c>
      <c r="G53" s="709">
        <f>'Input O&amp;M FERC 8-16'!F24</f>
        <v>52450.23</v>
      </c>
      <c r="H53" s="709">
        <f>'Input O&amp;M FERC 8-16'!G24</f>
        <v>21022.77</v>
      </c>
      <c r="I53" s="709">
        <f>'Input O&amp;M FERC 8-16'!H24</f>
        <v>18237.599999999999</v>
      </c>
      <c r="J53" s="709">
        <f>'Input O&amp;M FERC 8-16'!I24</f>
        <v>21560</v>
      </c>
      <c r="K53" s="709">
        <f>'Input O&amp;M FERC 8-16'!J24</f>
        <v>21134</v>
      </c>
      <c r="L53" s="709">
        <f>'Input O&amp;M FERC 8-16'!K24</f>
        <v>21565</v>
      </c>
      <c r="M53" s="709">
        <f>'Input O&amp;M FERC 8-16'!L24</f>
        <v>23153</v>
      </c>
      <c r="N53" s="709">
        <f>'Input O&amp;M FERC 8-16'!M24</f>
        <v>22520</v>
      </c>
      <c r="O53" s="709">
        <f>'Input O&amp;M FERC 8-16'!N24</f>
        <v>20871</v>
      </c>
      <c r="P53" s="709">
        <f t="shared" si="0"/>
        <v>269427.95999999996</v>
      </c>
    </row>
    <row r="54" spans="1:16" x14ac:dyDescent="0.2">
      <c r="A54" s="707">
        <f t="shared" si="1"/>
        <v>42</v>
      </c>
      <c r="B54" s="684">
        <v>890</v>
      </c>
      <c r="C54" s="691" t="s">
        <v>1563</v>
      </c>
      <c r="D54" s="709">
        <f>'Input O&amp;M FERC 8-16'!C25</f>
        <v>4740.43</v>
      </c>
      <c r="E54" s="709">
        <f>'Input O&amp;M FERC 8-16'!D25</f>
        <v>6048.74</v>
      </c>
      <c r="F54" s="709">
        <f>'Input O&amp;M FERC 8-16'!E25</f>
        <v>5166.42</v>
      </c>
      <c r="G54" s="709">
        <f>'Input O&amp;M FERC 8-16'!F25</f>
        <v>5355.93</v>
      </c>
      <c r="H54" s="709">
        <f>'Input O&amp;M FERC 8-16'!G25</f>
        <v>3473.7</v>
      </c>
      <c r="I54" s="709">
        <f>'Input O&amp;M FERC 8-16'!H25</f>
        <v>2868.65</v>
      </c>
      <c r="J54" s="709">
        <f>'Input O&amp;M FERC 8-16'!I25</f>
        <v>5530</v>
      </c>
      <c r="K54" s="709">
        <f>'Input O&amp;M FERC 8-16'!J25</f>
        <v>5258</v>
      </c>
      <c r="L54" s="709">
        <f>'Input O&amp;M FERC 8-16'!K25</f>
        <v>5439</v>
      </c>
      <c r="M54" s="709">
        <f>'Input O&amp;M FERC 8-16'!L25</f>
        <v>5743</v>
      </c>
      <c r="N54" s="709">
        <f>'Input O&amp;M FERC 8-16'!M25</f>
        <v>5520</v>
      </c>
      <c r="O54" s="709">
        <f>'Input O&amp;M FERC 8-16'!N25</f>
        <v>5432</v>
      </c>
      <c r="P54" s="709">
        <f t="shared" si="0"/>
        <v>60575.87</v>
      </c>
    </row>
    <row r="55" spans="1:16" x14ac:dyDescent="0.2">
      <c r="A55" s="707"/>
      <c r="B55" s="684"/>
      <c r="C55" s="691"/>
      <c r="D55" s="713"/>
      <c r="E55" s="713"/>
      <c r="F55" s="713"/>
      <c r="G55" s="713"/>
      <c r="H55" s="713"/>
      <c r="I55" s="713"/>
      <c r="J55" s="713"/>
      <c r="K55" s="713"/>
      <c r="L55" s="713"/>
      <c r="M55" s="713"/>
      <c r="N55" s="713"/>
      <c r="O55" s="713"/>
      <c r="P55" s="709"/>
    </row>
    <row r="56" spans="1:16" x14ac:dyDescent="0.2">
      <c r="A56" s="2132" t="str">
        <f>A1</f>
        <v>COLUMBIA GAS OF KENTUCKY, INC.</v>
      </c>
      <c r="B56" s="2132"/>
      <c r="C56" s="2133"/>
      <c r="D56" s="2133"/>
      <c r="E56" s="2133"/>
      <c r="F56" s="2133"/>
      <c r="G56" s="2133"/>
      <c r="H56" s="2133"/>
      <c r="I56" s="2133"/>
      <c r="J56" s="2133"/>
      <c r="K56" s="2133"/>
      <c r="L56" s="2133"/>
      <c r="M56" s="2133"/>
      <c r="N56" s="2133"/>
      <c r="O56" s="2133"/>
      <c r="P56" s="2133"/>
    </row>
    <row r="57" spans="1:16" x14ac:dyDescent="0.2">
      <c r="A57" s="2132" t="str">
        <f>case</f>
        <v>CASE NO. 2016 - 00162</v>
      </c>
      <c r="B57" s="2132"/>
      <c r="C57" s="2133"/>
      <c r="D57" s="2133"/>
      <c r="E57" s="2133"/>
      <c r="F57" s="2133"/>
      <c r="G57" s="2133"/>
      <c r="H57" s="2133"/>
      <c r="I57" s="2133"/>
      <c r="J57" s="2133"/>
      <c r="K57" s="2133"/>
      <c r="L57" s="2133"/>
      <c r="M57" s="2133"/>
      <c r="N57" s="2133"/>
      <c r="O57" s="2133"/>
      <c r="P57" s="2133"/>
    </row>
    <row r="58" spans="1:16" x14ac:dyDescent="0.2">
      <c r="A58" s="2132" t="str">
        <f>A3</f>
        <v>COMPARISON OF TOTAL COMPANY ACCOUNT ACTIVITY</v>
      </c>
      <c r="B58" s="2132"/>
      <c r="C58" s="2133"/>
      <c r="D58" s="2133"/>
      <c r="E58" s="2133"/>
      <c r="F58" s="2133"/>
      <c r="G58" s="2133"/>
      <c r="H58" s="2133"/>
      <c r="I58" s="2133"/>
      <c r="J58" s="2133"/>
      <c r="K58" s="2133"/>
      <c r="L58" s="2133"/>
      <c r="M58" s="2133"/>
      <c r="N58" s="2133"/>
      <c r="O58" s="2133"/>
      <c r="P58" s="2133"/>
    </row>
    <row r="59" spans="1:16" x14ac:dyDescent="0.2">
      <c r="A59" s="2132" t="str">
        <f>A4</f>
        <v>BASE PERIOD: TWELVE MONTHS ENDED AUGUST 31, 2016</v>
      </c>
      <c r="B59" s="2132"/>
      <c r="C59" s="2133"/>
      <c r="D59" s="2133"/>
      <c r="E59" s="2133"/>
      <c r="F59" s="2133"/>
      <c r="G59" s="2133"/>
      <c r="H59" s="2133"/>
      <c r="I59" s="2133"/>
      <c r="J59" s="2133"/>
      <c r="K59" s="2133"/>
      <c r="L59" s="2133"/>
      <c r="M59" s="2133"/>
      <c r="N59" s="2133"/>
      <c r="O59" s="2133"/>
      <c r="P59" s="2133"/>
    </row>
    <row r="60" spans="1:16" x14ac:dyDescent="0.2">
      <c r="A60" s="684"/>
      <c r="B60" s="684"/>
      <c r="C60" s="685"/>
      <c r="D60" s="685"/>
      <c r="E60" s="685"/>
      <c r="F60" s="685"/>
      <c r="G60" s="685"/>
      <c r="H60" s="685"/>
      <c r="I60" s="685"/>
      <c r="J60" s="685"/>
      <c r="K60" s="685"/>
      <c r="L60" s="685"/>
      <c r="M60" s="685"/>
      <c r="N60" s="685"/>
      <c r="O60" s="685"/>
      <c r="P60" s="685"/>
    </row>
    <row r="61" spans="1:16" x14ac:dyDescent="0.2">
      <c r="A61" s="690" t="s">
        <v>976</v>
      </c>
      <c r="B61" s="690"/>
      <c r="C61" s="686"/>
      <c r="D61" s="686"/>
      <c r="E61" s="686"/>
      <c r="F61" s="686"/>
      <c r="G61" s="686"/>
      <c r="H61" s="686"/>
      <c r="I61" s="686"/>
      <c r="J61" s="686"/>
      <c r="K61" s="686"/>
      <c r="L61" s="686"/>
      <c r="M61" s="686"/>
      <c r="N61" s="691"/>
      <c r="O61" s="686"/>
      <c r="P61" s="692" t="str">
        <f>P6</f>
        <v>SCHEDULE C-2.2A</v>
      </c>
    </row>
    <row r="62" spans="1:16" x14ac:dyDescent="0.2">
      <c r="A62" s="690" t="s">
        <v>977</v>
      </c>
      <c r="B62" s="690"/>
      <c r="C62" s="686"/>
      <c r="D62" s="686"/>
      <c r="E62" s="686"/>
      <c r="F62" s="686"/>
      <c r="G62" s="686"/>
      <c r="H62" s="686"/>
      <c r="I62" s="686"/>
      <c r="J62" s="686"/>
      <c r="K62" s="686"/>
      <c r="L62" s="686"/>
      <c r="M62" s="686"/>
      <c r="N62" s="691"/>
      <c r="O62" s="686"/>
      <c r="P62" s="692" t="s">
        <v>1438</v>
      </c>
    </row>
    <row r="63" spans="1:16" x14ac:dyDescent="0.2">
      <c r="A63" s="694" t="s">
        <v>996</v>
      </c>
      <c r="B63" s="694"/>
      <c r="C63" s="695"/>
      <c r="D63" s="695"/>
      <c r="E63" s="695"/>
      <c r="F63" s="695"/>
      <c r="G63" s="695"/>
      <c r="H63" s="695"/>
      <c r="I63" s="695"/>
      <c r="J63" s="695"/>
      <c r="K63" s="695"/>
      <c r="L63" s="695"/>
      <c r="M63" s="695"/>
      <c r="N63" s="696"/>
      <c r="O63" s="695"/>
      <c r="P63" s="697" t="str">
        <f>P8</f>
        <v>WITNESS:  J. T. CROOM</v>
      </c>
    </row>
    <row r="64" spans="1:16" x14ac:dyDescent="0.2">
      <c r="A64" s="698" t="s">
        <v>1080</v>
      </c>
      <c r="B64" s="699"/>
      <c r="C64" s="699"/>
      <c r="D64" s="684" t="str">
        <f t="shared" ref="D64:O64" si="2">D9</f>
        <v>Actual</v>
      </c>
      <c r="E64" s="684" t="str">
        <f t="shared" si="2"/>
        <v>Actual</v>
      </c>
      <c r="F64" s="684" t="str">
        <f t="shared" si="2"/>
        <v>Actual</v>
      </c>
      <c r="G64" s="684" t="str">
        <f t="shared" si="2"/>
        <v>Actual</v>
      </c>
      <c r="H64" s="684" t="str">
        <f t="shared" si="2"/>
        <v>Actual</v>
      </c>
      <c r="I64" s="684" t="str">
        <f t="shared" si="2"/>
        <v>Actual</v>
      </c>
      <c r="J64" s="684" t="str">
        <f t="shared" si="2"/>
        <v>Forecasted</v>
      </c>
      <c r="K64" s="684" t="str">
        <f t="shared" si="2"/>
        <v>Forecasted</v>
      </c>
      <c r="L64" s="684" t="str">
        <f t="shared" si="2"/>
        <v>Forecasted</v>
      </c>
      <c r="M64" s="684" t="str">
        <f t="shared" si="2"/>
        <v>Forecasted</v>
      </c>
      <c r="N64" s="684" t="str">
        <f t="shared" si="2"/>
        <v>Forecasted</v>
      </c>
      <c r="O64" s="684" t="str">
        <f t="shared" si="2"/>
        <v>Forecasted</v>
      </c>
      <c r="P64" s="686"/>
    </row>
    <row r="65" spans="1:16" x14ac:dyDescent="0.2">
      <c r="A65" s="702" t="s">
        <v>1081</v>
      </c>
      <c r="B65" s="702" t="s">
        <v>1518</v>
      </c>
      <c r="C65" s="702" t="s">
        <v>1519</v>
      </c>
      <c r="D65" s="714" t="str">
        <f t="shared" ref="D65:O65" si="3">D10</f>
        <v>SEP</v>
      </c>
      <c r="E65" s="714" t="str">
        <f t="shared" si="3"/>
        <v>OCT</v>
      </c>
      <c r="F65" s="714" t="str">
        <f t="shared" si="3"/>
        <v>NOV</v>
      </c>
      <c r="G65" s="714" t="str">
        <f t="shared" si="3"/>
        <v>DEC</v>
      </c>
      <c r="H65" s="714" t="str">
        <f t="shared" si="3"/>
        <v>JAN</v>
      </c>
      <c r="I65" s="714" t="str">
        <f t="shared" si="3"/>
        <v>FEB</v>
      </c>
      <c r="J65" s="714" t="str">
        <f t="shared" si="3"/>
        <v>MAR</v>
      </c>
      <c r="K65" s="714" t="str">
        <f t="shared" si="3"/>
        <v>APR</v>
      </c>
      <c r="L65" s="714" t="str">
        <f t="shared" si="3"/>
        <v>MAY</v>
      </c>
      <c r="M65" s="714" t="str">
        <f t="shared" si="3"/>
        <v>JUN</v>
      </c>
      <c r="N65" s="714" t="str">
        <f t="shared" si="3"/>
        <v>JUL</v>
      </c>
      <c r="O65" s="714" t="str">
        <f t="shared" si="3"/>
        <v>AUG 16</v>
      </c>
      <c r="P65" s="704" t="s">
        <v>670</v>
      </c>
    </row>
    <row r="66" spans="1:16" x14ac:dyDescent="0.2">
      <c r="A66" s="686"/>
      <c r="B66" s="686"/>
      <c r="C66" s="686"/>
      <c r="D66" s="706" t="s">
        <v>639</v>
      </c>
      <c r="E66" s="706" t="s">
        <v>639</v>
      </c>
      <c r="F66" s="706" t="s">
        <v>639</v>
      </c>
      <c r="G66" s="706" t="s">
        <v>639</v>
      </c>
      <c r="H66" s="706" t="s">
        <v>639</v>
      </c>
      <c r="I66" s="706" t="s">
        <v>639</v>
      </c>
      <c r="J66" s="706" t="s">
        <v>639</v>
      </c>
      <c r="K66" s="706" t="s">
        <v>639</v>
      </c>
      <c r="L66" s="706" t="s">
        <v>639</v>
      </c>
      <c r="M66" s="706" t="s">
        <v>639</v>
      </c>
      <c r="N66" s="706" t="s">
        <v>639</v>
      </c>
      <c r="O66" s="706" t="s">
        <v>639</v>
      </c>
      <c r="P66" s="706" t="s">
        <v>639</v>
      </c>
    </row>
    <row r="67" spans="1:16" x14ac:dyDescent="0.2">
      <c r="A67" s="686"/>
      <c r="B67" s="686"/>
      <c r="C67" s="686"/>
      <c r="D67" s="706"/>
      <c r="E67" s="706"/>
      <c r="F67" s="706"/>
      <c r="G67" s="706"/>
      <c r="H67" s="706"/>
      <c r="I67" s="706"/>
      <c r="J67" s="706"/>
      <c r="K67" s="706"/>
      <c r="L67" s="706"/>
      <c r="M67" s="706"/>
      <c r="N67" s="706"/>
      <c r="O67" s="706"/>
      <c r="P67" s="706"/>
    </row>
    <row r="68" spans="1:16" x14ac:dyDescent="0.2">
      <c r="A68" s="707">
        <v>1</v>
      </c>
      <c r="B68" s="684" t="s">
        <v>1431</v>
      </c>
      <c r="C68" s="691" t="s">
        <v>724</v>
      </c>
      <c r="D68" s="709">
        <f>'Input O&amp;M FERC 8-16'!C26</f>
        <v>22576.07</v>
      </c>
      <c r="E68" s="709">
        <f>'Input O&amp;M FERC 8-16'!D26</f>
        <v>11536.67</v>
      </c>
      <c r="F68" s="709">
        <f>'Input O&amp;M FERC 8-16'!E26</f>
        <v>33845.599999999999</v>
      </c>
      <c r="G68" s="709">
        <f>'Input O&amp;M FERC 8-16'!F26</f>
        <v>19273.38</v>
      </c>
      <c r="H68" s="709">
        <f>'Input O&amp;M FERC 8-16'!G26</f>
        <v>50206.21</v>
      </c>
      <c r="I68" s="709">
        <f>'Input O&amp;M FERC 8-16'!H26</f>
        <v>42955.48</v>
      </c>
      <c r="J68" s="709">
        <f>'Input O&amp;M FERC 8-16'!I26</f>
        <v>50149.73661</v>
      </c>
      <c r="K68" s="709">
        <f>'Input O&amp;M FERC 8-16'!J26</f>
        <v>54053.570610000002</v>
      </c>
      <c r="L68" s="709">
        <f>'Input O&amp;M FERC 8-16'!K26</f>
        <v>55474.628140000001</v>
      </c>
      <c r="M68" s="709">
        <f>'Input O&amp;M FERC 8-16'!L26</f>
        <v>58325.182370000002</v>
      </c>
      <c r="N68" s="709">
        <f>'Input O&amp;M FERC 8-16'!M26</f>
        <v>57157.774530000002</v>
      </c>
      <c r="O68" s="709">
        <f>'Input O&amp;M FERC 8-16'!N26</f>
        <v>60478.774530000002</v>
      </c>
      <c r="P68" s="709">
        <f>SUM(D68:O68)</f>
        <v>516033.07678999996</v>
      </c>
    </row>
    <row r="69" spans="1:16" x14ac:dyDescent="0.2">
      <c r="A69" s="707">
        <f>A68+1</f>
        <v>2</v>
      </c>
      <c r="B69" s="684" t="s">
        <v>1433</v>
      </c>
      <c r="C69" s="691" t="s">
        <v>1569</v>
      </c>
      <c r="D69" s="709">
        <f>'Input O&amp;M FERC 8-16'!C27</f>
        <v>16543.689999999999</v>
      </c>
      <c r="E69" s="709">
        <f>'Input O&amp;M FERC 8-16'!D27</f>
        <v>15626.63</v>
      </c>
      <c r="F69" s="709">
        <f>'Input O&amp;M FERC 8-16'!E27</f>
        <v>9818.36</v>
      </c>
      <c r="G69" s="709">
        <f>'Input O&amp;M FERC 8-16'!F27</f>
        <v>6331.14</v>
      </c>
      <c r="H69" s="709">
        <f>'Input O&amp;M FERC 8-16'!G27</f>
        <v>2357.63</v>
      </c>
      <c r="I69" s="709">
        <f>'Input O&amp;M FERC 8-16'!H27</f>
        <v>31983.68</v>
      </c>
      <c r="J69" s="709">
        <f>'Input O&amp;M FERC 8-16'!I27</f>
        <v>11007</v>
      </c>
      <c r="K69" s="709">
        <f>'Input O&amp;M FERC 8-16'!J27</f>
        <v>11310</v>
      </c>
      <c r="L69" s="709">
        <f>'Input O&amp;M FERC 8-16'!K27</f>
        <v>11209</v>
      </c>
      <c r="M69" s="709">
        <f>'Input O&amp;M FERC 8-16'!L27</f>
        <v>12258</v>
      </c>
      <c r="N69" s="709">
        <f>'Input O&amp;M FERC 8-16'!M27</f>
        <v>12162</v>
      </c>
      <c r="O69" s="709">
        <f>'Input O&amp;M FERC 8-16'!N27</f>
        <v>11021</v>
      </c>
      <c r="P69" s="709">
        <f t="shared" ref="P69:P98" si="4">SUM(D69:O69)</f>
        <v>151628.13</v>
      </c>
    </row>
    <row r="70" spans="1:16" x14ac:dyDescent="0.2">
      <c r="A70" s="707">
        <f t="shared" ref="A70:A98" si="5">A69+1</f>
        <v>3</v>
      </c>
      <c r="B70" s="684" t="s">
        <v>1435</v>
      </c>
      <c r="C70" s="691" t="s">
        <v>1570</v>
      </c>
      <c r="D70" s="709">
        <f>'Input O&amp;M FERC 8-16'!C28</f>
        <v>18901.41</v>
      </c>
      <c r="E70" s="709">
        <f>'Input O&amp;M FERC 8-16'!D28</f>
        <v>16973.560000000001</v>
      </c>
      <c r="F70" s="709">
        <f>'Input O&amp;M FERC 8-16'!E28</f>
        <v>17047.18</v>
      </c>
      <c r="G70" s="709">
        <f>'Input O&amp;M FERC 8-16'!F28</f>
        <v>31624.86</v>
      </c>
      <c r="H70" s="709">
        <f>'Input O&amp;M FERC 8-16'!G28</f>
        <v>16251.01</v>
      </c>
      <c r="I70" s="709">
        <f>'Input O&amp;M FERC 8-16'!H28</f>
        <v>44124.160000000003</v>
      </c>
      <c r="J70" s="709">
        <f>'Input O&amp;M FERC 8-16'!I28</f>
        <v>24675</v>
      </c>
      <c r="K70" s="709">
        <f>'Input O&amp;M FERC 8-16'!J28</f>
        <v>24144</v>
      </c>
      <c r="L70" s="709">
        <f>'Input O&amp;M FERC 8-16'!K28</f>
        <v>24949</v>
      </c>
      <c r="M70" s="709">
        <f>'Input O&amp;M FERC 8-16'!L28</f>
        <v>26464</v>
      </c>
      <c r="N70" s="709">
        <f>'Input O&amp;M FERC 8-16'!M28</f>
        <v>25638</v>
      </c>
      <c r="O70" s="709">
        <f>'Input O&amp;M FERC 8-16'!N28</f>
        <v>24477</v>
      </c>
      <c r="P70" s="709">
        <f t="shared" si="4"/>
        <v>295269.18</v>
      </c>
    </row>
    <row r="71" spans="1:16" x14ac:dyDescent="0.2">
      <c r="A71" s="707">
        <f t="shared" si="5"/>
        <v>4</v>
      </c>
      <c r="B71" s="684" t="s">
        <v>1440</v>
      </c>
      <c r="C71" s="691" t="s">
        <v>1571</v>
      </c>
      <c r="D71" s="709">
        <f>'Input O&amp;M FERC 8-16'!C30</f>
        <v>0</v>
      </c>
      <c r="E71" s="709">
        <f>'Input O&amp;M FERC 8-16'!D30</f>
        <v>0</v>
      </c>
      <c r="F71" s="709">
        <f>'Input O&amp;M FERC 8-16'!E30</f>
        <v>0</v>
      </c>
      <c r="G71" s="709">
        <f>'Input O&amp;M FERC 8-16'!F30</f>
        <v>0</v>
      </c>
      <c r="H71" s="709">
        <f>'Input O&amp;M FERC 8-16'!G30</f>
        <v>0</v>
      </c>
      <c r="I71" s="709">
        <f>'Input O&amp;M FERC 8-16'!H30</f>
        <v>0</v>
      </c>
      <c r="J71" s="709">
        <f>'Input O&amp;M FERC 8-16'!I30</f>
        <v>0</v>
      </c>
      <c r="K71" s="709">
        <f>'Input O&amp;M FERC 8-16'!J30</f>
        <v>0</v>
      </c>
      <c r="L71" s="709">
        <f>'Input O&amp;M FERC 8-16'!K30</f>
        <v>0</v>
      </c>
      <c r="M71" s="709">
        <f>'Input O&amp;M FERC 8-16'!L30</f>
        <v>0</v>
      </c>
      <c r="N71" s="709">
        <f>'Input O&amp;M FERC 8-16'!M30</f>
        <v>0</v>
      </c>
      <c r="O71" s="709">
        <f>'Input O&amp;M FERC 8-16'!N30</f>
        <v>0</v>
      </c>
      <c r="P71" s="709">
        <f t="shared" si="4"/>
        <v>0</v>
      </c>
    </row>
    <row r="72" spans="1:16" x14ac:dyDescent="0.2">
      <c r="A72" s="707">
        <f t="shared" si="5"/>
        <v>5</v>
      </c>
      <c r="B72" s="684" t="s">
        <v>1442</v>
      </c>
      <c r="C72" s="691" t="s">
        <v>1572</v>
      </c>
      <c r="D72" s="709">
        <f>'Input O&amp;M FERC 8-16'!C31</f>
        <v>21034.11</v>
      </c>
      <c r="E72" s="709">
        <f>'Input O&amp;M FERC 8-16'!D31</f>
        <v>-4898.1000000000004</v>
      </c>
      <c r="F72" s="709">
        <f>'Input O&amp;M FERC 8-16'!E31</f>
        <v>25565.14</v>
      </c>
      <c r="G72" s="709">
        <f>'Input O&amp;M FERC 8-16'!F31</f>
        <v>14532.47</v>
      </c>
      <c r="H72" s="709">
        <f>'Input O&amp;M FERC 8-16'!G31</f>
        <v>15622.73</v>
      </c>
      <c r="I72" s="709">
        <f>'Input O&amp;M FERC 8-16'!H31</f>
        <v>32333.87</v>
      </c>
      <c r="J72" s="709">
        <f>'Input O&amp;M FERC 8-16'!I31</f>
        <v>37274</v>
      </c>
      <c r="K72" s="709">
        <f>'Input O&amp;M FERC 8-16'!J31</f>
        <v>42189</v>
      </c>
      <c r="L72" s="709">
        <f>'Input O&amp;M FERC 8-16'!K31</f>
        <v>44335</v>
      </c>
      <c r="M72" s="709">
        <f>'Input O&amp;M FERC 8-16'!L31</f>
        <v>45692</v>
      </c>
      <c r="N72" s="709">
        <f>'Input O&amp;M FERC 8-16'!M31</f>
        <v>44621</v>
      </c>
      <c r="O72" s="709">
        <f>'Input O&amp;M FERC 8-16'!N31</f>
        <v>49641</v>
      </c>
      <c r="P72" s="709">
        <f t="shared" si="4"/>
        <v>367942.22</v>
      </c>
    </row>
    <row r="73" spans="1:16" ht="24" x14ac:dyDescent="0.2">
      <c r="A73" s="707">
        <f t="shared" si="5"/>
        <v>6</v>
      </c>
      <c r="B73" s="684" t="s">
        <v>1444</v>
      </c>
      <c r="C73" s="710" t="s">
        <v>1573</v>
      </c>
      <c r="D73" s="709">
        <f>'Input O&amp;M FERC 8-16'!C32</f>
        <v>248614.98</v>
      </c>
      <c r="E73" s="709">
        <f>'Input O&amp;M FERC 8-16'!D32</f>
        <v>241849.68</v>
      </c>
      <c r="F73" s="709">
        <f>'Input O&amp;M FERC 8-16'!E32</f>
        <v>282039.61</v>
      </c>
      <c r="G73" s="709">
        <f>'Input O&amp;M FERC 8-16'!F32</f>
        <v>280952.78999999998</v>
      </c>
      <c r="H73" s="709">
        <f>'Input O&amp;M FERC 8-16'!G32</f>
        <v>241414.47</v>
      </c>
      <c r="I73" s="709">
        <f>'Input O&amp;M FERC 8-16'!H32</f>
        <v>241009.38</v>
      </c>
      <c r="J73" s="709">
        <f>'Input O&amp;M FERC 8-16'!I32</f>
        <v>289830.77862999996</v>
      </c>
      <c r="K73" s="709">
        <f>'Input O&amp;M FERC 8-16'!J32</f>
        <v>286930.69272999995</v>
      </c>
      <c r="L73" s="709">
        <f>'Input O&amp;M FERC 8-16'!K32</f>
        <v>290554.32324999996</v>
      </c>
      <c r="M73" s="709">
        <f>'Input O&amp;M FERC 8-16'!L32</f>
        <v>312691.05095</v>
      </c>
      <c r="N73" s="709">
        <f>'Input O&amp;M FERC 8-16'!M32</f>
        <v>306850.14548000001</v>
      </c>
      <c r="O73" s="709">
        <f>'Input O&amp;M FERC 8-16'!N32</f>
        <v>293531.14548000001</v>
      </c>
      <c r="P73" s="709">
        <f t="shared" si="4"/>
        <v>3316269.0465199999</v>
      </c>
    </row>
    <row r="74" spans="1:16" x14ac:dyDescent="0.2">
      <c r="A74" s="707">
        <f t="shared" si="5"/>
        <v>7</v>
      </c>
      <c r="B74" s="684" t="s">
        <v>1446</v>
      </c>
      <c r="C74" s="691" t="s">
        <v>1574</v>
      </c>
      <c r="D74" s="709">
        <f>'Input O&amp;M FERC 8-16'!C33</f>
        <v>26619.5</v>
      </c>
      <c r="E74" s="709">
        <f>'Input O&amp;M FERC 8-16'!D33</f>
        <v>53741.14</v>
      </c>
      <c r="F74" s="709">
        <f>'Input O&amp;M FERC 8-16'!E33</f>
        <v>-49936.85</v>
      </c>
      <c r="G74" s="709">
        <f>'Input O&amp;M FERC 8-16'!F33</f>
        <v>-138960.06</v>
      </c>
      <c r="H74" s="709">
        <f>'Input O&amp;M FERC 8-16'!G33</f>
        <v>224849.48</v>
      </c>
      <c r="I74" s="709">
        <f>'Input O&amp;M FERC 8-16'!H33</f>
        <v>169472.86</v>
      </c>
      <c r="J74" s="709">
        <f>'Input O&amp;M FERC 8-16'!I33</f>
        <v>173350</v>
      </c>
      <c r="K74" s="709">
        <f>'Input O&amp;M FERC 8-16'!J33</f>
        <v>112414</v>
      </c>
      <c r="L74" s="709">
        <f>'Input O&amp;M FERC 8-16'!K33</f>
        <v>81297</v>
      </c>
      <c r="M74" s="709">
        <f>'Input O&amp;M FERC 8-16'!L33</f>
        <v>52947</v>
      </c>
      <c r="N74" s="709">
        <f>'Input O&amp;M FERC 8-16'!M33</f>
        <v>50805</v>
      </c>
      <c r="O74" s="709">
        <f>'Input O&amp;M FERC 8-16'!N33</f>
        <v>55375</v>
      </c>
      <c r="P74" s="709">
        <f t="shared" si="4"/>
        <v>811974.07000000007</v>
      </c>
    </row>
    <row r="75" spans="1:16" x14ac:dyDescent="0.2">
      <c r="A75" s="707">
        <f t="shared" si="5"/>
        <v>8</v>
      </c>
      <c r="B75" s="684" t="s">
        <v>1448</v>
      </c>
      <c r="C75" s="691" t="s">
        <v>1575</v>
      </c>
      <c r="D75" s="709">
        <f>'Input O&amp;M FERC 8-16'!C34</f>
        <v>75.87</v>
      </c>
      <c r="E75" s="709">
        <f>'Input O&amp;M FERC 8-16'!D34</f>
        <v>130.29</v>
      </c>
      <c r="F75" s="709">
        <f>'Input O&amp;M FERC 8-16'!E34</f>
        <v>78.06</v>
      </c>
      <c r="G75" s="709">
        <f>'Input O&amp;M FERC 8-16'!F34</f>
        <v>173.48</v>
      </c>
      <c r="H75" s="709">
        <f>'Input O&amp;M FERC 8-16'!G34</f>
        <v>33.159999999999997</v>
      </c>
      <c r="I75" s="709">
        <f>'Input O&amp;M FERC 8-16'!H34</f>
        <v>162.71</v>
      </c>
      <c r="J75" s="709">
        <f>'Input O&amp;M FERC 8-16'!I34</f>
        <v>91</v>
      </c>
      <c r="K75" s="709">
        <f>'Input O&amp;M FERC 8-16'!J34</f>
        <v>92</v>
      </c>
      <c r="L75" s="709">
        <f>'Input O&amp;M FERC 8-16'!K34</f>
        <v>96</v>
      </c>
      <c r="M75" s="709">
        <f>'Input O&amp;M FERC 8-16'!L34</f>
        <v>94</v>
      </c>
      <c r="N75" s="709">
        <f>'Input O&amp;M FERC 8-16'!M34</f>
        <v>87</v>
      </c>
      <c r="O75" s="709">
        <f>'Input O&amp;M FERC 8-16'!N34</f>
        <v>87</v>
      </c>
      <c r="P75" s="709">
        <f t="shared" si="4"/>
        <v>1200.5700000000002</v>
      </c>
    </row>
    <row r="76" spans="1:16" x14ac:dyDescent="0.2">
      <c r="A76" s="707">
        <f t="shared" si="5"/>
        <v>9</v>
      </c>
      <c r="B76" s="684" t="s">
        <v>1454</v>
      </c>
      <c r="C76" s="691" t="s">
        <v>1571</v>
      </c>
      <c r="D76" s="709">
        <f>'Input O&amp;M FERC 8-16'!C38</f>
        <v>0</v>
      </c>
      <c r="E76" s="709">
        <f>'Input O&amp;M FERC 8-16'!D38</f>
        <v>0</v>
      </c>
      <c r="F76" s="709">
        <f>'Input O&amp;M FERC 8-16'!E38</f>
        <v>0</v>
      </c>
      <c r="G76" s="709">
        <f>'Input O&amp;M FERC 8-16'!F38</f>
        <v>-6.4</v>
      </c>
      <c r="H76" s="709">
        <f>'Input O&amp;M FERC 8-16'!G38</f>
        <v>6115</v>
      </c>
      <c r="I76" s="709">
        <f>'Input O&amp;M FERC 8-16'!H38</f>
        <v>0</v>
      </c>
      <c r="J76" s="709">
        <f>'Input O&amp;M FERC 8-16'!I38</f>
        <v>792</v>
      </c>
      <c r="K76" s="709">
        <f>'Input O&amp;M FERC 8-16'!J38</f>
        <v>836</v>
      </c>
      <c r="L76" s="709">
        <f>'Input O&amp;M FERC 8-16'!K38</f>
        <v>3183</v>
      </c>
      <c r="M76" s="709">
        <f>'Input O&amp;M FERC 8-16'!L38</f>
        <v>927</v>
      </c>
      <c r="N76" s="709">
        <f>'Input O&amp;M FERC 8-16'!M38</f>
        <v>3179</v>
      </c>
      <c r="O76" s="709">
        <f>'Input O&amp;M FERC 8-16'!N38</f>
        <v>791</v>
      </c>
      <c r="P76" s="709">
        <f t="shared" si="4"/>
        <v>15816.6</v>
      </c>
    </row>
    <row r="77" spans="1:16" x14ac:dyDescent="0.2">
      <c r="A77" s="707">
        <f t="shared" si="5"/>
        <v>10</v>
      </c>
      <c r="B77" s="684" t="s">
        <v>1455</v>
      </c>
      <c r="C77" s="691" t="s">
        <v>1576</v>
      </c>
      <c r="D77" s="709">
        <f>'Input O&amp;M FERC 8-16'!C39</f>
        <v>54871.19</v>
      </c>
      <c r="E77" s="709">
        <f>'Input O&amp;M FERC 8-16'!D39</f>
        <v>62178.1</v>
      </c>
      <c r="F77" s="709">
        <f>'Input O&amp;M FERC 8-16'!E39</f>
        <v>45622.01</v>
      </c>
      <c r="G77" s="709">
        <f>'Input O&amp;M FERC 8-16'!F39</f>
        <v>127548.21</v>
      </c>
      <c r="H77" s="709">
        <f>'Input O&amp;M FERC 8-16'!G39</f>
        <v>108710.36</v>
      </c>
      <c r="I77" s="709">
        <f>'Input O&amp;M FERC 8-16'!H39</f>
        <v>111278.97</v>
      </c>
      <c r="J77" s="709">
        <f>'Input O&amp;M FERC 8-16'!I39</f>
        <v>51557.972460000005</v>
      </c>
      <c r="K77" s="709">
        <f>'Input O&amp;M FERC 8-16'!J39</f>
        <v>53963.972460000005</v>
      </c>
      <c r="L77" s="709">
        <f>'Input O&amp;M FERC 8-16'!K39</f>
        <v>63677.972460000005</v>
      </c>
      <c r="M77" s="709">
        <f>'Input O&amp;M FERC 8-16'!L39</f>
        <v>65321.972460000005</v>
      </c>
      <c r="N77" s="709">
        <f>'Input O&amp;M FERC 8-16'!M39</f>
        <v>75979.972460000005</v>
      </c>
      <c r="O77" s="709">
        <f>'Input O&amp;M FERC 8-16'!N39</f>
        <v>66495.972460000005</v>
      </c>
      <c r="P77" s="709">
        <f t="shared" si="4"/>
        <v>887206.67475999973</v>
      </c>
    </row>
    <row r="78" spans="1:16" x14ac:dyDescent="0.2">
      <c r="A78" s="707">
        <f t="shared" si="5"/>
        <v>11</v>
      </c>
      <c r="B78" s="684" t="s">
        <v>1457</v>
      </c>
      <c r="C78" s="691" t="s">
        <v>1577</v>
      </c>
      <c r="D78" s="709">
        <f>'Input O&amp;M FERC 8-16'!C40</f>
        <v>635.09</v>
      </c>
      <c r="E78" s="709">
        <f>'Input O&amp;M FERC 8-16'!D40</f>
        <v>1908.43</v>
      </c>
      <c r="F78" s="709">
        <f>'Input O&amp;M FERC 8-16'!E40</f>
        <v>41475.4</v>
      </c>
      <c r="G78" s="709">
        <f>'Input O&amp;M FERC 8-16'!F40</f>
        <v>4805.88</v>
      </c>
      <c r="H78" s="709">
        <f>'Input O&amp;M FERC 8-16'!G40</f>
        <v>807.03</v>
      </c>
      <c r="I78" s="709">
        <f>'Input O&amp;M FERC 8-16'!H40</f>
        <v>458.76</v>
      </c>
      <c r="J78" s="709">
        <f>'Input O&amp;M FERC 8-16'!I40</f>
        <v>5011</v>
      </c>
      <c r="K78" s="709">
        <f>'Input O&amp;M FERC 8-16'!J40</f>
        <v>4707</v>
      </c>
      <c r="L78" s="709">
        <f>'Input O&amp;M FERC 8-16'!K40</f>
        <v>4833</v>
      </c>
      <c r="M78" s="709">
        <f>'Input O&amp;M FERC 8-16'!L40</f>
        <v>5170</v>
      </c>
      <c r="N78" s="709">
        <f>'Input O&amp;M FERC 8-16'!M40</f>
        <v>5112</v>
      </c>
      <c r="O78" s="709">
        <f>'Input O&amp;M FERC 8-16'!N40</f>
        <v>5019</v>
      </c>
      <c r="P78" s="709">
        <f t="shared" si="4"/>
        <v>79942.59</v>
      </c>
    </row>
    <row r="79" spans="1:16" x14ac:dyDescent="0.2">
      <c r="A79" s="707">
        <f t="shared" si="5"/>
        <v>12</v>
      </c>
      <c r="B79" s="684" t="s">
        <v>1459</v>
      </c>
      <c r="C79" s="691" t="s">
        <v>1578</v>
      </c>
      <c r="D79" s="709">
        <f>'Input O&amp;M FERC 8-16'!C41</f>
        <v>21766.98</v>
      </c>
      <c r="E79" s="709">
        <f>'Input O&amp;M FERC 8-16'!D41</f>
        <v>17278.12</v>
      </c>
      <c r="F79" s="709">
        <f>'Input O&amp;M FERC 8-16'!E41</f>
        <v>17054.22</v>
      </c>
      <c r="G79" s="709">
        <f>'Input O&amp;M FERC 8-16'!F41</f>
        <v>14087.45</v>
      </c>
      <c r="H79" s="709">
        <f>'Input O&amp;M FERC 8-16'!G41</f>
        <v>17134.96</v>
      </c>
      <c r="I79" s="709">
        <f>'Input O&amp;M FERC 8-16'!H41</f>
        <v>17501.77</v>
      </c>
      <c r="J79" s="709">
        <f>'Input O&amp;M FERC 8-16'!I41</f>
        <v>20483</v>
      </c>
      <c r="K79" s="709">
        <f>'Input O&amp;M FERC 8-16'!J41</f>
        <v>19532</v>
      </c>
      <c r="L79" s="709">
        <f>'Input O&amp;M FERC 8-16'!K41</f>
        <v>20058</v>
      </c>
      <c r="M79" s="709">
        <f>'Input O&amp;M FERC 8-16'!L41</f>
        <v>21470</v>
      </c>
      <c r="N79" s="709">
        <f>'Input O&amp;M FERC 8-16'!M41</f>
        <v>20902</v>
      </c>
      <c r="O79" s="709">
        <f>'Input O&amp;M FERC 8-16'!N41</f>
        <v>20517</v>
      </c>
      <c r="P79" s="709">
        <f t="shared" si="4"/>
        <v>227785.5</v>
      </c>
    </row>
    <row r="80" spans="1:16" x14ac:dyDescent="0.2">
      <c r="A80" s="707">
        <f t="shared" si="5"/>
        <v>13</v>
      </c>
      <c r="B80" s="684" t="s">
        <v>1463</v>
      </c>
      <c r="C80" s="691" t="s">
        <v>1571</v>
      </c>
      <c r="D80" s="709">
        <f>'Input O&amp;M FERC 8-16'!C42</f>
        <v>0</v>
      </c>
      <c r="E80" s="709">
        <f>'Input O&amp;M FERC 8-16'!D42</f>
        <v>0</v>
      </c>
      <c r="F80" s="709">
        <f>'Input O&amp;M FERC 8-16'!E42</f>
        <v>0</v>
      </c>
      <c r="G80" s="709">
        <f>'Input O&amp;M FERC 8-16'!F42</f>
        <v>0</v>
      </c>
      <c r="H80" s="709">
        <f>'Input O&amp;M FERC 8-16'!G42</f>
        <v>0</v>
      </c>
      <c r="I80" s="709">
        <f>'Input O&amp;M FERC 8-16'!H42</f>
        <v>0</v>
      </c>
      <c r="J80" s="709">
        <f>'Input O&amp;M FERC 8-16'!I42</f>
        <v>0</v>
      </c>
      <c r="K80" s="709">
        <f>'Input O&amp;M FERC 8-16'!J42</f>
        <v>0</v>
      </c>
      <c r="L80" s="709">
        <f>'Input O&amp;M FERC 8-16'!K42</f>
        <v>0</v>
      </c>
      <c r="M80" s="709">
        <f>'Input O&amp;M FERC 8-16'!L42</f>
        <v>0</v>
      </c>
      <c r="N80" s="709">
        <f>'Input O&amp;M FERC 8-16'!M42</f>
        <v>0</v>
      </c>
      <c r="O80" s="709">
        <f>'Input O&amp;M FERC 8-16'!N42</f>
        <v>0</v>
      </c>
      <c r="P80" s="709">
        <f t="shared" si="4"/>
        <v>0</v>
      </c>
    </row>
    <row r="81" spans="1:16" x14ac:dyDescent="0.2">
      <c r="A81" s="707">
        <f t="shared" si="5"/>
        <v>14</v>
      </c>
      <c r="B81" s="684" t="s">
        <v>1464</v>
      </c>
      <c r="C81" s="691" t="s">
        <v>1579</v>
      </c>
      <c r="D81" s="709">
        <f>'Input O&amp;M FERC 8-16'!C43</f>
        <v>6741.46</v>
      </c>
      <c r="E81" s="709">
        <f>'Input O&amp;M FERC 8-16'!D43</f>
        <v>-484.07</v>
      </c>
      <c r="F81" s="709">
        <f>'Input O&amp;M FERC 8-16'!E43</f>
        <v>8381.6200000000008</v>
      </c>
      <c r="G81" s="709">
        <f>'Input O&amp;M FERC 8-16'!F43</f>
        <v>-7380.15</v>
      </c>
      <c r="H81" s="709">
        <f>'Input O&amp;M FERC 8-16'!G43</f>
        <v>9534.9</v>
      </c>
      <c r="I81" s="709">
        <f>'Input O&amp;M FERC 8-16'!H43</f>
        <v>1945.18</v>
      </c>
      <c r="J81" s="709">
        <f>'Input O&amp;M FERC 8-16'!I43</f>
        <v>4209</v>
      </c>
      <c r="K81" s="709">
        <f>'Input O&amp;M FERC 8-16'!J43</f>
        <v>4013</v>
      </c>
      <c r="L81" s="709">
        <f>'Input O&amp;M FERC 8-16'!K43</f>
        <v>4121</v>
      </c>
      <c r="M81" s="709">
        <f>'Input O&amp;M FERC 8-16'!L43</f>
        <v>4411</v>
      </c>
      <c r="N81" s="709">
        <f>'Input O&amp;M FERC 8-16'!M43</f>
        <v>4295</v>
      </c>
      <c r="O81" s="709">
        <f>'Input O&amp;M FERC 8-16'!N43</f>
        <v>4216</v>
      </c>
      <c r="P81" s="709">
        <f t="shared" si="4"/>
        <v>44003.94</v>
      </c>
    </row>
    <row r="82" spans="1:16" x14ac:dyDescent="0.2">
      <c r="A82" s="707">
        <f t="shared" si="5"/>
        <v>15</v>
      </c>
      <c r="B82" s="684" t="s">
        <v>1466</v>
      </c>
      <c r="C82" s="691" t="s">
        <v>1580</v>
      </c>
      <c r="D82" s="709">
        <f>'Input O&amp;M FERC 8-16'!C44</f>
        <v>1.1299999999999999</v>
      </c>
      <c r="E82" s="709">
        <f>'Input O&amp;M FERC 8-16'!D44</f>
        <v>0</v>
      </c>
      <c r="F82" s="709">
        <f>'Input O&amp;M FERC 8-16'!E44</f>
        <v>673.11</v>
      </c>
      <c r="G82" s="709">
        <f>'Input O&amp;M FERC 8-16'!F44</f>
        <v>48143.78</v>
      </c>
      <c r="H82" s="709">
        <f>'Input O&amp;M FERC 8-16'!G44</f>
        <v>0</v>
      </c>
      <c r="I82" s="709">
        <f>'Input O&amp;M FERC 8-16'!H44</f>
        <v>4501.47</v>
      </c>
      <c r="J82" s="709">
        <f>'Input O&amp;M FERC 8-16'!I44</f>
        <v>7514</v>
      </c>
      <c r="K82" s="709">
        <f>'Input O&amp;M FERC 8-16'!J44</f>
        <v>3194</v>
      </c>
      <c r="L82" s="709">
        <f>'Input O&amp;M FERC 8-16'!K44</f>
        <v>3233</v>
      </c>
      <c r="M82" s="709">
        <f>'Input O&amp;M FERC 8-16'!L44</f>
        <v>3336</v>
      </c>
      <c r="N82" s="709">
        <f>'Input O&amp;M FERC 8-16'!M44</f>
        <v>7544</v>
      </c>
      <c r="O82" s="709">
        <f>'Input O&amp;M FERC 8-16'!N44</f>
        <v>7516</v>
      </c>
      <c r="P82" s="709">
        <f t="shared" si="4"/>
        <v>85656.489999999991</v>
      </c>
    </row>
    <row r="83" spans="1:16" x14ac:dyDescent="0.2">
      <c r="A83" s="707">
        <f t="shared" si="5"/>
        <v>16</v>
      </c>
      <c r="B83" s="684" t="s">
        <v>1472</v>
      </c>
      <c r="C83" s="691" t="s">
        <v>1582</v>
      </c>
      <c r="D83" s="709">
        <f>'Input O&amp;M FERC 8-16'!C48</f>
        <v>436089.16</v>
      </c>
      <c r="E83" s="709">
        <f>'Input O&amp;M FERC 8-16'!D48</f>
        <v>418662.68</v>
      </c>
      <c r="F83" s="709">
        <f>'Input O&amp;M FERC 8-16'!E48</f>
        <v>455280.12</v>
      </c>
      <c r="G83" s="709">
        <f>'Input O&amp;M FERC 8-16'!F48</f>
        <v>400756.65</v>
      </c>
      <c r="H83" s="709">
        <f>'Input O&amp;M FERC 8-16'!G48</f>
        <v>405787.87</v>
      </c>
      <c r="I83" s="709">
        <f>'Input O&amp;M FERC 8-16'!H48</f>
        <v>394799.07</v>
      </c>
      <c r="J83" s="709">
        <f>'Input O&amp;M FERC 8-16'!I48</f>
        <v>352095</v>
      </c>
      <c r="K83" s="709">
        <f>'Input O&amp;M FERC 8-16'!J48</f>
        <v>332518</v>
      </c>
      <c r="L83" s="709">
        <f>'Input O&amp;M FERC 8-16'!K48</f>
        <v>338911</v>
      </c>
      <c r="M83" s="709">
        <f>'Input O&amp;M FERC 8-16'!L48</f>
        <v>362876</v>
      </c>
      <c r="N83" s="709">
        <f>'Input O&amp;M FERC 8-16'!M48</f>
        <v>351812</v>
      </c>
      <c r="O83" s="709">
        <f>'Input O&amp;M FERC 8-16'!N48</f>
        <v>341398</v>
      </c>
      <c r="P83" s="709">
        <f t="shared" si="4"/>
        <v>4590985.55</v>
      </c>
    </row>
    <row r="84" spans="1:16" x14ac:dyDescent="0.2">
      <c r="A84" s="707">
        <f t="shared" si="5"/>
        <v>17</v>
      </c>
      <c r="B84" s="684" t="s">
        <v>1474</v>
      </c>
      <c r="C84" s="691" t="s">
        <v>1583</v>
      </c>
      <c r="D84" s="709">
        <f>'Input O&amp;M FERC 8-16'!C35</f>
        <v>4.5999999999999996</v>
      </c>
      <c r="E84" s="709">
        <f>'Input O&amp;M FERC 8-16'!D35</f>
        <v>5.2</v>
      </c>
      <c r="F84" s="709">
        <f>'Input O&amp;M FERC 8-16'!E35</f>
        <v>8.48</v>
      </c>
      <c r="G84" s="709">
        <f>'Input O&amp;M FERC 8-16'!F35</f>
        <v>19.420000000000002</v>
      </c>
      <c r="H84" s="709">
        <f>'Input O&amp;M FERC 8-16'!G35</f>
        <v>42.63</v>
      </c>
      <c r="I84" s="709">
        <f>'Input O&amp;M FERC 8-16'!H35</f>
        <v>42.02</v>
      </c>
      <c r="J84" s="709">
        <f>'Input O&amp;M FERC 8-16'!I35</f>
        <v>15</v>
      </c>
      <c r="K84" s="709">
        <f>'Input O&amp;M FERC 8-16'!J35</f>
        <v>14</v>
      </c>
      <c r="L84" s="709">
        <f>'Input O&amp;M FERC 8-16'!K35</f>
        <v>15</v>
      </c>
      <c r="M84" s="709">
        <f>'Input O&amp;M FERC 8-16'!L35</f>
        <v>15</v>
      </c>
      <c r="N84" s="709">
        <f>'Input O&amp;M FERC 8-16'!M35</f>
        <v>16</v>
      </c>
      <c r="O84" s="709">
        <f>'Input O&amp;M FERC 8-16'!N35</f>
        <v>15</v>
      </c>
      <c r="P84" s="709">
        <f t="shared" si="4"/>
        <v>212.35000000000002</v>
      </c>
    </row>
    <row r="85" spans="1:16" x14ac:dyDescent="0.2">
      <c r="A85" s="707">
        <f t="shared" si="5"/>
        <v>18</v>
      </c>
      <c r="B85" s="684" t="s">
        <v>1474</v>
      </c>
      <c r="C85" s="691" t="s">
        <v>1584</v>
      </c>
      <c r="D85" s="709">
        <f>'Input O&amp;M FERC 8-16'!C45</f>
        <v>63.28</v>
      </c>
      <c r="E85" s="709">
        <f>'Input O&amp;M FERC 8-16'!D45</f>
        <v>71.489999999999995</v>
      </c>
      <c r="F85" s="709">
        <f>'Input O&amp;M FERC 8-16'!E45</f>
        <v>116.68</v>
      </c>
      <c r="G85" s="709">
        <f>'Input O&amp;M FERC 8-16'!F45</f>
        <v>8601.4</v>
      </c>
      <c r="H85" s="709">
        <f>'Input O&amp;M FERC 8-16'!G45</f>
        <v>586.28</v>
      </c>
      <c r="I85" s="709">
        <f>'Input O&amp;M FERC 8-16'!H45</f>
        <v>577.75</v>
      </c>
      <c r="J85" s="709">
        <f>'Input O&amp;M FERC 8-16'!I45</f>
        <v>825</v>
      </c>
      <c r="K85" s="709">
        <f>'Input O&amp;M FERC 8-16'!J45</f>
        <v>772</v>
      </c>
      <c r="L85" s="709">
        <f>'Input O&amp;M FERC 8-16'!K45</f>
        <v>808</v>
      </c>
      <c r="M85" s="709">
        <f>'Input O&amp;M FERC 8-16'!L45</f>
        <v>845</v>
      </c>
      <c r="N85" s="709">
        <f>'Input O&amp;M FERC 8-16'!M45</f>
        <v>849</v>
      </c>
      <c r="O85" s="709">
        <f>'Input O&amp;M FERC 8-16'!N45</f>
        <v>841</v>
      </c>
      <c r="P85" s="709">
        <f t="shared" si="4"/>
        <v>14956.880000000001</v>
      </c>
    </row>
    <row r="86" spans="1:16" x14ac:dyDescent="0.2">
      <c r="A86" s="707">
        <f t="shared" si="5"/>
        <v>19</v>
      </c>
      <c r="B86" s="684" t="s">
        <v>1474</v>
      </c>
      <c r="C86" s="691" t="s">
        <v>1581</v>
      </c>
      <c r="D86" s="709">
        <f>'Input O&amp;M FERC 8-16'!C49</f>
        <v>63211.86</v>
      </c>
      <c r="E86" s="709">
        <f>'Input O&amp;M FERC 8-16'!D49</f>
        <v>66589.87</v>
      </c>
      <c r="F86" s="709">
        <f>'Input O&amp;M FERC 8-16'!E49</f>
        <v>76332.510000000009</v>
      </c>
      <c r="G86" s="709">
        <f>'Input O&amp;M FERC 8-16'!F49</f>
        <v>178180.93</v>
      </c>
      <c r="H86" s="709">
        <f>'Input O&amp;M FERC 8-16'!G49</f>
        <v>62378.99</v>
      </c>
      <c r="I86" s="709">
        <f>'Input O&amp;M FERC 8-16'!H49</f>
        <v>59301.599999999999</v>
      </c>
      <c r="J86" s="709">
        <f>'Input O&amp;M FERC 8-16'!I49</f>
        <v>54169</v>
      </c>
      <c r="K86" s="709">
        <f>'Input O&amp;M FERC 8-16'!J49</f>
        <v>50675</v>
      </c>
      <c r="L86" s="709">
        <f>'Input O&amp;M FERC 8-16'!K49</f>
        <v>53034</v>
      </c>
      <c r="M86" s="709">
        <f>'Input O&amp;M FERC 8-16'!L49</f>
        <v>55468</v>
      </c>
      <c r="N86" s="709">
        <f>'Input O&amp;M FERC 8-16'!M49</f>
        <v>55719</v>
      </c>
      <c r="O86" s="709">
        <f>'Input O&amp;M FERC 8-16'!N49</f>
        <v>55206</v>
      </c>
      <c r="P86" s="709">
        <f>SUM(D86:O86)</f>
        <v>830266.76</v>
      </c>
    </row>
    <row r="87" spans="1:16" x14ac:dyDescent="0.2">
      <c r="A87" s="707">
        <f t="shared" si="5"/>
        <v>20</v>
      </c>
      <c r="B87" s="684" t="s">
        <v>1475</v>
      </c>
      <c r="C87" s="691" t="s">
        <v>1585</v>
      </c>
      <c r="D87" s="709">
        <f>'Input O&amp;M FERC 8-16'!C50</f>
        <v>433883.19</v>
      </c>
      <c r="E87" s="709">
        <f>'Input O&amp;M FERC 8-16'!D50</f>
        <v>439102.69</v>
      </c>
      <c r="F87" s="709">
        <f>'Input O&amp;M FERC 8-16'!E50</f>
        <v>496559.16000000003</v>
      </c>
      <c r="G87" s="709">
        <f>'Input O&amp;M FERC 8-16'!F50</f>
        <v>586490.69999999995</v>
      </c>
      <c r="H87" s="709">
        <f>'Input O&amp;M FERC 8-16'!G50</f>
        <v>428534.08</v>
      </c>
      <c r="I87" s="709">
        <f>'Input O&amp;M FERC 8-16'!H50</f>
        <v>386630.33</v>
      </c>
      <c r="J87" s="709">
        <f>'Input O&amp;M FERC 8-16'!I50</f>
        <v>601200</v>
      </c>
      <c r="K87" s="709">
        <f>'Input O&amp;M FERC 8-16'!J50</f>
        <v>576570</v>
      </c>
      <c r="L87" s="709">
        <f>'Input O&amp;M FERC 8-16'!K50</f>
        <v>590527</v>
      </c>
      <c r="M87" s="709">
        <f>'Input O&amp;M FERC 8-16'!L50</f>
        <v>629826</v>
      </c>
      <c r="N87" s="709">
        <f>'Input O&amp;M FERC 8-16'!M50</f>
        <v>613809</v>
      </c>
      <c r="O87" s="709">
        <f>'Input O&amp;M FERC 8-16'!N50</f>
        <v>603840</v>
      </c>
      <c r="P87" s="709">
        <f t="shared" si="4"/>
        <v>6386972.1500000004</v>
      </c>
    </row>
    <row r="88" spans="1:16" x14ac:dyDescent="0.2">
      <c r="A88" s="707">
        <f t="shared" si="5"/>
        <v>21</v>
      </c>
      <c r="B88" s="684" t="s">
        <v>1477</v>
      </c>
      <c r="C88" s="691" t="s">
        <v>1586</v>
      </c>
      <c r="D88" s="709">
        <f>'Input O&amp;M FERC 8-16'!C51</f>
        <v>3617.57</v>
      </c>
      <c r="E88" s="709">
        <f>'Input O&amp;M FERC 8-16'!D51</f>
        <v>3292</v>
      </c>
      <c r="F88" s="709">
        <f>'Input O&amp;M FERC 8-16'!E51</f>
        <v>2557.71</v>
      </c>
      <c r="G88" s="709">
        <f>'Input O&amp;M FERC 8-16'!F51</f>
        <v>3292</v>
      </c>
      <c r="H88" s="709">
        <f>'Input O&amp;M FERC 8-16'!G51</f>
        <v>3134.39</v>
      </c>
      <c r="I88" s="709">
        <f>'Input O&amp;M FERC 8-16'!H51</f>
        <v>3292.45</v>
      </c>
      <c r="J88" s="709">
        <f>'Input O&amp;M FERC 8-16'!I51</f>
        <v>7480</v>
      </c>
      <c r="K88" s="709">
        <f>'Input O&amp;M FERC 8-16'!J51</f>
        <v>7480</v>
      </c>
      <c r="L88" s="709">
        <f>'Input O&amp;M FERC 8-16'!K51</f>
        <v>7638</v>
      </c>
      <c r="M88" s="709">
        <f>'Input O&amp;M FERC 8-16'!L51</f>
        <v>7480</v>
      </c>
      <c r="N88" s="709">
        <f>'Input O&amp;M FERC 8-16'!M51</f>
        <v>8251</v>
      </c>
      <c r="O88" s="709">
        <f>'Input O&amp;M FERC 8-16'!N51</f>
        <v>8251</v>
      </c>
      <c r="P88" s="709">
        <f t="shared" si="4"/>
        <v>65766.12</v>
      </c>
    </row>
    <row r="89" spans="1:16" x14ac:dyDescent="0.2">
      <c r="A89" s="707">
        <f t="shared" si="5"/>
        <v>22</v>
      </c>
      <c r="B89" s="684" t="s">
        <v>1479</v>
      </c>
      <c r="C89" s="691" t="s">
        <v>1587</v>
      </c>
      <c r="D89" s="709">
        <f>'Input O&amp;M FERC 8-16'!C52</f>
        <v>63829.02</v>
      </c>
      <c r="E89" s="709">
        <f>'Input O&amp;M FERC 8-16'!D52</f>
        <v>76542.45</v>
      </c>
      <c r="F89" s="709">
        <f>'Input O&amp;M FERC 8-16'!E52</f>
        <v>77192.53</v>
      </c>
      <c r="G89" s="709">
        <f>'Input O&amp;M FERC 8-16'!F52</f>
        <v>68393.88</v>
      </c>
      <c r="H89" s="709">
        <f>'Input O&amp;M FERC 8-16'!G52</f>
        <v>76403.17</v>
      </c>
      <c r="I89" s="709">
        <f>'Input O&amp;M FERC 8-16'!H52</f>
        <v>107136.01</v>
      </c>
      <c r="J89" s="709">
        <f>'Input O&amp;M FERC 8-16'!I52</f>
        <v>77558</v>
      </c>
      <c r="K89" s="709">
        <f>'Input O&amp;M FERC 8-16'!J52</f>
        <v>77384</v>
      </c>
      <c r="L89" s="709">
        <f>'Input O&amp;M FERC 8-16'!K52</f>
        <v>78869</v>
      </c>
      <c r="M89" s="709">
        <f>'Input O&amp;M FERC 8-16'!L52</f>
        <v>77739</v>
      </c>
      <c r="N89" s="709">
        <f>'Input O&amp;M FERC 8-16'!M52</f>
        <v>84380</v>
      </c>
      <c r="O89" s="709">
        <f>'Input O&amp;M FERC 8-16'!N52</f>
        <v>84310</v>
      </c>
      <c r="P89" s="709">
        <f t="shared" si="4"/>
        <v>949737.06</v>
      </c>
    </row>
    <row r="90" spans="1:16" x14ac:dyDescent="0.2">
      <c r="A90" s="707">
        <f t="shared" si="5"/>
        <v>23</v>
      </c>
      <c r="B90" s="684" t="s">
        <v>1481</v>
      </c>
      <c r="C90" s="691" t="s">
        <v>1588</v>
      </c>
      <c r="D90" s="709">
        <f>'Input O&amp;M FERC 8-16'!C53</f>
        <v>230764.06</v>
      </c>
      <c r="E90" s="709">
        <f>'Input O&amp;M FERC 8-16'!D53</f>
        <v>265856.99</v>
      </c>
      <c r="F90" s="709">
        <f>'Input O&amp;M FERC 8-16'!E53</f>
        <v>326929.3</v>
      </c>
      <c r="G90" s="709">
        <f>'Input O&amp;M FERC 8-16'!F53</f>
        <v>253873.33</v>
      </c>
      <c r="H90" s="709">
        <f>'Input O&amp;M FERC 8-16'!G53</f>
        <v>287092.53000000003</v>
      </c>
      <c r="I90" s="709">
        <f>'Input O&amp;M FERC 8-16'!H53</f>
        <v>439722.06</v>
      </c>
      <c r="J90" s="709">
        <f>'Input O&amp;M FERC 8-16'!I53</f>
        <v>245301</v>
      </c>
      <c r="K90" s="709">
        <f>'Input O&amp;M FERC 8-16'!J53</f>
        <v>246694</v>
      </c>
      <c r="L90" s="709">
        <f>'Input O&amp;M FERC 8-16'!K53</f>
        <v>247987</v>
      </c>
      <c r="M90" s="709">
        <f>'Input O&amp;M FERC 8-16'!L53</f>
        <v>274592</v>
      </c>
      <c r="N90" s="709">
        <f>'Input O&amp;M FERC 8-16'!M53</f>
        <v>275581</v>
      </c>
      <c r="O90" s="709">
        <f>'Input O&amp;M FERC 8-16'!N53</f>
        <v>264169</v>
      </c>
      <c r="P90" s="709">
        <f t="shared" si="4"/>
        <v>3358562.27</v>
      </c>
    </row>
    <row r="91" spans="1:16" x14ac:dyDescent="0.2">
      <c r="A91" s="707">
        <f t="shared" si="5"/>
        <v>24</v>
      </c>
      <c r="B91" s="684" t="s">
        <v>1483</v>
      </c>
      <c r="C91" s="691" t="s">
        <v>1589</v>
      </c>
      <c r="D91" s="708">
        <v>0</v>
      </c>
      <c r="E91" s="708">
        <v>0</v>
      </c>
      <c r="F91" s="708">
        <v>0</v>
      </c>
      <c r="G91" s="708">
        <v>0</v>
      </c>
      <c r="H91" s="708">
        <v>0</v>
      </c>
      <c r="I91" s="708">
        <v>0</v>
      </c>
      <c r="J91" s="708">
        <v>0</v>
      </c>
      <c r="K91" s="708">
        <v>0</v>
      </c>
      <c r="L91" s="708">
        <v>0</v>
      </c>
      <c r="M91" s="708">
        <v>0</v>
      </c>
      <c r="N91" s="708">
        <v>0</v>
      </c>
      <c r="O91" s="708">
        <v>0</v>
      </c>
      <c r="P91" s="709">
        <f t="shared" si="4"/>
        <v>0</v>
      </c>
    </row>
    <row r="92" spans="1:16" x14ac:dyDescent="0.2">
      <c r="A92" s="707">
        <f t="shared" si="5"/>
        <v>25</v>
      </c>
      <c r="B92" s="684" t="s">
        <v>1485</v>
      </c>
      <c r="C92" s="691" t="s">
        <v>1590</v>
      </c>
      <c r="D92" s="709">
        <f>'Input O&amp;M FERC 8-16'!C54</f>
        <v>41317.07</v>
      </c>
      <c r="E92" s="709">
        <f>'Input O&amp;M FERC 8-16'!D54</f>
        <v>41317.07</v>
      </c>
      <c r="F92" s="709">
        <f>'Input O&amp;M FERC 8-16'!E54</f>
        <v>41317.07</v>
      </c>
      <c r="G92" s="709">
        <f>'Input O&amp;M FERC 8-16'!F54</f>
        <v>41317.07</v>
      </c>
      <c r="H92" s="709">
        <f>'Input O&amp;M FERC 8-16'!G54</f>
        <v>41317.07</v>
      </c>
      <c r="I92" s="709">
        <f>'Input O&amp;M FERC 8-16'!H54</f>
        <v>41317.07</v>
      </c>
      <c r="J92" s="709">
        <f>'Input O&amp;M FERC 8-16'!I54</f>
        <v>24332</v>
      </c>
      <c r="K92" s="709">
        <f>'Input O&amp;M FERC 8-16'!J54</f>
        <v>30779</v>
      </c>
      <c r="L92" s="709">
        <f>'Input O&amp;M FERC 8-16'!K54</f>
        <v>25487</v>
      </c>
      <c r="M92" s="709">
        <f>'Input O&amp;M FERC 8-16'!L54</f>
        <v>24897</v>
      </c>
      <c r="N92" s="709">
        <f>'Input O&amp;M FERC 8-16'!M54</f>
        <v>24597</v>
      </c>
      <c r="O92" s="709">
        <f>'Input O&amp;M FERC 8-16'!N54</f>
        <v>24597</v>
      </c>
      <c r="P92" s="709">
        <f t="shared" si="4"/>
        <v>402591.42000000004</v>
      </c>
    </row>
    <row r="93" spans="1:16" x14ac:dyDescent="0.2">
      <c r="A93" s="707">
        <f t="shared" si="5"/>
        <v>26</v>
      </c>
      <c r="B93" s="684" t="s">
        <v>1487</v>
      </c>
      <c r="C93" s="691" t="s">
        <v>1591</v>
      </c>
      <c r="D93" s="708">
        <v>0</v>
      </c>
      <c r="E93" s="708">
        <v>0</v>
      </c>
      <c r="F93" s="708">
        <v>0</v>
      </c>
      <c r="G93" s="708">
        <v>0</v>
      </c>
      <c r="H93" s="708">
        <v>0</v>
      </c>
      <c r="I93" s="708">
        <v>0</v>
      </c>
      <c r="J93" s="708">
        <v>0</v>
      </c>
      <c r="K93" s="708">
        <v>0</v>
      </c>
      <c r="L93" s="708">
        <v>0</v>
      </c>
      <c r="M93" s="708">
        <v>0</v>
      </c>
      <c r="N93" s="708">
        <v>0</v>
      </c>
      <c r="O93" s="708">
        <v>0</v>
      </c>
      <c r="P93" s="709">
        <f t="shared" si="4"/>
        <v>0</v>
      </c>
    </row>
    <row r="94" spans="1:16" x14ac:dyDescent="0.2">
      <c r="A94" s="707">
        <f t="shared" si="5"/>
        <v>27</v>
      </c>
      <c r="B94" s="684" t="s">
        <v>1489</v>
      </c>
      <c r="C94" s="691" t="s">
        <v>1592</v>
      </c>
      <c r="D94" s="709">
        <f>'Input O&amp;M FERC 8-16'!C55</f>
        <v>-3165.3100000000004</v>
      </c>
      <c r="E94" s="709">
        <f>'Input O&amp;M FERC 8-16'!D55</f>
        <v>6168.01</v>
      </c>
      <c r="F94" s="709">
        <f>'Input O&amp;M FERC 8-16'!E55</f>
        <v>-5840.27</v>
      </c>
      <c r="G94" s="709">
        <f>'Input O&amp;M FERC 8-16'!F55</f>
        <v>-31063.47</v>
      </c>
      <c r="H94" s="709">
        <f>'Input O&amp;M FERC 8-16'!G55</f>
        <v>-7638.2499999999991</v>
      </c>
      <c r="I94" s="709">
        <f>'Input O&amp;M FERC 8-16'!H55</f>
        <v>1437</v>
      </c>
      <c r="J94" s="709">
        <f>'Input O&amp;M FERC 8-16'!I55</f>
        <v>-7132</v>
      </c>
      <c r="K94" s="709">
        <f>'Input O&amp;M FERC 8-16'!J55</f>
        <v>-8653</v>
      </c>
      <c r="L94" s="709">
        <f>'Input O&amp;M FERC 8-16'!K55</f>
        <v>-1249</v>
      </c>
      <c r="M94" s="709">
        <f>'Input O&amp;M FERC 8-16'!L55</f>
        <v>-5415</v>
      </c>
      <c r="N94" s="709">
        <f>'Input O&amp;M FERC 8-16'!M55</f>
        <v>-3911</v>
      </c>
      <c r="O94" s="709">
        <f>'Input O&amp;M FERC 8-16'!N55</f>
        <v>-7599</v>
      </c>
      <c r="P94" s="709">
        <f t="shared" si="4"/>
        <v>-74061.290000000008</v>
      </c>
    </row>
    <row r="95" spans="1:16" x14ac:dyDescent="0.2">
      <c r="A95" s="707">
        <f t="shared" si="5"/>
        <v>28</v>
      </c>
      <c r="B95" s="684" t="s">
        <v>1491</v>
      </c>
      <c r="C95" s="691" t="s">
        <v>1593</v>
      </c>
      <c r="D95" s="709">
        <f>'Input O&amp;M FERC 8-16'!C56</f>
        <v>63869.15</v>
      </c>
      <c r="E95" s="709">
        <f>'Input O&amp;M FERC 8-16'!D56</f>
        <v>66170.570000000007</v>
      </c>
      <c r="F95" s="709">
        <f>'Input O&amp;M FERC 8-16'!E56</f>
        <v>67567.839999999997</v>
      </c>
      <c r="G95" s="709">
        <f>'Input O&amp;M FERC 8-16'!F56</f>
        <v>32902.68</v>
      </c>
      <c r="H95" s="709">
        <f>'Input O&amp;M FERC 8-16'!G56</f>
        <v>65324.27</v>
      </c>
      <c r="I95" s="709">
        <f>'Input O&amp;M FERC 8-16'!H56</f>
        <v>65399.3</v>
      </c>
      <c r="J95" s="709">
        <f>'Input O&amp;M FERC 8-16'!I56</f>
        <v>50018</v>
      </c>
      <c r="K95" s="709">
        <f>'Input O&amp;M FERC 8-16'!J56</f>
        <v>47843</v>
      </c>
      <c r="L95" s="709">
        <f>'Input O&amp;M FERC 8-16'!K56</f>
        <v>48837</v>
      </c>
      <c r="M95" s="709">
        <f>'Input O&amp;M FERC 8-16'!L56</f>
        <v>52298</v>
      </c>
      <c r="N95" s="709">
        <f>'Input O&amp;M FERC 8-16'!M56</f>
        <v>51065</v>
      </c>
      <c r="O95" s="709">
        <f>'Input O&amp;M FERC 8-16'!N56</f>
        <v>50140</v>
      </c>
      <c r="P95" s="709">
        <f t="shared" si="4"/>
        <v>661434.81000000006</v>
      </c>
    </row>
    <row r="96" spans="1:16" x14ac:dyDescent="0.2">
      <c r="A96" s="707">
        <f t="shared" si="5"/>
        <v>29</v>
      </c>
      <c r="B96" s="1578">
        <v>932</v>
      </c>
      <c r="C96" s="710" t="s">
        <v>2104</v>
      </c>
      <c r="D96" s="709">
        <f>'Input O&amp;M FERC 8-16'!C57</f>
        <v>18468.21</v>
      </c>
      <c r="E96" s="709">
        <f>'Input O&amp;M FERC 8-16'!D57</f>
        <v>17466.169999999998</v>
      </c>
      <c r="F96" s="709">
        <f>'Input O&amp;M FERC 8-16'!E57</f>
        <v>20090.14</v>
      </c>
      <c r="G96" s="709">
        <f>'Input O&amp;M FERC 8-16'!F57</f>
        <v>34161.17</v>
      </c>
      <c r="H96" s="709">
        <f>'Input O&amp;M FERC 8-16'!G57</f>
        <v>22451.02</v>
      </c>
      <c r="I96" s="709">
        <f>'Input O&amp;M FERC 8-16'!H57</f>
        <v>20923.97</v>
      </c>
      <c r="J96" s="709">
        <f>'Input O&amp;M FERC 8-16'!I57</f>
        <v>19160</v>
      </c>
      <c r="K96" s="709">
        <f>'Input O&amp;M FERC 8-16'!J57</f>
        <v>18378</v>
      </c>
      <c r="L96" s="709">
        <f>'Input O&amp;M FERC 8-16'!K57</f>
        <v>18884</v>
      </c>
      <c r="M96" s="709">
        <f>'Input O&amp;M FERC 8-16'!L57</f>
        <v>20190</v>
      </c>
      <c r="N96" s="709">
        <f>'Input O&amp;M FERC 8-16'!M57</f>
        <v>19666</v>
      </c>
      <c r="O96" s="709">
        <f>'Input O&amp;M FERC 8-16'!N57</f>
        <v>19398</v>
      </c>
      <c r="P96" s="709">
        <f t="shared" si="4"/>
        <v>249236.68</v>
      </c>
    </row>
    <row r="97" spans="1:16" ht="24" x14ac:dyDescent="0.2">
      <c r="A97" s="707">
        <f t="shared" si="5"/>
        <v>30</v>
      </c>
      <c r="B97" s="684" t="s">
        <v>1495</v>
      </c>
      <c r="C97" s="710" t="s">
        <v>1595</v>
      </c>
      <c r="D97" s="709">
        <f>'Input O&amp;M FERC 8-16'!C36</f>
        <v>0</v>
      </c>
      <c r="E97" s="709">
        <f>'Input O&amp;M FERC 8-16'!D36</f>
        <v>0</v>
      </c>
      <c r="F97" s="709">
        <f>'Input O&amp;M FERC 8-16'!E36</f>
        <v>0</v>
      </c>
      <c r="G97" s="709">
        <f>'Input O&amp;M FERC 8-16'!F36</f>
        <v>0</v>
      </c>
      <c r="H97" s="709">
        <f>'Input O&amp;M FERC 8-16'!G36</f>
        <v>0</v>
      </c>
      <c r="I97" s="709">
        <f>'Input O&amp;M FERC 8-16'!H36</f>
        <v>0</v>
      </c>
      <c r="J97" s="709">
        <f>'Input O&amp;M FERC 8-16'!I36</f>
        <v>0</v>
      </c>
      <c r="K97" s="709">
        <f>'Input O&amp;M FERC 8-16'!J36</f>
        <v>0</v>
      </c>
      <c r="L97" s="709">
        <f>'Input O&amp;M FERC 8-16'!K36</f>
        <v>0</v>
      </c>
      <c r="M97" s="709">
        <f>'Input O&amp;M FERC 8-16'!L36</f>
        <v>0</v>
      </c>
      <c r="N97" s="709">
        <f>'Input O&amp;M FERC 8-16'!M36</f>
        <v>0</v>
      </c>
      <c r="O97" s="709">
        <f>'Input O&amp;M FERC 8-16'!N36</f>
        <v>0</v>
      </c>
      <c r="P97" s="709">
        <f t="shared" si="4"/>
        <v>0</v>
      </c>
    </row>
    <row r="98" spans="1:16" ht="23.25" customHeight="1" x14ac:dyDescent="0.2">
      <c r="A98" s="707">
        <f t="shared" si="5"/>
        <v>31</v>
      </c>
      <c r="B98" s="684" t="s">
        <v>1495</v>
      </c>
      <c r="C98" s="710" t="s">
        <v>1596</v>
      </c>
      <c r="D98" s="709">
        <f>'Input O&amp;M FERC 8-16'!C46</f>
        <v>0</v>
      </c>
      <c r="E98" s="709">
        <f>'Input O&amp;M FERC 8-16'!D46</f>
        <v>0</v>
      </c>
      <c r="F98" s="709">
        <f>'Input O&amp;M FERC 8-16'!E46</f>
        <v>0</v>
      </c>
      <c r="G98" s="709">
        <f>'Input O&amp;M FERC 8-16'!F46</f>
        <v>0</v>
      </c>
      <c r="H98" s="709">
        <f>'Input O&amp;M FERC 8-16'!G46</f>
        <v>0</v>
      </c>
      <c r="I98" s="709">
        <f>'Input O&amp;M FERC 8-16'!H46</f>
        <v>0</v>
      </c>
      <c r="J98" s="709">
        <f>'Input O&amp;M FERC 8-16'!I46</f>
        <v>0</v>
      </c>
      <c r="K98" s="709">
        <f>'Input O&amp;M FERC 8-16'!J46</f>
        <v>0</v>
      </c>
      <c r="L98" s="709">
        <f>'Input O&amp;M FERC 8-16'!K46</f>
        <v>0</v>
      </c>
      <c r="M98" s="709">
        <f>'Input O&amp;M FERC 8-16'!L46</f>
        <v>0</v>
      </c>
      <c r="N98" s="709">
        <f>'Input O&amp;M FERC 8-16'!M46</f>
        <v>0</v>
      </c>
      <c r="O98" s="709">
        <f>'Input O&amp;M FERC 8-16'!N46</f>
        <v>0</v>
      </c>
      <c r="P98" s="709">
        <f t="shared" si="4"/>
        <v>0</v>
      </c>
    </row>
    <row r="99" spans="1:16" ht="24" x14ac:dyDescent="0.2">
      <c r="A99" s="707">
        <f>A96+1</f>
        <v>30</v>
      </c>
      <c r="B99" s="684" t="s">
        <v>1495</v>
      </c>
      <c r="C99" s="710" t="s">
        <v>1594</v>
      </c>
      <c r="D99" s="709">
        <f>'Input O&amp;M FERC 8-16'!C58</f>
        <v>0</v>
      </c>
      <c r="E99" s="709">
        <f>'Input O&amp;M FERC 8-16'!D58</f>
        <v>0</v>
      </c>
      <c r="F99" s="709">
        <f>'Input O&amp;M FERC 8-16'!E58</f>
        <v>0</v>
      </c>
      <c r="G99" s="709">
        <f>'Input O&amp;M FERC 8-16'!F58</f>
        <v>80</v>
      </c>
      <c r="H99" s="709">
        <f>'Input O&amp;M FERC 8-16'!G58</f>
        <v>0</v>
      </c>
      <c r="I99" s="709">
        <f>'Input O&amp;M FERC 8-16'!H58</f>
        <v>0</v>
      </c>
      <c r="J99" s="709">
        <f>'Input O&amp;M FERC 8-16'!I58</f>
        <v>6</v>
      </c>
      <c r="K99" s="709">
        <f>'Input O&amp;M FERC 8-16'!J58</f>
        <v>7</v>
      </c>
      <c r="L99" s="709">
        <f>'Input O&amp;M FERC 8-16'!K58</f>
        <v>11</v>
      </c>
      <c r="M99" s="709">
        <f>'Input O&amp;M FERC 8-16'!L58</f>
        <v>11</v>
      </c>
      <c r="N99" s="709">
        <f>'Input O&amp;M FERC 8-16'!M58</f>
        <v>12</v>
      </c>
      <c r="O99" s="709">
        <f>'Input O&amp;M FERC 8-16'!N58</f>
        <v>12</v>
      </c>
      <c r="P99" s="709">
        <f>SUM(D99:O99)</f>
        <v>139</v>
      </c>
    </row>
    <row r="100" spans="1:16" x14ac:dyDescent="0.2">
      <c r="A100" s="707"/>
      <c r="B100" s="684"/>
      <c r="C100" s="710"/>
      <c r="D100" s="709"/>
      <c r="E100" s="709"/>
      <c r="F100" s="709"/>
      <c r="G100" s="709"/>
      <c r="H100" s="709"/>
      <c r="I100" s="709"/>
      <c r="J100" s="709"/>
      <c r="K100" s="709"/>
      <c r="L100" s="709"/>
      <c r="M100" s="709"/>
      <c r="N100" s="709"/>
      <c r="O100" s="709"/>
      <c r="P100" s="709"/>
    </row>
    <row r="101" spans="1:16" ht="12.75" thickBot="1" x14ac:dyDescent="0.25">
      <c r="A101" s="707">
        <f>A98+1</f>
        <v>32</v>
      </c>
      <c r="B101" s="684"/>
      <c r="C101" s="710" t="s">
        <v>93</v>
      </c>
      <c r="D101" s="715">
        <f>SUM(D13:D54)+SUM(D68:D99)</f>
        <v>79068.839999999851</v>
      </c>
      <c r="E101" s="715">
        <f t="shared" ref="E101:P101" si="6">SUM(E13:E54)+SUM(E68:E99)</f>
        <v>-649472.86999999988</v>
      </c>
      <c r="F101" s="715">
        <f t="shared" si="6"/>
        <v>-1879651.8099999994</v>
      </c>
      <c r="G101" s="715">
        <f t="shared" si="6"/>
        <v>-3666700.5199999996</v>
      </c>
      <c r="H101" s="715">
        <f t="shared" si="6"/>
        <v>-5921781.0100000044</v>
      </c>
      <c r="I101" s="715">
        <f t="shared" si="6"/>
        <v>-4152292.8199999994</v>
      </c>
      <c r="J101" s="715">
        <f t="shared" si="6"/>
        <v>-3654129.7671023593</v>
      </c>
      <c r="K101" s="715">
        <f t="shared" si="6"/>
        <v>-1898277.3604356912</v>
      </c>
      <c r="L101" s="715">
        <f t="shared" si="6"/>
        <v>-263674.65043569356</v>
      </c>
      <c r="M101" s="715">
        <f t="shared" si="6"/>
        <v>486966.23956430703</v>
      </c>
      <c r="N101" s="715">
        <f t="shared" si="6"/>
        <v>651003.78956430708</v>
      </c>
      <c r="O101" s="715">
        <f t="shared" si="6"/>
        <v>647933.66956430697</v>
      </c>
      <c r="P101" s="715">
        <f t="shared" si="6"/>
        <v>-20221008.269280814</v>
      </c>
    </row>
    <row r="102" spans="1:16" ht="12.75" thickTop="1" x14ac:dyDescent="0.2">
      <c r="A102" s="707"/>
      <c r="B102" s="684"/>
      <c r="C102" s="710"/>
      <c r="D102" s="709"/>
      <c r="E102" s="709"/>
      <c r="F102" s="709"/>
      <c r="G102" s="709"/>
      <c r="H102" s="709"/>
      <c r="I102" s="709"/>
      <c r="J102" s="709"/>
      <c r="K102" s="709"/>
      <c r="L102" s="709"/>
      <c r="M102" s="709"/>
      <c r="N102" s="709"/>
      <c r="O102" s="709"/>
      <c r="P102" s="709"/>
    </row>
    <row r="104" spans="1:16" x14ac:dyDescent="0.2">
      <c r="A104" s="686"/>
      <c r="B104" s="686"/>
      <c r="C104" s="686"/>
      <c r="D104" s="686"/>
      <c r="E104" s="686"/>
      <c r="F104" s="686"/>
      <c r="G104" s="686"/>
      <c r="H104" s="686"/>
      <c r="I104" s="686"/>
      <c r="J104" s="686"/>
      <c r="K104" s="686"/>
      <c r="L104" s="686"/>
      <c r="M104" s="686"/>
      <c r="N104" s="690"/>
      <c r="O104" s="686"/>
      <c r="P104" s="716"/>
    </row>
    <row r="105" spans="1:16" x14ac:dyDescent="0.2">
      <c r="A105" s="686"/>
      <c r="B105" s="686"/>
      <c r="C105" s="717"/>
      <c r="D105" s="686"/>
      <c r="E105" s="686"/>
      <c r="F105" s="686"/>
      <c r="G105" s="686"/>
      <c r="H105" s="686"/>
      <c r="I105" s="686"/>
      <c r="J105" s="686"/>
      <c r="K105" s="686"/>
      <c r="L105" s="686"/>
      <c r="M105" s="686"/>
      <c r="N105" s="690"/>
      <c r="O105" s="686"/>
      <c r="P105" s="716"/>
    </row>
    <row r="106" spans="1:16" x14ac:dyDescent="0.2">
      <c r="A106" s="686"/>
      <c r="B106" s="686"/>
      <c r="C106" s="686"/>
      <c r="D106" s="718"/>
      <c r="E106" s="718"/>
      <c r="F106" s="718"/>
      <c r="G106" s="718"/>
      <c r="H106" s="718"/>
      <c r="I106" s="718"/>
      <c r="J106" s="718"/>
      <c r="K106" s="718"/>
      <c r="L106" s="718"/>
      <c r="M106" s="718"/>
      <c r="N106" s="718"/>
      <c r="O106" s="718"/>
      <c r="P106" s="686"/>
    </row>
    <row r="107" spans="1:16" x14ac:dyDescent="0.2">
      <c r="A107" s="686"/>
      <c r="B107" s="686"/>
      <c r="C107" s="686"/>
      <c r="D107" s="1079"/>
      <c r="E107" s="1079"/>
      <c r="F107" s="1079"/>
      <c r="G107" s="1079"/>
      <c r="H107" s="1079"/>
      <c r="I107" s="1079"/>
      <c r="J107" s="1079"/>
      <c r="K107" s="1079"/>
      <c r="L107" s="1079"/>
      <c r="M107" s="1079"/>
      <c r="N107" s="1079"/>
      <c r="O107" s="1079"/>
      <c r="P107" s="686"/>
    </row>
    <row r="108" spans="1:16" x14ac:dyDescent="0.2">
      <c r="A108" s="686"/>
      <c r="B108" s="686"/>
      <c r="C108" s="686"/>
      <c r="D108" s="718"/>
      <c r="E108" s="718"/>
      <c r="F108" s="718"/>
      <c r="G108" s="718"/>
      <c r="H108" s="718"/>
      <c r="I108" s="718"/>
      <c r="J108" s="718"/>
      <c r="K108" s="718"/>
      <c r="L108" s="718"/>
      <c r="M108" s="718"/>
      <c r="N108" s="718"/>
      <c r="O108" s="718"/>
      <c r="P108" s="686"/>
    </row>
    <row r="109" spans="1:16" x14ac:dyDescent="0.2">
      <c r="C109" s="720"/>
      <c r="D109" s="721"/>
      <c r="E109" s="721"/>
      <c r="F109" s="721"/>
      <c r="G109" s="721"/>
      <c r="H109" s="721"/>
      <c r="I109" s="721"/>
      <c r="J109" s="721"/>
      <c r="K109" s="721"/>
      <c r="L109" s="721"/>
      <c r="M109" s="721"/>
      <c r="N109" s="721"/>
      <c r="O109" s="721"/>
    </row>
    <row r="110" spans="1:16" x14ac:dyDescent="0.2">
      <c r="C110" s="722"/>
      <c r="D110" s="721"/>
      <c r="E110" s="721"/>
      <c r="F110" s="721"/>
      <c r="G110" s="721"/>
      <c r="H110" s="721"/>
      <c r="I110" s="721"/>
      <c r="J110" s="721"/>
      <c r="K110" s="721"/>
      <c r="L110" s="721"/>
      <c r="M110" s="721"/>
      <c r="N110" s="721"/>
      <c r="O110" s="721"/>
    </row>
    <row r="113" spans="4:16" x14ac:dyDescent="0.2">
      <c r="D113" s="719"/>
      <c r="E113" s="719"/>
      <c r="F113" s="719"/>
      <c r="G113" s="719"/>
      <c r="H113" s="719"/>
      <c r="I113" s="719"/>
      <c r="J113" s="719"/>
      <c r="K113" s="719"/>
      <c r="L113" s="719"/>
      <c r="M113" s="719"/>
      <c r="N113" s="719"/>
      <c r="O113" s="719"/>
      <c r="P113" s="719"/>
    </row>
    <row r="114" spans="4:16" x14ac:dyDescent="0.2">
      <c r="D114" s="719"/>
      <c r="E114" s="719"/>
      <c r="F114" s="719"/>
      <c r="G114" s="719"/>
      <c r="H114" s="719"/>
      <c r="I114" s="719"/>
      <c r="J114" s="719"/>
      <c r="K114" s="719"/>
      <c r="L114" s="719"/>
      <c r="M114" s="719"/>
      <c r="N114" s="719"/>
      <c r="O114" s="719"/>
      <c r="P114" s="719"/>
    </row>
    <row r="115" spans="4:16" x14ac:dyDescent="0.2">
      <c r="D115" s="719"/>
      <c r="E115" s="719"/>
      <c r="F115" s="719"/>
      <c r="G115" s="719"/>
      <c r="H115" s="719"/>
      <c r="I115" s="719"/>
      <c r="J115" s="719"/>
      <c r="K115" s="719"/>
      <c r="L115" s="719"/>
      <c r="M115" s="719"/>
      <c r="N115" s="719"/>
      <c r="O115" s="719"/>
      <c r="P115" s="719"/>
    </row>
  </sheetData>
  <mergeCells count="8">
    <mergeCell ref="A58:P58"/>
    <mergeCell ref="A59:P59"/>
    <mergeCell ref="A1:P1"/>
    <mergeCell ref="A2:P2"/>
    <mergeCell ref="A3:P3"/>
    <mergeCell ref="A4:P4"/>
    <mergeCell ref="A56:P56"/>
    <mergeCell ref="A57:P57"/>
  </mergeCells>
  <phoneticPr fontId="0" type="noConversion"/>
  <printOptions horizontalCentered="1"/>
  <pageMargins left="0.5" right="0.5" top="1" bottom="0.75" header="0.5" footer="0.5"/>
  <pageSetup scale="65" orientation="landscape" r:id="rId1"/>
  <headerFooter alignWithMargins="0"/>
  <rowBreaks count="1" manualBreakCount="1">
    <brk id="55" max="16383" man="1"/>
  </rowBreaks>
  <ignoredErrors>
    <ignoredError sqref="D61:P64" unlockedFormula="1"/>
    <ignoredError sqref="B68:B99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U115"/>
  <sheetViews>
    <sheetView zoomScale="90" zoomScaleNormal="90" workbookViewId="0">
      <pane xSplit="3" ySplit="10" topLeftCell="D11" activePane="bottomRight" state="frozen"/>
      <selection activeCell="K40" sqref="K40"/>
      <selection pane="topRight" activeCell="K40" sqref="K40"/>
      <selection pane="bottomLeft" activeCell="K40" sqref="K40"/>
      <selection pane="bottomRight" activeCell="K40" sqref="K40"/>
    </sheetView>
  </sheetViews>
  <sheetFormatPr defaultColWidth="9.33203125" defaultRowHeight="12" x14ac:dyDescent="0.2"/>
  <cols>
    <col min="1" max="1" width="4.1640625" style="683" customWidth="1"/>
    <col min="2" max="2" width="9.83203125" style="683" bestFit="1" customWidth="1"/>
    <col min="3" max="3" width="57.33203125" style="683" customWidth="1"/>
    <col min="4" max="4" width="14.33203125" style="683" customWidth="1"/>
    <col min="5" max="5" width="12.5" style="683" customWidth="1"/>
    <col min="6" max="6" width="13" style="683" customWidth="1"/>
    <col min="7" max="7" width="12.83203125" style="683" customWidth="1"/>
    <col min="8" max="9" width="12.5" style="683" customWidth="1"/>
    <col min="10" max="10" width="12.6640625" style="683" customWidth="1"/>
    <col min="11" max="11" width="12.83203125" style="683" customWidth="1"/>
    <col min="12" max="12" width="12.83203125" style="683" bestFit="1" customWidth="1"/>
    <col min="13" max="13" width="12.6640625" style="683" customWidth="1"/>
    <col min="14" max="14" width="12.83203125" style="683" customWidth="1"/>
    <col min="15" max="15" width="12.6640625" style="683" customWidth="1"/>
    <col min="16" max="16" width="15.5" style="683" customWidth="1"/>
    <col min="17" max="17" width="2.1640625" style="683" customWidth="1"/>
    <col min="18" max="16384" width="9.33203125" style="683"/>
  </cols>
  <sheetData>
    <row r="1" spans="1:21" x14ac:dyDescent="0.2">
      <c r="A1" s="2134" t="s">
        <v>624</v>
      </c>
      <c r="B1" s="2134"/>
      <c r="C1" s="2135"/>
      <c r="D1" s="2135"/>
      <c r="E1" s="2135"/>
      <c r="F1" s="2135"/>
      <c r="G1" s="2135"/>
      <c r="H1" s="2135"/>
      <c r="I1" s="2135"/>
      <c r="J1" s="2135"/>
      <c r="K1" s="2135"/>
      <c r="L1" s="2135"/>
      <c r="M1" s="2135"/>
      <c r="N1" s="2135"/>
      <c r="O1" s="2135"/>
      <c r="P1" s="2135"/>
    </row>
    <row r="2" spans="1:21" x14ac:dyDescent="0.2">
      <c r="A2" s="2132" t="str">
        <f>case</f>
        <v>CASE NO. 2016 - 00162</v>
      </c>
      <c r="B2" s="2132"/>
      <c r="C2" s="2133"/>
      <c r="D2" s="2133"/>
      <c r="E2" s="2133"/>
      <c r="F2" s="2133"/>
      <c r="G2" s="2133"/>
      <c r="H2" s="2133"/>
      <c r="I2" s="2133"/>
      <c r="J2" s="2133"/>
      <c r="K2" s="2133"/>
      <c r="L2" s="2133"/>
      <c r="M2" s="2133"/>
      <c r="N2" s="2133"/>
      <c r="O2" s="2133"/>
      <c r="P2" s="2133"/>
    </row>
    <row r="3" spans="1:21" x14ac:dyDescent="0.2">
      <c r="A3" s="2134" t="s">
        <v>1515</v>
      </c>
      <c r="B3" s="2134"/>
      <c r="C3" s="2135"/>
      <c r="D3" s="2135"/>
      <c r="E3" s="2135"/>
      <c r="F3" s="2135"/>
      <c r="G3" s="2135"/>
      <c r="H3" s="2135"/>
      <c r="I3" s="2135"/>
      <c r="J3" s="2135"/>
      <c r="K3" s="2135"/>
      <c r="L3" s="2135"/>
      <c r="M3" s="2135"/>
      <c r="N3" s="2135"/>
      <c r="O3" s="2135"/>
      <c r="P3" s="2135"/>
    </row>
    <row r="4" spans="1:21" x14ac:dyDescent="0.2">
      <c r="A4" s="2138" t="s">
        <v>2037</v>
      </c>
      <c r="B4" s="2139"/>
      <c r="C4" s="2140"/>
      <c r="D4" s="2140"/>
      <c r="E4" s="2140"/>
      <c r="F4" s="2140"/>
      <c r="G4" s="2140"/>
      <c r="H4" s="2140"/>
      <c r="I4" s="2140"/>
      <c r="J4" s="2140"/>
      <c r="K4" s="2140"/>
      <c r="L4" s="2140"/>
      <c r="M4" s="2140"/>
      <c r="N4" s="2140"/>
      <c r="O4" s="2140"/>
      <c r="P4" s="2140"/>
    </row>
    <row r="5" spans="1:21" x14ac:dyDescent="0.2">
      <c r="A5" s="686"/>
      <c r="B5" s="686"/>
      <c r="C5" s="686"/>
      <c r="D5" s="687"/>
      <c r="E5" s="686"/>
      <c r="F5" s="686"/>
      <c r="G5" s="686"/>
      <c r="H5" s="688"/>
      <c r="I5" s="686"/>
      <c r="J5" s="686"/>
      <c r="K5" s="686"/>
      <c r="L5" s="686"/>
      <c r="M5" s="686"/>
      <c r="N5" s="686"/>
      <c r="O5" s="686"/>
      <c r="P5" s="686"/>
      <c r="R5" s="689"/>
      <c r="S5" s="689"/>
      <c r="T5" s="689"/>
      <c r="U5" s="689"/>
    </row>
    <row r="6" spans="1:21" ht="12" customHeight="1" x14ac:dyDescent="0.2">
      <c r="A6" s="690" t="s">
        <v>1118</v>
      </c>
      <c r="B6" s="690"/>
      <c r="C6" s="686"/>
      <c r="D6" s="686"/>
      <c r="E6" s="686"/>
      <c r="F6" s="686"/>
      <c r="G6" s="686"/>
      <c r="H6" s="686"/>
      <c r="I6" s="686"/>
      <c r="J6" s="686"/>
      <c r="K6" s="686"/>
      <c r="L6" s="686"/>
      <c r="M6" s="686"/>
      <c r="N6" s="691"/>
      <c r="O6" s="686"/>
      <c r="P6" s="692" t="s">
        <v>1597</v>
      </c>
      <c r="R6" s="693"/>
      <c r="S6" s="693"/>
      <c r="T6" s="693"/>
      <c r="U6" s="689"/>
    </row>
    <row r="7" spans="1:21" x14ac:dyDescent="0.2">
      <c r="A7" s="690" t="s">
        <v>977</v>
      </c>
      <c r="B7" s="690"/>
      <c r="C7" s="686"/>
      <c r="D7" s="686"/>
      <c r="E7" s="686"/>
      <c r="F7" s="686"/>
      <c r="G7" s="686"/>
      <c r="H7" s="686"/>
      <c r="I7" s="686"/>
      <c r="J7" s="686"/>
      <c r="K7" s="686"/>
      <c r="L7" s="686"/>
      <c r="M7" s="686"/>
      <c r="N7" s="691"/>
      <c r="O7" s="686"/>
      <c r="P7" s="692" t="s">
        <v>1517</v>
      </c>
      <c r="R7" s="693"/>
      <c r="S7" s="693"/>
      <c r="T7" s="693"/>
      <c r="U7" s="689"/>
    </row>
    <row r="8" spans="1:21" x14ac:dyDescent="0.2">
      <c r="A8" s="694" t="s">
        <v>996</v>
      </c>
      <c r="B8" s="694"/>
      <c r="C8" s="695"/>
      <c r="D8" s="695"/>
      <c r="E8" s="695"/>
      <c r="F8" s="695"/>
      <c r="G8" s="695"/>
      <c r="H8" s="695"/>
      <c r="I8" s="695"/>
      <c r="J8" s="695"/>
      <c r="K8" s="695"/>
      <c r="L8" s="695"/>
      <c r="M8" s="695"/>
      <c r="N8" s="696"/>
      <c r="O8" s="695"/>
      <c r="P8" s="697" t="str">
        <f>JTC</f>
        <v>WITNESS:  J. T. CROOM</v>
      </c>
      <c r="R8" s="693"/>
      <c r="S8" s="693"/>
      <c r="T8" s="693"/>
      <c r="U8" s="689"/>
    </row>
    <row r="9" spans="1:21" x14ac:dyDescent="0.2">
      <c r="A9" s="698" t="s">
        <v>1080</v>
      </c>
      <c r="B9" s="699"/>
      <c r="C9" s="699"/>
      <c r="D9" s="700" t="s">
        <v>1598</v>
      </c>
      <c r="E9" s="700" t="s">
        <v>1598</v>
      </c>
      <c r="F9" s="700" t="s">
        <v>1598</v>
      </c>
      <c r="G9" s="700" t="s">
        <v>1598</v>
      </c>
      <c r="H9" s="700" t="s">
        <v>1598</v>
      </c>
      <c r="I9" s="700" t="s">
        <v>1598</v>
      </c>
      <c r="J9" s="700" t="s">
        <v>1598</v>
      </c>
      <c r="K9" s="700" t="s">
        <v>1598</v>
      </c>
      <c r="L9" s="700" t="s">
        <v>1598</v>
      </c>
      <c r="M9" s="700" t="s">
        <v>1598</v>
      </c>
      <c r="N9" s="700" t="s">
        <v>1598</v>
      </c>
      <c r="O9" s="700" t="s">
        <v>1598</v>
      </c>
      <c r="P9" s="686"/>
      <c r="R9" s="693"/>
      <c r="S9" s="693"/>
      <c r="T9" s="693"/>
      <c r="U9" s="689"/>
    </row>
    <row r="10" spans="1:21" x14ac:dyDescent="0.2">
      <c r="A10" s="702" t="s">
        <v>1081</v>
      </c>
      <c r="B10" s="702" t="s">
        <v>1518</v>
      </c>
      <c r="C10" s="702" t="s">
        <v>1519</v>
      </c>
      <c r="D10" s="1377" t="s">
        <v>2049</v>
      </c>
      <c r="E10" s="703" t="s">
        <v>1525</v>
      </c>
      <c r="F10" s="703" t="s">
        <v>1526</v>
      </c>
      <c r="G10" s="703" t="s">
        <v>1527</v>
      </c>
      <c r="H10" s="703" t="s">
        <v>1528</v>
      </c>
      <c r="I10" s="703" t="s">
        <v>1529</v>
      </c>
      <c r="J10" s="703" t="s">
        <v>1530</v>
      </c>
      <c r="K10" s="703" t="s">
        <v>1599</v>
      </c>
      <c r="L10" s="703" t="s">
        <v>1520</v>
      </c>
      <c r="M10" s="703" t="s">
        <v>1521</v>
      </c>
      <c r="N10" s="703" t="s">
        <v>1522</v>
      </c>
      <c r="O10" s="1758" t="s">
        <v>2050</v>
      </c>
      <c r="P10" s="704" t="s">
        <v>670</v>
      </c>
      <c r="R10" s="693"/>
      <c r="S10" s="693"/>
      <c r="T10" s="693"/>
      <c r="U10" s="689"/>
    </row>
    <row r="11" spans="1:21" x14ac:dyDescent="0.2">
      <c r="A11" s="705"/>
      <c r="B11" s="686"/>
      <c r="C11" s="686"/>
      <c r="D11" s="706" t="s">
        <v>639</v>
      </c>
      <c r="E11" s="706" t="s">
        <v>639</v>
      </c>
      <c r="F11" s="706" t="s">
        <v>639</v>
      </c>
      <c r="G11" s="706" t="s">
        <v>639</v>
      </c>
      <c r="H11" s="706" t="s">
        <v>639</v>
      </c>
      <c r="I11" s="706" t="s">
        <v>639</v>
      </c>
      <c r="J11" s="706" t="s">
        <v>639</v>
      </c>
      <c r="K11" s="706" t="s">
        <v>639</v>
      </c>
      <c r="L11" s="706" t="s">
        <v>639</v>
      </c>
      <c r="M11" s="706" t="s">
        <v>639</v>
      </c>
      <c r="N11" s="706" t="s">
        <v>639</v>
      </c>
      <c r="O11" s="712" t="s">
        <v>639</v>
      </c>
      <c r="P11" s="706" t="s">
        <v>639</v>
      </c>
      <c r="R11" s="693"/>
      <c r="S11" s="693"/>
      <c r="T11" s="693"/>
      <c r="U11" s="689"/>
    </row>
    <row r="12" spans="1:21" x14ac:dyDescent="0.2">
      <c r="A12" s="705"/>
      <c r="B12" s="686"/>
      <c r="C12" s="686"/>
      <c r="D12" s="706"/>
      <c r="E12" s="706"/>
      <c r="F12" s="706"/>
      <c r="G12" s="706"/>
      <c r="H12" s="706"/>
      <c r="I12" s="706"/>
      <c r="J12" s="706"/>
      <c r="K12" s="706"/>
      <c r="L12" s="706"/>
      <c r="M12" s="706"/>
      <c r="N12" s="706"/>
      <c r="O12" s="712"/>
      <c r="P12" s="706"/>
      <c r="R12" s="693"/>
      <c r="S12" s="693"/>
      <c r="T12" s="693"/>
      <c r="U12" s="689"/>
    </row>
    <row r="13" spans="1:21" x14ac:dyDescent="0.2">
      <c r="A13" s="707">
        <v>1</v>
      </c>
      <c r="B13" s="684" t="s">
        <v>621</v>
      </c>
      <c r="C13" s="691" t="s">
        <v>622</v>
      </c>
      <c r="D13" s="709">
        <f>'WPB2.2 Plant detail-w slippage'!J28</f>
        <v>1262041.3489107501</v>
      </c>
      <c r="E13" s="709">
        <f>'WPB2.2 Plant detail-w slippage'!J29</f>
        <v>1262191.0631964644</v>
      </c>
      <c r="F13" s="709">
        <f>'WPB2.2 Plant detail-w slippage'!J30</f>
        <v>1264992.0631964644</v>
      </c>
      <c r="G13" s="709">
        <f>'WPB2.2 Plant detail-w slippage'!J31</f>
        <v>1274942.0631964644</v>
      </c>
      <c r="H13" s="709">
        <f>'WPB2.2 Plant detail-w slippage'!J32</f>
        <v>1286305.0631964644</v>
      </c>
      <c r="I13" s="709">
        <f>'WPB2.2 Plant detail-w slippage'!J33</f>
        <v>1292441.8122287225</v>
      </c>
      <c r="J13" s="709">
        <f>'WPB2.2 Plant detail-w slippage'!J34</f>
        <v>1321362.0961094652</v>
      </c>
      <c r="K13" s="709">
        <f>'WPB2.2 Plant detail-w slippage'!J35</f>
        <v>1352543.6083865217</v>
      </c>
      <c r="L13" s="709">
        <f>'WPB2.2 Plant detail-w slippage'!J36</f>
        <v>1363297.585815093</v>
      </c>
      <c r="M13" s="709">
        <f>'WPB2.2 Plant detail-w slippage'!J37</f>
        <v>1373501.6537638111</v>
      </c>
      <c r="N13" s="709">
        <f>'WPB2.2 Plant detail-w slippage'!J38</f>
        <v>1383056.8402491142</v>
      </c>
      <c r="O13" s="709">
        <f>'WPB2.2 Plant detail-w slippage'!J39</f>
        <v>1391461.9587856997</v>
      </c>
      <c r="P13" s="709">
        <f>SUM(D13:O13)</f>
        <v>15828137.157035036</v>
      </c>
      <c r="R13" s="689"/>
      <c r="S13" s="689"/>
      <c r="T13" s="689"/>
      <c r="U13" s="689"/>
    </row>
    <row r="14" spans="1:21" x14ac:dyDescent="0.2">
      <c r="A14" s="707">
        <f>A13+1</f>
        <v>2</v>
      </c>
      <c r="B14" s="684">
        <v>406</v>
      </c>
      <c r="C14" s="691" t="s">
        <v>1531</v>
      </c>
      <c r="D14" s="708">
        <v>0</v>
      </c>
      <c r="E14" s="708">
        <v>0</v>
      </c>
      <c r="F14" s="708">
        <v>0</v>
      </c>
      <c r="G14" s="708">
        <v>0</v>
      </c>
      <c r="H14" s="708">
        <v>0</v>
      </c>
      <c r="I14" s="708">
        <v>0</v>
      </c>
      <c r="J14" s="708">
        <v>0</v>
      </c>
      <c r="K14" s="708">
        <v>0</v>
      </c>
      <c r="L14" s="708">
        <v>0</v>
      </c>
      <c r="M14" s="708">
        <v>0</v>
      </c>
      <c r="N14" s="708">
        <v>0</v>
      </c>
      <c r="O14" s="708">
        <v>0</v>
      </c>
      <c r="P14" s="709">
        <f t="shared" ref="P14:P54" si="0">SUM(D14:O14)</f>
        <v>0</v>
      </c>
    </row>
    <row r="15" spans="1:21" x14ac:dyDescent="0.2">
      <c r="A15" s="707">
        <f t="shared" ref="A15:A54" si="1">A14+1</f>
        <v>3</v>
      </c>
      <c r="B15" s="706">
        <v>408</v>
      </c>
      <c r="C15" s="690" t="s">
        <v>1532</v>
      </c>
      <c r="D15" s="708">
        <v>327000</v>
      </c>
      <c r="E15" s="708">
        <v>327000</v>
      </c>
      <c r="F15" s="708">
        <v>327000</v>
      </c>
      <c r="G15" s="708">
        <v>327000</v>
      </c>
      <c r="H15" s="708">
        <v>327000</v>
      </c>
      <c r="I15" s="708">
        <v>327000</v>
      </c>
      <c r="J15" s="708">
        <v>327000</v>
      </c>
      <c r="K15" s="708">
        <v>327000</v>
      </c>
      <c r="L15" s="708">
        <v>327000</v>
      </c>
      <c r="M15" s="708">
        <v>327000</v>
      </c>
      <c r="N15" s="708">
        <v>327000</v>
      </c>
      <c r="O15" s="708">
        <v>327000</v>
      </c>
      <c r="P15" s="709">
        <f t="shared" si="0"/>
        <v>3924000</v>
      </c>
    </row>
    <row r="16" spans="1:21" x14ac:dyDescent="0.2">
      <c r="A16" s="707">
        <f t="shared" si="1"/>
        <v>4</v>
      </c>
      <c r="B16" s="706">
        <v>408</v>
      </c>
      <c r="C16" s="690" t="s">
        <v>1533</v>
      </c>
      <c r="D16" s="708">
        <v>64000</v>
      </c>
      <c r="E16" s="708">
        <v>58000</v>
      </c>
      <c r="F16" s="708">
        <v>47000</v>
      </c>
      <c r="G16" s="708">
        <v>46000</v>
      </c>
      <c r="H16" s="708">
        <v>57000</v>
      </c>
      <c r="I16" s="708">
        <v>58000</v>
      </c>
      <c r="J16" s="708">
        <v>57000</v>
      </c>
      <c r="K16" s="708">
        <v>49000</v>
      </c>
      <c r="L16" s="708">
        <v>47000</v>
      </c>
      <c r="M16" s="708">
        <v>60000</v>
      </c>
      <c r="N16" s="708">
        <v>68000</v>
      </c>
      <c r="O16" s="708">
        <v>61000</v>
      </c>
      <c r="P16" s="709">
        <f t="shared" si="0"/>
        <v>672000</v>
      </c>
    </row>
    <row r="17" spans="1:16" x14ac:dyDescent="0.2">
      <c r="A17" s="707">
        <f t="shared" si="1"/>
        <v>5</v>
      </c>
      <c r="B17" s="706">
        <v>408</v>
      </c>
      <c r="C17" s="690" t="s">
        <v>1534</v>
      </c>
      <c r="D17" s="708">
        <v>0</v>
      </c>
      <c r="E17" s="708">
        <v>0</v>
      </c>
      <c r="F17" s="708">
        <v>0</v>
      </c>
      <c r="G17" s="708">
        <v>0</v>
      </c>
      <c r="H17" s="708">
        <v>0</v>
      </c>
      <c r="I17" s="708">
        <v>0</v>
      </c>
      <c r="J17" s="708">
        <v>0</v>
      </c>
      <c r="K17" s="708">
        <v>0</v>
      </c>
      <c r="L17" s="708">
        <v>0</v>
      </c>
      <c r="M17" s="708">
        <v>0</v>
      </c>
      <c r="N17" s="708">
        <v>0</v>
      </c>
      <c r="O17" s="708">
        <v>0</v>
      </c>
      <c r="P17" s="709">
        <f t="shared" si="0"/>
        <v>0</v>
      </c>
    </row>
    <row r="18" spans="1:16" x14ac:dyDescent="0.2">
      <c r="A18" s="707">
        <f>A17+1</f>
        <v>6</v>
      </c>
      <c r="B18" s="706">
        <v>480</v>
      </c>
      <c r="C18" s="711" t="s">
        <v>1535</v>
      </c>
      <c r="D18" s="708">
        <v>-7846190.4999999991</v>
      </c>
      <c r="E18" s="708">
        <v>-7663359.7999999998</v>
      </c>
      <c r="F18" s="708">
        <v>-6195223.9099999992</v>
      </c>
      <c r="G18" s="708">
        <v>-4301603.3199999994</v>
      </c>
      <c r="H18" s="708">
        <v>-2959875.2399999998</v>
      </c>
      <c r="I18" s="708">
        <v>-2324247.2000000002</v>
      </c>
      <c r="J18" s="708">
        <v>-2149642.4700000002</v>
      </c>
      <c r="K18" s="708">
        <v>-2142831.4700000002</v>
      </c>
      <c r="L18" s="708">
        <v>-2144969.4600000004</v>
      </c>
      <c r="M18" s="708">
        <v>-2385375.4</v>
      </c>
      <c r="N18" s="708">
        <v>-3618616.0900000008</v>
      </c>
      <c r="O18" s="708">
        <v>-5901645.4300000006</v>
      </c>
      <c r="P18" s="709">
        <f t="shared" si="0"/>
        <v>-49633580.289999999</v>
      </c>
    </row>
    <row r="19" spans="1:16" x14ac:dyDescent="0.2">
      <c r="A19" s="707">
        <f t="shared" si="1"/>
        <v>7</v>
      </c>
      <c r="B19" s="712">
        <v>481.1</v>
      </c>
      <c r="C19" s="711" t="s">
        <v>1536</v>
      </c>
      <c r="D19" s="708">
        <v>-3217802.55</v>
      </c>
      <c r="E19" s="708">
        <v>-3205817.64</v>
      </c>
      <c r="F19" s="708">
        <v>-2387480.5</v>
      </c>
      <c r="G19" s="708">
        <v>-1633593.31</v>
      </c>
      <c r="H19" s="708">
        <v>-1023502.2000000001</v>
      </c>
      <c r="I19" s="708">
        <v>-791304.52999999991</v>
      </c>
      <c r="J19" s="708">
        <v>-690861.47000000009</v>
      </c>
      <c r="K19" s="708">
        <v>-673449.84</v>
      </c>
      <c r="L19" s="708">
        <v>-668132.54999999993</v>
      </c>
      <c r="M19" s="708">
        <v>-777295.27000000014</v>
      </c>
      <c r="N19" s="708">
        <v>-1180863.24</v>
      </c>
      <c r="O19" s="708">
        <v>-2239232.23</v>
      </c>
      <c r="P19" s="709">
        <f t="shared" si="0"/>
        <v>-18489335.329999998</v>
      </c>
    </row>
    <row r="20" spans="1:16" x14ac:dyDescent="0.2">
      <c r="A20" s="707">
        <f t="shared" si="1"/>
        <v>8</v>
      </c>
      <c r="B20" s="706">
        <v>481.2</v>
      </c>
      <c r="C20" s="690" t="s">
        <v>1537</v>
      </c>
      <c r="D20" s="708">
        <v>-129149.99</v>
      </c>
      <c r="E20" s="708">
        <v>-125132.98999999999</v>
      </c>
      <c r="F20" s="708">
        <v>-121088.68</v>
      </c>
      <c r="G20" s="708">
        <v>-116752.69000000002</v>
      </c>
      <c r="H20" s="708">
        <v>-112364.84999999999</v>
      </c>
      <c r="I20" s="708">
        <v>-108141.06</v>
      </c>
      <c r="J20" s="708">
        <v>-108140.14</v>
      </c>
      <c r="K20" s="708">
        <v>-112164.59</v>
      </c>
      <c r="L20" s="708">
        <v>-112114.09</v>
      </c>
      <c r="M20" s="708">
        <v>-120237.79999999999</v>
      </c>
      <c r="N20" s="708">
        <v>-120706.85999999999</v>
      </c>
      <c r="O20" s="708">
        <v>-121305.35</v>
      </c>
      <c r="P20" s="709">
        <f t="shared" si="0"/>
        <v>-1407299.0899999999</v>
      </c>
    </row>
    <row r="21" spans="1:16" x14ac:dyDescent="0.2">
      <c r="A21" s="707">
        <f t="shared" si="1"/>
        <v>9</v>
      </c>
      <c r="B21" s="706">
        <v>483</v>
      </c>
      <c r="C21" s="690" t="s">
        <v>1538</v>
      </c>
      <c r="D21" s="708">
        <v>-10643.800000000001</v>
      </c>
      <c r="E21" s="708">
        <v>-8122.05</v>
      </c>
      <c r="F21" s="708">
        <v>-4447.7800000000007</v>
      </c>
      <c r="G21" s="708">
        <v>-3058.7599999999998</v>
      </c>
      <c r="H21" s="708">
        <v>-2211.17</v>
      </c>
      <c r="I21" s="708">
        <v>-1780.99</v>
      </c>
      <c r="J21" s="708">
        <v>-1852.7500000000002</v>
      </c>
      <c r="K21" s="708">
        <v>-1704.6900000000003</v>
      </c>
      <c r="L21" s="708">
        <v>-1705.6100000000001</v>
      </c>
      <c r="M21" s="708">
        <v>-3251.8</v>
      </c>
      <c r="N21" s="708">
        <v>-4191.49</v>
      </c>
      <c r="O21" s="708">
        <v>-4740.2300000000005</v>
      </c>
      <c r="P21" s="709">
        <f t="shared" si="0"/>
        <v>-47711.12000000001</v>
      </c>
    </row>
    <row r="22" spans="1:16" x14ac:dyDescent="0.2">
      <c r="A22" s="707">
        <f t="shared" si="1"/>
        <v>10</v>
      </c>
      <c r="B22" s="706">
        <v>487</v>
      </c>
      <c r="C22" s="690" t="s">
        <v>1539</v>
      </c>
      <c r="D22" s="708">
        <v>-56000</v>
      </c>
      <c r="E22" s="708">
        <v>-79000</v>
      </c>
      <c r="F22" s="708">
        <v>-78000</v>
      </c>
      <c r="G22" s="708">
        <v>-74000</v>
      </c>
      <c r="H22" s="708">
        <v>-40000</v>
      </c>
      <c r="I22" s="708">
        <v>-25000</v>
      </c>
      <c r="J22" s="708">
        <v>-20000</v>
      </c>
      <c r="K22" s="708">
        <v>-19000</v>
      </c>
      <c r="L22" s="708">
        <v>-22000</v>
      </c>
      <c r="M22" s="708">
        <v>-11000</v>
      </c>
      <c r="N22" s="708">
        <v>-18000</v>
      </c>
      <c r="O22" s="708">
        <v>-34000</v>
      </c>
      <c r="P22" s="709">
        <f t="shared" si="0"/>
        <v>-476000</v>
      </c>
    </row>
    <row r="23" spans="1:16" x14ac:dyDescent="0.2">
      <c r="A23" s="707">
        <f t="shared" si="1"/>
        <v>11</v>
      </c>
      <c r="B23" s="706">
        <v>488</v>
      </c>
      <c r="C23" s="690" t="s">
        <v>1540</v>
      </c>
      <c r="D23" s="708">
        <v>-8000</v>
      </c>
      <c r="E23" s="708">
        <v>-9000</v>
      </c>
      <c r="F23" s="708">
        <v>-11000</v>
      </c>
      <c r="G23" s="708">
        <v>-13000</v>
      </c>
      <c r="H23" s="708">
        <v>-10000</v>
      </c>
      <c r="I23" s="708">
        <v>-11000</v>
      </c>
      <c r="J23" s="708">
        <v>-9000</v>
      </c>
      <c r="K23" s="708">
        <v>-8000</v>
      </c>
      <c r="L23" s="708">
        <v>-9000</v>
      </c>
      <c r="M23" s="708">
        <v>-19000</v>
      </c>
      <c r="N23" s="708">
        <v>-20000</v>
      </c>
      <c r="O23" s="708">
        <v>-10000</v>
      </c>
      <c r="P23" s="709">
        <f t="shared" si="0"/>
        <v>-137000</v>
      </c>
    </row>
    <row r="24" spans="1:16" x14ac:dyDescent="0.2">
      <c r="A24" s="707">
        <f t="shared" si="1"/>
        <v>12</v>
      </c>
      <c r="B24" s="706">
        <v>489</v>
      </c>
      <c r="C24" s="690" t="s">
        <v>1541</v>
      </c>
      <c r="D24" s="708">
        <v>-2814022.9699999997</v>
      </c>
      <c r="E24" s="708">
        <v>-2709195.99</v>
      </c>
      <c r="F24" s="708">
        <v>-2332595.14</v>
      </c>
      <c r="G24" s="708">
        <v>-1825719.68</v>
      </c>
      <c r="H24" s="708">
        <v>-1478769.8399999999</v>
      </c>
      <c r="I24" s="708">
        <v>-1307703.1000000001</v>
      </c>
      <c r="J24" s="708">
        <v>-1250556.74</v>
      </c>
      <c r="K24" s="708">
        <v>-1259109.29</v>
      </c>
      <c r="L24" s="708">
        <v>-1292094.28</v>
      </c>
      <c r="M24" s="708">
        <v>-1426831.07</v>
      </c>
      <c r="N24" s="708">
        <v>-1766736.0699999998</v>
      </c>
      <c r="O24" s="708">
        <v>-2343728.0700000003</v>
      </c>
      <c r="P24" s="709">
        <f t="shared" si="0"/>
        <v>-21807062.239999998</v>
      </c>
    </row>
    <row r="25" spans="1:16" x14ac:dyDescent="0.2">
      <c r="A25" s="707">
        <f t="shared" si="1"/>
        <v>13</v>
      </c>
      <c r="B25" s="706">
        <v>493</v>
      </c>
      <c r="C25" s="690" t="s">
        <v>1542</v>
      </c>
      <c r="D25" s="708">
        <v>-6000</v>
      </c>
      <c r="E25" s="708">
        <v>-6000</v>
      </c>
      <c r="F25" s="708">
        <v>-6000</v>
      </c>
      <c r="G25" s="708">
        <v>-6000</v>
      </c>
      <c r="H25" s="708">
        <v>-6000</v>
      </c>
      <c r="I25" s="708">
        <v>-6000</v>
      </c>
      <c r="J25" s="708">
        <v>-6000</v>
      </c>
      <c r="K25" s="708">
        <v>-6000</v>
      </c>
      <c r="L25" s="708">
        <v>-6000</v>
      </c>
      <c r="M25" s="708">
        <v>-6000</v>
      </c>
      <c r="N25" s="708">
        <v>-6000</v>
      </c>
      <c r="O25" s="708">
        <v>-6000</v>
      </c>
      <c r="P25" s="709">
        <f t="shared" si="0"/>
        <v>-72000</v>
      </c>
    </row>
    <row r="26" spans="1:16" x14ac:dyDescent="0.2">
      <c r="A26" s="707">
        <f t="shared" si="1"/>
        <v>14</v>
      </c>
      <c r="B26" s="706">
        <v>495</v>
      </c>
      <c r="C26" s="690" t="s">
        <v>1543</v>
      </c>
      <c r="D26" s="708">
        <v>-66000</v>
      </c>
      <c r="E26" s="708">
        <v>-58000</v>
      </c>
      <c r="F26" s="708">
        <v>-61000</v>
      </c>
      <c r="G26" s="708">
        <v>-85000</v>
      </c>
      <c r="H26" s="708">
        <v>-24000</v>
      </c>
      <c r="I26" s="708">
        <v>-19000</v>
      </c>
      <c r="J26" s="708">
        <v>-16000</v>
      </c>
      <c r="K26" s="708">
        <v>-15000</v>
      </c>
      <c r="L26" s="708">
        <v>-16000</v>
      </c>
      <c r="M26" s="708">
        <v>-18000</v>
      </c>
      <c r="N26" s="708">
        <v>-25000</v>
      </c>
      <c r="O26" s="708">
        <v>-112000</v>
      </c>
      <c r="P26" s="709">
        <f t="shared" si="0"/>
        <v>-515000</v>
      </c>
    </row>
    <row r="27" spans="1:16" x14ac:dyDescent="0.2">
      <c r="A27" s="707">
        <f t="shared" si="1"/>
        <v>15</v>
      </c>
      <c r="B27" s="684">
        <v>717</v>
      </c>
      <c r="C27" s="691" t="s">
        <v>1544</v>
      </c>
      <c r="D27" s="709">
        <f>'Input O&amp;M FERC 12-17'!C9</f>
        <v>185</v>
      </c>
      <c r="E27" s="709">
        <f>'Input O&amp;M FERC 12-17'!D9</f>
        <v>161</v>
      </c>
      <c r="F27" s="709">
        <f>'Input O&amp;M FERC 12-17'!E9</f>
        <v>186</v>
      </c>
      <c r="G27" s="709">
        <f>'Input O&amp;M FERC 12-17'!F9</f>
        <v>164</v>
      </c>
      <c r="H27" s="709">
        <f>'Input O&amp;M FERC 12-17'!G9</f>
        <v>197</v>
      </c>
      <c r="I27" s="709">
        <f>'Input O&amp;M FERC 12-17'!H9</f>
        <v>192</v>
      </c>
      <c r="J27" s="709">
        <f>'Input O&amp;M FERC 12-17'!I9</f>
        <v>176</v>
      </c>
      <c r="K27" s="709">
        <f>'Input O&amp;M FERC 12-17'!J9</f>
        <v>176</v>
      </c>
      <c r="L27" s="709">
        <f>'Input O&amp;M FERC 12-17'!K9</f>
        <v>170</v>
      </c>
      <c r="M27" s="709">
        <f>'Input O&amp;M FERC 12-17'!L9</f>
        <v>180</v>
      </c>
      <c r="N27" s="709">
        <f>'Input O&amp;M FERC 12-17'!M9</f>
        <v>167</v>
      </c>
      <c r="O27" s="709">
        <f>'Input O&amp;M FERC 12-17'!N9</f>
        <v>185</v>
      </c>
      <c r="P27" s="709">
        <f t="shared" si="0"/>
        <v>2139</v>
      </c>
    </row>
    <row r="28" spans="1:16" x14ac:dyDescent="0.2">
      <c r="A28" s="707">
        <f t="shared" si="1"/>
        <v>16</v>
      </c>
      <c r="B28" s="684">
        <v>723</v>
      </c>
      <c r="C28" s="691" t="s">
        <v>1545</v>
      </c>
      <c r="D28" s="708">
        <v>0</v>
      </c>
      <c r="E28" s="708">
        <v>0</v>
      </c>
      <c r="F28" s="708">
        <v>0</v>
      </c>
      <c r="G28" s="708">
        <v>0</v>
      </c>
      <c r="H28" s="708">
        <v>0</v>
      </c>
      <c r="I28" s="708">
        <v>0</v>
      </c>
      <c r="J28" s="708">
        <v>0</v>
      </c>
      <c r="K28" s="708">
        <v>0</v>
      </c>
      <c r="L28" s="708">
        <v>0</v>
      </c>
      <c r="M28" s="708">
        <v>0</v>
      </c>
      <c r="N28" s="708">
        <v>0</v>
      </c>
      <c r="O28" s="708">
        <v>0</v>
      </c>
      <c r="P28" s="709">
        <f t="shared" si="0"/>
        <v>0</v>
      </c>
    </row>
    <row r="29" spans="1:16" x14ac:dyDescent="0.2">
      <c r="A29" s="707">
        <f t="shared" si="1"/>
        <v>17</v>
      </c>
      <c r="B29" s="684">
        <v>728</v>
      </c>
      <c r="C29" s="691" t="s">
        <v>1546</v>
      </c>
      <c r="D29" s="708">
        <v>0</v>
      </c>
      <c r="E29" s="708">
        <v>0</v>
      </c>
      <c r="F29" s="708">
        <v>0</v>
      </c>
      <c r="G29" s="708">
        <v>0</v>
      </c>
      <c r="H29" s="708">
        <v>0</v>
      </c>
      <c r="I29" s="708">
        <v>0</v>
      </c>
      <c r="J29" s="708">
        <v>0</v>
      </c>
      <c r="K29" s="708">
        <v>0</v>
      </c>
      <c r="L29" s="708">
        <v>0</v>
      </c>
      <c r="M29" s="708">
        <v>0</v>
      </c>
      <c r="N29" s="708">
        <v>0</v>
      </c>
      <c r="O29" s="708">
        <v>0</v>
      </c>
      <c r="P29" s="709">
        <f t="shared" si="0"/>
        <v>0</v>
      </c>
    </row>
    <row r="30" spans="1:16" x14ac:dyDescent="0.2">
      <c r="A30" s="707">
        <f t="shared" si="1"/>
        <v>18</v>
      </c>
      <c r="B30" s="684">
        <v>741</v>
      </c>
      <c r="C30" s="691" t="s">
        <v>1547</v>
      </c>
      <c r="D30" s="708">
        <v>0</v>
      </c>
      <c r="E30" s="708">
        <v>0</v>
      </c>
      <c r="F30" s="708">
        <v>0</v>
      </c>
      <c r="G30" s="708">
        <v>0</v>
      </c>
      <c r="H30" s="708">
        <v>0</v>
      </c>
      <c r="I30" s="708">
        <v>0</v>
      </c>
      <c r="J30" s="708">
        <v>0</v>
      </c>
      <c r="K30" s="708">
        <v>0</v>
      </c>
      <c r="L30" s="708">
        <v>0</v>
      </c>
      <c r="M30" s="708">
        <v>0</v>
      </c>
      <c r="N30" s="708">
        <v>0</v>
      </c>
      <c r="O30" s="708">
        <v>0</v>
      </c>
      <c r="P30" s="709">
        <f t="shared" si="0"/>
        <v>0</v>
      </c>
    </row>
    <row r="31" spans="1:16" x14ac:dyDescent="0.2">
      <c r="A31" s="707">
        <f t="shared" si="1"/>
        <v>19</v>
      </c>
      <c r="B31" s="684">
        <v>742</v>
      </c>
      <c r="C31" s="691" t="s">
        <v>1548</v>
      </c>
      <c r="D31" s="708">
        <v>0</v>
      </c>
      <c r="E31" s="708">
        <v>0</v>
      </c>
      <c r="F31" s="708">
        <v>0</v>
      </c>
      <c r="G31" s="708">
        <v>0</v>
      </c>
      <c r="H31" s="708">
        <v>0</v>
      </c>
      <c r="I31" s="708">
        <v>0</v>
      </c>
      <c r="J31" s="708">
        <v>0</v>
      </c>
      <c r="K31" s="708">
        <v>0</v>
      </c>
      <c r="L31" s="708">
        <v>0</v>
      </c>
      <c r="M31" s="708">
        <v>0</v>
      </c>
      <c r="N31" s="708">
        <v>0</v>
      </c>
      <c r="O31" s="708">
        <v>0</v>
      </c>
      <c r="P31" s="709">
        <f t="shared" si="0"/>
        <v>0</v>
      </c>
    </row>
    <row r="32" spans="1:16" ht="24" x14ac:dyDescent="0.2">
      <c r="A32" s="707">
        <f t="shared" si="1"/>
        <v>20</v>
      </c>
      <c r="B32" s="684" t="s">
        <v>1549</v>
      </c>
      <c r="C32" s="710" t="s">
        <v>1550</v>
      </c>
      <c r="D32" s="708">
        <v>3452277.9</v>
      </c>
      <c r="E32" s="708">
        <v>3370103.96</v>
      </c>
      <c r="F32" s="708">
        <v>2479900.83</v>
      </c>
      <c r="G32" s="708">
        <v>1463963.18</v>
      </c>
      <c r="H32" s="708">
        <v>720495.2</v>
      </c>
      <c r="I32" s="708">
        <v>395743.18</v>
      </c>
      <c r="J32" s="708">
        <v>295476.13</v>
      </c>
      <c r="K32" s="708">
        <v>285288.13</v>
      </c>
      <c r="L32" s="708">
        <v>288674.67000000004</v>
      </c>
      <c r="M32" s="708">
        <v>426227.61</v>
      </c>
      <c r="N32" s="708">
        <v>1040565.7</v>
      </c>
      <c r="O32" s="708">
        <v>2317765.0900000003</v>
      </c>
      <c r="P32" s="709">
        <f t="shared" si="0"/>
        <v>16536481.579999998</v>
      </c>
    </row>
    <row r="33" spans="1:16" x14ac:dyDescent="0.2">
      <c r="A33" s="707">
        <f t="shared" si="1"/>
        <v>21</v>
      </c>
      <c r="B33" s="684">
        <v>804</v>
      </c>
      <c r="C33" s="691" t="s">
        <v>1551</v>
      </c>
      <c r="D33" s="708">
        <v>89669.56</v>
      </c>
      <c r="E33" s="708">
        <v>87535.17</v>
      </c>
      <c r="F33" s="708">
        <v>64413.01</v>
      </c>
      <c r="G33" s="708">
        <v>38025.019999999997</v>
      </c>
      <c r="H33" s="708">
        <v>18714.16</v>
      </c>
      <c r="I33" s="708">
        <v>10279.040000000001</v>
      </c>
      <c r="J33" s="708">
        <v>7674.7</v>
      </c>
      <c r="K33" s="708">
        <v>7410.08</v>
      </c>
      <c r="L33" s="708">
        <v>7498.04</v>
      </c>
      <c r="M33" s="708">
        <v>11070.85</v>
      </c>
      <c r="N33" s="708">
        <v>27027.68</v>
      </c>
      <c r="O33" s="708">
        <v>60201.69</v>
      </c>
      <c r="P33" s="709">
        <f t="shared" si="0"/>
        <v>429518.99999999994</v>
      </c>
    </row>
    <row r="34" spans="1:16" x14ac:dyDescent="0.2">
      <c r="A34" s="707">
        <f t="shared" si="1"/>
        <v>22</v>
      </c>
      <c r="B34" s="684">
        <v>805</v>
      </c>
      <c r="C34" s="691" t="s">
        <v>1552</v>
      </c>
      <c r="D34" s="708">
        <v>986365.11</v>
      </c>
      <c r="E34" s="708">
        <v>962886.85</v>
      </c>
      <c r="F34" s="708">
        <v>708543.09</v>
      </c>
      <c r="G34" s="708">
        <v>418275.19</v>
      </c>
      <c r="H34" s="708">
        <v>205855.77</v>
      </c>
      <c r="I34" s="708">
        <v>113069.48</v>
      </c>
      <c r="J34" s="708">
        <v>84421.75</v>
      </c>
      <c r="K34" s="708">
        <v>81510.899999999994</v>
      </c>
      <c r="L34" s="708">
        <v>82478.48</v>
      </c>
      <c r="M34" s="708">
        <v>121779.32</v>
      </c>
      <c r="N34" s="708">
        <v>297304.48</v>
      </c>
      <c r="O34" s="708">
        <v>662218.6</v>
      </c>
      <c r="P34" s="709">
        <f t="shared" si="0"/>
        <v>4724709.0199999996</v>
      </c>
    </row>
    <row r="35" spans="1:16" x14ac:dyDescent="0.2">
      <c r="A35" s="707">
        <f t="shared" si="1"/>
        <v>23</v>
      </c>
      <c r="B35" s="684">
        <v>806</v>
      </c>
      <c r="C35" s="691" t="s">
        <v>1553</v>
      </c>
      <c r="D35" s="708">
        <v>-358678.22</v>
      </c>
      <c r="E35" s="708">
        <v>-350140.67</v>
      </c>
      <c r="F35" s="708">
        <v>-257652.03</v>
      </c>
      <c r="G35" s="708">
        <v>-152100.07</v>
      </c>
      <c r="H35" s="708">
        <v>-74856.639999999999</v>
      </c>
      <c r="I35" s="708">
        <v>-41116.17</v>
      </c>
      <c r="J35" s="708">
        <v>-30698.82</v>
      </c>
      <c r="K35" s="708">
        <v>-29640.33</v>
      </c>
      <c r="L35" s="708">
        <v>-29992.17</v>
      </c>
      <c r="M35" s="708">
        <v>-44283.39</v>
      </c>
      <c r="N35" s="708">
        <v>-108110.72</v>
      </c>
      <c r="O35" s="708">
        <v>-240806.76</v>
      </c>
      <c r="P35" s="709">
        <f t="shared" si="0"/>
        <v>-1718075.9899999998</v>
      </c>
    </row>
    <row r="36" spans="1:16" x14ac:dyDescent="0.2">
      <c r="A36" s="707">
        <f t="shared" si="1"/>
        <v>24</v>
      </c>
      <c r="B36" s="684">
        <v>807</v>
      </c>
      <c r="C36" s="691" t="s">
        <v>1554</v>
      </c>
      <c r="D36" s="713">
        <v>0</v>
      </c>
      <c r="E36" s="713">
        <v>0</v>
      </c>
      <c r="F36" s="713">
        <v>0</v>
      </c>
      <c r="G36" s="713">
        <v>0</v>
      </c>
      <c r="H36" s="713">
        <v>0</v>
      </c>
      <c r="I36" s="713">
        <v>0</v>
      </c>
      <c r="J36" s="713">
        <v>0</v>
      </c>
      <c r="K36" s="713">
        <v>0</v>
      </c>
      <c r="L36" s="713">
        <v>0</v>
      </c>
      <c r="M36" s="713">
        <v>0</v>
      </c>
      <c r="N36" s="713">
        <v>0</v>
      </c>
      <c r="O36" s="713">
        <v>0</v>
      </c>
      <c r="P36" s="709">
        <f t="shared" si="0"/>
        <v>0</v>
      </c>
    </row>
    <row r="37" spans="1:16" x14ac:dyDescent="0.2">
      <c r="A37" s="707">
        <f t="shared" si="1"/>
        <v>25</v>
      </c>
      <c r="B37" s="684">
        <v>807</v>
      </c>
      <c r="C37" s="691" t="s">
        <v>1555</v>
      </c>
      <c r="D37" s="709">
        <f>'Input O&amp;M FERC 12-17'!C10</f>
        <v>27696</v>
      </c>
      <c r="E37" s="709">
        <f>'Input O&amp;M FERC 12-17'!D10</f>
        <v>28350</v>
      </c>
      <c r="F37" s="709">
        <f>'Input O&amp;M FERC 12-17'!E10</f>
        <v>28544</v>
      </c>
      <c r="G37" s="709">
        <f>'Input O&amp;M FERC 12-17'!F10</f>
        <v>27986</v>
      </c>
      <c r="H37" s="709">
        <f>'Input O&amp;M FERC 12-17'!G10</f>
        <v>28221</v>
      </c>
      <c r="I37" s="709">
        <f>'Input O&amp;M FERC 12-17'!H10</f>
        <v>29571</v>
      </c>
      <c r="J37" s="709">
        <f>'Input O&amp;M FERC 12-17'!I10</f>
        <v>28428</v>
      </c>
      <c r="K37" s="709">
        <f>'Input O&amp;M FERC 12-17'!J10</f>
        <v>28435</v>
      </c>
      <c r="L37" s="709">
        <f>'Input O&amp;M FERC 12-17'!K10</f>
        <v>29444</v>
      </c>
      <c r="M37" s="709">
        <f>'Input O&amp;M FERC 12-17'!L10</f>
        <v>28691</v>
      </c>
      <c r="N37" s="709">
        <f>'Input O&amp;M FERC 12-17'!M10</f>
        <v>29201</v>
      </c>
      <c r="O37" s="709">
        <f>'Input O&amp;M FERC 12-17'!N10</f>
        <v>29556</v>
      </c>
      <c r="P37" s="709">
        <f t="shared" si="0"/>
        <v>344123</v>
      </c>
    </row>
    <row r="38" spans="1:16" x14ac:dyDescent="0.2">
      <c r="A38" s="707">
        <f t="shared" si="1"/>
        <v>26</v>
      </c>
      <c r="B38" s="684">
        <v>808</v>
      </c>
      <c r="C38" s="691" t="s">
        <v>1556</v>
      </c>
      <c r="D38" s="708">
        <v>313843.45</v>
      </c>
      <c r="E38" s="708">
        <v>306373.09000000003</v>
      </c>
      <c r="F38" s="708">
        <v>225445.53</v>
      </c>
      <c r="G38" s="708">
        <v>133087.56</v>
      </c>
      <c r="H38" s="708">
        <v>65499.56</v>
      </c>
      <c r="I38" s="708">
        <v>35976.65</v>
      </c>
      <c r="J38" s="708">
        <v>26861.47</v>
      </c>
      <c r="K38" s="708">
        <v>25935.279999999999</v>
      </c>
      <c r="L38" s="708">
        <v>26243.15</v>
      </c>
      <c r="M38" s="708">
        <v>38747.97</v>
      </c>
      <c r="N38" s="708">
        <v>94596.88</v>
      </c>
      <c r="O38" s="708">
        <v>210705.92000000001</v>
      </c>
      <c r="P38" s="709">
        <f t="shared" si="0"/>
        <v>1503316.5099999998</v>
      </c>
    </row>
    <row r="39" spans="1:16" x14ac:dyDescent="0.2">
      <c r="A39" s="707">
        <f t="shared" si="1"/>
        <v>27</v>
      </c>
      <c r="B39" s="705">
        <v>812</v>
      </c>
      <c r="C39" s="686" t="s">
        <v>1557</v>
      </c>
      <c r="D39" s="708">
        <v>0</v>
      </c>
      <c r="E39" s="708">
        <v>0</v>
      </c>
      <c r="F39" s="708">
        <v>0</v>
      </c>
      <c r="G39" s="708">
        <v>0</v>
      </c>
      <c r="H39" s="708">
        <v>0</v>
      </c>
      <c r="I39" s="708">
        <v>0</v>
      </c>
      <c r="J39" s="708">
        <v>0</v>
      </c>
      <c r="K39" s="708">
        <v>0</v>
      </c>
      <c r="L39" s="708">
        <v>0</v>
      </c>
      <c r="M39" s="708">
        <v>0</v>
      </c>
      <c r="N39" s="708">
        <v>0</v>
      </c>
      <c r="O39" s="708">
        <v>0</v>
      </c>
      <c r="P39" s="709">
        <f t="shared" si="0"/>
        <v>0</v>
      </c>
    </row>
    <row r="40" spans="1:16" x14ac:dyDescent="0.2">
      <c r="A40" s="707">
        <f t="shared" si="1"/>
        <v>28</v>
      </c>
      <c r="B40" s="684">
        <v>813</v>
      </c>
      <c r="C40" s="691" t="s">
        <v>1558</v>
      </c>
      <c r="D40" s="708">
        <v>0</v>
      </c>
      <c r="E40" s="708">
        <v>0</v>
      </c>
      <c r="F40" s="708">
        <v>0</v>
      </c>
      <c r="G40" s="708">
        <v>0</v>
      </c>
      <c r="H40" s="708">
        <v>0</v>
      </c>
      <c r="I40" s="708">
        <v>0</v>
      </c>
      <c r="J40" s="708">
        <v>0</v>
      </c>
      <c r="K40" s="708">
        <v>0</v>
      </c>
      <c r="L40" s="708">
        <v>0</v>
      </c>
      <c r="M40" s="708">
        <v>0</v>
      </c>
      <c r="N40" s="708">
        <v>0</v>
      </c>
      <c r="O40" s="708">
        <v>0</v>
      </c>
      <c r="P40" s="709">
        <f t="shared" si="0"/>
        <v>0</v>
      </c>
    </row>
    <row r="41" spans="1:16" x14ac:dyDescent="0.2">
      <c r="A41" s="707">
        <f t="shared" si="1"/>
        <v>29</v>
      </c>
      <c r="B41" s="684">
        <v>870</v>
      </c>
      <c r="C41" s="691" t="s">
        <v>1559</v>
      </c>
      <c r="D41" s="709">
        <f>'Input O&amp;M FERC 12-17'!C11</f>
        <v>71511</v>
      </c>
      <c r="E41" s="709">
        <f>'Input O&amp;M FERC 12-17'!D11</f>
        <v>70631</v>
      </c>
      <c r="F41" s="709">
        <f>'Input O&amp;M FERC 12-17'!E11</f>
        <v>72975</v>
      </c>
      <c r="G41" s="709">
        <f>'Input O&amp;M FERC 12-17'!F11</f>
        <v>71205</v>
      </c>
      <c r="H41" s="709">
        <f>'Input O&amp;M FERC 12-17'!G11</f>
        <v>72249</v>
      </c>
      <c r="I41" s="709">
        <f>'Input O&amp;M FERC 12-17'!H11</f>
        <v>75483</v>
      </c>
      <c r="J41" s="709">
        <f>'Input O&amp;M FERC 12-17'!I11</f>
        <v>72813</v>
      </c>
      <c r="K41" s="709">
        <f>'Input O&amp;M FERC 12-17'!J11</f>
        <v>72266</v>
      </c>
      <c r="L41" s="709">
        <f>'Input O&amp;M FERC 12-17'!K11</f>
        <v>74642</v>
      </c>
      <c r="M41" s="709">
        <f>'Input O&amp;M FERC 12-17'!L11</f>
        <v>73133</v>
      </c>
      <c r="N41" s="709">
        <f>'Input O&amp;M FERC 12-17'!M11</f>
        <v>73963</v>
      </c>
      <c r="O41" s="709">
        <f>'Input O&amp;M FERC 12-17'!N11</f>
        <v>76103</v>
      </c>
      <c r="P41" s="709">
        <f t="shared" si="0"/>
        <v>876974</v>
      </c>
    </row>
    <row r="42" spans="1:16" x14ac:dyDescent="0.2">
      <c r="A42" s="707">
        <f t="shared" si="1"/>
        <v>30</v>
      </c>
      <c r="B42" s="684">
        <v>871</v>
      </c>
      <c r="C42" s="691" t="s">
        <v>1560</v>
      </c>
      <c r="D42" s="709">
        <f>'Input O&amp;M FERC 12-17'!C12</f>
        <v>6609</v>
      </c>
      <c r="E42" s="709">
        <f>'Input O&amp;M FERC 12-17'!D12</f>
        <v>5402</v>
      </c>
      <c r="F42" s="709">
        <f>'Input O&amp;M FERC 12-17'!E12</f>
        <v>6812</v>
      </c>
      <c r="G42" s="709">
        <f>'Input O&amp;M FERC 12-17'!F12</f>
        <v>6302</v>
      </c>
      <c r="H42" s="709">
        <f>'Input O&amp;M FERC 12-17'!G12</f>
        <v>6623</v>
      </c>
      <c r="I42" s="709">
        <f>'Input O&amp;M FERC 12-17'!H12</f>
        <v>6775</v>
      </c>
      <c r="J42" s="709">
        <f>'Input O&amp;M FERC 12-17'!I12</f>
        <v>6646</v>
      </c>
      <c r="K42" s="709">
        <f>'Input O&amp;M FERC 12-17'!J12</f>
        <v>6206</v>
      </c>
      <c r="L42" s="709">
        <f>'Input O&amp;M FERC 12-17'!K12</f>
        <v>6422</v>
      </c>
      <c r="M42" s="709">
        <f>'Input O&amp;M FERC 12-17'!L12</f>
        <v>6534</v>
      </c>
      <c r="N42" s="709">
        <f>'Input O&amp;M FERC 12-17'!M12</f>
        <v>6390</v>
      </c>
      <c r="O42" s="709">
        <f>'Input O&amp;M FERC 12-17'!N12</f>
        <v>7106</v>
      </c>
      <c r="P42" s="709">
        <f t="shared" si="0"/>
        <v>77827</v>
      </c>
    </row>
    <row r="43" spans="1:16" x14ac:dyDescent="0.2">
      <c r="A43" s="707">
        <f t="shared" si="1"/>
        <v>31</v>
      </c>
      <c r="B43" s="684">
        <v>874</v>
      </c>
      <c r="C43" s="691" t="s">
        <v>1561</v>
      </c>
      <c r="D43" s="709">
        <f>'Input O&amp;M FERC 12-17'!C13</f>
        <v>418222</v>
      </c>
      <c r="E43" s="709">
        <f>'Input O&amp;M FERC 12-17'!D13</f>
        <v>375521</v>
      </c>
      <c r="F43" s="709">
        <f>'Input O&amp;M FERC 12-17'!E13</f>
        <v>419317</v>
      </c>
      <c r="G43" s="709">
        <f>'Input O&amp;M FERC 12-17'!F13</f>
        <v>441298</v>
      </c>
      <c r="H43" s="709">
        <f>'Input O&amp;M FERC 12-17'!G13</f>
        <v>498856</v>
      </c>
      <c r="I43" s="709">
        <f>'Input O&amp;M FERC 12-17'!H13</f>
        <v>501263</v>
      </c>
      <c r="J43" s="709">
        <f>'Input O&amp;M FERC 12-17'!I13</f>
        <v>483774</v>
      </c>
      <c r="K43" s="709">
        <f>'Input O&amp;M FERC 12-17'!J13</f>
        <v>530942</v>
      </c>
      <c r="L43" s="709">
        <f>'Input O&amp;M FERC 12-17'!K13</f>
        <v>504251</v>
      </c>
      <c r="M43" s="709">
        <f>'Input O&amp;M FERC 12-17'!L13</f>
        <v>479155</v>
      </c>
      <c r="N43" s="709">
        <f>'Input O&amp;M FERC 12-17'!M13</f>
        <v>455008</v>
      </c>
      <c r="O43" s="709">
        <f>'Input O&amp;M FERC 12-17'!N13</f>
        <v>477688</v>
      </c>
      <c r="P43" s="709">
        <f t="shared" si="0"/>
        <v>5585295</v>
      </c>
    </row>
    <row r="44" spans="1:16" x14ac:dyDescent="0.2">
      <c r="A44" s="707">
        <f t="shared" si="1"/>
        <v>32</v>
      </c>
      <c r="B44" s="684">
        <v>875</v>
      </c>
      <c r="C44" s="691" t="s">
        <v>1562</v>
      </c>
      <c r="D44" s="709">
        <f>'Input O&amp;M FERC 12-17'!C14</f>
        <v>15499</v>
      </c>
      <c r="E44" s="709">
        <f>'Input O&amp;M FERC 12-17'!D14</f>
        <v>13445</v>
      </c>
      <c r="F44" s="709">
        <f>'Input O&amp;M FERC 12-17'!E14</f>
        <v>15452</v>
      </c>
      <c r="G44" s="709">
        <f>'Input O&amp;M FERC 12-17'!F14</f>
        <v>15275</v>
      </c>
      <c r="H44" s="709">
        <f>'Input O&amp;M FERC 12-17'!G14</f>
        <v>16812</v>
      </c>
      <c r="I44" s="709">
        <f>'Input O&amp;M FERC 12-17'!H14</f>
        <v>17032</v>
      </c>
      <c r="J44" s="709">
        <f>'Input O&amp;M FERC 12-17'!I14</f>
        <v>16396</v>
      </c>
      <c r="K44" s="709">
        <f>'Input O&amp;M FERC 12-17'!J14</f>
        <v>16902</v>
      </c>
      <c r="L44" s="709">
        <f>'Input O&amp;M FERC 12-17'!K14</f>
        <v>16614</v>
      </c>
      <c r="M44" s="709">
        <f>'Input O&amp;M FERC 12-17'!L14</f>
        <v>16290</v>
      </c>
      <c r="N44" s="709">
        <f>'Input O&amp;M FERC 12-17'!M14</f>
        <v>15726</v>
      </c>
      <c r="O44" s="709">
        <f>'Input O&amp;M FERC 12-17'!N14</f>
        <v>17022</v>
      </c>
      <c r="P44" s="709">
        <f t="shared" si="0"/>
        <v>192465</v>
      </c>
    </row>
    <row r="45" spans="1:16" x14ac:dyDescent="0.2">
      <c r="A45" s="707">
        <f t="shared" si="1"/>
        <v>33</v>
      </c>
      <c r="B45" s="684">
        <v>876</v>
      </c>
      <c r="C45" s="691" t="s">
        <v>1563</v>
      </c>
      <c r="D45" s="709">
        <f>'Input O&amp;M FERC 12-17'!C15</f>
        <v>5486</v>
      </c>
      <c r="E45" s="709">
        <f>'Input O&amp;M FERC 12-17'!D15</f>
        <v>4717</v>
      </c>
      <c r="F45" s="709">
        <f>'Input O&amp;M FERC 12-17'!E15</f>
        <v>5549</v>
      </c>
      <c r="G45" s="709">
        <f>'Input O&amp;M FERC 12-17'!F15</f>
        <v>5213</v>
      </c>
      <c r="H45" s="709">
        <f>'Input O&amp;M FERC 12-17'!G15</f>
        <v>5449</v>
      </c>
      <c r="I45" s="709">
        <f>'Input O&amp;M FERC 12-17'!H15</f>
        <v>5606</v>
      </c>
      <c r="J45" s="709">
        <f>'Input O&amp;M FERC 12-17'!I15</f>
        <v>5449</v>
      </c>
      <c r="K45" s="709">
        <f>'Input O&amp;M FERC 12-17'!J15</f>
        <v>5187</v>
      </c>
      <c r="L45" s="709">
        <f>'Input O&amp;M FERC 12-17'!K15</f>
        <v>5353</v>
      </c>
      <c r="M45" s="709">
        <f>'Input O&amp;M FERC 12-17'!L15</f>
        <v>5397</v>
      </c>
      <c r="N45" s="709">
        <f>'Input O&amp;M FERC 12-17'!M15</f>
        <v>5325</v>
      </c>
      <c r="O45" s="709">
        <f>'Input O&amp;M FERC 12-17'!N15</f>
        <v>5835</v>
      </c>
      <c r="P45" s="709">
        <f t="shared" si="0"/>
        <v>64566</v>
      </c>
    </row>
    <row r="46" spans="1:16" x14ac:dyDescent="0.2">
      <c r="A46" s="707">
        <f t="shared" si="1"/>
        <v>34</v>
      </c>
      <c r="B46" s="684">
        <v>878</v>
      </c>
      <c r="C46" s="691" t="s">
        <v>1564</v>
      </c>
      <c r="D46" s="709">
        <f>'Input O&amp;M FERC 12-17'!C16</f>
        <v>139738</v>
      </c>
      <c r="E46" s="709">
        <f>'Input O&amp;M FERC 12-17'!D16</f>
        <v>115703</v>
      </c>
      <c r="F46" s="709">
        <f>'Input O&amp;M FERC 12-17'!E16</f>
        <v>141993</v>
      </c>
      <c r="G46" s="709">
        <f>'Input O&amp;M FERC 12-17'!F16</f>
        <v>132795</v>
      </c>
      <c r="H46" s="709">
        <f>'Input O&amp;M FERC 12-17'!G16</f>
        <v>138535</v>
      </c>
      <c r="I46" s="709">
        <f>'Input O&amp;M FERC 12-17'!H16</f>
        <v>142619</v>
      </c>
      <c r="J46" s="709">
        <f>'Input O&amp;M FERC 12-17'!I16</f>
        <v>139678</v>
      </c>
      <c r="K46" s="709">
        <f>'Input O&amp;M FERC 12-17'!J16</f>
        <v>130804</v>
      </c>
      <c r="L46" s="709">
        <f>'Input O&amp;M FERC 12-17'!K16</f>
        <v>135134</v>
      </c>
      <c r="M46" s="709">
        <f>'Input O&amp;M FERC 12-17'!L16</f>
        <v>137048</v>
      </c>
      <c r="N46" s="709">
        <f>'Input O&amp;M FERC 12-17'!M16</f>
        <v>133885</v>
      </c>
      <c r="O46" s="709">
        <f>'Input O&amp;M FERC 12-17'!N16</f>
        <v>147956</v>
      </c>
      <c r="P46" s="709">
        <f t="shared" si="0"/>
        <v>1635888</v>
      </c>
    </row>
    <row r="47" spans="1:16" x14ac:dyDescent="0.2">
      <c r="A47" s="707">
        <f t="shared" si="1"/>
        <v>35</v>
      </c>
      <c r="B47" s="684">
        <v>879</v>
      </c>
      <c r="C47" s="691" t="s">
        <v>1565</v>
      </c>
      <c r="D47" s="709">
        <f>'Input O&amp;M FERC 12-17'!C17</f>
        <v>167354</v>
      </c>
      <c r="E47" s="709">
        <f>'Input O&amp;M FERC 12-17'!D17</f>
        <v>139848</v>
      </c>
      <c r="F47" s="709">
        <f>'Input O&amp;M FERC 12-17'!E17</f>
        <v>171541</v>
      </c>
      <c r="G47" s="709">
        <f>'Input O&amp;M FERC 12-17'!F17</f>
        <v>162143</v>
      </c>
      <c r="H47" s="709">
        <f>'Input O&amp;M FERC 12-17'!G17</f>
        <v>171281</v>
      </c>
      <c r="I47" s="709">
        <f>'Input O&amp;M FERC 12-17'!H17</f>
        <v>175286</v>
      </c>
      <c r="J47" s="709">
        <f>'Input O&amp;M FERC 12-17'!I17</f>
        <v>171571</v>
      </c>
      <c r="K47" s="709">
        <f>'Input O&amp;M FERC 12-17'!J17</f>
        <v>164509</v>
      </c>
      <c r="L47" s="709">
        <f>'Input O&amp;M FERC 12-17'!K17</f>
        <v>168086</v>
      </c>
      <c r="M47" s="709">
        <f>'Input O&amp;M FERC 12-17'!L17</f>
        <v>168819</v>
      </c>
      <c r="N47" s="709">
        <f>'Input O&amp;M FERC 12-17'!M17</f>
        <v>164713</v>
      </c>
      <c r="O47" s="709">
        <f>'Input O&amp;M FERC 12-17'!N17</f>
        <v>180830</v>
      </c>
      <c r="P47" s="709">
        <f t="shared" si="0"/>
        <v>2005981</v>
      </c>
    </row>
    <row r="48" spans="1:16" x14ac:dyDescent="0.2">
      <c r="A48" s="707">
        <f t="shared" si="1"/>
        <v>36</v>
      </c>
      <c r="B48" s="684">
        <v>880</v>
      </c>
      <c r="C48" s="691" t="s">
        <v>1566</v>
      </c>
      <c r="D48" s="709">
        <f>'Input O&amp;M FERC 12-17'!C18</f>
        <v>139188</v>
      </c>
      <c r="E48" s="709">
        <f>'Input O&amp;M FERC 12-17'!D18</f>
        <v>122610</v>
      </c>
      <c r="F48" s="709">
        <f>'Input O&amp;M FERC 12-17'!E18</f>
        <v>136618</v>
      </c>
      <c r="G48" s="709">
        <f>'Input O&amp;M FERC 12-17'!F18</f>
        <v>136142</v>
      </c>
      <c r="H48" s="709">
        <f>'Input O&amp;M FERC 12-17'!G18</f>
        <v>152799</v>
      </c>
      <c r="I48" s="709">
        <f>'Input O&amp;M FERC 12-17'!H18</f>
        <v>153161</v>
      </c>
      <c r="J48" s="709">
        <f>'Input O&amp;M FERC 12-17'!I18</f>
        <v>147845</v>
      </c>
      <c r="K48" s="709">
        <f>'Input O&amp;M FERC 12-17'!J18</f>
        <v>151104</v>
      </c>
      <c r="L48" s="709">
        <f>'Input O&amp;M FERC 12-17'!K18</f>
        <v>147417</v>
      </c>
      <c r="M48" s="709">
        <f>'Input O&amp;M FERC 12-17'!L18</f>
        <v>146093</v>
      </c>
      <c r="N48" s="709">
        <f>'Input O&amp;M FERC 12-17'!M18</f>
        <v>136158</v>
      </c>
      <c r="O48" s="709">
        <f>'Input O&amp;M FERC 12-17'!N18</f>
        <v>146434</v>
      </c>
      <c r="P48" s="709">
        <f t="shared" si="0"/>
        <v>1715569</v>
      </c>
    </row>
    <row r="49" spans="1:16" x14ac:dyDescent="0.2">
      <c r="A49" s="707">
        <f t="shared" si="1"/>
        <v>37</v>
      </c>
      <c r="B49" s="684">
        <v>881</v>
      </c>
      <c r="C49" s="691" t="s">
        <v>1567</v>
      </c>
      <c r="D49" s="709">
        <f>'Input O&amp;M FERC 12-17'!C19</f>
        <v>6750</v>
      </c>
      <c r="E49" s="709">
        <f>'Input O&amp;M FERC 12-17'!D19</f>
        <v>7686</v>
      </c>
      <c r="F49" s="709">
        <f>'Input O&amp;M FERC 12-17'!E19</f>
        <v>7195</v>
      </c>
      <c r="G49" s="709">
        <f>'Input O&amp;M FERC 12-17'!F19</f>
        <v>7488</v>
      </c>
      <c r="H49" s="709">
        <f>'Input O&amp;M FERC 12-17'!G19</f>
        <v>6131</v>
      </c>
      <c r="I49" s="709">
        <f>'Input O&amp;M FERC 12-17'!H19</f>
        <v>6675</v>
      </c>
      <c r="J49" s="709">
        <f>'Input O&amp;M FERC 12-17'!I19</f>
        <v>7283</v>
      </c>
      <c r="K49" s="709">
        <f>'Input O&amp;M FERC 12-17'!J19</f>
        <v>7284</v>
      </c>
      <c r="L49" s="709">
        <f>'Input O&amp;M FERC 12-17'!K19</f>
        <v>7638</v>
      </c>
      <c r="M49" s="709">
        <f>'Input O&amp;M FERC 12-17'!L19</f>
        <v>7051</v>
      </c>
      <c r="N49" s="709">
        <f>'Input O&amp;M FERC 12-17'!M19</f>
        <v>7817</v>
      </c>
      <c r="O49" s="709">
        <f>'Input O&amp;M FERC 12-17'!N19</f>
        <v>6759</v>
      </c>
      <c r="P49" s="709">
        <f t="shared" si="0"/>
        <v>85757</v>
      </c>
    </row>
    <row r="50" spans="1:16" x14ac:dyDescent="0.2">
      <c r="A50" s="707">
        <f t="shared" si="1"/>
        <v>38</v>
      </c>
      <c r="B50" s="684">
        <v>885</v>
      </c>
      <c r="C50" s="691" t="s">
        <v>1559</v>
      </c>
      <c r="D50" s="709">
        <f>'Input O&amp;M FERC 12-17'!C21</f>
        <v>894</v>
      </c>
      <c r="E50" s="709">
        <f>'Input O&amp;M FERC 12-17'!D21</f>
        <v>727</v>
      </c>
      <c r="F50" s="709">
        <f>'Input O&amp;M FERC 12-17'!E21</f>
        <v>900</v>
      </c>
      <c r="G50" s="709">
        <f>'Input O&amp;M FERC 12-17'!F21</f>
        <v>839</v>
      </c>
      <c r="H50" s="709">
        <f>'Input O&amp;M FERC 12-17'!G21</f>
        <v>869</v>
      </c>
      <c r="I50" s="709">
        <f>'Input O&amp;M FERC 12-17'!H21</f>
        <v>899</v>
      </c>
      <c r="J50" s="709">
        <f>'Input O&amp;M FERC 12-17'!I21</f>
        <v>883</v>
      </c>
      <c r="K50" s="709">
        <f>'Input O&amp;M FERC 12-17'!J21</f>
        <v>823</v>
      </c>
      <c r="L50" s="709">
        <f>'Input O&amp;M FERC 12-17'!K21</f>
        <v>854</v>
      </c>
      <c r="M50" s="709">
        <f>'Input O&amp;M FERC 12-17'!L21</f>
        <v>864</v>
      </c>
      <c r="N50" s="709">
        <f>'Input O&amp;M FERC 12-17'!M21</f>
        <v>852</v>
      </c>
      <c r="O50" s="709">
        <f>'Input O&amp;M FERC 12-17'!N21</f>
        <v>949</v>
      </c>
      <c r="P50" s="709">
        <f t="shared" si="0"/>
        <v>10353</v>
      </c>
    </row>
    <row r="51" spans="1:16" x14ac:dyDescent="0.2">
      <c r="A51" s="707">
        <f t="shared" si="1"/>
        <v>39</v>
      </c>
      <c r="B51" s="684">
        <v>886</v>
      </c>
      <c r="C51" s="691" t="s">
        <v>1568</v>
      </c>
      <c r="D51" s="709">
        <f>'Input O&amp;M FERC 12-17'!C22</f>
        <v>17338</v>
      </c>
      <c r="E51" s="709">
        <f>'Input O&amp;M FERC 12-17'!D22</f>
        <v>16587</v>
      </c>
      <c r="F51" s="709">
        <f>'Input O&amp;M FERC 12-17'!E22</f>
        <v>17265</v>
      </c>
      <c r="G51" s="709">
        <f>'Input O&amp;M FERC 12-17'!F22</f>
        <v>19776</v>
      </c>
      <c r="H51" s="709">
        <f>'Input O&amp;M FERC 12-17'!G22</f>
        <v>23462</v>
      </c>
      <c r="I51" s="709">
        <f>'Input O&amp;M FERC 12-17'!H22</f>
        <v>23280</v>
      </c>
      <c r="J51" s="709">
        <f>'Input O&amp;M FERC 12-17'!I22</f>
        <v>22238</v>
      </c>
      <c r="K51" s="709">
        <f>'Input O&amp;M FERC 12-17'!J22</f>
        <v>26433</v>
      </c>
      <c r="L51" s="709">
        <f>'Input O&amp;M FERC 12-17'!K22</f>
        <v>24032</v>
      </c>
      <c r="M51" s="709">
        <f>'Input O&amp;M FERC 12-17'!L22</f>
        <v>22093</v>
      </c>
      <c r="N51" s="709">
        <f>'Input O&amp;M FERC 12-17'!M22</f>
        <v>20422</v>
      </c>
      <c r="O51" s="709">
        <f>'Input O&amp;M FERC 12-17'!N22</f>
        <v>20546</v>
      </c>
      <c r="P51" s="709">
        <f t="shared" si="0"/>
        <v>253472</v>
      </c>
    </row>
    <row r="52" spans="1:16" x14ac:dyDescent="0.2">
      <c r="A52" s="707">
        <f t="shared" si="1"/>
        <v>40</v>
      </c>
      <c r="B52" s="684">
        <v>887</v>
      </c>
      <c r="C52" s="691" t="s">
        <v>719</v>
      </c>
      <c r="D52" s="709">
        <f>'Input O&amp;M FERC 12-17'!C23</f>
        <v>227177</v>
      </c>
      <c r="E52" s="709">
        <f>'Input O&amp;M FERC 12-17'!D23</f>
        <v>205267</v>
      </c>
      <c r="F52" s="709">
        <f>'Input O&amp;M FERC 12-17'!E23</f>
        <v>226782</v>
      </c>
      <c r="G52" s="709">
        <f>'Input O&amp;M FERC 12-17'!F23</f>
        <v>241247</v>
      </c>
      <c r="H52" s="709">
        <f>'Input O&amp;M FERC 12-17'!G23</f>
        <v>270683</v>
      </c>
      <c r="I52" s="709">
        <f>'Input O&amp;M FERC 12-17'!H23</f>
        <v>273208</v>
      </c>
      <c r="J52" s="709">
        <f>'Input O&amp;M FERC 12-17'!I23</f>
        <v>264340</v>
      </c>
      <c r="K52" s="709">
        <f>'Input O&amp;M FERC 12-17'!J23</f>
        <v>288802</v>
      </c>
      <c r="L52" s="709">
        <f>'Input O&amp;M FERC 12-17'!K23</f>
        <v>273868</v>
      </c>
      <c r="M52" s="709">
        <f>'Input O&amp;M FERC 12-17'!L23</f>
        <v>260335</v>
      </c>
      <c r="N52" s="709">
        <f>'Input O&amp;M FERC 12-17'!M23</f>
        <v>245147</v>
      </c>
      <c r="O52" s="709">
        <f>'Input O&amp;M FERC 12-17'!N23</f>
        <v>254860</v>
      </c>
      <c r="P52" s="709">
        <f t="shared" si="0"/>
        <v>3031716</v>
      </c>
    </row>
    <row r="53" spans="1:16" x14ac:dyDescent="0.2">
      <c r="A53" s="707">
        <f t="shared" si="1"/>
        <v>41</v>
      </c>
      <c r="B53" s="684">
        <v>889</v>
      </c>
      <c r="C53" s="691" t="s">
        <v>1562</v>
      </c>
      <c r="D53" s="709">
        <f>'Input O&amp;M FERC 12-17'!C24</f>
        <v>23809</v>
      </c>
      <c r="E53" s="709">
        <f>'Input O&amp;M FERC 12-17'!D24</f>
        <v>20477</v>
      </c>
      <c r="F53" s="709">
        <f>'Input O&amp;M FERC 12-17'!E24</f>
        <v>22758</v>
      </c>
      <c r="G53" s="709">
        <f>'Input O&amp;M FERC 12-17'!F24</f>
        <v>22293</v>
      </c>
      <c r="H53" s="709">
        <f>'Input O&amp;M FERC 12-17'!G24</f>
        <v>22822</v>
      </c>
      <c r="I53" s="709">
        <f>'Input O&amp;M FERC 12-17'!H24</f>
        <v>23868</v>
      </c>
      <c r="J53" s="709">
        <f>'Input O&amp;M FERC 12-17'!I24</f>
        <v>23363</v>
      </c>
      <c r="K53" s="709">
        <f>'Input O&amp;M FERC 12-17'!J24</f>
        <v>21710</v>
      </c>
      <c r="L53" s="709">
        <f>'Input O&amp;M FERC 12-17'!K24</f>
        <v>21986</v>
      </c>
      <c r="M53" s="709">
        <f>'Input O&amp;M FERC 12-17'!L24</f>
        <v>22521</v>
      </c>
      <c r="N53" s="709">
        <f>'Input O&amp;M FERC 12-17'!M24</f>
        <v>21152</v>
      </c>
      <c r="O53" s="709">
        <f>'Input O&amp;M FERC 12-17'!N24</f>
        <v>22796</v>
      </c>
      <c r="P53" s="709">
        <f t="shared" si="0"/>
        <v>269555</v>
      </c>
    </row>
    <row r="54" spans="1:16" x14ac:dyDescent="0.2">
      <c r="A54" s="707">
        <f t="shared" si="1"/>
        <v>42</v>
      </c>
      <c r="B54" s="684">
        <v>890</v>
      </c>
      <c r="C54" s="691" t="s">
        <v>1563</v>
      </c>
      <c r="D54" s="709">
        <f>'Input O&amp;M FERC 12-17'!C25</f>
        <v>5799</v>
      </c>
      <c r="E54" s="709">
        <f>'Input O&amp;M FERC 12-17'!D25</f>
        <v>5422</v>
      </c>
      <c r="F54" s="709">
        <f>'Input O&amp;M FERC 12-17'!E25</f>
        <v>5873</v>
      </c>
      <c r="G54" s="709">
        <f>'Input O&amp;M FERC 12-17'!F25</f>
        <v>5632</v>
      </c>
      <c r="H54" s="709">
        <f>'Input O&amp;M FERC 12-17'!G25</f>
        <v>5812</v>
      </c>
      <c r="I54" s="709">
        <f>'Input O&amp;M FERC 12-17'!H25</f>
        <v>6019</v>
      </c>
      <c r="J54" s="709">
        <f>'Input O&amp;M FERC 12-17'!I25</f>
        <v>5807</v>
      </c>
      <c r="K54" s="709">
        <f>'Input O&amp;M FERC 12-17'!J25</f>
        <v>5678</v>
      </c>
      <c r="L54" s="709">
        <f>'Input O&amp;M FERC 12-17'!K25</f>
        <v>5857</v>
      </c>
      <c r="M54" s="709">
        <f>'Input O&amp;M FERC 12-17'!L25</f>
        <v>5817</v>
      </c>
      <c r="N54" s="709">
        <f>'Input O&amp;M FERC 12-17'!M25</f>
        <v>5822</v>
      </c>
      <c r="O54" s="709">
        <f>'Input O&amp;M FERC 12-17'!N25</f>
        <v>6167</v>
      </c>
      <c r="P54" s="709">
        <f t="shared" si="0"/>
        <v>69705</v>
      </c>
    </row>
    <row r="55" spans="1:16" x14ac:dyDescent="0.2">
      <c r="A55" s="707"/>
      <c r="B55" s="684"/>
      <c r="C55" s="691"/>
      <c r="D55" s="713"/>
      <c r="E55" s="713"/>
      <c r="F55" s="713"/>
      <c r="G55" s="713"/>
      <c r="H55" s="713"/>
      <c r="I55" s="713"/>
      <c r="J55" s="713"/>
      <c r="K55" s="713"/>
      <c r="L55" s="713"/>
      <c r="M55" s="713"/>
      <c r="N55" s="713"/>
      <c r="O55" s="713"/>
      <c r="P55" s="709"/>
    </row>
    <row r="56" spans="1:16" x14ac:dyDescent="0.2">
      <c r="A56" s="2132" t="str">
        <f>A1</f>
        <v>COLUMBIA GAS OF KENTUCKY, INC.</v>
      </c>
      <c r="B56" s="2132"/>
      <c r="C56" s="2133"/>
      <c r="D56" s="2133"/>
      <c r="E56" s="2133"/>
      <c r="F56" s="2133"/>
      <c r="G56" s="2133"/>
      <c r="H56" s="2133"/>
      <c r="I56" s="2133"/>
      <c r="J56" s="2133"/>
      <c r="K56" s="2133"/>
      <c r="L56" s="2133"/>
      <c r="M56" s="2133"/>
      <c r="N56" s="2133"/>
      <c r="O56" s="2133"/>
      <c r="P56" s="2133"/>
    </row>
    <row r="57" spans="1:16" x14ac:dyDescent="0.2">
      <c r="A57" s="2132" t="str">
        <f>case</f>
        <v>CASE NO. 2016 - 00162</v>
      </c>
      <c r="B57" s="2132"/>
      <c r="C57" s="2133"/>
      <c r="D57" s="2133"/>
      <c r="E57" s="2133"/>
      <c r="F57" s="2133"/>
      <c r="G57" s="2133"/>
      <c r="H57" s="2133"/>
      <c r="I57" s="2133"/>
      <c r="J57" s="2133"/>
      <c r="K57" s="2133"/>
      <c r="L57" s="2133"/>
      <c r="M57" s="2133"/>
      <c r="N57" s="2133"/>
      <c r="O57" s="2133"/>
      <c r="P57" s="2133"/>
    </row>
    <row r="58" spans="1:16" x14ac:dyDescent="0.2">
      <c r="A58" s="2132" t="str">
        <f>A3</f>
        <v>COMPARISON OF TOTAL COMPANY ACCOUNT ACTIVITY</v>
      </c>
      <c r="B58" s="2132"/>
      <c r="C58" s="2133"/>
      <c r="D58" s="2133"/>
      <c r="E58" s="2133"/>
      <c r="F58" s="2133"/>
      <c r="G58" s="2133"/>
      <c r="H58" s="2133"/>
      <c r="I58" s="2133"/>
      <c r="J58" s="2133"/>
      <c r="K58" s="2133"/>
      <c r="L58" s="2133"/>
      <c r="M58" s="2133"/>
      <c r="N58" s="2133"/>
      <c r="O58" s="2133"/>
      <c r="P58" s="2133"/>
    </row>
    <row r="59" spans="1:16" x14ac:dyDescent="0.2">
      <c r="A59" s="2132" t="str">
        <f>A4</f>
        <v>FORECAST PERIOD: TWELVE MONTHS ENDED DECEMBER 31, 2017</v>
      </c>
      <c r="B59" s="2132"/>
      <c r="C59" s="2133"/>
      <c r="D59" s="2133"/>
      <c r="E59" s="2133"/>
      <c r="F59" s="2133"/>
      <c r="G59" s="2133"/>
      <c r="H59" s="2133"/>
      <c r="I59" s="2133"/>
      <c r="J59" s="2133"/>
      <c r="K59" s="2133"/>
      <c r="L59" s="2133"/>
      <c r="M59" s="2133"/>
      <c r="N59" s="2133"/>
      <c r="O59" s="2133"/>
      <c r="P59" s="2133"/>
    </row>
    <row r="60" spans="1:16" x14ac:dyDescent="0.2">
      <c r="A60" s="684"/>
      <c r="B60" s="684"/>
      <c r="C60" s="685"/>
      <c r="D60" s="685"/>
      <c r="E60" s="685"/>
      <c r="F60" s="685"/>
      <c r="G60" s="685"/>
      <c r="H60" s="685"/>
      <c r="I60" s="685"/>
      <c r="J60" s="685"/>
      <c r="K60" s="685"/>
      <c r="L60" s="685"/>
      <c r="M60" s="685"/>
      <c r="N60" s="685"/>
      <c r="O60" s="685"/>
      <c r="P60" s="685"/>
    </row>
    <row r="61" spans="1:16" x14ac:dyDescent="0.2">
      <c r="A61" s="690" t="s">
        <v>1118</v>
      </c>
      <c r="B61" s="690"/>
      <c r="C61" s="686"/>
      <c r="D61" s="686"/>
      <c r="E61" s="686"/>
      <c r="F61" s="686"/>
      <c r="G61" s="686"/>
      <c r="H61" s="686"/>
      <c r="I61" s="686"/>
      <c r="J61" s="686"/>
      <c r="K61" s="686"/>
      <c r="L61" s="686"/>
      <c r="M61" s="686"/>
      <c r="N61" s="691"/>
      <c r="O61" s="686"/>
      <c r="P61" s="692" t="str">
        <f>P6</f>
        <v>SCHEDULE C-2.2B</v>
      </c>
    </row>
    <row r="62" spans="1:16" x14ac:dyDescent="0.2">
      <c r="A62" s="690" t="s">
        <v>977</v>
      </c>
      <c r="B62" s="690"/>
      <c r="C62" s="686"/>
      <c r="D62" s="686"/>
      <c r="E62" s="686"/>
      <c r="F62" s="686"/>
      <c r="G62" s="686"/>
      <c r="H62" s="686"/>
      <c r="I62" s="686"/>
      <c r="J62" s="686"/>
      <c r="K62" s="686"/>
      <c r="L62" s="686"/>
      <c r="M62" s="686"/>
      <c r="N62" s="691"/>
      <c r="O62" s="686"/>
      <c r="P62" s="692" t="s">
        <v>1438</v>
      </c>
    </row>
    <row r="63" spans="1:16" x14ac:dyDescent="0.2">
      <c r="A63" s="694" t="s">
        <v>996</v>
      </c>
      <c r="B63" s="694"/>
      <c r="C63" s="695"/>
      <c r="D63" s="695"/>
      <c r="E63" s="695"/>
      <c r="F63" s="695"/>
      <c r="G63" s="695"/>
      <c r="H63" s="695"/>
      <c r="I63" s="695"/>
      <c r="J63" s="695"/>
      <c r="K63" s="695"/>
      <c r="L63" s="695"/>
      <c r="M63" s="695"/>
      <c r="N63" s="696"/>
      <c r="O63" s="695"/>
      <c r="P63" s="697" t="str">
        <f>P8</f>
        <v>WITNESS:  J. T. CROOM</v>
      </c>
    </row>
    <row r="64" spans="1:16" x14ac:dyDescent="0.2">
      <c r="A64" s="698" t="s">
        <v>1080</v>
      </c>
      <c r="B64" s="699"/>
      <c r="C64" s="699"/>
      <c r="D64" s="684" t="str">
        <f t="shared" ref="D64:O64" si="2">D9</f>
        <v>Forecasted</v>
      </c>
      <c r="E64" s="684" t="str">
        <f t="shared" si="2"/>
        <v>Forecasted</v>
      </c>
      <c r="F64" s="684" t="str">
        <f t="shared" si="2"/>
        <v>Forecasted</v>
      </c>
      <c r="G64" s="684" t="str">
        <f t="shared" si="2"/>
        <v>Forecasted</v>
      </c>
      <c r="H64" s="684" t="str">
        <f t="shared" si="2"/>
        <v>Forecasted</v>
      </c>
      <c r="I64" s="684" t="str">
        <f t="shared" si="2"/>
        <v>Forecasted</v>
      </c>
      <c r="J64" s="684" t="str">
        <f t="shared" si="2"/>
        <v>Forecasted</v>
      </c>
      <c r="K64" s="684" t="str">
        <f t="shared" si="2"/>
        <v>Forecasted</v>
      </c>
      <c r="L64" s="684" t="str">
        <f t="shared" si="2"/>
        <v>Forecasted</v>
      </c>
      <c r="M64" s="684" t="str">
        <f t="shared" si="2"/>
        <v>Forecasted</v>
      </c>
      <c r="N64" s="684" t="str">
        <f t="shared" si="2"/>
        <v>Forecasted</v>
      </c>
      <c r="O64" s="684" t="str">
        <f t="shared" si="2"/>
        <v>Forecasted</v>
      </c>
      <c r="P64" s="686"/>
    </row>
    <row r="65" spans="1:16" x14ac:dyDescent="0.2">
      <c r="A65" s="702" t="s">
        <v>1081</v>
      </c>
      <c r="B65" s="702" t="s">
        <v>1518</v>
      </c>
      <c r="C65" s="702" t="s">
        <v>1519</v>
      </c>
      <c r="D65" s="714" t="str">
        <f t="shared" ref="D65:O65" si="3">D10</f>
        <v>JAN 17</v>
      </c>
      <c r="E65" s="714" t="str">
        <f t="shared" si="3"/>
        <v>FEB</v>
      </c>
      <c r="F65" s="714" t="str">
        <f t="shared" si="3"/>
        <v>MAR</v>
      </c>
      <c r="G65" s="714" t="str">
        <f t="shared" si="3"/>
        <v>APR</v>
      </c>
      <c r="H65" s="714" t="str">
        <f t="shared" si="3"/>
        <v>MAY</v>
      </c>
      <c r="I65" s="714" t="str">
        <f t="shared" si="3"/>
        <v>JUN</v>
      </c>
      <c r="J65" s="714" t="str">
        <f t="shared" si="3"/>
        <v>JUL</v>
      </c>
      <c r="K65" s="714" t="str">
        <f t="shared" si="3"/>
        <v>AUG</v>
      </c>
      <c r="L65" s="714" t="str">
        <f t="shared" si="3"/>
        <v>SEP</v>
      </c>
      <c r="M65" s="714" t="str">
        <f t="shared" si="3"/>
        <v>OCT</v>
      </c>
      <c r="N65" s="714" t="str">
        <f t="shared" si="3"/>
        <v>NOV</v>
      </c>
      <c r="O65" s="714" t="str">
        <f t="shared" si="3"/>
        <v>DEC 17</v>
      </c>
      <c r="P65" s="704" t="s">
        <v>670</v>
      </c>
    </row>
    <row r="66" spans="1:16" x14ac:dyDescent="0.2">
      <c r="A66" s="686"/>
      <c r="B66" s="686"/>
      <c r="C66" s="686"/>
      <c r="D66" s="706" t="s">
        <v>639</v>
      </c>
      <c r="E66" s="706" t="s">
        <v>639</v>
      </c>
      <c r="F66" s="706" t="s">
        <v>639</v>
      </c>
      <c r="G66" s="706" t="s">
        <v>639</v>
      </c>
      <c r="H66" s="706" t="s">
        <v>639</v>
      </c>
      <c r="I66" s="706" t="s">
        <v>639</v>
      </c>
      <c r="J66" s="706" t="s">
        <v>639</v>
      </c>
      <c r="K66" s="706" t="s">
        <v>639</v>
      </c>
      <c r="L66" s="706" t="s">
        <v>639</v>
      </c>
      <c r="M66" s="706" t="s">
        <v>639</v>
      </c>
      <c r="N66" s="706" t="s">
        <v>639</v>
      </c>
      <c r="O66" s="706" t="s">
        <v>639</v>
      </c>
      <c r="P66" s="706" t="s">
        <v>639</v>
      </c>
    </row>
    <row r="67" spans="1:16" x14ac:dyDescent="0.2">
      <c r="A67" s="686"/>
      <c r="B67" s="686"/>
      <c r="C67" s="686"/>
      <c r="D67" s="706"/>
      <c r="E67" s="706"/>
      <c r="F67" s="706"/>
      <c r="G67" s="706"/>
      <c r="H67" s="706"/>
      <c r="I67" s="706"/>
      <c r="J67" s="706"/>
      <c r="K67" s="706"/>
      <c r="L67" s="706"/>
      <c r="M67" s="706"/>
      <c r="N67" s="706"/>
      <c r="O67" s="706"/>
      <c r="P67" s="706"/>
    </row>
    <row r="68" spans="1:16" x14ac:dyDescent="0.2">
      <c r="A68" s="707">
        <v>1</v>
      </c>
      <c r="B68" s="684" t="s">
        <v>1431</v>
      </c>
      <c r="C68" s="691" t="s">
        <v>724</v>
      </c>
      <c r="D68" s="709">
        <f>'Input O&amp;M FERC 12-17'!C26</f>
        <v>52521</v>
      </c>
      <c r="E68" s="709">
        <f>'Input O&amp;M FERC 12-17'!D26</f>
        <v>47133</v>
      </c>
      <c r="F68" s="709">
        <f>'Input O&amp;M FERC 12-17'!E26</f>
        <v>53427</v>
      </c>
      <c r="G68" s="709">
        <f>'Input O&amp;M FERC 12-17'!F26</f>
        <v>55925</v>
      </c>
      <c r="H68" s="709">
        <f>'Input O&amp;M FERC 12-17'!G26</f>
        <v>61372</v>
      </c>
      <c r="I68" s="709">
        <f>'Input O&amp;M FERC 12-17'!H26</f>
        <v>62412</v>
      </c>
      <c r="J68" s="709">
        <f>'Input O&amp;M FERC 12-17'!I26</f>
        <v>60961</v>
      </c>
      <c r="K68" s="709">
        <f>'Input O&amp;M FERC 12-17'!J26</f>
        <v>65610</v>
      </c>
      <c r="L68" s="709">
        <f>'Input O&amp;M FERC 12-17'!K26</f>
        <v>63198</v>
      </c>
      <c r="M68" s="709">
        <f>'Input O&amp;M FERC 12-17'!L26</f>
        <v>59908</v>
      </c>
      <c r="N68" s="709">
        <f>'Input O&amp;M FERC 12-17'!M26</f>
        <v>57489</v>
      </c>
      <c r="O68" s="709">
        <f>'Input O&amp;M FERC 12-17'!N26</f>
        <v>59805</v>
      </c>
      <c r="P68" s="709">
        <f>SUM(D68:O68)</f>
        <v>699761</v>
      </c>
    </row>
    <row r="69" spans="1:16" x14ac:dyDescent="0.2">
      <c r="A69" s="707">
        <f>A68+1</f>
        <v>2</v>
      </c>
      <c r="B69" s="684" t="s">
        <v>1433</v>
      </c>
      <c r="C69" s="691" t="s">
        <v>1569</v>
      </c>
      <c r="D69" s="709">
        <f>'Input O&amp;M FERC 12-17'!C27</f>
        <v>12693</v>
      </c>
      <c r="E69" s="709">
        <f>'Input O&amp;M FERC 12-17'!D27</f>
        <v>11705</v>
      </c>
      <c r="F69" s="709">
        <f>'Input O&amp;M FERC 12-17'!E27</f>
        <v>11756</v>
      </c>
      <c r="G69" s="709">
        <f>'Input O&amp;M FERC 12-17'!F27</f>
        <v>12004</v>
      </c>
      <c r="H69" s="709">
        <f>'Input O&amp;M FERC 12-17'!G27</f>
        <v>12008</v>
      </c>
      <c r="I69" s="709">
        <f>'Input O&amp;M FERC 12-17'!H27</f>
        <v>12750</v>
      </c>
      <c r="J69" s="709">
        <f>'Input O&amp;M FERC 12-17'!I27</f>
        <v>12459</v>
      </c>
      <c r="K69" s="709">
        <f>'Input O&amp;M FERC 12-17'!J27</f>
        <v>11665</v>
      </c>
      <c r="L69" s="709">
        <f>'Input O&amp;M FERC 12-17'!K27</f>
        <v>11686</v>
      </c>
      <c r="M69" s="709">
        <f>'Input O&amp;M FERC 12-17'!L27</f>
        <v>11928</v>
      </c>
      <c r="N69" s="709">
        <f>'Input O&amp;M FERC 12-17'!M27</f>
        <v>11017</v>
      </c>
      <c r="O69" s="709">
        <f>'Input O&amp;M FERC 12-17'!N27</f>
        <v>11368</v>
      </c>
      <c r="P69" s="709">
        <f t="shared" ref="P69:P98" si="4">SUM(D69:O69)</f>
        <v>143039</v>
      </c>
    </row>
    <row r="70" spans="1:16" x14ac:dyDescent="0.2">
      <c r="A70" s="707">
        <f t="shared" ref="A70:A99" si="5">A69+1</f>
        <v>3</v>
      </c>
      <c r="B70" s="684" t="s">
        <v>1435</v>
      </c>
      <c r="C70" s="691" t="s">
        <v>1570</v>
      </c>
      <c r="D70" s="709">
        <f>'Input O&amp;M FERC 12-17'!C28</f>
        <v>26427</v>
      </c>
      <c r="E70" s="709">
        <f>'Input O&amp;M FERC 12-17'!D28</f>
        <v>23631</v>
      </c>
      <c r="F70" s="709">
        <f>'Input O&amp;M FERC 12-17'!E28</f>
        <v>26061</v>
      </c>
      <c r="G70" s="709">
        <f>'Input O&amp;M FERC 12-17'!F28</f>
        <v>25491</v>
      </c>
      <c r="H70" s="709">
        <f>'Input O&amp;M FERC 12-17'!G28</f>
        <v>26543</v>
      </c>
      <c r="I70" s="709">
        <f>'Input O&amp;M FERC 12-17'!H28</f>
        <v>27488</v>
      </c>
      <c r="J70" s="709">
        <f>'Input O&amp;M FERC 12-17'!I28</f>
        <v>26711</v>
      </c>
      <c r="K70" s="709">
        <f>'Input O&amp;M FERC 12-17'!J28</f>
        <v>25735</v>
      </c>
      <c r="L70" s="709">
        <f>'Input O&amp;M FERC 12-17'!K28</f>
        <v>25968</v>
      </c>
      <c r="M70" s="709">
        <f>'Input O&amp;M FERC 12-17'!L28</f>
        <v>26163</v>
      </c>
      <c r="N70" s="709">
        <f>'Input O&amp;M FERC 12-17'!M28</f>
        <v>25023</v>
      </c>
      <c r="O70" s="709">
        <f>'Input O&amp;M FERC 12-17'!N28</f>
        <v>26600</v>
      </c>
      <c r="P70" s="709">
        <f t="shared" si="4"/>
        <v>311841</v>
      </c>
    </row>
    <row r="71" spans="1:16" x14ac:dyDescent="0.2">
      <c r="A71" s="707">
        <f t="shared" si="5"/>
        <v>4</v>
      </c>
      <c r="B71" s="684" t="s">
        <v>1440</v>
      </c>
      <c r="C71" s="691" t="s">
        <v>1571</v>
      </c>
      <c r="D71" s="709">
        <f>'Input O&amp;M FERC 12-17'!C30</f>
        <v>0</v>
      </c>
      <c r="E71" s="709">
        <f>'Input O&amp;M FERC 12-17'!D30</f>
        <v>0</v>
      </c>
      <c r="F71" s="709">
        <f>'Input O&amp;M FERC 12-17'!E30</f>
        <v>0</v>
      </c>
      <c r="G71" s="709">
        <f>'Input O&amp;M FERC 12-17'!F30</f>
        <v>0</v>
      </c>
      <c r="H71" s="709">
        <f>'Input O&amp;M FERC 12-17'!G30</f>
        <v>0</v>
      </c>
      <c r="I71" s="709">
        <f>'Input O&amp;M FERC 12-17'!H30</f>
        <v>0</v>
      </c>
      <c r="J71" s="709">
        <f>'Input O&amp;M FERC 12-17'!I30</f>
        <v>0</v>
      </c>
      <c r="K71" s="709">
        <f>'Input O&amp;M FERC 12-17'!J30</f>
        <v>0</v>
      </c>
      <c r="L71" s="709">
        <f>'Input O&amp;M FERC 12-17'!K30</f>
        <v>0</v>
      </c>
      <c r="M71" s="709">
        <f>'Input O&amp;M FERC 12-17'!L30</f>
        <v>0</v>
      </c>
      <c r="N71" s="709">
        <f>'Input O&amp;M FERC 12-17'!M30</f>
        <v>0</v>
      </c>
      <c r="O71" s="709">
        <f>'Input O&amp;M FERC 12-17'!N30</f>
        <v>0</v>
      </c>
      <c r="P71" s="709">
        <f t="shared" si="4"/>
        <v>0</v>
      </c>
    </row>
    <row r="72" spans="1:16" x14ac:dyDescent="0.2">
      <c r="A72" s="707">
        <f t="shared" si="5"/>
        <v>5</v>
      </c>
      <c r="B72" s="684" t="s">
        <v>1442</v>
      </c>
      <c r="C72" s="691" t="s">
        <v>1572</v>
      </c>
      <c r="D72" s="709">
        <f>'Input O&amp;M FERC 12-17'!C31</f>
        <v>38481</v>
      </c>
      <c r="E72" s="709">
        <f>'Input O&amp;M FERC 12-17'!D31</f>
        <v>35160</v>
      </c>
      <c r="F72" s="709">
        <f>'Input O&amp;M FERC 12-17'!E31</f>
        <v>39603</v>
      </c>
      <c r="G72" s="709">
        <f>'Input O&amp;M FERC 12-17'!F31</f>
        <v>42923</v>
      </c>
      <c r="H72" s="709">
        <f>'Input O&amp;M FERC 12-17'!G31</f>
        <v>49535</v>
      </c>
      <c r="I72" s="709">
        <f>'Input O&amp;M FERC 12-17'!H31</f>
        <v>49394</v>
      </c>
      <c r="J72" s="709">
        <f>'Input O&amp;M FERC 12-17'!I31</f>
        <v>47682</v>
      </c>
      <c r="K72" s="709">
        <f>'Input O&amp;M FERC 12-17'!J31</f>
        <v>54440</v>
      </c>
      <c r="L72" s="709">
        <f>'Input O&amp;M FERC 12-17'!K31</f>
        <v>50995</v>
      </c>
      <c r="M72" s="709">
        <f>'Input O&amp;M FERC 12-17'!L31</f>
        <v>47390</v>
      </c>
      <c r="N72" s="709">
        <f>'Input O&amp;M FERC 12-17'!M31</f>
        <v>45019</v>
      </c>
      <c r="O72" s="709">
        <f>'Input O&amp;M FERC 12-17'!N31</f>
        <v>46508</v>
      </c>
      <c r="P72" s="709">
        <f t="shared" si="4"/>
        <v>547130</v>
      </c>
    </row>
    <row r="73" spans="1:16" ht="24" x14ac:dyDescent="0.2">
      <c r="A73" s="707">
        <f t="shared" si="5"/>
        <v>6</v>
      </c>
      <c r="B73" s="684" t="s">
        <v>1444</v>
      </c>
      <c r="C73" s="710" t="s">
        <v>1573</v>
      </c>
      <c r="D73" s="709">
        <f>'Input O&amp;M FERC 12-17'!C32</f>
        <v>304949</v>
      </c>
      <c r="E73" s="709">
        <f>'Input O&amp;M FERC 12-17'!D32</f>
        <v>290970</v>
      </c>
      <c r="F73" s="709">
        <f>'Input O&amp;M FERC 12-17'!E32</f>
        <v>300547</v>
      </c>
      <c r="G73" s="709">
        <f>'Input O&amp;M FERC 12-17'!F32</f>
        <v>300248</v>
      </c>
      <c r="H73" s="709">
        <f>'Input O&amp;M FERC 12-17'!G32</f>
        <v>304205</v>
      </c>
      <c r="I73" s="709">
        <f>'Input O&amp;M FERC 12-17'!H32</f>
        <v>319528</v>
      </c>
      <c r="J73" s="709">
        <f>'Input O&amp;M FERC 12-17'!I32</f>
        <v>310505</v>
      </c>
      <c r="K73" s="709">
        <f>'Input O&amp;M FERC 12-17'!J32</f>
        <v>302941</v>
      </c>
      <c r="L73" s="709">
        <f>'Input O&amp;M FERC 12-17'!K32</f>
        <v>307759</v>
      </c>
      <c r="M73" s="709">
        <f>'Input O&amp;M FERC 12-17'!L32</f>
        <v>305075</v>
      </c>
      <c r="N73" s="709">
        <f>'Input O&amp;M FERC 12-17'!M32</f>
        <v>296912</v>
      </c>
      <c r="O73" s="709">
        <f>'Input O&amp;M FERC 12-17'!N32</f>
        <v>305399</v>
      </c>
      <c r="P73" s="709">
        <f t="shared" si="4"/>
        <v>3649038</v>
      </c>
    </row>
    <row r="74" spans="1:16" x14ac:dyDescent="0.2">
      <c r="A74" s="707">
        <f t="shared" si="5"/>
        <v>7</v>
      </c>
      <c r="B74" s="684" t="s">
        <v>1446</v>
      </c>
      <c r="C74" s="691" t="s">
        <v>1574</v>
      </c>
      <c r="D74" s="709">
        <f>'Input O&amp;M FERC 12-17'!C33</f>
        <v>238584</v>
      </c>
      <c r="E74" s="709">
        <f>'Input O&amp;M FERC 12-17'!D33</f>
        <v>224468</v>
      </c>
      <c r="F74" s="709">
        <f>'Input O&amp;M FERC 12-17'!E33</f>
        <v>179189</v>
      </c>
      <c r="G74" s="709">
        <f>'Input O&amp;M FERC 12-17'!F33</f>
        <v>131801</v>
      </c>
      <c r="H74" s="709">
        <f>'Input O&amp;M FERC 12-17'!G33</f>
        <v>107750</v>
      </c>
      <c r="I74" s="709">
        <f>'Input O&amp;M FERC 12-17'!H33</f>
        <v>84105</v>
      </c>
      <c r="J74" s="709">
        <f>'Input O&amp;M FERC 12-17'!I33</f>
        <v>81152</v>
      </c>
      <c r="K74" s="709">
        <f>'Input O&amp;M FERC 12-17'!J33</f>
        <v>87880</v>
      </c>
      <c r="L74" s="709">
        <f>'Input O&amp;M FERC 12-17'!K33</f>
        <v>83818</v>
      </c>
      <c r="M74" s="709">
        <f>'Input O&amp;M FERC 12-17'!L33</f>
        <v>93919</v>
      </c>
      <c r="N74" s="709">
        <f>'Input O&amp;M FERC 12-17'!M33</f>
        <v>145918</v>
      </c>
      <c r="O74" s="709">
        <f>'Input O&amp;M FERC 12-17'!N33</f>
        <v>196879</v>
      </c>
      <c r="P74" s="709">
        <f t="shared" si="4"/>
        <v>1655463</v>
      </c>
    </row>
    <row r="75" spans="1:16" x14ac:dyDescent="0.2">
      <c r="A75" s="707">
        <f t="shared" si="5"/>
        <v>8</v>
      </c>
      <c r="B75" s="684" t="s">
        <v>1448</v>
      </c>
      <c r="C75" s="691" t="s">
        <v>1575</v>
      </c>
      <c r="D75" s="709">
        <f>'Input O&amp;M FERC 12-17'!C34</f>
        <v>93</v>
      </c>
      <c r="E75" s="709">
        <f>'Input O&amp;M FERC 12-17'!D34</f>
        <v>83</v>
      </c>
      <c r="F75" s="709">
        <f>'Input O&amp;M FERC 12-17'!E34</f>
        <v>92</v>
      </c>
      <c r="G75" s="709">
        <f>'Input O&amp;M FERC 12-17'!F34</f>
        <v>83</v>
      </c>
      <c r="H75" s="709">
        <f>'Input O&amp;M FERC 12-17'!G34</f>
        <v>98</v>
      </c>
      <c r="I75" s="709">
        <f>'Input O&amp;M FERC 12-17'!H34</f>
        <v>95</v>
      </c>
      <c r="J75" s="709">
        <f>'Input O&amp;M FERC 12-17'!I34</f>
        <v>90</v>
      </c>
      <c r="K75" s="709">
        <f>'Input O&amp;M FERC 12-17'!J34</f>
        <v>90</v>
      </c>
      <c r="L75" s="709">
        <f>'Input O&amp;M FERC 12-17'!K34</f>
        <v>87</v>
      </c>
      <c r="M75" s="709">
        <f>'Input O&amp;M FERC 12-17'!L34</f>
        <v>91</v>
      </c>
      <c r="N75" s="709">
        <f>'Input O&amp;M FERC 12-17'!M34</f>
        <v>85</v>
      </c>
      <c r="O75" s="709">
        <f>'Input O&amp;M FERC 12-17'!N34</f>
        <v>94</v>
      </c>
      <c r="P75" s="709">
        <f t="shared" si="4"/>
        <v>1081</v>
      </c>
    </row>
    <row r="76" spans="1:16" x14ac:dyDescent="0.2">
      <c r="A76" s="707">
        <f t="shared" si="5"/>
        <v>9</v>
      </c>
      <c r="B76" s="684" t="s">
        <v>1454</v>
      </c>
      <c r="C76" s="691" t="s">
        <v>1571</v>
      </c>
      <c r="D76" s="709">
        <f>'Input O&amp;M FERC 12-17'!C38</f>
        <v>794</v>
      </c>
      <c r="E76" s="709">
        <f>'Input O&amp;M FERC 12-17'!D38</f>
        <v>3180</v>
      </c>
      <c r="F76" s="709">
        <f>'Input O&amp;M FERC 12-17'!E38</f>
        <v>793</v>
      </c>
      <c r="G76" s="709">
        <f>'Input O&amp;M FERC 12-17'!F38</f>
        <v>837</v>
      </c>
      <c r="H76" s="709">
        <f>'Input O&amp;M FERC 12-17'!G38</f>
        <v>3184</v>
      </c>
      <c r="I76" s="709">
        <f>'Input O&amp;M FERC 12-17'!H38</f>
        <v>927</v>
      </c>
      <c r="J76" s="709">
        <f>'Input O&amp;M FERC 12-17'!I38</f>
        <v>3180</v>
      </c>
      <c r="K76" s="709">
        <f>'Input O&amp;M FERC 12-17'!J38</f>
        <v>792</v>
      </c>
      <c r="L76" s="709">
        <f>'Input O&amp;M FERC 12-17'!K38</f>
        <v>3760</v>
      </c>
      <c r="M76" s="709">
        <f>'Input O&amp;M FERC 12-17'!L38</f>
        <v>3182</v>
      </c>
      <c r="N76" s="709">
        <f>'Input O&amp;M FERC 12-17'!M38</f>
        <v>791</v>
      </c>
      <c r="O76" s="709">
        <f>'Input O&amp;M FERC 12-17'!N38</f>
        <v>792</v>
      </c>
      <c r="P76" s="709">
        <f t="shared" si="4"/>
        <v>22212</v>
      </c>
    </row>
    <row r="77" spans="1:16" x14ac:dyDescent="0.2">
      <c r="A77" s="707">
        <f t="shared" si="5"/>
        <v>10</v>
      </c>
      <c r="B77" s="684" t="s">
        <v>1455</v>
      </c>
      <c r="C77" s="691" t="s">
        <v>1576</v>
      </c>
      <c r="D77" s="709">
        <f>'Input O&amp;M FERC 12-17'!C39</f>
        <v>88458</v>
      </c>
      <c r="E77" s="709">
        <f>'Input O&amp;M FERC 12-17'!D39</f>
        <v>96221</v>
      </c>
      <c r="F77" s="709">
        <f>'Input O&amp;M FERC 12-17'!E39</f>
        <v>104861</v>
      </c>
      <c r="G77" s="709">
        <f>'Input O&amp;M FERC 12-17'!F39</f>
        <v>105959</v>
      </c>
      <c r="H77" s="709">
        <f>'Input O&amp;M FERC 12-17'!G39</f>
        <v>112882</v>
      </c>
      <c r="I77" s="709">
        <f>'Input O&amp;M FERC 12-17'!H39</f>
        <v>117042</v>
      </c>
      <c r="J77" s="709">
        <f>'Input O&amp;M FERC 12-17'!I39</f>
        <v>127304</v>
      </c>
      <c r="K77" s="709">
        <f>'Input O&amp;M FERC 12-17'!J39</f>
        <v>116547</v>
      </c>
      <c r="L77" s="709">
        <f>'Input O&amp;M FERC 12-17'!K39</f>
        <v>121621</v>
      </c>
      <c r="M77" s="709">
        <f>'Input O&amp;M FERC 12-17'!L39</f>
        <v>186353</v>
      </c>
      <c r="N77" s="709">
        <f>'Input O&amp;M FERC 12-17'!M39</f>
        <v>74803</v>
      </c>
      <c r="O77" s="709">
        <f>'Input O&amp;M FERC 12-17'!N39</f>
        <v>72995</v>
      </c>
      <c r="P77" s="709">
        <f t="shared" si="4"/>
        <v>1325046</v>
      </c>
    </row>
    <row r="78" spans="1:16" x14ac:dyDescent="0.2">
      <c r="A78" s="707">
        <f t="shared" si="5"/>
        <v>11</v>
      </c>
      <c r="B78" s="684" t="s">
        <v>1457</v>
      </c>
      <c r="C78" s="691" t="s">
        <v>1577</v>
      </c>
      <c r="D78" s="709">
        <f>'Input O&amp;M FERC 12-17'!C40</f>
        <v>5334</v>
      </c>
      <c r="E78" s="709">
        <f>'Input O&amp;M FERC 12-17'!D40</f>
        <v>5454</v>
      </c>
      <c r="F78" s="709">
        <f>'Input O&amp;M FERC 12-17'!E40</f>
        <v>5567</v>
      </c>
      <c r="G78" s="709">
        <f>'Input O&amp;M FERC 12-17'!F40</f>
        <v>5387</v>
      </c>
      <c r="H78" s="709">
        <f>'Input O&amp;M FERC 12-17'!G40</f>
        <v>5430</v>
      </c>
      <c r="I78" s="709">
        <f>'Input O&amp;M FERC 12-17'!H40</f>
        <v>5679</v>
      </c>
      <c r="J78" s="709">
        <f>'Input O&amp;M FERC 12-17'!I40</f>
        <v>5546</v>
      </c>
      <c r="K78" s="709">
        <f>'Input O&amp;M FERC 12-17'!J40</f>
        <v>5547</v>
      </c>
      <c r="L78" s="709">
        <f>'Input O&amp;M FERC 12-17'!K40</f>
        <v>5656</v>
      </c>
      <c r="M78" s="709">
        <f>'Input O&amp;M FERC 12-17'!L40</f>
        <v>5517</v>
      </c>
      <c r="N78" s="709">
        <f>'Input O&amp;M FERC 12-17'!M40</f>
        <v>5611</v>
      </c>
      <c r="O78" s="709">
        <f>'Input O&amp;M FERC 12-17'!N40</f>
        <v>5677</v>
      </c>
      <c r="P78" s="709">
        <f t="shared" si="4"/>
        <v>66405</v>
      </c>
    </row>
    <row r="79" spans="1:16" x14ac:dyDescent="0.2">
      <c r="A79" s="707">
        <f t="shared" si="5"/>
        <v>12</v>
      </c>
      <c r="B79" s="684" t="s">
        <v>1459</v>
      </c>
      <c r="C79" s="691" t="s">
        <v>1578</v>
      </c>
      <c r="D79" s="709">
        <f>'Input O&amp;M FERC 12-17'!C41</f>
        <v>21350</v>
      </c>
      <c r="E79" s="709">
        <f>'Input O&amp;M FERC 12-17'!D41</f>
        <v>21854</v>
      </c>
      <c r="F79" s="709">
        <f>'Input O&amp;M FERC 12-17'!E41</f>
        <v>22003</v>
      </c>
      <c r="G79" s="709">
        <f>'Input O&amp;M FERC 12-17'!F41</f>
        <v>21573</v>
      </c>
      <c r="H79" s="709">
        <f>'Input O&amp;M FERC 12-17'!G41</f>
        <v>21754</v>
      </c>
      <c r="I79" s="709">
        <f>'Input O&amp;M FERC 12-17'!H41</f>
        <v>22795</v>
      </c>
      <c r="J79" s="709">
        <f>'Input O&amp;M FERC 12-17'!I41</f>
        <v>21914</v>
      </c>
      <c r="K79" s="709">
        <f>'Input O&amp;M FERC 12-17'!J41</f>
        <v>21919</v>
      </c>
      <c r="L79" s="709">
        <f>'Input O&amp;M FERC 12-17'!K41</f>
        <v>22697</v>
      </c>
      <c r="M79" s="709">
        <f>'Input O&amp;M FERC 12-17'!L41</f>
        <v>22117</v>
      </c>
      <c r="N79" s="709">
        <f>'Input O&amp;M FERC 12-17'!M41</f>
        <v>22510</v>
      </c>
      <c r="O79" s="709">
        <f>'Input O&amp;M FERC 12-17'!N41</f>
        <v>22783</v>
      </c>
      <c r="P79" s="709">
        <f t="shared" si="4"/>
        <v>265269</v>
      </c>
    </row>
    <row r="80" spans="1:16" x14ac:dyDescent="0.2">
      <c r="A80" s="707">
        <f t="shared" si="5"/>
        <v>13</v>
      </c>
      <c r="B80" s="684" t="s">
        <v>1463</v>
      </c>
      <c r="C80" s="691" t="s">
        <v>1571</v>
      </c>
      <c r="D80" s="709">
        <f>'Input O&amp;M FERC 12-17'!C42</f>
        <v>0</v>
      </c>
      <c r="E80" s="709">
        <f>'Input O&amp;M FERC 12-17'!D42</f>
        <v>0</v>
      </c>
      <c r="F80" s="709">
        <f>'Input O&amp;M FERC 12-17'!E42</f>
        <v>0</v>
      </c>
      <c r="G80" s="709">
        <f>'Input O&amp;M FERC 12-17'!F42</f>
        <v>0</v>
      </c>
      <c r="H80" s="709">
        <f>'Input O&amp;M FERC 12-17'!G42</f>
        <v>0</v>
      </c>
      <c r="I80" s="709">
        <f>'Input O&amp;M FERC 12-17'!H42</f>
        <v>0</v>
      </c>
      <c r="J80" s="709">
        <f>'Input O&amp;M FERC 12-17'!I42</f>
        <v>0</v>
      </c>
      <c r="K80" s="709">
        <f>'Input O&amp;M FERC 12-17'!J42</f>
        <v>0</v>
      </c>
      <c r="L80" s="709">
        <f>'Input O&amp;M FERC 12-17'!K42</f>
        <v>0</v>
      </c>
      <c r="M80" s="709">
        <f>'Input O&amp;M FERC 12-17'!L42</f>
        <v>0</v>
      </c>
      <c r="N80" s="709">
        <f>'Input O&amp;M FERC 12-17'!M42</f>
        <v>0</v>
      </c>
      <c r="O80" s="709">
        <f>'Input O&amp;M FERC 12-17'!N42</f>
        <v>0</v>
      </c>
      <c r="P80" s="709">
        <f t="shared" si="4"/>
        <v>0</v>
      </c>
    </row>
    <row r="81" spans="1:18" ht="12" customHeight="1" x14ac:dyDescent="0.2">
      <c r="A81" s="707">
        <f t="shared" si="5"/>
        <v>14</v>
      </c>
      <c r="B81" s="684" t="s">
        <v>1464</v>
      </c>
      <c r="C81" s="691" t="s">
        <v>1579</v>
      </c>
      <c r="D81" s="709">
        <f>'Input O&amp;M FERC 12-17'!C43</f>
        <v>4387</v>
      </c>
      <c r="E81" s="709">
        <f>'Input O&amp;M FERC 12-17'!D43</f>
        <v>4490</v>
      </c>
      <c r="F81" s="709">
        <f>'Input O&amp;M FERC 12-17'!E43</f>
        <v>4521</v>
      </c>
      <c r="G81" s="709">
        <f>'Input O&amp;M FERC 12-17'!F43</f>
        <v>4433</v>
      </c>
      <c r="H81" s="709">
        <f>'Input O&amp;M FERC 12-17'!G43</f>
        <v>4470</v>
      </c>
      <c r="I81" s="709">
        <f>'Input O&amp;M FERC 12-17'!H43</f>
        <v>4684</v>
      </c>
      <c r="J81" s="709">
        <f>'Input O&amp;M FERC 12-17'!I43</f>
        <v>4503</v>
      </c>
      <c r="K81" s="709">
        <f>'Input O&amp;M FERC 12-17'!J43</f>
        <v>4504</v>
      </c>
      <c r="L81" s="709">
        <f>'Input O&amp;M FERC 12-17'!K43</f>
        <v>4664</v>
      </c>
      <c r="M81" s="709">
        <f>'Input O&amp;M FERC 12-17'!L43</f>
        <v>4544</v>
      </c>
      <c r="N81" s="709">
        <f>'Input O&amp;M FERC 12-17'!M43</f>
        <v>4625</v>
      </c>
      <c r="O81" s="709">
        <f>'Input O&amp;M FERC 12-17'!N43</f>
        <v>4681</v>
      </c>
      <c r="P81" s="709">
        <f t="shared" si="4"/>
        <v>54506</v>
      </c>
    </row>
    <row r="82" spans="1:18" ht="12" customHeight="1" x14ac:dyDescent="0.2">
      <c r="A82" s="707">
        <f t="shared" si="5"/>
        <v>15</v>
      </c>
      <c r="B82" s="684" t="s">
        <v>1466</v>
      </c>
      <c r="C82" s="691" t="s">
        <v>1580</v>
      </c>
      <c r="D82" s="709">
        <f>'Input O&amp;M FERC 12-17'!C44</f>
        <v>13952</v>
      </c>
      <c r="E82" s="709">
        <f>'Input O&amp;M FERC 12-17'!D44</f>
        <v>13989</v>
      </c>
      <c r="F82" s="709">
        <f>'Input O&amp;M FERC 12-17'!E44</f>
        <v>18248</v>
      </c>
      <c r="G82" s="709">
        <f>'Input O&amp;M FERC 12-17'!F44</f>
        <v>13968</v>
      </c>
      <c r="H82" s="709">
        <f>'Input O&amp;M FERC 12-17'!G44</f>
        <v>13981</v>
      </c>
      <c r="I82" s="709">
        <f>'Input O&amp;M FERC 12-17'!H44</f>
        <v>14057</v>
      </c>
      <c r="J82" s="709">
        <f>'Input O&amp;M FERC 12-17'!I44</f>
        <v>18242</v>
      </c>
      <c r="K82" s="709">
        <f>'Input O&amp;M FERC 12-17'!J44</f>
        <v>18242</v>
      </c>
      <c r="L82" s="709">
        <f>'Input O&amp;M FERC 12-17'!K44</f>
        <v>14050</v>
      </c>
      <c r="M82" s="709">
        <f>'Input O&amp;M FERC 12-17'!L44</f>
        <v>14008</v>
      </c>
      <c r="N82" s="709">
        <f>'Input O&amp;M FERC 12-17'!M44</f>
        <v>14036</v>
      </c>
      <c r="O82" s="709">
        <f>'Input O&amp;M FERC 12-17'!N44</f>
        <v>14056</v>
      </c>
      <c r="P82" s="709">
        <f t="shared" si="4"/>
        <v>180829</v>
      </c>
    </row>
    <row r="83" spans="1:18" ht="12" customHeight="1" x14ac:dyDescent="0.2">
      <c r="A83" s="707">
        <f t="shared" si="5"/>
        <v>16</v>
      </c>
      <c r="B83" s="684" t="s">
        <v>1472</v>
      </c>
      <c r="C83" s="691" t="s">
        <v>1582</v>
      </c>
      <c r="D83" s="709">
        <f>'Input O&amp;M FERC 12-17'!C48</f>
        <v>362194</v>
      </c>
      <c r="E83" s="709">
        <f>'Input O&amp;M FERC 12-17'!D48</f>
        <v>343221</v>
      </c>
      <c r="F83" s="709">
        <f>'Input O&amp;M FERC 12-17'!E48</f>
        <v>375232</v>
      </c>
      <c r="G83" s="709">
        <f>'Input O&amp;M FERC 12-17'!F48</f>
        <v>361171</v>
      </c>
      <c r="H83" s="709">
        <f>'Input O&amp;M FERC 12-17'!G48</f>
        <v>364106</v>
      </c>
      <c r="I83" s="709">
        <f>'Input O&amp;M FERC 12-17'!H48</f>
        <v>380880</v>
      </c>
      <c r="J83" s="709">
        <f>'Input O&amp;M FERC 12-17'!I48</f>
        <v>371511</v>
      </c>
      <c r="K83" s="709">
        <f>'Input O&amp;M FERC 12-17'!J48</f>
        <v>361017</v>
      </c>
      <c r="L83" s="709">
        <f>'Input O&amp;M FERC 12-17'!K48</f>
        <v>376058</v>
      </c>
      <c r="M83" s="709">
        <f>'Input O&amp;M FERC 12-17'!L48</f>
        <v>369780</v>
      </c>
      <c r="N83" s="709">
        <f>'Input O&amp;M FERC 12-17'!M48</f>
        <v>373897</v>
      </c>
      <c r="O83" s="709">
        <f>'Input O&amp;M FERC 12-17'!N48</f>
        <v>389399</v>
      </c>
      <c r="P83" s="709">
        <f t="shared" si="4"/>
        <v>4428466</v>
      </c>
    </row>
    <row r="84" spans="1:18" ht="12" customHeight="1" x14ac:dyDescent="0.2">
      <c r="A84" s="707">
        <f t="shared" si="5"/>
        <v>17</v>
      </c>
      <c r="B84" s="684" t="s">
        <v>1474</v>
      </c>
      <c r="C84" s="691" t="s">
        <v>1583</v>
      </c>
      <c r="D84" s="709">
        <f>'Input O&amp;M FERC 12-17'!C35</f>
        <v>22</v>
      </c>
      <c r="E84" s="709">
        <f>'Input O&amp;M FERC 12-17'!D35</f>
        <v>20</v>
      </c>
      <c r="F84" s="709">
        <f>'Input O&amp;M FERC 12-17'!E35</f>
        <v>21</v>
      </c>
      <c r="G84" s="709">
        <f>'Input O&amp;M FERC 12-17'!F35</f>
        <v>20</v>
      </c>
      <c r="H84" s="709">
        <f>'Input O&amp;M FERC 12-17'!G35</f>
        <v>22</v>
      </c>
      <c r="I84" s="709">
        <f>'Input O&amp;M FERC 12-17'!H35</f>
        <v>22</v>
      </c>
      <c r="J84" s="709">
        <f>'Input O&amp;M FERC 12-17'!I35</f>
        <v>21</v>
      </c>
      <c r="K84" s="709">
        <f>'Input O&amp;M FERC 12-17'!J35</f>
        <v>21</v>
      </c>
      <c r="L84" s="709">
        <f>'Input O&amp;M FERC 12-17'!K35</f>
        <v>21</v>
      </c>
      <c r="M84" s="709">
        <f>'Input O&amp;M FERC 12-17'!L35</f>
        <v>21</v>
      </c>
      <c r="N84" s="709">
        <f>'Input O&amp;M FERC 12-17'!M35</f>
        <v>20</v>
      </c>
      <c r="O84" s="709">
        <f>'Input O&amp;M FERC 12-17'!N35</f>
        <v>22</v>
      </c>
      <c r="P84" s="709">
        <f t="shared" si="4"/>
        <v>253</v>
      </c>
      <c r="R84" s="689"/>
    </row>
    <row r="85" spans="1:18" ht="12" customHeight="1" x14ac:dyDescent="0.2">
      <c r="A85" s="707">
        <f t="shared" si="5"/>
        <v>18</v>
      </c>
      <c r="B85" s="684" t="s">
        <v>1474</v>
      </c>
      <c r="C85" s="691" t="s">
        <v>1584</v>
      </c>
      <c r="D85" s="709">
        <f>'Input O&amp;M FERC 12-17'!C45</f>
        <v>1185</v>
      </c>
      <c r="E85" s="709">
        <f>'Input O&amp;M FERC 12-17'!D45</f>
        <v>1111</v>
      </c>
      <c r="F85" s="709">
        <f>'Input O&amp;M FERC 12-17'!E45</f>
        <v>1160</v>
      </c>
      <c r="G85" s="709">
        <f>'Input O&amp;M FERC 12-17'!F45</f>
        <v>1069</v>
      </c>
      <c r="H85" s="709">
        <f>'Input O&amp;M FERC 12-17'!G45</f>
        <v>1199</v>
      </c>
      <c r="I85" s="709">
        <f>'Input O&amp;M FERC 12-17'!H45</f>
        <v>1202</v>
      </c>
      <c r="J85" s="709">
        <f>'Input O&amp;M FERC 12-17'!I45</f>
        <v>1157</v>
      </c>
      <c r="K85" s="709">
        <f>'Input O&amp;M FERC 12-17'!J45</f>
        <v>1125</v>
      </c>
      <c r="L85" s="709">
        <f>'Input O&amp;M FERC 12-17'!K45</f>
        <v>1165</v>
      </c>
      <c r="M85" s="709">
        <f>'Input O&amp;M FERC 12-17'!L45</f>
        <v>1168</v>
      </c>
      <c r="N85" s="709">
        <f>'Input O&amp;M FERC 12-17'!M45</f>
        <v>1121</v>
      </c>
      <c r="O85" s="709">
        <f>'Input O&amp;M FERC 12-17'!N45</f>
        <v>1206</v>
      </c>
      <c r="P85" s="709">
        <f t="shared" si="4"/>
        <v>13868</v>
      </c>
      <c r="R85" s="689"/>
    </row>
    <row r="86" spans="1:18" ht="12" customHeight="1" x14ac:dyDescent="0.2">
      <c r="A86" s="707">
        <f t="shared" si="5"/>
        <v>19</v>
      </c>
      <c r="B86" s="684" t="s">
        <v>1474</v>
      </c>
      <c r="C86" s="691" t="s">
        <v>1581</v>
      </c>
      <c r="D86" s="709">
        <f>'Input O&amp;M FERC 12-17'!C49</f>
        <v>77730</v>
      </c>
      <c r="E86" s="709">
        <f>'Input O&amp;M FERC 12-17'!D49</f>
        <v>72896</v>
      </c>
      <c r="F86" s="709">
        <f>'Input O&amp;M FERC 12-17'!E49</f>
        <v>76092</v>
      </c>
      <c r="G86" s="709">
        <f>'Input O&amp;M FERC 12-17'!F49</f>
        <v>70179</v>
      </c>
      <c r="H86" s="709">
        <f>'Input O&amp;M FERC 12-17'!G49</f>
        <v>78711</v>
      </c>
      <c r="I86" s="709">
        <f>'Input O&amp;M FERC 12-17'!H49</f>
        <v>78895</v>
      </c>
      <c r="J86" s="709">
        <f>'Input O&amp;M FERC 12-17'!I49</f>
        <v>75931</v>
      </c>
      <c r="K86" s="709">
        <f>'Input O&amp;M FERC 12-17'!J49</f>
        <v>73837</v>
      </c>
      <c r="L86" s="709">
        <f>'Input O&amp;M FERC 12-17'!K49</f>
        <v>76460</v>
      </c>
      <c r="M86" s="709">
        <f>'Input O&amp;M FERC 12-17'!L49</f>
        <v>76636</v>
      </c>
      <c r="N86" s="709">
        <f>'Input O&amp;M FERC 12-17'!M49</f>
        <v>73568</v>
      </c>
      <c r="O86" s="709">
        <f>'Input O&amp;M FERC 12-17'!N49</f>
        <v>79173</v>
      </c>
      <c r="P86" s="709">
        <f>SUM(D86:O86)</f>
        <v>910108</v>
      </c>
      <c r="R86" s="689"/>
    </row>
    <row r="87" spans="1:18" ht="12" customHeight="1" x14ac:dyDescent="0.2">
      <c r="A87" s="707">
        <f t="shared" si="5"/>
        <v>20</v>
      </c>
      <c r="B87" s="684" t="s">
        <v>1475</v>
      </c>
      <c r="C87" s="691" t="s">
        <v>1585</v>
      </c>
      <c r="D87" s="709">
        <f>'Input O&amp;M FERC 12-17'!C50</f>
        <v>638849.58333000005</v>
      </c>
      <c r="E87" s="709">
        <f>'Input O&amp;M FERC 12-17'!D50</f>
        <v>652338.98333000008</v>
      </c>
      <c r="F87" s="709">
        <f>'Input O&amp;M FERC 12-17'!E50</f>
        <v>657202.00333000009</v>
      </c>
      <c r="G87" s="709">
        <f>'Input O&amp;M FERC 12-17'!F50</f>
        <v>645374.33333000005</v>
      </c>
      <c r="H87" s="709">
        <f>'Input O&amp;M FERC 12-17'!G50</f>
        <v>651768.16333000001</v>
      </c>
      <c r="I87" s="709">
        <f>'Input O&amp;M FERC 12-17'!H50</f>
        <v>680615.53333000001</v>
      </c>
      <c r="J87" s="709">
        <f>'Input O&amp;M FERC 12-17'!I50</f>
        <v>655758.45333000005</v>
      </c>
      <c r="K87" s="709">
        <f>'Input O&amp;M FERC 12-17'!J50</f>
        <v>656920.77333</v>
      </c>
      <c r="L87" s="709">
        <f>'Input O&amp;M FERC 12-17'!K50</f>
        <v>677939.44333000004</v>
      </c>
      <c r="M87" s="709">
        <f>'Input O&amp;M FERC 12-17'!L50</f>
        <v>661445.42333000002</v>
      </c>
      <c r="N87" s="709">
        <f>'Input O&amp;M FERC 12-17'!M50</f>
        <v>671903.33333000005</v>
      </c>
      <c r="O87" s="709">
        <f>'Input O&amp;M FERC 12-17'!N50</f>
        <v>679874.41333000001</v>
      </c>
      <c r="P87" s="709">
        <f t="shared" si="4"/>
        <v>7929990.4399600001</v>
      </c>
      <c r="R87" s="689"/>
    </row>
    <row r="88" spans="1:18" ht="12" customHeight="1" x14ac:dyDescent="0.2">
      <c r="A88" s="707">
        <f t="shared" si="5"/>
        <v>21</v>
      </c>
      <c r="B88" s="684" t="s">
        <v>1477</v>
      </c>
      <c r="C88" s="691" t="s">
        <v>1586</v>
      </c>
      <c r="D88" s="709">
        <f>'Input O&amp;M FERC 12-17'!C51</f>
        <v>6753</v>
      </c>
      <c r="E88" s="709">
        <f>'Input O&amp;M FERC 12-17'!D51</f>
        <v>6753</v>
      </c>
      <c r="F88" s="709">
        <f>'Input O&amp;M FERC 12-17'!E51</f>
        <v>6753</v>
      </c>
      <c r="G88" s="709">
        <f>'Input O&amp;M FERC 12-17'!F51</f>
        <v>6753</v>
      </c>
      <c r="H88" s="709">
        <f>'Input O&amp;M FERC 12-17'!G51</f>
        <v>6753</v>
      </c>
      <c r="I88" s="709">
        <f>'Input O&amp;M FERC 12-17'!H51</f>
        <v>6753</v>
      </c>
      <c r="J88" s="709">
        <f>'Input O&amp;M FERC 12-17'!I51</f>
        <v>6866</v>
      </c>
      <c r="K88" s="709">
        <f>'Input O&amp;M FERC 12-17'!J51</f>
        <v>6866</v>
      </c>
      <c r="L88" s="709">
        <f>'Input O&amp;M FERC 12-17'!K51</f>
        <v>6866</v>
      </c>
      <c r="M88" s="709">
        <f>'Input O&amp;M FERC 12-17'!L51</f>
        <v>6866</v>
      </c>
      <c r="N88" s="709">
        <f>'Input O&amp;M FERC 12-17'!M51</f>
        <v>6883</v>
      </c>
      <c r="O88" s="709">
        <f>'Input O&amp;M FERC 12-17'!N51</f>
        <v>6883</v>
      </c>
      <c r="P88" s="709">
        <f t="shared" si="4"/>
        <v>81748</v>
      </c>
      <c r="R88" s="689"/>
    </row>
    <row r="89" spans="1:18" ht="12" customHeight="1" x14ac:dyDescent="0.2">
      <c r="A89" s="707">
        <f t="shared" si="5"/>
        <v>22</v>
      </c>
      <c r="B89" s="684" t="s">
        <v>1479</v>
      </c>
      <c r="C89" s="691" t="s">
        <v>1587</v>
      </c>
      <c r="D89" s="709">
        <f>'Input O&amp;M FERC 12-17'!C52</f>
        <v>86255</v>
      </c>
      <c r="E89" s="709">
        <f>'Input O&amp;M FERC 12-17'!D52</f>
        <v>86348</v>
      </c>
      <c r="F89" s="709">
        <f>'Input O&amp;M FERC 12-17'!E52</f>
        <v>86375</v>
      </c>
      <c r="G89" s="709">
        <f>'Input O&amp;M FERC 12-17'!F52</f>
        <v>86296</v>
      </c>
      <c r="H89" s="709">
        <f>'Input O&amp;M FERC 12-17'!G52</f>
        <v>86329</v>
      </c>
      <c r="I89" s="709">
        <f>'Input O&amp;M FERC 12-17'!H52</f>
        <v>86520</v>
      </c>
      <c r="J89" s="709">
        <f>'Input O&amp;M FERC 12-17'!I52</f>
        <v>87603</v>
      </c>
      <c r="K89" s="709">
        <f>'Input O&amp;M FERC 12-17'!J52</f>
        <v>87604</v>
      </c>
      <c r="L89" s="709">
        <f>'Input O&amp;M FERC 12-17'!K52</f>
        <v>87746</v>
      </c>
      <c r="M89" s="709">
        <f>'Input O&amp;M FERC 12-17'!L52</f>
        <v>87641</v>
      </c>
      <c r="N89" s="709">
        <f>'Input O&amp;M FERC 12-17'!M52</f>
        <v>87895</v>
      </c>
      <c r="O89" s="709">
        <f>'Input O&amp;M FERC 12-17'!N52</f>
        <v>87945</v>
      </c>
      <c r="P89" s="709">
        <f t="shared" si="4"/>
        <v>1044557</v>
      </c>
      <c r="R89" s="689"/>
    </row>
    <row r="90" spans="1:18" ht="12" customHeight="1" x14ac:dyDescent="0.2">
      <c r="A90" s="707">
        <f t="shared" si="5"/>
        <v>23</v>
      </c>
      <c r="B90" s="684" t="s">
        <v>1481</v>
      </c>
      <c r="C90" s="691" t="s">
        <v>1588</v>
      </c>
      <c r="D90" s="709">
        <f>'Input O&amp;M FERC 12-17'!C53</f>
        <v>338714</v>
      </c>
      <c r="E90" s="709">
        <f>'Input O&amp;M FERC 12-17'!D53</f>
        <v>355318</v>
      </c>
      <c r="F90" s="709">
        <f>'Input O&amp;M FERC 12-17'!E53</f>
        <v>253603</v>
      </c>
      <c r="G90" s="709">
        <f>'Input O&amp;M FERC 12-17'!F53</f>
        <v>258848</v>
      </c>
      <c r="H90" s="709">
        <f>'Input O&amp;M FERC 12-17'!G53</f>
        <v>257836</v>
      </c>
      <c r="I90" s="709">
        <f>'Input O&amp;M FERC 12-17'!H53</f>
        <v>283691</v>
      </c>
      <c r="J90" s="709">
        <f>'Input O&amp;M FERC 12-17'!I53</f>
        <v>283136</v>
      </c>
      <c r="K90" s="709">
        <f>'Input O&amp;M FERC 12-17'!J53</f>
        <v>273357</v>
      </c>
      <c r="L90" s="709">
        <f>'Input O&amp;M FERC 12-17'!K53</f>
        <v>270374</v>
      </c>
      <c r="M90" s="709">
        <f>'Input O&amp;M FERC 12-17'!L53</f>
        <v>272671</v>
      </c>
      <c r="N90" s="709">
        <f>'Input O&amp;M FERC 12-17'!M53</f>
        <v>347071</v>
      </c>
      <c r="O90" s="709">
        <f>'Input O&amp;M FERC 12-17'!N53</f>
        <v>348761</v>
      </c>
      <c r="P90" s="709">
        <f t="shared" si="4"/>
        <v>3543380</v>
      </c>
      <c r="R90" s="689"/>
    </row>
    <row r="91" spans="1:18" ht="12" customHeight="1" x14ac:dyDescent="0.2">
      <c r="A91" s="707">
        <f t="shared" si="5"/>
        <v>24</v>
      </c>
      <c r="B91" s="684" t="s">
        <v>1483</v>
      </c>
      <c r="C91" s="691" t="s">
        <v>1589</v>
      </c>
      <c r="D91" s="708">
        <v>0</v>
      </c>
      <c r="E91" s="708">
        <v>0</v>
      </c>
      <c r="F91" s="708">
        <v>0</v>
      </c>
      <c r="G91" s="708">
        <v>0</v>
      </c>
      <c r="H91" s="708">
        <v>0</v>
      </c>
      <c r="I91" s="708">
        <v>0</v>
      </c>
      <c r="J91" s="708">
        <v>0</v>
      </c>
      <c r="K91" s="708">
        <v>0</v>
      </c>
      <c r="L91" s="708">
        <v>0</v>
      </c>
      <c r="M91" s="708">
        <v>0</v>
      </c>
      <c r="N91" s="708">
        <v>0</v>
      </c>
      <c r="O91" s="708">
        <v>0</v>
      </c>
      <c r="P91" s="709">
        <f t="shared" si="4"/>
        <v>0</v>
      </c>
      <c r="R91" s="689"/>
    </row>
    <row r="92" spans="1:18" ht="12" customHeight="1" x14ac:dyDescent="0.2">
      <c r="A92" s="707">
        <f t="shared" si="5"/>
        <v>25</v>
      </c>
      <c r="B92" s="684" t="s">
        <v>1485</v>
      </c>
      <c r="C92" s="691" t="s">
        <v>1590</v>
      </c>
      <c r="D92" s="709">
        <f>'Input O&amp;M FERC 12-17'!C54</f>
        <v>20088</v>
      </c>
      <c r="E92" s="709">
        <f>'Input O&amp;M FERC 12-17'!D54</f>
        <v>18971</v>
      </c>
      <c r="F92" s="709">
        <f>'Input O&amp;M FERC 12-17'!E54</f>
        <v>19785</v>
      </c>
      <c r="G92" s="709">
        <f>'Input O&amp;M FERC 12-17'!F54</f>
        <v>19177</v>
      </c>
      <c r="H92" s="709">
        <f>'Input O&amp;M FERC 12-17'!G54</f>
        <v>20771</v>
      </c>
      <c r="I92" s="709">
        <f>'Input O&amp;M FERC 12-17'!H54</f>
        <v>20350</v>
      </c>
      <c r="J92" s="709">
        <f>'Input O&amp;M FERC 12-17'!I54</f>
        <v>20068</v>
      </c>
      <c r="K92" s="709">
        <f>'Input O&amp;M FERC 12-17'!J54</f>
        <v>20068</v>
      </c>
      <c r="L92" s="709">
        <f>'Input O&amp;M FERC 12-17'!K54</f>
        <v>19703</v>
      </c>
      <c r="M92" s="709">
        <f>'Input O&amp;M FERC 12-17'!L54</f>
        <v>20316</v>
      </c>
      <c r="N92" s="709">
        <f>'Input O&amp;M FERC 12-17'!M54</f>
        <v>19510</v>
      </c>
      <c r="O92" s="709">
        <f>'Input O&amp;M FERC 12-17'!N54</f>
        <v>21056</v>
      </c>
      <c r="P92" s="709">
        <f t="shared" si="4"/>
        <v>239863</v>
      </c>
      <c r="R92" s="689"/>
    </row>
    <row r="93" spans="1:18" ht="12" customHeight="1" x14ac:dyDescent="0.2">
      <c r="A93" s="707">
        <f t="shared" si="5"/>
        <v>26</v>
      </c>
      <c r="B93" s="684" t="s">
        <v>1487</v>
      </c>
      <c r="C93" s="691" t="s">
        <v>1591</v>
      </c>
      <c r="D93" s="708">
        <v>0</v>
      </c>
      <c r="E93" s="708">
        <v>0</v>
      </c>
      <c r="F93" s="708">
        <v>0</v>
      </c>
      <c r="G93" s="708">
        <v>0</v>
      </c>
      <c r="H93" s="708">
        <v>0</v>
      </c>
      <c r="I93" s="708">
        <v>0</v>
      </c>
      <c r="J93" s="708">
        <v>0</v>
      </c>
      <c r="K93" s="708">
        <v>0</v>
      </c>
      <c r="L93" s="708">
        <v>0</v>
      </c>
      <c r="M93" s="708">
        <v>0</v>
      </c>
      <c r="N93" s="708">
        <v>0</v>
      </c>
      <c r="O93" s="708">
        <v>0</v>
      </c>
      <c r="P93" s="709">
        <f t="shared" si="4"/>
        <v>0</v>
      </c>
      <c r="R93" s="689"/>
    </row>
    <row r="94" spans="1:18" ht="12" customHeight="1" x14ac:dyDescent="0.2">
      <c r="A94" s="707">
        <f t="shared" si="5"/>
        <v>27</v>
      </c>
      <c r="B94" s="684" t="s">
        <v>1489</v>
      </c>
      <c r="C94" s="691" t="s">
        <v>1592</v>
      </c>
      <c r="D94" s="709">
        <f>'Input O&amp;M FERC 12-17'!C55</f>
        <v>-5968</v>
      </c>
      <c r="E94" s="709">
        <f>'Input O&amp;M FERC 12-17'!D55</f>
        <v>-4844</v>
      </c>
      <c r="F94" s="709">
        <f>'Input O&amp;M FERC 12-17'!E55</f>
        <v>-6583</v>
      </c>
      <c r="G94" s="709">
        <f>'Input O&amp;M FERC 12-17'!F55</f>
        <v>-7994</v>
      </c>
      <c r="H94" s="709">
        <f>'Input O&amp;M FERC 12-17'!G55</f>
        <v>-659</v>
      </c>
      <c r="I94" s="709">
        <f>'Input O&amp;M FERC 12-17'!H55</f>
        <v>-4931</v>
      </c>
      <c r="J94" s="709">
        <f>'Input O&amp;M FERC 12-17'!I55</f>
        <v>-3468</v>
      </c>
      <c r="K94" s="709">
        <f>'Input O&amp;M FERC 12-17'!J55</f>
        <v>-7064</v>
      </c>
      <c r="L94" s="709">
        <f>'Input O&amp;M FERC 12-17'!K55</f>
        <v>-3282</v>
      </c>
      <c r="M94" s="709">
        <f>'Input O&amp;M FERC 12-17'!L55</f>
        <v>-2876</v>
      </c>
      <c r="N94" s="709">
        <f>'Input O&amp;M FERC 12-17'!M55</f>
        <v>-8318</v>
      </c>
      <c r="O94" s="709">
        <f>'Input O&amp;M FERC 12-17'!N55</f>
        <v>-5675</v>
      </c>
      <c r="P94" s="709">
        <f t="shared" si="4"/>
        <v>-61662</v>
      </c>
      <c r="R94" s="689"/>
    </row>
    <row r="95" spans="1:18" ht="12" customHeight="1" x14ac:dyDescent="0.2">
      <c r="A95" s="707">
        <f t="shared" si="5"/>
        <v>28</v>
      </c>
      <c r="B95" s="684" t="s">
        <v>1491</v>
      </c>
      <c r="C95" s="691" t="s">
        <v>1593</v>
      </c>
      <c r="D95" s="709">
        <f>'Input O&amp;M FERC 12-17'!C56</f>
        <v>52031</v>
      </c>
      <c r="E95" s="709">
        <f>'Input O&amp;M FERC 12-17'!D56</f>
        <v>53421</v>
      </c>
      <c r="F95" s="709">
        <f>'Input O&amp;M FERC 12-17'!E56</f>
        <v>53647</v>
      </c>
      <c r="G95" s="709">
        <f>'Input O&amp;M FERC 12-17'!F56</f>
        <v>52719</v>
      </c>
      <c r="H95" s="709">
        <f>'Input O&amp;M FERC 12-17'!G56</f>
        <v>52889</v>
      </c>
      <c r="I95" s="709">
        <f>'Input O&amp;M FERC 12-17'!H56</f>
        <v>55461</v>
      </c>
      <c r="J95" s="709">
        <f>'Input O&amp;M FERC 12-17'!I56</f>
        <v>53474</v>
      </c>
      <c r="K95" s="709">
        <f>'Input O&amp;M FERC 12-17'!J56</f>
        <v>53485</v>
      </c>
      <c r="L95" s="709">
        <f>'Input O&amp;M FERC 12-17'!K56</f>
        <v>55409</v>
      </c>
      <c r="M95" s="709">
        <f>'Input O&amp;M FERC 12-17'!L56</f>
        <v>53918</v>
      </c>
      <c r="N95" s="709">
        <f>'Input O&amp;M FERC 12-17'!M56</f>
        <v>54992</v>
      </c>
      <c r="O95" s="709">
        <f>'Input O&amp;M FERC 12-17'!N56</f>
        <v>55464</v>
      </c>
      <c r="P95" s="709">
        <f t="shared" si="4"/>
        <v>646910</v>
      </c>
      <c r="R95" s="689"/>
    </row>
    <row r="96" spans="1:18" ht="12" customHeight="1" x14ac:dyDescent="0.2">
      <c r="A96" s="707">
        <f t="shared" si="5"/>
        <v>29</v>
      </c>
      <c r="B96" s="1578">
        <v>932</v>
      </c>
      <c r="C96" s="710" t="s">
        <v>2104</v>
      </c>
      <c r="D96" s="709">
        <f>'Input O&amp;M FERC 12-17'!C57</f>
        <v>19973</v>
      </c>
      <c r="E96" s="709">
        <f>'Input O&amp;M FERC 12-17'!D57</f>
        <v>20432</v>
      </c>
      <c r="F96" s="709">
        <f>'Input O&amp;M FERC 12-17'!E57</f>
        <v>20586</v>
      </c>
      <c r="G96" s="709">
        <f>'Input O&amp;M FERC 12-17'!F57</f>
        <v>20258</v>
      </c>
      <c r="H96" s="709">
        <f>'Input O&amp;M FERC 12-17'!G57</f>
        <v>20520</v>
      </c>
      <c r="I96" s="709">
        <f>'Input O&amp;M FERC 12-17'!H57</f>
        <v>21461</v>
      </c>
      <c r="J96" s="709">
        <f>'Input O&amp;M FERC 12-17'!I57</f>
        <v>20632</v>
      </c>
      <c r="K96" s="709">
        <f>'Input O&amp;M FERC 12-17'!J57</f>
        <v>20756</v>
      </c>
      <c r="L96" s="709">
        <f>'Input O&amp;M FERC 12-17'!K57</f>
        <v>21408</v>
      </c>
      <c r="M96" s="709">
        <f>'Input O&amp;M FERC 12-17'!L57</f>
        <v>20819</v>
      </c>
      <c r="N96" s="709">
        <f>'Input O&amp;M FERC 12-17'!M57</f>
        <v>21148</v>
      </c>
      <c r="O96" s="709">
        <f>'Input O&amp;M FERC 12-17'!N57</f>
        <v>21400</v>
      </c>
      <c r="P96" s="709">
        <f t="shared" si="4"/>
        <v>249393</v>
      </c>
      <c r="R96" s="689"/>
    </row>
    <row r="97" spans="1:18" ht="12" customHeight="1" x14ac:dyDescent="0.2">
      <c r="A97" s="707">
        <f t="shared" si="5"/>
        <v>30</v>
      </c>
      <c r="B97" s="684" t="s">
        <v>1495</v>
      </c>
      <c r="C97" s="710" t="s">
        <v>1595</v>
      </c>
      <c r="D97" s="709">
        <f>'Input O&amp;M FERC 12-17'!C36</f>
        <v>0</v>
      </c>
      <c r="E97" s="709">
        <f>'Input O&amp;M FERC 12-17'!D36</f>
        <v>0</v>
      </c>
      <c r="F97" s="709">
        <f>'Input O&amp;M FERC 12-17'!E36</f>
        <v>0</v>
      </c>
      <c r="G97" s="709">
        <f>'Input O&amp;M FERC 12-17'!F36</f>
        <v>0</v>
      </c>
      <c r="H97" s="709">
        <f>'Input O&amp;M FERC 12-17'!G36</f>
        <v>0</v>
      </c>
      <c r="I97" s="709">
        <f>'Input O&amp;M FERC 12-17'!H36</f>
        <v>0</v>
      </c>
      <c r="J97" s="709">
        <f>'Input O&amp;M FERC 12-17'!I36</f>
        <v>0</v>
      </c>
      <c r="K97" s="709">
        <f>'Input O&amp;M FERC 12-17'!J36</f>
        <v>0</v>
      </c>
      <c r="L97" s="709">
        <f>'Input O&amp;M FERC 12-17'!K36</f>
        <v>0</v>
      </c>
      <c r="M97" s="709">
        <f>'Input O&amp;M FERC 12-17'!L36</f>
        <v>0</v>
      </c>
      <c r="N97" s="709">
        <f>'Input O&amp;M FERC 12-17'!M36</f>
        <v>0</v>
      </c>
      <c r="O97" s="709">
        <f>'Input O&amp;M FERC 12-17'!N36</f>
        <v>0</v>
      </c>
      <c r="P97" s="709">
        <f t="shared" si="4"/>
        <v>0</v>
      </c>
      <c r="R97" s="689"/>
    </row>
    <row r="98" spans="1:18" ht="12" customHeight="1" x14ac:dyDescent="0.2">
      <c r="A98" s="707">
        <f t="shared" si="5"/>
        <v>31</v>
      </c>
      <c r="B98" s="684" t="s">
        <v>1495</v>
      </c>
      <c r="C98" s="710" t="s">
        <v>1596</v>
      </c>
      <c r="D98" s="709">
        <f>'Input O&amp;M FERC 12-17'!C46</f>
        <v>0</v>
      </c>
      <c r="E98" s="709">
        <f>'Input O&amp;M FERC 12-17'!D46</f>
        <v>0</v>
      </c>
      <c r="F98" s="709">
        <f>'Input O&amp;M FERC 12-17'!E46</f>
        <v>0</v>
      </c>
      <c r="G98" s="709">
        <f>'Input O&amp;M FERC 12-17'!F46</f>
        <v>0</v>
      </c>
      <c r="H98" s="709">
        <f>'Input O&amp;M FERC 12-17'!G46</f>
        <v>0</v>
      </c>
      <c r="I98" s="709">
        <f>'Input O&amp;M FERC 12-17'!H46</f>
        <v>0</v>
      </c>
      <c r="J98" s="709">
        <f>'Input O&amp;M FERC 12-17'!I46</f>
        <v>0</v>
      </c>
      <c r="K98" s="709">
        <f>'Input O&amp;M FERC 12-17'!J46</f>
        <v>0</v>
      </c>
      <c r="L98" s="709">
        <f>'Input O&amp;M FERC 12-17'!K46</f>
        <v>0</v>
      </c>
      <c r="M98" s="709">
        <f>'Input O&amp;M FERC 12-17'!L46</f>
        <v>0</v>
      </c>
      <c r="N98" s="709">
        <f>'Input O&amp;M FERC 12-17'!M46</f>
        <v>0</v>
      </c>
      <c r="O98" s="709">
        <f>'Input O&amp;M FERC 12-17'!N46</f>
        <v>0</v>
      </c>
      <c r="P98" s="709">
        <f t="shared" si="4"/>
        <v>0</v>
      </c>
      <c r="R98" s="689"/>
    </row>
    <row r="99" spans="1:18" ht="12" customHeight="1" x14ac:dyDescent="0.2">
      <c r="A99" s="707">
        <f t="shared" si="5"/>
        <v>32</v>
      </c>
      <c r="B99" s="684" t="s">
        <v>1495</v>
      </c>
      <c r="C99" s="710" t="s">
        <v>1594</v>
      </c>
      <c r="D99" s="709">
        <f>'Input O&amp;M FERC 12-17'!C58</f>
        <v>10</v>
      </c>
      <c r="E99" s="709">
        <f>'Input O&amp;M FERC 12-17'!D58</f>
        <v>8</v>
      </c>
      <c r="F99" s="709">
        <f>'Input O&amp;M FERC 12-17'!E58</f>
        <v>7</v>
      </c>
      <c r="G99" s="709">
        <f>'Input O&amp;M FERC 12-17'!F58</f>
        <v>9</v>
      </c>
      <c r="H99" s="709">
        <f>'Input O&amp;M FERC 12-17'!G58</f>
        <v>12</v>
      </c>
      <c r="I99" s="709">
        <f>'Input O&amp;M FERC 12-17'!H58</f>
        <v>13</v>
      </c>
      <c r="J99" s="709">
        <f>'Input O&amp;M FERC 12-17'!I58</f>
        <v>10</v>
      </c>
      <c r="K99" s="709">
        <f>'Input O&amp;M FERC 12-17'!J58</f>
        <v>14</v>
      </c>
      <c r="L99" s="709">
        <f>'Input O&amp;M FERC 12-17'!K58</f>
        <v>13</v>
      </c>
      <c r="M99" s="709">
        <f>'Input O&amp;M FERC 12-17'!L58</f>
        <v>11</v>
      </c>
      <c r="N99" s="709">
        <f>'Input O&amp;M FERC 12-17'!M58</f>
        <v>12</v>
      </c>
      <c r="O99" s="709">
        <f>'Input O&amp;M FERC 12-17'!N58</f>
        <v>11</v>
      </c>
      <c r="P99" s="709">
        <f>SUM(D99:O99)</f>
        <v>130</v>
      </c>
      <c r="R99" s="689"/>
    </row>
    <row r="100" spans="1:18" ht="12" customHeight="1" x14ac:dyDescent="0.2">
      <c r="A100" s="707"/>
      <c r="B100" s="684"/>
      <c r="C100" s="710"/>
      <c r="D100" s="709"/>
      <c r="E100" s="709"/>
      <c r="F100" s="709"/>
      <c r="G100" s="709"/>
      <c r="H100" s="709"/>
      <c r="I100" s="709"/>
      <c r="J100" s="709"/>
      <c r="K100" s="709"/>
      <c r="L100" s="709"/>
      <c r="M100" s="709"/>
      <c r="N100" s="709"/>
      <c r="O100" s="709"/>
      <c r="P100" s="709"/>
    </row>
    <row r="101" spans="1:18" ht="12" customHeight="1" thickBot="1" x14ac:dyDescent="0.25">
      <c r="A101" s="707">
        <f>A98+1</f>
        <v>32</v>
      </c>
      <c r="B101" s="684"/>
      <c r="C101" s="710" t="s">
        <v>93</v>
      </c>
      <c r="D101" s="715">
        <f>SUM(D13:D54)+SUM(D68:D99)</f>
        <v>-4338176.0777592482</v>
      </c>
      <c r="E101" s="715">
        <f t="shared" ref="E101:P101" si="6">SUM(E13:E54)+SUM(E68:E99)</f>
        <v>-4322793.0234735366</v>
      </c>
      <c r="F101" s="715">
        <f t="shared" si="6"/>
        <v>-2746885.5134735345</v>
      </c>
      <c r="G101" s="715">
        <f t="shared" si="6"/>
        <v>-979225.48347353656</v>
      </c>
      <c r="H101" s="715">
        <f t="shared" si="6"/>
        <v>633559.9765264648</v>
      </c>
      <c r="I101" s="715">
        <f t="shared" si="6"/>
        <v>1370042.6455587228</v>
      </c>
      <c r="J101" s="715">
        <f t="shared" si="6"/>
        <v>1526682.2094394653</v>
      </c>
      <c r="K101" s="715">
        <f t="shared" si="6"/>
        <v>1582967.5617165212</v>
      </c>
      <c r="L101" s="715">
        <f t="shared" si="6"/>
        <v>1567791.2091450924</v>
      </c>
      <c r="M101" s="715">
        <f t="shared" si="6"/>
        <v>1275685.0970938113</v>
      </c>
      <c r="N101" s="715">
        <f t="shared" si="6"/>
        <v>44616.443579113577</v>
      </c>
      <c r="O101" s="715">
        <f t="shared" si="6"/>
        <v>-2129156.3978843009</v>
      </c>
      <c r="P101" s="715">
        <f t="shared" si="6"/>
        <v>-6514891.3530049659</v>
      </c>
      <c r="Q101" s="715"/>
    </row>
    <row r="102" spans="1:18" ht="12" customHeight="1" thickTop="1" x14ac:dyDescent="0.2">
      <c r="A102" s="707"/>
      <c r="B102" s="684"/>
      <c r="C102" s="710"/>
      <c r="D102" s="709"/>
      <c r="E102" s="709"/>
      <c r="F102" s="709"/>
      <c r="G102" s="709"/>
      <c r="H102" s="709"/>
      <c r="I102" s="709"/>
      <c r="J102" s="709"/>
      <c r="K102" s="709"/>
      <c r="L102" s="709"/>
      <c r="M102" s="709"/>
      <c r="N102" s="709"/>
      <c r="O102" s="709"/>
      <c r="P102" s="709"/>
    </row>
    <row r="103" spans="1:18" ht="12" customHeight="1" x14ac:dyDescent="0.2">
      <c r="A103" s="707"/>
      <c r="B103" s="684"/>
      <c r="C103" s="710"/>
      <c r="D103" s="709"/>
      <c r="E103" s="709"/>
      <c r="F103" s="709"/>
      <c r="G103" s="709"/>
      <c r="H103" s="709"/>
      <c r="I103" s="709"/>
      <c r="J103" s="709"/>
      <c r="K103" s="709"/>
      <c r="L103" s="709"/>
      <c r="M103" s="709"/>
      <c r="N103" s="709"/>
      <c r="O103" s="709"/>
      <c r="P103" s="709"/>
    </row>
    <row r="104" spans="1:18" ht="12" customHeight="1" x14ac:dyDescent="0.2">
      <c r="A104" s="686"/>
      <c r="B104" s="686"/>
      <c r="C104" s="686"/>
      <c r="D104" s="686"/>
      <c r="E104" s="686"/>
      <c r="F104" s="686"/>
      <c r="G104" s="686"/>
      <c r="H104" s="686"/>
      <c r="I104" s="686"/>
      <c r="J104" s="686"/>
      <c r="K104" s="686"/>
      <c r="L104" s="686"/>
      <c r="M104" s="686"/>
      <c r="N104" s="690"/>
      <c r="O104" s="686"/>
      <c r="P104" s="716"/>
    </row>
    <row r="105" spans="1:18" ht="12" customHeight="1" x14ac:dyDescent="0.2">
      <c r="A105" s="686"/>
      <c r="B105" s="686"/>
      <c r="C105" s="717"/>
      <c r="D105" s="718"/>
      <c r="E105" s="718"/>
      <c r="F105" s="718"/>
      <c r="G105" s="718"/>
      <c r="H105" s="718"/>
      <c r="I105" s="718"/>
      <c r="J105" s="718"/>
      <c r="K105" s="718"/>
      <c r="L105" s="718"/>
      <c r="M105" s="718"/>
      <c r="N105" s="718"/>
      <c r="O105" s="718"/>
      <c r="P105" s="686"/>
    </row>
    <row r="106" spans="1:18" ht="12" customHeight="1" x14ac:dyDescent="0.2">
      <c r="A106" s="686"/>
      <c r="B106" s="686"/>
      <c r="C106" s="686"/>
      <c r="D106" s="718"/>
      <c r="E106" s="718"/>
      <c r="F106" s="718"/>
      <c r="G106" s="718"/>
      <c r="H106" s="718"/>
      <c r="I106" s="718"/>
      <c r="J106" s="718"/>
      <c r="K106" s="718"/>
      <c r="L106" s="718"/>
      <c r="M106" s="718"/>
      <c r="N106" s="718"/>
      <c r="O106" s="718"/>
      <c r="P106" s="686"/>
    </row>
    <row r="107" spans="1:18" ht="12" customHeight="1" x14ac:dyDescent="0.2">
      <c r="A107" s="686"/>
      <c r="B107" s="686"/>
      <c r="C107" s="686"/>
      <c r="D107" s="1079"/>
      <c r="E107" s="1079"/>
      <c r="F107" s="1079"/>
      <c r="G107" s="1079"/>
      <c r="H107" s="1079"/>
      <c r="I107" s="1079"/>
      <c r="J107" s="1079"/>
      <c r="K107" s="1079"/>
      <c r="L107" s="1079"/>
      <c r="M107" s="1079"/>
      <c r="N107" s="1079"/>
      <c r="O107" s="1079"/>
      <c r="P107" s="686"/>
    </row>
    <row r="108" spans="1:18" ht="12" customHeight="1" x14ac:dyDescent="0.2">
      <c r="A108" s="686"/>
      <c r="B108" s="686"/>
      <c r="C108" s="686"/>
      <c r="D108" s="718"/>
      <c r="E108" s="718"/>
      <c r="F108" s="718"/>
      <c r="G108" s="718"/>
      <c r="H108" s="718"/>
      <c r="I108" s="718"/>
      <c r="J108" s="718"/>
      <c r="K108" s="718"/>
      <c r="L108" s="718"/>
      <c r="M108" s="718"/>
      <c r="N108" s="718"/>
      <c r="O108" s="718"/>
      <c r="P108" s="686"/>
    </row>
    <row r="109" spans="1:18" ht="12" customHeight="1" x14ac:dyDescent="0.2">
      <c r="A109" s="686"/>
      <c r="B109" s="686"/>
      <c r="C109" s="686"/>
      <c r="D109" s="686"/>
      <c r="E109" s="686"/>
      <c r="F109" s="686"/>
      <c r="G109" s="686"/>
      <c r="H109" s="686"/>
      <c r="I109" s="686"/>
      <c r="J109" s="686"/>
      <c r="K109" s="686"/>
      <c r="L109" s="686"/>
      <c r="M109" s="686"/>
      <c r="N109" s="686"/>
      <c r="O109" s="686"/>
      <c r="P109" s="686"/>
    </row>
    <row r="113" spans="4:16" x14ac:dyDescent="0.2">
      <c r="D113" s="719"/>
      <c r="E113" s="719"/>
      <c r="F113" s="719"/>
      <c r="G113" s="719"/>
      <c r="H113" s="719"/>
      <c r="I113" s="719"/>
      <c r="J113" s="719"/>
      <c r="K113" s="719"/>
      <c r="L113" s="719"/>
      <c r="M113" s="719"/>
      <c r="N113" s="719"/>
      <c r="O113" s="719"/>
      <c r="P113" s="719"/>
    </row>
    <row r="114" spans="4:16" x14ac:dyDescent="0.2">
      <c r="D114" s="719"/>
      <c r="E114" s="719"/>
      <c r="F114" s="719"/>
      <c r="G114" s="719"/>
      <c r="H114" s="719"/>
      <c r="I114" s="719"/>
      <c r="J114" s="719"/>
      <c r="K114" s="719"/>
      <c r="L114" s="719"/>
      <c r="M114" s="719"/>
      <c r="N114" s="719"/>
      <c r="O114" s="719"/>
      <c r="P114" s="719"/>
    </row>
    <row r="115" spans="4:16" x14ac:dyDescent="0.2">
      <c r="D115" s="719"/>
      <c r="E115" s="719"/>
      <c r="F115" s="719"/>
      <c r="G115" s="719"/>
      <c r="H115" s="719"/>
      <c r="I115" s="719"/>
      <c r="J115" s="719"/>
      <c r="K115" s="719"/>
      <c r="L115" s="719"/>
      <c r="M115" s="719"/>
      <c r="N115" s="719"/>
      <c r="O115" s="719"/>
      <c r="P115" s="719"/>
    </row>
  </sheetData>
  <mergeCells count="8">
    <mergeCell ref="A58:P58"/>
    <mergeCell ref="A59:P59"/>
    <mergeCell ref="A1:P1"/>
    <mergeCell ref="A2:P2"/>
    <mergeCell ref="A3:P3"/>
    <mergeCell ref="A4:P4"/>
    <mergeCell ref="A56:P56"/>
    <mergeCell ref="A57:P57"/>
  </mergeCells>
  <phoneticPr fontId="0" type="noConversion"/>
  <printOptions horizontalCentered="1"/>
  <pageMargins left="0.5" right="0.5" top="1" bottom="0.75" header="0.5" footer="0.5"/>
  <pageSetup scale="65" orientation="landscape" r:id="rId1"/>
  <headerFooter alignWithMargins="0"/>
  <rowBreaks count="1" manualBreakCount="1">
    <brk id="55" max="16383" man="1"/>
  </rowBreaks>
  <ignoredErrors>
    <ignoredError sqref="B68:B99" numberStoredAsText="1"/>
    <ignoredError sqref="D64:O64" unlockedFormula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tabColor rgb="FF7030A0"/>
  </sheetPr>
  <dimension ref="A1:M123"/>
  <sheetViews>
    <sheetView zoomScaleNormal="100" workbookViewId="0">
      <selection activeCell="D29" sqref="D29"/>
    </sheetView>
  </sheetViews>
  <sheetFormatPr defaultColWidth="9.33203125" defaultRowHeight="12" x14ac:dyDescent="0.2"/>
  <cols>
    <col min="1" max="1" width="4.1640625" style="683" customWidth="1"/>
    <col min="2" max="2" width="9.83203125" style="683" bestFit="1" customWidth="1"/>
    <col min="3" max="3" width="76" style="683" bestFit="1" customWidth="1"/>
    <col min="4" max="4" width="14.33203125" style="683" customWidth="1"/>
    <col min="5" max="5" width="2.6640625" style="683" customWidth="1"/>
    <col min="6" max="6" width="13" style="683" customWidth="1"/>
    <col min="7" max="7" width="2.5" style="683" customWidth="1"/>
    <col min="8" max="8" width="12.5" style="683" customWidth="1"/>
    <col min="9" max="9" width="2.1640625" style="683" customWidth="1"/>
    <col min="10" max="10" width="12.83203125" style="683" bestFit="1" customWidth="1"/>
    <col min="11" max="16384" width="9.33203125" style="683"/>
  </cols>
  <sheetData>
    <row r="1" spans="1:13" x14ac:dyDescent="0.2">
      <c r="A1" s="2134" t="s">
        <v>624</v>
      </c>
      <c r="B1" s="2134"/>
      <c r="C1" s="2135"/>
      <c r="D1" s="2135"/>
      <c r="E1" s="2135"/>
      <c r="F1" s="2135"/>
      <c r="G1" s="2135"/>
      <c r="H1" s="2135"/>
    </row>
    <row r="2" spans="1:13" x14ac:dyDescent="0.2">
      <c r="A2" s="2132" t="str">
        <f>case</f>
        <v>CASE NO. 2016 - 00162</v>
      </c>
      <c r="B2" s="2132"/>
      <c r="C2" s="2133"/>
      <c r="D2" s="2133"/>
      <c r="E2" s="2133"/>
      <c r="F2" s="2133"/>
      <c r="G2" s="2133"/>
      <c r="H2" s="2133"/>
    </row>
    <row r="3" spans="1:13" x14ac:dyDescent="0.2">
      <c r="A3" s="2134" t="s">
        <v>1803</v>
      </c>
      <c r="B3" s="2134"/>
      <c r="C3" s="2135"/>
      <c r="D3" s="2135"/>
      <c r="E3" s="2135"/>
      <c r="F3" s="2135"/>
      <c r="G3" s="2135"/>
      <c r="H3" s="2135"/>
    </row>
    <row r="4" spans="1:13" x14ac:dyDescent="0.2">
      <c r="A4" s="2138" t="s">
        <v>2037</v>
      </c>
      <c r="B4" s="2139"/>
      <c r="C4" s="2140"/>
      <c r="D4" s="2140"/>
      <c r="E4" s="2140"/>
      <c r="F4" s="2140"/>
      <c r="G4" s="2140"/>
      <c r="H4" s="2140"/>
    </row>
    <row r="5" spans="1:13" x14ac:dyDescent="0.2">
      <c r="A5" s="686"/>
      <c r="B5" s="686"/>
      <c r="C5" s="686"/>
      <c r="D5" s="687"/>
      <c r="E5" s="686"/>
      <c r="F5" s="686"/>
      <c r="G5" s="686"/>
      <c r="H5" s="688"/>
      <c r="J5" s="689"/>
      <c r="K5" s="689"/>
      <c r="L5" s="689"/>
      <c r="M5" s="689"/>
    </row>
    <row r="6" spans="1:13" ht="12" customHeight="1" x14ac:dyDescent="0.2">
      <c r="A6" s="690" t="s">
        <v>1118</v>
      </c>
      <c r="B6" s="690"/>
      <c r="C6" s="686"/>
      <c r="D6" s="686"/>
      <c r="E6" s="686"/>
      <c r="F6" s="686"/>
      <c r="G6" s="686"/>
      <c r="H6" s="1529"/>
      <c r="J6" s="693"/>
      <c r="K6" s="693"/>
      <c r="L6" s="693"/>
      <c r="M6" s="689"/>
    </row>
    <row r="7" spans="1:13" x14ac:dyDescent="0.2">
      <c r="A7" s="690" t="s">
        <v>977</v>
      </c>
      <c r="B7" s="690"/>
      <c r="C7" s="686"/>
      <c r="D7" s="686"/>
      <c r="E7" s="686"/>
      <c r="F7" s="686"/>
      <c r="G7" s="686"/>
      <c r="H7" s="692" t="s">
        <v>1517</v>
      </c>
      <c r="J7" s="693"/>
      <c r="K7" s="693"/>
      <c r="L7" s="693"/>
      <c r="M7" s="689"/>
    </row>
    <row r="8" spans="1:13" x14ac:dyDescent="0.2">
      <c r="A8" s="694" t="s">
        <v>996</v>
      </c>
      <c r="B8" s="694"/>
      <c r="C8" s="695"/>
      <c r="D8" s="695"/>
      <c r="E8" s="695"/>
      <c r="F8" s="695"/>
      <c r="G8" s="695"/>
      <c r="H8" s="697" t="str">
        <f>JTC</f>
        <v>WITNESS:  J. T. CROOM</v>
      </c>
      <c r="J8" s="693"/>
      <c r="K8" s="693"/>
      <c r="L8" s="693"/>
      <c r="M8" s="689"/>
    </row>
    <row r="9" spans="1:13" x14ac:dyDescent="0.2">
      <c r="A9" s="698" t="s">
        <v>1080</v>
      </c>
      <c r="B9" s="699"/>
      <c r="C9" s="699"/>
      <c r="D9" s="700" t="s">
        <v>1598</v>
      </c>
      <c r="E9" s="700"/>
      <c r="F9" s="1376" t="s">
        <v>1804</v>
      </c>
      <c r="G9" s="700"/>
      <c r="H9" s="1376" t="s">
        <v>1598</v>
      </c>
      <c r="J9" s="693"/>
      <c r="K9" s="693"/>
      <c r="L9" s="693"/>
      <c r="M9" s="689"/>
    </row>
    <row r="10" spans="1:13" x14ac:dyDescent="0.2">
      <c r="A10" s="1378"/>
      <c r="B10" s="1379"/>
      <c r="C10" s="1379"/>
      <c r="D10" s="1376" t="s">
        <v>224</v>
      </c>
      <c r="E10" s="700"/>
      <c r="F10" s="1376" t="s">
        <v>1805</v>
      </c>
      <c r="G10" s="700"/>
      <c r="H10" s="1376" t="s">
        <v>224</v>
      </c>
      <c r="J10" s="693"/>
      <c r="K10" s="693"/>
      <c r="L10" s="693"/>
      <c r="M10" s="689"/>
    </row>
    <row r="11" spans="1:13" x14ac:dyDescent="0.2">
      <c r="A11" s="702" t="s">
        <v>1081</v>
      </c>
      <c r="B11" s="702" t="s">
        <v>1518</v>
      </c>
      <c r="C11" s="702" t="s">
        <v>1519</v>
      </c>
      <c r="D11" s="1377" t="s">
        <v>1700</v>
      </c>
      <c r="E11" s="703"/>
      <c r="F11" s="1377" t="s">
        <v>222</v>
      </c>
      <c r="G11" s="703"/>
      <c r="H11" s="1377" t="s">
        <v>1701</v>
      </c>
      <c r="J11" s="693"/>
      <c r="K11" s="693"/>
      <c r="L11" s="693"/>
      <c r="M11" s="689"/>
    </row>
    <row r="12" spans="1:13" x14ac:dyDescent="0.2">
      <c r="A12" s="705"/>
      <c r="B12" s="686"/>
      <c r="C12" s="686"/>
      <c r="D12" s="706" t="s">
        <v>639</v>
      </c>
      <c r="E12" s="706"/>
      <c r="F12" s="706" t="s">
        <v>639</v>
      </c>
      <c r="G12" s="706"/>
      <c r="H12" s="706" t="s">
        <v>639</v>
      </c>
      <c r="J12" s="693"/>
      <c r="K12" s="693"/>
      <c r="L12" s="693"/>
      <c r="M12" s="689"/>
    </row>
    <row r="13" spans="1:13" x14ac:dyDescent="0.2">
      <c r="A13" s="705"/>
      <c r="B13" s="686"/>
      <c r="C13" s="686"/>
      <c r="D13" s="706"/>
      <c r="E13" s="706"/>
      <c r="F13" s="706"/>
      <c r="G13" s="706"/>
      <c r="H13" s="706"/>
      <c r="J13" s="693"/>
      <c r="K13" s="693"/>
      <c r="L13" s="693"/>
      <c r="M13" s="689"/>
    </row>
    <row r="14" spans="1:13" x14ac:dyDescent="0.2">
      <c r="A14" s="707">
        <v>1</v>
      </c>
      <c r="B14" s="684" t="s">
        <v>621</v>
      </c>
      <c r="C14" s="691" t="s">
        <v>622</v>
      </c>
      <c r="D14" s="709">
        <f>'Total Co Accts Activ C2.2B'!P13</f>
        <v>15828137.157035036</v>
      </c>
      <c r="E14" s="709"/>
      <c r="F14" s="1380">
        <v>0</v>
      </c>
      <c r="G14" s="709"/>
      <c r="H14" s="709">
        <f>D14+F14</f>
        <v>15828137.157035036</v>
      </c>
      <c r="J14" s="689"/>
      <c r="K14" s="689"/>
      <c r="L14" s="689"/>
      <c r="M14" s="689"/>
    </row>
    <row r="15" spans="1:13" x14ac:dyDescent="0.2">
      <c r="A15" s="707">
        <f>A14+1</f>
        <v>2</v>
      </c>
      <c r="B15" s="684">
        <v>406</v>
      </c>
      <c r="C15" s="691" t="s">
        <v>1531</v>
      </c>
      <c r="D15" s="709">
        <f>'Total Co Accts Activ C2.2B'!P14</f>
        <v>0</v>
      </c>
      <c r="E15" s="708"/>
      <c r="F15" s="708">
        <v>0</v>
      </c>
      <c r="G15" s="708"/>
      <c r="H15" s="709">
        <f t="shared" ref="H15:H55" si="0">D15+F15</f>
        <v>0</v>
      </c>
    </row>
    <row r="16" spans="1:13" x14ac:dyDescent="0.2">
      <c r="A16" s="707">
        <f t="shared" ref="A16:A55" si="1">A15+1</f>
        <v>3</v>
      </c>
      <c r="B16" s="706">
        <v>408</v>
      </c>
      <c r="C16" s="690" t="s">
        <v>1532</v>
      </c>
      <c r="D16" s="709">
        <f>'Total Co Accts Activ C2.2B'!P15</f>
        <v>3924000</v>
      </c>
      <c r="E16" s="708"/>
      <c r="F16" s="709">
        <f>'D-1'!G264</f>
        <v>212779</v>
      </c>
      <c r="G16" s="708"/>
      <c r="H16" s="709">
        <f t="shared" si="0"/>
        <v>4136779</v>
      </c>
    </row>
    <row r="17" spans="1:10" x14ac:dyDescent="0.2">
      <c r="A17" s="707">
        <f t="shared" si="1"/>
        <v>4</v>
      </c>
      <c r="B17" s="706">
        <v>408</v>
      </c>
      <c r="C17" s="690" t="s">
        <v>1533</v>
      </c>
      <c r="D17" s="709">
        <f>'Total Co Accts Activ C2.2B'!P16</f>
        <v>672000</v>
      </c>
      <c r="E17" s="708"/>
      <c r="F17" s="709">
        <f>'D-1'!G265</f>
        <v>-17898</v>
      </c>
      <c r="G17" s="708"/>
      <c r="H17" s="709">
        <f t="shared" si="0"/>
        <v>654102</v>
      </c>
    </row>
    <row r="18" spans="1:10" x14ac:dyDescent="0.2">
      <c r="A18" s="707">
        <f t="shared" si="1"/>
        <v>5</v>
      </c>
      <c r="B18" s="706">
        <v>408</v>
      </c>
      <c r="C18" s="690" t="s">
        <v>1534</v>
      </c>
      <c r="D18" s="709">
        <f>'Total Co Accts Activ C2.2B'!P17</f>
        <v>0</v>
      </c>
      <c r="E18" s="708"/>
      <c r="F18" s="709">
        <f>'D-1'!G266</f>
        <v>0</v>
      </c>
      <c r="G18" s="708"/>
      <c r="H18" s="709">
        <f t="shared" si="0"/>
        <v>0</v>
      </c>
    </row>
    <row r="19" spans="1:10" x14ac:dyDescent="0.2">
      <c r="A19" s="707">
        <f>A18+1</f>
        <v>6</v>
      </c>
      <c r="B19" s="706">
        <v>480</v>
      </c>
      <c r="C19" s="711" t="s">
        <v>1535</v>
      </c>
      <c r="D19" s="709">
        <f>'Total Co Accts Activ C2.2B'!P18</f>
        <v>-49633580.289999999</v>
      </c>
      <c r="E19" s="708"/>
      <c r="F19" s="709">
        <f>-'D-1'!N14</f>
        <v>-62481</v>
      </c>
      <c r="G19" s="708"/>
      <c r="H19" s="709">
        <f t="shared" si="0"/>
        <v>-49696061.289999999</v>
      </c>
    </row>
    <row r="20" spans="1:10" x14ac:dyDescent="0.2">
      <c r="A20" s="707">
        <f t="shared" si="1"/>
        <v>7</v>
      </c>
      <c r="B20" s="712">
        <v>481.1</v>
      </c>
      <c r="C20" s="711" t="s">
        <v>1536</v>
      </c>
      <c r="D20" s="709">
        <f>'Total Co Accts Activ C2.2B'!P19</f>
        <v>-18489335.329999998</v>
      </c>
      <c r="E20" s="708"/>
      <c r="F20" s="709">
        <f>-'D-1'!N15</f>
        <v>-30982</v>
      </c>
      <c r="G20" s="708"/>
      <c r="H20" s="709">
        <f t="shared" si="0"/>
        <v>-18520317.329999998</v>
      </c>
    </row>
    <row r="21" spans="1:10" x14ac:dyDescent="0.2">
      <c r="A21" s="707">
        <f t="shared" si="1"/>
        <v>8</v>
      </c>
      <c r="B21" s="706">
        <v>481.2</v>
      </c>
      <c r="C21" s="690" t="s">
        <v>1537</v>
      </c>
      <c r="D21" s="709">
        <f>'Total Co Accts Activ C2.2B'!P20</f>
        <v>-1407299.0899999999</v>
      </c>
      <c r="E21" s="708"/>
      <c r="F21" s="709">
        <f>-'D-1'!N16</f>
        <v>-3603</v>
      </c>
      <c r="G21" s="708"/>
      <c r="H21" s="709">
        <f t="shared" si="0"/>
        <v>-1410902.0899999999</v>
      </c>
    </row>
    <row r="22" spans="1:10" x14ac:dyDescent="0.2">
      <c r="A22" s="707">
        <f t="shared" si="1"/>
        <v>9</v>
      </c>
      <c r="B22" s="706">
        <v>483</v>
      </c>
      <c r="C22" s="690" t="s">
        <v>1538</v>
      </c>
      <c r="D22" s="709">
        <f>'Total Co Accts Activ C2.2B'!P21</f>
        <v>-47711.12000000001</v>
      </c>
      <c r="E22" s="708"/>
      <c r="F22" s="709">
        <f>-'D-1'!N17</f>
        <v>-113</v>
      </c>
      <c r="G22" s="708"/>
      <c r="H22" s="709">
        <f t="shared" si="0"/>
        <v>-47824.12000000001</v>
      </c>
    </row>
    <row r="23" spans="1:10" x14ac:dyDescent="0.2">
      <c r="A23" s="707">
        <f t="shared" si="1"/>
        <v>10</v>
      </c>
      <c r="B23" s="706">
        <v>487</v>
      </c>
      <c r="C23" s="690" t="s">
        <v>1539</v>
      </c>
      <c r="D23" s="709">
        <f>'Total Co Accts Activ C2.2B'!P22</f>
        <v>-476000</v>
      </c>
      <c r="E23" s="708"/>
      <c r="F23" s="708">
        <v>0</v>
      </c>
      <c r="G23" s="708"/>
      <c r="H23" s="709">
        <f t="shared" si="0"/>
        <v>-476000</v>
      </c>
    </row>
    <row r="24" spans="1:10" x14ac:dyDescent="0.2">
      <c r="A24" s="707">
        <f t="shared" si="1"/>
        <v>11</v>
      </c>
      <c r="B24" s="706">
        <v>488</v>
      </c>
      <c r="C24" s="690" t="s">
        <v>1540</v>
      </c>
      <c r="D24" s="709">
        <f>'Total Co Accts Activ C2.2B'!P23</f>
        <v>-137000</v>
      </c>
      <c r="E24" s="708"/>
      <c r="F24" s="708">
        <v>0</v>
      </c>
      <c r="G24" s="708"/>
      <c r="H24" s="709">
        <f t="shared" si="0"/>
        <v>-137000</v>
      </c>
    </row>
    <row r="25" spans="1:10" x14ac:dyDescent="0.2">
      <c r="A25" s="707">
        <f t="shared" si="1"/>
        <v>12</v>
      </c>
      <c r="B25" s="706">
        <v>489</v>
      </c>
      <c r="C25" s="690" t="s">
        <v>1541</v>
      </c>
      <c r="D25" s="709">
        <f>'Total Co Accts Activ C2.2B'!P24</f>
        <v>-21807062.239999998</v>
      </c>
      <c r="E25" s="708"/>
      <c r="F25" s="708">
        <v>0</v>
      </c>
      <c r="G25" s="708"/>
      <c r="H25" s="709">
        <f t="shared" si="0"/>
        <v>-21807062.239999998</v>
      </c>
      <c r="I25" s="689"/>
      <c r="J25" s="2001"/>
    </row>
    <row r="26" spans="1:10" x14ac:dyDescent="0.2">
      <c r="A26" s="707">
        <f t="shared" si="1"/>
        <v>13</v>
      </c>
      <c r="B26" s="706">
        <v>493</v>
      </c>
      <c r="C26" s="690" t="s">
        <v>1542</v>
      </c>
      <c r="D26" s="709">
        <f>'Total Co Accts Activ C2.2B'!P25</f>
        <v>-72000</v>
      </c>
      <c r="E26" s="708"/>
      <c r="F26" s="708">
        <v>0</v>
      </c>
      <c r="G26" s="708"/>
      <c r="H26" s="709">
        <f t="shared" si="0"/>
        <v>-72000</v>
      </c>
    </row>
    <row r="27" spans="1:10" x14ac:dyDescent="0.2">
      <c r="A27" s="707">
        <f t="shared" si="1"/>
        <v>14</v>
      </c>
      <c r="B27" s="706">
        <v>495</v>
      </c>
      <c r="C27" s="690" t="s">
        <v>1543</v>
      </c>
      <c r="D27" s="709">
        <f>'Total Co Accts Activ C2.2B'!P26</f>
        <v>-515000</v>
      </c>
      <c r="E27" s="708"/>
      <c r="F27" s="708">
        <v>0</v>
      </c>
      <c r="G27" s="708"/>
      <c r="H27" s="709">
        <f t="shared" si="0"/>
        <v>-515000</v>
      </c>
    </row>
    <row r="28" spans="1:10" x14ac:dyDescent="0.2">
      <c r="A28" s="707">
        <f t="shared" si="1"/>
        <v>15</v>
      </c>
      <c r="B28" s="684">
        <v>717</v>
      </c>
      <c r="C28" s="691" t="s">
        <v>1544</v>
      </c>
      <c r="D28" s="709">
        <f>'Total Co Accts Activ C2.2B'!P27</f>
        <v>2139</v>
      </c>
      <c r="E28" s="709"/>
      <c r="F28" s="709">
        <f>'D-1'!N156</f>
        <v>0</v>
      </c>
      <c r="G28" s="709"/>
      <c r="H28" s="709">
        <f t="shared" si="0"/>
        <v>2139</v>
      </c>
    </row>
    <row r="29" spans="1:10" x14ac:dyDescent="0.2">
      <c r="A29" s="707">
        <f t="shared" si="1"/>
        <v>16</v>
      </c>
      <c r="B29" s="684">
        <v>723</v>
      </c>
      <c r="C29" s="691" t="s">
        <v>1545</v>
      </c>
      <c r="D29" s="709">
        <f>'Total Co Accts Activ C2.2B'!P28</f>
        <v>0</v>
      </c>
      <c r="E29" s="708"/>
      <c r="F29" s="709">
        <f>'D-1'!N157</f>
        <v>0</v>
      </c>
      <c r="G29" s="708"/>
      <c r="H29" s="709">
        <f t="shared" si="0"/>
        <v>0</v>
      </c>
    </row>
    <row r="30" spans="1:10" x14ac:dyDescent="0.2">
      <c r="A30" s="707">
        <f t="shared" si="1"/>
        <v>17</v>
      </c>
      <c r="B30" s="684">
        <v>728</v>
      </c>
      <c r="C30" s="691" t="s">
        <v>1546</v>
      </c>
      <c r="D30" s="709">
        <f>'Total Co Accts Activ C2.2B'!P29</f>
        <v>0</v>
      </c>
      <c r="E30" s="708"/>
      <c r="F30" s="709">
        <f>'D-1'!N158</f>
        <v>0</v>
      </c>
      <c r="G30" s="708"/>
      <c r="H30" s="709">
        <f t="shared" si="0"/>
        <v>0</v>
      </c>
    </row>
    <row r="31" spans="1:10" x14ac:dyDescent="0.2">
      <c r="A31" s="707">
        <f t="shared" si="1"/>
        <v>18</v>
      </c>
      <c r="B31" s="684">
        <v>741</v>
      </c>
      <c r="C31" s="691" t="s">
        <v>1547</v>
      </c>
      <c r="D31" s="709">
        <f>'Total Co Accts Activ C2.2B'!P30</f>
        <v>0</v>
      </c>
      <c r="E31" s="708"/>
      <c r="F31" s="709">
        <f>'D-1'!N159</f>
        <v>0</v>
      </c>
      <c r="G31" s="708"/>
      <c r="H31" s="709">
        <f t="shared" si="0"/>
        <v>0</v>
      </c>
    </row>
    <row r="32" spans="1:10" x14ac:dyDescent="0.2">
      <c r="A32" s="707">
        <f t="shared" si="1"/>
        <v>19</v>
      </c>
      <c r="B32" s="684">
        <v>742</v>
      </c>
      <c r="C32" s="691" t="s">
        <v>1548</v>
      </c>
      <c r="D32" s="709">
        <f>'Total Co Accts Activ C2.2B'!P31</f>
        <v>0</v>
      </c>
      <c r="E32" s="708"/>
      <c r="F32" s="709">
        <f>'D-1'!N160</f>
        <v>0</v>
      </c>
      <c r="G32" s="708"/>
      <c r="H32" s="709">
        <f t="shared" si="0"/>
        <v>0</v>
      </c>
    </row>
    <row r="33" spans="1:8" x14ac:dyDescent="0.2">
      <c r="A33" s="707">
        <f t="shared" si="1"/>
        <v>20</v>
      </c>
      <c r="B33" s="684" t="s">
        <v>1549</v>
      </c>
      <c r="C33" s="710" t="s">
        <v>1550</v>
      </c>
      <c r="D33" s="709">
        <f>'Total Co Accts Activ C2.2B'!P32</f>
        <v>16536481.579999998</v>
      </c>
      <c r="E33" s="708"/>
      <c r="F33" s="1380">
        <v>0</v>
      </c>
      <c r="G33" s="708"/>
      <c r="H33" s="709">
        <f t="shared" si="0"/>
        <v>16536481.579999998</v>
      </c>
    </row>
    <row r="34" spans="1:8" x14ac:dyDescent="0.2">
      <c r="A34" s="707">
        <f t="shared" si="1"/>
        <v>21</v>
      </c>
      <c r="B34" s="684">
        <v>804</v>
      </c>
      <c r="C34" s="691" t="s">
        <v>1551</v>
      </c>
      <c r="D34" s="709">
        <f>'Total Co Accts Activ C2.2B'!P33</f>
        <v>429518.99999999994</v>
      </c>
      <c r="E34" s="708"/>
      <c r="F34" s="1380">
        <v>0</v>
      </c>
      <c r="G34" s="708"/>
      <c r="H34" s="709">
        <f t="shared" si="0"/>
        <v>429518.99999999994</v>
      </c>
    </row>
    <row r="35" spans="1:8" x14ac:dyDescent="0.2">
      <c r="A35" s="707">
        <f t="shared" si="1"/>
        <v>22</v>
      </c>
      <c r="B35" s="684">
        <v>805</v>
      </c>
      <c r="C35" s="691" t="s">
        <v>1552</v>
      </c>
      <c r="D35" s="709">
        <f>'Total Co Accts Activ C2.2B'!P34</f>
        <v>4724709.0199999996</v>
      </c>
      <c r="E35" s="708"/>
      <c r="F35" s="1380">
        <v>0</v>
      </c>
      <c r="G35" s="708"/>
      <c r="H35" s="709">
        <f t="shared" si="0"/>
        <v>4724709.0199999996</v>
      </c>
    </row>
    <row r="36" spans="1:8" x14ac:dyDescent="0.2">
      <c r="A36" s="707">
        <f t="shared" si="1"/>
        <v>23</v>
      </c>
      <c r="B36" s="684">
        <v>806</v>
      </c>
      <c r="C36" s="691" t="s">
        <v>1553</v>
      </c>
      <c r="D36" s="709">
        <f>'Total Co Accts Activ C2.2B'!P35</f>
        <v>-1718075.9899999998</v>
      </c>
      <c r="E36" s="708"/>
      <c r="F36" s="1380">
        <v>0</v>
      </c>
      <c r="G36" s="708"/>
      <c r="H36" s="709">
        <f t="shared" si="0"/>
        <v>-1718075.9899999998</v>
      </c>
    </row>
    <row r="37" spans="1:8" x14ac:dyDescent="0.2">
      <c r="A37" s="707">
        <f t="shared" si="1"/>
        <v>24</v>
      </c>
      <c r="B37" s="684">
        <v>807</v>
      </c>
      <c r="C37" s="691" t="s">
        <v>1554</v>
      </c>
      <c r="D37" s="709">
        <f>'Total Co Accts Activ C2.2B'!P36</f>
        <v>0</v>
      </c>
      <c r="E37" s="713"/>
      <c r="F37" s="1380">
        <v>0</v>
      </c>
      <c r="G37" s="713"/>
      <c r="H37" s="709">
        <f t="shared" si="0"/>
        <v>0</v>
      </c>
    </row>
    <row r="38" spans="1:8" x14ac:dyDescent="0.2">
      <c r="A38" s="707">
        <f t="shared" si="1"/>
        <v>25</v>
      </c>
      <c r="B38" s="684">
        <v>807</v>
      </c>
      <c r="C38" s="691" t="s">
        <v>1555</v>
      </c>
      <c r="D38" s="709">
        <f>'Total Co Accts Activ C2.2B'!P37</f>
        <v>344123</v>
      </c>
      <c r="E38" s="709"/>
      <c r="F38" s="709">
        <f>'D-1'!N161</f>
        <v>-2566</v>
      </c>
      <c r="G38" s="709"/>
      <c r="H38" s="709">
        <f t="shared" si="0"/>
        <v>341557</v>
      </c>
    </row>
    <row r="39" spans="1:8" x14ac:dyDescent="0.2">
      <c r="A39" s="707">
        <f t="shared" si="1"/>
        <v>26</v>
      </c>
      <c r="B39" s="684">
        <v>808</v>
      </c>
      <c r="C39" s="691" t="s">
        <v>1556</v>
      </c>
      <c r="D39" s="709">
        <f>'Total Co Accts Activ C2.2B'!P38</f>
        <v>1503316.5099999998</v>
      </c>
      <c r="E39" s="708"/>
      <c r="F39" s="1380">
        <v>0</v>
      </c>
      <c r="G39" s="708"/>
      <c r="H39" s="709">
        <f t="shared" si="0"/>
        <v>1503316.5099999998</v>
      </c>
    </row>
    <row r="40" spans="1:8" x14ac:dyDescent="0.2">
      <c r="A40" s="707">
        <f t="shared" si="1"/>
        <v>27</v>
      </c>
      <c r="B40" s="705">
        <v>812</v>
      </c>
      <c r="C40" s="686" t="s">
        <v>1557</v>
      </c>
      <c r="D40" s="709">
        <f>'Total Co Accts Activ C2.2B'!P39</f>
        <v>0</v>
      </c>
      <c r="E40" s="708"/>
      <c r="F40" s="1380">
        <v>0</v>
      </c>
      <c r="G40" s="708"/>
      <c r="H40" s="709">
        <f t="shared" si="0"/>
        <v>0</v>
      </c>
    </row>
    <row r="41" spans="1:8" x14ac:dyDescent="0.2">
      <c r="A41" s="707">
        <f t="shared" si="1"/>
        <v>28</v>
      </c>
      <c r="B41" s="684">
        <v>813</v>
      </c>
      <c r="C41" s="691" t="s">
        <v>1558</v>
      </c>
      <c r="D41" s="709">
        <f>'Total Co Accts Activ C2.2B'!P40</f>
        <v>0</v>
      </c>
      <c r="E41" s="708"/>
      <c r="F41" s="1380">
        <v>0</v>
      </c>
      <c r="G41" s="708"/>
      <c r="H41" s="709">
        <f t="shared" si="0"/>
        <v>0</v>
      </c>
    </row>
    <row r="42" spans="1:8" x14ac:dyDescent="0.2">
      <c r="A42" s="707">
        <f t="shared" si="1"/>
        <v>29</v>
      </c>
      <c r="B42" s="684">
        <v>870</v>
      </c>
      <c r="C42" s="691" t="s">
        <v>1559</v>
      </c>
      <c r="D42" s="709">
        <f>'Total Co Accts Activ C2.2B'!P41</f>
        <v>876974</v>
      </c>
      <c r="E42" s="709"/>
      <c r="F42" s="709">
        <f>'D-1'!N162</f>
        <v>3957</v>
      </c>
      <c r="G42" s="709"/>
      <c r="H42" s="709">
        <f t="shared" si="0"/>
        <v>880931</v>
      </c>
    </row>
    <row r="43" spans="1:8" x14ac:dyDescent="0.2">
      <c r="A43" s="707">
        <f t="shared" si="1"/>
        <v>30</v>
      </c>
      <c r="B43" s="684">
        <v>871</v>
      </c>
      <c r="C43" s="691" t="s">
        <v>1560</v>
      </c>
      <c r="D43" s="709">
        <f>'Total Co Accts Activ C2.2B'!P42</f>
        <v>77827</v>
      </c>
      <c r="E43" s="709"/>
      <c r="F43" s="709">
        <f>'D-1'!N163</f>
        <v>6702</v>
      </c>
      <c r="G43" s="709"/>
      <c r="H43" s="709">
        <f t="shared" si="0"/>
        <v>84529</v>
      </c>
    </row>
    <row r="44" spans="1:8" x14ac:dyDescent="0.2">
      <c r="A44" s="707">
        <f t="shared" si="1"/>
        <v>31</v>
      </c>
      <c r="B44" s="684">
        <v>874</v>
      </c>
      <c r="C44" s="691" t="s">
        <v>1561</v>
      </c>
      <c r="D44" s="709">
        <f>'Total Co Accts Activ C2.2B'!P43</f>
        <v>5585295</v>
      </c>
      <c r="E44" s="709"/>
      <c r="F44" s="709">
        <f>'D-1'!N164</f>
        <v>938901</v>
      </c>
      <c r="G44" s="709"/>
      <c r="H44" s="709">
        <f t="shared" si="0"/>
        <v>6524196</v>
      </c>
    </row>
    <row r="45" spans="1:8" x14ac:dyDescent="0.2">
      <c r="A45" s="707">
        <f t="shared" si="1"/>
        <v>32</v>
      </c>
      <c r="B45" s="684">
        <v>875</v>
      </c>
      <c r="C45" s="691" t="s">
        <v>1562</v>
      </c>
      <c r="D45" s="709">
        <f>'Total Co Accts Activ C2.2B'!P44</f>
        <v>192465</v>
      </c>
      <c r="E45" s="709"/>
      <c r="F45" s="709">
        <f>'D-1'!N165</f>
        <v>8261</v>
      </c>
      <c r="G45" s="709"/>
      <c r="H45" s="709">
        <f t="shared" si="0"/>
        <v>200726</v>
      </c>
    </row>
    <row r="46" spans="1:8" x14ac:dyDescent="0.2">
      <c r="A46" s="707">
        <f t="shared" si="1"/>
        <v>33</v>
      </c>
      <c r="B46" s="684">
        <v>876</v>
      </c>
      <c r="C46" s="691" t="s">
        <v>1563</v>
      </c>
      <c r="D46" s="709">
        <f>'Total Co Accts Activ C2.2B'!P45</f>
        <v>64566</v>
      </c>
      <c r="E46" s="709"/>
      <c r="F46" s="709">
        <f>'D-1'!N166</f>
        <v>3772</v>
      </c>
      <c r="G46" s="709"/>
      <c r="H46" s="709">
        <f t="shared" si="0"/>
        <v>68338</v>
      </c>
    </row>
    <row r="47" spans="1:8" x14ac:dyDescent="0.2">
      <c r="A47" s="707">
        <f t="shared" si="1"/>
        <v>34</v>
      </c>
      <c r="B47" s="684">
        <v>878</v>
      </c>
      <c r="C47" s="691" t="s">
        <v>1564</v>
      </c>
      <c r="D47" s="709">
        <f>'Total Co Accts Activ C2.2B'!P46</f>
        <v>1635888</v>
      </c>
      <c r="E47" s="709"/>
      <c r="F47" s="709">
        <f>'D-1'!N167</f>
        <v>128806</v>
      </c>
      <c r="G47" s="709"/>
      <c r="H47" s="709">
        <f t="shared" si="0"/>
        <v>1764694</v>
      </c>
    </row>
    <row r="48" spans="1:8" x14ac:dyDescent="0.2">
      <c r="A48" s="707">
        <f t="shared" si="1"/>
        <v>35</v>
      </c>
      <c r="B48" s="684">
        <v>879</v>
      </c>
      <c r="C48" s="691" t="s">
        <v>1565</v>
      </c>
      <c r="D48" s="709">
        <f>'Total Co Accts Activ C2.2B'!P47</f>
        <v>2005981</v>
      </c>
      <c r="E48" s="709"/>
      <c r="F48" s="709">
        <f>'D-1'!N168</f>
        <v>150651</v>
      </c>
      <c r="G48" s="709"/>
      <c r="H48" s="709">
        <f t="shared" si="0"/>
        <v>2156632</v>
      </c>
    </row>
    <row r="49" spans="1:10" x14ac:dyDescent="0.2">
      <c r="A49" s="707">
        <f t="shared" si="1"/>
        <v>36</v>
      </c>
      <c r="B49" s="684">
        <v>880</v>
      </c>
      <c r="C49" s="691" t="s">
        <v>1566</v>
      </c>
      <c r="D49" s="709">
        <f>'Total Co Accts Activ C2.2B'!P48</f>
        <v>1715569</v>
      </c>
      <c r="E49" s="709"/>
      <c r="F49" s="709">
        <f>'D-1'!N169</f>
        <v>43890</v>
      </c>
      <c r="G49" s="709"/>
      <c r="H49" s="709">
        <f t="shared" si="0"/>
        <v>1759459</v>
      </c>
    </row>
    <row r="50" spans="1:10" x14ac:dyDescent="0.2">
      <c r="A50" s="707">
        <f t="shared" si="1"/>
        <v>37</v>
      </c>
      <c r="B50" s="684">
        <v>881</v>
      </c>
      <c r="C50" s="691" t="s">
        <v>1567</v>
      </c>
      <c r="D50" s="709">
        <f>'Total Co Accts Activ C2.2B'!P49</f>
        <v>85757</v>
      </c>
      <c r="E50" s="709"/>
      <c r="F50" s="709">
        <f>'D-1'!N170</f>
        <v>-3600</v>
      </c>
      <c r="G50" s="709"/>
      <c r="H50" s="709">
        <f t="shared" si="0"/>
        <v>82157</v>
      </c>
    </row>
    <row r="51" spans="1:10" x14ac:dyDescent="0.2">
      <c r="A51" s="707">
        <f t="shared" si="1"/>
        <v>38</v>
      </c>
      <c r="B51" s="684">
        <v>885</v>
      </c>
      <c r="C51" s="691" t="s">
        <v>1559</v>
      </c>
      <c r="D51" s="709">
        <f>'Total Co Accts Activ C2.2B'!P50</f>
        <v>10353</v>
      </c>
      <c r="E51" s="709"/>
      <c r="F51" s="709">
        <f>'D-1'!N171</f>
        <v>867</v>
      </c>
      <c r="G51" s="709"/>
      <c r="H51" s="709">
        <f t="shared" si="0"/>
        <v>11220</v>
      </c>
    </row>
    <row r="52" spans="1:10" x14ac:dyDescent="0.2">
      <c r="A52" s="707">
        <f t="shared" si="1"/>
        <v>39</v>
      </c>
      <c r="B52" s="684">
        <v>886</v>
      </c>
      <c r="C52" s="691" t="s">
        <v>1568</v>
      </c>
      <c r="D52" s="709">
        <f>'Total Co Accts Activ C2.2B'!P51</f>
        <v>253472</v>
      </c>
      <c r="E52" s="709"/>
      <c r="F52" s="709">
        <f>'D-1'!N172</f>
        <v>875</v>
      </c>
      <c r="G52" s="709"/>
      <c r="H52" s="709">
        <f t="shared" si="0"/>
        <v>254347</v>
      </c>
    </row>
    <row r="53" spans="1:10" x14ac:dyDescent="0.2">
      <c r="A53" s="707">
        <f t="shared" si="1"/>
        <v>40</v>
      </c>
      <c r="B53" s="684">
        <v>887</v>
      </c>
      <c r="C53" s="691" t="s">
        <v>719</v>
      </c>
      <c r="D53" s="709">
        <f>'Total Co Accts Activ C2.2B'!P52</f>
        <v>3031716</v>
      </c>
      <c r="E53" s="709"/>
      <c r="F53" s="709">
        <f>'D-1'!N173</f>
        <v>96714</v>
      </c>
      <c r="G53" s="709"/>
      <c r="H53" s="709">
        <f t="shared" si="0"/>
        <v>3128430</v>
      </c>
    </row>
    <row r="54" spans="1:10" x14ac:dyDescent="0.2">
      <c r="A54" s="707">
        <f t="shared" si="1"/>
        <v>41</v>
      </c>
      <c r="B54" s="684">
        <v>889</v>
      </c>
      <c r="C54" s="691" t="s">
        <v>1562</v>
      </c>
      <c r="D54" s="709">
        <f>'Total Co Accts Activ C2.2B'!P53</f>
        <v>269555</v>
      </c>
      <c r="E54" s="709"/>
      <c r="F54" s="709">
        <f>'D-1'!N174</f>
        <v>13775</v>
      </c>
      <c r="G54" s="709"/>
      <c r="H54" s="709">
        <f t="shared" si="0"/>
        <v>283330</v>
      </c>
    </row>
    <row r="55" spans="1:10" x14ac:dyDescent="0.2">
      <c r="A55" s="707">
        <f t="shared" si="1"/>
        <v>42</v>
      </c>
      <c r="B55" s="684">
        <v>890</v>
      </c>
      <c r="C55" s="691" t="s">
        <v>1563</v>
      </c>
      <c r="D55" s="709">
        <f>'Total Co Accts Activ C2.2B'!P54</f>
        <v>69705</v>
      </c>
      <c r="E55" s="709"/>
      <c r="F55" s="709">
        <f>'D-1'!N175</f>
        <v>1594</v>
      </c>
      <c r="G55" s="709"/>
      <c r="H55" s="709">
        <f t="shared" si="0"/>
        <v>71299</v>
      </c>
    </row>
    <row r="56" spans="1:10" x14ac:dyDescent="0.2">
      <c r="A56" s="707"/>
      <c r="B56" s="684"/>
      <c r="C56" s="691"/>
      <c r="D56" s="713"/>
      <c r="E56" s="713"/>
      <c r="F56" s="713"/>
      <c r="G56" s="713"/>
      <c r="H56" s="713"/>
      <c r="J56" s="2001"/>
    </row>
    <row r="57" spans="1:10" x14ac:dyDescent="0.2">
      <c r="A57" s="2132" t="str">
        <f>A1</f>
        <v>COLUMBIA GAS OF KENTUCKY, INC.</v>
      </c>
      <c r="B57" s="2132"/>
      <c r="C57" s="2133"/>
      <c r="D57" s="2133"/>
      <c r="E57" s="2133"/>
      <c r="F57" s="2133"/>
      <c r="G57" s="2133"/>
      <c r="H57" s="2133"/>
    </row>
    <row r="58" spans="1:10" x14ac:dyDescent="0.2">
      <c r="A58" s="2132" t="str">
        <f>case</f>
        <v>CASE NO. 2016 - 00162</v>
      </c>
      <c r="B58" s="2132"/>
      <c r="C58" s="2133"/>
      <c r="D58" s="2133"/>
      <c r="E58" s="2133"/>
      <c r="F58" s="2133"/>
      <c r="G58" s="2133"/>
      <c r="H58" s="2133"/>
    </row>
    <row r="59" spans="1:10" x14ac:dyDescent="0.2">
      <c r="A59" s="2132" t="str">
        <f>A3</f>
        <v>COMPARISON OF TOTAL COMPANY ACCOUNT ACTIVITY - ADJUSTED</v>
      </c>
      <c r="B59" s="2132"/>
      <c r="C59" s="2133"/>
      <c r="D59" s="2133"/>
      <c r="E59" s="2133"/>
      <c r="F59" s="2133"/>
      <c r="G59" s="2133"/>
      <c r="H59" s="2133"/>
    </row>
    <row r="60" spans="1:10" x14ac:dyDescent="0.2">
      <c r="A60" s="2132" t="str">
        <f>A4</f>
        <v>FORECAST PERIOD: TWELVE MONTHS ENDED DECEMBER 31, 2017</v>
      </c>
      <c r="B60" s="2132"/>
      <c r="C60" s="2133"/>
      <c r="D60" s="2133"/>
      <c r="E60" s="2133"/>
      <c r="F60" s="2133"/>
      <c r="G60" s="2133"/>
      <c r="H60" s="2133"/>
    </row>
    <row r="61" spans="1:10" x14ac:dyDescent="0.2">
      <c r="A61" s="684"/>
      <c r="B61" s="684"/>
      <c r="C61" s="685"/>
      <c r="D61" s="685"/>
      <c r="E61" s="685"/>
      <c r="F61" s="685"/>
      <c r="G61" s="685"/>
      <c r="H61" s="685"/>
    </row>
    <row r="62" spans="1:10" x14ac:dyDescent="0.2">
      <c r="A62" s="690" t="s">
        <v>1118</v>
      </c>
      <c r="B62" s="690"/>
      <c r="C62" s="686"/>
      <c r="D62" s="686"/>
      <c r="E62" s="686"/>
      <c r="F62" s="686"/>
      <c r="G62" s="686"/>
      <c r="H62" s="686"/>
    </row>
    <row r="63" spans="1:10" x14ac:dyDescent="0.2">
      <c r="A63" s="690" t="s">
        <v>977</v>
      </c>
      <c r="B63" s="690"/>
      <c r="C63" s="686"/>
      <c r="D63" s="686"/>
      <c r="E63" s="686"/>
      <c r="F63" s="686"/>
      <c r="G63" s="686"/>
      <c r="H63" s="686"/>
    </row>
    <row r="64" spans="1:10" x14ac:dyDescent="0.2">
      <c r="A64" s="694" t="s">
        <v>996</v>
      </c>
      <c r="B64" s="694"/>
      <c r="C64" s="695"/>
      <c r="D64" s="695"/>
      <c r="E64" s="695"/>
      <c r="F64" s="695"/>
      <c r="G64" s="695"/>
      <c r="H64" s="695"/>
    </row>
    <row r="65" spans="1:8" x14ac:dyDescent="0.2">
      <c r="A65" s="698" t="s">
        <v>1080</v>
      </c>
      <c r="B65" s="699"/>
      <c r="C65" s="699"/>
      <c r="D65" s="684" t="str">
        <f>D9</f>
        <v>Forecasted</v>
      </c>
      <c r="E65" s="684"/>
      <c r="F65" s="684" t="str">
        <f>F9</f>
        <v>Adj D-2.4</v>
      </c>
      <c r="G65" s="684"/>
      <c r="H65" s="684" t="str">
        <f>H9</f>
        <v>Forecasted</v>
      </c>
    </row>
    <row r="66" spans="1:8" x14ac:dyDescent="0.2">
      <c r="A66" s="1378"/>
      <c r="B66" s="1379"/>
      <c r="C66" s="1379"/>
      <c r="D66" s="684" t="str">
        <f>D10</f>
        <v>Test Year</v>
      </c>
      <c r="E66" s="684"/>
      <c r="F66" s="684"/>
      <c r="G66" s="684"/>
      <c r="H66" s="684"/>
    </row>
    <row r="67" spans="1:8" x14ac:dyDescent="0.2">
      <c r="A67" s="702" t="s">
        <v>1081</v>
      </c>
      <c r="B67" s="702" t="s">
        <v>1518</v>
      </c>
      <c r="C67" s="702" t="s">
        <v>1519</v>
      </c>
      <c r="D67" s="714" t="str">
        <f>D11</f>
        <v>Unadjusted</v>
      </c>
      <c r="E67" s="714"/>
      <c r="F67" s="714" t="str">
        <f>F11</f>
        <v>Adjustments</v>
      </c>
      <c r="G67" s="714"/>
      <c r="H67" s="714" t="str">
        <f>H11</f>
        <v>Adjusted</v>
      </c>
    </row>
    <row r="68" spans="1:8" x14ac:dyDescent="0.2">
      <c r="A68" s="686"/>
      <c r="B68" s="686"/>
      <c r="C68" s="686"/>
      <c r="D68" s="706" t="s">
        <v>639</v>
      </c>
      <c r="E68" s="706"/>
      <c r="F68" s="706" t="s">
        <v>639</v>
      </c>
      <c r="G68" s="706"/>
      <c r="H68" s="706" t="s">
        <v>639</v>
      </c>
    </row>
    <row r="69" spans="1:8" x14ac:dyDescent="0.2">
      <c r="A69" s="686"/>
      <c r="B69" s="686"/>
      <c r="C69" s="686"/>
      <c r="D69" s="706"/>
      <c r="E69" s="706"/>
      <c r="F69" s="706"/>
      <c r="G69" s="706"/>
      <c r="H69" s="706"/>
    </row>
    <row r="70" spans="1:8" x14ac:dyDescent="0.2">
      <c r="A70" s="707">
        <v>1</v>
      </c>
      <c r="B70" s="684" t="s">
        <v>1431</v>
      </c>
      <c r="C70" s="691" t="s">
        <v>724</v>
      </c>
      <c r="D70" s="709">
        <f>'Total Co Accts Activ C2.2B'!P68</f>
        <v>699761</v>
      </c>
      <c r="E70" s="709"/>
      <c r="F70" s="709">
        <f>'D-1'!N176</f>
        <v>30147</v>
      </c>
      <c r="G70" s="709"/>
      <c r="H70" s="709">
        <f t="shared" ref="H70:H100" si="2">D70+F70</f>
        <v>729908</v>
      </c>
    </row>
    <row r="71" spans="1:8" x14ac:dyDescent="0.2">
      <c r="A71" s="707">
        <f>A70+1</f>
        <v>2</v>
      </c>
      <c r="B71" s="684" t="s">
        <v>1433</v>
      </c>
      <c r="C71" s="691" t="s">
        <v>1569</v>
      </c>
      <c r="D71" s="709">
        <f>'Total Co Accts Activ C2.2B'!P69</f>
        <v>143039</v>
      </c>
      <c r="E71" s="709"/>
      <c r="F71" s="709">
        <f>'D-1'!N177</f>
        <v>1988</v>
      </c>
      <c r="G71" s="709"/>
      <c r="H71" s="709">
        <f t="shared" si="2"/>
        <v>145027</v>
      </c>
    </row>
    <row r="72" spans="1:8" x14ac:dyDescent="0.2">
      <c r="A72" s="707">
        <f t="shared" ref="A72:A100" si="3">A71+1</f>
        <v>3</v>
      </c>
      <c r="B72" s="684" t="s">
        <v>1435</v>
      </c>
      <c r="C72" s="691" t="s">
        <v>1570</v>
      </c>
      <c r="D72" s="709">
        <f>'Total Co Accts Activ C2.2B'!P70</f>
        <v>311841</v>
      </c>
      <c r="E72" s="709"/>
      <c r="F72" s="709">
        <f>'D-1'!N178</f>
        <v>11912</v>
      </c>
      <c r="G72" s="709"/>
      <c r="H72" s="709">
        <f t="shared" si="2"/>
        <v>323753</v>
      </c>
    </row>
    <row r="73" spans="1:8" x14ac:dyDescent="0.2">
      <c r="A73" s="707">
        <f t="shared" si="3"/>
        <v>4</v>
      </c>
      <c r="B73" s="684" t="s">
        <v>1440</v>
      </c>
      <c r="C73" s="691" t="s">
        <v>1571</v>
      </c>
      <c r="D73" s="709">
        <f>'Total Co Accts Activ C2.2B'!P71</f>
        <v>0</v>
      </c>
      <c r="E73" s="709"/>
      <c r="F73" s="709">
        <f>'D-1'!N179</f>
        <v>0</v>
      </c>
      <c r="G73" s="709"/>
      <c r="H73" s="709">
        <f t="shared" si="2"/>
        <v>0</v>
      </c>
    </row>
    <row r="74" spans="1:8" x14ac:dyDescent="0.2">
      <c r="A74" s="707">
        <f t="shared" si="3"/>
        <v>5</v>
      </c>
      <c r="B74" s="684" t="s">
        <v>1442</v>
      </c>
      <c r="C74" s="691" t="s">
        <v>1572</v>
      </c>
      <c r="D74" s="709">
        <f>'Total Co Accts Activ C2.2B'!P72</f>
        <v>547130</v>
      </c>
      <c r="E74" s="709"/>
      <c r="F74" s="709">
        <f>'D-1'!N180</f>
        <v>17703</v>
      </c>
      <c r="G74" s="709"/>
      <c r="H74" s="709">
        <f t="shared" si="2"/>
        <v>564833</v>
      </c>
    </row>
    <row r="75" spans="1:8" x14ac:dyDescent="0.2">
      <c r="A75" s="707">
        <f t="shared" si="3"/>
        <v>6</v>
      </c>
      <c r="B75" s="684" t="s">
        <v>1444</v>
      </c>
      <c r="C75" s="710" t="s">
        <v>1573</v>
      </c>
      <c r="D75" s="709">
        <f>'Total Co Accts Activ C2.2B'!P73</f>
        <v>3649038</v>
      </c>
      <c r="E75" s="709"/>
      <c r="F75" s="709">
        <f>'D-1'!N181</f>
        <v>296430</v>
      </c>
      <c r="G75" s="709"/>
      <c r="H75" s="709">
        <f t="shared" si="2"/>
        <v>3945468</v>
      </c>
    </row>
    <row r="76" spans="1:8" x14ac:dyDescent="0.2">
      <c r="A76" s="707">
        <f t="shared" si="3"/>
        <v>7</v>
      </c>
      <c r="B76" s="684" t="s">
        <v>1446</v>
      </c>
      <c r="C76" s="691" t="s">
        <v>1574</v>
      </c>
      <c r="D76" s="709">
        <f>'Total Co Accts Activ C2.2B'!P74</f>
        <v>1655463</v>
      </c>
      <c r="E76" s="709"/>
      <c r="F76" s="709">
        <f>'D-1'!N182</f>
        <v>-627878</v>
      </c>
      <c r="G76" s="709"/>
      <c r="H76" s="709">
        <f t="shared" si="2"/>
        <v>1027585</v>
      </c>
    </row>
    <row r="77" spans="1:8" x14ac:dyDescent="0.2">
      <c r="A77" s="707">
        <f t="shared" si="3"/>
        <v>8</v>
      </c>
      <c r="B77" s="684" t="s">
        <v>1448</v>
      </c>
      <c r="C77" s="691" t="s">
        <v>1575</v>
      </c>
      <c r="D77" s="709">
        <f>'Total Co Accts Activ C2.2B'!P75</f>
        <v>1081</v>
      </c>
      <c r="E77" s="709"/>
      <c r="F77" s="709">
        <f>'D-1'!N183</f>
        <v>-8</v>
      </c>
      <c r="G77" s="709"/>
      <c r="H77" s="709">
        <f t="shared" si="2"/>
        <v>1073</v>
      </c>
    </row>
    <row r="78" spans="1:8" x14ac:dyDescent="0.2">
      <c r="A78" s="707">
        <f t="shared" si="3"/>
        <v>9</v>
      </c>
      <c r="B78" s="684" t="s">
        <v>1454</v>
      </c>
      <c r="C78" s="691" t="s">
        <v>1571</v>
      </c>
      <c r="D78" s="709">
        <f>'Total Co Accts Activ C2.2B'!P76</f>
        <v>22212</v>
      </c>
      <c r="E78" s="709"/>
      <c r="F78" s="709">
        <f>'D-1'!N184</f>
        <v>-25001</v>
      </c>
      <c r="G78" s="709"/>
      <c r="H78" s="709">
        <f t="shared" si="2"/>
        <v>-2789</v>
      </c>
    </row>
    <row r="79" spans="1:8" x14ac:dyDescent="0.2">
      <c r="A79" s="707">
        <f t="shared" si="3"/>
        <v>10</v>
      </c>
      <c r="B79" s="684" t="s">
        <v>1455</v>
      </c>
      <c r="C79" s="691" t="s">
        <v>1576</v>
      </c>
      <c r="D79" s="709">
        <f>'Total Co Accts Activ C2.2B'!P77</f>
        <v>1325046</v>
      </c>
      <c r="E79" s="709"/>
      <c r="F79" s="709">
        <f>'D-1'!N185</f>
        <v>-113093</v>
      </c>
      <c r="G79" s="709"/>
      <c r="H79" s="709">
        <f t="shared" si="2"/>
        <v>1211953</v>
      </c>
    </row>
    <row r="80" spans="1:8" x14ac:dyDescent="0.2">
      <c r="A80" s="707">
        <f t="shared" si="3"/>
        <v>11</v>
      </c>
      <c r="B80" s="684" t="s">
        <v>1457</v>
      </c>
      <c r="C80" s="691" t="s">
        <v>1577</v>
      </c>
      <c r="D80" s="709">
        <f>'Total Co Accts Activ C2.2B'!P78</f>
        <v>66405</v>
      </c>
      <c r="E80" s="709"/>
      <c r="F80" s="709">
        <f>'D-1'!N186</f>
        <v>-473</v>
      </c>
      <c r="G80" s="709"/>
      <c r="H80" s="709">
        <f t="shared" si="2"/>
        <v>65932</v>
      </c>
    </row>
    <row r="81" spans="1:11" x14ac:dyDescent="0.2">
      <c r="A81" s="707">
        <f t="shared" si="3"/>
        <v>12</v>
      </c>
      <c r="B81" s="684" t="s">
        <v>1459</v>
      </c>
      <c r="C81" s="691" t="s">
        <v>1578</v>
      </c>
      <c r="D81" s="709">
        <f>'Total Co Accts Activ C2.2B'!P79</f>
        <v>265269</v>
      </c>
      <c r="E81" s="709"/>
      <c r="F81" s="709">
        <f>'D-1'!N187</f>
        <v>-7472</v>
      </c>
      <c r="G81" s="709"/>
      <c r="H81" s="709">
        <f t="shared" si="2"/>
        <v>257797</v>
      </c>
    </row>
    <row r="82" spans="1:11" x14ac:dyDescent="0.2">
      <c r="A82" s="707">
        <f t="shared" si="3"/>
        <v>13</v>
      </c>
      <c r="B82" s="684" t="s">
        <v>1463</v>
      </c>
      <c r="C82" s="691" t="s">
        <v>1571</v>
      </c>
      <c r="D82" s="709">
        <f>'Total Co Accts Activ C2.2B'!P80</f>
        <v>0</v>
      </c>
      <c r="E82" s="709"/>
      <c r="F82" s="709">
        <f>'D-1'!N188</f>
        <v>0</v>
      </c>
      <c r="G82" s="709"/>
      <c r="H82" s="709">
        <f t="shared" si="2"/>
        <v>0</v>
      </c>
    </row>
    <row r="83" spans="1:11" ht="12" customHeight="1" x14ac:dyDescent="0.2">
      <c r="A83" s="707">
        <f t="shared" si="3"/>
        <v>14</v>
      </c>
      <c r="B83" s="684" t="s">
        <v>1464</v>
      </c>
      <c r="C83" s="691" t="s">
        <v>1579</v>
      </c>
      <c r="D83" s="709">
        <f>'Total Co Accts Activ C2.2B'!P81</f>
        <v>54506</v>
      </c>
      <c r="E83" s="709"/>
      <c r="F83" s="709">
        <f>'D-1'!N189</f>
        <v>-17029</v>
      </c>
      <c r="G83" s="709"/>
      <c r="H83" s="709">
        <f t="shared" si="2"/>
        <v>37477</v>
      </c>
    </row>
    <row r="84" spans="1:11" ht="12" customHeight="1" x14ac:dyDescent="0.2">
      <c r="A84" s="707">
        <f t="shared" si="3"/>
        <v>15</v>
      </c>
      <c r="B84" s="684" t="s">
        <v>1466</v>
      </c>
      <c r="C84" s="691" t="s">
        <v>1580</v>
      </c>
      <c r="D84" s="709">
        <f>'Total Co Accts Activ C2.2B'!P82</f>
        <v>180829</v>
      </c>
      <c r="E84" s="709"/>
      <c r="F84" s="709">
        <f>'D-1'!N190</f>
        <v>-42123</v>
      </c>
      <c r="G84" s="709"/>
      <c r="H84" s="709">
        <f t="shared" si="2"/>
        <v>138706</v>
      </c>
    </row>
    <row r="85" spans="1:11" ht="12" customHeight="1" x14ac:dyDescent="0.2">
      <c r="A85" s="707">
        <f>A88+1</f>
        <v>17</v>
      </c>
      <c r="B85" s="684" t="s">
        <v>1472</v>
      </c>
      <c r="C85" s="691" t="s">
        <v>1582</v>
      </c>
      <c r="D85" s="709">
        <f>'Total Co Accts Activ C2.2B'!P83</f>
        <v>4428466</v>
      </c>
      <c r="E85" s="709"/>
      <c r="F85" s="709">
        <f>'D-1'!N191</f>
        <v>132820</v>
      </c>
      <c r="G85" s="709"/>
      <c r="H85" s="709">
        <f t="shared" si="2"/>
        <v>4561286</v>
      </c>
    </row>
    <row r="86" spans="1:11" ht="12" customHeight="1" x14ac:dyDescent="0.2">
      <c r="A86" s="707">
        <f t="shared" si="3"/>
        <v>18</v>
      </c>
      <c r="B86" s="684" t="s">
        <v>1474</v>
      </c>
      <c r="C86" s="691" t="s">
        <v>1583</v>
      </c>
      <c r="D86" s="709">
        <f>'Total Co Accts Activ C2.2B'!P84</f>
        <v>253</v>
      </c>
      <c r="E86" s="709"/>
      <c r="F86" s="1380">
        <v>0</v>
      </c>
      <c r="G86" s="709"/>
      <c r="H86" s="709">
        <f t="shared" si="2"/>
        <v>253</v>
      </c>
      <c r="J86" s="689"/>
      <c r="K86" s="689"/>
    </row>
    <row r="87" spans="1:11" ht="12" customHeight="1" x14ac:dyDescent="0.2">
      <c r="A87" s="707">
        <f t="shared" si="3"/>
        <v>19</v>
      </c>
      <c r="B87" s="684" t="s">
        <v>1474</v>
      </c>
      <c r="C87" s="691" t="s">
        <v>1584</v>
      </c>
      <c r="D87" s="709">
        <f>'Total Co Accts Activ C2.2B'!P85</f>
        <v>13868</v>
      </c>
      <c r="E87" s="709"/>
      <c r="F87" s="1380">
        <v>0</v>
      </c>
      <c r="G87" s="709"/>
      <c r="H87" s="709">
        <f t="shared" si="2"/>
        <v>13868</v>
      </c>
      <c r="J87" s="689"/>
      <c r="K87" s="689"/>
    </row>
    <row r="88" spans="1:11" ht="12" customHeight="1" x14ac:dyDescent="0.2">
      <c r="A88" s="707">
        <f>A84+1</f>
        <v>16</v>
      </c>
      <c r="B88" s="684" t="s">
        <v>1474</v>
      </c>
      <c r="C88" s="691" t="s">
        <v>1581</v>
      </c>
      <c r="D88" s="709">
        <f>'Total Co Accts Activ C2.2B'!P86</f>
        <v>910108</v>
      </c>
      <c r="E88" s="709"/>
      <c r="F88" s="709">
        <f>'D-1'!N192</f>
        <v>-15430</v>
      </c>
      <c r="G88" s="709"/>
      <c r="H88" s="709">
        <f>D88+F88</f>
        <v>894678</v>
      </c>
      <c r="J88" s="689"/>
      <c r="K88" s="689"/>
    </row>
    <row r="89" spans="1:11" ht="12" customHeight="1" x14ac:dyDescent="0.2">
      <c r="A89" s="707">
        <f>A87+1</f>
        <v>20</v>
      </c>
      <c r="B89" s="684" t="s">
        <v>1475</v>
      </c>
      <c r="C89" s="691" t="s">
        <v>1585</v>
      </c>
      <c r="D89" s="709">
        <f>'Total Co Accts Activ C2.2B'!P87</f>
        <v>7929990.4399600001</v>
      </c>
      <c r="E89" s="709"/>
      <c r="F89" s="709">
        <f>'D-1'!N193</f>
        <v>-55565</v>
      </c>
      <c r="G89" s="709"/>
      <c r="H89" s="709">
        <f t="shared" si="2"/>
        <v>7874425.4399600001</v>
      </c>
      <c r="J89" s="689"/>
      <c r="K89" s="689"/>
    </row>
    <row r="90" spans="1:11" ht="12" customHeight="1" x14ac:dyDescent="0.2">
      <c r="A90" s="707">
        <f t="shared" si="3"/>
        <v>21</v>
      </c>
      <c r="B90" s="684" t="s">
        <v>1477</v>
      </c>
      <c r="C90" s="691" t="s">
        <v>1586</v>
      </c>
      <c r="D90" s="709">
        <f>'Total Co Accts Activ C2.2B'!P88</f>
        <v>81748</v>
      </c>
      <c r="E90" s="709"/>
      <c r="F90" s="709">
        <f>'D-1'!N194</f>
        <v>0</v>
      </c>
      <c r="G90" s="709"/>
      <c r="H90" s="709">
        <f t="shared" si="2"/>
        <v>81748</v>
      </c>
      <c r="J90" s="689"/>
      <c r="K90" s="689"/>
    </row>
    <row r="91" spans="1:11" ht="12" customHeight="1" x14ac:dyDescent="0.2">
      <c r="A91" s="707">
        <f t="shared" si="3"/>
        <v>22</v>
      </c>
      <c r="B91" s="684" t="s">
        <v>1479</v>
      </c>
      <c r="C91" s="691" t="s">
        <v>1587</v>
      </c>
      <c r="D91" s="709">
        <f>'Total Co Accts Activ C2.2B'!P89</f>
        <v>1044557</v>
      </c>
      <c r="E91" s="709"/>
      <c r="F91" s="709">
        <f>'D-1'!N195</f>
        <v>-362</v>
      </c>
      <c r="G91" s="709"/>
      <c r="H91" s="709">
        <f t="shared" si="2"/>
        <v>1044195</v>
      </c>
      <c r="J91" s="689"/>
      <c r="K91" s="689"/>
    </row>
    <row r="92" spans="1:11" ht="12" customHeight="1" x14ac:dyDescent="0.2">
      <c r="A92" s="707">
        <f t="shared" si="3"/>
        <v>23</v>
      </c>
      <c r="B92" s="684" t="s">
        <v>1481</v>
      </c>
      <c r="C92" s="691" t="s">
        <v>1588</v>
      </c>
      <c r="D92" s="709">
        <f>'Total Co Accts Activ C2.2B'!P90</f>
        <v>3543380</v>
      </c>
      <c r="E92" s="709"/>
      <c r="F92" s="709">
        <f>'D-1'!N196</f>
        <v>-194199</v>
      </c>
      <c r="G92" s="709"/>
      <c r="H92" s="709">
        <f t="shared" si="2"/>
        <v>3349181</v>
      </c>
      <c r="J92" s="689"/>
      <c r="K92" s="689"/>
    </row>
    <row r="93" spans="1:11" ht="12" customHeight="1" x14ac:dyDescent="0.2">
      <c r="A93" s="707">
        <f t="shared" si="3"/>
        <v>24</v>
      </c>
      <c r="B93" s="684" t="s">
        <v>1483</v>
      </c>
      <c r="C93" s="691" t="s">
        <v>1589</v>
      </c>
      <c r="D93" s="709">
        <f>'Total Co Accts Activ C2.2B'!P91</f>
        <v>0</v>
      </c>
      <c r="E93" s="708"/>
      <c r="F93" s="709">
        <f>'D-1'!N210</f>
        <v>0</v>
      </c>
      <c r="G93" s="708"/>
      <c r="H93" s="709">
        <f t="shared" si="2"/>
        <v>0</v>
      </c>
      <c r="J93" s="689"/>
      <c r="K93" s="689"/>
    </row>
    <row r="94" spans="1:11" ht="12" customHeight="1" x14ac:dyDescent="0.2">
      <c r="A94" s="707">
        <f t="shared" si="3"/>
        <v>25</v>
      </c>
      <c r="B94" s="684" t="s">
        <v>1485</v>
      </c>
      <c r="C94" s="691" t="s">
        <v>1590</v>
      </c>
      <c r="D94" s="709">
        <f>'Total Co Accts Activ C2.2B'!P92</f>
        <v>239863</v>
      </c>
      <c r="E94" s="709"/>
      <c r="F94" s="709">
        <f>'D-1'!N211</f>
        <v>136373</v>
      </c>
      <c r="G94" s="709"/>
      <c r="H94" s="709">
        <f t="shared" si="2"/>
        <v>376236</v>
      </c>
      <c r="J94" s="689"/>
      <c r="K94" s="689"/>
    </row>
    <row r="95" spans="1:11" ht="12" customHeight="1" x14ac:dyDescent="0.2">
      <c r="A95" s="707">
        <f t="shared" si="3"/>
        <v>26</v>
      </c>
      <c r="B95" s="684" t="s">
        <v>1487</v>
      </c>
      <c r="C95" s="691" t="s">
        <v>1591</v>
      </c>
      <c r="D95" s="709">
        <f>'Total Co Accts Activ C2.2B'!P93</f>
        <v>0</v>
      </c>
      <c r="E95" s="708"/>
      <c r="F95" s="709">
        <f>'D-1'!N212</f>
        <v>0</v>
      </c>
      <c r="G95" s="708"/>
      <c r="H95" s="709">
        <f t="shared" si="2"/>
        <v>0</v>
      </c>
      <c r="J95" s="689"/>
      <c r="K95" s="689"/>
    </row>
    <row r="96" spans="1:11" ht="12" customHeight="1" x14ac:dyDescent="0.2">
      <c r="A96" s="707">
        <f t="shared" si="3"/>
        <v>27</v>
      </c>
      <c r="B96" s="684" t="s">
        <v>1489</v>
      </c>
      <c r="C96" s="691" t="s">
        <v>1592</v>
      </c>
      <c r="D96" s="709">
        <f>'Total Co Accts Activ C2.2B'!P94</f>
        <v>-61662</v>
      </c>
      <c r="E96" s="709"/>
      <c r="F96" s="709">
        <f>'D-1'!N213</f>
        <v>-1310</v>
      </c>
      <c r="G96" s="709"/>
      <c r="H96" s="709">
        <f t="shared" si="2"/>
        <v>-62972</v>
      </c>
      <c r="J96" s="689"/>
      <c r="K96" s="689"/>
    </row>
    <row r="97" spans="1:11" ht="12" customHeight="1" x14ac:dyDescent="0.2">
      <c r="A97" s="707">
        <f t="shared" si="3"/>
        <v>28</v>
      </c>
      <c r="B97" s="684" t="s">
        <v>1491</v>
      </c>
      <c r="C97" s="691" t="s">
        <v>1593</v>
      </c>
      <c r="D97" s="709">
        <f>'Total Co Accts Activ C2.2B'!P95</f>
        <v>646910</v>
      </c>
      <c r="E97" s="709"/>
      <c r="F97" s="709">
        <f>'D-1'!N214</f>
        <v>-4735</v>
      </c>
      <c r="G97" s="709"/>
      <c r="H97" s="709">
        <f t="shared" si="2"/>
        <v>642175</v>
      </c>
      <c r="J97" s="689"/>
      <c r="K97" s="689"/>
    </row>
    <row r="98" spans="1:11" ht="12" customHeight="1" x14ac:dyDescent="0.2">
      <c r="A98" s="707">
        <f t="shared" si="3"/>
        <v>29</v>
      </c>
      <c r="B98" s="1578">
        <v>932</v>
      </c>
      <c r="C98" s="710" t="s">
        <v>2104</v>
      </c>
      <c r="D98" s="709">
        <f>'Total Co Accts Activ C2.2B'!P96</f>
        <v>249393</v>
      </c>
      <c r="E98" s="709"/>
      <c r="F98" s="709">
        <f>'D-1'!N215</f>
        <v>9728</v>
      </c>
      <c r="G98" s="709"/>
      <c r="H98" s="709">
        <f t="shared" si="2"/>
        <v>259121</v>
      </c>
      <c r="J98" s="689"/>
      <c r="K98" s="689"/>
    </row>
    <row r="99" spans="1:11" ht="12" customHeight="1" x14ac:dyDescent="0.2">
      <c r="A99" s="707">
        <f>A101+1</f>
        <v>31</v>
      </c>
      <c r="B99" s="684" t="s">
        <v>1495</v>
      </c>
      <c r="C99" s="710" t="s">
        <v>1595</v>
      </c>
      <c r="D99" s="709">
        <f>'Total Co Accts Activ C2.2B'!P97</f>
        <v>0</v>
      </c>
      <c r="E99" s="709"/>
      <c r="F99" s="1380">
        <v>0</v>
      </c>
      <c r="G99" s="709"/>
      <c r="H99" s="709">
        <f t="shared" si="2"/>
        <v>0</v>
      </c>
      <c r="J99" s="689"/>
      <c r="K99" s="689"/>
    </row>
    <row r="100" spans="1:11" ht="12" customHeight="1" x14ac:dyDescent="0.2">
      <c r="A100" s="707">
        <f t="shared" si="3"/>
        <v>32</v>
      </c>
      <c r="B100" s="684" t="s">
        <v>1495</v>
      </c>
      <c r="C100" s="710" t="s">
        <v>1596</v>
      </c>
      <c r="D100" s="709">
        <f>'Total Co Accts Activ C2.2B'!P98</f>
        <v>0</v>
      </c>
      <c r="E100" s="709"/>
      <c r="F100" s="1380">
        <v>0</v>
      </c>
      <c r="G100" s="709"/>
      <c r="H100" s="709">
        <f t="shared" si="2"/>
        <v>0</v>
      </c>
      <c r="J100" s="689"/>
      <c r="K100" s="689"/>
    </row>
    <row r="101" spans="1:11" ht="12" customHeight="1" x14ac:dyDescent="0.2">
      <c r="A101" s="707">
        <f>A98+1</f>
        <v>30</v>
      </c>
      <c r="B101" s="684" t="s">
        <v>1495</v>
      </c>
      <c r="C101" s="710" t="s">
        <v>1594</v>
      </c>
      <c r="D101" s="709">
        <f>'Total Co Accts Activ C2.2B'!P99</f>
        <v>130</v>
      </c>
      <c r="E101" s="709"/>
      <c r="F101" s="709">
        <f>'D-1'!N216</f>
        <v>0</v>
      </c>
      <c r="G101" s="709"/>
      <c r="H101" s="709">
        <f>D101+F101</f>
        <v>130</v>
      </c>
      <c r="J101" s="689"/>
      <c r="K101" s="689"/>
    </row>
    <row r="102" spans="1:11" ht="12" customHeight="1" x14ac:dyDescent="0.2">
      <c r="A102" s="707"/>
      <c r="B102" s="684"/>
      <c r="C102" s="710"/>
      <c r="D102" s="709"/>
      <c r="E102" s="709"/>
      <c r="F102" s="709"/>
      <c r="G102" s="709"/>
      <c r="H102" s="709"/>
      <c r="J102" s="689"/>
      <c r="K102" s="689"/>
    </row>
    <row r="103" spans="1:11" ht="12" customHeight="1" thickBot="1" x14ac:dyDescent="0.25">
      <c r="A103" s="707">
        <f>A100+1</f>
        <v>33</v>
      </c>
      <c r="B103" s="684"/>
      <c r="C103" s="710" t="s">
        <v>1806</v>
      </c>
      <c r="D103" s="715">
        <f>SUM(D14:D55)+SUM(D70:D101)</f>
        <v>-6514891.3530049659</v>
      </c>
      <c r="E103" s="715"/>
      <c r="F103" s="715">
        <f>SUM(F14:F55)+SUM(F70:F101)</f>
        <v>1022724</v>
      </c>
      <c r="G103" s="715"/>
      <c r="H103" s="715">
        <f>SUM(H14:H55)+SUM(H70:H101)</f>
        <v>-5492167.3530049659</v>
      </c>
      <c r="J103" s="2001"/>
      <c r="K103" s="689"/>
    </row>
    <row r="104" spans="1:11" ht="12" customHeight="1" thickTop="1" x14ac:dyDescent="0.2">
      <c r="A104" s="707"/>
      <c r="B104" s="684"/>
      <c r="C104" s="710"/>
      <c r="D104" s="709"/>
      <c r="E104" s="709"/>
      <c r="F104" s="709"/>
      <c r="G104" s="709"/>
      <c r="H104" s="709"/>
      <c r="J104" s="2001"/>
      <c r="K104" s="689"/>
    </row>
    <row r="105" spans="1:11" ht="12" customHeight="1" x14ac:dyDescent="0.2">
      <c r="A105" s="707">
        <f>A103+1</f>
        <v>34</v>
      </c>
      <c r="B105" s="684" t="s">
        <v>1502</v>
      </c>
      <c r="C105" s="690" t="s">
        <v>401</v>
      </c>
      <c r="D105" s="709">
        <f>'Adj Operating Income Sum C-2'!I28</f>
        <v>-101004.63197960754</v>
      </c>
      <c r="E105" s="709"/>
      <c r="F105" s="709">
        <f>'Adj Operating Income Sum C-2'!K28</f>
        <v>-326862.59039999999</v>
      </c>
      <c r="G105" s="709"/>
      <c r="H105" s="709">
        <f>'Adj Operating Income Sum C-2'!M28</f>
        <v>-427867.22237960756</v>
      </c>
    </row>
    <row r="106" spans="1:11" ht="12" customHeight="1" x14ac:dyDescent="0.2">
      <c r="A106" s="707">
        <f>A105+1</f>
        <v>35</v>
      </c>
      <c r="B106" s="684" t="s">
        <v>1502</v>
      </c>
      <c r="C106" s="690" t="s">
        <v>399</v>
      </c>
      <c r="D106" s="709">
        <f>'Adj Operating Income Sum C-2'!I29</f>
        <v>-19020.258819701037</v>
      </c>
      <c r="E106" s="709"/>
      <c r="F106" s="709">
        <f>'Adj Operating Income Sum C-2'!K29</f>
        <v>-61363.44</v>
      </c>
      <c r="G106" s="709"/>
      <c r="H106" s="709">
        <f>'Adj Operating Income Sum C-2'!M29</f>
        <v>-80383.698819701036</v>
      </c>
    </row>
    <row r="107" spans="1:11" ht="12" customHeight="1" x14ac:dyDescent="0.2">
      <c r="A107" s="707"/>
      <c r="B107" s="684"/>
      <c r="C107" s="710"/>
      <c r="D107" s="709"/>
      <c r="E107" s="709"/>
      <c r="F107" s="709"/>
      <c r="G107" s="709"/>
      <c r="H107" s="709"/>
    </row>
    <row r="108" spans="1:11" ht="12" customHeight="1" thickBot="1" x14ac:dyDescent="0.25">
      <c r="A108" s="707">
        <f>A106+1</f>
        <v>36</v>
      </c>
      <c r="B108" s="684"/>
      <c r="C108" s="710" t="s">
        <v>1807</v>
      </c>
      <c r="D108" s="715">
        <f>D103+D105+D106</f>
        <v>-6634916.2438042751</v>
      </c>
      <c r="E108" s="715"/>
      <c r="F108" s="715">
        <f>F103+F105+F106</f>
        <v>634497.96959999995</v>
      </c>
      <c r="G108" s="715"/>
      <c r="H108" s="715">
        <f>H103+H105+H106</f>
        <v>-6000418.2742042737</v>
      </c>
    </row>
    <row r="109" spans="1:11" ht="12" customHeight="1" thickTop="1" x14ac:dyDescent="0.2">
      <c r="A109" s="686"/>
      <c r="B109" s="686"/>
      <c r="C109" s="686"/>
      <c r="D109" s="686"/>
      <c r="E109" s="686"/>
      <c r="F109" s="686"/>
      <c r="G109" s="686"/>
      <c r="H109" s="686"/>
    </row>
    <row r="110" spans="1:11" ht="12" customHeight="1" x14ac:dyDescent="0.2">
      <c r="A110" s="686"/>
      <c r="B110" s="686"/>
      <c r="C110" s="686"/>
      <c r="D110" s="686"/>
      <c r="E110" s="686"/>
      <c r="F110" s="686"/>
      <c r="G110" s="686"/>
      <c r="H110" s="686"/>
    </row>
    <row r="111" spans="1:11" ht="12" customHeight="1" x14ac:dyDescent="0.2">
      <c r="A111" s="686"/>
      <c r="B111" s="686"/>
      <c r="C111" s="686"/>
      <c r="D111" s="686"/>
      <c r="E111" s="686"/>
      <c r="F111" s="686"/>
      <c r="G111" s="686"/>
      <c r="H111" s="686"/>
    </row>
    <row r="112" spans="1:11" ht="12" customHeight="1" x14ac:dyDescent="0.2">
      <c r="A112" s="686"/>
      <c r="B112" s="686"/>
      <c r="C112" s="1383"/>
      <c r="D112" s="1383"/>
      <c r="E112" s="1383"/>
      <c r="F112" s="1383"/>
      <c r="G112" s="1383"/>
      <c r="H112" s="1383"/>
    </row>
    <row r="113" spans="1:8" ht="12" customHeight="1" x14ac:dyDescent="0.2">
      <c r="A113" s="686"/>
      <c r="B113" s="686"/>
      <c r="C113" s="2000"/>
      <c r="D113" s="1381"/>
      <c r="E113" s="1381"/>
      <c r="F113" s="1381"/>
      <c r="G113" s="1381"/>
      <c r="H113" s="1381"/>
    </row>
    <row r="114" spans="1:8" ht="12" customHeight="1" x14ac:dyDescent="0.2">
      <c r="A114" s="686"/>
      <c r="B114" s="686"/>
      <c r="C114" s="1383"/>
      <c r="D114" s="1381"/>
      <c r="E114" s="1381"/>
      <c r="F114" s="1381"/>
      <c r="G114" s="1381"/>
      <c r="H114" s="1381"/>
    </row>
    <row r="115" spans="1:8" ht="12" customHeight="1" x14ac:dyDescent="0.2">
      <c r="A115" s="686"/>
      <c r="B115" s="686"/>
      <c r="C115" s="1383"/>
      <c r="D115" s="1382"/>
      <c r="E115" s="1382"/>
      <c r="F115" s="1382"/>
      <c r="G115" s="1382"/>
      <c r="H115" s="1382"/>
    </row>
    <row r="116" spans="1:8" ht="12" customHeight="1" x14ac:dyDescent="0.2">
      <c r="A116" s="686"/>
      <c r="B116" s="686"/>
      <c r="C116" s="1383"/>
      <c r="D116" s="1381"/>
      <c r="E116" s="1381"/>
      <c r="F116" s="1381"/>
      <c r="G116" s="1381"/>
      <c r="H116" s="1381"/>
    </row>
    <row r="117" spans="1:8" ht="12" customHeight="1" x14ac:dyDescent="0.2">
      <c r="A117" s="686"/>
      <c r="B117" s="686"/>
      <c r="C117" s="1383"/>
      <c r="D117" s="1383"/>
      <c r="E117" s="1383"/>
      <c r="F117" s="1383"/>
      <c r="G117" s="1383"/>
      <c r="H117" s="1383"/>
    </row>
    <row r="118" spans="1:8" x14ac:dyDescent="0.2">
      <c r="C118" s="1384"/>
      <c r="D118" s="1384"/>
      <c r="E118" s="1384"/>
      <c r="F118" s="1384"/>
      <c r="G118" s="1384"/>
      <c r="H118" s="1384"/>
    </row>
    <row r="119" spans="1:8" x14ac:dyDescent="0.2">
      <c r="C119" s="1384"/>
      <c r="D119" s="1384"/>
      <c r="E119" s="1384"/>
      <c r="F119" s="1384"/>
      <c r="G119" s="1384"/>
      <c r="H119" s="1384"/>
    </row>
    <row r="120" spans="1:8" x14ac:dyDescent="0.2">
      <c r="C120" s="1384"/>
      <c r="D120" s="1385"/>
      <c r="E120" s="1385"/>
      <c r="F120" s="1385"/>
      <c r="G120" s="1385"/>
      <c r="H120" s="1385"/>
    </row>
    <row r="121" spans="1:8" x14ac:dyDescent="0.2">
      <c r="C121" s="1384"/>
      <c r="D121" s="1385"/>
      <c r="E121" s="1385"/>
      <c r="F121" s="1385"/>
      <c r="G121" s="1385"/>
      <c r="H121" s="1385"/>
    </row>
    <row r="122" spans="1:8" x14ac:dyDescent="0.2">
      <c r="C122" s="1384"/>
      <c r="D122" s="1385"/>
      <c r="E122" s="1385"/>
      <c r="F122" s="1385"/>
      <c r="G122" s="1385"/>
      <c r="H122" s="1385"/>
    </row>
    <row r="123" spans="1:8" x14ac:dyDescent="0.2">
      <c r="C123" s="1384"/>
      <c r="D123" s="1384"/>
      <c r="E123" s="1384"/>
      <c r="F123" s="1384"/>
      <c r="G123" s="1384"/>
      <c r="H123" s="1384"/>
    </row>
  </sheetData>
  <mergeCells count="8">
    <mergeCell ref="A59:H59"/>
    <mergeCell ref="A60:H60"/>
    <mergeCell ref="A1:H1"/>
    <mergeCell ref="A2:H2"/>
    <mergeCell ref="A3:H3"/>
    <mergeCell ref="A4:H4"/>
    <mergeCell ref="A57:H57"/>
    <mergeCell ref="A58:H58"/>
  </mergeCells>
  <printOptions horizontalCentered="1"/>
  <pageMargins left="0.5" right="0.5" top="1" bottom="0.75" header="0.5" footer="0.5"/>
  <pageSetup scale="65" orientation="landscape" r:id="rId1"/>
  <headerFooter alignWithMargins="0"/>
  <rowBreaks count="1" manualBreakCount="1">
    <brk id="56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T101"/>
  <sheetViews>
    <sheetView zoomScaleNormal="100" workbookViewId="0">
      <pane xSplit="2" ySplit="8" topLeftCell="C9" activePane="bottomRight" state="frozen"/>
      <selection activeCell="C27" sqref="C27"/>
      <selection pane="topRight" activeCell="C27" sqref="C27"/>
      <selection pane="bottomLeft" activeCell="C27" sqref="C27"/>
      <selection pane="bottomRight" activeCell="G67" sqref="G67"/>
    </sheetView>
  </sheetViews>
  <sheetFormatPr defaultColWidth="9.33203125" defaultRowHeight="11.25" x14ac:dyDescent="0.2"/>
  <cols>
    <col min="1" max="1" width="7.83203125" style="458" customWidth="1"/>
    <col min="2" max="2" width="30.33203125" style="458" bestFit="1" customWidth="1"/>
    <col min="3" max="4" width="13.1640625" style="458" bestFit="1" customWidth="1"/>
    <col min="5" max="5" width="13" style="458" customWidth="1"/>
    <col min="6" max="9" width="13.1640625" style="458" bestFit="1" customWidth="1"/>
    <col min="10" max="10" width="13.1640625" style="489" bestFit="1" customWidth="1"/>
    <col min="11" max="11" width="11.6640625" style="458" bestFit="1" customWidth="1"/>
    <col min="12" max="14" width="11.33203125" style="458" bestFit="1" customWidth="1"/>
    <col min="15" max="15" width="13.5" style="474" bestFit="1" customWidth="1"/>
    <col min="16" max="16" width="10.5" style="458" bestFit="1" customWidth="1"/>
    <col min="17" max="19" width="9.33203125" style="458"/>
    <col min="20" max="20" width="5.83203125" style="458" customWidth="1"/>
    <col min="21" max="16384" width="9.33203125" style="458"/>
  </cols>
  <sheetData>
    <row r="1" spans="1:15" x14ac:dyDescent="0.2">
      <c r="A1" s="458" t="s">
        <v>1123</v>
      </c>
    </row>
    <row r="2" spans="1:15" x14ac:dyDescent="0.2">
      <c r="A2" s="458" t="s">
        <v>173</v>
      </c>
    </row>
    <row r="3" spans="1:15" x14ac:dyDescent="0.2">
      <c r="A3" s="1640" t="s">
        <v>2038</v>
      </c>
      <c r="B3" s="802"/>
    </row>
    <row r="4" spans="1:15" x14ac:dyDescent="0.2">
      <c r="A4" s="803"/>
    </row>
    <row r="5" spans="1:15" x14ac:dyDescent="0.2">
      <c r="A5" s="804" t="s">
        <v>174</v>
      </c>
      <c r="B5" s="805"/>
    </row>
    <row r="6" spans="1:15" x14ac:dyDescent="0.2">
      <c r="A6" s="806" t="s">
        <v>175</v>
      </c>
      <c r="B6" s="807"/>
    </row>
    <row r="7" spans="1:15" x14ac:dyDescent="0.2">
      <c r="C7" s="2141" t="s">
        <v>176</v>
      </c>
      <c r="D7" s="2142"/>
      <c r="E7" s="2142"/>
      <c r="F7" s="2142"/>
      <c r="G7" s="2142"/>
      <c r="H7" s="2143"/>
    </row>
    <row r="8" spans="1:15" x14ac:dyDescent="0.2">
      <c r="A8" s="808" t="s">
        <v>1124</v>
      </c>
      <c r="B8" s="808" t="s">
        <v>177</v>
      </c>
      <c r="C8" s="1639">
        <v>42259</v>
      </c>
      <c r="D8" s="1639">
        <v>42289</v>
      </c>
      <c r="E8" s="1639">
        <v>42320</v>
      </c>
      <c r="F8" s="1639">
        <v>42350</v>
      </c>
      <c r="G8" s="1639">
        <v>42381</v>
      </c>
      <c r="H8" s="1639">
        <v>42412</v>
      </c>
      <c r="I8" s="1639">
        <v>42430</v>
      </c>
      <c r="J8" s="1639">
        <v>42461</v>
      </c>
      <c r="K8" s="1639">
        <v>42491</v>
      </c>
      <c r="L8" s="1639">
        <v>42522</v>
      </c>
      <c r="M8" s="1639">
        <v>42552</v>
      </c>
      <c r="N8" s="1639">
        <v>42583</v>
      </c>
      <c r="O8" s="809" t="s">
        <v>1194</v>
      </c>
    </row>
    <row r="9" spans="1:15" x14ac:dyDescent="0.2">
      <c r="A9" s="810">
        <v>717</v>
      </c>
      <c r="B9" s="458" t="s">
        <v>178</v>
      </c>
      <c r="C9" s="1621">
        <v>0</v>
      </c>
      <c r="D9" s="1621">
        <v>35.090000000000003</v>
      </c>
      <c r="E9" s="1621">
        <v>0</v>
      </c>
      <c r="F9" s="1621">
        <v>36.840000000000003</v>
      </c>
      <c r="G9" s="1621">
        <v>35.06</v>
      </c>
      <c r="H9" s="1621">
        <v>0</v>
      </c>
      <c r="I9" s="1109">
        <f>'Base TY Budget'!L9</f>
        <v>185</v>
      </c>
      <c r="J9" s="1109">
        <f>'Base TY Budget'!M9</f>
        <v>163</v>
      </c>
      <c r="K9" s="1109">
        <f>'Base TY Budget'!N9</f>
        <v>196</v>
      </c>
      <c r="L9" s="1109">
        <f>'Base TY Budget'!O9</f>
        <v>191</v>
      </c>
      <c r="M9" s="1109">
        <f>'Base TY Budget'!P9</f>
        <v>175</v>
      </c>
      <c r="N9" s="1109">
        <f>'Base TY Budget'!Q9</f>
        <v>175</v>
      </c>
      <c r="O9" s="473">
        <f>SUM(C9:N9)</f>
        <v>1191.99</v>
      </c>
    </row>
    <row r="10" spans="1:15" x14ac:dyDescent="0.2">
      <c r="A10" s="810">
        <v>807</v>
      </c>
      <c r="B10" s="458" t="s">
        <v>179</v>
      </c>
      <c r="C10" s="1621">
        <f>22053.73+5302.02</f>
        <v>27355.75</v>
      </c>
      <c r="D10" s="1621">
        <f>20489.08+5318.36</f>
        <v>25807.440000000002</v>
      </c>
      <c r="E10" s="1621">
        <f>23755.25+5194.37</f>
        <v>28949.62</v>
      </c>
      <c r="F10" s="1621">
        <f>22319.53+4875.92</f>
        <v>27195.449999999997</v>
      </c>
      <c r="G10" s="1621">
        <f>22417.8+5087.48</f>
        <v>27505.279999999999</v>
      </c>
      <c r="H10" s="1621">
        <f>23399.17+4979.62</f>
        <v>28378.789999999997</v>
      </c>
      <c r="I10" s="1109">
        <f>'Base TY Budget'!L17</f>
        <v>26572</v>
      </c>
      <c r="J10" s="1109">
        <f>'Base TY Budget'!M17</f>
        <v>25338</v>
      </c>
      <c r="K10" s="1109">
        <f>'Base TY Budget'!N17</f>
        <v>26021</v>
      </c>
      <c r="L10" s="1109">
        <f>'Base TY Budget'!O17</f>
        <v>27852</v>
      </c>
      <c r="M10" s="1109">
        <f>'Base TY Budget'!P17</f>
        <v>27116</v>
      </c>
      <c r="N10" s="1109">
        <f>'Base TY Budget'!Q17</f>
        <v>26616</v>
      </c>
      <c r="O10" s="473">
        <f t="shared" ref="O10:O19" si="0">SUM(C10:N10)</f>
        <v>324707.32999999996</v>
      </c>
    </row>
    <row r="11" spans="1:15" x14ac:dyDescent="0.2">
      <c r="A11" s="810">
        <v>870</v>
      </c>
      <c r="B11" s="458" t="s">
        <v>180</v>
      </c>
      <c r="C11" s="1621">
        <v>77061.490000000005</v>
      </c>
      <c r="D11" s="1621">
        <v>80947.09</v>
      </c>
      <c r="E11" s="1621">
        <v>-6823.21</v>
      </c>
      <c r="F11" s="1621">
        <v>123553.5</v>
      </c>
      <c r="G11" s="1621">
        <v>44357.07</v>
      </c>
      <c r="H11" s="1621">
        <v>-45150.46</v>
      </c>
      <c r="I11" s="1109">
        <f>'Base TY Budget'!L20</f>
        <v>67988</v>
      </c>
      <c r="J11" s="1109">
        <f>'Base TY Budget'!M20</f>
        <v>65394</v>
      </c>
      <c r="K11" s="1109">
        <f>'Base TY Budget'!N20</f>
        <v>66720</v>
      </c>
      <c r="L11" s="1109">
        <f>'Base TY Budget'!O20</f>
        <v>71187</v>
      </c>
      <c r="M11" s="1109">
        <f>'Base TY Budget'!P20</f>
        <v>69122</v>
      </c>
      <c r="N11" s="1109">
        <f>'Base TY Budget'!Q20</f>
        <v>68014</v>
      </c>
      <c r="O11" s="473">
        <f t="shared" si="0"/>
        <v>682370.48</v>
      </c>
    </row>
    <row r="12" spans="1:15" x14ac:dyDescent="0.2">
      <c r="A12" s="810">
        <v>871</v>
      </c>
      <c r="B12" s="458" t="s">
        <v>181</v>
      </c>
      <c r="C12" s="1621">
        <v>2979.05</v>
      </c>
      <c r="D12" s="1621">
        <v>2433.39</v>
      </c>
      <c r="E12" s="1621">
        <v>1190.4000000000001</v>
      </c>
      <c r="F12" s="1621">
        <v>1272.71</v>
      </c>
      <c r="G12" s="1621">
        <v>19541.919999999998</v>
      </c>
      <c r="H12" s="1621">
        <v>613.01</v>
      </c>
      <c r="I12" s="1109">
        <f>'Base TY Budget'!L21</f>
        <v>25216</v>
      </c>
      <c r="J12" s="1109">
        <f>'Base TY Budget'!M21</f>
        <v>22509</v>
      </c>
      <c r="K12" s="1109">
        <f>'Base TY Budget'!N21</f>
        <v>28540</v>
      </c>
      <c r="L12" s="1109">
        <f>'Base TY Budget'!O21</f>
        <v>27068</v>
      </c>
      <c r="M12" s="1109">
        <f>'Base TY Budget'!P21</f>
        <v>24089</v>
      </c>
      <c r="N12" s="1109">
        <f>'Base TY Budget'!Q21</f>
        <v>23827</v>
      </c>
      <c r="O12" s="473">
        <f t="shared" si="0"/>
        <v>179279.47999999998</v>
      </c>
    </row>
    <row r="13" spans="1:15" x14ac:dyDescent="0.2">
      <c r="A13" s="810">
        <v>874</v>
      </c>
      <c r="B13" s="458" t="s">
        <v>182</v>
      </c>
      <c r="C13" s="1621">
        <v>258886.76</v>
      </c>
      <c r="D13" s="1621">
        <v>395716.75</v>
      </c>
      <c r="E13" s="1621">
        <v>416915.8</v>
      </c>
      <c r="F13" s="1621">
        <v>622931.13</v>
      </c>
      <c r="G13" s="1621">
        <v>301161.26</v>
      </c>
      <c r="H13" s="1621">
        <v>343724.28</v>
      </c>
      <c r="I13" s="1109">
        <f>'Base TY Budget'!L22</f>
        <v>394477</v>
      </c>
      <c r="J13" s="1109">
        <f>'Base TY Budget'!M22</f>
        <v>431389</v>
      </c>
      <c r="K13" s="1109">
        <f>'Base TY Budget'!N22</f>
        <v>451417</v>
      </c>
      <c r="L13" s="1109">
        <f>'Base TY Budget'!O22</f>
        <v>467298</v>
      </c>
      <c r="M13" s="1109">
        <f>'Base TY Budget'!P22</f>
        <v>454649</v>
      </c>
      <c r="N13" s="1109">
        <f>'Base TY Budget'!Q22</f>
        <v>490679</v>
      </c>
      <c r="O13" s="473">
        <f t="shared" si="0"/>
        <v>5029244.9800000004</v>
      </c>
    </row>
    <row r="14" spans="1:15" x14ac:dyDescent="0.2">
      <c r="A14" s="810">
        <v>875</v>
      </c>
      <c r="B14" s="458" t="s">
        <v>183</v>
      </c>
      <c r="C14" s="1621">
        <v>7459.83</v>
      </c>
      <c r="D14" s="1621">
        <v>10741</v>
      </c>
      <c r="E14" s="1621">
        <v>15428.19</v>
      </c>
      <c r="F14" s="1621">
        <v>11082.74</v>
      </c>
      <c r="G14" s="1621">
        <v>11393.31</v>
      </c>
      <c r="H14" s="1621">
        <v>9451.85</v>
      </c>
      <c r="I14" s="1109">
        <f>'Base TY Budget'!L23</f>
        <v>14689</v>
      </c>
      <c r="J14" s="1109">
        <f>'Base TY Budget'!M23</f>
        <v>14702</v>
      </c>
      <c r="K14" s="1109">
        <f>'Base TY Budget'!N23</f>
        <v>15631</v>
      </c>
      <c r="L14" s="1109">
        <f>'Base TY Budget'!O23</f>
        <v>16208</v>
      </c>
      <c r="M14" s="1109">
        <f>'Base TY Budget'!P23</f>
        <v>15513</v>
      </c>
      <c r="N14" s="1109">
        <f>'Base TY Budget'!Q23</f>
        <v>16114</v>
      </c>
      <c r="O14" s="473">
        <f t="shared" si="0"/>
        <v>158413.91999999998</v>
      </c>
    </row>
    <row r="15" spans="1:15" x14ac:dyDescent="0.2">
      <c r="A15" s="810">
        <v>876</v>
      </c>
      <c r="B15" s="458" t="s">
        <v>184</v>
      </c>
      <c r="C15" s="1621">
        <v>4721.8599999999997</v>
      </c>
      <c r="D15" s="1621">
        <v>5063.74</v>
      </c>
      <c r="E15" s="1621">
        <v>9233.67</v>
      </c>
      <c r="F15" s="1621">
        <v>9014.4500000000007</v>
      </c>
      <c r="G15" s="1621">
        <v>4347.8100000000004</v>
      </c>
      <c r="H15" s="1621">
        <v>2761.5</v>
      </c>
      <c r="I15" s="1109">
        <f>'Base TY Budget'!L24</f>
        <v>5278</v>
      </c>
      <c r="J15" s="1109">
        <f>'Base TY Budget'!M24</f>
        <v>4916</v>
      </c>
      <c r="K15" s="1109">
        <f>'Base TY Budget'!N24</f>
        <v>5165</v>
      </c>
      <c r="L15" s="1109">
        <f>'Base TY Budget'!O24</f>
        <v>5421</v>
      </c>
      <c r="M15" s="1109">
        <f>'Base TY Budget'!P24</f>
        <v>5162</v>
      </c>
      <c r="N15" s="1109">
        <f>'Base TY Budget'!Q24</f>
        <v>5030</v>
      </c>
      <c r="O15" s="473">
        <f t="shared" si="0"/>
        <v>66115.03</v>
      </c>
    </row>
    <row r="16" spans="1:15" x14ac:dyDescent="0.2">
      <c r="A16" s="810">
        <v>878</v>
      </c>
      <c r="B16" s="458" t="s">
        <v>185</v>
      </c>
      <c r="C16" s="1621">
        <v>92943.89</v>
      </c>
      <c r="D16" s="1621">
        <v>107139.23</v>
      </c>
      <c r="E16" s="1621">
        <v>169978.8</v>
      </c>
      <c r="F16" s="1621">
        <v>138962.26999999999</v>
      </c>
      <c r="G16" s="1621">
        <v>105594.3</v>
      </c>
      <c r="H16" s="1621">
        <v>123497.84</v>
      </c>
      <c r="I16" s="1109">
        <f>'Base TY Budget'!L25</f>
        <v>135590.62557999999</v>
      </c>
      <c r="J16" s="1109">
        <f>'Base TY Budget'!M25</f>
        <v>125290.35245999999</v>
      </c>
      <c r="K16" s="1109">
        <f>'Base TY Budget'!N25</f>
        <v>131843.56682000001</v>
      </c>
      <c r="L16" s="1109">
        <f>'Base TY Budget'!O25</f>
        <v>138852.0962</v>
      </c>
      <c r="M16" s="1109">
        <f>'Base TY Budget'!P25</f>
        <v>132238.93369999999</v>
      </c>
      <c r="N16" s="1109">
        <f>'Base TY Budget'!Q25</f>
        <v>126854.93369999999</v>
      </c>
      <c r="O16" s="473">
        <f t="shared" si="0"/>
        <v>1528786.8384599998</v>
      </c>
    </row>
    <row r="17" spans="1:15" x14ac:dyDescent="0.2">
      <c r="A17" s="810">
        <v>879</v>
      </c>
      <c r="B17" s="458" t="s">
        <v>186</v>
      </c>
      <c r="C17" s="1621">
        <v>122617.45</v>
      </c>
      <c r="D17" s="1621">
        <v>133666.07999999999</v>
      </c>
      <c r="E17" s="1621">
        <v>155248.44</v>
      </c>
      <c r="F17" s="1621">
        <v>146283.26999999999</v>
      </c>
      <c r="G17" s="1621">
        <v>143995.59</v>
      </c>
      <c r="H17" s="1621">
        <v>168549.15</v>
      </c>
      <c r="I17" s="1109">
        <f>'Base TY Budget'!L26</f>
        <v>163673.68400000001</v>
      </c>
      <c r="J17" s="1109">
        <f>'Base TY Budget'!M26</f>
        <v>154857.606</v>
      </c>
      <c r="K17" s="1109">
        <f>'Base TY Budget'!N26</f>
        <v>162072.21599999999</v>
      </c>
      <c r="L17" s="1109">
        <f>'Base TY Budget'!O26</f>
        <v>169768.95</v>
      </c>
      <c r="M17" s="1109">
        <f>'Base TY Budget'!P26</f>
        <v>161997.054</v>
      </c>
      <c r="N17" s="1109">
        <f>'Base TY Budget'!Q26</f>
        <v>158030.054</v>
      </c>
      <c r="O17" s="473">
        <f t="shared" si="0"/>
        <v>1840759.544</v>
      </c>
    </row>
    <row r="18" spans="1:15" x14ac:dyDescent="0.2">
      <c r="A18" s="810">
        <v>880</v>
      </c>
      <c r="B18" s="458" t="s">
        <v>187</v>
      </c>
      <c r="C18" s="1621">
        <v>156391.14000000001</v>
      </c>
      <c r="D18" s="1621">
        <v>68182.98</v>
      </c>
      <c r="E18" s="1621">
        <v>124098.16</v>
      </c>
      <c r="F18" s="1621">
        <v>118552.83</v>
      </c>
      <c r="G18" s="1621">
        <v>121434.56</v>
      </c>
      <c r="H18" s="1621">
        <v>124798</v>
      </c>
      <c r="I18" s="1109">
        <f>'Base TY Budget'!L27</f>
        <v>130036</v>
      </c>
      <c r="J18" s="1109">
        <f>'Base TY Budget'!M27</f>
        <v>132891</v>
      </c>
      <c r="K18" s="1109">
        <f>'Base TY Budget'!N27</f>
        <v>142531</v>
      </c>
      <c r="L18" s="1109">
        <f>'Base TY Budget'!O27</f>
        <v>146040</v>
      </c>
      <c r="M18" s="1109">
        <f>'Base TY Budget'!P27</f>
        <v>141227</v>
      </c>
      <c r="N18" s="1109">
        <f>'Base TY Budget'!Q27</f>
        <v>142954</v>
      </c>
      <c r="O18" s="473">
        <f t="shared" si="0"/>
        <v>1549136.67</v>
      </c>
    </row>
    <row r="19" spans="1:15" x14ac:dyDescent="0.2">
      <c r="A19" s="810">
        <v>881</v>
      </c>
      <c r="B19" s="458" t="s">
        <v>188</v>
      </c>
      <c r="C19" s="1621">
        <v>6584.28</v>
      </c>
      <c r="D19" s="1621">
        <v>6229.3</v>
      </c>
      <c r="E19" s="1621">
        <v>10207.879999999999</v>
      </c>
      <c r="F19" s="1621">
        <v>8256.67</v>
      </c>
      <c r="G19" s="1621">
        <v>6333.8</v>
      </c>
      <c r="H19" s="1621">
        <v>6598.43</v>
      </c>
      <c r="I19" s="1109">
        <f>'Base TY Budget'!L28</f>
        <v>7239</v>
      </c>
      <c r="J19" s="1109">
        <f>'Base TY Budget'!M28</f>
        <v>7536</v>
      </c>
      <c r="K19" s="1109">
        <f>'Base TY Budget'!N28</f>
        <v>6169</v>
      </c>
      <c r="L19" s="1109">
        <f>'Base TY Budget'!O28</f>
        <v>6712</v>
      </c>
      <c r="M19" s="1109">
        <f>'Base TY Budget'!P28</f>
        <v>7346</v>
      </c>
      <c r="N19" s="1109">
        <f>'Base TY Budget'!Q28</f>
        <v>7330</v>
      </c>
      <c r="O19" s="473">
        <f t="shared" si="0"/>
        <v>86542.36</v>
      </c>
    </row>
    <row r="20" spans="1:15" s="802" customFormat="1" x14ac:dyDescent="0.2">
      <c r="C20" s="1148"/>
      <c r="D20" s="1148"/>
      <c r="E20" s="1148"/>
      <c r="F20" s="1148"/>
      <c r="G20" s="1150"/>
      <c r="H20" s="1148"/>
      <c r="I20" s="1148"/>
      <c r="J20" s="1148"/>
      <c r="K20" s="1148"/>
      <c r="L20" s="1148"/>
      <c r="M20" s="1148"/>
      <c r="N20" s="1148"/>
      <c r="O20" s="1149"/>
    </row>
    <row r="21" spans="1:15" x14ac:dyDescent="0.2">
      <c r="A21" s="811">
        <v>885</v>
      </c>
      <c r="B21" s="458" t="s">
        <v>180</v>
      </c>
      <c r="C21" s="1621">
        <v>826.58</v>
      </c>
      <c r="D21" s="1621">
        <v>847.85</v>
      </c>
      <c r="E21" s="1621">
        <v>725.72</v>
      </c>
      <c r="F21" s="1621">
        <v>770.57</v>
      </c>
      <c r="G21" s="1621">
        <v>723.77</v>
      </c>
      <c r="H21" s="1621">
        <v>902.08</v>
      </c>
      <c r="I21" s="1109">
        <f>'Base TY Budget'!L31</f>
        <v>859</v>
      </c>
      <c r="J21" s="1109">
        <f>'Base TY Budget'!M31</f>
        <v>800</v>
      </c>
      <c r="K21" s="1109">
        <f>'Base TY Budget'!N31</f>
        <v>827</v>
      </c>
      <c r="L21" s="1109">
        <f>'Base TY Budget'!O31</f>
        <v>875</v>
      </c>
      <c r="M21" s="1109">
        <f>'Base TY Budget'!P31</f>
        <v>832</v>
      </c>
      <c r="N21" s="1109">
        <f>'Base TY Budget'!Q31</f>
        <v>805</v>
      </c>
      <c r="O21" s="473">
        <f>SUM(C21:N21)</f>
        <v>9794.57</v>
      </c>
    </row>
    <row r="22" spans="1:15" x14ac:dyDescent="0.2">
      <c r="A22" s="811">
        <v>886</v>
      </c>
      <c r="B22" s="458" t="s">
        <v>189</v>
      </c>
      <c r="C22" s="1621">
        <v>19581.25</v>
      </c>
      <c r="D22" s="1621">
        <v>22463.29</v>
      </c>
      <c r="E22" s="1621">
        <v>11890.44</v>
      </c>
      <c r="F22" s="1621">
        <v>36214.6</v>
      </c>
      <c r="G22" s="1621">
        <v>12727.51</v>
      </c>
      <c r="H22" s="1621">
        <v>30269.72</v>
      </c>
      <c r="I22" s="1109">
        <f>'Base TY Budget'!L32</f>
        <v>16197</v>
      </c>
      <c r="J22" s="1109">
        <f>'Base TY Budget'!M32</f>
        <v>19611</v>
      </c>
      <c r="K22" s="1109">
        <f>'Base TY Budget'!N32</f>
        <v>20769</v>
      </c>
      <c r="L22" s="1109">
        <f>'Base TY Budget'!O32</f>
        <v>21324</v>
      </c>
      <c r="M22" s="1109">
        <f>'Base TY Budget'!P32</f>
        <v>21019</v>
      </c>
      <c r="N22" s="1109">
        <f>'Base TY Budget'!Q32</f>
        <v>23855</v>
      </c>
      <c r="O22" s="473">
        <f t="shared" ref="O22:O57" si="1">SUM(C22:N22)</f>
        <v>255921.81</v>
      </c>
    </row>
    <row r="23" spans="1:15" x14ac:dyDescent="0.2">
      <c r="A23" s="811">
        <v>887</v>
      </c>
      <c r="B23" s="458" t="s">
        <v>190</v>
      </c>
      <c r="C23" s="1621">
        <v>220107.59</v>
      </c>
      <c r="D23" s="1621">
        <v>198340.64</v>
      </c>
      <c r="E23" s="1621">
        <v>197265.87</v>
      </c>
      <c r="F23" s="1621">
        <v>261001.48</v>
      </c>
      <c r="G23" s="1621">
        <v>178550.77</v>
      </c>
      <c r="H23" s="1621">
        <v>266886.57</v>
      </c>
      <c r="I23" s="1109">
        <f>'Base TY Budget'!L33</f>
        <v>213543.20272</v>
      </c>
      <c r="J23" s="1109">
        <f>'Base TY Budget'!M33</f>
        <v>234918.80574000001</v>
      </c>
      <c r="K23" s="1109">
        <f>'Base TY Budget'!N33</f>
        <v>244990.29332999999</v>
      </c>
      <c r="L23" s="1109">
        <f>'Base TY Budget'!O33</f>
        <v>255380.74802</v>
      </c>
      <c r="M23" s="1109">
        <f>'Base TY Budget'!P33</f>
        <v>249751.11983000001</v>
      </c>
      <c r="N23" s="1109">
        <f>'Base TY Budget'!Q33</f>
        <v>265936.11982999998</v>
      </c>
      <c r="O23" s="473">
        <f t="shared" si="1"/>
        <v>2786673.2094700001</v>
      </c>
    </row>
    <row r="24" spans="1:15" x14ac:dyDescent="0.2">
      <c r="A24" s="811">
        <v>889</v>
      </c>
      <c r="B24" s="458" t="s">
        <v>183</v>
      </c>
      <c r="C24" s="1621">
        <v>23337.71</v>
      </c>
      <c r="D24" s="1621">
        <v>15301.92</v>
      </c>
      <c r="E24" s="1621">
        <v>8274.73</v>
      </c>
      <c r="F24" s="1621">
        <v>52450.23</v>
      </c>
      <c r="G24" s="1621">
        <v>21022.77</v>
      </c>
      <c r="H24" s="1621">
        <v>18237.599999999999</v>
      </c>
      <c r="I24" s="1109">
        <f>'Base TY Budget'!L34</f>
        <v>21560</v>
      </c>
      <c r="J24" s="1109">
        <f>'Base TY Budget'!M34</f>
        <v>21134</v>
      </c>
      <c r="K24" s="1109">
        <f>'Base TY Budget'!N34</f>
        <v>21565</v>
      </c>
      <c r="L24" s="1109">
        <f>'Base TY Budget'!O34</f>
        <v>23153</v>
      </c>
      <c r="M24" s="1109">
        <f>'Base TY Budget'!P34</f>
        <v>22520</v>
      </c>
      <c r="N24" s="1109">
        <f>'Base TY Budget'!Q34</f>
        <v>20871</v>
      </c>
      <c r="O24" s="473">
        <f t="shared" si="1"/>
        <v>269427.95999999996</v>
      </c>
    </row>
    <row r="25" spans="1:15" x14ac:dyDescent="0.2">
      <c r="A25" s="811">
        <v>890</v>
      </c>
      <c r="B25" s="458" t="s">
        <v>184</v>
      </c>
      <c r="C25" s="1621">
        <v>4740.43</v>
      </c>
      <c r="D25" s="1621">
        <v>6048.74</v>
      </c>
      <c r="E25" s="1621">
        <v>5166.42</v>
      </c>
      <c r="F25" s="1621">
        <v>5355.93</v>
      </c>
      <c r="G25" s="1621">
        <v>3473.7</v>
      </c>
      <c r="H25" s="1621">
        <v>2868.65</v>
      </c>
      <c r="I25" s="1109">
        <f>'Base TY Budget'!L35</f>
        <v>5530</v>
      </c>
      <c r="J25" s="1109">
        <f>'Base TY Budget'!M35</f>
        <v>5258</v>
      </c>
      <c r="K25" s="1109">
        <f>'Base TY Budget'!N35</f>
        <v>5439</v>
      </c>
      <c r="L25" s="1109">
        <f>'Base TY Budget'!O35</f>
        <v>5743</v>
      </c>
      <c r="M25" s="1109">
        <f>'Base TY Budget'!P35</f>
        <v>5520</v>
      </c>
      <c r="N25" s="1109">
        <f>'Base TY Budget'!Q35</f>
        <v>5432</v>
      </c>
      <c r="O25" s="473">
        <f t="shared" si="1"/>
        <v>60575.87</v>
      </c>
    </row>
    <row r="26" spans="1:15" x14ac:dyDescent="0.2">
      <c r="A26" s="811">
        <v>892</v>
      </c>
      <c r="B26" s="458" t="s">
        <v>191</v>
      </c>
      <c r="C26" s="1621">
        <v>22576.07</v>
      </c>
      <c r="D26" s="1621">
        <v>11536.67</v>
      </c>
      <c r="E26" s="1621">
        <v>33845.599999999999</v>
      </c>
      <c r="F26" s="1621">
        <v>19273.38</v>
      </c>
      <c r="G26" s="1621">
        <v>50206.21</v>
      </c>
      <c r="H26" s="1621">
        <v>42955.48</v>
      </c>
      <c r="I26" s="1109">
        <f>'Base TY Budget'!L36</f>
        <v>50149.73661</v>
      </c>
      <c r="J26" s="1109">
        <f>'Base TY Budget'!M36</f>
        <v>54053.570610000002</v>
      </c>
      <c r="K26" s="1109">
        <f>'Base TY Budget'!N36</f>
        <v>55474.628140000001</v>
      </c>
      <c r="L26" s="1109">
        <f>'Base TY Budget'!O36</f>
        <v>58325.182370000002</v>
      </c>
      <c r="M26" s="1109">
        <f>'Base TY Budget'!P36</f>
        <v>57157.774530000002</v>
      </c>
      <c r="N26" s="1109">
        <f>'Base TY Budget'!Q36</f>
        <v>60478.774530000002</v>
      </c>
      <c r="O26" s="473">
        <f t="shared" si="1"/>
        <v>516033.07678999996</v>
      </c>
    </row>
    <row r="27" spans="1:15" x14ac:dyDescent="0.2">
      <c r="A27" s="811">
        <v>893</v>
      </c>
      <c r="B27" s="458" t="s">
        <v>185</v>
      </c>
      <c r="C27" s="1621">
        <v>16543.689999999999</v>
      </c>
      <c r="D27" s="1621">
        <v>15626.63</v>
      </c>
      <c r="E27" s="1621">
        <v>9818.36</v>
      </c>
      <c r="F27" s="1621">
        <v>6331.14</v>
      </c>
      <c r="G27" s="1621">
        <v>2357.63</v>
      </c>
      <c r="H27" s="1621">
        <v>31983.68</v>
      </c>
      <c r="I27" s="1109">
        <f>'Base TY Budget'!L37</f>
        <v>11007</v>
      </c>
      <c r="J27" s="1109">
        <f>'Base TY Budget'!M37</f>
        <v>11310</v>
      </c>
      <c r="K27" s="1109">
        <f>'Base TY Budget'!N37</f>
        <v>11209</v>
      </c>
      <c r="L27" s="1109">
        <f>'Base TY Budget'!O37</f>
        <v>12258</v>
      </c>
      <c r="M27" s="1109">
        <f>'Base TY Budget'!P37</f>
        <v>12162</v>
      </c>
      <c r="N27" s="1109">
        <f>'Base TY Budget'!Q37</f>
        <v>11021</v>
      </c>
      <c r="O27" s="473">
        <f t="shared" si="1"/>
        <v>151628.13</v>
      </c>
    </row>
    <row r="28" spans="1:15" x14ac:dyDescent="0.2">
      <c r="A28" s="811">
        <v>894</v>
      </c>
      <c r="B28" s="458" t="s">
        <v>192</v>
      </c>
      <c r="C28" s="1621">
        <v>18901.41</v>
      </c>
      <c r="D28" s="1621">
        <v>16973.560000000001</v>
      </c>
      <c r="E28" s="1621">
        <v>17047.18</v>
      </c>
      <c r="F28" s="1621">
        <v>31624.86</v>
      </c>
      <c r="G28" s="1621">
        <v>16251.01</v>
      </c>
      <c r="H28" s="1621">
        <v>44124.160000000003</v>
      </c>
      <c r="I28" s="1109">
        <f>'Base TY Budget'!L38</f>
        <v>24675</v>
      </c>
      <c r="J28" s="1109">
        <f>'Base TY Budget'!M38</f>
        <v>24144</v>
      </c>
      <c r="K28" s="1109">
        <f>'Base TY Budget'!N38</f>
        <v>24949</v>
      </c>
      <c r="L28" s="1109">
        <f>'Base TY Budget'!O38</f>
        <v>26464</v>
      </c>
      <c r="M28" s="1109">
        <f>'Base TY Budget'!P38</f>
        <v>25638</v>
      </c>
      <c r="N28" s="1109">
        <f>'Base TY Budget'!Q38</f>
        <v>24477</v>
      </c>
      <c r="O28" s="473">
        <f t="shared" si="1"/>
        <v>295269.18</v>
      </c>
    </row>
    <row r="29" spans="1:15" s="802" customFormat="1" x14ac:dyDescent="0.2">
      <c r="C29" s="1148"/>
      <c r="D29" s="1148"/>
      <c r="E29" s="1148"/>
      <c r="F29" s="1148"/>
      <c r="G29" s="1150"/>
      <c r="H29" s="1148"/>
      <c r="I29" s="1148"/>
      <c r="J29" s="1148"/>
      <c r="K29" s="1148"/>
      <c r="L29" s="1148"/>
      <c r="M29" s="1148"/>
      <c r="N29" s="1148"/>
      <c r="O29" s="1149"/>
    </row>
    <row r="30" spans="1:15" x14ac:dyDescent="0.2">
      <c r="A30" s="810">
        <v>901</v>
      </c>
      <c r="B30" s="458" t="s">
        <v>193</v>
      </c>
      <c r="C30" s="1621">
        <v>0</v>
      </c>
      <c r="D30" s="1621">
        <v>0</v>
      </c>
      <c r="E30" s="1621">
        <v>0</v>
      </c>
      <c r="F30" s="1621">
        <v>0</v>
      </c>
      <c r="G30" s="1621">
        <v>0</v>
      </c>
      <c r="H30" s="1621">
        <v>0</v>
      </c>
      <c r="I30" s="1109">
        <f>'Base TY Budget'!L41</f>
        <v>0</v>
      </c>
      <c r="J30" s="1109">
        <f>'Base TY Budget'!M41</f>
        <v>0</v>
      </c>
      <c r="K30" s="1109">
        <f>'Base TY Budget'!N41</f>
        <v>0</v>
      </c>
      <c r="L30" s="1109">
        <f>'Base TY Budget'!O41</f>
        <v>0</v>
      </c>
      <c r="M30" s="1109">
        <f>'Base TY Budget'!P41</f>
        <v>0</v>
      </c>
      <c r="N30" s="1109">
        <f>'Base TY Budget'!Q41</f>
        <v>0</v>
      </c>
      <c r="O30" s="473">
        <f t="shared" si="1"/>
        <v>0</v>
      </c>
    </row>
    <row r="31" spans="1:15" x14ac:dyDescent="0.2">
      <c r="A31" s="810">
        <v>902</v>
      </c>
      <c r="B31" s="458" t="s">
        <v>194</v>
      </c>
      <c r="C31" s="1621">
        <v>21034.11</v>
      </c>
      <c r="D31" s="1621">
        <v>-4898.1000000000004</v>
      </c>
      <c r="E31" s="1621">
        <v>25565.14</v>
      </c>
      <c r="F31" s="1621">
        <v>14532.47</v>
      </c>
      <c r="G31" s="1621">
        <v>15622.73</v>
      </c>
      <c r="H31" s="1621">
        <v>32333.87</v>
      </c>
      <c r="I31" s="1109">
        <f>'Base TY Budget'!L42</f>
        <v>37274</v>
      </c>
      <c r="J31" s="1109">
        <f>'Base TY Budget'!M42</f>
        <v>42189</v>
      </c>
      <c r="K31" s="1109">
        <f>'Base TY Budget'!N42</f>
        <v>44335</v>
      </c>
      <c r="L31" s="1109">
        <f>'Base TY Budget'!O42</f>
        <v>45692</v>
      </c>
      <c r="M31" s="1109">
        <f>'Base TY Budget'!P42</f>
        <v>44621</v>
      </c>
      <c r="N31" s="1109">
        <f>'Base TY Budget'!Q42</f>
        <v>49641</v>
      </c>
      <c r="O31" s="473">
        <f t="shared" si="1"/>
        <v>367942.22</v>
      </c>
    </row>
    <row r="32" spans="1:15" x14ac:dyDescent="0.2">
      <c r="A32" s="810">
        <v>903</v>
      </c>
      <c r="B32" s="458" t="s">
        <v>195</v>
      </c>
      <c r="C32" s="1621">
        <v>248614.98</v>
      </c>
      <c r="D32" s="1621">
        <v>241849.68</v>
      </c>
      <c r="E32" s="1621">
        <v>282039.61</v>
      </c>
      <c r="F32" s="1621">
        <v>280952.78999999998</v>
      </c>
      <c r="G32" s="1621">
        <v>241414.47</v>
      </c>
      <c r="H32" s="1621">
        <v>241009.38</v>
      </c>
      <c r="I32" s="1109">
        <f>'Base TY Budget'!L43</f>
        <v>289830.77862999996</v>
      </c>
      <c r="J32" s="1109">
        <f>'Base TY Budget'!M43</f>
        <v>286930.69272999995</v>
      </c>
      <c r="K32" s="1109">
        <f>'Base TY Budget'!N43</f>
        <v>290554.32324999996</v>
      </c>
      <c r="L32" s="1109">
        <f>'Base TY Budget'!O43</f>
        <v>312691.05095</v>
      </c>
      <c r="M32" s="1109">
        <f>'Base TY Budget'!P43</f>
        <v>306850.14548000001</v>
      </c>
      <c r="N32" s="1109">
        <f>'Base TY Budget'!Q43</f>
        <v>293531.14548000001</v>
      </c>
      <c r="O32" s="473">
        <f t="shared" si="1"/>
        <v>3316269.0465199999</v>
      </c>
    </row>
    <row r="33" spans="1:15" x14ac:dyDescent="0.2">
      <c r="A33" s="810">
        <v>904</v>
      </c>
      <c r="B33" s="458" t="s">
        <v>196</v>
      </c>
      <c r="C33" s="1621">
        <v>26619.5</v>
      </c>
      <c r="D33" s="1621">
        <v>53741.14</v>
      </c>
      <c r="E33" s="1621">
        <v>-49936.85</v>
      </c>
      <c r="F33" s="1621">
        <v>-138960.06</v>
      </c>
      <c r="G33" s="1621">
        <v>224849.48</v>
      </c>
      <c r="H33" s="1621">
        <v>169472.86</v>
      </c>
      <c r="I33" s="1109">
        <f>'Base TY Budget'!L44</f>
        <v>173350</v>
      </c>
      <c r="J33" s="1109">
        <f>'Base TY Budget'!M44</f>
        <v>112414</v>
      </c>
      <c r="K33" s="1109">
        <f>'Base TY Budget'!N44</f>
        <v>81297</v>
      </c>
      <c r="L33" s="1109">
        <f>'Base TY Budget'!O44</f>
        <v>52947</v>
      </c>
      <c r="M33" s="1109">
        <f>'Base TY Budget'!P44</f>
        <v>50805</v>
      </c>
      <c r="N33" s="1109">
        <f>'Base TY Budget'!Q44</f>
        <v>55375</v>
      </c>
      <c r="O33" s="473">
        <f t="shared" si="1"/>
        <v>811974.07000000007</v>
      </c>
    </row>
    <row r="34" spans="1:15" x14ac:dyDescent="0.2">
      <c r="A34" s="810">
        <v>905</v>
      </c>
      <c r="B34" s="458" t="s">
        <v>197</v>
      </c>
      <c r="C34" s="1621">
        <v>75.87</v>
      </c>
      <c r="D34" s="1621">
        <v>130.29</v>
      </c>
      <c r="E34" s="1621">
        <v>78.06</v>
      </c>
      <c r="F34" s="1621">
        <v>173.48</v>
      </c>
      <c r="G34" s="1621">
        <v>33.159999999999997</v>
      </c>
      <c r="H34" s="1621">
        <v>162.71</v>
      </c>
      <c r="I34" s="1109">
        <f>'Base TY Budget'!L45</f>
        <v>91</v>
      </c>
      <c r="J34" s="1109">
        <f>'Base TY Budget'!M45</f>
        <v>92</v>
      </c>
      <c r="K34" s="1109">
        <f>'Base TY Budget'!N45</f>
        <v>96</v>
      </c>
      <c r="L34" s="1109">
        <f>'Base TY Budget'!O45</f>
        <v>94</v>
      </c>
      <c r="M34" s="1109">
        <f>'Base TY Budget'!P45</f>
        <v>87</v>
      </c>
      <c r="N34" s="1109">
        <f>'Base TY Budget'!Q45</f>
        <v>87</v>
      </c>
      <c r="O34" s="473">
        <f t="shared" si="1"/>
        <v>1200.5700000000002</v>
      </c>
    </row>
    <row r="35" spans="1:15" x14ac:dyDescent="0.2">
      <c r="A35" s="810">
        <v>921</v>
      </c>
      <c r="B35" s="802" t="s">
        <v>2108</v>
      </c>
      <c r="C35" s="1622">
        <v>4.5999999999999996</v>
      </c>
      <c r="D35" s="1622">
        <v>5.2</v>
      </c>
      <c r="E35" s="1622">
        <v>8.48</v>
      </c>
      <c r="F35" s="1622">
        <v>19.420000000000002</v>
      </c>
      <c r="G35" s="1622">
        <v>42.63</v>
      </c>
      <c r="H35" s="1622">
        <v>42.02</v>
      </c>
      <c r="I35" s="1151">
        <f t="shared" ref="I35:N35" si="2">ROUND(I65*$D68,0)</f>
        <v>15</v>
      </c>
      <c r="J35" s="1151">
        <f t="shared" si="2"/>
        <v>14</v>
      </c>
      <c r="K35" s="1151">
        <f t="shared" si="2"/>
        <v>15</v>
      </c>
      <c r="L35" s="1151">
        <f t="shared" si="2"/>
        <v>15</v>
      </c>
      <c r="M35" s="1151">
        <f t="shared" si="2"/>
        <v>16</v>
      </c>
      <c r="N35" s="1151">
        <f t="shared" si="2"/>
        <v>15</v>
      </c>
      <c r="O35" s="473">
        <f t="shared" si="1"/>
        <v>212.35000000000002</v>
      </c>
    </row>
    <row r="36" spans="1:15" x14ac:dyDescent="0.2">
      <c r="A36" s="810">
        <v>935</v>
      </c>
      <c r="B36" s="802" t="s">
        <v>198</v>
      </c>
      <c r="C36" s="1622">
        <v>0</v>
      </c>
      <c r="D36" s="1622">
        <v>0</v>
      </c>
      <c r="E36" s="1622">
        <v>0</v>
      </c>
      <c r="F36" s="1622">
        <v>0</v>
      </c>
      <c r="G36" s="1622">
        <v>0</v>
      </c>
      <c r="H36" s="1622">
        <v>0</v>
      </c>
      <c r="I36" s="1151">
        <f>ROUND(I74*$D77,0)</f>
        <v>0</v>
      </c>
      <c r="J36" s="1151">
        <f t="shared" ref="J36:N36" si="3">ROUND(J74*$D77,0)</f>
        <v>0</v>
      </c>
      <c r="K36" s="1151">
        <f t="shared" si="3"/>
        <v>0</v>
      </c>
      <c r="L36" s="1151">
        <f t="shared" si="3"/>
        <v>0</v>
      </c>
      <c r="M36" s="1151">
        <f t="shared" si="3"/>
        <v>0</v>
      </c>
      <c r="N36" s="1151">
        <f t="shared" si="3"/>
        <v>0</v>
      </c>
      <c r="O36" s="473">
        <f t="shared" si="1"/>
        <v>0</v>
      </c>
    </row>
    <row r="37" spans="1:15" s="802" customFormat="1" x14ac:dyDescent="0.2">
      <c r="C37" s="1148"/>
      <c r="D37" s="1148"/>
      <c r="E37" s="1148"/>
      <c r="F37" s="1148"/>
      <c r="G37" s="1150"/>
      <c r="H37" s="1148"/>
      <c r="I37" s="1148"/>
      <c r="J37" s="1148"/>
      <c r="K37" s="1148"/>
      <c r="L37" s="1148"/>
      <c r="M37" s="1148"/>
      <c r="N37" s="1148"/>
      <c r="O37" s="1149"/>
    </row>
    <row r="38" spans="1:15" x14ac:dyDescent="0.2">
      <c r="A38" s="810">
        <v>907</v>
      </c>
      <c r="B38" s="458" t="s">
        <v>199</v>
      </c>
      <c r="C38" s="1621">
        <v>0</v>
      </c>
      <c r="D38" s="1621">
        <v>0</v>
      </c>
      <c r="E38" s="1621">
        <v>0</v>
      </c>
      <c r="F38" s="1621">
        <v>-6.4</v>
      </c>
      <c r="G38" s="1621">
        <v>6115</v>
      </c>
      <c r="H38" s="1621">
        <v>0</v>
      </c>
      <c r="I38" s="1109">
        <f>'Base TY Budget'!L48</f>
        <v>792</v>
      </c>
      <c r="J38" s="1109">
        <f>'Base TY Budget'!M48</f>
        <v>836</v>
      </c>
      <c r="K38" s="1109">
        <f>'Base TY Budget'!N48</f>
        <v>3183</v>
      </c>
      <c r="L38" s="1109">
        <f>'Base TY Budget'!O48</f>
        <v>927</v>
      </c>
      <c r="M38" s="1109">
        <f>'Base TY Budget'!P48</f>
        <v>3179</v>
      </c>
      <c r="N38" s="1109">
        <f>'Base TY Budget'!Q48</f>
        <v>791</v>
      </c>
      <c r="O38" s="473">
        <f t="shared" si="1"/>
        <v>15816.6</v>
      </c>
    </row>
    <row r="39" spans="1:15" x14ac:dyDescent="0.2">
      <c r="A39" s="810">
        <v>908</v>
      </c>
      <c r="B39" s="458" t="s">
        <v>200</v>
      </c>
      <c r="C39" s="1621">
        <v>54871.19</v>
      </c>
      <c r="D39" s="1621">
        <v>62178.1</v>
      </c>
      <c r="E39" s="1621">
        <v>45622.01</v>
      </c>
      <c r="F39" s="1621">
        <v>127548.21</v>
      </c>
      <c r="G39" s="1621">
        <v>108710.36</v>
      </c>
      <c r="H39" s="1621">
        <v>111278.97</v>
      </c>
      <c r="I39" s="1109">
        <f>'Base TY Budget'!L49</f>
        <v>51557.972460000005</v>
      </c>
      <c r="J39" s="1109">
        <f>'Base TY Budget'!M49</f>
        <v>53963.972460000005</v>
      </c>
      <c r="K39" s="1109">
        <f>'Base TY Budget'!N49</f>
        <v>63677.972460000005</v>
      </c>
      <c r="L39" s="1109">
        <f>'Base TY Budget'!O49</f>
        <v>65321.972460000005</v>
      </c>
      <c r="M39" s="1109">
        <f>'Base TY Budget'!P49</f>
        <v>75979.972460000005</v>
      </c>
      <c r="N39" s="1109">
        <f>'Base TY Budget'!Q49</f>
        <v>66495.972460000005</v>
      </c>
      <c r="O39" s="473">
        <f t="shared" si="1"/>
        <v>887206.67475999973</v>
      </c>
    </row>
    <row r="40" spans="1:15" x14ac:dyDescent="0.2">
      <c r="A40" s="810">
        <v>909</v>
      </c>
      <c r="B40" s="458" t="s">
        <v>201</v>
      </c>
      <c r="C40" s="1621">
        <v>635.09</v>
      </c>
      <c r="D40" s="1621">
        <v>1908.43</v>
      </c>
      <c r="E40" s="1621">
        <v>41475.4</v>
      </c>
      <c r="F40" s="1621">
        <v>4805.88</v>
      </c>
      <c r="G40" s="1621">
        <v>807.03</v>
      </c>
      <c r="H40" s="1621">
        <v>458.76</v>
      </c>
      <c r="I40" s="1109">
        <f>'Base TY Budget'!L50</f>
        <v>5011</v>
      </c>
      <c r="J40" s="1109">
        <f>'Base TY Budget'!M50</f>
        <v>4707</v>
      </c>
      <c r="K40" s="1109">
        <f>'Base TY Budget'!N50</f>
        <v>4833</v>
      </c>
      <c r="L40" s="1109">
        <f>'Base TY Budget'!O50</f>
        <v>5170</v>
      </c>
      <c r="M40" s="1109">
        <f>'Base TY Budget'!P50</f>
        <v>5112</v>
      </c>
      <c r="N40" s="1109">
        <f>'Base TY Budget'!Q50</f>
        <v>5019</v>
      </c>
      <c r="O40" s="473">
        <f t="shared" si="1"/>
        <v>79942.59</v>
      </c>
    </row>
    <row r="41" spans="1:15" x14ac:dyDescent="0.2">
      <c r="A41" s="810">
        <v>910</v>
      </c>
      <c r="B41" s="458" t="s">
        <v>202</v>
      </c>
      <c r="C41" s="1621">
        <v>21766.98</v>
      </c>
      <c r="D41" s="1621">
        <v>17278.12</v>
      </c>
      <c r="E41" s="1621">
        <v>17054.22</v>
      </c>
      <c r="F41" s="1621">
        <v>14087.45</v>
      </c>
      <c r="G41" s="1621">
        <v>17134.96</v>
      </c>
      <c r="H41" s="1621">
        <v>17501.77</v>
      </c>
      <c r="I41" s="1109">
        <f>'Base TY Budget'!L51</f>
        <v>20483</v>
      </c>
      <c r="J41" s="1109">
        <f>'Base TY Budget'!M51</f>
        <v>19532</v>
      </c>
      <c r="K41" s="1109">
        <f>'Base TY Budget'!N51</f>
        <v>20058</v>
      </c>
      <c r="L41" s="1109">
        <f>'Base TY Budget'!O51</f>
        <v>21470</v>
      </c>
      <c r="M41" s="1109">
        <f>'Base TY Budget'!P51</f>
        <v>20902</v>
      </c>
      <c r="N41" s="1109">
        <f>'Base TY Budget'!Q51</f>
        <v>20517</v>
      </c>
      <c r="O41" s="473">
        <f t="shared" si="1"/>
        <v>227785.5</v>
      </c>
    </row>
    <row r="42" spans="1:15" x14ac:dyDescent="0.2">
      <c r="A42" s="810">
        <v>911</v>
      </c>
      <c r="B42" s="802" t="s">
        <v>203</v>
      </c>
      <c r="C42" s="1621">
        <v>0</v>
      </c>
      <c r="D42" s="1621">
        <v>0</v>
      </c>
      <c r="E42" s="1621">
        <v>0</v>
      </c>
      <c r="F42" s="1621">
        <v>0</v>
      </c>
      <c r="G42" s="1621">
        <v>0</v>
      </c>
      <c r="H42" s="1621">
        <v>0</v>
      </c>
      <c r="I42" s="1148">
        <v>0</v>
      </c>
      <c r="J42" s="1148">
        <v>0</v>
      </c>
      <c r="K42" s="1148">
        <v>0</v>
      </c>
      <c r="L42" s="1148">
        <v>0</v>
      </c>
      <c r="M42" s="1148">
        <v>0</v>
      </c>
      <c r="N42" s="1148">
        <v>0</v>
      </c>
      <c r="O42" s="473">
        <f t="shared" si="1"/>
        <v>0</v>
      </c>
    </row>
    <row r="43" spans="1:15" x14ac:dyDescent="0.2">
      <c r="A43" s="810">
        <v>912</v>
      </c>
      <c r="B43" s="458" t="s">
        <v>204</v>
      </c>
      <c r="C43" s="1621">
        <v>6741.46</v>
      </c>
      <c r="D43" s="1621">
        <v>-484.07</v>
      </c>
      <c r="E43" s="1621">
        <v>8381.6200000000008</v>
      </c>
      <c r="F43" s="1621">
        <v>-7380.15</v>
      </c>
      <c r="G43" s="1621">
        <v>9534.9</v>
      </c>
      <c r="H43" s="1621">
        <v>1945.18</v>
      </c>
      <c r="I43" s="1109">
        <f>'Base TY Budget'!L55</f>
        <v>4209</v>
      </c>
      <c r="J43" s="1109">
        <f>'Base TY Budget'!M55</f>
        <v>4013</v>
      </c>
      <c r="K43" s="1109">
        <f>'Base TY Budget'!N55</f>
        <v>4121</v>
      </c>
      <c r="L43" s="1109">
        <f>'Base TY Budget'!O55</f>
        <v>4411</v>
      </c>
      <c r="M43" s="1109">
        <f>'Base TY Budget'!P55</f>
        <v>4295</v>
      </c>
      <c r="N43" s="1109">
        <f>'Base TY Budget'!Q55</f>
        <v>4216</v>
      </c>
      <c r="O43" s="473">
        <f t="shared" si="1"/>
        <v>44003.94</v>
      </c>
    </row>
    <row r="44" spans="1:15" x14ac:dyDescent="0.2">
      <c r="A44" s="810">
        <v>913</v>
      </c>
      <c r="B44" s="458" t="s">
        <v>205</v>
      </c>
      <c r="C44" s="1621">
        <v>1.1299999999999999</v>
      </c>
      <c r="D44" s="1621">
        <v>0</v>
      </c>
      <c r="E44" s="1621">
        <v>673.11</v>
      </c>
      <c r="F44" s="1621">
        <v>48143.78</v>
      </c>
      <c r="G44" s="1621">
        <v>0</v>
      </c>
      <c r="H44" s="1621">
        <v>4501.47</v>
      </c>
      <c r="I44" s="1109">
        <f>'Base TY Budget'!L56</f>
        <v>7514</v>
      </c>
      <c r="J44" s="1109">
        <f>'Base TY Budget'!M56</f>
        <v>3194</v>
      </c>
      <c r="K44" s="1109">
        <f>'Base TY Budget'!N56</f>
        <v>3233</v>
      </c>
      <c r="L44" s="1109">
        <f>'Base TY Budget'!O56</f>
        <v>3336</v>
      </c>
      <c r="M44" s="1109">
        <f>'Base TY Budget'!P56</f>
        <v>7544</v>
      </c>
      <c r="N44" s="1109">
        <f>'Base TY Budget'!Q56</f>
        <v>7516</v>
      </c>
      <c r="O44" s="473">
        <f t="shared" si="1"/>
        <v>85656.489999999991</v>
      </c>
    </row>
    <row r="45" spans="1:15" x14ac:dyDescent="0.2">
      <c r="A45" s="810">
        <v>921</v>
      </c>
      <c r="B45" s="802" t="s">
        <v>2109</v>
      </c>
      <c r="C45" s="1622">
        <v>63.28</v>
      </c>
      <c r="D45" s="1622">
        <v>71.489999999999995</v>
      </c>
      <c r="E45" s="1622">
        <v>116.68</v>
      </c>
      <c r="F45" s="1622">
        <v>8601.4</v>
      </c>
      <c r="G45" s="1622">
        <v>586.28</v>
      </c>
      <c r="H45" s="1622">
        <v>577.75</v>
      </c>
      <c r="I45" s="1151">
        <f t="shared" ref="I45:N45" si="4">ROUND(I65*$D69,0)</f>
        <v>825</v>
      </c>
      <c r="J45" s="1151">
        <f t="shared" si="4"/>
        <v>772</v>
      </c>
      <c r="K45" s="1151">
        <f t="shared" si="4"/>
        <v>808</v>
      </c>
      <c r="L45" s="1151">
        <f t="shared" si="4"/>
        <v>845</v>
      </c>
      <c r="M45" s="1151">
        <f t="shared" si="4"/>
        <v>849</v>
      </c>
      <c r="N45" s="1151">
        <f t="shared" si="4"/>
        <v>841</v>
      </c>
      <c r="O45" s="473">
        <f t="shared" si="1"/>
        <v>14956.880000000001</v>
      </c>
    </row>
    <row r="46" spans="1:15" x14ac:dyDescent="0.2">
      <c r="A46" s="810">
        <v>935</v>
      </c>
      <c r="B46" s="802" t="s">
        <v>198</v>
      </c>
      <c r="C46" s="1622">
        <v>0</v>
      </c>
      <c r="D46" s="1622">
        <v>0</v>
      </c>
      <c r="E46" s="1622">
        <v>0</v>
      </c>
      <c r="F46" s="1622">
        <v>0</v>
      </c>
      <c r="G46" s="1622">
        <v>0</v>
      </c>
      <c r="H46" s="1622">
        <v>0</v>
      </c>
      <c r="I46" s="1151">
        <f>ROUND(I65*$D78,0)</f>
        <v>0</v>
      </c>
      <c r="J46" s="1151">
        <f t="shared" ref="J46:N46" si="5">ROUND(J65*$D78,0)</f>
        <v>0</v>
      </c>
      <c r="K46" s="1151">
        <f t="shared" si="5"/>
        <v>0</v>
      </c>
      <c r="L46" s="1151">
        <f t="shared" si="5"/>
        <v>0</v>
      </c>
      <c r="M46" s="1151">
        <f t="shared" si="5"/>
        <v>0</v>
      </c>
      <c r="N46" s="1151">
        <f t="shared" si="5"/>
        <v>0</v>
      </c>
      <c r="O46" s="473">
        <f t="shared" si="1"/>
        <v>0</v>
      </c>
    </row>
    <row r="47" spans="1:15" s="802" customFormat="1" x14ac:dyDescent="0.2">
      <c r="C47" s="1148"/>
      <c r="D47" s="1148"/>
      <c r="E47" s="1148"/>
      <c r="F47" s="1148"/>
      <c r="G47" s="1150"/>
      <c r="H47" s="1148"/>
      <c r="I47" s="1148"/>
      <c r="J47" s="1148"/>
      <c r="K47" s="1148"/>
      <c r="L47" s="1148"/>
      <c r="M47" s="1148"/>
      <c r="N47" s="1148"/>
      <c r="O47" s="1149"/>
    </row>
    <row r="48" spans="1:15" x14ac:dyDescent="0.2">
      <c r="A48" s="810">
        <v>920</v>
      </c>
      <c r="B48" s="458" t="s">
        <v>206</v>
      </c>
      <c r="C48" s="1621">
        <f>389019.22+5268.79+41801.15</f>
        <v>436089.16</v>
      </c>
      <c r="D48" s="1621">
        <f>375515.89+3158.54+39988.25</f>
        <v>418662.68</v>
      </c>
      <c r="E48" s="1621">
        <f>414865.35+2034.9+38379.87</f>
        <v>455280.12</v>
      </c>
      <c r="F48" s="1621">
        <f>361465.96+21104.8+18185.89</f>
        <v>400756.65</v>
      </c>
      <c r="G48" s="1621">
        <f>373888.01+1330.13+30569.73</f>
        <v>405787.87</v>
      </c>
      <c r="H48" s="1621">
        <f>334802.75+670.56+59325.76</f>
        <v>394799.07</v>
      </c>
      <c r="I48" s="1109">
        <f>'Base TY Budget'!L60</f>
        <v>352095</v>
      </c>
      <c r="J48" s="1109">
        <f>'Base TY Budget'!M60</f>
        <v>332518</v>
      </c>
      <c r="K48" s="1109">
        <f>'Base TY Budget'!N60</f>
        <v>338911</v>
      </c>
      <c r="L48" s="1109">
        <f>'Base TY Budget'!O60</f>
        <v>362876</v>
      </c>
      <c r="M48" s="1109">
        <f>'Base TY Budget'!P60</f>
        <v>351812</v>
      </c>
      <c r="N48" s="1109">
        <f>'Base TY Budget'!Q60</f>
        <v>341398</v>
      </c>
      <c r="O48" s="473">
        <f t="shared" si="1"/>
        <v>4590985.55</v>
      </c>
    </row>
    <row r="49" spans="1:16" x14ac:dyDescent="0.2">
      <c r="A49" s="810">
        <v>921</v>
      </c>
      <c r="B49" s="802" t="s">
        <v>2110</v>
      </c>
      <c r="C49" s="1622">
        <f>33811.18+68.9+1645.21+10950.05+16736.52</f>
        <v>63211.86</v>
      </c>
      <c r="D49" s="1622">
        <f>28830.31+2581.21+6190.93+28987.42</f>
        <v>66589.87</v>
      </c>
      <c r="E49" s="1622">
        <f>28300.95+5886.91+7945.75+34198.9</f>
        <v>76332.510000000009</v>
      </c>
      <c r="F49" s="1622">
        <v>178180.93</v>
      </c>
      <c r="G49" s="1622">
        <v>62378.99</v>
      </c>
      <c r="H49" s="1622">
        <v>59301.599999999999</v>
      </c>
      <c r="I49" s="1151">
        <f t="shared" ref="I49:N49" si="6">ROUND(I65*$D70,0)</f>
        <v>54169</v>
      </c>
      <c r="J49" s="1151">
        <f t="shared" si="6"/>
        <v>50675</v>
      </c>
      <c r="K49" s="1151">
        <f t="shared" si="6"/>
        <v>53034</v>
      </c>
      <c r="L49" s="1151">
        <f t="shared" si="6"/>
        <v>55468</v>
      </c>
      <c r="M49" s="1151">
        <f t="shared" si="6"/>
        <v>55719</v>
      </c>
      <c r="N49" s="1151">
        <f t="shared" si="6"/>
        <v>55206</v>
      </c>
      <c r="O49" s="473">
        <f t="shared" si="1"/>
        <v>830266.76</v>
      </c>
    </row>
    <row r="50" spans="1:16" x14ac:dyDescent="0.2">
      <c r="A50" s="810">
        <v>923</v>
      </c>
      <c r="B50" s="458" t="s">
        <v>207</v>
      </c>
      <c r="C50" s="1621">
        <f>365992.9+67890.29</f>
        <v>433883.19</v>
      </c>
      <c r="D50" s="1621">
        <f>363241.61+75861.08</f>
        <v>439102.69</v>
      </c>
      <c r="E50" s="1621">
        <f>416503.65+80055.51</f>
        <v>496559.16000000003</v>
      </c>
      <c r="F50" s="1621">
        <f>455345.29+131145.41</f>
        <v>586490.69999999995</v>
      </c>
      <c r="G50" s="1621">
        <f>350403.28+78130.8</f>
        <v>428534.08</v>
      </c>
      <c r="H50" s="1621">
        <f>325817.26+60813.07</f>
        <v>386630.33</v>
      </c>
      <c r="I50" s="1109">
        <f>'Base TY Budget'!L62</f>
        <v>601200</v>
      </c>
      <c r="J50" s="1109">
        <f>'Base TY Budget'!M62</f>
        <v>576570</v>
      </c>
      <c r="K50" s="1109">
        <f>'Base TY Budget'!N62</f>
        <v>590527</v>
      </c>
      <c r="L50" s="1109">
        <f>'Base TY Budget'!O62</f>
        <v>629826</v>
      </c>
      <c r="M50" s="1109">
        <f>'Base TY Budget'!P62</f>
        <v>613809</v>
      </c>
      <c r="N50" s="1109">
        <f>'Base TY Budget'!Q62</f>
        <v>603840</v>
      </c>
      <c r="O50" s="473">
        <f t="shared" si="1"/>
        <v>6386972.1500000004</v>
      </c>
    </row>
    <row r="51" spans="1:16" x14ac:dyDescent="0.2">
      <c r="A51" s="810">
        <v>924</v>
      </c>
      <c r="B51" s="458" t="s">
        <v>208</v>
      </c>
      <c r="C51" s="1621">
        <v>3617.57</v>
      </c>
      <c r="D51" s="1621">
        <v>3292</v>
      </c>
      <c r="E51" s="1621">
        <v>2557.71</v>
      </c>
      <c r="F51" s="1621">
        <v>3292</v>
      </c>
      <c r="G51" s="1621">
        <v>3134.39</v>
      </c>
      <c r="H51" s="1621">
        <v>3292.45</v>
      </c>
      <c r="I51" s="1109">
        <f>'Base TY Budget'!L63</f>
        <v>7480</v>
      </c>
      <c r="J51" s="1109">
        <f>'Base TY Budget'!M63</f>
        <v>7480</v>
      </c>
      <c r="K51" s="1109">
        <f>'Base TY Budget'!N63</f>
        <v>7638</v>
      </c>
      <c r="L51" s="1109">
        <f>'Base TY Budget'!O63</f>
        <v>7480</v>
      </c>
      <c r="M51" s="1109">
        <f>'Base TY Budget'!P63</f>
        <v>8251</v>
      </c>
      <c r="N51" s="1109">
        <f>'Base TY Budget'!Q63</f>
        <v>8251</v>
      </c>
      <c r="O51" s="473">
        <f t="shared" si="1"/>
        <v>65766.12</v>
      </c>
    </row>
    <row r="52" spans="1:16" x14ac:dyDescent="0.2">
      <c r="A52" s="810">
        <v>925</v>
      </c>
      <c r="B52" s="458" t="s">
        <v>209</v>
      </c>
      <c r="C52" s="1621">
        <v>63829.02</v>
      </c>
      <c r="D52" s="1621">
        <v>76542.45</v>
      </c>
      <c r="E52" s="1621">
        <v>77192.53</v>
      </c>
      <c r="F52" s="1621">
        <v>68393.88</v>
      </c>
      <c r="G52" s="1621">
        <v>76403.17</v>
      </c>
      <c r="H52" s="1621">
        <v>107136.01</v>
      </c>
      <c r="I52" s="1109">
        <f>'Base TY Budget'!L64</f>
        <v>77558</v>
      </c>
      <c r="J52" s="1109">
        <f>'Base TY Budget'!M64</f>
        <v>77384</v>
      </c>
      <c r="K52" s="1109">
        <f>'Base TY Budget'!N64</f>
        <v>78869</v>
      </c>
      <c r="L52" s="1109">
        <f>'Base TY Budget'!O64</f>
        <v>77739</v>
      </c>
      <c r="M52" s="1109">
        <f>'Base TY Budget'!P64</f>
        <v>84380</v>
      </c>
      <c r="N52" s="1109">
        <f>'Base TY Budget'!Q64</f>
        <v>84310</v>
      </c>
      <c r="O52" s="473">
        <f t="shared" si="1"/>
        <v>949737.06</v>
      </c>
    </row>
    <row r="53" spans="1:16" x14ac:dyDescent="0.2">
      <c r="A53" s="810">
        <v>926</v>
      </c>
      <c r="B53" s="458" t="s">
        <v>210</v>
      </c>
      <c r="C53" s="1621">
        <v>230764.06</v>
      </c>
      <c r="D53" s="1621">
        <v>265856.99</v>
      </c>
      <c r="E53" s="1621">
        <v>326929.3</v>
      </c>
      <c r="F53" s="1621">
        <v>253873.33</v>
      </c>
      <c r="G53" s="1621">
        <v>287092.53000000003</v>
      </c>
      <c r="H53" s="1621">
        <v>439722.06</v>
      </c>
      <c r="I53" s="1109">
        <f>'Base TY Budget'!L65</f>
        <v>245301</v>
      </c>
      <c r="J53" s="1109">
        <f>'Base TY Budget'!M65</f>
        <v>246694</v>
      </c>
      <c r="K53" s="1109">
        <f>'Base TY Budget'!N65</f>
        <v>247987</v>
      </c>
      <c r="L53" s="1109">
        <f>'Base TY Budget'!O65</f>
        <v>274592</v>
      </c>
      <c r="M53" s="1109">
        <f>'Base TY Budget'!P65</f>
        <v>275581</v>
      </c>
      <c r="N53" s="1109">
        <f>'Base TY Budget'!Q65</f>
        <v>264169</v>
      </c>
      <c r="O53" s="473">
        <f t="shared" si="1"/>
        <v>3358562.27</v>
      </c>
    </row>
    <row r="54" spans="1:16" x14ac:dyDescent="0.2">
      <c r="A54" s="810">
        <v>928</v>
      </c>
      <c r="B54" s="458" t="s">
        <v>211</v>
      </c>
      <c r="C54" s="1621">
        <v>41317.07</v>
      </c>
      <c r="D54" s="1621">
        <v>41317.07</v>
      </c>
      <c r="E54" s="1621">
        <v>41317.07</v>
      </c>
      <c r="F54" s="1621">
        <v>41317.07</v>
      </c>
      <c r="G54" s="1621">
        <v>41317.07</v>
      </c>
      <c r="H54" s="1621">
        <v>41317.07</v>
      </c>
      <c r="I54" s="1109">
        <f>'Base TY Budget'!L66</f>
        <v>24332</v>
      </c>
      <c r="J54" s="1109">
        <f>'Base TY Budget'!M66</f>
        <v>30779</v>
      </c>
      <c r="K54" s="1109">
        <f>'Base TY Budget'!N66</f>
        <v>25487</v>
      </c>
      <c r="L54" s="1109">
        <f>'Base TY Budget'!O66</f>
        <v>24897</v>
      </c>
      <c r="M54" s="1109">
        <f>'Base TY Budget'!P66</f>
        <v>24597</v>
      </c>
      <c r="N54" s="1109">
        <f>'Base TY Budget'!Q66</f>
        <v>24597</v>
      </c>
      <c r="O54" s="473">
        <f t="shared" si="1"/>
        <v>402591.42000000004</v>
      </c>
    </row>
    <row r="55" spans="1:16" x14ac:dyDescent="0.2">
      <c r="A55" s="810">
        <v>930</v>
      </c>
      <c r="B55" s="458" t="s">
        <v>212</v>
      </c>
      <c r="C55" s="1621">
        <f>430.2-3595.51</f>
        <v>-3165.3100000000004</v>
      </c>
      <c r="D55" s="1621">
        <f>3949.33+2218.68</f>
        <v>6168.01</v>
      </c>
      <c r="E55" s="1621">
        <f>2099.89-7940.16</f>
        <v>-5840.27</v>
      </c>
      <c r="F55" s="1621">
        <f>432.02-31495.49</f>
        <v>-31063.47</v>
      </c>
      <c r="G55" s="1621">
        <f>4573.8-12212.05</f>
        <v>-7638.2499999999991</v>
      </c>
      <c r="H55" s="1621">
        <f>1382.76+54.24</f>
        <v>1437</v>
      </c>
      <c r="I55" s="1109">
        <f>'Base TY Budget'!L67</f>
        <v>-7132</v>
      </c>
      <c r="J55" s="1109">
        <f>'Base TY Budget'!M67</f>
        <v>-8653</v>
      </c>
      <c r="K55" s="1109">
        <f>'Base TY Budget'!N67</f>
        <v>-1249</v>
      </c>
      <c r="L55" s="1109">
        <f>'Base TY Budget'!O67</f>
        <v>-5415</v>
      </c>
      <c r="M55" s="1109">
        <f>'Base TY Budget'!P67</f>
        <v>-3911</v>
      </c>
      <c r="N55" s="1109">
        <f>'Base TY Budget'!Q67</f>
        <v>-7599</v>
      </c>
      <c r="O55" s="473">
        <f t="shared" si="1"/>
        <v>-74061.290000000008</v>
      </c>
    </row>
    <row r="56" spans="1:16" x14ac:dyDescent="0.2">
      <c r="A56" s="810">
        <v>931</v>
      </c>
      <c r="B56" s="802" t="s">
        <v>213</v>
      </c>
      <c r="C56" s="1621">
        <v>63869.15</v>
      </c>
      <c r="D56" s="1621">
        <v>66170.570000000007</v>
      </c>
      <c r="E56" s="1621">
        <v>67567.839999999997</v>
      </c>
      <c r="F56" s="1621">
        <v>32902.68</v>
      </c>
      <c r="G56" s="1621">
        <v>65324.27</v>
      </c>
      <c r="H56" s="1621">
        <v>65399.3</v>
      </c>
      <c r="I56" s="1109">
        <f>'Base TY Budget'!L68</f>
        <v>50018</v>
      </c>
      <c r="J56" s="1109">
        <f>'Base TY Budget'!M68</f>
        <v>47843</v>
      </c>
      <c r="K56" s="1109">
        <f>'Base TY Budget'!N68</f>
        <v>48837</v>
      </c>
      <c r="L56" s="1109">
        <f>'Base TY Budget'!O68</f>
        <v>52298</v>
      </c>
      <c r="M56" s="1109">
        <f>'Base TY Budget'!P68</f>
        <v>51065</v>
      </c>
      <c r="N56" s="1109">
        <f>'Base TY Budget'!Q68</f>
        <v>50140</v>
      </c>
      <c r="O56" s="473">
        <f t="shared" si="1"/>
        <v>661434.81000000006</v>
      </c>
    </row>
    <row r="57" spans="1:16" x14ac:dyDescent="0.2">
      <c r="A57" s="810">
        <v>932</v>
      </c>
      <c r="B57" s="458" t="s">
        <v>2103</v>
      </c>
      <c r="C57" s="1621">
        <v>18468.21</v>
      </c>
      <c r="D57" s="1621">
        <v>17466.169999999998</v>
      </c>
      <c r="E57" s="1621">
        <v>20090.14</v>
      </c>
      <c r="F57" s="1621">
        <v>34161.17</v>
      </c>
      <c r="G57" s="1621">
        <v>22451.02</v>
      </c>
      <c r="H57" s="1621">
        <v>20923.97</v>
      </c>
      <c r="I57" s="1109">
        <f>'Base TY Budget'!L69</f>
        <v>19160</v>
      </c>
      <c r="J57" s="1109">
        <f>'Base TY Budget'!M69</f>
        <v>18378</v>
      </c>
      <c r="K57" s="1109">
        <f>'Base TY Budget'!N69</f>
        <v>18884</v>
      </c>
      <c r="L57" s="1109">
        <f>'Base TY Budget'!O69</f>
        <v>20190</v>
      </c>
      <c r="M57" s="1109">
        <f>'Base TY Budget'!P69</f>
        <v>19666</v>
      </c>
      <c r="N57" s="1109">
        <f>'Base TY Budget'!Q69</f>
        <v>19398</v>
      </c>
      <c r="O57" s="473">
        <f t="shared" si="1"/>
        <v>249236.68</v>
      </c>
    </row>
    <row r="58" spans="1:16" x14ac:dyDescent="0.2">
      <c r="A58" s="810">
        <v>935</v>
      </c>
      <c r="B58" s="802" t="s">
        <v>198</v>
      </c>
      <c r="C58" s="1621">
        <v>0</v>
      </c>
      <c r="D58" s="1621">
        <v>0</v>
      </c>
      <c r="E58" s="1621">
        <v>0</v>
      </c>
      <c r="F58" s="1621">
        <v>80</v>
      </c>
      <c r="G58" s="1621">
        <v>0</v>
      </c>
      <c r="H58" s="1621">
        <v>0</v>
      </c>
      <c r="I58" s="1151">
        <f>ROUND(I74*$D79,0)</f>
        <v>6</v>
      </c>
      <c r="J58" s="1151">
        <f t="shared" ref="J58:N58" si="7">ROUND(J74*$D79,0)</f>
        <v>7</v>
      </c>
      <c r="K58" s="1151">
        <f t="shared" si="7"/>
        <v>11</v>
      </c>
      <c r="L58" s="1151">
        <f t="shared" si="7"/>
        <v>11</v>
      </c>
      <c r="M58" s="1151">
        <f t="shared" si="7"/>
        <v>12</v>
      </c>
      <c r="N58" s="1151">
        <f t="shared" si="7"/>
        <v>12</v>
      </c>
      <c r="O58" s="473">
        <f>SUM(C58:N58)</f>
        <v>139</v>
      </c>
    </row>
    <row r="59" spans="1:16" x14ac:dyDescent="0.2">
      <c r="C59" s="478"/>
      <c r="D59" s="478"/>
      <c r="E59" s="478"/>
      <c r="F59" s="478"/>
      <c r="G59" s="478"/>
      <c r="H59" s="478"/>
      <c r="I59" s="478"/>
      <c r="J59" s="478"/>
      <c r="K59" s="478"/>
      <c r="L59" s="478"/>
      <c r="M59" s="478"/>
      <c r="N59" s="1109"/>
      <c r="O59" s="473"/>
    </row>
    <row r="60" spans="1:16" x14ac:dyDescent="0.2">
      <c r="B60" s="458" t="s">
        <v>1194</v>
      </c>
      <c r="C60" s="478">
        <f t="shared" ref="C60:N60" si="8">SUM(C9:C59)</f>
        <v>2815928.4</v>
      </c>
      <c r="D60" s="478">
        <f t="shared" si="8"/>
        <v>2896050.169999999</v>
      </c>
      <c r="E60" s="478">
        <f t="shared" si="8"/>
        <v>3137525.6599999992</v>
      </c>
      <c r="F60" s="478">
        <f t="shared" si="8"/>
        <v>3541067.2599999993</v>
      </c>
      <c r="G60" s="478">
        <f t="shared" si="8"/>
        <v>3080649.47</v>
      </c>
      <c r="H60" s="478">
        <f t="shared" si="8"/>
        <v>3300693.9299999997</v>
      </c>
      <c r="I60" s="478">
        <f t="shared" si="8"/>
        <v>3329605</v>
      </c>
      <c r="J60" s="478">
        <f t="shared" si="8"/>
        <v>3264548</v>
      </c>
      <c r="K60" s="478">
        <f t="shared" si="8"/>
        <v>3346676</v>
      </c>
      <c r="L60" s="478">
        <f t="shared" si="8"/>
        <v>3493003</v>
      </c>
      <c r="M60" s="478">
        <f t="shared" si="8"/>
        <v>3434456</v>
      </c>
      <c r="N60" s="1109">
        <f t="shared" si="8"/>
        <v>3426267</v>
      </c>
      <c r="O60" s="473">
        <f>SUM(C60:N60)</f>
        <v>39066469.890000001</v>
      </c>
      <c r="P60" s="478"/>
    </row>
    <row r="61" spans="1:16" x14ac:dyDescent="0.2">
      <c r="C61" s="478">
        <v>2815928.3999999994</v>
      </c>
      <c r="D61" s="478">
        <v>2896049.9899999993</v>
      </c>
      <c r="E61" s="478">
        <v>3137525.69</v>
      </c>
      <c r="F61" s="478">
        <v>3541069.5199999991</v>
      </c>
      <c r="G61" s="478">
        <v>3080649.6799999992</v>
      </c>
      <c r="H61" s="478">
        <v>3300693.9</v>
      </c>
      <c r="I61" s="478"/>
      <c r="J61" s="478"/>
      <c r="K61" s="478"/>
      <c r="L61" s="478"/>
      <c r="M61" s="478"/>
      <c r="N61" s="1109"/>
      <c r="O61" s="473"/>
      <c r="P61" s="478"/>
    </row>
    <row r="62" spans="1:16" x14ac:dyDescent="0.2">
      <c r="C62" s="478"/>
      <c r="D62" s="478"/>
      <c r="E62" s="478"/>
      <c r="F62" s="478"/>
      <c r="G62" s="478"/>
      <c r="H62" s="478"/>
      <c r="I62" s="478"/>
      <c r="J62" s="478"/>
      <c r="K62" s="478"/>
      <c r="L62" s="478"/>
      <c r="M62" s="478"/>
      <c r="N62" s="1109"/>
      <c r="O62" s="473"/>
      <c r="P62" s="478"/>
    </row>
    <row r="63" spans="1:16" ht="12" thickBot="1" x14ac:dyDescent="0.25">
      <c r="A63" s="460" t="s">
        <v>2322</v>
      </c>
    </row>
    <row r="64" spans="1:16" x14ac:dyDescent="0.2">
      <c r="A64" s="1608"/>
      <c r="B64" s="1609"/>
      <c r="C64" s="1610"/>
      <c r="D64" s="1610"/>
      <c r="E64" s="1610"/>
      <c r="F64" s="1610"/>
      <c r="G64" s="1610"/>
      <c r="H64" s="1610"/>
      <c r="I64" s="1609"/>
      <c r="J64" s="812"/>
      <c r="K64" s="1609"/>
      <c r="L64" s="1609"/>
      <c r="M64" s="1609"/>
      <c r="N64" s="1609"/>
      <c r="O64" s="1611"/>
      <c r="P64" s="1612"/>
    </row>
    <row r="65" spans="1:20" s="816" customFormat="1" x14ac:dyDescent="0.2">
      <c r="A65" s="1613" t="s">
        <v>2114</v>
      </c>
      <c r="B65" s="820"/>
      <c r="C65" s="1151">
        <f>C35+C45+C49</f>
        <v>63279.74</v>
      </c>
      <c r="D65" s="1151">
        <f t="shared" ref="D65:H65" si="9">D35+D45+D49</f>
        <v>66666.559999999998</v>
      </c>
      <c r="E65" s="1151">
        <f t="shared" si="9"/>
        <v>76457.670000000013</v>
      </c>
      <c r="F65" s="1151">
        <f t="shared" si="9"/>
        <v>186801.75</v>
      </c>
      <c r="G65" s="1151">
        <f t="shared" si="9"/>
        <v>63007.9</v>
      </c>
      <c r="H65" s="1151">
        <f t="shared" si="9"/>
        <v>59921.369999999995</v>
      </c>
      <c r="I65" s="1151">
        <f>'Base TY Budget'!L61</f>
        <v>55010</v>
      </c>
      <c r="J65" s="1151">
        <f>'Base TY Budget'!M61</f>
        <v>51461</v>
      </c>
      <c r="K65" s="1151">
        <f>'Base TY Budget'!N61</f>
        <v>53857</v>
      </c>
      <c r="L65" s="1151">
        <f>'Base TY Budget'!O61</f>
        <v>56329</v>
      </c>
      <c r="M65" s="1151">
        <f>'Base TY Budget'!P61</f>
        <v>56584</v>
      </c>
      <c r="N65" s="1151">
        <f>'Base TY Budget'!Q61</f>
        <v>56063</v>
      </c>
      <c r="O65" s="1605">
        <f>SUM(C65:N65)</f>
        <v>845438.99</v>
      </c>
      <c r="P65" s="1614"/>
    </row>
    <row r="66" spans="1:20" x14ac:dyDescent="0.2">
      <c r="A66" s="813"/>
      <c r="B66" s="814"/>
      <c r="C66" s="1151"/>
      <c r="D66" s="1151"/>
      <c r="E66" s="1151"/>
      <c r="F66" s="1152"/>
      <c r="G66" s="1151"/>
      <c r="H66" s="1151"/>
      <c r="I66" s="1151"/>
      <c r="J66" s="1151"/>
      <c r="K66" s="1151"/>
      <c r="L66" s="1151"/>
      <c r="M66" s="1151"/>
      <c r="N66" s="1151"/>
      <c r="O66" s="1605"/>
      <c r="P66" s="1614"/>
    </row>
    <row r="67" spans="1:20" ht="11.25" customHeight="1" x14ac:dyDescent="0.2">
      <c r="A67" s="1630" t="s">
        <v>2120</v>
      </c>
      <c r="B67" s="815"/>
      <c r="C67" s="1151"/>
      <c r="D67" s="1152"/>
      <c r="E67" s="1151"/>
      <c r="F67" s="1152"/>
      <c r="G67" s="1152"/>
      <c r="H67" s="1151"/>
      <c r="I67" s="1151"/>
      <c r="J67" s="1151"/>
      <c r="K67" s="1151"/>
      <c r="L67" s="1151"/>
      <c r="M67" s="1151"/>
      <c r="N67" s="1151"/>
      <c r="O67" s="1605"/>
      <c r="P67" s="1614"/>
      <c r="Q67" s="2144"/>
      <c r="R67" s="2145"/>
      <c r="S67" s="2145"/>
      <c r="T67" s="2145"/>
    </row>
    <row r="68" spans="1:20" x14ac:dyDescent="0.2">
      <c r="A68" s="813" t="s">
        <v>214</v>
      </c>
      <c r="B68" s="814"/>
      <c r="C68" s="1153">
        <v>220.25</v>
      </c>
      <c r="D68" s="817">
        <f>ROUND(C68/C$71,6)</f>
        <v>2.7399999999999999E-4</v>
      </c>
      <c r="E68" s="1153"/>
      <c r="F68" s="1153"/>
      <c r="G68" s="1153"/>
      <c r="H68" s="1153"/>
      <c r="I68" s="1153"/>
      <c r="J68" s="1153"/>
      <c r="K68" s="1153"/>
      <c r="L68" s="1153"/>
      <c r="M68" s="1153"/>
      <c r="N68" s="1153"/>
      <c r="O68" s="1605"/>
      <c r="P68" s="1614"/>
      <c r="Q68" s="2144"/>
      <c r="R68" s="2145"/>
      <c r="S68" s="2145"/>
      <c r="T68" s="2145"/>
    </row>
    <row r="69" spans="1:20" x14ac:dyDescent="0.2">
      <c r="A69" s="813" t="s">
        <v>215</v>
      </c>
      <c r="B69" s="814"/>
      <c r="C69" s="1153">
        <v>12041.13</v>
      </c>
      <c r="D69" s="817">
        <f>ROUND(C69/C$71,6)</f>
        <v>1.5006E-2</v>
      </c>
      <c r="E69" s="1153"/>
      <c r="F69" s="1153"/>
      <c r="G69" s="1153"/>
      <c r="H69" s="1153"/>
      <c r="I69" s="1153"/>
      <c r="J69" s="1153"/>
      <c r="K69" s="1153"/>
      <c r="L69" s="1153"/>
      <c r="M69" s="1153"/>
      <c r="N69" s="1153"/>
      <c r="O69" s="1605"/>
      <c r="P69" s="1614"/>
      <c r="Q69" s="2144"/>
      <c r="R69" s="2145"/>
      <c r="S69" s="2145"/>
      <c r="T69" s="2145"/>
    </row>
    <row r="70" spans="1:20" x14ac:dyDescent="0.2">
      <c r="A70" s="813" t="s">
        <v>216</v>
      </c>
      <c r="B70" s="814"/>
      <c r="C70" s="1154">
        <f>802426.16-C68-C69</f>
        <v>790164.78</v>
      </c>
      <c r="D70" s="817">
        <f>ROUND(C70/C$71,6)</f>
        <v>0.98472000000000004</v>
      </c>
      <c r="E70" s="1154"/>
      <c r="F70" s="1154"/>
      <c r="G70" s="1154"/>
      <c r="H70" s="1154"/>
      <c r="I70" s="1154"/>
      <c r="J70" s="1154"/>
      <c r="K70" s="1154"/>
      <c r="L70" s="1154"/>
      <c r="M70" s="1154"/>
      <c r="N70" s="1154"/>
      <c r="O70" s="1606"/>
      <c r="P70" s="1614"/>
      <c r="Q70" s="2144"/>
      <c r="R70" s="2145"/>
      <c r="S70" s="2145"/>
      <c r="T70" s="2145"/>
    </row>
    <row r="71" spans="1:20" x14ac:dyDescent="0.2">
      <c r="A71" s="813" t="s">
        <v>1194</v>
      </c>
      <c r="B71" s="814"/>
      <c r="C71" s="1151">
        <f>SUM(C68:C70)</f>
        <v>802426.16</v>
      </c>
      <c r="D71" s="1152"/>
      <c r="E71" s="1151"/>
      <c r="F71" s="1152"/>
      <c r="G71" s="1152"/>
      <c r="H71" s="1151"/>
      <c r="I71" s="1151"/>
      <c r="J71" s="1151"/>
      <c r="K71" s="1151"/>
      <c r="L71" s="1151"/>
      <c r="M71" s="1151"/>
      <c r="N71" s="1151"/>
      <c r="O71" s="1605"/>
      <c r="P71" s="1614"/>
      <c r="Q71" s="2144"/>
      <c r="R71" s="2145"/>
      <c r="S71" s="2145"/>
      <c r="T71" s="2145"/>
    </row>
    <row r="72" spans="1:20" x14ac:dyDescent="0.2">
      <c r="A72" s="813"/>
      <c r="B72" s="814"/>
      <c r="C72" s="814"/>
      <c r="D72" s="815"/>
      <c r="E72" s="814"/>
      <c r="F72" s="815"/>
      <c r="G72" s="815"/>
      <c r="H72" s="814"/>
      <c r="I72" s="814"/>
      <c r="J72" s="814"/>
      <c r="K72" s="814"/>
      <c r="L72" s="814"/>
      <c r="M72" s="814"/>
      <c r="N72" s="816"/>
      <c r="O72" s="1607"/>
      <c r="P72" s="1614"/>
    </row>
    <row r="73" spans="1:20" x14ac:dyDescent="0.2">
      <c r="A73" s="813"/>
      <c r="B73" s="814"/>
      <c r="C73" s="814"/>
      <c r="D73" s="815"/>
      <c r="E73" s="814"/>
      <c r="F73" s="815"/>
      <c r="G73" s="815"/>
      <c r="H73" s="814"/>
      <c r="I73" s="814"/>
      <c r="J73" s="814"/>
      <c r="K73" s="814"/>
      <c r="L73" s="814"/>
      <c r="M73" s="814"/>
      <c r="N73" s="814"/>
      <c r="O73" s="1607"/>
      <c r="P73" s="1614"/>
    </row>
    <row r="74" spans="1:20" x14ac:dyDescent="0.2">
      <c r="A74" s="819" t="s">
        <v>217</v>
      </c>
      <c r="B74" s="820"/>
      <c r="C74" s="1151">
        <f>C36+C46+C58</f>
        <v>0</v>
      </c>
      <c r="D74" s="1151">
        <f t="shared" ref="D74:H74" si="10">D36+D46+D58</f>
        <v>0</v>
      </c>
      <c r="E74" s="1151">
        <f t="shared" si="10"/>
        <v>0</v>
      </c>
      <c r="F74" s="1151">
        <f t="shared" si="10"/>
        <v>80</v>
      </c>
      <c r="G74" s="1151">
        <f t="shared" si="10"/>
        <v>0</v>
      </c>
      <c r="H74" s="1151">
        <f t="shared" si="10"/>
        <v>0</v>
      </c>
      <c r="I74" s="1151">
        <f>'Base TY Budget'!L70</f>
        <v>6</v>
      </c>
      <c r="J74" s="1151">
        <f>'Base TY Budget'!M70</f>
        <v>7</v>
      </c>
      <c r="K74" s="1151">
        <f>'Base TY Budget'!N70</f>
        <v>11</v>
      </c>
      <c r="L74" s="1151">
        <f>'Base TY Budget'!O70</f>
        <v>11</v>
      </c>
      <c r="M74" s="1151">
        <f>'Base TY Budget'!P70</f>
        <v>12</v>
      </c>
      <c r="N74" s="1151">
        <f>'Base TY Budget'!Q70</f>
        <v>12</v>
      </c>
      <c r="O74" s="1607"/>
      <c r="P74" s="1614"/>
    </row>
    <row r="75" spans="1:20" x14ac:dyDescent="0.2">
      <c r="A75" s="821"/>
      <c r="B75" s="816"/>
      <c r="C75" s="1151"/>
      <c r="D75" s="1152"/>
      <c r="E75" s="1151"/>
      <c r="F75" s="1152"/>
      <c r="G75" s="1152"/>
      <c r="H75" s="1151"/>
      <c r="I75" s="1151"/>
      <c r="J75" s="1151"/>
      <c r="K75" s="1151"/>
      <c r="L75" s="1151"/>
      <c r="M75" s="1151"/>
      <c r="N75" s="1151"/>
      <c r="O75" s="1605"/>
      <c r="P75" s="1614"/>
    </row>
    <row r="76" spans="1:20" x14ac:dyDescent="0.2">
      <c r="A76" s="1630" t="s">
        <v>2121</v>
      </c>
      <c r="B76" s="822"/>
      <c r="C76" s="1152"/>
      <c r="D76" s="1152"/>
      <c r="E76" s="1151"/>
      <c r="F76" s="1152"/>
      <c r="G76" s="1152"/>
      <c r="H76" s="1151"/>
      <c r="I76" s="1151"/>
      <c r="J76" s="1151"/>
      <c r="K76" s="1151"/>
      <c r="L76" s="1151"/>
      <c r="M76" s="1151"/>
      <c r="N76" s="1151"/>
      <c r="O76" s="1605"/>
      <c r="P76" s="1614"/>
    </row>
    <row r="77" spans="1:20" x14ac:dyDescent="0.2">
      <c r="A77" s="813" t="s">
        <v>214</v>
      </c>
      <c r="B77" s="816"/>
      <c r="C77" s="1153">
        <v>0</v>
      </c>
      <c r="D77" s="817">
        <f>IF(C77=0,0,ROUND(C77/C$80,6))</f>
        <v>0</v>
      </c>
      <c r="E77" s="1153"/>
      <c r="F77" s="1153"/>
      <c r="G77" s="1153"/>
      <c r="H77" s="1153"/>
      <c r="I77" s="1153"/>
      <c r="J77" s="1153"/>
      <c r="K77" s="1153"/>
      <c r="L77" s="1153"/>
      <c r="M77" s="1153"/>
      <c r="N77" s="1153"/>
      <c r="O77" s="1605"/>
      <c r="P77" s="1614"/>
    </row>
    <row r="78" spans="1:20" x14ac:dyDescent="0.2">
      <c r="A78" s="813" t="s">
        <v>215</v>
      </c>
      <c r="B78" s="816"/>
      <c r="C78" s="1153">
        <v>0</v>
      </c>
      <c r="D78" s="817">
        <f>IF(C78=0,0,ROUND(C78/C$80,6))</f>
        <v>0</v>
      </c>
      <c r="E78" s="1153"/>
      <c r="F78" s="1153"/>
      <c r="G78" s="1153"/>
      <c r="H78" s="1153"/>
      <c r="I78" s="1153"/>
      <c r="J78" s="1153"/>
      <c r="K78" s="1153"/>
      <c r="L78" s="1153"/>
      <c r="M78" s="1153"/>
      <c r="N78" s="1153"/>
      <c r="O78" s="1605"/>
      <c r="P78" s="1614"/>
    </row>
    <row r="79" spans="1:20" x14ac:dyDescent="0.2">
      <c r="A79" s="813" t="s">
        <v>216</v>
      </c>
      <c r="B79" s="816"/>
      <c r="C79" s="1154">
        <v>80</v>
      </c>
      <c r="D79" s="817">
        <f>IF(C79=0,0,ROUND(C79/C$80,6))</f>
        <v>1</v>
      </c>
      <c r="E79" s="1154"/>
      <c r="F79" s="1154"/>
      <c r="G79" s="1154"/>
      <c r="H79" s="1154"/>
      <c r="I79" s="1154"/>
      <c r="J79" s="1154"/>
      <c r="K79" s="1154"/>
      <c r="L79" s="1154"/>
      <c r="M79" s="1154"/>
      <c r="N79" s="1154"/>
      <c r="O79" s="1606"/>
      <c r="P79" s="1614"/>
    </row>
    <row r="80" spans="1:20" x14ac:dyDescent="0.2">
      <c r="A80" s="813" t="s">
        <v>1194</v>
      </c>
      <c r="B80" s="816"/>
      <c r="C80" s="1152">
        <f>SUM(C77:C79)</f>
        <v>80</v>
      </c>
      <c r="D80" s="1152"/>
      <c r="E80" s="1151"/>
      <c r="F80" s="1152"/>
      <c r="G80" s="1152"/>
      <c r="H80" s="1151"/>
      <c r="I80" s="1151"/>
      <c r="J80" s="1151"/>
      <c r="K80" s="1151"/>
      <c r="L80" s="1151"/>
      <c r="M80" s="1151"/>
      <c r="N80" s="1151"/>
      <c r="O80" s="1605"/>
      <c r="P80" s="1614"/>
    </row>
    <row r="81" spans="1:16" ht="12" thickBot="1" x14ac:dyDescent="0.25">
      <c r="A81" s="823"/>
      <c r="B81" s="824"/>
      <c r="C81" s="824"/>
      <c r="D81" s="824"/>
      <c r="E81" s="824"/>
      <c r="F81" s="824"/>
      <c r="G81" s="824"/>
      <c r="H81" s="824"/>
      <c r="I81" s="824"/>
      <c r="J81" s="824"/>
      <c r="K81" s="824"/>
      <c r="L81" s="824"/>
      <c r="M81" s="824"/>
      <c r="N81" s="824"/>
      <c r="O81" s="1615"/>
      <c r="P81" s="1616"/>
    </row>
    <row r="82" spans="1:16" x14ac:dyDescent="0.2">
      <c r="A82" s="816"/>
      <c r="B82" s="816"/>
      <c r="C82" s="816"/>
      <c r="D82" s="817"/>
      <c r="E82" s="817"/>
      <c r="F82" s="817"/>
      <c r="G82" s="817"/>
      <c r="H82" s="817"/>
      <c r="I82" s="817"/>
      <c r="J82" s="817"/>
      <c r="K82" s="817"/>
      <c r="L82" s="817"/>
      <c r="M82" s="817"/>
      <c r="N82" s="817"/>
      <c r="O82" s="1607"/>
      <c r="P82" s="816"/>
    </row>
    <row r="83" spans="1:16" x14ac:dyDescent="0.2">
      <c r="A83" s="816"/>
      <c r="B83" s="816"/>
      <c r="C83" s="816"/>
      <c r="D83" s="817"/>
      <c r="E83" s="817"/>
      <c r="F83" s="817"/>
      <c r="G83" s="817"/>
      <c r="H83" s="817"/>
      <c r="I83" s="817"/>
      <c r="J83" s="817"/>
      <c r="K83" s="817"/>
      <c r="L83" s="817"/>
      <c r="M83" s="817"/>
      <c r="N83" s="817"/>
      <c r="O83" s="1607"/>
      <c r="P83" s="816"/>
    </row>
    <row r="84" spans="1:16" x14ac:dyDescent="0.2">
      <c r="A84" s="816"/>
      <c r="B84" s="816"/>
      <c r="C84" s="816"/>
      <c r="D84" s="817"/>
      <c r="E84" s="817"/>
      <c r="F84" s="817"/>
      <c r="G84" s="817"/>
      <c r="H84" s="817"/>
      <c r="I84" s="817"/>
      <c r="J84" s="817"/>
      <c r="K84" s="817"/>
      <c r="L84" s="817"/>
      <c r="M84" s="817"/>
      <c r="N84" s="817"/>
      <c r="O84" s="1607"/>
      <c r="P84" s="816"/>
    </row>
    <row r="85" spans="1:16" x14ac:dyDescent="0.2">
      <c r="A85" s="816"/>
      <c r="B85" s="816"/>
      <c r="C85" s="816"/>
      <c r="D85" s="816"/>
      <c r="E85" s="816"/>
      <c r="F85" s="816"/>
      <c r="G85" s="816"/>
      <c r="H85" s="816"/>
      <c r="I85" s="816"/>
      <c r="J85" s="814"/>
      <c r="K85" s="816"/>
      <c r="L85" s="816"/>
      <c r="M85" s="816"/>
      <c r="N85" s="816"/>
      <c r="O85" s="1607"/>
      <c r="P85" s="816"/>
    </row>
    <row r="99" spans="3:9" x14ac:dyDescent="0.2">
      <c r="C99" s="489"/>
      <c r="D99" s="489"/>
      <c r="E99" s="489"/>
      <c r="F99" s="489"/>
      <c r="G99" s="489"/>
      <c r="H99" s="489"/>
      <c r="I99" s="489"/>
    </row>
    <row r="100" spans="3:9" x14ac:dyDescent="0.2">
      <c r="C100" s="489"/>
      <c r="D100" s="489"/>
      <c r="E100" s="489"/>
      <c r="F100" s="489"/>
      <c r="G100" s="489"/>
      <c r="H100" s="489"/>
      <c r="I100" s="489"/>
    </row>
    <row r="101" spans="3:9" x14ac:dyDescent="0.2">
      <c r="C101" s="489"/>
      <c r="D101" s="489"/>
      <c r="E101" s="489"/>
      <c r="F101" s="489"/>
      <c r="G101" s="489"/>
      <c r="H101" s="489"/>
      <c r="I101" s="489"/>
    </row>
  </sheetData>
  <mergeCells count="2">
    <mergeCell ref="C7:H7"/>
    <mergeCell ref="Q67:T71"/>
  </mergeCells>
  <phoneticPr fontId="0" type="noConversion"/>
  <pageMargins left="0" right="0" top="1" bottom="1" header="0.5" footer="0.5"/>
  <pageSetup scale="77" orientation="landscape" r:id="rId1"/>
  <headerFooter alignWithMargins="0"/>
  <rowBreaks count="1" manualBreakCount="1">
    <brk id="62" max="1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2">
    <pageSetUpPr fitToPage="1"/>
  </sheetPr>
  <dimension ref="A1:I41"/>
  <sheetViews>
    <sheetView showGridLines="0" view="pageBreakPreview" zoomScale="75" zoomScaleNormal="100" zoomScaleSheetLayoutView="75" workbookViewId="0">
      <selection activeCell="F46" sqref="F46"/>
    </sheetView>
  </sheetViews>
  <sheetFormatPr defaultColWidth="9.83203125" defaultRowHeight="12.75" x14ac:dyDescent="0.2"/>
  <cols>
    <col min="1" max="1" width="6.1640625" style="3" customWidth="1"/>
    <col min="2" max="2" width="17.5" style="3" customWidth="1"/>
    <col min="3" max="4" width="9.83203125" style="3"/>
    <col min="5" max="5" width="15.6640625" style="3" bestFit="1" customWidth="1"/>
    <col min="6" max="6" width="18.6640625" style="3" customWidth="1"/>
    <col min="7" max="7" width="18.5" style="3" bestFit="1" customWidth="1"/>
    <col min="8" max="8" width="17" style="3" bestFit="1" customWidth="1"/>
    <col min="9" max="9" width="18.5" style="3" bestFit="1" customWidth="1"/>
    <col min="10" max="16384" width="9.83203125" style="3"/>
  </cols>
  <sheetData>
    <row r="1" spans="1:9" x14ac:dyDescent="0.2">
      <c r="A1" s="2063" t="str">
        <f>co</f>
        <v>COLUMBIA GAS OF KENTUCKY, INC.</v>
      </c>
      <c r="B1" s="2063"/>
      <c r="C1" s="2063"/>
      <c r="D1" s="2063"/>
      <c r="E1" s="2063"/>
      <c r="F1" s="2063"/>
      <c r="G1" s="2063"/>
      <c r="H1" s="2063"/>
      <c r="I1" s="2063"/>
    </row>
    <row r="2" spans="1:9" x14ac:dyDescent="0.2">
      <c r="A2" s="2063" t="str">
        <f>case</f>
        <v>CASE NO. 2016 - 00162</v>
      </c>
      <c r="B2" s="2063"/>
      <c r="C2" s="2063"/>
      <c r="D2" s="2063"/>
      <c r="E2" s="2063"/>
      <c r="F2" s="2063"/>
      <c r="G2" s="2063"/>
      <c r="H2" s="2063"/>
      <c r="I2" s="2063"/>
    </row>
    <row r="3" spans="1:9" x14ac:dyDescent="0.2">
      <c r="A3" s="2060" t="s">
        <v>668</v>
      </c>
      <c r="B3" s="2060"/>
      <c r="C3" s="2060"/>
      <c r="D3" s="2060"/>
      <c r="E3" s="2060"/>
      <c r="F3" s="2060"/>
      <c r="G3" s="2060"/>
      <c r="H3" s="2060"/>
      <c r="I3" s="2060"/>
    </row>
    <row r="4" spans="1:9" x14ac:dyDescent="0.2">
      <c r="A4" s="2063" t="str">
        <f>dateb</f>
        <v>AS OF AUGUST 31, 2016</v>
      </c>
      <c r="B4" s="2063"/>
      <c r="C4" s="2063"/>
      <c r="D4" s="2063"/>
      <c r="E4" s="2063"/>
      <c r="F4" s="2063"/>
      <c r="G4" s="2063"/>
      <c r="H4" s="2063"/>
      <c r="I4" s="2063"/>
    </row>
    <row r="6" spans="1:9" x14ac:dyDescent="0.2">
      <c r="A6" s="4" t="s">
        <v>976</v>
      </c>
      <c r="I6" s="5" t="s">
        <v>669</v>
      </c>
    </row>
    <row r="7" spans="1:9" x14ac:dyDescent="0.2">
      <c r="A7" s="4" t="s">
        <v>977</v>
      </c>
      <c r="I7" s="5" t="s">
        <v>628</v>
      </c>
    </row>
    <row r="8" spans="1:9" x14ac:dyDescent="0.2">
      <c r="A8" s="165" t="s">
        <v>996</v>
      </c>
      <c r="B8" s="166"/>
      <c r="C8" s="166"/>
      <c r="D8" s="166"/>
      <c r="E8" s="7"/>
      <c r="F8" s="7"/>
      <c r="G8" s="7"/>
      <c r="H8" s="7"/>
      <c r="I8" s="195" t="str">
        <f>SMK</f>
        <v>WITNESS:  S. M. KATKO</v>
      </c>
    </row>
    <row r="9" spans="1:9" x14ac:dyDescent="0.2">
      <c r="E9" s="1" t="s">
        <v>634</v>
      </c>
      <c r="G9" s="1" t="s">
        <v>634</v>
      </c>
      <c r="I9" s="1"/>
    </row>
    <row r="10" spans="1:9" x14ac:dyDescent="0.2">
      <c r="E10" s="1" t="s">
        <v>638</v>
      </c>
      <c r="G10" s="1" t="s">
        <v>638</v>
      </c>
      <c r="I10" s="309" t="s">
        <v>1116</v>
      </c>
    </row>
    <row r="11" spans="1:9" x14ac:dyDescent="0.2">
      <c r="A11" s="1" t="s">
        <v>632</v>
      </c>
      <c r="E11" s="1" t="s">
        <v>670</v>
      </c>
      <c r="F11" s="1" t="s">
        <v>671</v>
      </c>
      <c r="G11" s="1" t="s">
        <v>671</v>
      </c>
      <c r="I11" s="1" t="s">
        <v>672</v>
      </c>
    </row>
    <row r="12" spans="1:9" x14ac:dyDescent="0.2">
      <c r="A12" s="9" t="s">
        <v>635</v>
      </c>
      <c r="B12" s="6" t="s">
        <v>674</v>
      </c>
      <c r="C12" s="7"/>
      <c r="D12" s="7"/>
      <c r="E12" s="9" t="s">
        <v>675</v>
      </c>
      <c r="F12" s="9" t="s">
        <v>676</v>
      </c>
      <c r="G12" s="9" t="s">
        <v>670</v>
      </c>
      <c r="H12" s="9" t="s">
        <v>677</v>
      </c>
      <c r="I12" s="310" t="s">
        <v>696</v>
      </c>
    </row>
    <row r="13" spans="1:9" x14ac:dyDescent="0.2">
      <c r="E13" s="1" t="s">
        <v>639</v>
      </c>
      <c r="G13" s="1" t="s">
        <v>639</v>
      </c>
      <c r="H13" s="1" t="s">
        <v>639</v>
      </c>
      <c r="I13" s="1" t="s">
        <v>639</v>
      </c>
    </row>
    <row r="15" spans="1:9" x14ac:dyDescent="0.2">
      <c r="A15" s="1">
        <v>1</v>
      </c>
      <c r="B15" s="4" t="s">
        <v>678</v>
      </c>
      <c r="E15" s="11">
        <f>'B-2.1 Base Period GPA'!H20</f>
        <v>6097079.71</v>
      </c>
      <c r="F15" s="12">
        <v>1</v>
      </c>
      <c r="G15" s="11">
        <f>(E15*F15)</f>
        <v>6097079.71</v>
      </c>
      <c r="H15" s="553">
        <v>0</v>
      </c>
      <c r="I15" s="11">
        <f>(G15+H15)</f>
        <v>6097079.71</v>
      </c>
    </row>
    <row r="16" spans="1:9" x14ac:dyDescent="0.2">
      <c r="E16" s="11"/>
      <c r="G16" s="11"/>
      <c r="H16" s="10"/>
    </row>
    <row r="17" spans="1:9" x14ac:dyDescent="0.2">
      <c r="A17" s="1">
        <f>A15+1</f>
        <v>2</v>
      </c>
      <c r="B17" s="4" t="s">
        <v>679</v>
      </c>
      <c r="E17" s="11">
        <f>'B-2.1 Base Period GPA'!H24</f>
        <v>0</v>
      </c>
      <c r="F17" s="12">
        <v>1</v>
      </c>
      <c r="G17" s="11">
        <f>(E17*F17)</f>
        <v>0</v>
      </c>
      <c r="H17" s="553">
        <v>0</v>
      </c>
      <c r="I17" s="11">
        <f>(G17+H17)</f>
        <v>0</v>
      </c>
    </row>
    <row r="18" spans="1:9" x14ac:dyDescent="0.2">
      <c r="E18" s="11"/>
      <c r="G18" s="58" t="s">
        <v>680</v>
      </c>
      <c r="H18" s="129"/>
      <c r="I18" s="58" t="s">
        <v>680</v>
      </c>
    </row>
    <row r="19" spans="1:9" x14ac:dyDescent="0.2">
      <c r="A19" s="1">
        <f>A17+1</f>
        <v>3</v>
      </c>
      <c r="B19" s="4" t="s">
        <v>681</v>
      </c>
      <c r="E19" s="553">
        <v>0</v>
      </c>
      <c r="F19" s="12">
        <v>1</v>
      </c>
      <c r="G19" s="11">
        <f>(E19*F19)</f>
        <v>0</v>
      </c>
      <c r="H19" s="553">
        <v>0</v>
      </c>
      <c r="I19" s="11">
        <f>(G19+H19)</f>
        <v>0</v>
      </c>
    </row>
    <row r="20" spans="1:9" x14ac:dyDescent="0.2">
      <c r="E20" s="10"/>
      <c r="G20" s="58" t="s">
        <v>680</v>
      </c>
      <c r="H20" s="1119" t="s">
        <v>680</v>
      </c>
      <c r="I20" s="58" t="s">
        <v>680</v>
      </c>
    </row>
    <row r="21" spans="1:9" x14ac:dyDescent="0.2">
      <c r="A21" s="1">
        <f>A19+1</f>
        <v>4</v>
      </c>
      <c r="B21" s="4" t="s">
        <v>682</v>
      </c>
      <c r="E21" s="553">
        <v>0</v>
      </c>
      <c r="F21" s="12">
        <v>1</v>
      </c>
      <c r="G21" s="11">
        <f>(E21*F21)</f>
        <v>0</v>
      </c>
      <c r="H21" s="553">
        <v>0</v>
      </c>
      <c r="I21" s="11">
        <f>(G21+H21)</f>
        <v>0</v>
      </c>
    </row>
    <row r="22" spans="1:9" x14ac:dyDescent="0.2">
      <c r="E22" s="10"/>
      <c r="G22" s="58" t="s">
        <v>680</v>
      </c>
      <c r="H22" s="1119" t="s">
        <v>680</v>
      </c>
      <c r="I22" s="58" t="s">
        <v>680</v>
      </c>
    </row>
    <row r="23" spans="1:9" x14ac:dyDescent="0.2">
      <c r="A23" s="1">
        <f>A21+1</f>
        <v>5</v>
      </c>
      <c r="B23" s="4" t="s">
        <v>683</v>
      </c>
      <c r="E23" s="10">
        <f>'B-2.1 Base Period GPA'!H56</f>
        <v>402582234.37999994</v>
      </c>
      <c r="F23" s="12">
        <v>1</v>
      </c>
      <c r="G23" s="11">
        <f>(E23*F23)</f>
        <v>402582234.37999994</v>
      </c>
      <c r="H23" s="553">
        <v>0</v>
      </c>
      <c r="I23" s="11">
        <f>(G23+H23)</f>
        <v>402582234.37999994</v>
      </c>
    </row>
    <row r="24" spans="1:9" x14ac:dyDescent="0.2">
      <c r="E24" s="10"/>
      <c r="G24" s="58" t="s">
        <v>680</v>
      </c>
      <c r="H24" s="1119" t="s">
        <v>680</v>
      </c>
      <c r="I24" s="58" t="s">
        <v>680</v>
      </c>
    </row>
    <row r="25" spans="1:9" x14ac:dyDescent="0.2">
      <c r="A25" s="1">
        <f>A23+1</f>
        <v>6</v>
      </c>
      <c r="B25" s="4" t="s">
        <v>684</v>
      </c>
      <c r="E25" s="10">
        <f>'B-2.1 Base Period GPA'!H73</f>
        <v>5244824.2799999993</v>
      </c>
      <c r="F25" s="12">
        <v>1</v>
      </c>
      <c r="G25" s="11">
        <f>(E25*F25)</f>
        <v>5244824.2799999993</v>
      </c>
      <c r="H25" s="553">
        <v>0</v>
      </c>
      <c r="I25" s="11">
        <f>(G25+H25)</f>
        <v>5244824.2799999993</v>
      </c>
    </row>
    <row r="26" spans="1:9" x14ac:dyDescent="0.2">
      <c r="E26" s="10"/>
      <c r="G26" s="58" t="s">
        <v>680</v>
      </c>
      <c r="H26" s="1119" t="s">
        <v>680</v>
      </c>
      <c r="I26" s="58" t="s">
        <v>680</v>
      </c>
    </row>
    <row r="27" spans="1:9" x14ac:dyDescent="0.2">
      <c r="A27" s="1">
        <f>A25+1</f>
        <v>7</v>
      </c>
      <c r="B27" s="4" t="s">
        <v>685</v>
      </c>
      <c r="E27" s="553">
        <v>0</v>
      </c>
      <c r="F27" s="12">
        <v>1</v>
      </c>
      <c r="G27" s="11">
        <f>(E27*F27)</f>
        <v>0</v>
      </c>
      <c r="H27" s="553">
        <v>0</v>
      </c>
      <c r="I27" s="11">
        <f>(G27+H27)</f>
        <v>0</v>
      </c>
    </row>
    <row r="28" spans="1:9" x14ac:dyDescent="0.2">
      <c r="E28" s="10"/>
      <c r="G28" s="58" t="s">
        <v>680</v>
      </c>
      <c r="H28" s="1119" t="s">
        <v>680</v>
      </c>
      <c r="I28" s="58" t="s">
        <v>680</v>
      </c>
    </row>
    <row r="29" spans="1:9" x14ac:dyDescent="0.2">
      <c r="A29" s="1">
        <f>A27+1</f>
        <v>8</v>
      </c>
      <c r="B29" s="4" t="s">
        <v>686</v>
      </c>
      <c r="E29" s="550">
        <f>'B-2.1 Base Period GPA'!H76</f>
        <v>-777092</v>
      </c>
      <c r="F29" s="12">
        <v>1</v>
      </c>
      <c r="G29" s="13">
        <f>(E29*F29)</f>
        <v>-777092</v>
      </c>
      <c r="H29" s="554">
        <v>0</v>
      </c>
      <c r="I29" s="13">
        <f>(G29+H29)</f>
        <v>-777092</v>
      </c>
    </row>
    <row r="30" spans="1:9" x14ac:dyDescent="0.2">
      <c r="E30" s="11"/>
      <c r="G30" s="58" t="s">
        <v>680</v>
      </c>
      <c r="H30" s="58" t="s">
        <v>680</v>
      </c>
      <c r="I30" s="4" t="s">
        <v>680</v>
      </c>
    </row>
    <row r="31" spans="1:9" x14ac:dyDescent="0.2">
      <c r="A31" s="1">
        <f>A29+1</f>
        <v>9</v>
      </c>
      <c r="B31" s="4" t="s">
        <v>670</v>
      </c>
      <c r="E31" s="59">
        <f>SUM(E15:E29)</f>
        <v>413147046.36999989</v>
      </c>
      <c r="G31" s="59">
        <f>SUM(G15:G29)</f>
        <v>413147046.36999989</v>
      </c>
      <c r="H31" s="59">
        <f>SUM(H15:H29)</f>
        <v>0</v>
      </c>
      <c r="I31" s="59">
        <f>SUM(I15:I29)</f>
        <v>413147046.36999989</v>
      </c>
    </row>
    <row r="32" spans="1:9" x14ac:dyDescent="0.2">
      <c r="E32" s="11"/>
      <c r="G32" s="11"/>
      <c r="H32" s="58" t="s">
        <v>680</v>
      </c>
    </row>
    <row r="33" spans="1:8" x14ac:dyDescent="0.2">
      <c r="E33" s="11"/>
      <c r="G33" s="11"/>
      <c r="H33" s="11"/>
    </row>
    <row r="34" spans="1:8" x14ac:dyDescent="0.2">
      <c r="G34" s="11"/>
      <c r="H34" s="11"/>
    </row>
    <row r="35" spans="1:8" x14ac:dyDescent="0.2">
      <c r="A35" s="4"/>
      <c r="B35" s="4"/>
      <c r="G35" s="11"/>
      <c r="H35" s="11"/>
    </row>
    <row r="36" spans="1:8" x14ac:dyDescent="0.2">
      <c r="B36" s="4"/>
      <c r="G36" s="11"/>
      <c r="H36" s="11"/>
    </row>
    <row r="37" spans="1:8" x14ac:dyDescent="0.2">
      <c r="B37" s="4"/>
      <c r="E37" s="130"/>
      <c r="G37" s="11"/>
      <c r="H37" s="11"/>
    </row>
    <row r="38" spans="1:8" x14ac:dyDescent="0.2">
      <c r="B38" s="4"/>
      <c r="G38" s="11"/>
      <c r="H38" s="11"/>
    </row>
    <row r="39" spans="1:8" x14ac:dyDescent="0.2">
      <c r="G39" s="11"/>
      <c r="H39" s="11"/>
    </row>
    <row r="40" spans="1:8" x14ac:dyDescent="0.2">
      <c r="G40" s="11"/>
      <c r="H40" s="11"/>
    </row>
    <row r="41" spans="1:8" x14ac:dyDescent="0.2">
      <c r="G41" s="11"/>
      <c r="H41" s="11"/>
    </row>
  </sheetData>
  <mergeCells count="4">
    <mergeCell ref="A4:I4"/>
    <mergeCell ref="A3:I3"/>
    <mergeCell ref="A2:I2"/>
    <mergeCell ref="A1:I1"/>
  </mergeCells>
  <phoneticPr fontId="0" type="noConversion"/>
  <pageMargins left="1" right="0.5" top="1" bottom="0.75" header="0.3" footer="0.3"/>
  <pageSetup scale="84" fitToHeight="0" orientation="portrait" r:id="rId1"/>
  <headerFooter>
    <oddHeader>&amp;R&amp;"Arial,Regular"&amp;10KY PSC Case No. 2016-00162, Attachment A to Staff 3-4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R87"/>
  <sheetViews>
    <sheetView zoomScaleNormal="100" workbookViewId="0">
      <pane xSplit="2" ySplit="8" topLeftCell="C25" activePane="bottomRight" state="frozen"/>
      <selection activeCell="C27" sqref="C27"/>
      <selection pane="topRight" activeCell="C27" sqref="C27"/>
      <selection pane="bottomLeft" activeCell="C27" sqref="C27"/>
      <selection pane="bottomRight" activeCell="C69" sqref="C69"/>
    </sheetView>
  </sheetViews>
  <sheetFormatPr defaultColWidth="9.33203125" defaultRowHeight="11.25" x14ac:dyDescent="0.2"/>
  <cols>
    <col min="1" max="1" width="7.83203125" style="458" customWidth="1"/>
    <col min="2" max="2" width="33.33203125" style="458" customWidth="1"/>
    <col min="3" max="3" width="13.6640625" style="458" customWidth="1"/>
    <col min="4" max="4" width="13.83203125" style="458" customWidth="1"/>
    <col min="5" max="5" width="13" style="458" customWidth="1"/>
    <col min="6" max="6" width="13.6640625" style="458" customWidth="1"/>
    <col min="7" max="7" width="12.83203125" style="458" customWidth="1"/>
    <col min="8" max="8" width="12.6640625" style="458" customWidth="1"/>
    <col min="9" max="9" width="12.33203125" style="458" bestFit="1" customWidth="1"/>
    <col min="10" max="10" width="13.33203125" style="489" customWidth="1"/>
    <col min="11" max="11" width="12.1640625" style="458" customWidth="1"/>
    <col min="12" max="12" width="12.33203125" style="458" bestFit="1" customWidth="1"/>
    <col min="13" max="14" width="12.5" style="458" bestFit="1" customWidth="1"/>
    <col min="15" max="15" width="13.33203125" style="474" customWidth="1"/>
    <col min="16" max="17" width="9.33203125" style="458"/>
    <col min="18" max="18" width="12" style="458" customWidth="1"/>
    <col min="19" max="16384" width="9.33203125" style="458"/>
  </cols>
  <sheetData>
    <row r="1" spans="1:15" x14ac:dyDescent="0.2">
      <c r="A1" s="458" t="s">
        <v>1123</v>
      </c>
    </row>
    <row r="2" spans="1:15" x14ac:dyDescent="0.2">
      <c r="A2" s="458" t="s">
        <v>173</v>
      </c>
    </row>
    <row r="3" spans="1:15" x14ac:dyDescent="0.2">
      <c r="A3" s="1640" t="s">
        <v>2039</v>
      </c>
      <c r="B3" s="802"/>
    </row>
    <row r="4" spans="1:15" x14ac:dyDescent="0.2">
      <c r="A4" s="803"/>
    </row>
    <row r="5" spans="1:15" x14ac:dyDescent="0.2">
      <c r="A5" s="804" t="s">
        <v>174</v>
      </c>
      <c r="B5" s="805"/>
    </row>
    <row r="6" spans="1:15" x14ac:dyDescent="0.2">
      <c r="A6" s="806" t="s">
        <v>175</v>
      </c>
      <c r="B6" s="807"/>
    </row>
    <row r="8" spans="1:15" x14ac:dyDescent="0.2">
      <c r="A8" s="458" t="s">
        <v>1124</v>
      </c>
      <c r="B8" s="458" t="s">
        <v>177</v>
      </c>
      <c r="C8" s="1639">
        <v>42736</v>
      </c>
      <c r="D8" s="1639">
        <v>42767</v>
      </c>
      <c r="E8" s="1639">
        <v>42795</v>
      </c>
      <c r="F8" s="1639">
        <v>42826</v>
      </c>
      <c r="G8" s="1639">
        <v>42856</v>
      </c>
      <c r="H8" s="1639">
        <v>42887</v>
      </c>
      <c r="I8" s="1639">
        <v>42917</v>
      </c>
      <c r="J8" s="1639">
        <v>42948</v>
      </c>
      <c r="K8" s="1639">
        <v>42979</v>
      </c>
      <c r="L8" s="1639">
        <v>43009</v>
      </c>
      <c r="M8" s="1639">
        <v>43040</v>
      </c>
      <c r="N8" s="1639">
        <v>43070</v>
      </c>
      <c r="O8" s="809" t="s">
        <v>1194</v>
      </c>
    </row>
    <row r="9" spans="1:15" x14ac:dyDescent="0.2">
      <c r="A9" s="810">
        <v>717</v>
      </c>
      <c r="B9" s="458" t="s">
        <v>178</v>
      </c>
      <c r="C9" s="1109">
        <f>'Forecast TY Budget &amp; D-2.4 Adj'!F9</f>
        <v>185</v>
      </c>
      <c r="D9" s="1109">
        <f>'Forecast TY Budget &amp; D-2.4 Adj'!G9</f>
        <v>161</v>
      </c>
      <c r="E9" s="1109">
        <f>'Forecast TY Budget &amp; D-2.4 Adj'!H9</f>
        <v>186</v>
      </c>
      <c r="F9" s="1109">
        <f>'Forecast TY Budget &amp; D-2.4 Adj'!I9</f>
        <v>164</v>
      </c>
      <c r="G9" s="1109">
        <f>'Forecast TY Budget &amp; D-2.4 Adj'!J9</f>
        <v>197</v>
      </c>
      <c r="H9" s="1109">
        <f>'Forecast TY Budget &amp; D-2.4 Adj'!K9</f>
        <v>192</v>
      </c>
      <c r="I9" s="1109">
        <f>'Forecast TY Budget &amp; D-2.4 Adj'!L9</f>
        <v>176</v>
      </c>
      <c r="J9" s="1109">
        <f>'Forecast TY Budget &amp; D-2.4 Adj'!M9</f>
        <v>176</v>
      </c>
      <c r="K9" s="1109">
        <f>'Forecast TY Budget &amp; D-2.4 Adj'!N9</f>
        <v>170</v>
      </c>
      <c r="L9" s="1109">
        <f>'Forecast TY Budget &amp; D-2.4 Adj'!O9</f>
        <v>180</v>
      </c>
      <c r="M9" s="1109">
        <f>'Forecast TY Budget &amp; D-2.4 Adj'!P9</f>
        <v>167</v>
      </c>
      <c r="N9" s="1109">
        <f>'Forecast TY Budget &amp; D-2.4 Adj'!Q9</f>
        <v>185</v>
      </c>
      <c r="O9" s="473">
        <f>SUM(C9:N9)</f>
        <v>2139</v>
      </c>
    </row>
    <row r="10" spans="1:15" x14ac:dyDescent="0.2">
      <c r="A10" s="810">
        <v>807</v>
      </c>
      <c r="B10" s="458" t="s">
        <v>179</v>
      </c>
      <c r="C10" s="1109">
        <f>'Forecast TY Budget &amp; D-2.4 Adj'!F17</f>
        <v>27696</v>
      </c>
      <c r="D10" s="1109">
        <f>'Forecast TY Budget &amp; D-2.4 Adj'!G17</f>
        <v>28350</v>
      </c>
      <c r="E10" s="1109">
        <f>'Forecast TY Budget &amp; D-2.4 Adj'!H17</f>
        <v>28544</v>
      </c>
      <c r="F10" s="1109">
        <f>'Forecast TY Budget &amp; D-2.4 Adj'!I17</f>
        <v>27986</v>
      </c>
      <c r="G10" s="1109">
        <f>'Forecast TY Budget &amp; D-2.4 Adj'!J17</f>
        <v>28221</v>
      </c>
      <c r="H10" s="1109">
        <f>'Forecast TY Budget &amp; D-2.4 Adj'!K17</f>
        <v>29571</v>
      </c>
      <c r="I10" s="1109">
        <f>'Forecast TY Budget &amp; D-2.4 Adj'!L17</f>
        <v>28428</v>
      </c>
      <c r="J10" s="1109">
        <f>'Forecast TY Budget &amp; D-2.4 Adj'!M17</f>
        <v>28435</v>
      </c>
      <c r="K10" s="1109">
        <f>'Forecast TY Budget &amp; D-2.4 Adj'!N17</f>
        <v>29444</v>
      </c>
      <c r="L10" s="1109">
        <f>'Forecast TY Budget &amp; D-2.4 Adj'!O17</f>
        <v>28691</v>
      </c>
      <c r="M10" s="1109">
        <f>'Forecast TY Budget &amp; D-2.4 Adj'!P17</f>
        <v>29201</v>
      </c>
      <c r="N10" s="1109">
        <f>'Forecast TY Budget &amp; D-2.4 Adj'!Q17</f>
        <v>29556</v>
      </c>
      <c r="O10" s="473">
        <f t="shared" ref="O10:O19" si="0">SUM(C10:N10)</f>
        <v>344123</v>
      </c>
    </row>
    <row r="11" spans="1:15" x14ac:dyDescent="0.2">
      <c r="A11" s="810">
        <v>870</v>
      </c>
      <c r="B11" s="458" t="s">
        <v>180</v>
      </c>
      <c r="C11" s="1109">
        <f>'Forecast TY Budget &amp; D-2.4 Adj'!F20</f>
        <v>71511</v>
      </c>
      <c r="D11" s="1109">
        <f>'Forecast TY Budget &amp; D-2.4 Adj'!G20</f>
        <v>70631</v>
      </c>
      <c r="E11" s="1109">
        <f>'Forecast TY Budget &amp; D-2.4 Adj'!H20</f>
        <v>72975</v>
      </c>
      <c r="F11" s="1109">
        <f>'Forecast TY Budget &amp; D-2.4 Adj'!I20</f>
        <v>71205</v>
      </c>
      <c r="G11" s="1109">
        <f>'Forecast TY Budget &amp; D-2.4 Adj'!J20</f>
        <v>72249</v>
      </c>
      <c r="H11" s="1109">
        <f>'Forecast TY Budget &amp; D-2.4 Adj'!K20</f>
        <v>75483</v>
      </c>
      <c r="I11" s="1109">
        <f>'Forecast TY Budget &amp; D-2.4 Adj'!L20</f>
        <v>72813</v>
      </c>
      <c r="J11" s="1109">
        <f>'Forecast TY Budget &amp; D-2.4 Adj'!M20</f>
        <v>72266</v>
      </c>
      <c r="K11" s="1109">
        <f>'Forecast TY Budget &amp; D-2.4 Adj'!N20</f>
        <v>74642</v>
      </c>
      <c r="L11" s="1109">
        <f>'Forecast TY Budget &amp; D-2.4 Adj'!O20</f>
        <v>73133</v>
      </c>
      <c r="M11" s="1109">
        <f>'Forecast TY Budget &amp; D-2.4 Adj'!P20</f>
        <v>73963</v>
      </c>
      <c r="N11" s="1109">
        <f>'Forecast TY Budget &amp; D-2.4 Adj'!Q20</f>
        <v>76103</v>
      </c>
      <c r="O11" s="473">
        <f t="shared" si="0"/>
        <v>876974</v>
      </c>
    </row>
    <row r="12" spans="1:15" x14ac:dyDescent="0.2">
      <c r="A12" s="810">
        <v>871</v>
      </c>
      <c r="B12" s="458" t="s">
        <v>181</v>
      </c>
      <c r="C12" s="1109">
        <f>'Forecast TY Budget &amp; D-2.4 Adj'!F21</f>
        <v>6609</v>
      </c>
      <c r="D12" s="1109">
        <f>'Forecast TY Budget &amp; D-2.4 Adj'!G21</f>
        <v>5402</v>
      </c>
      <c r="E12" s="1109">
        <f>'Forecast TY Budget &amp; D-2.4 Adj'!H21</f>
        <v>6812</v>
      </c>
      <c r="F12" s="1109">
        <f>'Forecast TY Budget &amp; D-2.4 Adj'!I21</f>
        <v>6302</v>
      </c>
      <c r="G12" s="1109">
        <f>'Forecast TY Budget &amp; D-2.4 Adj'!J21</f>
        <v>6623</v>
      </c>
      <c r="H12" s="1109">
        <f>'Forecast TY Budget &amp; D-2.4 Adj'!K21</f>
        <v>6775</v>
      </c>
      <c r="I12" s="1109">
        <f>'Forecast TY Budget &amp; D-2.4 Adj'!L21</f>
        <v>6646</v>
      </c>
      <c r="J12" s="1109">
        <f>'Forecast TY Budget &amp; D-2.4 Adj'!M21</f>
        <v>6206</v>
      </c>
      <c r="K12" s="1109">
        <f>'Forecast TY Budget &amp; D-2.4 Adj'!N21</f>
        <v>6422</v>
      </c>
      <c r="L12" s="1109">
        <f>'Forecast TY Budget &amp; D-2.4 Adj'!O21</f>
        <v>6534</v>
      </c>
      <c r="M12" s="1109">
        <f>'Forecast TY Budget &amp; D-2.4 Adj'!P21</f>
        <v>6390</v>
      </c>
      <c r="N12" s="1109">
        <f>'Forecast TY Budget &amp; D-2.4 Adj'!Q21</f>
        <v>7106</v>
      </c>
      <c r="O12" s="473">
        <f t="shared" si="0"/>
        <v>77827</v>
      </c>
    </row>
    <row r="13" spans="1:15" x14ac:dyDescent="0.2">
      <c r="A13" s="810">
        <v>874</v>
      </c>
      <c r="B13" s="458" t="s">
        <v>182</v>
      </c>
      <c r="C13" s="1109">
        <f>'Forecast TY Budget &amp; D-2.4 Adj'!F22</f>
        <v>418222</v>
      </c>
      <c r="D13" s="1109">
        <f>'Forecast TY Budget &amp; D-2.4 Adj'!G22</f>
        <v>375521</v>
      </c>
      <c r="E13" s="1109">
        <f>'Forecast TY Budget &amp; D-2.4 Adj'!H22</f>
        <v>419317</v>
      </c>
      <c r="F13" s="1109">
        <f>'Forecast TY Budget &amp; D-2.4 Adj'!I22</f>
        <v>441298</v>
      </c>
      <c r="G13" s="1109">
        <f>'Forecast TY Budget &amp; D-2.4 Adj'!J22</f>
        <v>498856</v>
      </c>
      <c r="H13" s="1109">
        <f>'Forecast TY Budget &amp; D-2.4 Adj'!K22</f>
        <v>501263</v>
      </c>
      <c r="I13" s="1109">
        <f>'Forecast TY Budget &amp; D-2.4 Adj'!L22</f>
        <v>483774</v>
      </c>
      <c r="J13" s="1109">
        <f>'Forecast TY Budget &amp; D-2.4 Adj'!M22</f>
        <v>530942</v>
      </c>
      <c r="K13" s="1109">
        <f>'Forecast TY Budget &amp; D-2.4 Adj'!N22</f>
        <v>504251</v>
      </c>
      <c r="L13" s="1109">
        <f>'Forecast TY Budget &amp; D-2.4 Adj'!O22</f>
        <v>479155</v>
      </c>
      <c r="M13" s="1109">
        <f>'Forecast TY Budget &amp; D-2.4 Adj'!P22</f>
        <v>455008</v>
      </c>
      <c r="N13" s="1109">
        <f>'Forecast TY Budget &amp; D-2.4 Adj'!Q22</f>
        <v>477688</v>
      </c>
      <c r="O13" s="473">
        <f t="shared" si="0"/>
        <v>5585295</v>
      </c>
    </row>
    <row r="14" spans="1:15" x14ac:dyDescent="0.2">
      <c r="A14" s="810">
        <v>875</v>
      </c>
      <c r="B14" s="458" t="s">
        <v>183</v>
      </c>
      <c r="C14" s="1109">
        <f>'Forecast TY Budget &amp; D-2.4 Adj'!F23</f>
        <v>15499</v>
      </c>
      <c r="D14" s="1109">
        <f>'Forecast TY Budget &amp; D-2.4 Adj'!G23</f>
        <v>13445</v>
      </c>
      <c r="E14" s="1109">
        <f>'Forecast TY Budget &amp; D-2.4 Adj'!H23</f>
        <v>15452</v>
      </c>
      <c r="F14" s="1109">
        <f>'Forecast TY Budget &amp; D-2.4 Adj'!I23</f>
        <v>15275</v>
      </c>
      <c r="G14" s="1109">
        <f>'Forecast TY Budget &amp; D-2.4 Adj'!J23</f>
        <v>16812</v>
      </c>
      <c r="H14" s="1109">
        <f>'Forecast TY Budget &amp; D-2.4 Adj'!K23</f>
        <v>17032</v>
      </c>
      <c r="I14" s="1109">
        <f>'Forecast TY Budget &amp; D-2.4 Adj'!L23</f>
        <v>16396</v>
      </c>
      <c r="J14" s="1109">
        <f>'Forecast TY Budget &amp; D-2.4 Adj'!M23</f>
        <v>16902</v>
      </c>
      <c r="K14" s="1109">
        <f>'Forecast TY Budget &amp; D-2.4 Adj'!N23</f>
        <v>16614</v>
      </c>
      <c r="L14" s="1109">
        <f>'Forecast TY Budget &amp; D-2.4 Adj'!O23</f>
        <v>16290</v>
      </c>
      <c r="M14" s="1109">
        <f>'Forecast TY Budget &amp; D-2.4 Adj'!P23</f>
        <v>15726</v>
      </c>
      <c r="N14" s="1109">
        <f>'Forecast TY Budget &amp; D-2.4 Adj'!Q23</f>
        <v>17022</v>
      </c>
      <c r="O14" s="473">
        <f t="shared" si="0"/>
        <v>192465</v>
      </c>
    </row>
    <row r="15" spans="1:15" x14ac:dyDescent="0.2">
      <c r="A15" s="810">
        <v>876</v>
      </c>
      <c r="B15" s="458" t="s">
        <v>184</v>
      </c>
      <c r="C15" s="1109">
        <f>'Forecast TY Budget &amp; D-2.4 Adj'!F24</f>
        <v>5486</v>
      </c>
      <c r="D15" s="1109">
        <f>'Forecast TY Budget &amp; D-2.4 Adj'!G24</f>
        <v>4717</v>
      </c>
      <c r="E15" s="1109">
        <f>'Forecast TY Budget &amp; D-2.4 Adj'!H24</f>
        <v>5549</v>
      </c>
      <c r="F15" s="1109">
        <f>'Forecast TY Budget &amp; D-2.4 Adj'!I24</f>
        <v>5213</v>
      </c>
      <c r="G15" s="1109">
        <f>'Forecast TY Budget &amp; D-2.4 Adj'!J24</f>
        <v>5449</v>
      </c>
      <c r="H15" s="1109">
        <f>'Forecast TY Budget &amp; D-2.4 Adj'!K24</f>
        <v>5606</v>
      </c>
      <c r="I15" s="1109">
        <f>'Forecast TY Budget &amp; D-2.4 Adj'!L24</f>
        <v>5449</v>
      </c>
      <c r="J15" s="1109">
        <f>'Forecast TY Budget &amp; D-2.4 Adj'!M24</f>
        <v>5187</v>
      </c>
      <c r="K15" s="1109">
        <f>'Forecast TY Budget &amp; D-2.4 Adj'!N24</f>
        <v>5353</v>
      </c>
      <c r="L15" s="1109">
        <f>'Forecast TY Budget &amp; D-2.4 Adj'!O24</f>
        <v>5397</v>
      </c>
      <c r="M15" s="1109">
        <f>'Forecast TY Budget &amp; D-2.4 Adj'!P24</f>
        <v>5325</v>
      </c>
      <c r="N15" s="1109">
        <f>'Forecast TY Budget &amp; D-2.4 Adj'!Q24</f>
        <v>5835</v>
      </c>
      <c r="O15" s="473">
        <f t="shared" si="0"/>
        <v>64566</v>
      </c>
    </row>
    <row r="16" spans="1:15" x14ac:dyDescent="0.2">
      <c r="A16" s="810">
        <v>878</v>
      </c>
      <c r="B16" s="458" t="s">
        <v>185</v>
      </c>
      <c r="C16" s="1109">
        <f>'Forecast TY Budget &amp; D-2.4 Adj'!F25</f>
        <v>139738</v>
      </c>
      <c r="D16" s="1109">
        <f>'Forecast TY Budget &amp; D-2.4 Adj'!G25</f>
        <v>115703</v>
      </c>
      <c r="E16" s="1109">
        <f>'Forecast TY Budget &amp; D-2.4 Adj'!H25</f>
        <v>141993</v>
      </c>
      <c r="F16" s="1109">
        <f>'Forecast TY Budget &amp; D-2.4 Adj'!I25</f>
        <v>132795</v>
      </c>
      <c r="G16" s="1109">
        <f>'Forecast TY Budget &amp; D-2.4 Adj'!J25</f>
        <v>138535</v>
      </c>
      <c r="H16" s="1109">
        <f>'Forecast TY Budget &amp; D-2.4 Adj'!K25</f>
        <v>142619</v>
      </c>
      <c r="I16" s="1109">
        <f>'Forecast TY Budget &amp; D-2.4 Adj'!L25</f>
        <v>139678</v>
      </c>
      <c r="J16" s="1109">
        <f>'Forecast TY Budget &amp; D-2.4 Adj'!M25</f>
        <v>130804</v>
      </c>
      <c r="K16" s="1109">
        <f>'Forecast TY Budget &amp; D-2.4 Adj'!N25</f>
        <v>135134</v>
      </c>
      <c r="L16" s="1109">
        <f>'Forecast TY Budget &amp; D-2.4 Adj'!O25</f>
        <v>137048</v>
      </c>
      <c r="M16" s="1109">
        <f>'Forecast TY Budget &amp; D-2.4 Adj'!P25</f>
        <v>133885</v>
      </c>
      <c r="N16" s="1109">
        <f>'Forecast TY Budget &amp; D-2.4 Adj'!Q25</f>
        <v>147956</v>
      </c>
      <c r="O16" s="473">
        <f t="shared" si="0"/>
        <v>1635888</v>
      </c>
    </row>
    <row r="17" spans="1:18" x14ac:dyDescent="0.2">
      <c r="A17" s="810">
        <v>879</v>
      </c>
      <c r="B17" s="458" t="s">
        <v>186</v>
      </c>
      <c r="C17" s="1109">
        <f>'Forecast TY Budget &amp; D-2.4 Adj'!F26</f>
        <v>167354</v>
      </c>
      <c r="D17" s="1109">
        <f>'Forecast TY Budget &amp; D-2.4 Adj'!G26</f>
        <v>139848</v>
      </c>
      <c r="E17" s="1109">
        <f>'Forecast TY Budget &amp; D-2.4 Adj'!H26</f>
        <v>171541</v>
      </c>
      <c r="F17" s="1109">
        <f>'Forecast TY Budget &amp; D-2.4 Adj'!I26</f>
        <v>162143</v>
      </c>
      <c r="G17" s="1109">
        <f>'Forecast TY Budget &amp; D-2.4 Adj'!J26</f>
        <v>171281</v>
      </c>
      <c r="H17" s="1109">
        <f>'Forecast TY Budget &amp; D-2.4 Adj'!K26</f>
        <v>175286</v>
      </c>
      <c r="I17" s="1109">
        <f>'Forecast TY Budget &amp; D-2.4 Adj'!L26</f>
        <v>171571</v>
      </c>
      <c r="J17" s="1109">
        <f>'Forecast TY Budget &amp; D-2.4 Adj'!M26</f>
        <v>164509</v>
      </c>
      <c r="K17" s="1109">
        <f>'Forecast TY Budget &amp; D-2.4 Adj'!N26</f>
        <v>168086</v>
      </c>
      <c r="L17" s="1109">
        <f>'Forecast TY Budget &amp; D-2.4 Adj'!O26</f>
        <v>168819</v>
      </c>
      <c r="M17" s="1109">
        <f>'Forecast TY Budget &amp; D-2.4 Adj'!P26</f>
        <v>164713</v>
      </c>
      <c r="N17" s="1109">
        <f>'Forecast TY Budget &amp; D-2.4 Adj'!Q26</f>
        <v>180830</v>
      </c>
      <c r="O17" s="473">
        <f t="shared" si="0"/>
        <v>2005981</v>
      </c>
    </row>
    <row r="18" spans="1:18" x14ac:dyDescent="0.2">
      <c r="A18" s="810">
        <v>880</v>
      </c>
      <c r="B18" s="458" t="s">
        <v>187</v>
      </c>
      <c r="C18" s="1109">
        <f>'Forecast TY Budget &amp; D-2.4 Adj'!F27</f>
        <v>139188</v>
      </c>
      <c r="D18" s="1109">
        <f>'Forecast TY Budget &amp; D-2.4 Adj'!G27</f>
        <v>122610</v>
      </c>
      <c r="E18" s="1109">
        <f>'Forecast TY Budget &amp; D-2.4 Adj'!H27</f>
        <v>136618</v>
      </c>
      <c r="F18" s="1109">
        <f>'Forecast TY Budget &amp; D-2.4 Adj'!I27</f>
        <v>136142</v>
      </c>
      <c r="G18" s="1109">
        <f>'Forecast TY Budget &amp; D-2.4 Adj'!J27</f>
        <v>152799</v>
      </c>
      <c r="H18" s="1109">
        <f>'Forecast TY Budget &amp; D-2.4 Adj'!K27</f>
        <v>153161</v>
      </c>
      <c r="I18" s="1109">
        <f>'Forecast TY Budget &amp; D-2.4 Adj'!L27</f>
        <v>147845</v>
      </c>
      <c r="J18" s="1109">
        <f>'Forecast TY Budget &amp; D-2.4 Adj'!M27</f>
        <v>151104</v>
      </c>
      <c r="K18" s="1109">
        <f>'Forecast TY Budget &amp; D-2.4 Adj'!N27</f>
        <v>147417</v>
      </c>
      <c r="L18" s="1109">
        <f>'Forecast TY Budget &amp; D-2.4 Adj'!O27</f>
        <v>146093</v>
      </c>
      <c r="M18" s="1109">
        <f>'Forecast TY Budget &amp; D-2.4 Adj'!P27</f>
        <v>136158</v>
      </c>
      <c r="N18" s="1109">
        <f>'Forecast TY Budget &amp; D-2.4 Adj'!Q27</f>
        <v>146434</v>
      </c>
      <c r="O18" s="473">
        <f t="shared" si="0"/>
        <v>1715569</v>
      </c>
      <c r="Q18" s="802"/>
      <c r="R18" s="802"/>
    </row>
    <row r="19" spans="1:18" x14ac:dyDescent="0.2">
      <c r="A19" s="810">
        <v>881</v>
      </c>
      <c r="B19" s="458" t="s">
        <v>188</v>
      </c>
      <c r="C19" s="1109">
        <f>'Forecast TY Budget &amp; D-2.4 Adj'!F28</f>
        <v>6750</v>
      </c>
      <c r="D19" s="1109">
        <f>'Forecast TY Budget &amp; D-2.4 Adj'!G28</f>
        <v>7686</v>
      </c>
      <c r="E19" s="1109">
        <f>'Forecast TY Budget &amp; D-2.4 Adj'!H28</f>
        <v>7195</v>
      </c>
      <c r="F19" s="1109">
        <f>'Forecast TY Budget &amp; D-2.4 Adj'!I28</f>
        <v>7488</v>
      </c>
      <c r="G19" s="1109">
        <f>'Forecast TY Budget &amp; D-2.4 Adj'!J28</f>
        <v>6131</v>
      </c>
      <c r="H19" s="1109">
        <f>'Forecast TY Budget &amp; D-2.4 Adj'!K28</f>
        <v>6675</v>
      </c>
      <c r="I19" s="1109">
        <f>'Forecast TY Budget &amp; D-2.4 Adj'!L28</f>
        <v>7283</v>
      </c>
      <c r="J19" s="1109">
        <f>'Forecast TY Budget &amp; D-2.4 Adj'!M28</f>
        <v>7284</v>
      </c>
      <c r="K19" s="1109">
        <f>'Forecast TY Budget &amp; D-2.4 Adj'!N28</f>
        <v>7638</v>
      </c>
      <c r="L19" s="1109">
        <f>'Forecast TY Budget &amp; D-2.4 Adj'!O28</f>
        <v>7051</v>
      </c>
      <c r="M19" s="1109">
        <f>'Forecast TY Budget &amp; D-2.4 Adj'!P28</f>
        <v>7817</v>
      </c>
      <c r="N19" s="1109">
        <f>'Forecast TY Budget &amp; D-2.4 Adj'!Q28</f>
        <v>6759</v>
      </c>
      <c r="O19" s="473">
        <f t="shared" si="0"/>
        <v>85757</v>
      </c>
    </row>
    <row r="20" spans="1:18" s="802" customFormat="1" x14ac:dyDescent="0.2">
      <c r="C20" s="1148"/>
      <c r="D20" s="1148"/>
      <c r="E20" s="1148"/>
      <c r="F20" s="1148"/>
      <c r="G20" s="1148"/>
      <c r="H20" s="1148"/>
      <c r="I20" s="1148"/>
      <c r="J20" s="1148"/>
      <c r="K20" s="1148"/>
      <c r="L20" s="1148"/>
      <c r="M20" s="1148"/>
      <c r="N20" s="1148"/>
      <c r="O20" s="1149"/>
    </row>
    <row r="21" spans="1:18" x14ac:dyDescent="0.2">
      <c r="A21" s="811">
        <v>885</v>
      </c>
      <c r="B21" s="458" t="s">
        <v>180</v>
      </c>
      <c r="C21" s="1109">
        <f>'Forecast TY Budget &amp; D-2.4 Adj'!F31</f>
        <v>894</v>
      </c>
      <c r="D21" s="1109">
        <f>'Forecast TY Budget &amp; D-2.4 Adj'!G31</f>
        <v>727</v>
      </c>
      <c r="E21" s="1109">
        <f>'Forecast TY Budget &amp; D-2.4 Adj'!H31</f>
        <v>900</v>
      </c>
      <c r="F21" s="1109">
        <f>'Forecast TY Budget &amp; D-2.4 Adj'!I31</f>
        <v>839</v>
      </c>
      <c r="G21" s="1109">
        <f>'Forecast TY Budget &amp; D-2.4 Adj'!J31</f>
        <v>869</v>
      </c>
      <c r="H21" s="1109">
        <f>'Forecast TY Budget &amp; D-2.4 Adj'!K31</f>
        <v>899</v>
      </c>
      <c r="I21" s="1109">
        <f>'Forecast TY Budget &amp; D-2.4 Adj'!L31</f>
        <v>883</v>
      </c>
      <c r="J21" s="1109">
        <f>'Forecast TY Budget &amp; D-2.4 Adj'!M31</f>
        <v>823</v>
      </c>
      <c r="K21" s="1109">
        <f>'Forecast TY Budget &amp; D-2.4 Adj'!N31</f>
        <v>854</v>
      </c>
      <c r="L21" s="1109">
        <f>'Forecast TY Budget &amp; D-2.4 Adj'!O31</f>
        <v>864</v>
      </c>
      <c r="M21" s="1109">
        <f>'Forecast TY Budget &amp; D-2.4 Adj'!P31</f>
        <v>852</v>
      </c>
      <c r="N21" s="1109">
        <f>'Forecast TY Budget &amp; D-2.4 Adj'!Q31</f>
        <v>949</v>
      </c>
      <c r="O21" s="473">
        <f>SUM(C21:N21)</f>
        <v>10353</v>
      </c>
    </row>
    <row r="22" spans="1:18" x14ac:dyDescent="0.2">
      <c r="A22" s="811">
        <v>886</v>
      </c>
      <c r="B22" s="458" t="s">
        <v>189</v>
      </c>
      <c r="C22" s="1109">
        <f>'Forecast TY Budget &amp; D-2.4 Adj'!F32</f>
        <v>17338</v>
      </c>
      <c r="D22" s="1109">
        <f>'Forecast TY Budget &amp; D-2.4 Adj'!G32</f>
        <v>16587</v>
      </c>
      <c r="E22" s="1109">
        <f>'Forecast TY Budget &amp; D-2.4 Adj'!H32</f>
        <v>17265</v>
      </c>
      <c r="F22" s="1109">
        <f>'Forecast TY Budget &amp; D-2.4 Adj'!I32</f>
        <v>19776</v>
      </c>
      <c r="G22" s="1109">
        <f>'Forecast TY Budget &amp; D-2.4 Adj'!J32</f>
        <v>23462</v>
      </c>
      <c r="H22" s="1109">
        <f>'Forecast TY Budget &amp; D-2.4 Adj'!K32</f>
        <v>23280</v>
      </c>
      <c r="I22" s="1109">
        <f>'Forecast TY Budget &amp; D-2.4 Adj'!L32</f>
        <v>22238</v>
      </c>
      <c r="J22" s="1109">
        <f>'Forecast TY Budget &amp; D-2.4 Adj'!M32</f>
        <v>26433</v>
      </c>
      <c r="K22" s="1109">
        <f>'Forecast TY Budget &amp; D-2.4 Adj'!N32</f>
        <v>24032</v>
      </c>
      <c r="L22" s="1109">
        <f>'Forecast TY Budget &amp; D-2.4 Adj'!O32</f>
        <v>22093</v>
      </c>
      <c r="M22" s="1109">
        <f>'Forecast TY Budget &amp; D-2.4 Adj'!P32</f>
        <v>20422</v>
      </c>
      <c r="N22" s="1109">
        <f>'Forecast TY Budget &amp; D-2.4 Adj'!Q32</f>
        <v>20546</v>
      </c>
      <c r="O22" s="473">
        <f t="shared" ref="O22:O28" si="1">SUM(C22:N22)</f>
        <v>253472</v>
      </c>
    </row>
    <row r="23" spans="1:18" x14ac:dyDescent="0.2">
      <c r="A23" s="811">
        <v>887</v>
      </c>
      <c r="B23" s="458" t="s">
        <v>190</v>
      </c>
      <c r="C23" s="1109">
        <f>'Forecast TY Budget &amp; D-2.4 Adj'!F33</f>
        <v>227177</v>
      </c>
      <c r="D23" s="1109">
        <f>'Forecast TY Budget &amp; D-2.4 Adj'!G33</f>
        <v>205267</v>
      </c>
      <c r="E23" s="1109">
        <f>'Forecast TY Budget &amp; D-2.4 Adj'!H33</f>
        <v>226782</v>
      </c>
      <c r="F23" s="1109">
        <f>'Forecast TY Budget &amp; D-2.4 Adj'!I33</f>
        <v>241247</v>
      </c>
      <c r="G23" s="1109">
        <f>'Forecast TY Budget &amp; D-2.4 Adj'!J33</f>
        <v>270683</v>
      </c>
      <c r="H23" s="1109">
        <f>'Forecast TY Budget &amp; D-2.4 Adj'!K33</f>
        <v>273208</v>
      </c>
      <c r="I23" s="1109">
        <f>'Forecast TY Budget &amp; D-2.4 Adj'!L33</f>
        <v>264340</v>
      </c>
      <c r="J23" s="1109">
        <f>'Forecast TY Budget &amp; D-2.4 Adj'!M33</f>
        <v>288802</v>
      </c>
      <c r="K23" s="1109">
        <f>'Forecast TY Budget &amp; D-2.4 Adj'!N33</f>
        <v>273868</v>
      </c>
      <c r="L23" s="1109">
        <f>'Forecast TY Budget &amp; D-2.4 Adj'!O33</f>
        <v>260335</v>
      </c>
      <c r="M23" s="1109">
        <f>'Forecast TY Budget &amp; D-2.4 Adj'!P33</f>
        <v>245147</v>
      </c>
      <c r="N23" s="1109">
        <f>'Forecast TY Budget &amp; D-2.4 Adj'!Q33</f>
        <v>254860</v>
      </c>
      <c r="O23" s="473">
        <f t="shared" si="1"/>
        <v>3031716</v>
      </c>
      <c r="P23" s="478"/>
    </row>
    <row r="24" spans="1:18" x14ac:dyDescent="0.2">
      <c r="A24" s="811">
        <v>889</v>
      </c>
      <c r="B24" s="458" t="s">
        <v>183</v>
      </c>
      <c r="C24" s="1109">
        <f>'Forecast TY Budget &amp; D-2.4 Adj'!F34</f>
        <v>23809</v>
      </c>
      <c r="D24" s="1109">
        <f>'Forecast TY Budget &amp; D-2.4 Adj'!G34</f>
        <v>20477</v>
      </c>
      <c r="E24" s="1109">
        <f>'Forecast TY Budget &amp; D-2.4 Adj'!H34</f>
        <v>22758</v>
      </c>
      <c r="F24" s="1109">
        <f>'Forecast TY Budget &amp; D-2.4 Adj'!I34</f>
        <v>22293</v>
      </c>
      <c r="G24" s="1109">
        <f>'Forecast TY Budget &amp; D-2.4 Adj'!J34</f>
        <v>22822</v>
      </c>
      <c r="H24" s="1109">
        <f>'Forecast TY Budget &amp; D-2.4 Adj'!K34</f>
        <v>23868</v>
      </c>
      <c r="I24" s="1109">
        <f>'Forecast TY Budget &amp; D-2.4 Adj'!L34</f>
        <v>23363</v>
      </c>
      <c r="J24" s="1109">
        <f>'Forecast TY Budget &amp; D-2.4 Adj'!M34</f>
        <v>21710</v>
      </c>
      <c r="K24" s="1109">
        <f>'Forecast TY Budget &amp; D-2.4 Adj'!N34</f>
        <v>21986</v>
      </c>
      <c r="L24" s="1109">
        <f>'Forecast TY Budget &amp; D-2.4 Adj'!O34</f>
        <v>22521</v>
      </c>
      <c r="M24" s="1109">
        <f>'Forecast TY Budget &amp; D-2.4 Adj'!P34</f>
        <v>21152</v>
      </c>
      <c r="N24" s="1109">
        <f>'Forecast TY Budget &amp; D-2.4 Adj'!Q34</f>
        <v>22796</v>
      </c>
      <c r="O24" s="473">
        <f t="shared" si="1"/>
        <v>269555</v>
      </c>
    </row>
    <row r="25" spans="1:18" x14ac:dyDescent="0.2">
      <c r="A25" s="811">
        <v>890</v>
      </c>
      <c r="B25" s="458" t="s">
        <v>184</v>
      </c>
      <c r="C25" s="1109">
        <f>'Forecast TY Budget &amp; D-2.4 Adj'!F35</f>
        <v>5799</v>
      </c>
      <c r="D25" s="1109">
        <f>'Forecast TY Budget &amp; D-2.4 Adj'!G35</f>
        <v>5422</v>
      </c>
      <c r="E25" s="1109">
        <f>'Forecast TY Budget &amp; D-2.4 Adj'!H35</f>
        <v>5873</v>
      </c>
      <c r="F25" s="1109">
        <f>'Forecast TY Budget &amp; D-2.4 Adj'!I35</f>
        <v>5632</v>
      </c>
      <c r="G25" s="1109">
        <f>'Forecast TY Budget &amp; D-2.4 Adj'!J35</f>
        <v>5812</v>
      </c>
      <c r="H25" s="1109">
        <f>'Forecast TY Budget &amp; D-2.4 Adj'!K35</f>
        <v>6019</v>
      </c>
      <c r="I25" s="1109">
        <f>'Forecast TY Budget &amp; D-2.4 Adj'!L35</f>
        <v>5807</v>
      </c>
      <c r="J25" s="1109">
        <f>'Forecast TY Budget &amp; D-2.4 Adj'!M35</f>
        <v>5678</v>
      </c>
      <c r="K25" s="1109">
        <f>'Forecast TY Budget &amp; D-2.4 Adj'!N35</f>
        <v>5857</v>
      </c>
      <c r="L25" s="1109">
        <f>'Forecast TY Budget &amp; D-2.4 Adj'!O35</f>
        <v>5817</v>
      </c>
      <c r="M25" s="1109">
        <f>'Forecast TY Budget &amp; D-2.4 Adj'!P35</f>
        <v>5822</v>
      </c>
      <c r="N25" s="1109">
        <f>'Forecast TY Budget &amp; D-2.4 Adj'!Q35</f>
        <v>6167</v>
      </c>
      <c r="O25" s="473">
        <f t="shared" si="1"/>
        <v>69705</v>
      </c>
    </row>
    <row r="26" spans="1:18" x14ac:dyDescent="0.2">
      <c r="A26" s="811">
        <v>892</v>
      </c>
      <c r="B26" s="458" t="s">
        <v>191</v>
      </c>
      <c r="C26" s="1109">
        <f>'Forecast TY Budget &amp; D-2.4 Adj'!F36</f>
        <v>52521</v>
      </c>
      <c r="D26" s="1109">
        <f>'Forecast TY Budget &amp; D-2.4 Adj'!G36</f>
        <v>47133</v>
      </c>
      <c r="E26" s="1109">
        <f>'Forecast TY Budget &amp; D-2.4 Adj'!H36</f>
        <v>53427</v>
      </c>
      <c r="F26" s="1109">
        <f>'Forecast TY Budget &amp; D-2.4 Adj'!I36</f>
        <v>55925</v>
      </c>
      <c r="G26" s="1109">
        <f>'Forecast TY Budget &amp; D-2.4 Adj'!J36</f>
        <v>61372</v>
      </c>
      <c r="H26" s="1109">
        <f>'Forecast TY Budget &amp; D-2.4 Adj'!K36</f>
        <v>62412</v>
      </c>
      <c r="I26" s="1109">
        <f>'Forecast TY Budget &amp; D-2.4 Adj'!L36</f>
        <v>60961</v>
      </c>
      <c r="J26" s="1109">
        <f>'Forecast TY Budget &amp; D-2.4 Adj'!M36</f>
        <v>65610</v>
      </c>
      <c r="K26" s="1109">
        <f>'Forecast TY Budget &amp; D-2.4 Adj'!N36</f>
        <v>63198</v>
      </c>
      <c r="L26" s="1109">
        <f>'Forecast TY Budget &amp; D-2.4 Adj'!O36</f>
        <v>59908</v>
      </c>
      <c r="M26" s="1109">
        <f>'Forecast TY Budget &amp; D-2.4 Adj'!P36</f>
        <v>57489</v>
      </c>
      <c r="N26" s="1109">
        <f>'Forecast TY Budget &amp; D-2.4 Adj'!Q36</f>
        <v>59805</v>
      </c>
      <c r="O26" s="473">
        <f t="shared" si="1"/>
        <v>699761</v>
      </c>
    </row>
    <row r="27" spans="1:18" x14ac:dyDescent="0.2">
      <c r="A27" s="811">
        <v>893</v>
      </c>
      <c r="B27" s="458" t="s">
        <v>185</v>
      </c>
      <c r="C27" s="1109">
        <f>'Forecast TY Budget &amp; D-2.4 Adj'!F37</f>
        <v>12693</v>
      </c>
      <c r="D27" s="1109">
        <f>'Forecast TY Budget &amp; D-2.4 Adj'!G37</f>
        <v>11705</v>
      </c>
      <c r="E27" s="1109">
        <f>'Forecast TY Budget &amp; D-2.4 Adj'!H37</f>
        <v>11756</v>
      </c>
      <c r="F27" s="1109">
        <f>'Forecast TY Budget &amp; D-2.4 Adj'!I37</f>
        <v>12004</v>
      </c>
      <c r="G27" s="1109">
        <f>'Forecast TY Budget &amp; D-2.4 Adj'!J37</f>
        <v>12008</v>
      </c>
      <c r="H27" s="1109">
        <f>'Forecast TY Budget &amp; D-2.4 Adj'!K37</f>
        <v>12750</v>
      </c>
      <c r="I27" s="1109">
        <f>'Forecast TY Budget &amp; D-2.4 Adj'!L37</f>
        <v>12459</v>
      </c>
      <c r="J27" s="1109">
        <f>'Forecast TY Budget &amp; D-2.4 Adj'!M37</f>
        <v>11665</v>
      </c>
      <c r="K27" s="1109">
        <f>'Forecast TY Budget &amp; D-2.4 Adj'!N37</f>
        <v>11686</v>
      </c>
      <c r="L27" s="1109">
        <f>'Forecast TY Budget &amp; D-2.4 Adj'!O37</f>
        <v>11928</v>
      </c>
      <c r="M27" s="1109">
        <f>'Forecast TY Budget &amp; D-2.4 Adj'!P37</f>
        <v>11017</v>
      </c>
      <c r="N27" s="1109">
        <f>'Forecast TY Budget &amp; D-2.4 Adj'!Q37</f>
        <v>11368</v>
      </c>
      <c r="O27" s="473">
        <f t="shared" si="1"/>
        <v>143039</v>
      </c>
    </row>
    <row r="28" spans="1:18" x14ac:dyDescent="0.2">
      <c r="A28" s="811">
        <v>894</v>
      </c>
      <c r="B28" s="458" t="s">
        <v>192</v>
      </c>
      <c r="C28" s="1109">
        <f>'Forecast TY Budget &amp; D-2.4 Adj'!F38</f>
        <v>26427</v>
      </c>
      <c r="D28" s="1109">
        <f>'Forecast TY Budget &amp; D-2.4 Adj'!G38</f>
        <v>23631</v>
      </c>
      <c r="E28" s="1109">
        <f>'Forecast TY Budget &amp; D-2.4 Adj'!H38</f>
        <v>26061</v>
      </c>
      <c r="F28" s="1109">
        <f>'Forecast TY Budget &amp; D-2.4 Adj'!I38</f>
        <v>25491</v>
      </c>
      <c r="G28" s="1109">
        <f>'Forecast TY Budget &amp; D-2.4 Adj'!J38</f>
        <v>26543</v>
      </c>
      <c r="H28" s="1109">
        <f>'Forecast TY Budget &amp; D-2.4 Adj'!K38</f>
        <v>27488</v>
      </c>
      <c r="I28" s="1109">
        <f>'Forecast TY Budget &amp; D-2.4 Adj'!L38</f>
        <v>26711</v>
      </c>
      <c r="J28" s="1109">
        <f>'Forecast TY Budget &amp; D-2.4 Adj'!M38</f>
        <v>25735</v>
      </c>
      <c r="K28" s="1109">
        <f>'Forecast TY Budget &amp; D-2.4 Adj'!N38</f>
        <v>25968</v>
      </c>
      <c r="L28" s="1109">
        <f>'Forecast TY Budget &amp; D-2.4 Adj'!O38</f>
        <v>26163</v>
      </c>
      <c r="M28" s="1109">
        <f>'Forecast TY Budget &amp; D-2.4 Adj'!P38</f>
        <v>25023</v>
      </c>
      <c r="N28" s="1109">
        <f>'Forecast TY Budget &amp; D-2.4 Adj'!Q38</f>
        <v>26600</v>
      </c>
      <c r="O28" s="473">
        <f t="shared" si="1"/>
        <v>311841</v>
      </c>
    </row>
    <row r="29" spans="1:18" s="802" customFormat="1" x14ac:dyDescent="0.2">
      <c r="C29" s="1148"/>
      <c r="D29" s="1148"/>
      <c r="E29" s="1148"/>
      <c r="F29" s="1148"/>
      <c r="G29" s="1148"/>
      <c r="H29" s="1148"/>
      <c r="I29" s="1148"/>
      <c r="J29" s="1148"/>
      <c r="K29" s="1148"/>
      <c r="L29" s="1148"/>
      <c r="M29" s="1148"/>
      <c r="N29" s="1148"/>
      <c r="O29" s="1149"/>
    </row>
    <row r="30" spans="1:18" x14ac:dyDescent="0.2">
      <c r="A30" s="810">
        <v>901</v>
      </c>
      <c r="B30" s="458" t="s">
        <v>193</v>
      </c>
      <c r="C30" s="1109">
        <f>'Forecast TY Budget &amp; D-2.4 Adj'!F41</f>
        <v>0</v>
      </c>
      <c r="D30" s="1109">
        <f>'Forecast TY Budget &amp; D-2.4 Adj'!G41</f>
        <v>0</v>
      </c>
      <c r="E30" s="1109">
        <f>'Forecast TY Budget &amp; D-2.4 Adj'!H41</f>
        <v>0</v>
      </c>
      <c r="F30" s="1109">
        <f>'Forecast TY Budget &amp; D-2.4 Adj'!I41</f>
        <v>0</v>
      </c>
      <c r="G30" s="1109">
        <f>'Forecast TY Budget &amp; D-2.4 Adj'!J41</f>
        <v>0</v>
      </c>
      <c r="H30" s="1109">
        <f>'Forecast TY Budget &amp; D-2.4 Adj'!K41</f>
        <v>0</v>
      </c>
      <c r="I30" s="1109">
        <f>'Forecast TY Budget &amp; D-2.4 Adj'!L41</f>
        <v>0</v>
      </c>
      <c r="J30" s="1109">
        <f>'Forecast TY Budget &amp; D-2.4 Adj'!M41</f>
        <v>0</v>
      </c>
      <c r="K30" s="1109">
        <f>'Forecast TY Budget &amp; D-2.4 Adj'!N41</f>
        <v>0</v>
      </c>
      <c r="L30" s="1109">
        <f>'Forecast TY Budget &amp; D-2.4 Adj'!O41</f>
        <v>0</v>
      </c>
      <c r="M30" s="1109">
        <f>'Forecast TY Budget &amp; D-2.4 Adj'!P41</f>
        <v>0</v>
      </c>
      <c r="N30" s="1109">
        <f>'Forecast TY Budget &amp; D-2.4 Adj'!Q41</f>
        <v>0</v>
      </c>
      <c r="O30" s="473">
        <f>SUM(C30:N30)</f>
        <v>0</v>
      </c>
    </row>
    <row r="31" spans="1:18" x14ac:dyDescent="0.2">
      <c r="A31" s="810">
        <v>902</v>
      </c>
      <c r="B31" s="458" t="s">
        <v>194</v>
      </c>
      <c r="C31" s="1109">
        <f>'Forecast TY Budget &amp; D-2.4 Adj'!F42</f>
        <v>38481</v>
      </c>
      <c r="D31" s="1109">
        <f>'Forecast TY Budget &amp; D-2.4 Adj'!G42</f>
        <v>35160</v>
      </c>
      <c r="E31" s="1109">
        <f>'Forecast TY Budget &amp; D-2.4 Adj'!H42</f>
        <v>39603</v>
      </c>
      <c r="F31" s="1109">
        <f>'Forecast TY Budget &amp; D-2.4 Adj'!I42</f>
        <v>42923</v>
      </c>
      <c r="G31" s="1109">
        <f>'Forecast TY Budget &amp; D-2.4 Adj'!J42</f>
        <v>49535</v>
      </c>
      <c r="H31" s="1109">
        <f>'Forecast TY Budget &amp; D-2.4 Adj'!K42</f>
        <v>49394</v>
      </c>
      <c r="I31" s="1109">
        <f>'Forecast TY Budget &amp; D-2.4 Adj'!L42</f>
        <v>47682</v>
      </c>
      <c r="J31" s="1109">
        <f>'Forecast TY Budget &amp; D-2.4 Adj'!M42</f>
        <v>54440</v>
      </c>
      <c r="K31" s="1109">
        <f>'Forecast TY Budget &amp; D-2.4 Adj'!N42</f>
        <v>50995</v>
      </c>
      <c r="L31" s="1109">
        <f>'Forecast TY Budget &amp; D-2.4 Adj'!O42</f>
        <v>47390</v>
      </c>
      <c r="M31" s="1109">
        <f>'Forecast TY Budget &amp; D-2.4 Adj'!P42</f>
        <v>45019</v>
      </c>
      <c r="N31" s="1109">
        <f>'Forecast TY Budget &amp; D-2.4 Adj'!Q42</f>
        <v>46508</v>
      </c>
      <c r="O31" s="473">
        <f t="shared" ref="O31:O46" si="2">SUM(C31:N31)</f>
        <v>547130</v>
      </c>
    </row>
    <row r="32" spans="1:18" x14ac:dyDescent="0.2">
      <c r="A32" s="810">
        <v>903</v>
      </c>
      <c r="B32" s="458" t="s">
        <v>195</v>
      </c>
      <c r="C32" s="1109">
        <f>'Forecast TY Budget &amp; D-2.4 Adj'!F43</f>
        <v>304949</v>
      </c>
      <c r="D32" s="1109">
        <f>'Forecast TY Budget &amp; D-2.4 Adj'!G43</f>
        <v>290970</v>
      </c>
      <c r="E32" s="1109">
        <f>'Forecast TY Budget &amp; D-2.4 Adj'!H43</f>
        <v>300547</v>
      </c>
      <c r="F32" s="1109">
        <f>'Forecast TY Budget &amp; D-2.4 Adj'!I43</f>
        <v>300248</v>
      </c>
      <c r="G32" s="1109">
        <f>'Forecast TY Budget &amp; D-2.4 Adj'!J43</f>
        <v>304205</v>
      </c>
      <c r="H32" s="1109">
        <f>'Forecast TY Budget &amp; D-2.4 Adj'!K43</f>
        <v>319528</v>
      </c>
      <c r="I32" s="1109">
        <f>'Forecast TY Budget &amp; D-2.4 Adj'!L43</f>
        <v>310505</v>
      </c>
      <c r="J32" s="1109">
        <f>'Forecast TY Budget &amp; D-2.4 Adj'!M43</f>
        <v>302941</v>
      </c>
      <c r="K32" s="1109">
        <f>'Forecast TY Budget &amp; D-2.4 Adj'!N43</f>
        <v>307759</v>
      </c>
      <c r="L32" s="1109">
        <f>'Forecast TY Budget &amp; D-2.4 Adj'!O43</f>
        <v>305075</v>
      </c>
      <c r="M32" s="1109">
        <f>'Forecast TY Budget &amp; D-2.4 Adj'!P43</f>
        <v>296912</v>
      </c>
      <c r="N32" s="1109">
        <f>'Forecast TY Budget &amp; D-2.4 Adj'!Q43</f>
        <v>305399</v>
      </c>
      <c r="O32" s="473">
        <f t="shared" si="2"/>
        <v>3649038</v>
      </c>
    </row>
    <row r="33" spans="1:15" x14ac:dyDescent="0.2">
      <c r="A33" s="810">
        <v>904</v>
      </c>
      <c r="B33" s="458" t="s">
        <v>196</v>
      </c>
      <c r="C33" s="1109">
        <f>'Forecast TY Budget &amp; D-2.4 Adj'!F44</f>
        <v>238584</v>
      </c>
      <c r="D33" s="1109">
        <f>'Forecast TY Budget &amp; D-2.4 Adj'!G44</f>
        <v>224468</v>
      </c>
      <c r="E33" s="1109">
        <f>'Forecast TY Budget &amp; D-2.4 Adj'!H44</f>
        <v>179189</v>
      </c>
      <c r="F33" s="1109">
        <f>'Forecast TY Budget &amp; D-2.4 Adj'!I44</f>
        <v>131801</v>
      </c>
      <c r="G33" s="1109">
        <f>'Forecast TY Budget &amp; D-2.4 Adj'!J44</f>
        <v>107750</v>
      </c>
      <c r="H33" s="1109">
        <f>'Forecast TY Budget &amp; D-2.4 Adj'!K44</f>
        <v>84105</v>
      </c>
      <c r="I33" s="1109">
        <f>'Forecast TY Budget &amp; D-2.4 Adj'!L44</f>
        <v>81152</v>
      </c>
      <c r="J33" s="1109">
        <f>'Forecast TY Budget &amp; D-2.4 Adj'!M44</f>
        <v>87880</v>
      </c>
      <c r="K33" s="1109">
        <f>'Forecast TY Budget &amp; D-2.4 Adj'!N44</f>
        <v>83818</v>
      </c>
      <c r="L33" s="1109">
        <f>'Forecast TY Budget &amp; D-2.4 Adj'!O44</f>
        <v>93919</v>
      </c>
      <c r="M33" s="1109">
        <f>'Forecast TY Budget &amp; D-2.4 Adj'!P44</f>
        <v>145918</v>
      </c>
      <c r="N33" s="1109">
        <f>'Forecast TY Budget &amp; D-2.4 Adj'!Q44</f>
        <v>196879</v>
      </c>
      <c r="O33" s="473">
        <f t="shared" si="2"/>
        <v>1655463</v>
      </c>
    </row>
    <row r="34" spans="1:15" x14ac:dyDescent="0.2">
      <c r="A34" s="810">
        <v>905</v>
      </c>
      <c r="B34" s="458" t="s">
        <v>197</v>
      </c>
      <c r="C34" s="1109">
        <f>'Forecast TY Budget &amp; D-2.4 Adj'!F45</f>
        <v>93</v>
      </c>
      <c r="D34" s="1109">
        <f>'Forecast TY Budget &amp; D-2.4 Adj'!G45</f>
        <v>83</v>
      </c>
      <c r="E34" s="1109">
        <f>'Forecast TY Budget &amp; D-2.4 Adj'!H45</f>
        <v>92</v>
      </c>
      <c r="F34" s="1109">
        <f>'Forecast TY Budget &amp; D-2.4 Adj'!I45</f>
        <v>83</v>
      </c>
      <c r="G34" s="1109">
        <f>'Forecast TY Budget &amp; D-2.4 Adj'!J45</f>
        <v>98</v>
      </c>
      <c r="H34" s="1109">
        <f>'Forecast TY Budget &amp; D-2.4 Adj'!K45</f>
        <v>95</v>
      </c>
      <c r="I34" s="1109">
        <f>'Forecast TY Budget &amp; D-2.4 Adj'!L45</f>
        <v>90</v>
      </c>
      <c r="J34" s="1109">
        <f>'Forecast TY Budget &amp; D-2.4 Adj'!M45</f>
        <v>90</v>
      </c>
      <c r="K34" s="1109">
        <f>'Forecast TY Budget &amp; D-2.4 Adj'!N45</f>
        <v>87</v>
      </c>
      <c r="L34" s="1109">
        <f>'Forecast TY Budget &amp; D-2.4 Adj'!O45</f>
        <v>91</v>
      </c>
      <c r="M34" s="1109">
        <f>'Forecast TY Budget &amp; D-2.4 Adj'!P45</f>
        <v>85</v>
      </c>
      <c r="N34" s="1109">
        <f>'Forecast TY Budget &amp; D-2.4 Adj'!Q45</f>
        <v>94</v>
      </c>
      <c r="O34" s="473">
        <f t="shared" si="2"/>
        <v>1081</v>
      </c>
    </row>
    <row r="35" spans="1:15" x14ac:dyDescent="0.2">
      <c r="A35" s="810">
        <v>921</v>
      </c>
      <c r="B35" s="802" t="s">
        <v>2111</v>
      </c>
      <c r="C35" s="1109">
        <f t="shared" ref="C35:N35" si="3">ROUND(C65*$D$68,0)</f>
        <v>22</v>
      </c>
      <c r="D35" s="1109">
        <f t="shared" si="3"/>
        <v>20</v>
      </c>
      <c r="E35" s="1109">
        <f t="shared" si="3"/>
        <v>21</v>
      </c>
      <c r="F35" s="1109">
        <f t="shared" si="3"/>
        <v>20</v>
      </c>
      <c r="G35" s="1109">
        <f t="shared" si="3"/>
        <v>22</v>
      </c>
      <c r="H35" s="1109">
        <f t="shared" si="3"/>
        <v>22</v>
      </c>
      <c r="I35" s="1109">
        <f t="shared" si="3"/>
        <v>21</v>
      </c>
      <c r="J35" s="1109">
        <f t="shared" si="3"/>
        <v>21</v>
      </c>
      <c r="K35" s="1109">
        <f t="shared" si="3"/>
        <v>21</v>
      </c>
      <c r="L35" s="1109">
        <f t="shared" si="3"/>
        <v>21</v>
      </c>
      <c r="M35" s="1109">
        <f t="shared" si="3"/>
        <v>20</v>
      </c>
      <c r="N35" s="1109">
        <f t="shared" si="3"/>
        <v>22</v>
      </c>
      <c r="O35" s="473">
        <f t="shared" si="2"/>
        <v>253</v>
      </c>
    </row>
    <row r="36" spans="1:15" x14ac:dyDescent="0.2">
      <c r="A36" s="810">
        <v>935</v>
      </c>
      <c r="B36" s="802" t="s">
        <v>198</v>
      </c>
      <c r="C36" s="1109">
        <f>ROUND(C74*$D$77,0)</f>
        <v>0</v>
      </c>
      <c r="D36" s="1109">
        <f t="shared" ref="D36:N36" si="4">ROUND(D74*$D$77,0)</f>
        <v>0</v>
      </c>
      <c r="E36" s="1109">
        <f t="shared" si="4"/>
        <v>0</v>
      </c>
      <c r="F36" s="1109">
        <f t="shared" si="4"/>
        <v>0</v>
      </c>
      <c r="G36" s="1109">
        <f t="shared" si="4"/>
        <v>0</v>
      </c>
      <c r="H36" s="1109">
        <f t="shared" si="4"/>
        <v>0</v>
      </c>
      <c r="I36" s="1109">
        <f t="shared" si="4"/>
        <v>0</v>
      </c>
      <c r="J36" s="1109">
        <f t="shared" si="4"/>
        <v>0</v>
      </c>
      <c r="K36" s="1109">
        <f t="shared" si="4"/>
        <v>0</v>
      </c>
      <c r="L36" s="1109">
        <f t="shared" si="4"/>
        <v>0</v>
      </c>
      <c r="M36" s="1109">
        <f t="shared" si="4"/>
        <v>0</v>
      </c>
      <c r="N36" s="1109">
        <f t="shared" si="4"/>
        <v>0</v>
      </c>
      <c r="O36" s="473">
        <f t="shared" si="2"/>
        <v>0</v>
      </c>
    </row>
    <row r="37" spans="1:15" s="802" customFormat="1" x14ac:dyDescent="0.2">
      <c r="C37" s="1148"/>
      <c r="D37" s="1148"/>
      <c r="E37" s="1148"/>
      <c r="F37" s="1148"/>
      <c r="G37" s="1148"/>
      <c r="H37" s="1148"/>
      <c r="I37" s="1148"/>
      <c r="J37" s="1148"/>
      <c r="K37" s="1148"/>
      <c r="L37" s="1148"/>
      <c r="M37" s="1148"/>
      <c r="N37" s="1148"/>
      <c r="O37" s="473"/>
    </row>
    <row r="38" spans="1:15" x14ac:dyDescent="0.2">
      <c r="A38" s="810">
        <v>907</v>
      </c>
      <c r="B38" s="458" t="s">
        <v>199</v>
      </c>
      <c r="C38" s="1109">
        <f>'Forecast TY Budget &amp; D-2.4 Adj'!F48</f>
        <v>794</v>
      </c>
      <c r="D38" s="1109">
        <f>'Forecast TY Budget &amp; D-2.4 Adj'!G48</f>
        <v>3180</v>
      </c>
      <c r="E38" s="1109">
        <f>'Forecast TY Budget &amp; D-2.4 Adj'!H48</f>
        <v>793</v>
      </c>
      <c r="F38" s="1109">
        <f>'Forecast TY Budget &amp; D-2.4 Adj'!I48</f>
        <v>837</v>
      </c>
      <c r="G38" s="1109">
        <f>'Forecast TY Budget &amp; D-2.4 Adj'!J48</f>
        <v>3184</v>
      </c>
      <c r="H38" s="1109">
        <f>'Forecast TY Budget &amp; D-2.4 Adj'!K48</f>
        <v>927</v>
      </c>
      <c r="I38" s="1109">
        <f>'Forecast TY Budget &amp; D-2.4 Adj'!L48</f>
        <v>3180</v>
      </c>
      <c r="J38" s="1109">
        <f>'Forecast TY Budget &amp; D-2.4 Adj'!M48</f>
        <v>792</v>
      </c>
      <c r="K38" s="1109">
        <f>'Forecast TY Budget &amp; D-2.4 Adj'!N48</f>
        <v>3760</v>
      </c>
      <c r="L38" s="1109">
        <f>'Forecast TY Budget &amp; D-2.4 Adj'!O48</f>
        <v>3182</v>
      </c>
      <c r="M38" s="1109">
        <f>'Forecast TY Budget &amp; D-2.4 Adj'!P48</f>
        <v>791</v>
      </c>
      <c r="N38" s="1109">
        <f>'Forecast TY Budget &amp; D-2.4 Adj'!Q48</f>
        <v>792</v>
      </c>
      <c r="O38" s="473">
        <f t="shared" si="2"/>
        <v>22212</v>
      </c>
    </row>
    <row r="39" spans="1:15" x14ac:dyDescent="0.2">
      <c r="A39" s="810">
        <v>908</v>
      </c>
      <c r="B39" s="458" t="s">
        <v>200</v>
      </c>
      <c r="C39" s="1109">
        <f>'Forecast TY Budget &amp; D-2.4 Adj'!F49</f>
        <v>88458</v>
      </c>
      <c r="D39" s="1109">
        <f>'Forecast TY Budget &amp; D-2.4 Adj'!G49</f>
        <v>96221</v>
      </c>
      <c r="E39" s="1109">
        <f>'Forecast TY Budget &amp; D-2.4 Adj'!H49</f>
        <v>104861</v>
      </c>
      <c r="F39" s="1109">
        <f>'Forecast TY Budget &amp; D-2.4 Adj'!I49</f>
        <v>105959</v>
      </c>
      <c r="G39" s="1109">
        <f>'Forecast TY Budget &amp; D-2.4 Adj'!J49</f>
        <v>112882</v>
      </c>
      <c r="H39" s="1109">
        <f>'Forecast TY Budget &amp; D-2.4 Adj'!K49</f>
        <v>117042</v>
      </c>
      <c r="I39" s="1109">
        <f>'Forecast TY Budget &amp; D-2.4 Adj'!L49</f>
        <v>127304</v>
      </c>
      <c r="J39" s="1109">
        <f>'Forecast TY Budget &amp; D-2.4 Adj'!M49</f>
        <v>116547</v>
      </c>
      <c r="K39" s="1109">
        <f>'Forecast TY Budget &amp; D-2.4 Adj'!N49</f>
        <v>121621</v>
      </c>
      <c r="L39" s="1109">
        <f>'Forecast TY Budget &amp; D-2.4 Adj'!O49</f>
        <v>186353</v>
      </c>
      <c r="M39" s="1109">
        <f>'Forecast TY Budget &amp; D-2.4 Adj'!P49</f>
        <v>74803</v>
      </c>
      <c r="N39" s="1109">
        <f>'Forecast TY Budget &amp; D-2.4 Adj'!Q49</f>
        <v>72995</v>
      </c>
      <c r="O39" s="473">
        <f t="shared" si="2"/>
        <v>1325046</v>
      </c>
    </row>
    <row r="40" spans="1:15" x14ac:dyDescent="0.2">
      <c r="A40" s="810">
        <v>909</v>
      </c>
      <c r="B40" s="458" t="s">
        <v>201</v>
      </c>
      <c r="C40" s="1109">
        <f>'Forecast TY Budget &amp; D-2.4 Adj'!F50</f>
        <v>5334</v>
      </c>
      <c r="D40" s="1109">
        <f>'Forecast TY Budget &amp; D-2.4 Adj'!G50</f>
        <v>5454</v>
      </c>
      <c r="E40" s="1109">
        <f>'Forecast TY Budget &amp; D-2.4 Adj'!H50</f>
        <v>5567</v>
      </c>
      <c r="F40" s="1109">
        <f>'Forecast TY Budget &amp; D-2.4 Adj'!I50</f>
        <v>5387</v>
      </c>
      <c r="G40" s="1109">
        <f>'Forecast TY Budget &amp; D-2.4 Adj'!J50</f>
        <v>5430</v>
      </c>
      <c r="H40" s="1109">
        <f>'Forecast TY Budget &amp; D-2.4 Adj'!K50</f>
        <v>5679</v>
      </c>
      <c r="I40" s="1109">
        <f>'Forecast TY Budget &amp; D-2.4 Adj'!L50</f>
        <v>5546</v>
      </c>
      <c r="J40" s="1109">
        <f>'Forecast TY Budget &amp; D-2.4 Adj'!M50</f>
        <v>5547</v>
      </c>
      <c r="K40" s="1109">
        <f>'Forecast TY Budget &amp; D-2.4 Adj'!N50</f>
        <v>5656</v>
      </c>
      <c r="L40" s="1109">
        <f>'Forecast TY Budget &amp; D-2.4 Adj'!O50</f>
        <v>5517</v>
      </c>
      <c r="M40" s="1109">
        <f>'Forecast TY Budget &amp; D-2.4 Adj'!P50</f>
        <v>5611</v>
      </c>
      <c r="N40" s="1109">
        <f>'Forecast TY Budget &amp; D-2.4 Adj'!Q50</f>
        <v>5677</v>
      </c>
      <c r="O40" s="473">
        <f t="shared" si="2"/>
        <v>66405</v>
      </c>
    </row>
    <row r="41" spans="1:15" x14ac:dyDescent="0.2">
      <c r="A41" s="810">
        <v>910</v>
      </c>
      <c r="B41" s="458" t="s">
        <v>202</v>
      </c>
      <c r="C41" s="1109">
        <f>'Forecast TY Budget &amp; D-2.4 Adj'!F51</f>
        <v>21350</v>
      </c>
      <c r="D41" s="1109">
        <f>'Forecast TY Budget &amp; D-2.4 Adj'!G51</f>
        <v>21854</v>
      </c>
      <c r="E41" s="1109">
        <f>'Forecast TY Budget &amp; D-2.4 Adj'!H51</f>
        <v>22003</v>
      </c>
      <c r="F41" s="1109">
        <f>'Forecast TY Budget &amp; D-2.4 Adj'!I51</f>
        <v>21573</v>
      </c>
      <c r="G41" s="1109">
        <f>'Forecast TY Budget &amp; D-2.4 Adj'!J51</f>
        <v>21754</v>
      </c>
      <c r="H41" s="1109">
        <f>'Forecast TY Budget &amp; D-2.4 Adj'!K51</f>
        <v>22795</v>
      </c>
      <c r="I41" s="1109">
        <f>'Forecast TY Budget &amp; D-2.4 Adj'!L51</f>
        <v>21914</v>
      </c>
      <c r="J41" s="1109">
        <f>'Forecast TY Budget &amp; D-2.4 Adj'!M51</f>
        <v>21919</v>
      </c>
      <c r="K41" s="1109">
        <f>'Forecast TY Budget &amp; D-2.4 Adj'!N51</f>
        <v>22697</v>
      </c>
      <c r="L41" s="1109">
        <f>'Forecast TY Budget &amp; D-2.4 Adj'!O51</f>
        <v>22117</v>
      </c>
      <c r="M41" s="1109">
        <f>'Forecast TY Budget &amp; D-2.4 Adj'!P51</f>
        <v>22510</v>
      </c>
      <c r="N41" s="1109">
        <f>'Forecast TY Budget &amp; D-2.4 Adj'!Q51</f>
        <v>22783</v>
      </c>
      <c r="O41" s="473">
        <f t="shared" si="2"/>
        <v>265269</v>
      </c>
    </row>
    <row r="42" spans="1:15" x14ac:dyDescent="0.2">
      <c r="A42" s="810">
        <v>911</v>
      </c>
      <c r="B42" s="458" t="s">
        <v>203</v>
      </c>
      <c r="C42" s="1148">
        <v>0</v>
      </c>
      <c r="D42" s="1148">
        <v>0</v>
      </c>
      <c r="E42" s="1148">
        <v>0</v>
      </c>
      <c r="F42" s="1148">
        <v>0</v>
      </c>
      <c r="G42" s="1148">
        <v>0</v>
      </c>
      <c r="H42" s="1148">
        <v>0</v>
      </c>
      <c r="I42" s="1148">
        <v>0</v>
      </c>
      <c r="J42" s="1148">
        <v>0</v>
      </c>
      <c r="K42" s="1148">
        <v>0</v>
      </c>
      <c r="L42" s="1148">
        <v>0</v>
      </c>
      <c r="M42" s="1148">
        <v>0</v>
      </c>
      <c r="N42" s="1148">
        <v>0</v>
      </c>
      <c r="O42" s="473">
        <f t="shared" si="2"/>
        <v>0</v>
      </c>
    </row>
    <row r="43" spans="1:15" x14ac:dyDescent="0.2">
      <c r="A43" s="810">
        <v>912</v>
      </c>
      <c r="B43" s="458" t="s">
        <v>204</v>
      </c>
      <c r="C43" s="1109">
        <f>'Forecast TY Budget &amp; D-2.4 Adj'!F55</f>
        <v>4387</v>
      </c>
      <c r="D43" s="1109">
        <f>'Forecast TY Budget &amp; D-2.4 Adj'!G55</f>
        <v>4490</v>
      </c>
      <c r="E43" s="1109">
        <f>'Forecast TY Budget &amp; D-2.4 Adj'!H55</f>
        <v>4521</v>
      </c>
      <c r="F43" s="1109">
        <f>'Forecast TY Budget &amp; D-2.4 Adj'!I55</f>
        <v>4433</v>
      </c>
      <c r="G43" s="1109">
        <f>'Forecast TY Budget &amp; D-2.4 Adj'!J55</f>
        <v>4470</v>
      </c>
      <c r="H43" s="1109">
        <f>'Forecast TY Budget &amp; D-2.4 Adj'!K55</f>
        <v>4684</v>
      </c>
      <c r="I43" s="1109">
        <f>'Forecast TY Budget &amp; D-2.4 Adj'!L55</f>
        <v>4503</v>
      </c>
      <c r="J43" s="1109">
        <f>'Forecast TY Budget &amp; D-2.4 Adj'!M55</f>
        <v>4504</v>
      </c>
      <c r="K43" s="1109">
        <f>'Forecast TY Budget &amp; D-2.4 Adj'!N55</f>
        <v>4664</v>
      </c>
      <c r="L43" s="1109">
        <f>'Forecast TY Budget &amp; D-2.4 Adj'!O55</f>
        <v>4544</v>
      </c>
      <c r="M43" s="1109">
        <f>'Forecast TY Budget &amp; D-2.4 Adj'!P55</f>
        <v>4625</v>
      </c>
      <c r="N43" s="1109">
        <f>'Forecast TY Budget &amp; D-2.4 Adj'!Q55</f>
        <v>4681</v>
      </c>
      <c r="O43" s="473">
        <f t="shared" si="2"/>
        <v>54506</v>
      </c>
    </row>
    <row r="44" spans="1:15" x14ac:dyDescent="0.2">
      <c r="A44" s="810">
        <v>913</v>
      </c>
      <c r="B44" s="458" t="s">
        <v>205</v>
      </c>
      <c r="C44" s="1109">
        <f>'Forecast TY Budget &amp; D-2.4 Adj'!F56</f>
        <v>13952</v>
      </c>
      <c r="D44" s="1109">
        <f>'Forecast TY Budget &amp; D-2.4 Adj'!G56</f>
        <v>13989</v>
      </c>
      <c r="E44" s="1109">
        <f>'Forecast TY Budget &amp; D-2.4 Adj'!H56</f>
        <v>18248</v>
      </c>
      <c r="F44" s="1109">
        <f>'Forecast TY Budget &amp; D-2.4 Adj'!I56</f>
        <v>13968</v>
      </c>
      <c r="G44" s="1109">
        <f>'Forecast TY Budget &amp; D-2.4 Adj'!J56</f>
        <v>13981</v>
      </c>
      <c r="H44" s="1109">
        <f>'Forecast TY Budget &amp; D-2.4 Adj'!K56</f>
        <v>14057</v>
      </c>
      <c r="I44" s="1109">
        <f>'Forecast TY Budget &amp; D-2.4 Adj'!L56</f>
        <v>18242</v>
      </c>
      <c r="J44" s="1109">
        <f>'Forecast TY Budget &amp; D-2.4 Adj'!M56</f>
        <v>18242</v>
      </c>
      <c r="K44" s="1109">
        <f>'Forecast TY Budget &amp; D-2.4 Adj'!N56</f>
        <v>14050</v>
      </c>
      <c r="L44" s="1109">
        <f>'Forecast TY Budget &amp; D-2.4 Adj'!O56</f>
        <v>14008</v>
      </c>
      <c r="M44" s="1109">
        <f>'Forecast TY Budget &amp; D-2.4 Adj'!P56</f>
        <v>14036</v>
      </c>
      <c r="N44" s="1109">
        <f>'Forecast TY Budget &amp; D-2.4 Adj'!Q56</f>
        <v>14056</v>
      </c>
      <c r="O44" s="473">
        <f t="shared" si="2"/>
        <v>180829</v>
      </c>
    </row>
    <row r="45" spans="1:15" x14ac:dyDescent="0.2">
      <c r="A45" s="810">
        <v>921</v>
      </c>
      <c r="B45" s="802" t="s">
        <v>2112</v>
      </c>
      <c r="C45" s="1109">
        <f t="shared" ref="C45:N45" si="5">ROUND(C65*$D$69,0)</f>
        <v>1185</v>
      </c>
      <c r="D45" s="1109">
        <f t="shared" si="5"/>
        <v>1111</v>
      </c>
      <c r="E45" s="1109">
        <f t="shared" si="5"/>
        <v>1160</v>
      </c>
      <c r="F45" s="1109">
        <f t="shared" si="5"/>
        <v>1069</v>
      </c>
      <c r="G45" s="1109">
        <f t="shared" si="5"/>
        <v>1199</v>
      </c>
      <c r="H45" s="1109">
        <f t="shared" si="5"/>
        <v>1202</v>
      </c>
      <c r="I45" s="1109">
        <f t="shared" si="5"/>
        <v>1157</v>
      </c>
      <c r="J45" s="1109">
        <f t="shared" si="5"/>
        <v>1125</v>
      </c>
      <c r="K45" s="1109">
        <f t="shared" si="5"/>
        <v>1165</v>
      </c>
      <c r="L45" s="1109">
        <f t="shared" si="5"/>
        <v>1168</v>
      </c>
      <c r="M45" s="1109">
        <f t="shared" si="5"/>
        <v>1121</v>
      </c>
      <c r="N45" s="1109">
        <f t="shared" si="5"/>
        <v>1206</v>
      </c>
      <c r="O45" s="473">
        <f t="shared" si="2"/>
        <v>13868</v>
      </c>
    </row>
    <row r="46" spans="1:15" x14ac:dyDescent="0.2">
      <c r="A46" s="810">
        <v>935</v>
      </c>
      <c r="B46" s="802" t="s">
        <v>198</v>
      </c>
      <c r="C46" s="1109">
        <f>ROUND(C74*$D$78,0)</f>
        <v>0</v>
      </c>
      <c r="D46" s="1109">
        <f t="shared" ref="D46:N46" si="6">ROUND(D74*$D$78,0)</f>
        <v>0</v>
      </c>
      <c r="E46" s="1109">
        <f t="shared" si="6"/>
        <v>0</v>
      </c>
      <c r="F46" s="1109">
        <f t="shared" si="6"/>
        <v>0</v>
      </c>
      <c r="G46" s="1109">
        <f t="shared" si="6"/>
        <v>0</v>
      </c>
      <c r="H46" s="1109">
        <f t="shared" si="6"/>
        <v>0</v>
      </c>
      <c r="I46" s="1109">
        <f t="shared" si="6"/>
        <v>0</v>
      </c>
      <c r="J46" s="1109">
        <f t="shared" si="6"/>
        <v>0</v>
      </c>
      <c r="K46" s="1109">
        <f t="shared" si="6"/>
        <v>0</v>
      </c>
      <c r="L46" s="1109">
        <f t="shared" si="6"/>
        <v>0</v>
      </c>
      <c r="M46" s="1109">
        <f t="shared" si="6"/>
        <v>0</v>
      </c>
      <c r="N46" s="1109">
        <f t="shared" si="6"/>
        <v>0</v>
      </c>
      <c r="O46" s="473">
        <f t="shared" si="2"/>
        <v>0</v>
      </c>
    </row>
    <row r="47" spans="1:15" s="802" customFormat="1" x14ac:dyDescent="0.2">
      <c r="C47" s="1148"/>
      <c r="D47" s="1148"/>
      <c r="E47" s="1148"/>
      <c r="F47" s="1148"/>
      <c r="G47" s="1148"/>
      <c r="H47" s="1148"/>
      <c r="I47" s="1148"/>
      <c r="J47" s="1148"/>
      <c r="K47" s="1148"/>
      <c r="L47" s="1148"/>
      <c r="M47" s="1148"/>
      <c r="N47" s="1148"/>
      <c r="O47" s="1149"/>
    </row>
    <row r="48" spans="1:15" x14ac:dyDescent="0.2">
      <c r="A48" s="810">
        <v>920</v>
      </c>
      <c r="B48" s="458" t="s">
        <v>206</v>
      </c>
      <c r="C48" s="1109">
        <f>'Forecast TY Budget &amp; D-2.4 Adj'!F60</f>
        <v>362194</v>
      </c>
      <c r="D48" s="1109">
        <f>'Forecast TY Budget &amp; D-2.4 Adj'!G60</f>
        <v>343221</v>
      </c>
      <c r="E48" s="1109">
        <f>'Forecast TY Budget &amp; D-2.4 Adj'!H60</f>
        <v>375232</v>
      </c>
      <c r="F48" s="1109">
        <f>'Forecast TY Budget &amp; D-2.4 Adj'!I60</f>
        <v>361171</v>
      </c>
      <c r="G48" s="1109">
        <f>'Forecast TY Budget &amp; D-2.4 Adj'!J60</f>
        <v>364106</v>
      </c>
      <c r="H48" s="1109">
        <f>'Forecast TY Budget &amp; D-2.4 Adj'!K60</f>
        <v>380880</v>
      </c>
      <c r="I48" s="1109">
        <f>'Forecast TY Budget &amp; D-2.4 Adj'!L60</f>
        <v>371511</v>
      </c>
      <c r="J48" s="1109">
        <f>'Forecast TY Budget &amp; D-2.4 Adj'!M60</f>
        <v>361017</v>
      </c>
      <c r="K48" s="1109">
        <f>'Forecast TY Budget &amp; D-2.4 Adj'!N60</f>
        <v>376058</v>
      </c>
      <c r="L48" s="1109">
        <f>'Forecast TY Budget &amp; D-2.4 Adj'!O60</f>
        <v>369780</v>
      </c>
      <c r="M48" s="1109">
        <f>'Forecast TY Budget &amp; D-2.4 Adj'!P60</f>
        <v>373897</v>
      </c>
      <c r="N48" s="1109">
        <f>'Forecast TY Budget &amp; D-2.4 Adj'!Q60</f>
        <v>389399</v>
      </c>
      <c r="O48" s="473">
        <f>SUM(C48:N48)</f>
        <v>4428466</v>
      </c>
    </row>
    <row r="49" spans="1:16" x14ac:dyDescent="0.2">
      <c r="A49" s="810">
        <v>921</v>
      </c>
      <c r="B49" s="802" t="s">
        <v>2113</v>
      </c>
      <c r="C49" s="1109">
        <f>C65-C35-C45</f>
        <v>77730</v>
      </c>
      <c r="D49" s="1109">
        <f t="shared" ref="D49:N49" si="7">D65-D35-D45</f>
        <v>72896</v>
      </c>
      <c r="E49" s="1109">
        <f t="shared" si="7"/>
        <v>76092</v>
      </c>
      <c r="F49" s="1109">
        <f t="shared" si="7"/>
        <v>70179</v>
      </c>
      <c r="G49" s="1109">
        <f t="shared" si="7"/>
        <v>78711</v>
      </c>
      <c r="H49" s="1109">
        <f t="shared" si="7"/>
        <v>78895</v>
      </c>
      <c r="I49" s="1109">
        <f t="shared" si="7"/>
        <v>75931</v>
      </c>
      <c r="J49" s="1109">
        <f t="shared" si="7"/>
        <v>73837</v>
      </c>
      <c r="K49" s="1109">
        <f t="shared" si="7"/>
        <v>76460</v>
      </c>
      <c r="L49" s="1109">
        <f t="shared" si="7"/>
        <v>76636</v>
      </c>
      <c r="M49" s="1109">
        <f t="shared" si="7"/>
        <v>73568</v>
      </c>
      <c r="N49" s="1109">
        <f t="shared" si="7"/>
        <v>79173</v>
      </c>
      <c r="O49" s="473">
        <f t="shared" ref="O49:O50" si="8">SUM(C49:N49)</f>
        <v>910108</v>
      </c>
    </row>
    <row r="50" spans="1:16" x14ac:dyDescent="0.2">
      <c r="A50" s="810">
        <v>923</v>
      </c>
      <c r="B50" s="458" t="s">
        <v>207</v>
      </c>
      <c r="C50" s="1109">
        <f>'Forecast TY Budget &amp; D-2.4 Adj'!F62</f>
        <v>638849.58333000005</v>
      </c>
      <c r="D50" s="1109">
        <f>'Forecast TY Budget &amp; D-2.4 Adj'!G62</f>
        <v>652338.98333000008</v>
      </c>
      <c r="E50" s="1109">
        <f>'Forecast TY Budget &amp; D-2.4 Adj'!H62</f>
        <v>657202.00333000009</v>
      </c>
      <c r="F50" s="1109">
        <f>'Forecast TY Budget &amp; D-2.4 Adj'!I62</f>
        <v>645374.33333000005</v>
      </c>
      <c r="G50" s="1109">
        <f>'Forecast TY Budget &amp; D-2.4 Adj'!J62</f>
        <v>651768.16333000001</v>
      </c>
      <c r="H50" s="1109">
        <f>'Forecast TY Budget &amp; D-2.4 Adj'!K62</f>
        <v>680615.53333000001</v>
      </c>
      <c r="I50" s="1109">
        <f>'Forecast TY Budget &amp; D-2.4 Adj'!L62</f>
        <v>655758.45333000005</v>
      </c>
      <c r="J50" s="1109">
        <f>'Forecast TY Budget &amp; D-2.4 Adj'!M62</f>
        <v>656920.77333</v>
      </c>
      <c r="K50" s="1109">
        <f>'Forecast TY Budget &amp; D-2.4 Adj'!N62</f>
        <v>677939.44333000004</v>
      </c>
      <c r="L50" s="1109">
        <f>'Forecast TY Budget &amp; D-2.4 Adj'!O62</f>
        <v>661445.42333000002</v>
      </c>
      <c r="M50" s="1109">
        <f>'Forecast TY Budget &amp; D-2.4 Adj'!P62</f>
        <v>671903.33333000005</v>
      </c>
      <c r="N50" s="1109">
        <f>'Forecast TY Budget &amp; D-2.4 Adj'!Q62</f>
        <v>679874.41333000001</v>
      </c>
      <c r="O50" s="473">
        <f t="shared" si="8"/>
        <v>7929990.4399600001</v>
      </c>
    </row>
    <row r="51" spans="1:16" x14ac:dyDescent="0.2">
      <c r="A51" s="810">
        <v>924</v>
      </c>
      <c r="B51" s="458" t="s">
        <v>208</v>
      </c>
      <c r="C51" s="1109">
        <f>'Forecast TY Budget &amp; D-2.4 Adj'!F63</f>
        <v>6753</v>
      </c>
      <c r="D51" s="1109">
        <f>'Forecast TY Budget &amp; D-2.4 Adj'!G63</f>
        <v>6753</v>
      </c>
      <c r="E51" s="1109">
        <f>'Forecast TY Budget &amp; D-2.4 Adj'!H63</f>
        <v>6753</v>
      </c>
      <c r="F51" s="1109">
        <f>'Forecast TY Budget &amp; D-2.4 Adj'!I63</f>
        <v>6753</v>
      </c>
      <c r="G51" s="1109">
        <f>'Forecast TY Budget &amp; D-2.4 Adj'!J63</f>
        <v>6753</v>
      </c>
      <c r="H51" s="1109">
        <f>'Forecast TY Budget &amp; D-2.4 Adj'!K63</f>
        <v>6753</v>
      </c>
      <c r="I51" s="1109">
        <f>'Forecast TY Budget &amp; D-2.4 Adj'!L63</f>
        <v>6866</v>
      </c>
      <c r="J51" s="1109">
        <f>'Forecast TY Budget &amp; D-2.4 Adj'!M63</f>
        <v>6866</v>
      </c>
      <c r="K51" s="1109">
        <f>'Forecast TY Budget &amp; D-2.4 Adj'!N63</f>
        <v>6866</v>
      </c>
      <c r="L51" s="1109">
        <f>'Forecast TY Budget &amp; D-2.4 Adj'!O63</f>
        <v>6866</v>
      </c>
      <c r="M51" s="1109">
        <f>'Forecast TY Budget &amp; D-2.4 Adj'!P63</f>
        <v>6883</v>
      </c>
      <c r="N51" s="1109">
        <f>'Forecast TY Budget &amp; D-2.4 Adj'!Q63</f>
        <v>6883</v>
      </c>
      <c r="O51" s="473">
        <f t="shared" ref="O51:O58" si="9">SUM(C51:N51)</f>
        <v>81748</v>
      </c>
    </row>
    <row r="52" spans="1:16" x14ac:dyDescent="0.2">
      <c r="A52" s="810">
        <v>925</v>
      </c>
      <c r="B52" s="458" t="s">
        <v>209</v>
      </c>
      <c r="C52" s="1109">
        <f>'Forecast TY Budget &amp; D-2.4 Adj'!F64</f>
        <v>86255</v>
      </c>
      <c r="D52" s="1109">
        <f>'Forecast TY Budget &amp; D-2.4 Adj'!G64</f>
        <v>86348</v>
      </c>
      <c r="E52" s="1109">
        <f>'Forecast TY Budget &amp; D-2.4 Adj'!H64</f>
        <v>86375</v>
      </c>
      <c r="F52" s="1109">
        <f>'Forecast TY Budget &amp; D-2.4 Adj'!I64</f>
        <v>86296</v>
      </c>
      <c r="G52" s="1109">
        <f>'Forecast TY Budget &amp; D-2.4 Adj'!J64</f>
        <v>86329</v>
      </c>
      <c r="H52" s="1109">
        <f>'Forecast TY Budget &amp; D-2.4 Adj'!K64</f>
        <v>86520</v>
      </c>
      <c r="I52" s="1109">
        <f>'Forecast TY Budget &amp; D-2.4 Adj'!L64</f>
        <v>87603</v>
      </c>
      <c r="J52" s="1109">
        <f>'Forecast TY Budget &amp; D-2.4 Adj'!M64</f>
        <v>87604</v>
      </c>
      <c r="K52" s="1109">
        <f>'Forecast TY Budget &amp; D-2.4 Adj'!N64</f>
        <v>87746</v>
      </c>
      <c r="L52" s="1109">
        <f>'Forecast TY Budget &amp; D-2.4 Adj'!O64</f>
        <v>87641</v>
      </c>
      <c r="M52" s="1109">
        <f>'Forecast TY Budget &amp; D-2.4 Adj'!P64</f>
        <v>87895</v>
      </c>
      <c r="N52" s="1109">
        <f>'Forecast TY Budget &amp; D-2.4 Adj'!Q64</f>
        <v>87945</v>
      </c>
      <c r="O52" s="473">
        <f t="shared" si="9"/>
        <v>1044557</v>
      </c>
    </row>
    <row r="53" spans="1:16" x14ac:dyDescent="0.2">
      <c r="A53" s="810">
        <v>926</v>
      </c>
      <c r="B53" s="458" t="s">
        <v>210</v>
      </c>
      <c r="C53" s="1109">
        <f>'Forecast TY Budget &amp; D-2.4 Adj'!F65</f>
        <v>338714</v>
      </c>
      <c r="D53" s="1109">
        <f>'Forecast TY Budget &amp; D-2.4 Adj'!G65</f>
        <v>355318</v>
      </c>
      <c r="E53" s="1109">
        <f>'Forecast TY Budget &amp; D-2.4 Adj'!H65</f>
        <v>253603</v>
      </c>
      <c r="F53" s="1109">
        <f>'Forecast TY Budget &amp; D-2.4 Adj'!I65</f>
        <v>258848</v>
      </c>
      <c r="G53" s="1109">
        <f>'Forecast TY Budget &amp; D-2.4 Adj'!J65</f>
        <v>257836</v>
      </c>
      <c r="H53" s="1109">
        <f>'Forecast TY Budget &amp; D-2.4 Adj'!K65</f>
        <v>283691</v>
      </c>
      <c r="I53" s="1109">
        <f>'Forecast TY Budget &amp; D-2.4 Adj'!L65</f>
        <v>283136</v>
      </c>
      <c r="J53" s="1109">
        <f>'Forecast TY Budget &amp; D-2.4 Adj'!M65</f>
        <v>273357</v>
      </c>
      <c r="K53" s="1109">
        <f>'Forecast TY Budget &amp; D-2.4 Adj'!N65</f>
        <v>270374</v>
      </c>
      <c r="L53" s="1109">
        <f>'Forecast TY Budget &amp; D-2.4 Adj'!O65</f>
        <v>272671</v>
      </c>
      <c r="M53" s="1109">
        <f>'Forecast TY Budget &amp; D-2.4 Adj'!P65</f>
        <v>347071</v>
      </c>
      <c r="N53" s="1109">
        <f>'Forecast TY Budget &amp; D-2.4 Adj'!Q65</f>
        <v>348761</v>
      </c>
      <c r="O53" s="473">
        <f t="shared" si="9"/>
        <v>3543380</v>
      </c>
    </row>
    <row r="54" spans="1:16" x14ac:dyDescent="0.2">
      <c r="A54" s="810">
        <v>928</v>
      </c>
      <c r="B54" s="458" t="s">
        <v>211</v>
      </c>
      <c r="C54" s="1109">
        <f>'Forecast TY Budget &amp; D-2.4 Adj'!F66</f>
        <v>20088</v>
      </c>
      <c r="D54" s="1109">
        <f>'Forecast TY Budget &amp; D-2.4 Adj'!G66</f>
        <v>18971</v>
      </c>
      <c r="E54" s="1109">
        <f>'Forecast TY Budget &amp; D-2.4 Adj'!H66</f>
        <v>19785</v>
      </c>
      <c r="F54" s="1109">
        <f>'Forecast TY Budget &amp; D-2.4 Adj'!I66</f>
        <v>19177</v>
      </c>
      <c r="G54" s="1109">
        <f>'Forecast TY Budget &amp; D-2.4 Adj'!J66</f>
        <v>20771</v>
      </c>
      <c r="H54" s="1109">
        <f>'Forecast TY Budget &amp; D-2.4 Adj'!K66</f>
        <v>20350</v>
      </c>
      <c r="I54" s="1109">
        <f>'Forecast TY Budget &amp; D-2.4 Adj'!L66</f>
        <v>20068</v>
      </c>
      <c r="J54" s="1109">
        <f>'Forecast TY Budget &amp; D-2.4 Adj'!M66</f>
        <v>20068</v>
      </c>
      <c r="K54" s="1109">
        <f>'Forecast TY Budget &amp; D-2.4 Adj'!N66</f>
        <v>19703</v>
      </c>
      <c r="L54" s="1109">
        <f>'Forecast TY Budget &amp; D-2.4 Adj'!O66</f>
        <v>20316</v>
      </c>
      <c r="M54" s="1109">
        <f>'Forecast TY Budget &amp; D-2.4 Adj'!P66</f>
        <v>19510</v>
      </c>
      <c r="N54" s="1109">
        <f>'Forecast TY Budget &amp; D-2.4 Adj'!Q66</f>
        <v>21056</v>
      </c>
      <c r="O54" s="473">
        <f t="shared" si="9"/>
        <v>239863</v>
      </c>
    </row>
    <row r="55" spans="1:16" x14ac:dyDescent="0.2">
      <c r="A55" s="810">
        <v>930</v>
      </c>
      <c r="B55" s="458" t="s">
        <v>212</v>
      </c>
      <c r="C55" s="1109">
        <f>'Forecast TY Budget &amp; D-2.4 Adj'!F67</f>
        <v>-5968</v>
      </c>
      <c r="D55" s="1109">
        <f>'Forecast TY Budget &amp; D-2.4 Adj'!G67</f>
        <v>-4844</v>
      </c>
      <c r="E55" s="1109">
        <f>'Forecast TY Budget &amp; D-2.4 Adj'!H67</f>
        <v>-6583</v>
      </c>
      <c r="F55" s="1109">
        <f>'Forecast TY Budget &amp; D-2.4 Adj'!I67</f>
        <v>-7994</v>
      </c>
      <c r="G55" s="1109">
        <f>'Forecast TY Budget &amp; D-2.4 Adj'!J67</f>
        <v>-659</v>
      </c>
      <c r="H55" s="1109">
        <f>'Forecast TY Budget &amp; D-2.4 Adj'!K67</f>
        <v>-4931</v>
      </c>
      <c r="I55" s="1109">
        <f>'Forecast TY Budget &amp; D-2.4 Adj'!L67</f>
        <v>-3468</v>
      </c>
      <c r="J55" s="1109">
        <f>'Forecast TY Budget &amp; D-2.4 Adj'!M67</f>
        <v>-7064</v>
      </c>
      <c r="K55" s="1109">
        <f>'Forecast TY Budget &amp; D-2.4 Adj'!N67</f>
        <v>-3282</v>
      </c>
      <c r="L55" s="1109">
        <f>'Forecast TY Budget &amp; D-2.4 Adj'!O67</f>
        <v>-2876</v>
      </c>
      <c r="M55" s="1109">
        <f>'Forecast TY Budget &amp; D-2.4 Adj'!P67</f>
        <v>-8318</v>
      </c>
      <c r="N55" s="1109">
        <f>'Forecast TY Budget &amp; D-2.4 Adj'!Q67</f>
        <v>-5675</v>
      </c>
      <c r="O55" s="473">
        <f t="shared" si="9"/>
        <v>-61662</v>
      </c>
    </row>
    <row r="56" spans="1:16" x14ac:dyDescent="0.2">
      <c r="A56" s="810">
        <v>931</v>
      </c>
      <c r="B56" s="458" t="s">
        <v>213</v>
      </c>
      <c r="C56" s="1109">
        <f>'Forecast TY Budget &amp; D-2.4 Adj'!F68</f>
        <v>52031</v>
      </c>
      <c r="D56" s="1109">
        <f>'Forecast TY Budget &amp; D-2.4 Adj'!G68</f>
        <v>53421</v>
      </c>
      <c r="E56" s="1109">
        <f>'Forecast TY Budget &amp; D-2.4 Adj'!H68</f>
        <v>53647</v>
      </c>
      <c r="F56" s="1109">
        <f>'Forecast TY Budget &amp; D-2.4 Adj'!I68</f>
        <v>52719</v>
      </c>
      <c r="G56" s="1109">
        <f>'Forecast TY Budget &amp; D-2.4 Adj'!J68</f>
        <v>52889</v>
      </c>
      <c r="H56" s="1109">
        <f>'Forecast TY Budget &amp; D-2.4 Adj'!K68</f>
        <v>55461</v>
      </c>
      <c r="I56" s="1109">
        <f>'Forecast TY Budget &amp; D-2.4 Adj'!L68</f>
        <v>53474</v>
      </c>
      <c r="J56" s="1109">
        <f>'Forecast TY Budget &amp; D-2.4 Adj'!M68</f>
        <v>53485</v>
      </c>
      <c r="K56" s="1109">
        <f>'Forecast TY Budget &amp; D-2.4 Adj'!N68</f>
        <v>55409</v>
      </c>
      <c r="L56" s="1109">
        <f>'Forecast TY Budget &amp; D-2.4 Adj'!O68</f>
        <v>53918</v>
      </c>
      <c r="M56" s="1109">
        <f>'Forecast TY Budget &amp; D-2.4 Adj'!P68</f>
        <v>54992</v>
      </c>
      <c r="N56" s="1109">
        <f>'Forecast TY Budget &amp; D-2.4 Adj'!Q68</f>
        <v>55464</v>
      </c>
      <c r="O56" s="473">
        <f t="shared" si="9"/>
        <v>646910</v>
      </c>
    </row>
    <row r="57" spans="1:16" x14ac:dyDescent="0.2">
      <c r="A57" s="810">
        <v>932</v>
      </c>
      <c r="B57" s="458" t="s">
        <v>2103</v>
      </c>
      <c r="C57" s="1109">
        <f>'Forecast TY Budget &amp; D-2.4 Adj'!F69</f>
        <v>19973</v>
      </c>
      <c r="D57" s="1109">
        <f>'Forecast TY Budget &amp; D-2.4 Adj'!G69</f>
        <v>20432</v>
      </c>
      <c r="E57" s="1109">
        <f>'Forecast TY Budget &amp; D-2.4 Adj'!H69</f>
        <v>20586</v>
      </c>
      <c r="F57" s="1109">
        <f>'Forecast TY Budget &amp; D-2.4 Adj'!I69</f>
        <v>20258</v>
      </c>
      <c r="G57" s="1109">
        <f>'Forecast TY Budget &amp; D-2.4 Adj'!J69</f>
        <v>20520</v>
      </c>
      <c r="H57" s="1109">
        <f>'Forecast TY Budget &amp; D-2.4 Adj'!K69</f>
        <v>21461</v>
      </c>
      <c r="I57" s="1109">
        <f>'Forecast TY Budget &amp; D-2.4 Adj'!L69</f>
        <v>20632</v>
      </c>
      <c r="J57" s="1109">
        <f>'Forecast TY Budget &amp; D-2.4 Adj'!M69</f>
        <v>20756</v>
      </c>
      <c r="K57" s="1109">
        <f>'Forecast TY Budget &amp; D-2.4 Adj'!N69</f>
        <v>21408</v>
      </c>
      <c r="L57" s="1109">
        <f>'Forecast TY Budget &amp; D-2.4 Adj'!O69</f>
        <v>20819</v>
      </c>
      <c r="M57" s="1109">
        <f>'Forecast TY Budget &amp; D-2.4 Adj'!P69</f>
        <v>21148</v>
      </c>
      <c r="N57" s="1109">
        <f>'Forecast TY Budget &amp; D-2.4 Adj'!Q69</f>
        <v>21400</v>
      </c>
      <c r="O57" s="473">
        <f t="shared" si="9"/>
        <v>249393</v>
      </c>
    </row>
    <row r="58" spans="1:16" x14ac:dyDescent="0.2">
      <c r="A58" s="810">
        <v>935</v>
      </c>
      <c r="B58" s="802" t="s">
        <v>198</v>
      </c>
      <c r="C58" s="1109">
        <f>ROUND(C74*$D$79,0)</f>
        <v>10</v>
      </c>
      <c r="D58" s="1109">
        <f t="shared" ref="D58:N58" si="10">ROUND(D74*$D$79,0)</f>
        <v>8</v>
      </c>
      <c r="E58" s="1109">
        <f t="shared" si="10"/>
        <v>7</v>
      </c>
      <c r="F58" s="1109">
        <f t="shared" si="10"/>
        <v>9</v>
      </c>
      <c r="G58" s="1109">
        <f t="shared" si="10"/>
        <v>12</v>
      </c>
      <c r="H58" s="1109">
        <f t="shared" si="10"/>
        <v>13</v>
      </c>
      <c r="I58" s="1109">
        <f t="shared" si="10"/>
        <v>10</v>
      </c>
      <c r="J58" s="1109">
        <f t="shared" si="10"/>
        <v>14</v>
      </c>
      <c r="K58" s="1109">
        <f t="shared" si="10"/>
        <v>13</v>
      </c>
      <c r="L58" s="1109">
        <f t="shared" si="10"/>
        <v>11</v>
      </c>
      <c r="M58" s="1109">
        <f t="shared" si="10"/>
        <v>12</v>
      </c>
      <c r="N58" s="1109">
        <f t="shared" si="10"/>
        <v>11</v>
      </c>
      <c r="O58" s="473">
        <f t="shared" si="9"/>
        <v>130</v>
      </c>
    </row>
    <row r="60" spans="1:16" x14ac:dyDescent="0.2">
      <c r="B60" s="458" t="s">
        <v>1194</v>
      </c>
      <c r="C60" s="478">
        <f t="shared" ref="C60:N60" si="11">SUM(C9:C59)</f>
        <v>3679114.5833299998</v>
      </c>
      <c r="D60" s="478">
        <f t="shared" si="11"/>
        <v>3516885.9833300002</v>
      </c>
      <c r="E60" s="478">
        <f t="shared" si="11"/>
        <v>3590308.0033300002</v>
      </c>
      <c r="F60" s="478">
        <f t="shared" si="11"/>
        <v>3530309.3333299998</v>
      </c>
      <c r="G60" s="478">
        <f t="shared" si="11"/>
        <v>3684270.1633299999</v>
      </c>
      <c r="H60" s="478">
        <f t="shared" si="11"/>
        <v>3772825.53333</v>
      </c>
      <c r="I60" s="478">
        <f t="shared" si="11"/>
        <v>3689638.4533299999</v>
      </c>
      <c r="J60" s="478">
        <f t="shared" si="11"/>
        <v>3721179.7733300002</v>
      </c>
      <c r="K60" s="478">
        <f t="shared" si="11"/>
        <v>3727607.4433300002</v>
      </c>
      <c r="L60" s="478">
        <f t="shared" si="11"/>
        <v>3728632.4233300001</v>
      </c>
      <c r="M60" s="478">
        <f t="shared" si="11"/>
        <v>3675289.3333299998</v>
      </c>
      <c r="N60" s="478">
        <f t="shared" si="11"/>
        <v>3853948.4133299999</v>
      </c>
      <c r="O60" s="473">
        <f>SUM(C60:N60)</f>
        <v>44170009.439960003</v>
      </c>
      <c r="P60" s="478"/>
    </row>
    <row r="65" spans="1:16" x14ac:dyDescent="0.2">
      <c r="A65" s="1613" t="s">
        <v>2115</v>
      </c>
      <c r="B65" s="820"/>
      <c r="C65" s="1151">
        <f>'Forecast TY Budget &amp; D-2.4 Adj'!F61</f>
        <v>78937</v>
      </c>
      <c r="D65" s="1151">
        <f>'Forecast TY Budget &amp; D-2.4 Adj'!G61</f>
        <v>74027</v>
      </c>
      <c r="E65" s="1151">
        <f>'Forecast TY Budget &amp; D-2.4 Adj'!H61</f>
        <v>77273</v>
      </c>
      <c r="F65" s="1151">
        <f>'Forecast TY Budget &amp; D-2.4 Adj'!I61</f>
        <v>71268</v>
      </c>
      <c r="G65" s="1151">
        <f>'Forecast TY Budget &amp; D-2.4 Adj'!J61</f>
        <v>79932</v>
      </c>
      <c r="H65" s="1151">
        <f>'Forecast TY Budget &amp; D-2.4 Adj'!K61</f>
        <v>80119</v>
      </c>
      <c r="I65" s="1151">
        <f>'Forecast TY Budget &amp; D-2.4 Adj'!L61</f>
        <v>77109</v>
      </c>
      <c r="J65" s="1151">
        <f>'Forecast TY Budget &amp; D-2.4 Adj'!M61</f>
        <v>74983</v>
      </c>
      <c r="K65" s="1151">
        <f>'Forecast TY Budget &amp; D-2.4 Adj'!N61</f>
        <v>77646</v>
      </c>
      <c r="L65" s="1151">
        <f>'Forecast TY Budget &amp; D-2.4 Adj'!O61</f>
        <v>77825</v>
      </c>
      <c r="M65" s="1151">
        <f>'Forecast TY Budget &amp; D-2.4 Adj'!P61</f>
        <v>74709</v>
      </c>
      <c r="N65" s="1151">
        <f>'Forecast TY Budget &amp; D-2.4 Adj'!Q61</f>
        <v>80401</v>
      </c>
      <c r="O65" s="473">
        <f t="shared" ref="O65" si="12">SUM(C65:N65)</f>
        <v>924229</v>
      </c>
      <c r="P65" s="816"/>
    </row>
    <row r="66" spans="1:16" x14ac:dyDescent="0.2">
      <c r="A66" s="814"/>
      <c r="B66" s="814"/>
      <c r="C66" s="1151"/>
      <c r="D66" s="1151"/>
      <c r="E66" s="1151"/>
      <c r="F66" s="1152"/>
      <c r="G66" s="1151"/>
      <c r="H66" s="1151"/>
      <c r="I66" s="1151"/>
      <c r="J66" s="1151"/>
      <c r="K66" s="1151"/>
      <c r="L66" s="1151"/>
      <c r="M66" s="1151"/>
      <c r="N66" s="1151"/>
      <c r="O66" s="1605"/>
      <c r="P66" s="816"/>
    </row>
    <row r="67" spans="1:16" x14ac:dyDescent="0.2">
      <c r="A67" s="815" t="str">
        <f>'Input O&amp;M FERC 8-16'!A67</f>
        <v>Acct 921 TME Dec 31, 2015</v>
      </c>
      <c r="B67" s="815"/>
      <c r="C67" s="1151"/>
      <c r="D67" s="1152"/>
      <c r="E67" s="1151"/>
      <c r="F67" s="1152"/>
      <c r="G67" s="1152"/>
      <c r="H67" s="1151"/>
      <c r="I67" s="1151"/>
      <c r="J67" s="1151"/>
      <c r="K67" s="1151"/>
      <c r="L67" s="1151"/>
      <c r="M67" s="1151"/>
      <c r="N67" s="1151"/>
      <c r="O67" s="1605"/>
      <c r="P67" s="816"/>
    </row>
    <row r="68" spans="1:16" x14ac:dyDescent="0.2">
      <c r="A68" s="814" t="s">
        <v>214</v>
      </c>
      <c r="B68" s="814"/>
      <c r="C68" s="1152">
        <f>'Input O&amp;M FERC 8-16'!C68</f>
        <v>220.25</v>
      </c>
      <c r="D68" s="817">
        <f>ROUND(C68/C$71,6)</f>
        <v>2.7399999999999999E-4</v>
      </c>
      <c r="E68" s="1153"/>
      <c r="F68" s="1153"/>
      <c r="G68" s="1153"/>
      <c r="H68" s="1153"/>
      <c r="I68" s="1153"/>
      <c r="J68" s="1153"/>
      <c r="K68" s="1153"/>
      <c r="L68" s="1153"/>
      <c r="M68" s="1153"/>
      <c r="N68" s="1153"/>
      <c r="O68" s="1605"/>
      <c r="P68" s="816"/>
    </row>
    <row r="69" spans="1:16" x14ac:dyDescent="0.2">
      <c r="A69" s="814" t="s">
        <v>215</v>
      </c>
      <c r="B69" s="814"/>
      <c r="C69" s="1152">
        <f>'Input O&amp;M FERC 8-16'!C69</f>
        <v>12041.13</v>
      </c>
      <c r="D69" s="817">
        <f>ROUND(C69/C$71,6)</f>
        <v>1.5006E-2</v>
      </c>
      <c r="E69" s="1153"/>
      <c r="F69" s="1153"/>
      <c r="G69" s="1153"/>
      <c r="H69" s="1153"/>
      <c r="I69" s="1153"/>
      <c r="J69" s="1153"/>
      <c r="K69" s="1153"/>
      <c r="L69" s="1153"/>
      <c r="M69" s="1153"/>
      <c r="N69" s="1153"/>
      <c r="O69" s="1605"/>
      <c r="P69" s="816"/>
    </row>
    <row r="70" spans="1:16" x14ac:dyDescent="0.2">
      <c r="A70" s="814" t="s">
        <v>216</v>
      </c>
      <c r="B70" s="814"/>
      <c r="C70" s="1619">
        <f>'Input O&amp;M FERC 8-16'!C70</f>
        <v>790164.78</v>
      </c>
      <c r="D70" s="817">
        <f>ROUND(C70/C$71,6)</f>
        <v>0.98472000000000004</v>
      </c>
      <c r="E70" s="1154"/>
      <c r="F70" s="1154"/>
      <c r="G70" s="1154"/>
      <c r="H70" s="1154"/>
      <c r="I70" s="1154"/>
      <c r="J70" s="1154"/>
      <c r="K70" s="1154"/>
      <c r="L70" s="1154"/>
      <c r="M70" s="1154"/>
      <c r="N70" s="1154"/>
      <c r="O70" s="1606"/>
      <c r="P70" s="816"/>
    </row>
    <row r="71" spans="1:16" x14ac:dyDescent="0.2">
      <c r="A71" s="814" t="s">
        <v>1194</v>
      </c>
      <c r="B71" s="814"/>
      <c r="C71" s="1151">
        <f>SUM(C68:C70)</f>
        <v>802426.16</v>
      </c>
      <c r="D71" s="1152"/>
      <c r="E71" s="1151"/>
      <c r="F71" s="1152"/>
      <c r="G71" s="1152"/>
      <c r="H71" s="1151"/>
      <c r="I71" s="1151"/>
      <c r="J71" s="1151"/>
      <c r="K71" s="1151"/>
      <c r="L71" s="1151"/>
      <c r="M71" s="1151"/>
      <c r="N71" s="1151"/>
      <c r="O71" s="1605"/>
      <c r="P71" s="816"/>
    </row>
    <row r="72" spans="1:16" x14ac:dyDescent="0.2">
      <c r="A72" s="814"/>
      <c r="B72" s="814"/>
      <c r="C72" s="814"/>
      <c r="D72" s="815"/>
      <c r="E72" s="814"/>
      <c r="F72" s="815"/>
      <c r="G72" s="815"/>
      <c r="H72" s="814"/>
      <c r="I72" s="814"/>
      <c r="J72" s="814"/>
      <c r="K72" s="814"/>
      <c r="L72" s="814"/>
      <c r="M72" s="814"/>
      <c r="N72" s="816"/>
      <c r="O72" s="1607"/>
      <c r="P72" s="816"/>
    </row>
    <row r="73" spans="1:16" x14ac:dyDescent="0.2">
      <c r="A73" s="814"/>
      <c r="B73" s="814"/>
      <c r="D73" s="818"/>
      <c r="E73" s="817"/>
      <c r="F73" s="818"/>
      <c r="G73" s="818"/>
      <c r="H73" s="817"/>
      <c r="I73" s="817"/>
      <c r="J73" s="817"/>
      <c r="K73" s="817"/>
      <c r="L73" s="817"/>
      <c r="M73" s="817"/>
      <c r="N73" s="817"/>
      <c r="O73" s="1607"/>
      <c r="P73" s="816"/>
    </row>
    <row r="74" spans="1:16" x14ac:dyDescent="0.2">
      <c r="A74" s="820" t="s">
        <v>217</v>
      </c>
      <c r="B74" s="820"/>
      <c r="C74" s="1151">
        <f>'Forecast TY Budget &amp; D-2.4 Adj'!F70</f>
        <v>10</v>
      </c>
      <c r="D74" s="1151">
        <f>'Forecast TY Budget &amp; D-2.4 Adj'!G70</f>
        <v>8</v>
      </c>
      <c r="E74" s="1151">
        <f>'Forecast TY Budget &amp; D-2.4 Adj'!H70</f>
        <v>7</v>
      </c>
      <c r="F74" s="1151">
        <f>'Forecast TY Budget &amp; D-2.4 Adj'!I70</f>
        <v>9</v>
      </c>
      <c r="G74" s="1151">
        <f>'Forecast TY Budget &amp; D-2.4 Adj'!J70</f>
        <v>12</v>
      </c>
      <c r="H74" s="1151">
        <f>'Forecast TY Budget &amp; D-2.4 Adj'!K70</f>
        <v>13</v>
      </c>
      <c r="I74" s="1151">
        <f>'Forecast TY Budget &amp; D-2.4 Adj'!L70</f>
        <v>10</v>
      </c>
      <c r="J74" s="1151">
        <f>'Forecast TY Budget &amp; D-2.4 Adj'!M70</f>
        <v>14</v>
      </c>
      <c r="K74" s="1151">
        <f>'Forecast TY Budget &amp; D-2.4 Adj'!N70</f>
        <v>13</v>
      </c>
      <c r="L74" s="1151">
        <f>'Forecast TY Budget &amp; D-2.4 Adj'!O70</f>
        <v>11</v>
      </c>
      <c r="M74" s="1151">
        <f>'Forecast TY Budget &amp; D-2.4 Adj'!P70</f>
        <v>12</v>
      </c>
      <c r="N74" s="1151">
        <f>'Forecast TY Budget &amp; D-2.4 Adj'!Q70</f>
        <v>11</v>
      </c>
      <c r="O74" s="1607"/>
      <c r="P74" s="816"/>
    </row>
    <row r="75" spans="1:16" x14ac:dyDescent="0.2">
      <c r="A75" s="816"/>
      <c r="B75" s="816"/>
      <c r="C75" s="1151"/>
      <c r="D75" s="1152"/>
      <c r="E75" s="1151"/>
      <c r="F75" s="1152"/>
      <c r="G75" s="1152"/>
      <c r="H75" s="1151"/>
      <c r="I75" s="1151"/>
      <c r="J75" s="1151"/>
      <c r="K75" s="1151"/>
      <c r="L75" s="1151"/>
      <c r="M75" s="1151"/>
      <c r="N75" s="1151"/>
      <c r="O75" s="1605"/>
      <c r="P75" s="816"/>
    </row>
    <row r="76" spans="1:16" x14ac:dyDescent="0.2">
      <c r="A76" s="815" t="str">
        <f>'Input O&amp;M FERC 8-16'!A76</f>
        <v>Acct 935 TME Dec 31, 2015</v>
      </c>
      <c r="B76" s="822"/>
      <c r="C76" s="1151"/>
      <c r="D76" s="1152"/>
      <c r="E76" s="1151"/>
      <c r="F76" s="1152"/>
      <c r="G76" s="1152"/>
      <c r="H76" s="1151"/>
      <c r="I76" s="1151"/>
      <c r="J76" s="1151"/>
      <c r="K76" s="1151"/>
      <c r="L76" s="1151"/>
      <c r="M76" s="1151"/>
      <c r="N76" s="1151"/>
      <c r="O76" s="1605"/>
      <c r="P76" s="816"/>
    </row>
    <row r="77" spans="1:16" x14ac:dyDescent="0.2">
      <c r="A77" s="814" t="s">
        <v>214</v>
      </c>
      <c r="B77" s="816"/>
      <c r="C77" s="1617">
        <f>'Input O&amp;M FERC 8-16'!C77</f>
        <v>0</v>
      </c>
      <c r="D77" s="817">
        <f>IF(C77=0,0,ROUND(C77/C$80,6))</f>
        <v>0</v>
      </c>
      <c r="E77" s="1153"/>
      <c r="F77" s="1153"/>
      <c r="G77" s="1153"/>
      <c r="H77" s="1153"/>
      <c r="I77" s="1153"/>
      <c r="J77" s="1153"/>
      <c r="K77" s="1153"/>
      <c r="L77" s="1153"/>
      <c r="M77" s="1153"/>
      <c r="N77" s="1153"/>
      <c r="O77" s="1605"/>
      <c r="P77" s="816"/>
    </row>
    <row r="78" spans="1:16" x14ac:dyDescent="0.2">
      <c r="A78" s="814" t="s">
        <v>215</v>
      </c>
      <c r="B78" s="816"/>
      <c r="C78" s="1617">
        <f>'Input O&amp;M FERC 8-16'!C78</f>
        <v>0</v>
      </c>
      <c r="D78" s="817">
        <f>IF(C78=0,0,ROUND(C78/C$80,6))</f>
        <v>0</v>
      </c>
      <c r="E78" s="1153"/>
      <c r="F78" s="1153"/>
      <c r="G78" s="1153"/>
      <c r="H78" s="1153"/>
      <c r="I78" s="1153"/>
      <c r="J78" s="1153"/>
      <c r="K78" s="1153"/>
      <c r="L78" s="1153"/>
      <c r="M78" s="1153"/>
      <c r="N78" s="1153"/>
      <c r="O78" s="1605"/>
      <c r="P78" s="816"/>
    </row>
    <row r="79" spans="1:16" x14ac:dyDescent="0.2">
      <c r="A79" s="814" t="s">
        <v>216</v>
      </c>
      <c r="B79" s="816"/>
      <c r="C79" s="1618">
        <f>'Input O&amp;M FERC 8-16'!C79</f>
        <v>80</v>
      </c>
      <c r="D79" s="817">
        <f>IF(C79=0,0,ROUND(C79/C$80,6))</f>
        <v>1</v>
      </c>
      <c r="E79" s="1154"/>
      <c r="F79" s="1154"/>
      <c r="G79" s="1154"/>
      <c r="H79" s="1154"/>
      <c r="I79" s="1154"/>
      <c r="J79" s="1154"/>
      <c r="K79" s="1154"/>
      <c r="L79" s="1154"/>
      <c r="M79" s="1154"/>
      <c r="N79" s="1154"/>
      <c r="O79" s="1606"/>
      <c r="P79" s="816"/>
    </row>
    <row r="80" spans="1:16" x14ac:dyDescent="0.2">
      <c r="A80" s="814" t="s">
        <v>1194</v>
      </c>
      <c r="B80" s="816"/>
      <c r="C80" s="1151">
        <f>SUM(C77:C79)</f>
        <v>80</v>
      </c>
      <c r="D80" s="1152"/>
      <c r="E80" s="1151"/>
      <c r="F80" s="1152"/>
      <c r="G80" s="1152"/>
      <c r="H80" s="1151"/>
      <c r="I80" s="1151"/>
      <c r="J80" s="1151"/>
      <c r="K80" s="1151"/>
      <c r="L80" s="1151"/>
      <c r="M80" s="1151"/>
      <c r="N80" s="1151"/>
      <c r="O80" s="1605"/>
      <c r="P80" s="816"/>
    </row>
    <row r="81" spans="1:16" x14ac:dyDescent="0.2">
      <c r="A81" s="816"/>
      <c r="B81" s="816"/>
      <c r="C81" s="816"/>
      <c r="D81" s="816"/>
      <c r="E81" s="816"/>
      <c r="F81" s="816"/>
      <c r="G81" s="816"/>
      <c r="H81" s="816"/>
      <c r="I81" s="816"/>
      <c r="J81" s="816"/>
      <c r="K81" s="816"/>
      <c r="L81" s="816"/>
      <c r="M81" s="816"/>
      <c r="N81" s="816"/>
      <c r="O81" s="1607"/>
      <c r="P81" s="816"/>
    </row>
    <row r="82" spans="1:16" x14ac:dyDescent="0.2">
      <c r="A82" s="816"/>
      <c r="B82" s="816"/>
      <c r="D82" s="817"/>
      <c r="E82" s="817"/>
      <c r="F82" s="817"/>
      <c r="G82" s="817"/>
      <c r="H82" s="817"/>
      <c r="I82" s="817"/>
      <c r="J82" s="817"/>
      <c r="K82" s="817"/>
      <c r="L82" s="817"/>
      <c r="M82" s="817"/>
      <c r="N82" s="817"/>
      <c r="O82" s="1607"/>
      <c r="P82" s="816"/>
    </row>
    <row r="83" spans="1:16" x14ac:dyDescent="0.2">
      <c r="A83" s="816"/>
      <c r="B83" s="816"/>
      <c r="D83" s="817"/>
      <c r="E83" s="817"/>
      <c r="F83" s="817"/>
      <c r="G83" s="817"/>
      <c r="H83" s="817"/>
      <c r="I83" s="817"/>
      <c r="J83" s="817"/>
      <c r="K83" s="817"/>
      <c r="L83" s="817"/>
      <c r="M83" s="817"/>
      <c r="N83" s="817"/>
      <c r="O83" s="1607"/>
      <c r="P83" s="816"/>
    </row>
    <row r="84" spans="1:16" x14ac:dyDescent="0.2">
      <c r="A84" s="816"/>
      <c r="B84" s="816"/>
      <c r="D84" s="817"/>
      <c r="E84" s="817"/>
      <c r="F84" s="817"/>
      <c r="G84" s="817"/>
      <c r="H84" s="817"/>
      <c r="I84" s="817"/>
      <c r="J84" s="817"/>
      <c r="K84" s="817"/>
      <c r="L84" s="817"/>
      <c r="M84" s="817"/>
      <c r="N84" s="817"/>
      <c r="O84" s="1607"/>
      <c r="P84" s="816"/>
    </row>
    <row r="85" spans="1:16" x14ac:dyDescent="0.2">
      <c r="A85" s="816"/>
      <c r="B85" s="816"/>
      <c r="C85" s="816"/>
      <c r="D85" s="816"/>
      <c r="E85" s="816"/>
      <c r="F85" s="816"/>
      <c r="G85" s="816"/>
      <c r="H85" s="816"/>
      <c r="I85" s="816"/>
      <c r="J85" s="814"/>
      <c r="K85" s="816"/>
      <c r="L85" s="816"/>
      <c r="M85" s="816"/>
      <c r="N85" s="816"/>
      <c r="O85" s="1607"/>
      <c r="P85" s="816"/>
    </row>
    <row r="86" spans="1:16" x14ac:dyDescent="0.2">
      <c r="A86" s="816"/>
      <c r="B86" s="816"/>
      <c r="C86" s="816"/>
      <c r="D86" s="816"/>
      <c r="E86" s="816"/>
      <c r="F86" s="816"/>
      <c r="G86" s="816"/>
      <c r="H86" s="816"/>
      <c r="I86" s="816"/>
      <c r="J86" s="814"/>
      <c r="K86" s="816"/>
      <c r="L86" s="816"/>
      <c r="M86" s="816"/>
      <c r="N86" s="816"/>
      <c r="O86" s="1607"/>
      <c r="P86" s="816"/>
    </row>
    <row r="87" spans="1:16" x14ac:dyDescent="0.2">
      <c r="A87" s="816"/>
      <c r="B87" s="816"/>
      <c r="C87" s="816"/>
      <c r="D87" s="816"/>
      <c r="E87" s="816"/>
      <c r="F87" s="816"/>
      <c r="G87" s="816"/>
      <c r="H87" s="816"/>
      <c r="I87" s="816"/>
      <c r="J87" s="814"/>
      <c r="K87" s="816"/>
      <c r="L87" s="816"/>
      <c r="M87" s="816"/>
      <c r="N87" s="816"/>
      <c r="O87" s="1607"/>
      <c r="P87" s="816"/>
    </row>
  </sheetData>
  <phoneticPr fontId="0" type="noConversion"/>
  <pageMargins left="0" right="0" top="1" bottom="1" header="0.5" footer="0.5"/>
  <pageSetup scale="76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7030A0"/>
  </sheetPr>
  <dimension ref="A1:R865"/>
  <sheetViews>
    <sheetView showGridLines="0" zoomScaleNormal="100" workbookViewId="0">
      <pane xSplit="2" ySplit="7" topLeftCell="C8" activePane="bottomRight" state="frozen"/>
      <selection activeCell="C27" sqref="C27"/>
      <selection pane="topRight" activeCell="C27" sqref="C27"/>
      <selection pane="bottomLeft" activeCell="C27" sqref="C27"/>
      <selection pane="bottomRight" activeCell="K29" sqref="K29"/>
    </sheetView>
  </sheetViews>
  <sheetFormatPr defaultColWidth="9.33203125" defaultRowHeight="11.25" x14ac:dyDescent="0.15"/>
  <cols>
    <col min="1" max="1" width="29.1640625" style="1175" customWidth="1"/>
    <col min="2" max="2" width="40.83203125" style="1175" bestFit="1" customWidth="1"/>
    <col min="3" max="3" width="14.83203125" style="1112" customWidth="1"/>
    <col min="4" max="4" width="14.83203125" style="1175" customWidth="1"/>
    <col min="5" max="5" width="16.5" style="1175" customWidth="1"/>
    <col min="6" max="16" width="10.5" style="1175" bestFit="1" customWidth="1"/>
    <col min="17" max="17" width="10.5" style="1175" customWidth="1"/>
    <col min="18" max="18" width="13.6640625" style="1175" customWidth="1"/>
    <col min="19" max="16384" width="9.33203125" style="1175"/>
  </cols>
  <sheetData>
    <row r="1" spans="1:17" ht="12" x14ac:dyDescent="0.15">
      <c r="A1" s="1174" t="s">
        <v>1650</v>
      </c>
      <c r="C1" s="2014"/>
    </row>
    <row r="2" spans="1:17" x14ac:dyDescent="0.15">
      <c r="A2" s="1627" t="s">
        <v>1651</v>
      </c>
      <c r="B2" s="1112"/>
      <c r="C2" s="2015"/>
      <c r="D2" s="1176"/>
    </row>
    <row r="3" spans="1:17" x14ac:dyDescent="0.15">
      <c r="A3" s="1844" t="s">
        <v>2106</v>
      </c>
      <c r="B3" s="1112"/>
      <c r="C3" s="2015"/>
      <c r="D3" s="1176"/>
    </row>
    <row r="4" spans="1:17" x14ac:dyDescent="0.15">
      <c r="A4" s="1174" t="s">
        <v>2107</v>
      </c>
      <c r="C4" s="2015"/>
      <c r="D4" s="1176"/>
    </row>
    <row r="5" spans="1:17" x14ac:dyDescent="0.15">
      <c r="A5" s="1178"/>
      <c r="B5" s="1178"/>
      <c r="C5" s="1877"/>
      <c r="D5" s="1178"/>
      <c r="E5" s="1179"/>
      <c r="F5" s="1179"/>
      <c r="G5" s="1179"/>
      <c r="H5" s="1179"/>
      <c r="I5" s="1179"/>
      <c r="J5" s="1179"/>
      <c r="K5" s="1179"/>
      <c r="L5" s="1180"/>
      <c r="M5" s="1180"/>
      <c r="N5" s="1180"/>
      <c r="O5" s="1180"/>
      <c r="P5" s="1181"/>
      <c r="Q5" s="1181"/>
    </row>
    <row r="6" spans="1:17" x14ac:dyDescent="0.15">
      <c r="A6" s="1178"/>
      <c r="C6" s="2015"/>
      <c r="D6" s="1176"/>
      <c r="E6" s="1193" t="s">
        <v>1700</v>
      </c>
      <c r="F6" s="2147" t="s">
        <v>16</v>
      </c>
      <c r="G6" s="2148"/>
      <c r="H6" s="2148"/>
      <c r="I6" s="2148"/>
      <c r="J6" s="2148"/>
      <c r="K6" s="2149"/>
      <c r="L6" s="2147" t="s">
        <v>1112</v>
      </c>
      <c r="M6" s="2148"/>
      <c r="N6" s="2148"/>
      <c r="O6" s="2148"/>
      <c r="P6" s="2148"/>
      <c r="Q6" s="2149"/>
    </row>
    <row r="7" spans="1:17" ht="13.5" x14ac:dyDescent="0.35">
      <c r="A7" s="1178"/>
      <c r="B7" s="1178"/>
      <c r="C7" s="2016"/>
      <c r="D7" s="1183"/>
      <c r="E7" s="1184" t="s">
        <v>1704</v>
      </c>
      <c r="F7" s="1602">
        <v>42248</v>
      </c>
      <c r="G7" s="1602">
        <v>42278</v>
      </c>
      <c r="H7" s="1602">
        <v>42309</v>
      </c>
      <c r="I7" s="1602">
        <v>42339</v>
      </c>
      <c r="J7" s="1602">
        <v>42370</v>
      </c>
      <c r="K7" s="1602">
        <v>42401</v>
      </c>
      <c r="L7" s="1602">
        <v>42430</v>
      </c>
      <c r="M7" s="1602">
        <v>42461</v>
      </c>
      <c r="N7" s="1602">
        <v>42491</v>
      </c>
      <c r="O7" s="1602">
        <v>42522</v>
      </c>
      <c r="P7" s="1602">
        <v>42552</v>
      </c>
      <c r="Q7" s="1602">
        <v>42583</v>
      </c>
    </row>
    <row r="8" spans="1:17" ht="11.25" customHeight="1" x14ac:dyDescent="0.15">
      <c r="A8" s="1180" t="s">
        <v>1663</v>
      </c>
      <c r="B8" s="1178"/>
      <c r="C8" s="2016"/>
      <c r="D8" s="1183"/>
      <c r="E8" s="1184"/>
      <c r="F8" s="1184"/>
      <c r="G8" s="1184"/>
      <c r="H8" s="1184"/>
      <c r="I8" s="1184"/>
      <c r="J8" s="1184"/>
      <c r="K8" s="1184"/>
      <c r="L8" s="1180"/>
      <c r="P8" s="1180"/>
      <c r="Q8" s="1180"/>
    </row>
    <row r="9" spans="1:17" ht="11.25" customHeight="1" x14ac:dyDescent="0.15">
      <c r="A9" s="1186">
        <v>717</v>
      </c>
      <c r="B9" s="1187" t="s">
        <v>1664</v>
      </c>
      <c r="C9" s="2017"/>
      <c r="D9" s="1188"/>
      <c r="E9" s="1187">
        <f>'Input O&amp;M FERC 8-16'!O9</f>
        <v>1191.99</v>
      </c>
      <c r="F9" s="1180">
        <f>SUMIF($B$143:$B$468,$A9,$F$143:$F$468)</f>
        <v>0</v>
      </c>
      <c r="G9" s="1180">
        <f>SUMIF($B$143:$B$468,$A9,$G$143:$G$468)</f>
        <v>35.090000000000003</v>
      </c>
      <c r="H9" s="1180">
        <f>SUMIF($B$143:$B$468,$A9,$H$143:$H$468)</f>
        <v>0</v>
      </c>
      <c r="I9" s="1180">
        <f>SUMIF($B$143:$B$468,$A9,$I$143:$I$468)</f>
        <v>36.840000000000003</v>
      </c>
      <c r="J9" s="1180">
        <f>SUMIF($B$143:$B$468,$A9,$J$143:$J$468)</f>
        <v>35.06</v>
      </c>
      <c r="K9" s="1180">
        <f>SUMIF($B$143:$B$468,$A9,$K$143:$K$468)</f>
        <v>0</v>
      </c>
      <c r="L9" s="1180">
        <f>SUMIF($B$143:$B$468,$A9,$L$143:$L$468)</f>
        <v>185</v>
      </c>
      <c r="M9" s="1180">
        <f>SUMIF($B$143:$B$468,$A9,$M$143:$M$468)</f>
        <v>163</v>
      </c>
      <c r="N9" s="1180">
        <f>SUMIF($B$143:$B$468,$A9,$N$143:$N$468)</f>
        <v>196</v>
      </c>
      <c r="O9" s="1180">
        <f>SUMIF($B$143:$B$468,$A9,$O$143:$O$468)</f>
        <v>191</v>
      </c>
      <c r="P9" s="1180">
        <f>SUMIF($B$143:$B$468,$A9,$P$143:$P$468)</f>
        <v>175</v>
      </c>
      <c r="Q9" s="1180">
        <f>SUMIF($B$143:$B$468,$A9,$Q$143:$Q$468)</f>
        <v>175</v>
      </c>
    </row>
    <row r="10" spans="1:17" ht="11.25" customHeight="1" x14ac:dyDescent="0.15">
      <c r="A10" s="1186">
        <v>728</v>
      </c>
      <c r="B10" s="1187" t="s">
        <v>1665</v>
      </c>
      <c r="C10" s="2018"/>
      <c r="D10" s="1189"/>
      <c r="E10" s="1198">
        <v>0</v>
      </c>
      <c r="F10" s="1180">
        <f t="shared" ref="F10:K10" si="0">SUMIF($B$143:$B$468,$A10,F143:F468)</f>
        <v>0</v>
      </c>
      <c r="G10" s="1180">
        <f t="shared" si="0"/>
        <v>0</v>
      </c>
      <c r="H10" s="1180">
        <f t="shared" si="0"/>
        <v>0</v>
      </c>
      <c r="I10" s="1180">
        <f t="shared" si="0"/>
        <v>0</v>
      </c>
      <c r="J10" s="1180">
        <f t="shared" si="0"/>
        <v>0</v>
      </c>
      <c r="K10" s="1180">
        <f t="shared" si="0"/>
        <v>0</v>
      </c>
      <c r="L10" s="1180">
        <f>SUMIF($B$143:$B$468,$A10,$L$143:$L$468)</f>
        <v>0</v>
      </c>
      <c r="M10" s="1180">
        <f>SUMIF($B$143:$B$468,$A10,$M$143:$M$468)</f>
        <v>0</v>
      </c>
      <c r="N10" s="1180">
        <f>SUMIF($B$143:$B$468,$A10,$N$143:$N$468)</f>
        <v>0</v>
      </c>
      <c r="O10" s="1180">
        <f>SUMIF($B$143:$B$468,$A10,$O$143:$O$468)</f>
        <v>0</v>
      </c>
      <c r="P10" s="1180">
        <f>SUMIF($B$143:$B$468,$A10,$P$143:$P$468)</f>
        <v>0</v>
      </c>
      <c r="Q10" s="1180">
        <f>SUMIF($B$143:$B$468,$A10,$Q$143:$Q$468)</f>
        <v>0</v>
      </c>
    </row>
    <row r="11" spans="1:17" ht="12" customHeight="1" x14ac:dyDescent="0.15">
      <c r="A11" s="1186"/>
      <c r="B11" s="1187"/>
      <c r="C11" s="2018"/>
      <c r="D11" s="1189"/>
      <c r="E11" s="1198"/>
      <c r="F11" s="1198"/>
      <c r="G11" s="1198"/>
      <c r="H11" s="1198"/>
      <c r="I11" s="1198"/>
      <c r="J11" s="1198"/>
      <c r="K11" s="1198"/>
      <c r="P11" s="1178"/>
      <c r="Q11" s="1178"/>
    </row>
    <row r="12" spans="1:17" ht="11.25" customHeight="1" x14ac:dyDescent="0.15">
      <c r="A12" s="1190" t="s">
        <v>1666</v>
      </c>
      <c r="B12" s="1187"/>
      <c r="C12" s="2018"/>
      <c r="D12" s="1189"/>
      <c r="E12" s="1198"/>
      <c r="F12" s="1198"/>
      <c r="G12" s="1198"/>
      <c r="H12" s="1198"/>
      <c r="I12" s="1198"/>
      <c r="J12" s="1198"/>
      <c r="K12" s="1198"/>
      <c r="P12" s="1178"/>
      <c r="Q12" s="1178"/>
    </row>
    <row r="13" spans="1:17" x14ac:dyDescent="0.15">
      <c r="A13" s="1186">
        <v>741</v>
      </c>
      <c r="B13" s="1187" t="s">
        <v>1568</v>
      </c>
      <c r="C13" s="2018"/>
      <c r="D13" s="1189"/>
      <c r="E13" s="1198">
        <v>0</v>
      </c>
      <c r="F13" s="1180">
        <f t="shared" ref="F13:K13" si="1">SUMIF($B$143:$B$468,$A13,F143:F468)</f>
        <v>0</v>
      </c>
      <c r="G13" s="1180">
        <f t="shared" si="1"/>
        <v>0</v>
      </c>
      <c r="H13" s="1180">
        <f t="shared" si="1"/>
        <v>0</v>
      </c>
      <c r="I13" s="1180">
        <f t="shared" si="1"/>
        <v>0</v>
      </c>
      <c r="J13" s="1180">
        <f t="shared" si="1"/>
        <v>0</v>
      </c>
      <c r="K13" s="1180">
        <f t="shared" si="1"/>
        <v>0</v>
      </c>
      <c r="L13" s="1180">
        <f>SUMIF($B$143:$B$468,$A13,$L$143:$L$468)</f>
        <v>0</v>
      </c>
      <c r="M13" s="1180">
        <f>SUMIF($B$143:$B$468,$A13,$M$143:$M$468)</f>
        <v>0</v>
      </c>
      <c r="N13" s="1180">
        <f>SUMIF($B$143:$B$468,$A13,$N$143:$N$468)</f>
        <v>0</v>
      </c>
      <c r="O13" s="1180">
        <f>SUMIF($B$143:$B$468,$A13,$O$143:$O$468)</f>
        <v>0</v>
      </c>
      <c r="P13" s="1180">
        <f>SUMIF($B$143:$B$468,$A13,$P$143:$P$468)</f>
        <v>0</v>
      </c>
      <c r="Q13" s="1180">
        <f>SUMIF($B$143:$B$468,$A13,$Q$143:$Q$468)</f>
        <v>0</v>
      </c>
    </row>
    <row r="14" spans="1:17" x14ac:dyDescent="0.15">
      <c r="A14" s="1186">
        <v>742</v>
      </c>
      <c r="B14" s="1187" t="s">
        <v>1548</v>
      </c>
      <c r="C14" s="2018"/>
      <c r="D14" s="1189"/>
      <c r="E14" s="1198">
        <v>0</v>
      </c>
      <c r="F14" s="1180">
        <f t="shared" ref="F14:K14" si="2">SUMIF($B$143:$B$468,$A14,F143:F468)</f>
        <v>0</v>
      </c>
      <c r="G14" s="1180">
        <f t="shared" si="2"/>
        <v>0</v>
      </c>
      <c r="H14" s="1180">
        <f t="shared" si="2"/>
        <v>0</v>
      </c>
      <c r="I14" s="1180">
        <f t="shared" si="2"/>
        <v>0</v>
      </c>
      <c r="J14" s="1180">
        <f t="shared" si="2"/>
        <v>0</v>
      </c>
      <c r="K14" s="1180">
        <f t="shared" si="2"/>
        <v>0</v>
      </c>
      <c r="L14" s="1180">
        <f>SUMIF($B$143:$B$468,$A14,$L$143:$L$468)</f>
        <v>0</v>
      </c>
      <c r="M14" s="1180">
        <f>SUMIF($B$143:$B$468,$A14,$M$143:$M$468)</f>
        <v>0</v>
      </c>
      <c r="N14" s="1180">
        <f>SUMIF($B$143:$B$468,$A14,$N$143:$N$468)</f>
        <v>0</v>
      </c>
      <c r="O14" s="1180">
        <f>SUMIF($B$143:$B$468,$A14,$O$143:$O$468)</f>
        <v>0</v>
      </c>
      <c r="P14" s="1180">
        <f>SUMIF($B$143:$B$468,$A14,$P$143:$P$468)</f>
        <v>0</v>
      </c>
      <c r="Q14" s="1180">
        <f>SUMIF($B$143:$B$468,$A14,$Q$143:$Q$468)</f>
        <v>0</v>
      </c>
    </row>
    <row r="15" spans="1:17" ht="9.75" customHeight="1" x14ac:dyDescent="0.15">
      <c r="A15" s="1186"/>
      <c r="B15" s="1187"/>
      <c r="C15" s="2018"/>
      <c r="D15" s="1189"/>
      <c r="E15" s="1198"/>
      <c r="F15" s="1198"/>
      <c r="G15" s="1198"/>
      <c r="H15" s="1198"/>
      <c r="I15" s="1198"/>
      <c r="J15" s="1198"/>
      <c r="K15" s="1198"/>
      <c r="P15" s="1191"/>
      <c r="Q15" s="1191"/>
    </row>
    <row r="16" spans="1:17" x14ac:dyDescent="0.15">
      <c r="A16" s="1190" t="s">
        <v>1667</v>
      </c>
      <c r="B16" s="1187"/>
      <c r="C16" s="2018"/>
      <c r="D16" s="1189"/>
      <c r="E16" s="1198"/>
      <c r="F16" s="1198"/>
      <c r="G16" s="1198"/>
      <c r="H16" s="1198"/>
      <c r="I16" s="1198"/>
      <c r="J16" s="1198"/>
      <c r="K16" s="1198"/>
      <c r="P16" s="1191"/>
      <c r="Q16" s="1191"/>
    </row>
    <row r="17" spans="1:17" x14ac:dyDescent="0.15">
      <c r="A17" s="1186">
        <v>807</v>
      </c>
      <c r="B17" s="1187" t="s">
        <v>1555</v>
      </c>
      <c r="C17" s="2017"/>
      <c r="D17" s="1188"/>
      <c r="E17" s="1187">
        <f>'Input O&amp;M FERC 8-16'!O10</f>
        <v>324707.32999999996</v>
      </c>
      <c r="F17" s="1180">
        <f t="shared" ref="F17:K17" si="3">SUMIF($B$143:$B$468,$A17,F143:F468)</f>
        <v>27355.75</v>
      </c>
      <c r="G17" s="1180">
        <f t="shared" si="3"/>
        <v>25807.439999999999</v>
      </c>
      <c r="H17" s="1180">
        <f t="shared" si="3"/>
        <v>28949.62</v>
      </c>
      <c r="I17" s="1180">
        <f t="shared" si="3"/>
        <v>27195.45</v>
      </c>
      <c r="J17" s="1180">
        <f t="shared" si="3"/>
        <v>27505.279999999999</v>
      </c>
      <c r="K17" s="1180">
        <f t="shared" si="3"/>
        <v>28378.79</v>
      </c>
      <c r="L17" s="1180">
        <f>SUMIF($B$143:$B$468,$A17,$L$143:$L$468)</f>
        <v>26572</v>
      </c>
      <c r="M17" s="1180">
        <f>SUMIF($B$143:$B$468,$A17,$M$143:$M$468)</f>
        <v>25338</v>
      </c>
      <c r="N17" s="1180">
        <f>SUMIF($B$143:$B$468,$A17,$N$143:$N$468)</f>
        <v>26021</v>
      </c>
      <c r="O17" s="1180">
        <f>SUMIF($B$143:$B$468,$A17,$O$143:$O$468)</f>
        <v>27852</v>
      </c>
      <c r="P17" s="1180">
        <f>SUMIF($B$143:$B$468,$A17,$P$143:$P$468)</f>
        <v>27116</v>
      </c>
      <c r="Q17" s="1180">
        <f>SUMIF($B$143:$B$468,$A17,$Q$143:$Q$468)</f>
        <v>26616</v>
      </c>
    </row>
    <row r="18" spans="1:17" ht="10.5" customHeight="1" x14ac:dyDescent="0.15">
      <c r="A18" s="1186"/>
      <c r="B18" s="1187"/>
      <c r="C18" s="2017"/>
      <c r="D18" s="1188"/>
      <c r="E18" s="1198"/>
      <c r="F18" s="1198"/>
      <c r="G18" s="1198"/>
      <c r="H18" s="1198"/>
      <c r="I18" s="1198"/>
      <c r="J18" s="1198"/>
      <c r="K18" s="1198"/>
      <c r="P18" s="1178"/>
      <c r="Q18" s="1178"/>
    </row>
    <row r="19" spans="1:17" x14ac:dyDescent="0.15">
      <c r="A19" s="1192" t="s">
        <v>1668</v>
      </c>
      <c r="C19" s="2019"/>
      <c r="D19" s="1193"/>
      <c r="E19" s="1198"/>
      <c r="F19" s="1198"/>
      <c r="G19" s="1198"/>
      <c r="H19" s="1198"/>
      <c r="I19" s="1198"/>
      <c r="J19" s="1198"/>
      <c r="K19" s="1198"/>
    </row>
    <row r="20" spans="1:17" x14ac:dyDescent="0.15">
      <c r="A20" s="1186">
        <v>870</v>
      </c>
      <c r="B20" s="1187" t="s">
        <v>1669</v>
      </c>
      <c r="C20" s="2017"/>
      <c r="D20" s="1188"/>
      <c r="E20" s="1187">
        <f>'Input O&amp;M FERC 8-16'!O11</f>
        <v>682370.48</v>
      </c>
      <c r="F20" s="1180">
        <f t="shared" ref="F20:K20" si="4">SUMIF($B$143:$B$468,$A20,F143:F468)</f>
        <v>77061.490000000005</v>
      </c>
      <c r="G20" s="1180">
        <f t="shared" si="4"/>
        <v>80947.090000000011</v>
      </c>
      <c r="H20" s="1180">
        <f t="shared" si="4"/>
        <v>-6823.2100000000073</v>
      </c>
      <c r="I20" s="1180">
        <f t="shared" si="4"/>
        <v>123553.49999999999</v>
      </c>
      <c r="J20" s="1180">
        <f t="shared" si="4"/>
        <v>44357.07</v>
      </c>
      <c r="K20" s="1180">
        <f t="shared" si="4"/>
        <v>-45150.460000000014</v>
      </c>
      <c r="L20" s="1180">
        <f t="shared" ref="L20:L28" si="5">SUMIF($B$143:$B$468,$A20,$L$143:$L$468)</f>
        <v>67988</v>
      </c>
      <c r="M20" s="1180">
        <f t="shared" ref="M20:M28" si="6">SUMIF($B$143:$B$468,$A20,$M$143:$M$468)</f>
        <v>65394</v>
      </c>
      <c r="N20" s="1180">
        <f t="shared" ref="N20:N28" si="7">SUMIF($B$143:$B$468,$A20,$N$143:$N$468)</f>
        <v>66720</v>
      </c>
      <c r="O20" s="1180">
        <f t="shared" ref="O20:O28" si="8">SUMIF($B$143:$B$468,$A20,$O$143:$O$468)</f>
        <v>71187</v>
      </c>
      <c r="P20" s="1180">
        <f t="shared" ref="P20:P28" si="9">SUMIF($B$143:$B$468,$A20,$P$143:$P$468)</f>
        <v>69122</v>
      </c>
      <c r="Q20" s="1180">
        <f t="shared" ref="Q20:Q28" si="10">SUMIF($B$143:$B$468,$A20,$Q$143:$Q$468)</f>
        <v>68014</v>
      </c>
    </row>
    <row r="21" spans="1:17" x14ac:dyDescent="0.15">
      <c r="A21" s="1186">
        <v>871</v>
      </c>
      <c r="B21" s="1187" t="s">
        <v>1670</v>
      </c>
      <c r="C21" s="2017"/>
      <c r="D21" s="1188"/>
      <c r="E21" s="1187">
        <f>'Input O&amp;M FERC 8-16'!O12</f>
        <v>179279.47999999998</v>
      </c>
      <c r="F21" s="1180">
        <f t="shared" ref="F21:K21" si="11">SUMIF($B$143:$B$468,$A21,F143:F468)</f>
        <v>2979.05</v>
      </c>
      <c r="G21" s="1180">
        <f t="shared" si="11"/>
        <v>2433.3900000000003</v>
      </c>
      <c r="H21" s="1180">
        <f t="shared" si="11"/>
        <v>1190.4000000000001</v>
      </c>
      <c r="I21" s="1180">
        <f t="shared" si="11"/>
        <v>1272.71</v>
      </c>
      <c r="J21" s="1180">
        <f t="shared" si="11"/>
        <v>19541.919999999998</v>
      </c>
      <c r="K21" s="1180">
        <f t="shared" si="11"/>
        <v>613.01</v>
      </c>
      <c r="L21" s="1180">
        <f t="shared" si="5"/>
        <v>25216</v>
      </c>
      <c r="M21" s="1180">
        <f t="shared" si="6"/>
        <v>22509</v>
      </c>
      <c r="N21" s="1180">
        <f t="shared" si="7"/>
        <v>28540</v>
      </c>
      <c r="O21" s="1180">
        <f t="shared" si="8"/>
        <v>27068</v>
      </c>
      <c r="P21" s="1180">
        <f t="shared" si="9"/>
        <v>24089</v>
      </c>
      <c r="Q21" s="1180">
        <f t="shared" si="10"/>
        <v>23827</v>
      </c>
    </row>
    <row r="22" spans="1:17" x14ac:dyDescent="0.15">
      <c r="A22" s="1186">
        <v>874</v>
      </c>
      <c r="B22" s="1187" t="s">
        <v>1671</v>
      </c>
      <c r="C22" s="2017"/>
      <c r="D22" s="1188"/>
      <c r="E22" s="1187">
        <f>'Input O&amp;M FERC 8-16'!O13</f>
        <v>5029244.9800000004</v>
      </c>
      <c r="F22" s="1180">
        <f t="shared" ref="F22:K22" si="12">SUMIF($B$143:$B$468,$A22,F143:F468)</f>
        <v>258886.76000000004</v>
      </c>
      <c r="G22" s="1180">
        <f t="shared" si="12"/>
        <v>395716.74999999994</v>
      </c>
      <c r="H22" s="1180">
        <f t="shared" si="12"/>
        <v>416915.80000000005</v>
      </c>
      <c r="I22" s="1180">
        <f t="shared" si="12"/>
        <v>622931.12999999977</v>
      </c>
      <c r="J22" s="1180">
        <f t="shared" si="12"/>
        <v>301161.26</v>
      </c>
      <c r="K22" s="1180">
        <f t="shared" si="12"/>
        <v>343724.28000000009</v>
      </c>
      <c r="L22" s="1180">
        <f t="shared" si="5"/>
        <v>394477</v>
      </c>
      <c r="M22" s="1180">
        <f t="shared" si="6"/>
        <v>431389</v>
      </c>
      <c r="N22" s="1180">
        <f t="shared" si="7"/>
        <v>451417</v>
      </c>
      <c r="O22" s="1180">
        <f t="shared" si="8"/>
        <v>467298</v>
      </c>
      <c r="P22" s="1180">
        <f t="shared" si="9"/>
        <v>454649</v>
      </c>
      <c r="Q22" s="1180">
        <f t="shared" si="10"/>
        <v>490679</v>
      </c>
    </row>
    <row r="23" spans="1:17" x14ac:dyDescent="0.15">
      <c r="A23" s="1186">
        <v>875</v>
      </c>
      <c r="B23" s="1187" t="s">
        <v>1672</v>
      </c>
      <c r="C23" s="2018"/>
      <c r="D23" s="1189"/>
      <c r="E23" s="1187">
        <f>'Input O&amp;M FERC 8-16'!O14</f>
        <v>158413.91999999998</v>
      </c>
      <c r="F23" s="1180">
        <f t="shared" ref="F23:K23" si="13">SUMIF($B$143:$B$468,$A23,F143:F468)</f>
        <v>7459.8300000000008</v>
      </c>
      <c r="G23" s="1180">
        <f t="shared" si="13"/>
        <v>10740.9</v>
      </c>
      <c r="H23" s="1180">
        <f t="shared" si="13"/>
        <v>15428.19</v>
      </c>
      <c r="I23" s="1180">
        <f t="shared" si="13"/>
        <v>11082.74</v>
      </c>
      <c r="J23" s="1180">
        <f t="shared" si="13"/>
        <v>11393.31</v>
      </c>
      <c r="K23" s="1180">
        <f t="shared" si="13"/>
        <v>9451.85</v>
      </c>
      <c r="L23" s="1180">
        <f t="shared" si="5"/>
        <v>14689</v>
      </c>
      <c r="M23" s="1180">
        <f t="shared" si="6"/>
        <v>14702</v>
      </c>
      <c r="N23" s="1180">
        <f t="shared" si="7"/>
        <v>15631</v>
      </c>
      <c r="O23" s="1180">
        <f t="shared" si="8"/>
        <v>16208</v>
      </c>
      <c r="P23" s="1180">
        <f t="shared" si="9"/>
        <v>15513</v>
      </c>
      <c r="Q23" s="1180">
        <f t="shared" si="10"/>
        <v>16114</v>
      </c>
    </row>
    <row r="24" spans="1:17" x14ac:dyDescent="0.15">
      <c r="A24" s="1186">
        <v>876</v>
      </c>
      <c r="B24" s="1187" t="s">
        <v>1673</v>
      </c>
      <c r="C24" s="2017"/>
      <c r="D24" s="1188"/>
      <c r="E24" s="1187">
        <f>'Input O&amp;M FERC 8-16'!O15</f>
        <v>66115.03</v>
      </c>
      <c r="F24" s="1180">
        <f t="shared" ref="F24:K24" si="14">SUMIF($B$143:$B$468,$A24,F143:F468)</f>
        <v>4721.8600000000006</v>
      </c>
      <c r="G24" s="1180">
        <f t="shared" si="14"/>
        <v>5063.74</v>
      </c>
      <c r="H24" s="1180">
        <f t="shared" si="14"/>
        <v>9233.67</v>
      </c>
      <c r="I24" s="1180">
        <f t="shared" si="14"/>
        <v>9014.4500000000007</v>
      </c>
      <c r="J24" s="1180">
        <f t="shared" si="14"/>
        <v>4347.8099999999995</v>
      </c>
      <c r="K24" s="1180">
        <f t="shared" si="14"/>
        <v>2761.5</v>
      </c>
      <c r="L24" s="1180">
        <f t="shared" si="5"/>
        <v>5278</v>
      </c>
      <c r="M24" s="1180">
        <f t="shared" si="6"/>
        <v>4916</v>
      </c>
      <c r="N24" s="1180">
        <f t="shared" si="7"/>
        <v>5165</v>
      </c>
      <c r="O24" s="1180">
        <f t="shared" si="8"/>
        <v>5421</v>
      </c>
      <c r="P24" s="1180">
        <f t="shared" si="9"/>
        <v>5162</v>
      </c>
      <c r="Q24" s="1180">
        <f t="shared" si="10"/>
        <v>5030</v>
      </c>
    </row>
    <row r="25" spans="1:17" x14ac:dyDescent="0.15">
      <c r="A25" s="1186">
        <v>878</v>
      </c>
      <c r="B25" s="1187" t="s">
        <v>1674</v>
      </c>
      <c r="C25" s="2017"/>
      <c r="D25" s="1188"/>
      <c r="E25" s="1187">
        <f>'Input O&amp;M FERC 8-16'!O16</f>
        <v>1528786.8384599998</v>
      </c>
      <c r="F25" s="1180">
        <f t="shared" ref="F25:K25" si="15">SUMIF($B$143:$B$468,$A25,F143:F468)</f>
        <v>92943.889999999985</v>
      </c>
      <c r="G25" s="1180">
        <f t="shared" si="15"/>
        <v>107139.23000000001</v>
      </c>
      <c r="H25" s="1180">
        <f t="shared" si="15"/>
        <v>169978.80000000002</v>
      </c>
      <c r="I25" s="1641">
        <f t="shared" si="15"/>
        <v>138962.27000000002</v>
      </c>
      <c r="J25" s="1180">
        <f t="shared" si="15"/>
        <v>105594.29999999999</v>
      </c>
      <c r="K25" s="1180">
        <f t="shared" si="15"/>
        <v>123497.80999999998</v>
      </c>
      <c r="L25" s="1180">
        <f t="shared" si="5"/>
        <v>135590.62557999999</v>
      </c>
      <c r="M25" s="1180">
        <f t="shared" si="6"/>
        <v>125290.35245999999</v>
      </c>
      <c r="N25" s="1180">
        <f t="shared" si="7"/>
        <v>131843.56682000001</v>
      </c>
      <c r="O25" s="1180">
        <f t="shared" si="8"/>
        <v>138852.0962</v>
      </c>
      <c r="P25" s="1180">
        <f t="shared" si="9"/>
        <v>132238.93369999999</v>
      </c>
      <c r="Q25" s="1180">
        <f t="shared" si="10"/>
        <v>126854.93369999999</v>
      </c>
    </row>
    <row r="26" spans="1:17" x14ac:dyDescent="0.15">
      <c r="A26" s="1186">
        <v>879</v>
      </c>
      <c r="B26" s="1187" t="s">
        <v>1675</v>
      </c>
      <c r="C26" s="2018"/>
      <c r="D26" s="1189"/>
      <c r="E26" s="1187">
        <f>'Input O&amp;M FERC 8-16'!O17</f>
        <v>1840759.544</v>
      </c>
      <c r="F26" s="1180">
        <f t="shared" ref="F26:K26" si="16">SUMIF($B$143:$B$468,$A26,F143:F468)</f>
        <v>122617.44999999998</v>
      </c>
      <c r="G26" s="1180">
        <f t="shared" si="16"/>
        <v>133666.08000000002</v>
      </c>
      <c r="H26" s="1180">
        <f t="shared" si="16"/>
        <v>155248.47000000003</v>
      </c>
      <c r="I26" s="1641">
        <f t="shared" si="16"/>
        <v>146283.26999999999</v>
      </c>
      <c r="J26" s="1180">
        <f t="shared" si="16"/>
        <v>143995.59</v>
      </c>
      <c r="K26" s="1180">
        <f t="shared" si="16"/>
        <v>168549.15000000002</v>
      </c>
      <c r="L26" s="1180">
        <f t="shared" si="5"/>
        <v>163673.68400000001</v>
      </c>
      <c r="M26" s="1180">
        <f t="shared" si="6"/>
        <v>154857.606</v>
      </c>
      <c r="N26" s="1180">
        <f t="shared" si="7"/>
        <v>162072.21599999999</v>
      </c>
      <c r="O26" s="1180">
        <f t="shared" si="8"/>
        <v>169768.95</v>
      </c>
      <c r="P26" s="1180">
        <f t="shared" si="9"/>
        <v>161997.054</v>
      </c>
      <c r="Q26" s="1180">
        <f t="shared" si="10"/>
        <v>158030.054</v>
      </c>
    </row>
    <row r="27" spans="1:17" x14ac:dyDescent="0.15">
      <c r="A27" s="1186">
        <v>880</v>
      </c>
      <c r="B27" s="1187" t="s">
        <v>686</v>
      </c>
      <c r="C27" s="2018"/>
      <c r="D27" s="1189"/>
      <c r="E27" s="1187">
        <f>'Input O&amp;M FERC 8-16'!O18</f>
        <v>1549136.67</v>
      </c>
      <c r="F27" s="1180">
        <f t="shared" ref="F27:K27" si="17">SUMIF($B$143:$B$468,$A27,F143:F468)</f>
        <v>156391.13999999998</v>
      </c>
      <c r="G27" s="1180">
        <f t="shared" si="17"/>
        <v>68182.979999999981</v>
      </c>
      <c r="H27" s="1180">
        <f t="shared" si="17"/>
        <v>124098.15999999999</v>
      </c>
      <c r="I27" s="1641">
        <f t="shared" si="17"/>
        <v>118552.83000000002</v>
      </c>
      <c r="J27" s="1180">
        <f t="shared" si="17"/>
        <v>121434.56</v>
      </c>
      <c r="K27" s="1180">
        <f t="shared" si="17"/>
        <v>124797.99999999999</v>
      </c>
      <c r="L27" s="1180">
        <f t="shared" si="5"/>
        <v>130036</v>
      </c>
      <c r="M27" s="1180">
        <f t="shared" si="6"/>
        <v>132891</v>
      </c>
      <c r="N27" s="1180">
        <f t="shared" si="7"/>
        <v>142531</v>
      </c>
      <c r="O27" s="1180">
        <f t="shared" si="8"/>
        <v>146040</v>
      </c>
      <c r="P27" s="1180">
        <f t="shared" si="9"/>
        <v>141227</v>
      </c>
      <c r="Q27" s="1180">
        <f t="shared" si="10"/>
        <v>142954</v>
      </c>
    </row>
    <row r="28" spans="1:17" x14ac:dyDescent="0.15">
      <c r="A28" s="1186">
        <v>881</v>
      </c>
      <c r="B28" s="1187" t="s">
        <v>1593</v>
      </c>
      <c r="C28" s="2018"/>
      <c r="D28" s="1189"/>
      <c r="E28" s="1187">
        <f>'Input O&amp;M FERC 8-16'!O19</f>
        <v>86542.36</v>
      </c>
      <c r="F28" s="1180">
        <f t="shared" ref="F28:K28" si="18">SUMIF($B$143:$B$468,$A28,F143:F468)</f>
        <v>6584.2800000000007</v>
      </c>
      <c r="G28" s="1180">
        <f t="shared" si="18"/>
        <v>6229.3</v>
      </c>
      <c r="H28" s="1180">
        <f t="shared" si="18"/>
        <v>10207.880000000001</v>
      </c>
      <c r="I28" s="1641">
        <f t="shared" si="18"/>
        <v>8256.67</v>
      </c>
      <c r="J28" s="1180">
        <f t="shared" si="18"/>
        <v>6333.8</v>
      </c>
      <c r="K28" s="1180">
        <f t="shared" si="18"/>
        <v>6598.4299999999994</v>
      </c>
      <c r="L28" s="1180">
        <f t="shared" si="5"/>
        <v>7239</v>
      </c>
      <c r="M28" s="1180">
        <f t="shared" si="6"/>
        <v>7536</v>
      </c>
      <c r="N28" s="1180">
        <f t="shared" si="7"/>
        <v>6169</v>
      </c>
      <c r="O28" s="1180">
        <f t="shared" si="8"/>
        <v>6712</v>
      </c>
      <c r="P28" s="1180">
        <f t="shared" si="9"/>
        <v>7346</v>
      </c>
      <c r="Q28" s="1180">
        <f t="shared" si="10"/>
        <v>7330</v>
      </c>
    </row>
    <row r="29" spans="1:17" ht="12" customHeight="1" x14ac:dyDescent="0.15">
      <c r="A29" s="1186"/>
      <c r="B29" s="1187"/>
      <c r="C29" s="2018"/>
      <c r="D29" s="1189"/>
      <c r="E29" s="1198"/>
      <c r="F29" s="1198"/>
      <c r="G29" s="1198"/>
      <c r="H29" s="1198"/>
      <c r="I29" s="1641"/>
      <c r="J29" s="1198"/>
      <c r="K29" s="1198"/>
      <c r="P29" s="1178"/>
      <c r="Q29" s="1178"/>
    </row>
    <row r="30" spans="1:17" x14ac:dyDescent="0.15">
      <c r="A30" s="1190" t="s">
        <v>1676</v>
      </c>
      <c r="B30" s="1187"/>
      <c r="C30" s="2018"/>
      <c r="D30" s="1189"/>
      <c r="E30" s="1198"/>
      <c r="F30" s="1198"/>
      <c r="G30" s="1198"/>
      <c r="H30" s="1198"/>
      <c r="I30" s="1641"/>
      <c r="J30" s="1198"/>
      <c r="K30" s="1198"/>
      <c r="P30" s="1178"/>
      <c r="Q30" s="1178"/>
    </row>
    <row r="31" spans="1:17" x14ac:dyDescent="0.15">
      <c r="A31" s="1186">
        <v>885</v>
      </c>
      <c r="B31" s="1187" t="s">
        <v>1669</v>
      </c>
      <c r="C31" s="2018"/>
      <c r="D31" s="1189"/>
      <c r="E31" s="1187">
        <f>'Input O&amp;M FERC 8-16'!O21</f>
        <v>9794.57</v>
      </c>
      <c r="F31" s="1180">
        <f t="shared" ref="F31:K31" si="19">SUMIF($B$143:$B$468,$A31,F143:F468)</f>
        <v>826.58000000000015</v>
      </c>
      <c r="G31" s="1180">
        <f t="shared" si="19"/>
        <v>847.84999999999991</v>
      </c>
      <c r="H31" s="1180">
        <f t="shared" si="19"/>
        <v>725.71999999999991</v>
      </c>
      <c r="I31" s="1641">
        <f t="shared" si="19"/>
        <v>770.57</v>
      </c>
      <c r="J31" s="1180">
        <f t="shared" si="19"/>
        <v>723.77</v>
      </c>
      <c r="K31" s="1180">
        <f t="shared" si="19"/>
        <v>902.07999999999993</v>
      </c>
      <c r="L31" s="1180">
        <f t="shared" ref="L31:L38" si="20">SUMIF($B$143:$B$468,$A31,$L$143:$L$468)</f>
        <v>859</v>
      </c>
      <c r="M31" s="1180">
        <f t="shared" ref="M31:M38" si="21">SUMIF($B$143:$B$468,$A31,$M$143:$M$468)</f>
        <v>800</v>
      </c>
      <c r="N31" s="1180">
        <f t="shared" ref="N31:N38" si="22">SUMIF($B$143:$B$468,$A31,$N$143:$N$468)</f>
        <v>827</v>
      </c>
      <c r="O31" s="1180">
        <f t="shared" ref="O31:O38" si="23">SUMIF($B$143:$B$468,$A31,$O$143:$O$468)</f>
        <v>875</v>
      </c>
      <c r="P31" s="1180">
        <f t="shared" ref="P31:P38" si="24">SUMIF($B$143:$B$468,$A31,$P$143:$P$468)</f>
        <v>832</v>
      </c>
      <c r="Q31" s="1180">
        <f t="shared" ref="Q31:Q38" si="25">SUMIF($B$143:$B$468,$A31,$Q$143:$Q$468)</f>
        <v>805</v>
      </c>
    </row>
    <row r="32" spans="1:17" x14ac:dyDescent="0.15">
      <c r="A32" s="1186">
        <v>886</v>
      </c>
      <c r="B32" s="1187" t="s">
        <v>1568</v>
      </c>
      <c r="C32" s="2018"/>
      <c r="D32" s="1189"/>
      <c r="E32" s="1187">
        <f>'Input O&amp;M FERC 8-16'!O22</f>
        <v>255921.81</v>
      </c>
      <c r="F32" s="1180">
        <f t="shared" ref="F32:K32" si="26">SUMIF($B$143:$B$468,$A32,F143:F468)</f>
        <v>19581.25</v>
      </c>
      <c r="G32" s="1180">
        <f t="shared" si="26"/>
        <v>22463.209999999995</v>
      </c>
      <c r="H32" s="1180">
        <f t="shared" si="26"/>
        <v>11890.439999999999</v>
      </c>
      <c r="I32" s="1641">
        <f t="shared" si="26"/>
        <v>36214.599999999991</v>
      </c>
      <c r="J32" s="1180">
        <f t="shared" si="26"/>
        <v>12727.51</v>
      </c>
      <c r="K32" s="1180">
        <f t="shared" si="26"/>
        <v>30269.72</v>
      </c>
      <c r="L32" s="1180">
        <f t="shared" si="20"/>
        <v>16197</v>
      </c>
      <c r="M32" s="1180">
        <f t="shared" si="21"/>
        <v>19611</v>
      </c>
      <c r="N32" s="1180">
        <f t="shared" si="22"/>
        <v>20769</v>
      </c>
      <c r="O32" s="1180">
        <f t="shared" si="23"/>
        <v>21324</v>
      </c>
      <c r="P32" s="1180">
        <f t="shared" si="24"/>
        <v>21019</v>
      </c>
      <c r="Q32" s="1180">
        <f t="shared" si="25"/>
        <v>23855</v>
      </c>
    </row>
    <row r="33" spans="1:17" x14ac:dyDescent="0.15">
      <c r="A33" s="1186">
        <v>887</v>
      </c>
      <c r="B33" s="1187" t="s">
        <v>719</v>
      </c>
      <c r="C33" s="2018"/>
      <c r="D33" s="1189"/>
      <c r="E33" s="1187">
        <f>'Input O&amp;M FERC 8-16'!O23</f>
        <v>2786673.2094700001</v>
      </c>
      <c r="F33" s="1180">
        <f t="shared" ref="F33:K33" si="27">SUMIF($B$143:$B$468,$A33,F143:F468)</f>
        <v>220107.59</v>
      </c>
      <c r="G33" s="1180">
        <f t="shared" si="27"/>
        <v>198340.63999999998</v>
      </c>
      <c r="H33" s="1180">
        <f t="shared" si="27"/>
        <v>197265.87</v>
      </c>
      <c r="I33" s="1641">
        <f t="shared" si="27"/>
        <v>261001.48</v>
      </c>
      <c r="J33" s="1180">
        <f t="shared" si="27"/>
        <v>178550.77</v>
      </c>
      <c r="K33" s="1180">
        <f t="shared" si="27"/>
        <v>266886.57</v>
      </c>
      <c r="L33" s="1180">
        <f t="shared" si="20"/>
        <v>213543.20272</v>
      </c>
      <c r="M33" s="1180">
        <f t="shared" si="21"/>
        <v>234918.80574000001</v>
      </c>
      <c r="N33" s="1180">
        <f t="shared" si="22"/>
        <v>244990.29332999999</v>
      </c>
      <c r="O33" s="1180">
        <f t="shared" si="23"/>
        <v>255380.74802</v>
      </c>
      <c r="P33" s="1180">
        <f t="shared" si="24"/>
        <v>249751.11983000001</v>
      </c>
      <c r="Q33" s="1180">
        <f t="shared" si="25"/>
        <v>265936.11982999998</v>
      </c>
    </row>
    <row r="34" spans="1:17" x14ac:dyDescent="0.15">
      <c r="A34" s="1186">
        <v>889</v>
      </c>
      <c r="B34" s="1187" t="s">
        <v>1672</v>
      </c>
      <c r="C34" s="2018"/>
      <c r="D34" s="1189"/>
      <c r="E34" s="1187">
        <f>'Input O&amp;M FERC 8-16'!O24</f>
        <v>269427.95999999996</v>
      </c>
      <c r="F34" s="1180">
        <f t="shared" ref="F34:K34" si="28">SUMIF($B$143:$B$468,$A34,F143:F468)</f>
        <v>23337.71</v>
      </c>
      <c r="G34" s="1180">
        <f t="shared" si="28"/>
        <v>15301.92</v>
      </c>
      <c r="H34" s="1180">
        <f t="shared" si="28"/>
        <v>8274.73</v>
      </c>
      <c r="I34" s="1641">
        <f t="shared" si="28"/>
        <v>52450.229999999996</v>
      </c>
      <c r="J34" s="1180">
        <f t="shared" si="28"/>
        <v>21022.78</v>
      </c>
      <c r="K34" s="1180">
        <f t="shared" si="28"/>
        <v>18237.600000000002</v>
      </c>
      <c r="L34" s="1180">
        <f t="shared" si="20"/>
        <v>21560</v>
      </c>
      <c r="M34" s="1180">
        <f t="shared" si="21"/>
        <v>21134</v>
      </c>
      <c r="N34" s="1180">
        <f t="shared" si="22"/>
        <v>21565</v>
      </c>
      <c r="O34" s="1180">
        <f t="shared" si="23"/>
        <v>23153</v>
      </c>
      <c r="P34" s="1180">
        <f t="shared" si="24"/>
        <v>22520</v>
      </c>
      <c r="Q34" s="1180">
        <f t="shared" si="25"/>
        <v>20871</v>
      </c>
    </row>
    <row r="35" spans="1:17" x14ac:dyDescent="0.15">
      <c r="A35" s="1186">
        <v>890</v>
      </c>
      <c r="B35" s="1187" t="s">
        <v>1673</v>
      </c>
      <c r="C35" s="2018"/>
      <c r="D35" s="1189"/>
      <c r="E35" s="1187">
        <f>'Input O&amp;M FERC 8-16'!O25</f>
        <v>60575.87</v>
      </c>
      <c r="F35" s="1180">
        <f t="shared" ref="F35:K35" si="29">SUMIF($B$143:$B$468,$A35,F143:F468)</f>
        <v>4740.43</v>
      </c>
      <c r="G35" s="1180">
        <f t="shared" si="29"/>
        <v>6048.7400000000007</v>
      </c>
      <c r="H35" s="1180">
        <f t="shared" si="29"/>
        <v>5166.42</v>
      </c>
      <c r="I35" s="1641">
        <f t="shared" si="29"/>
        <v>5355.93</v>
      </c>
      <c r="J35" s="1180">
        <f t="shared" si="29"/>
        <v>3473.7</v>
      </c>
      <c r="K35" s="1180">
        <f t="shared" si="29"/>
        <v>2868.65</v>
      </c>
      <c r="L35" s="1180">
        <f t="shared" si="20"/>
        <v>5530</v>
      </c>
      <c r="M35" s="1180">
        <f t="shared" si="21"/>
        <v>5258</v>
      </c>
      <c r="N35" s="1180">
        <f t="shared" si="22"/>
        <v>5439</v>
      </c>
      <c r="O35" s="1180">
        <f t="shared" si="23"/>
        <v>5743</v>
      </c>
      <c r="P35" s="1180">
        <f t="shared" si="24"/>
        <v>5520</v>
      </c>
      <c r="Q35" s="1180">
        <f t="shared" si="25"/>
        <v>5432</v>
      </c>
    </row>
    <row r="36" spans="1:17" x14ac:dyDescent="0.15">
      <c r="A36" s="1186">
        <v>892</v>
      </c>
      <c r="B36" s="1187" t="s">
        <v>724</v>
      </c>
      <c r="C36" s="2017"/>
      <c r="D36" s="1188"/>
      <c r="E36" s="1187">
        <f>'Input O&amp;M FERC 8-16'!O26</f>
        <v>516033.07678999996</v>
      </c>
      <c r="F36" s="1180">
        <f t="shared" ref="F36:K36" si="30">SUMIF($B$143:$B$468,$A36,F143:F468)</f>
        <v>22576.070000000003</v>
      </c>
      <c r="G36" s="1180">
        <f t="shared" si="30"/>
        <v>11536.670000000002</v>
      </c>
      <c r="H36" s="1180">
        <f t="shared" si="30"/>
        <v>33845.599999999999</v>
      </c>
      <c r="I36" s="1641">
        <f t="shared" si="30"/>
        <v>19273.379999999997</v>
      </c>
      <c r="J36" s="1180">
        <f t="shared" si="30"/>
        <v>50206.209999999992</v>
      </c>
      <c r="K36" s="1180">
        <f t="shared" si="30"/>
        <v>42955.479999999996</v>
      </c>
      <c r="L36" s="1180">
        <f t="shared" si="20"/>
        <v>50149.73661</v>
      </c>
      <c r="M36" s="1180">
        <f t="shared" si="21"/>
        <v>54053.570610000002</v>
      </c>
      <c r="N36" s="1180">
        <f t="shared" si="22"/>
        <v>55474.628140000001</v>
      </c>
      <c r="O36" s="1180">
        <f t="shared" si="23"/>
        <v>58325.182370000002</v>
      </c>
      <c r="P36" s="1180">
        <f t="shared" si="24"/>
        <v>57157.774530000002</v>
      </c>
      <c r="Q36" s="1180">
        <f t="shared" si="25"/>
        <v>60478.774530000002</v>
      </c>
    </row>
    <row r="37" spans="1:17" x14ac:dyDescent="0.15">
      <c r="A37" s="1186">
        <v>893</v>
      </c>
      <c r="B37" s="1187" t="s">
        <v>1674</v>
      </c>
      <c r="C37" s="2018"/>
      <c r="D37" s="1189"/>
      <c r="E37" s="1187">
        <f>'Input O&amp;M FERC 8-16'!O27</f>
        <v>151628.13</v>
      </c>
      <c r="F37" s="1180">
        <f t="shared" ref="F37:K37" si="31">SUMIF($B$143:$B$468,$A37,F143:F468)</f>
        <v>16543.689999999999</v>
      </c>
      <c r="G37" s="1180">
        <f t="shared" si="31"/>
        <v>15626.630000000001</v>
      </c>
      <c r="H37" s="1180">
        <f t="shared" si="31"/>
        <v>9818.36</v>
      </c>
      <c r="I37" s="1641">
        <f t="shared" si="31"/>
        <v>6331.14</v>
      </c>
      <c r="J37" s="1180">
        <f t="shared" si="31"/>
        <v>2357.6299999999997</v>
      </c>
      <c r="K37" s="1180">
        <f t="shared" si="31"/>
        <v>31983.680000000004</v>
      </c>
      <c r="L37" s="1180">
        <f t="shared" si="20"/>
        <v>11007</v>
      </c>
      <c r="M37" s="1180">
        <f t="shared" si="21"/>
        <v>11310</v>
      </c>
      <c r="N37" s="1180">
        <f t="shared" si="22"/>
        <v>11209</v>
      </c>
      <c r="O37" s="1180">
        <f t="shared" si="23"/>
        <v>12258</v>
      </c>
      <c r="P37" s="1180">
        <f t="shared" si="24"/>
        <v>12162</v>
      </c>
      <c r="Q37" s="1180">
        <f t="shared" si="25"/>
        <v>11021</v>
      </c>
    </row>
    <row r="38" spans="1:17" x14ac:dyDescent="0.15">
      <c r="A38" s="1186">
        <v>894</v>
      </c>
      <c r="B38" s="1187" t="s">
        <v>1570</v>
      </c>
      <c r="C38" s="2018"/>
      <c r="D38" s="1189"/>
      <c r="E38" s="1187">
        <f>'Input O&amp;M FERC 8-16'!O28</f>
        <v>295269.18</v>
      </c>
      <c r="F38" s="1180">
        <f t="shared" ref="F38:K38" si="32">SUMIF($B$143:$B$468,$A38,F143:F468)</f>
        <v>18901.410000000003</v>
      </c>
      <c r="G38" s="1180">
        <f t="shared" si="32"/>
        <v>16973.560000000001</v>
      </c>
      <c r="H38" s="1180">
        <f t="shared" si="32"/>
        <v>17047.18</v>
      </c>
      <c r="I38" s="1641">
        <f t="shared" si="32"/>
        <v>31624.86</v>
      </c>
      <c r="J38" s="1180">
        <f t="shared" si="32"/>
        <v>16251.01</v>
      </c>
      <c r="K38" s="1180">
        <f t="shared" si="32"/>
        <v>44124.160000000003</v>
      </c>
      <c r="L38" s="1180">
        <f t="shared" si="20"/>
        <v>24675</v>
      </c>
      <c r="M38" s="1180">
        <f t="shared" si="21"/>
        <v>24144</v>
      </c>
      <c r="N38" s="1180">
        <f t="shared" si="22"/>
        <v>24949</v>
      </c>
      <c r="O38" s="1180">
        <f t="shared" si="23"/>
        <v>26464</v>
      </c>
      <c r="P38" s="1180">
        <f t="shared" si="24"/>
        <v>25638</v>
      </c>
      <c r="Q38" s="1180">
        <f t="shared" si="25"/>
        <v>24477</v>
      </c>
    </row>
    <row r="39" spans="1:17" ht="6" customHeight="1" x14ac:dyDescent="0.15">
      <c r="A39" s="1186"/>
      <c r="B39" s="1187"/>
      <c r="C39" s="2018"/>
      <c r="D39" s="1189"/>
      <c r="E39" s="1198"/>
      <c r="F39" s="1198"/>
      <c r="G39" s="1198"/>
      <c r="H39" s="1198"/>
      <c r="I39" s="1641"/>
      <c r="J39" s="1198"/>
      <c r="K39" s="1198"/>
      <c r="M39" s="1180"/>
      <c r="P39" s="1178"/>
      <c r="Q39" s="1180"/>
    </row>
    <row r="40" spans="1:17" x14ac:dyDescent="0.15">
      <c r="A40" s="1190" t="s">
        <v>1677</v>
      </c>
      <c r="C40" s="2019"/>
      <c r="D40" s="1193"/>
      <c r="E40" s="1198"/>
      <c r="F40" s="1198"/>
      <c r="G40" s="1198"/>
      <c r="H40" s="1198"/>
      <c r="I40" s="1641"/>
      <c r="J40" s="1198"/>
      <c r="K40" s="1198"/>
      <c r="L40" s="1194"/>
      <c r="P40" s="1182"/>
      <c r="Q40" s="1182"/>
    </row>
    <row r="41" spans="1:17" x14ac:dyDescent="0.15">
      <c r="A41" s="1186">
        <v>901</v>
      </c>
      <c r="B41" s="1187" t="s">
        <v>1571</v>
      </c>
      <c r="C41" s="2020"/>
      <c r="D41" s="1195"/>
      <c r="E41" s="1187">
        <f>'Input O&amp;M FERC 8-16'!O30</f>
        <v>0</v>
      </c>
      <c r="F41" s="1180">
        <f t="shared" ref="F41:K41" si="33">SUMIF($B$143:$B$468,$A41,F143:F468)</f>
        <v>0</v>
      </c>
      <c r="G41" s="1180">
        <f t="shared" si="33"/>
        <v>0</v>
      </c>
      <c r="H41" s="1180">
        <f t="shared" si="33"/>
        <v>0</v>
      </c>
      <c r="I41" s="1641">
        <f t="shared" si="33"/>
        <v>0</v>
      </c>
      <c r="J41" s="1180">
        <f t="shared" si="33"/>
        <v>0</v>
      </c>
      <c r="K41" s="1180">
        <f t="shared" si="33"/>
        <v>0</v>
      </c>
      <c r="L41" s="1180">
        <f>SUMIF($B$143:$B$468,$A41,$L$143:$L$468)</f>
        <v>0</v>
      </c>
      <c r="M41" s="1180">
        <f>SUMIF($B$143:$B$468,$A41,$M$143:$M$468)</f>
        <v>0</v>
      </c>
      <c r="N41" s="1180">
        <f>SUMIF($B$143:$B$468,$A41,$N$143:$N$468)</f>
        <v>0</v>
      </c>
      <c r="O41" s="1180">
        <f>SUMIF($B$143:$B$468,$A41,$O$143:$O$468)</f>
        <v>0</v>
      </c>
      <c r="P41" s="1180">
        <f>SUMIF($B$143:$B$468,$A41,$P$143:$P$468)</f>
        <v>0</v>
      </c>
      <c r="Q41" s="1180">
        <f>SUMIF($B$143:$B$468,$A41,$Q$143:$Q$468)</f>
        <v>0</v>
      </c>
    </row>
    <row r="42" spans="1:17" x14ac:dyDescent="0.15">
      <c r="A42" s="1186">
        <v>902</v>
      </c>
      <c r="B42" s="1187" t="s">
        <v>1678</v>
      </c>
      <c r="C42" s="2020"/>
      <c r="D42" s="1195"/>
      <c r="E42" s="1187">
        <f>'Input O&amp;M FERC 8-16'!O31</f>
        <v>367942.22</v>
      </c>
      <c r="F42" s="1180">
        <f t="shared" ref="F42:K42" si="34">SUMIF($B$143:$B$468,$A42,F143:F468)</f>
        <v>21034.11</v>
      </c>
      <c r="G42" s="1180">
        <f t="shared" si="34"/>
        <v>-4898.1000000000004</v>
      </c>
      <c r="H42" s="1180">
        <f t="shared" si="34"/>
        <v>25565.14</v>
      </c>
      <c r="I42" s="1180">
        <f t="shared" si="34"/>
        <v>14532.470000000001</v>
      </c>
      <c r="J42" s="1180">
        <f t="shared" si="34"/>
        <v>15622.730000000001</v>
      </c>
      <c r="K42" s="1180">
        <f t="shared" si="34"/>
        <v>32333.870000000003</v>
      </c>
      <c r="L42" s="1180">
        <f>SUMIF($B$143:$B$468,$A42,$L$143:$L$468)</f>
        <v>37274</v>
      </c>
      <c r="M42" s="1180">
        <f>SUMIF($B$143:$B$468,$A42,$M$143:$M$468)</f>
        <v>42189</v>
      </c>
      <c r="N42" s="1180">
        <f>SUMIF($B$143:$B$468,$A42,$N$143:$N$468)</f>
        <v>44335</v>
      </c>
      <c r="O42" s="1180">
        <f>SUMIF($B$143:$B$468,$A42,$O$143:$O$468)</f>
        <v>45692</v>
      </c>
      <c r="P42" s="1180">
        <f>SUMIF($B$143:$B$468,$A42,$P$143:$P$468)</f>
        <v>44621</v>
      </c>
      <c r="Q42" s="1180">
        <f>SUMIF($B$143:$B$468,$A42,$Q$143:$Q$468)</f>
        <v>49641</v>
      </c>
    </row>
    <row r="43" spans="1:17" x14ac:dyDescent="0.15">
      <c r="A43" s="1186">
        <v>903</v>
      </c>
      <c r="B43" s="1187" t="s">
        <v>1679</v>
      </c>
      <c r="C43" s="2018"/>
      <c r="D43" s="1189"/>
      <c r="E43" s="1187">
        <f>'Input O&amp;M FERC 8-16'!O32</f>
        <v>3316269.0465199999</v>
      </c>
      <c r="F43" s="1180">
        <f t="shared" ref="F43:K43" si="35">SUMIF($B$143:$B$468,$A43,F143:F468)</f>
        <v>248614.98</v>
      </c>
      <c r="G43" s="1180">
        <f t="shared" si="35"/>
        <v>241849.68</v>
      </c>
      <c r="H43" s="1180">
        <f t="shared" si="35"/>
        <v>282039.61000000004</v>
      </c>
      <c r="I43" s="1180">
        <f t="shared" si="35"/>
        <v>280952.78999999998</v>
      </c>
      <c r="J43" s="1180">
        <f t="shared" si="35"/>
        <v>241414.47</v>
      </c>
      <c r="K43" s="1180">
        <f t="shared" si="35"/>
        <v>241009.38000000003</v>
      </c>
      <c r="L43" s="1180">
        <f>SUMIF($B$143:$B$468,$A43,$L$143:$L$468)</f>
        <v>289830.77862999996</v>
      </c>
      <c r="M43" s="1180">
        <f>SUMIF($B$143:$B$468,$A43,$M$143:$M$468)</f>
        <v>286930.69272999995</v>
      </c>
      <c r="N43" s="1180">
        <f>SUMIF($B$143:$B$468,$A43,$N$143:$N$468)</f>
        <v>290554.32324999996</v>
      </c>
      <c r="O43" s="1180">
        <f>SUMIF($B$143:$B$468,$A43,$O$143:$O$468)</f>
        <v>312691.05095</v>
      </c>
      <c r="P43" s="1180">
        <f>SUMIF($B$143:$B$468,$A43,$P$143:$P$468)</f>
        <v>306850.14548000001</v>
      </c>
      <c r="Q43" s="1180">
        <f>SUMIF($B$143:$B$468,$A43,$Q$143:$Q$468)</f>
        <v>293531.14548000001</v>
      </c>
    </row>
    <row r="44" spans="1:17" x14ac:dyDescent="0.15">
      <c r="A44" s="1186">
        <v>904</v>
      </c>
      <c r="B44" s="1187" t="s">
        <v>1680</v>
      </c>
      <c r="C44" s="2017"/>
      <c r="D44" s="1188"/>
      <c r="E44" s="1187">
        <f>'Input O&amp;M FERC 8-16'!O33</f>
        <v>811974.07000000007</v>
      </c>
      <c r="F44" s="1180">
        <f t="shared" ref="F44:K44" si="36">SUMIF($B$143:$B$468,$A44,F143:F468)</f>
        <v>26619.5</v>
      </c>
      <c r="G44" s="1180">
        <f t="shared" si="36"/>
        <v>53741.14</v>
      </c>
      <c r="H44" s="1180">
        <f t="shared" si="36"/>
        <v>-49936.85</v>
      </c>
      <c r="I44" s="1180">
        <f t="shared" si="36"/>
        <v>-138960.06</v>
      </c>
      <c r="J44" s="1180">
        <f t="shared" si="36"/>
        <v>224849.48</v>
      </c>
      <c r="K44" s="1180">
        <f t="shared" si="36"/>
        <v>169472.86000000002</v>
      </c>
      <c r="L44" s="1180">
        <f>SUMIF($B$143:$B$468,$A44,$L$143:$L$468)</f>
        <v>173350</v>
      </c>
      <c r="M44" s="1180">
        <f>SUMIF($B$143:$B$468,$A44,$M$143:$M$468)</f>
        <v>112414</v>
      </c>
      <c r="N44" s="1180">
        <f>SUMIF($B$143:$B$468,$A44,$N$143:$N$468)</f>
        <v>81297</v>
      </c>
      <c r="O44" s="1180">
        <f>SUMIF($B$143:$B$468,$A44,$O$143:$O$468)</f>
        <v>52947</v>
      </c>
      <c r="P44" s="1180">
        <f>SUMIF($B$143:$B$468,$A44,$P$143:$P$468)</f>
        <v>50805</v>
      </c>
      <c r="Q44" s="1180">
        <f>SUMIF($B$143:$B$468,$A44,$Q$143:$Q$468)</f>
        <v>55375</v>
      </c>
    </row>
    <row r="45" spans="1:17" x14ac:dyDescent="0.15">
      <c r="A45" s="1186">
        <v>905</v>
      </c>
      <c r="B45" s="1187" t="s">
        <v>1681</v>
      </c>
      <c r="C45" s="2018"/>
      <c r="D45" s="1189"/>
      <c r="E45" s="1187">
        <f>'Input O&amp;M FERC 8-16'!O34</f>
        <v>1200.5700000000002</v>
      </c>
      <c r="F45" s="1180">
        <f t="shared" ref="F45:K45" si="37">SUMIF($B$143:$B$468,$A45,F143:F468)</f>
        <v>75.87</v>
      </c>
      <c r="G45" s="1180">
        <f t="shared" si="37"/>
        <v>130.29000000000002</v>
      </c>
      <c r="H45" s="1180">
        <f t="shared" si="37"/>
        <v>78.06</v>
      </c>
      <c r="I45" s="1180">
        <f t="shared" si="37"/>
        <v>173.48000000000002</v>
      </c>
      <c r="J45" s="1180">
        <f t="shared" si="37"/>
        <v>33.159999999999997</v>
      </c>
      <c r="K45" s="1180">
        <f t="shared" si="37"/>
        <v>162.71</v>
      </c>
      <c r="L45" s="1180">
        <f>SUMIF($B$143:$B$468,$A45,$L$143:$L$468)</f>
        <v>91</v>
      </c>
      <c r="M45" s="1180">
        <f>SUMIF($B$143:$B$468,$A45,$M$143:$M$468)</f>
        <v>92</v>
      </c>
      <c r="N45" s="1180">
        <f>SUMIF($B$143:$B$468,$A45,$N$143:$N$468)</f>
        <v>96</v>
      </c>
      <c r="O45" s="1180">
        <f>SUMIF($B$143:$B$468,$A45,$O$143:$O$468)</f>
        <v>94</v>
      </c>
      <c r="P45" s="1180">
        <f>SUMIF($B$143:$B$468,$A45,$P$143:$P$468)</f>
        <v>87</v>
      </c>
      <c r="Q45" s="1180">
        <f>SUMIF($B$143:$B$468,$A45,$Q$143:$Q$468)</f>
        <v>87</v>
      </c>
    </row>
    <row r="46" spans="1:17" x14ac:dyDescent="0.15">
      <c r="A46" s="1186"/>
      <c r="B46" s="1187"/>
      <c r="C46" s="2020"/>
      <c r="D46" s="1195"/>
      <c r="E46" s="1198"/>
      <c r="F46" s="1198"/>
      <c r="G46" s="1198"/>
      <c r="H46" s="1198"/>
      <c r="I46" s="1198"/>
      <c r="J46" s="1198"/>
      <c r="K46" s="1198"/>
      <c r="L46" s="1194"/>
      <c r="P46" s="1178"/>
      <c r="Q46" s="1178"/>
    </row>
    <row r="47" spans="1:17" x14ac:dyDescent="0.15">
      <c r="A47" s="1196" t="s">
        <v>265</v>
      </c>
      <c r="E47" s="1199"/>
      <c r="F47" s="1199"/>
      <c r="G47" s="1199"/>
      <c r="H47" s="1199"/>
      <c r="I47" s="1199"/>
      <c r="J47" s="1199"/>
      <c r="K47" s="1199"/>
      <c r="L47" s="1194"/>
    </row>
    <row r="48" spans="1:17" x14ac:dyDescent="0.15">
      <c r="A48" s="1186">
        <v>907</v>
      </c>
      <c r="B48" s="1187" t="s">
        <v>1571</v>
      </c>
      <c r="C48" s="2018"/>
      <c r="D48" s="1189"/>
      <c r="E48" s="1187">
        <f>'Input O&amp;M FERC 8-16'!O38</f>
        <v>15816.6</v>
      </c>
      <c r="F48" s="1180">
        <f t="shared" ref="F48:K48" si="38">SUMIF($B$143:$B$468,$A48,F143:F468)</f>
        <v>0</v>
      </c>
      <c r="G48" s="1180">
        <f t="shared" si="38"/>
        <v>0</v>
      </c>
      <c r="H48" s="1180">
        <f t="shared" si="38"/>
        <v>0</v>
      </c>
      <c r="I48" s="1180">
        <f t="shared" si="38"/>
        <v>-6.4</v>
      </c>
      <c r="J48" s="1180">
        <f t="shared" si="38"/>
        <v>6115</v>
      </c>
      <c r="K48" s="1180">
        <f t="shared" si="38"/>
        <v>0</v>
      </c>
      <c r="L48" s="1180">
        <f>SUMIF($B$143:$B$468,$A48,$L$143:$L$468)</f>
        <v>792</v>
      </c>
      <c r="M48" s="1180">
        <f>SUMIF($B$143:$B$468,$A48,$M$143:$M$468)</f>
        <v>836</v>
      </c>
      <c r="N48" s="1180">
        <f>SUMIF($B$143:$B$468,$A48,$N$143:$N$468)</f>
        <v>3183</v>
      </c>
      <c r="O48" s="1180">
        <f>SUMIF($B$143:$B$468,$A48,$O$143:$O$468)</f>
        <v>927</v>
      </c>
      <c r="P48" s="1180">
        <f>SUMIF($B$143:$B$468,$A48,$P$143:$P$468)</f>
        <v>3179</v>
      </c>
      <c r="Q48" s="1180">
        <f>SUMIF($B$143:$B$468,$A48,$Q$143:$Q$468)</f>
        <v>791</v>
      </c>
    </row>
    <row r="49" spans="1:17" x14ac:dyDescent="0.15">
      <c r="A49" s="1186">
        <v>908</v>
      </c>
      <c r="B49" s="1187" t="s">
        <v>265</v>
      </c>
      <c r="C49" s="2018"/>
      <c r="D49" s="1189"/>
      <c r="E49" s="1187">
        <f>'Input O&amp;M FERC 8-16'!O39</f>
        <v>887206.67475999973</v>
      </c>
      <c r="F49" s="1180">
        <f t="shared" ref="F49:K49" si="39">SUMIF($B$143:$B$468,$A49,F143:F468)</f>
        <v>54871.19</v>
      </c>
      <c r="G49" s="1180">
        <f t="shared" si="39"/>
        <v>62178.100000000006</v>
      </c>
      <c r="H49" s="1180">
        <f t="shared" si="39"/>
        <v>45622.01</v>
      </c>
      <c r="I49" s="1180">
        <f t="shared" si="39"/>
        <v>127548.21</v>
      </c>
      <c r="J49" s="1180">
        <f t="shared" si="39"/>
        <v>108710.35999999999</v>
      </c>
      <c r="K49" s="1180">
        <f t="shared" si="39"/>
        <v>111278.97</v>
      </c>
      <c r="L49" s="1180">
        <f>SUMIF($B$143:$B$468,$A49,$L$143:$L$468)</f>
        <v>51557.972460000005</v>
      </c>
      <c r="M49" s="1180">
        <f>SUMIF($B$143:$B$468,$A49,$M$143:$M$468)</f>
        <v>53963.972460000005</v>
      </c>
      <c r="N49" s="1180">
        <f>SUMIF($B$143:$B$468,$A49,$N$143:$N$468)</f>
        <v>63677.972460000005</v>
      </c>
      <c r="O49" s="1180">
        <f>SUMIF($B$143:$B$468,$A49,$O$143:$O$468)</f>
        <v>65321.972460000005</v>
      </c>
      <c r="P49" s="1180">
        <f>SUMIF($B$143:$B$468,$A49,$P$143:$P$468)</f>
        <v>75979.972460000005</v>
      </c>
      <c r="Q49" s="1180">
        <f>SUMIF($B$143:$B$468,$A49,$Q$143:$Q$468)</f>
        <v>66495.972460000005</v>
      </c>
    </row>
    <row r="50" spans="1:17" x14ac:dyDescent="0.15">
      <c r="A50" s="1186">
        <v>909</v>
      </c>
      <c r="B50" s="1187" t="s">
        <v>1682</v>
      </c>
      <c r="C50" s="2018"/>
      <c r="D50" s="1189"/>
      <c r="E50" s="1187">
        <f>'Input O&amp;M FERC 8-16'!O40</f>
        <v>79942.59</v>
      </c>
      <c r="F50" s="1180">
        <f>SUMIF($B$143:$B$468,$A50,F143:$L$468)</f>
        <v>635.09</v>
      </c>
      <c r="G50" s="1180">
        <f>SUMIF($B$143:$B$468,$A50,G143:$L$468)</f>
        <v>1908.43</v>
      </c>
      <c r="H50" s="1180">
        <f>SUMIF($B$143:$B$468,$A50,H143:$L$468)</f>
        <v>41475.4</v>
      </c>
      <c r="I50" s="1180">
        <f>SUMIF($B$143:$B$468,$A50,I143:$L$468)</f>
        <v>4805.88</v>
      </c>
      <c r="J50" s="1180">
        <f>SUMIF($B$143:$B$468,$A50,J143:$L$468)</f>
        <v>807.03</v>
      </c>
      <c r="K50" s="1180">
        <f>SUMIF($B$143:$B$468,$A50,K143:$L$468)</f>
        <v>458.76</v>
      </c>
      <c r="L50" s="1180">
        <f>SUMIF($B$143:$B$468,$A50,$L$143:$L$468)</f>
        <v>5011</v>
      </c>
      <c r="M50" s="1180">
        <f>SUMIF($B$143:$B$468,$A50,$M$143:$M$468)</f>
        <v>4707</v>
      </c>
      <c r="N50" s="1180">
        <f>SUMIF($B$143:$B$468,$A50,$N$143:$N$468)</f>
        <v>4833</v>
      </c>
      <c r="O50" s="1180">
        <f>SUMIF($B$143:$B$468,$A50,$O$143:$O$468)</f>
        <v>5170</v>
      </c>
      <c r="P50" s="1180">
        <f>SUMIF($B$143:$B$468,$A50,$P$143:$P$468)</f>
        <v>5112</v>
      </c>
      <c r="Q50" s="1180">
        <f>SUMIF($B$143:$B$468,$A50,$Q$143:$Q$468)</f>
        <v>5019</v>
      </c>
    </row>
    <row r="51" spans="1:17" x14ac:dyDescent="0.15">
      <c r="A51" s="1186">
        <v>910</v>
      </c>
      <c r="B51" s="1187" t="s">
        <v>1681</v>
      </c>
      <c r="C51" s="2018"/>
      <c r="D51" s="1189"/>
      <c r="E51" s="1187">
        <f>'Input O&amp;M FERC 8-16'!O41</f>
        <v>227785.5</v>
      </c>
      <c r="F51" s="1180">
        <f t="shared" ref="F51:K51" si="40">SUMIF($B$143:$B$468,$A51,F143:F468)</f>
        <v>21766.98</v>
      </c>
      <c r="G51" s="1180">
        <f t="shared" si="40"/>
        <v>17278.12</v>
      </c>
      <c r="H51" s="1180">
        <f t="shared" si="40"/>
        <v>17054.22</v>
      </c>
      <c r="I51" s="1180">
        <f t="shared" si="40"/>
        <v>14087.45</v>
      </c>
      <c r="J51" s="1180">
        <f t="shared" si="40"/>
        <v>17134.96</v>
      </c>
      <c r="K51" s="1180">
        <f t="shared" si="40"/>
        <v>17501.77</v>
      </c>
      <c r="L51" s="1180">
        <f>SUMIF($B$143:$B$468,$A51,$L$143:$L$468)</f>
        <v>20483</v>
      </c>
      <c r="M51" s="1180">
        <f>SUMIF($B$143:$B$468,$A51,$M$143:$M$468)</f>
        <v>19532</v>
      </c>
      <c r="N51" s="1180">
        <f>SUMIF($B$143:$B$468,$A51,$N$143:$N$468)</f>
        <v>20058</v>
      </c>
      <c r="O51" s="1180">
        <f>SUMIF($B$143:$B$468,$A51,$O$143:$O$468)</f>
        <v>21470</v>
      </c>
      <c r="P51" s="1180">
        <f>SUMIF($B$143:$B$468,$A51,$P$143:$P$468)</f>
        <v>20902</v>
      </c>
      <c r="Q51" s="1180">
        <f>SUMIF($B$143:$B$468,$A51,$Q$143:$Q$468)</f>
        <v>20517</v>
      </c>
    </row>
    <row r="52" spans="1:17" x14ac:dyDescent="0.15">
      <c r="A52" s="1186">
        <v>921</v>
      </c>
      <c r="B52" s="1187" t="s">
        <v>1683</v>
      </c>
      <c r="C52" s="2018"/>
      <c r="D52" s="1189"/>
      <c r="E52" s="1198">
        <v>0</v>
      </c>
      <c r="F52" s="1199">
        <v>0</v>
      </c>
      <c r="G52" s="1199">
        <v>0</v>
      </c>
      <c r="H52" s="1199">
        <v>0</v>
      </c>
      <c r="I52" s="1199">
        <v>0</v>
      </c>
      <c r="J52" s="1199">
        <v>0</v>
      </c>
      <c r="K52" s="1199">
        <v>0</v>
      </c>
      <c r="L52" s="1199">
        <v>0</v>
      </c>
      <c r="M52" s="1199">
        <v>0</v>
      </c>
      <c r="N52" s="1199">
        <v>0</v>
      </c>
      <c r="O52" s="1199">
        <v>0</v>
      </c>
      <c r="P52" s="1199">
        <v>0</v>
      </c>
      <c r="Q52" s="1199">
        <v>0</v>
      </c>
    </row>
    <row r="53" spans="1:17" ht="15.75" customHeight="1" x14ac:dyDescent="0.15">
      <c r="A53" s="1186"/>
      <c r="B53" s="1187"/>
      <c r="C53" s="2020"/>
      <c r="D53" s="1195"/>
      <c r="E53" s="1198"/>
      <c r="F53" s="1198"/>
      <c r="G53" s="1198"/>
      <c r="H53" s="1198"/>
      <c r="I53" s="1198"/>
      <c r="J53" s="1198"/>
      <c r="K53" s="1198"/>
      <c r="L53" s="1197"/>
      <c r="P53" s="1178"/>
      <c r="Q53" s="1178"/>
    </row>
    <row r="54" spans="1:17" x14ac:dyDescent="0.15">
      <c r="A54" s="1196" t="s">
        <v>1684</v>
      </c>
      <c r="B54" s="1187"/>
      <c r="C54" s="2020"/>
      <c r="D54" s="1195"/>
      <c r="E54" s="1198"/>
      <c r="F54" s="1198"/>
      <c r="G54" s="1198"/>
      <c r="H54" s="1198"/>
      <c r="I54" s="1198"/>
      <c r="J54" s="1198"/>
      <c r="K54" s="1198"/>
      <c r="L54" s="1197"/>
      <c r="P54" s="1178"/>
      <c r="Q54" s="1178"/>
    </row>
    <row r="55" spans="1:17" x14ac:dyDescent="0.15">
      <c r="A55" s="1186">
        <v>912</v>
      </c>
      <c r="B55" s="1187" t="s">
        <v>1685</v>
      </c>
      <c r="C55" s="2018"/>
      <c r="D55" s="1189"/>
      <c r="E55" s="1187">
        <f>'Input O&amp;M FERC 8-16'!O43</f>
        <v>44003.94</v>
      </c>
      <c r="F55" s="1180">
        <f>SUMIF($B$143:$B$468,$A55,F143:$L$468)</f>
        <v>6741.46</v>
      </c>
      <c r="G55" s="1180">
        <f>SUMIF($B$143:$B$468,$A55,G143:$L$468)</f>
        <v>-484.07</v>
      </c>
      <c r="H55" s="1180">
        <f>SUMIF($B$143:$B$468,$A55,H143:$L$468)</f>
        <v>8381.6200000000008</v>
      </c>
      <c r="I55" s="1180">
        <f>SUMIF($B$143:$B$468,$A55,I143:$L$468)</f>
        <v>-7380.15</v>
      </c>
      <c r="J55" s="1180">
        <f>SUMIF($B$143:$B$468,$A55,J143:$L$468)</f>
        <v>9534.9</v>
      </c>
      <c r="K55" s="1180">
        <f>SUMIF($B$143:$B$468,$A55,K143:$L$468)</f>
        <v>1945.18</v>
      </c>
      <c r="L55" s="1180">
        <f>SUMIF($B$143:$B$468,$A55,$L$143:$L$468)</f>
        <v>4209</v>
      </c>
      <c r="M55" s="1180">
        <f>SUMIF($B$143:$B$468,$A55,$M$143:$M$468)</f>
        <v>4013</v>
      </c>
      <c r="N55" s="1180">
        <f>SUMIF($B$143:$B$468,$A55,$N$143:$N$468)</f>
        <v>4121</v>
      </c>
      <c r="O55" s="1180">
        <f>SUMIF($B$143:$B$468,$A55,$O$143:$O$468)</f>
        <v>4411</v>
      </c>
      <c r="P55" s="1180">
        <f>SUMIF($B$143:$B$468,$A55,$P$143:$P$468)</f>
        <v>4295</v>
      </c>
      <c r="Q55" s="1180">
        <f>SUMIF($B$143:$B$468,$A55,$Q$143:$Q$468)</f>
        <v>4216</v>
      </c>
    </row>
    <row r="56" spans="1:17" x14ac:dyDescent="0.15">
      <c r="A56" s="1186">
        <v>913</v>
      </c>
      <c r="B56" s="1187" t="s">
        <v>236</v>
      </c>
      <c r="C56" s="2018"/>
      <c r="D56" s="1189"/>
      <c r="E56" s="1187">
        <f>'Input O&amp;M FERC 8-16'!O44</f>
        <v>85656.489999999991</v>
      </c>
      <c r="F56" s="1180">
        <f t="shared" ref="F56:K56" si="41">SUMIF($B$143:$B$468,$A56,F143:F468)</f>
        <v>1.1299999999999999</v>
      </c>
      <c r="G56" s="1180">
        <f t="shared" si="41"/>
        <v>0</v>
      </c>
      <c r="H56" s="1180">
        <f t="shared" si="41"/>
        <v>673.11</v>
      </c>
      <c r="I56" s="1180">
        <f t="shared" si="41"/>
        <v>48143.78</v>
      </c>
      <c r="J56" s="1180">
        <f t="shared" si="41"/>
        <v>0</v>
      </c>
      <c r="K56" s="1180">
        <f t="shared" si="41"/>
        <v>4501.47</v>
      </c>
      <c r="L56" s="1180">
        <f>SUMIF($B$143:$B$468,$A56,$L$143:$L$468)</f>
        <v>7514</v>
      </c>
      <c r="M56" s="1180">
        <f>SUMIF($B$143:$B$468,$A56,$M$143:$M$468)</f>
        <v>3194</v>
      </c>
      <c r="N56" s="1180">
        <f>SUMIF($B$143:$B$468,$A56,$N$143:$N$468)</f>
        <v>3233</v>
      </c>
      <c r="O56" s="1180">
        <f>SUMIF($B$143:$B$468,$A56,$O$143:$O$468)</f>
        <v>3336</v>
      </c>
      <c r="P56" s="1180">
        <f>SUMIF($B$143:$B$468,$A56,$P$143:$P$468)</f>
        <v>7544</v>
      </c>
      <c r="Q56" s="1180">
        <f>SUMIF($B$143:$B$468,$A56,$Q$143:$Q$468)</f>
        <v>7516</v>
      </c>
    </row>
    <row r="57" spans="1:17" x14ac:dyDescent="0.15">
      <c r="A57" s="1186">
        <v>916</v>
      </c>
      <c r="B57" s="1175" t="s">
        <v>1681</v>
      </c>
      <c r="C57" s="2018"/>
      <c r="D57" s="1189"/>
      <c r="E57" s="1198">
        <v>0</v>
      </c>
      <c r="F57" s="1180">
        <f t="shared" ref="F57:K57" si="42">SUMIF($B$143:$B$468,$A57,F143:F468)</f>
        <v>0</v>
      </c>
      <c r="G57" s="1180">
        <f t="shared" si="42"/>
        <v>0</v>
      </c>
      <c r="H57" s="1180">
        <f t="shared" si="42"/>
        <v>0</v>
      </c>
      <c r="I57" s="1180">
        <f t="shared" si="42"/>
        <v>0.01</v>
      </c>
      <c r="J57" s="1180">
        <f t="shared" si="42"/>
        <v>0</v>
      </c>
      <c r="K57" s="1180">
        <f t="shared" si="42"/>
        <v>0</v>
      </c>
      <c r="L57" s="1180">
        <f>SUMIF($B$143:$B$468,$A57,$L$143:$L$468)</f>
        <v>0</v>
      </c>
      <c r="M57" s="1180">
        <f>SUMIF($B$143:$B$468,$A57,$M$143:$M$468)</f>
        <v>0</v>
      </c>
      <c r="N57" s="1180">
        <f>SUMIF($B$143:$B$468,$A57,$N$143:$N$468)</f>
        <v>0</v>
      </c>
      <c r="O57" s="1180">
        <f>SUMIF($B$143:$B$468,$A57,$O$143:$O$468)</f>
        <v>0</v>
      </c>
      <c r="P57" s="1180">
        <f>SUMIF($B$143:$B$468,$A57,$P$143:$P$468)</f>
        <v>0</v>
      </c>
      <c r="Q57" s="1180">
        <f>SUMIF($B$143:$B$468,$A57,$Q$143:$Q$468)</f>
        <v>0</v>
      </c>
    </row>
    <row r="58" spans="1:17" ht="12.75" customHeight="1" x14ac:dyDescent="0.15">
      <c r="A58" s="1186"/>
      <c r="B58" s="1187"/>
      <c r="C58" s="2018"/>
      <c r="D58" s="1189"/>
      <c r="E58" s="1198"/>
      <c r="F58" s="1198"/>
      <c r="G58" s="1198"/>
      <c r="H58" s="1198"/>
      <c r="I58" s="1198"/>
      <c r="J58" s="1198"/>
      <c r="K58" s="1198"/>
      <c r="L58" s="1197"/>
      <c r="P58" s="1178"/>
      <c r="Q58" s="1178"/>
    </row>
    <row r="59" spans="1:17" x14ac:dyDescent="0.15">
      <c r="A59" s="1190" t="s">
        <v>1686</v>
      </c>
      <c r="B59" s="1187"/>
      <c r="C59" s="2018"/>
      <c r="D59" s="1189"/>
      <c r="E59" s="1198"/>
      <c r="F59" s="1198"/>
      <c r="G59" s="1198"/>
      <c r="H59" s="1198"/>
      <c r="I59" s="1198"/>
      <c r="J59" s="1198"/>
      <c r="K59" s="1198"/>
      <c r="L59" s="1197"/>
      <c r="P59" s="1178"/>
      <c r="Q59" s="1178"/>
    </row>
    <row r="60" spans="1:17" x14ac:dyDescent="0.15">
      <c r="A60" s="1186">
        <v>920</v>
      </c>
      <c r="B60" s="1187" t="s">
        <v>1687</v>
      </c>
      <c r="C60" s="2017"/>
      <c r="D60" s="1188"/>
      <c r="E60" s="1187">
        <f>'Input O&amp;M FERC 8-16'!O48</f>
        <v>4590985.55</v>
      </c>
      <c r="F60" s="1180">
        <f t="shared" ref="F60:K60" si="43">SUMIF($B$143:$B$468,$A60,F143:F468)</f>
        <v>436089.16000000003</v>
      </c>
      <c r="G60" s="1180">
        <f t="shared" si="43"/>
        <v>418662.68</v>
      </c>
      <c r="H60" s="1180">
        <f t="shared" si="43"/>
        <v>455280.12</v>
      </c>
      <c r="I60" s="1180">
        <f t="shared" si="43"/>
        <v>400756.65</v>
      </c>
      <c r="J60" s="1180">
        <f t="shared" si="43"/>
        <v>405787.87</v>
      </c>
      <c r="K60" s="1180">
        <f t="shared" si="43"/>
        <v>394799.07</v>
      </c>
      <c r="L60" s="1180">
        <f t="shared" ref="L60:L70" si="44">SUMIF($B$143:$B$468,$A60,$L$143:$L$468)</f>
        <v>352095</v>
      </c>
      <c r="M60" s="1180">
        <f t="shared" ref="M60:M70" si="45">SUMIF($B$143:$B$468,$A60,$M$143:$M$468)</f>
        <v>332518</v>
      </c>
      <c r="N60" s="1180">
        <f t="shared" ref="N60:N70" si="46">SUMIF($B$143:$B$468,$A60,$N$143:$N$468)</f>
        <v>338911</v>
      </c>
      <c r="O60" s="1180">
        <f t="shared" ref="O60:O70" si="47">SUMIF($B$143:$B$468,$A60,$O$143:$O$468)</f>
        <v>362876</v>
      </c>
      <c r="P60" s="1180">
        <f t="shared" ref="P60:P70" si="48">SUMIF($B$143:$B$468,$A60,$P$143:$P$468)</f>
        <v>351812</v>
      </c>
      <c r="Q60" s="1180">
        <f t="shared" ref="Q60:Q70" si="49">SUMIF($B$143:$B$468,$A60,$Q$143:$Q$468)</f>
        <v>341398</v>
      </c>
    </row>
    <row r="61" spans="1:17" x14ac:dyDescent="0.15">
      <c r="A61" s="1186">
        <v>921</v>
      </c>
      <c r="B61" s="1187" t="s">
        <v>1683</v>
      </c>
      <c r="C61" s="2018"/>
      <c r="D61" s="1189"/>
      <c r="E61" s="1187">
        <f>'Input O&amp;M FERC 8-16'!O35+'Input O&amp;M FERC 8-16'!O45+'Input O&amp;M FERC 8-16'!O49</f>
        <v>845435.99</v>
      </c>
      <c r="F61" s="1180">
        <f t="shared" ref="F61:K61" si="50">SUMIF($B$143:$B$468,$A61,F143:F468)</f>
        <v>63279.74</v>
      </c>
      <c r="G61" s="1180">
        <f t="shared" si="50"/>
        <v>66666.559999999998</v>
      </c>
      <c r="H61" s="1180">
        <f t="shared" si="50"/>
        <v>76457.67</v>
      </c>
      <c r="I61" s="1180">
        <f t="shared" si="50"/>
        <v>186801.75</v>
      </c>
      <c r="J61" s="1180">
        <f t="shared" si="50"/>
        <v>63008.100000000006</v>
      </c>
      <c r="K61" s="1180">
        <f t="shared" si="50"/>
        <v>60498.22</v>
      </c>
      <c r="L61" s="1180">
        <f t="shared" si="44"/>
        <v>55010</v>
      </c>
      <c r="M61" s="1180">
        <f t="shared" si="45"/>
        <v>51461</v>
      </c>
      <c r="N61" s="1180">
        <f t="shared" si="46"/>
        <v>53857</v>
      </c>
      <c r="O61" s="1180">
        <f t="shared" si="47"/>
        <v>56329</v>
      </c>
      <c r="P61" s="1180">
        <f t="shared" si="48"/>
        <v>56584</v>
      </c>
      <c r="Q61" s="1180">
        <f t="shared" si="49"/>
        <v>56063</v>
      </c>
    </row>
    <row r="62" spans="1:17" x14ac:dyDescent="0.15">
      <c r="A62" s="1186">
        <v>923</v>
      </c>
      <c r="B62" s="1187" t="s">
        <v>1585</v>
      </c>
      <c r="C62" s="2018"/>
      <c r="D62" s="1189"/>
      <c r="E62" s="1187">
        <f>'Input O&amp;M FERC 8-16'!O50</f>
        <v>6386972.1500000004</v>
      </c>
      <c r="F62" s="1180">
        <f t="shared" ref="F62:K62" si="51">SUMIF($B$143:$B$468,$A62,F143:F468)</f>
        <v>433883.19</v>
      </c>
      <c r="G62" s="1180">
        <f t="shared" si="51"/>
        <v>439102.69</v>
      </c>
      <c r="H62" s="1180">
        <f t="shared" si="51"/>
        <v>496559.16</v>
      </c>
      <c r="I62" s="1180">
        <f t="shared" si="51"/>
        <v>586490.69999999995</v>
      </c>
      <c r="J62" s="1180">
        <f t="shared" si="51"/>
        <v>428534.08</v>
      </c>
      <c r="K62" s="1180">
        <f t="shared" si="51"/>
        <v>386630.33</v>
      </c>
      <c r="L62" s="1180">
        <f t="shared" si="44"/>
        <v>601200</v>
      </c>
      <c r="M62" s="1180">
        <f t="shared" si="45"/>
        <v>576570</v>
      </c>
      <c r="N62" s="1180">
        <f t="shared" si="46"/>
        <v>590527</v>
      </c>
      <c r="O62" s="1180">
        <f t="shared" si="47"/>
        <v>629826</v>
      </c>
      <c r="P62" s="1180">
        <f t="shared" si="48"/>
        <v>613809</v>
      </c>
      <c r="Q62" s="1180">
        <f t="shared" si="49"/>
        <v>603840</v>
      </c>
    </row>
    <row r="63" spans="1:17" x14ac:dyDescent="0.15">
      <c r="A63" s="1186">
        <v>924</v>
      </c>
      <c r="B63" s="1187" t="s">
        <v>1688</v>
      </c>
      <c r="C63" s="2018"/>
      <c r="D63" s="1189"/>
      <c r="E63" s="1187">
        <f>'Input O&amp;M FERC 8-16'!O51</f>
        <v>65766.12</v>
      </c>
      <c r="F63" s="1180">
        <f t="shared" ref="F63:K63" si="52">SUMIF($B$143:$B$468,$A63,F143:F468)</f>
        <v>3617.57</v>
      </c>
      <c r="G63" s="1180">
        <f t="shared" si="52"/>
        <v>3292</v>
      </c>
      <c r="H63" s="1180">
        <f t="shared" si="52"/>
        <v>2557.71</v>
      </c>
      <c r="I63" s="1180">
        <f t="shared" si="52"/>
        <v>3292</v>
      </c>
      <c r="J63" s="1180">
        <f t="shared" si="52"/>
        <v>3134.39</v>
      </c>
      <c r="K63" s="1180">
        <f t="shared" si="52"/>
        <v>3292.45</v>
      </c>
      <c r="L63" s="1180">
        <f t="shared" si="44"/>
        <v>7480</v>
      </c>
      <c r="M63" s="1180">
        <f t="shared" si="45"/>
        <v>7480</v>
      </c>
      <c r="N63" s="1180">
        <f t="shared" si="46"/>
        <v>7638</v>
      </c>
      <c r="O63" s="1180">
        <f t="shared" si="47"/>
        <v>7480</v>
      </c>
      <c r="P63" s="1180">
        <f t="shared" si="48"/>
        <v>8251</v>
      </c>
      <c r="Q63" s="1180">
        <f t="shared" si="49"/>
        <v>8251</v>
      </c>
    </row>
    <row r="64" spans="1:17" x14ac:dyDescent="0.15">
      <c r="A64" s="1186">
        <v>925</v>
      </c>
      <c r="B64" s="1187" t="s">
        <v>1587</v>
      </c>
      <c r="C64" s="2018"/>
      <c r="D64" s="1189"/>
      <c r="E64" s="1187">
        <f>'Input O&amp;M FERC 8-16'!O52</f>
        <v>949737.06</v>
      </c>
      <c r="F64" s="1180">
        <f t="shared" ref="F64:K64" si="53">SUMIF($B$143:$B$468,$A64,F143:F468)</f>
        <v>63829.020000000004</v>
      </c>
      <c r="G64" s="1180">
        <f t="shared" si="53"/>
        <v>76542.45</v>
      </c>
      <c r="H64" s="1180">
        <f t="shared" si="53"/>
        <v>77192.53</v>
      </c>
      <c r="I64" s="1641">
        <f t="shared" si="53"/>
        <v>68393.88</v>
      </c>
      <c r="J64" s="1180">
        <f t="shared" si="53"/>
        <v>76403.17</v>
      </c>
      <c r="K64" s="1180">
        <f t="shared" si="53"/>
        <v>107407.76000000001</v>
      </c>
      <c r="L64" s="1180">
        <f t="shared" si="44"/>
        <v>77558</v>
      </c>
      <c r="M64" s="1180">
        <f t="shared" si="45"/>
        <v>77384</v>
      </c>
      <c r="N64" s="1180">
        <f t="shared" si="46"/>
        <v>78869</v>
      </c>
      <c r="O64" s="1180">
        <f t="shared" si="47"/>
        <v>77739</v>
      </c>
      <c r="P64" s="1180">
        <f t="shared" si="48"/>
        <v>84380</v>
      </c>
      <c r="Q64" s="1180">
        <f t="shared" si="49"/>
        <v>84310</v>
      </c>
    </row>
    <row r="65" spans="1:18" x14ac:dyDescent="0.15">
      <c r="A65" s="1186">
        <v>926</v>
      </c>
      <c r="B65" s="1187" t="s">
        <v>1689</v>
      </c>
      <c r="C65" s="2018"/>
      <c r="D65" s="1189"/>
      <c r="E65" s="1187">
        <f>'Input O&amp;M FERC 8-16'!O53</f>
        <v>3358562.27</v>
      </c>
      <c r="F65" s="1180">
        <f t="shared" ref="F65:K65" si="54">SUMIF($B$143:$B$468,$A65,F143:F468)</f>
        <v>230764.06000000003</v>
      </c>
      <c r="G65" s="1180">
        <f t="shared" si="54"/>
        <v>265856.99</v>
      </c>
      <c r="H65" s="1180">
        <f t="shared" si="54"/>
        <v>326929.30000000005</v>
      </c>
      <c r="I65" s="1641">
        <f t="shared" si="54"/>
        <v>253873.2</v>
      </c>
      <c r="J65" s="1180">
        <f t="shared" si="54"/>
        <v>284806.78000000003</v>
      </c>
      <c r="K65" s="1180">
        <f t="shared" si="54"/>
        <v>439722.05999999988</v>
      </c>
      <c r="L65" s="1180">
        <f t="shared" si="44"/>
        <v>245301</v>
      </c>
      <c r="M65" s="1180">
        <f t="shared" si="45"/>
        <v>246694</v>
      </c>
      <c r="N65" s="1180">
        <f t="shared" si="46"/>
        <v>247987</v>
      </c>
      <c r="O65" s="1180">
        <f t="shared" si="47"/>
        <v>274592</v>
      </c>
      <c r="P65" s="1180">
        <f t="shared" si="48"/>
        <v>275581</v>
      </c>
      <c r="Q65" s="1180">
        <f t="shared" si="49"/>
        <v>264169</v>
      </c>
    </row>
    <row r="66" spans="1:18" x14ac:dyDescent="0.15">
      <c r="A66" s="1186">
        <v>928</v>
      </c>
      <c r="B66" s="1187" t="s">
        <v>1690</v>
      </c>
      <c r="C66" s="2018"/>
      <c r="D66" s="1189"/>
      <c r="E66" s="1187">
        <f>'Input O&amp;M FERC 8-16'!O54</f>
        <v>402591.42000000004</v>
      </c>
      <c r="F66" s="1180">
        <f t="shared" ref="F66:K66" si="55">SUMIF($B$143:$B$468,$A66,F143:F468)</f>
        <v>41317.07</v>
      </c>
      <c r="G66" s="1180">
        <f t="shared" si="55"/>
        <v>41317.07</v>
      </c>
      <c r="H66" s="1180">
        <f t="shared" si="55"/>
        <v>41317.07</v>
      </c>
      <c r="I66" s="1641">
        <f t="shared" si="55"/>
        <v>41317.07</v>
      </c>
      <c r="J66" s="1180">
        <f t="shared" si="55"/>
        <v>43602.82</v>
      </c>
      <c r="K66" s="1180">
        <f t="shared" si="55"/>
        <v>41317.07</v>
      </c>
      <c r="L66" s="1180">
        <f t="shared" si="44"/>
        <v>24332</v>
      </c>
      <c r="M66" s="1180">
        <f t="shared" si="45"/>
        <v>30779</v>
      </c>
      <c r="N66" s="1180">
        <f t="shared" si="46"/>
        <v>25487</v>
      </c>
      <c r="O66" s="1180">
        <f t="shared" si="47"/>
        <v>24897</v>
      </c>
      <c r="P66" s="1180">
        <f t="shared" si="48"/>
        <v>24597</v>
      </c>
      <c r="Q66" s="1180">
        <f t="shared" si="49"/>
        <v>24597</v>
      </c>
    </row>
    <row r="67" spans="1:18" x14ac:dyDescent="0.15">
      <c r="A67" s="1186">
        <v>930</v>
      </c>
      <c r="B67" s="1187" t="s">
        <v>1592</v>
      </c>
      <c r="C67" s="2018"/>
      <c r="D67" s="1189"/>
      <c r="E67" s="1187">
        <f>'Input O&amp;M FERC 8-16'!O55</f>
        <v>-74061.290000000008</v>
      </c>
      <c r="F67" s="1180">
        <f t="shared" ref="F67:K67" si="56">SUMIF($B$143:$B$468,$A67,F143:F468)</f>
        <v>-3165.3099999999995</v>
      </c>
      <c r="G67" s="1180">
        <f t="shared" si="56"/>
        <v>6168.0099999999984</v>
      </c>
      <c r="H67" s="1180">
        <f t="shared" si="56"/>
        <v>-5840.27</v>
      </c>
      <c r="I67" s="1641">
        <f t="shared" si="56"/>
        <v>-31063.47</v>
      </c>
      <c r="J67" s="1180">
        <f t="shared" si="56"/>
        <v>-7638.25</v>
      </c>
      <c r="K67" s="1180">
        <f t="shared" si="56"/>
        <v>588.400000000001</v>
      </c>
      <c r="L67" s="1180">
        <f t="shared" si="44"/>
        <v>-7132</v>
      </c>
      <c r="M67" s="1180">
        <f t="shared" si="45"/>
        <v>-8653</v>
      </c>
      <c r="N67" s="1180">
        <f t="shared" si="46"/>
        <v>-1249</v>
      </c>
      <c r="O67" s="1180">
        <f t="shared" si="47"/>
        <v>-5415</v>
      </c>
      <c r="P67" s="1180">
        <f t="shared" si="48"/>
        <v>-3911</v>
      </c>
      <c r="Q67" s="1180">
        <f t="shared" si="49"/>
        <v>-7599</v>
      </c>
    </row>
    <row r="68" spans="1:18" x14ac:dyDescent="0.15">
      <c r="A68" s="1186">
        <v>931</v>
      </c>
      <c r="B68" s="1187" t="s">
        <v>1691</v>
      </c>
      <c r="C68" s="2018"/>
      <c r="D68" s="1189"/>
      <c r="E68" s="1187">
        <f>'Input O&amp;M FERC 8-16'!O56</f>
        <v>661434.81000000006</v>
      </c>
      <c r="F68" s="1180">
        <f t="shared" ref="F68:K68" si="57">SUMIF($B$143:$B$468,$A68,F143:F468)</f>
        <v>63869.15</v>
      </c>
      <c r="G68" s="1180">
        <f t="shared" si="57"/>
        <v>66170.570000000007</v>
      </c>
      <c r="H68" s="1180">
        <f t="shared" si="57"/>
        <v>67567.839999999997</v>
      </c>
      <c r="I68" s="1641">
        <f t="shared" si="57"/>
        <v>32902.68</v>
      </c>
      <c r="J68" s="1180">
        <f t="shared" si="57"/>
        <v>65324.27</v>
      </c>
      <c r="K68" s="1180">
        <f t="shared" si="57"/>
        <v>65399.3</v>
      </c>
      <c r="L68" s="1180">
        <f t="shared" si="44"/>
        <v>50018</v>
      </c>
      <c r="M68" s="1180">
        <f t="shared" si="45"/>
        <v>47843</v>
      </c>
      <c r="N68" s="1180">
        <f t="shared" si="46"/>
        <v>48837</v>
      </c>
      <c r="O68" s="1180">
        <f t="shared" si="47"/>
        <v>52298</v>
      </c>
      <c r="P68" s="1180">
        <f t="shared" si="48"/>
        <v>51065</v>
      </c>
      <c r="Q68" s="1180">
        <f t="shared" si="49"/>
        <v>50140</v>
      </c>
    </row>
    <row r="69" spans="1:18" x14ac:dyDescent="0.15">
      <c r="A69" s="1186">
        <v>932</v>
      </c>
      <c r="B69" s="1187" t="s">
        <v>2102</v>
      </c>
      <c r="C69" s="2018"/>
      <c r="D69" s="1189"/>
      <c r="E69" s="1187">
        <f>'Input O&amp;M FERC 8-16'!O57</f>
        <v>249236.68</v>
      </c>
      <c r="F69" s="1180">
        <f t="shared" ref="F69:K69" si="58">SUMIF($B$143:$B$468,$A69,F143:F468)</f>
        <v>18468.21</v>
      </c>
      <c r="G69" s="1180">
        <f t="shared" si="58"/>
        <v>17466.169999999998</v>
      </c>
      <c r="H69" s="1180">
        <f t="shared" si="58"/>
        <v>20090.14</v>
      </c>
      <c r="I69" s="1641">
        <f t="shared" si="58"/>
        <v>34161.17</v>
      </c>
      <c r="J69" s="1180">
        <f t="shared" si="58"/>
        <v>22451.02</v>
      </c>
      <c r="K69" s="1180">
        <f t="shared" si="58"/>
        <v>20923.97</v>
      </c>
      <c r="L69" s="1180">
        <f t="shared" si="44"/>
        <v>19160</v>
      </c>
      <c r="M69" s="1180">
        <f t="shared" si="45"/>
        <v>18378</v>
      </c>
      <c r="N69" s="1180">
        <f t="shared" si="46"/>
        <v>18884</v>
      </c>
      <c r="O69" s="1180">
        <f t="shared" si="47"/>
        <v>20190</v>
      </c>
      <c r="P69" s="1180">
        <f t="shared" si="48"/>
        <v>19666</v>
      </c>
      <c r="Q69" s="1180">
        <f t="shared" si="49"/>
        <v>19398</v>
      </c>
    </row>
    <row r="70" spans="1:18" x14ac:dyDescent="0.15">
      <c r="A70" s="1186">
        <v>935</v>
      </c>
      <c r="B70" s="1187" t="s">
        <v>425</v>
      </c>
      <c r="C70" s="2018"/>
      <c r="D70" s="1189"/>
      <c r="E70" s="1187">
        <f>'Input O&amp;M FERC 8-16'!O58</f>
        <v>139</v>
      </c>
      <c r="F70" s="1180">
        <f t="shared" ref="F70:K70" si="59">SUMIF($B$143:$B$468,$A70,F143:F468)</f>
        <v>0</v>
      </c>
      <c r="G70" s="1180">
        <f t="shared" si="59"/>
        <v>0</v>
      </c>
      <c r="H70" s="1180">
        <f t="shared" si="59"/>
        <v>0</v>
      </c>
      <c r="I70" s="1635">
        <f t="shared" si="59"/>
        <v>80</v>
      </c>
      <c r="J70" s="1180">
        <f t="shared" si="59"/>
        <v>0</v>
      </c>
      <c r="K70" s="1180">
        <f t="shared" si="59"/>
        <v>0</v>
      </c>
      <c r="L70" s="1180">
        <f t="shared" si="44"/>
        <v>6</v>
      </c>
      <c r="M70" s="1180">
        <f t="shared" si="45"/>
        <v>7</v>
      </c>
      <c r="N70" s="1180">
        <f t="shared" si="46"/>
        <v>11</v>
      </c>
      <c r="O70" s="1180">
        <f t="shared" si="47"/>
        <v>11</v>
      </c>
      <c r="P70" s="1180">
        <f t="shared" si="48"/>
        <v>12</v>
      </c>
      <c r="Q70" s="1180">
        <f t="shared" si="49"/>
        <v>12</v>
      </c>
    </row>
    <row r="71" spans="1:18" x14ac:dyDescent="0.15">
      <c r="A71" s="1186"/>
      <c r="B71" s="1187"/>
      <c r="C71" s="2018"/>
      <c r="D71" s="1189"/>
      <c r="E71" s="1198"/>
      <c r="F71" s="1198"/>
      <c r="G71" s="1198"/>
      <c r="H71" s="1198"/>
      <c r="I71" s="1198"/>
      <c r="J71" s="1198"/>
      <c r="K71" s="1198"/>
      <c r="L71" s="1180"/>
      <c r="M71" s="1180"/>
      <c r="N71" s="1180"/>
      <c r="O71" s="1180"/>
      <c r="P71" s="1180"/>
      <c r="Q71" s="1180"/>
    </row>
    <row r="72" spans="1:18" x14ac:dyDescent="0.15">
      <c r="B72" s="1175" t="s">
        <v>670</v>
      </c>
      <c r="E72" s="1180">
        <f>SUM(E9:E70)</f>
        <v>39066469.890000008</v>
      </c>
      <c r="F72" s="1174">
        <f t="shared" ref="F72:K72" si="60">SUM(F9:F70)</f>
        <v>2815928.3999999994</v>
      </c>
      <c r="G72" s="1174">
        <f t="shared" si="60"/>
        <v>2896049.9899999993</v>
      </c>
      <c r="H72" s="1174">
        <f t="shared" si="60"/>
        <v>3137525.69</v>
      </c>
      <c r="I72" s="1174">
        <f t="shared" si="60"/>
        <v>3541067.1399999992</v>
      </c>
      <c r="J72" s="1174">
        <f t="shared" si="60"/>
        <v>3080649.6799999992</v>
      </c>
      <c r="K72" s="1174">
        <f t="shared" si="60"/>
        <v>3300693.9000000004</v>
      </c>
      <c r="L72" s="1174">
        <f t="shared" ref="L72:Q72" si="61">SUM(L9:L70)</f>
        <v>3329606</v>
      </c>
      <c r="M72" s="1174">
        <f t="shared" si="61"/>
        <v>3264548</v>
      </c>
      <c r="N72" s="1174">
        <f t="shared" si="61"/>
        <v>3346676</v>
      </c>
      <c r="O72" s="1174">
        <f t="shared" si="61"/>
        <v>3493004</v>
      </c>
      <c r="P72" s="1174">
        <f t="shared" si="61"/>
        <v>3434456</v>
      </c>
      <c r="Q72" s="1174">
        <f t="shared" si="61"/>
        <v>3426268</v>
      </c>
    </row>
    <row r="73" spans="1:18" x14ac:dyDescent="0.15">
      <c r="C73" s="1112" t="s">
        <v>2119</v>
      </c>
      <c r="E73" s="1175">
        <f>E72-E135</f>
        <v>-2.9099999889731407</v>
      </c>
      <c r="F73" s="1175">
        <f t="shared" ref="F73:Q73" si="62">F72-F135</f>
        <v>0</v>
      </c>
      <c r="G73" s="1175">
        <f t="shared" si="62"/>
        <v>0</v>
      </c>
      <c r="H73" s="1175">
        <f t="shared" si="62"/>
        <v>0</v>
      </c>
      <c r="I73" s="1175">
        <f t="shared" si="62"/>
        <v>0</v>
      </c>
      <c r="J73" s="1175">
        <f t="shared" si="62"/>
        <v>0</v>
      </c>
      <c r="K73" s="1175">
        <f t="shared" si="62"/>
        <v>0</v>
      </c>
      <c r="L73" s="1175">
        <f>L72-L135</f>
        <v>0</v>
      </c>
      <c r="M73" s="1175">
        <f t="shared" si="62"/>
        <v>0</v>
      </c>
      <c r="N73" s="1175">
        <f t="shared" si="62"/>
        <v>0</v>
      </c>
      <c r="O73" s="1175">
        <f t="shared" si="62"/>
        <v>0</v>
      </c>
      <c r="P73" s="1175">
        <f t="shared" si="62"/>
        <v>0</v>
      </c>
      <c r="Q73" s="1175">
        <f t="shared" si="62"/>
        <v>0</v>
      </c>
    </row>
    <row r="75" spans="1:18" x14ac:dyDescent="0.2">
      <c r="A75" s="2153" t="s">
        <v>1692</v>
      </c>
      <c r="B75" s="2153"/>
      <c r="C75" s="2153"/>
      <c r="D75" s="2153"/>
      <c r="E75" s="2153"/>
      <c r="F75" s="2153"/>
      <c r="G75" s="2153"/>
      <c r="H75" s="2153"/>
      <c r="I75" s="2153"/>
      <c r="J75" s="2153"/>
      <c r="K75" s="2153"/>
      <c r="L75" s="2153"/>
      <c r="M75" s="2153"/>
      <c r="N75" s="2153"/>
      <c r="O75" s="2153"/>
      <c r="P75" s="2153"/>
      <c r="Q75" s="2153"/>
    </row>
    <row r="76" spans="1:18" ht="11.25" customHeight="1" x14ac:dyDescent="0.2">
      <c r="A76" s="2012"/>
      <c r="B76" s="2153"/>
      <c r="C76" s="2153"/>
      <c r="D76" s="2153"/>
      <c r="E76" s="2153"/>
      <c r="F76" s="2153"/>
      <c r="G76" s="2153"/>
      <c r="H76" s="2153"/>
      <c r="I76" s="2153"/>
      <c r="J76" s="2153"/>
      <c r="K76" s="2153"/>
      <c r="L76" s="2153"/>
      <c r="M76" s="1201"/>
      <c r="P76" s="1202"/>
      <c r="Q76" s="1202"/>
    </row>
    <row r="77" spans="1:18" ht="11.25" customHeight="1" x14ac:dyDescent="0.2">
      <c r="A77" s="2012"/>
      <c r="B77" s="1580"/>
      <c r="C77" s="2021" t="s">
        <v>2105</v>
      </c>
      <c r="D77" s="1580"/>
      <c r="E77" s="1228" t="s">
        <v>1700</v>
      </c>
      <c r="F77" s="2147" t="s">
        <v>16</v>
      </c>
      <c r="G77" s="2148"/>
      <c r="H77" s="2148"/>
      <c r="I77" s="2148"/>
      <c r="J77" s="2148"/>
      <c r="K77" s="2149"/>
      <c r="L77" s="2147" t="s">
        <v>1112</v>
      </c>
      <c r="M77" s="2148"/>
      <c r="N77" s="2148"/>
      <c r="O77" s="2148"/>
      <c r="P77" s="2148"/>
      <c r="Q77" s="2149"/>
      <c r="R77" s="1112"/>
    </row>
    <row r="78" spans="1:18" ht="13.5" x14ac:dyDescent="0.35">
      <c r="A78" s="2012"/>
      <c r="C78" s="1761" t="s">
        <v>1648</v>
      </c>
      <c r="D78" s="1204"/>
      <c r="E78" s="1185" t="s">
        <v>1194</v>
      </c>
      <c r="F78" s="1602">
        <v>42248</v>
      </c>
      <c r="G78" s="1602">
        <v>42278</v>
      </c>
      <c r="H78" s="1602">
        <v>42309</v>
      </c>
      <c r="I78" s="1602">
        <v>42339</v>
      </c>
      <c r="J78" s="1602">
        <v>42370</v>
      </c>
      <c r="K78" s="1602">
        <v>42401</v>
      </c>
      <c r="L78" s="1602">
        <f>$L$7</f>
        <v>42430</v>
      </c>
      <c r="M78" s="1602">
        <f>$M$7</f>
        <v>42461</v>
      </c>
      <c r="N78" s="1602">
        <f>$N$7</f>
        <v>42491</v>
      </c>
      <c r="O78" s="1602">
        <f>$O$7</f>
        <v>42522</v>
      </c>
      <c r="P78" s="1602">
        <f>$P$7</f>
        <v>42552</v>
      </c>
      <c r="Q78" s="1602">
        <f>$Q$7</f>
        <v>42583</v>
      </c>
      <c r="R78" s="2146"/>
    </row>
    <row r="79" spans="1:18" ht="11.25" customHeight="1" x14ac:dyDescent="0.2">
      <c r="A79" s="2013" t="s">
        <v>316</v>
      </c>
      <c r="B79" s="1175" t="s">
        <v>2052</v>
      </c>
      <c r="C79" s="1598" t="s">
        <v>2266</v>
      </c>
      <c r="D79" s="1598"/>
      <c r="E79" s="2002">
        <f>SUM(F79:Q79)</f>
        <v>8641279.9700000007</v>
      </c>
      <c r="F79" s="2002">
        <f>F164</f>
        <v>610122.46000000008</v>
      </c>
      <c r="G79" s="2002">
        <f t="shared" ref="G79:K79" si="63">G164</f>
        <v>619989.23</v>
      </c>
      <c r="H79" s="2002">
        <f t="shared" si="63"/>
        <v>733129.45000000019</v>
      </c>
      <c r="I79" s="2002">
        <f t="shared" si="63"/>
        <v>758717.2200000002</v>
      </c>
      <c r="J79" s="2002">
        <f t="shared" si="63"/>
        <v>676780.41000000015</v>
      </c>
      <c r="K79" s="2002">
        <f t="shared" si="63"/>
        <v>747748.20000000007</v>
      </c>
      <c r="L79" s="1878">
        <v>782602</v>
      </c>
      <c r="M79" s="1878">
        <v>726736</v>
      </c>
      <c r="N79" s="1878">
        <v>731224</v>
      </c>
      <c r="O79" s="1878">
        <v>783473</v>
      </c>
      <c r="P79" s="1878">
        <v>754102</v>
      </c>
      <c r="Q79" s="1878">
        <v>716656</v>
      </c>
      <c r="R79" s="2146"/>
    </row>
    <row r="80" spans="1:18" ht="11.25" customHeight="1" x14ac:dyDescent="0.2">
      <c r="A80" s="2013"/>
      <c r="C80" s="1598"/>
      <c r="D80" s="1206"/>
      <c r="E80" s="2003"/>
      <c r="F80" s="2003"/>
      <c r="G80" s="2003"/>
      <c r="H80" s="2003"/>
      <c r="I80" s="2003"/>
      <c r="J80" s="2003"/>
      <c r="K80" s="2003"/>
      <c r="L80" s="1878"/>
      <c r="M80" s="1878"/>
      <c r="N80" s="1878"/>
      <c r="O80" s="1878"/>
      <c r="P80" s="1878"/>
      <c r="Q80" s="1878"/>
      <c r="R80" s="2146"/>
    </row>
    <row r="81" spans="1:18" x14ac:dyDescent="0.2">
      <c r="A81" s="2013"/>
      <c r="B81" s="1112"/>
      <c r="C81" s="1598"/>
      <c r="D81" s="1206"/>
      <c r="E81" s="2003"/>
      <c r="F81" s="2003"/>
      <c r="G81" s="2003"/>
      <c r="H81" s="2003"/>
      <c r="I81" s="2003"/>
      <c r="J81" s="2003"/>
      <c r="K81" s="2003"/>
      <c r="L81" s="1878"/>
      <c r="M81" s="1878"/>
      <c r="N81" s="1878"/>
      <c r="O81" s="1878"/>
      <c r="P81" s="1878"/>
      <c r="Q81" s="1878"/>
      <c r="R81" s="1112"/>
    </row>
    <row r="82" spans="1:18" x14ac:dyDescent="0.2">
      <c r="A82" s="2013" t="s">
        <v>2098</v>
      </c>
      <c r="B82" s="1112"/>
      <c r="C82" s="1598"/>
      <c r="D82" s="1206"/>
      <c r="E82" s="2003"/>
      <c r="F82" s="2003"/>
      <c r="G82" s="2003"/>
      <c r="H82" s="2003"/>
      <c r="I82" s="2003"/>
      <c r="J82" s="2003"/>
      <c r="K82" s="2003"/>
      <c r="L82" s="1878"/>
      <c r="M82" s="1878"/>
      <c r="N82" s="1878"/>
      <c r="O82" s="1878"/>
      <c r="P82" s="1878"/>
      <c r="Q82" s="1878"/>
    </row>
    <row r="83" spans="1:18" x14ac:dyDescent="0.2">
      <c r="A83" s="2012"/>
      <c r="B83" s="1112" t="s">
        <v>2054</v>
      </c>
      <c r="C83" s="1598" t="s">
        <v>2000</v>
      </c>
      <c r="D83" s="1175">
        <f t="shared" ref="D83:D99" si="64">SUM(L83:Q83)</f>
        <v>156498</v>
      </c>
      <c r="E83" s="2002">
        <f>SUM(F83:Q83)</f>
        <v>337015.74</v>
      </c>
      <c r="F83" s="2002">
        <f>F402+F405+F403+F404</f>
        <v>21993</v>
      </c>
      <c r="G83" s="2002">
        <f t="shared" ref="G83:K83" si="65">G402+G405+G403+G404</f>
        <v>21993</v>
      </c>
      <c r="H83" s="2002">
        <f t="shared" si="65"/>
        <v>21993</v>
      </c>
      <c r="I83" s="2002">
        <f t="shared" si="65"/>
        <v>21934.739999999998</v>
      </c>
      <c r="J83" s="2002">
        <f t="shared" si="65"/>
        <v>46302</v>
      </c>
      <c r="K83" s="2002">
        <f t="shared" si="65"/>
        <v>46302</v>
      </c>
      <c r="L83" s="1878">
        <v>26083</v>
      </c>
      <c r="M83" s="1878">
        <v>26083</v>
      </c>
      <c r="N83" s="1878">
        <v>26083</v>
      </c>
      <c r="O83" s="1878">
        <v>26083</v>
      </c>
      <c r="P83" s="1878">
        <v>26083</v>
      </c>
      <c r="Q83" s="1878">
        <v>26083</v>
      </c>
    </row>
    <row r="84" spans="1:18" x14ac:dyDescent="0.2">
      <c r="A84" s="1112"/>
      <c r="B84" s="1112" t="s">
        <v>1693</v>
      </c>
      <c r="C84" s="1598" t="s">
        <v>1986</v>
      </c>
      <c r="D84" s="1175">
        <f t="shared" si="64"/>
        <v>594862</v>
      </c>
      <c r="E84" s="2002">
        <f t="shared" ref="E84:E99" si="66">SUM(F84:Q84)</f>
        <v>1222531.49</v>
      </c>
      <c r="F84" s="2002">
        <f>+F383+F384+F385+F386+F387+F388+F389+F390</f>
        <v>56418.41</v>
      </c>
      <c r="G84" s="2002">
        <f t="shared" ref="G84:K84" si="67">+G383+G384+G385+G386+G387+G388+G389+G390</f>
        <v>67898.720000000001</v>
      </c>
      <c r="H84" s="2002">
        <f t="shared" si="67"/>
        <v>163858.21</v>
      </c>
      <c r="I84" s="2002">
        <f t="shared" si="67"/>
        <v>84218.45</v>
      </c>
      <c r="J84" s="2002">
        <f t="shared" si="67"/>
        <v>85351.19</v>
      </c>
      <c r="K84" s="2002">
        <f t="shared" si="67"/>
        <v>169924.51</v>
      </c>
      <c r="L84" s="1878">
        <v>78316</v>
      </c>
      <c r="M84" s="1878">
        <v>89386</v>
      </c>
      <c r="N84" s="1878">
        <v>86403</v>
      </c>
      <c r="O84" s="1878">
        <v>113600</v>
      </c>
      <c r="P84" s="1878">
        <v>120446</v>
      </c>
      <c r="Q84" s="1878">
        <v>106711</v>
      </c>
    </row>
    <row r="85" spans="1:18" x14ac:dyDescent="0.2">
      <c r="A85" s="2012"/>
      <c r="B85" s="1112" t="s">
        <v>1694</v>
      </c>
      <c r="C85" s="1598" t="s">
        <v>1989</v>
      </c>
      <c r="D85" s="1175">
        <f t="shared" si="64"/>
        <v>48498</v>
      </c>
      <c r="E85" s="2002">
        <f t="shared" si="66"/>
        <v>100615.6</v>
      </c>
      <c r="F85" s="2002">
        <f>+F380</f>
        <v>7837.42</v>
      </c>
      <c r="G85" s="2002">
        <f t="shared" ref="G85:K85" si="68">+G380</f>
        <v>8043.93</v>
      </c>
      <c r="H85" s="2002">
        <f t="shared" si="68"/>
        <v>11988.35</v>
      </c>
      <c r="I85" s="2002">
        <f t="shared" si="68"/>
        <v>7972.49</v>
      </c>
      <c r="J85" s="2002">
        <f t="shared" si="68"/>
        <v>5626.98</v>
      </c>
      <c r="K85" s="2002">
        <f t="shared" si="68"/>
        <v>10648.43</v>
      </c>
      <c r="L85" s="1878">
        <v>8083</v>
      </c>
      <c r="M85" s="1878">
        <v>8083</v>
      </c>
      <c r="N85" s="1878">
        <v>8083</v>
      </c>
      <c r="O85" s="1878">
        <v>8083</v>
      </c>
      <c r="P85" s="1878">
        <v>8083</v>
      </c>
      <c r="Q85" s="1878">
        <v>8083</v>
      </c>
    </row>
    <row r="86" spans="1:18" x14ac:dyDescent="0.2">
      <c r="A86" s="2012"/>
      <c r="B86" s="1112" t="s">
        <v>1988</v>
      </c>
      <c r="C86" s="1598" t="s">
        <v>1987</v>
      </c>
      <c r="D86" s="1175">
        <f t="shared" si="64"/>
        <v>17502</v>
      </c>
      <c r="E86" s="2002">
        <f t="shared" si="66"/>
        <v>45846.87</v>
      </c>
      <c r="F86" s="2002">
        <f>+F381</f>
        <v>2239.52</v>
      </c>
      <c r="G86" s="2002">
        <f t="shared" ref="G86:K86" si="69">+G381</f>
        <v>2336.9899999999998</v>
      </c>
      <c r="H86" s="2002">
        <f t="shared" si="69"/>
        <v>5806.41</v>
      </c>
      <c r="I86" s="2002">
        <f t="shared" si="69"/>
        <v>2324.4299999999998</v>
      </c>
      <c r="J86" s="2002">
        <f t="shared" si="69"/>
        <v>1785.1</v>
      </c>
      <c r="K86" s="2002">
        <f t="shared" si="69"/>
        <v>13852.42</v>
      </c>
      <c r="L86" s="1878">
        <v>2917</v>
      </c>
      <c r="M86" s="1878">
        <v>2917</v>
      </c>
      <c r="N86" s="1878">
        <v>2917</v>
      </c>
      <c r="O86" s="1878">
        <v>2917</v>
      </c>
      <c r="P86" s="1878">
        <v>2917</v>
      </c>
      <c r="Q86" s="1878">
        <v>2917</v>
      </c>
    </row>
    <row r="87" spans="1:18" x14ac:dyDescent="0.2">
      <c r="A87" s="2012"/>
      <c r="B87" s="1112" t="s">
        <v>2055</v>
      </c>
      <c r="C87" s="1598" t="s">
        <v>1990</v>
      </c>
      <c r="D87" s="1175">
        <f t="shared" si="64"/>
        <v>45000</v>
      </c>
      <c r="E87" s="2002">
        <f t="shared" si="66"/>
        <v>83569.399999999994</v>
      </c>
      <c r="F87" s="2002">
        <f>+F382</f>
        <v>6086.2</v>
      </c>
      <c r="G87" s="2002">
        <f t="shared" ref="G87:K87" si="70">+G382</f>
        <v>6086.35</v>
      </c>
      <c r="H87" s="2002">
        <f t="shared" si="70"/>
        <v>6086.42</v>
      </c>
      <c r="I87" s="2002">
        <f t="shared" si="70"/>
        <v>6082.48</v>
      </c>
      <c r="J87" s="2002">
        <f t="shared" si="70"/>
        <v>6079.85</v>
      </c>
      <c r="K87" s="2002">
        <f t="shared" si="70"/>
        <v>8148.1</v>
      </c>
      <c r="L87" s="1878">
        <v>7500</v>
      </c>
      <c r="M87" s="1878">
        <v>7500</v>
      </c>
      <c r="N87" s="1878">
        <v>7500</v>
      </c>
      <c r="O87" s="1878">
        <v>7500</v>
      </c>
      <c r="P87" s="1878">
        <v>7500</v>
      </c>
      <c r="Q87" s="1878">
        <v>7500</v>
      </c>
    </row>
    <row r="88" spans="1:18" x14ac:dyDescent="0.2">
      <c r="A88" s="2012"/>
      <c r="B88" s="1112" t="s">
        <v>2056</v>
      </c>
      <c r="C88" s="1598" t="s">
        <v>1991</v>
      </c>
      <c r="D88" s="1175">
        <f t="shared" si="64"/>
        <v>-52002</v>
      </c>
      <c r="E88" s="2002">
        <f t="shared" si="66"/>
        <v>-111324.36</v>
      </c>
      <c r="F88" s="2002">
        <f>+SUM(F394:F397)</f>
        <v>-15590.28</v>
      </c>
      <c r="G88" s="2002">
        <f t="shared" ref="G88:K88" si="71">+SUM(G394:G397)</f>
        <v>-9952</v>
      </c>
      <c r="H88" s="2002">
        <f t="shared" si="71"/>
        <v>-12183.46</v>
      </c>
      <c r="I88" s="2002">
        <f t="shared" si="71"/>
        <v>-9953.7199999999993</v>
      </c>
      <c r="J88" s="2002">
        <f t="shared" si="71"/>
        <v>-4593</v>
      </c>
      <c r="K88" s="2002">
        <f t="shared" si="71"/>
        <v>-7049.9</v>
      </c>
      <c r="L88" s="1878">
        <v>-8667</v>
      </c>
      <c r="M88" s="1878">
        <v>-8667</v>
      </c>
      <c r="N88" s="1878">
        <v>-8667</v>
      </c>
      <c r="O88" s="1878">
        <v>-8667</v>
      </c>
      <c r="P88" s="1878">
        <v>-8667</v>
      </c>
      <c r="Q88" s="1878">
        <v>-8667</v>
      </c>
    </row>
    <row r="89" spans="1:18" x14ac:dyDescent="0.2">
      <c r="A89" s="2012"/>
      <c r="B89" s="1112" t="s">
        <v>2057</v>
      </c>
      <c r="C89" s="1598" t="s">
        <v>1999</v>
      </c>
      <c r="D89" s="1175">
        <f t="shared" si="64"/>
        <v>11004</v>
      </c>
      <c r="E89" s="2002">
        <f t="shared" si="66"/>
        <v>493197.70999999996</v>
      </c>
      <c r="F89" s="2002">
        <f>+SUM(F398:F401)</f>
        <v>78683.199999999997</v>
      </c>
      <c r="G89" s="2002">
        <f t="shared" ref="G89:K89" si="72">+SUM(G398:G401)</f>
        <v>76083.25</v>
      </c>
      <c r="H89" s="2002">
        <f t="shared" si="72"/>
        <v>94991.47</v>
      </c>
      <c r="I89" s="2002">
        <f t="shared" si="72"/>
        <v>83537.56</v>
      </c>
      <c r="J89" s="2002">
        <f t="shared" si="72"/>
        <v>57393.19</v>
      </c>
      <c r="K89" s="2002">
        <f t="shared" si="72"/>
        <v>91505.04</v>
      </c>
      <c r="L89" s="1878">
        <v>1834</v>
      </c>
      <c r="M89" s="1878">
        <v>1834</v>
      </c>
      <c r="N89" s="1878">
        <v>1834</v>
      </c>
      <c r="O89" s="1878">
        <v>1834</v>
      </c>
      <c r="P89" s="1878">
        <v>1834</v>
      </c>
      <c r="Q89" s="1878">
        <v>1834</v>
      </c>
    </row>
    <row r="90" spans="1:18" x14ac:dyDescent="0.2">
      <c r="A90" s="2012"/>
      <c r="B90" s="1112" t="s">
        <v>2058</v>
      </c>
      <c r="C90" s="1598" t="s">
        <v>1992</v>
      </c>
      <c r="D90" s="1175">
        <f t="shared" si="64"/>
        <v>0</v>
      </c>
      <c r="E90" s="2002">
        <f t="shared" si="66"/>
        <v>-105144</v>
      </c>
      <c r="F90" s="2002">
        <f>+F406</f>
        <v>0</v>
      </c>
      <c r="G90" s="2002">
        <f t="shared" ref="G90:K90" si="73">+G406</f>
        <v>0</v>
      </c>
      <c r="H90" s="2002">
        <f t="shared" si="73"/>
        <v>-105144</v>
      </c>
      <c r="I90" s="2002">
        <f t="shared" si="73"/>
        <v>0</v>
      </c>
      <c r="J90" s="2002">
        <f t="shared" si="73"/>
        <v>0</v>
      </c>
      <c r="K90" s="2002">
        <f t="shared" si="73"/>
        <v>0</v>
      </c>
      <c r="L90" s="1878">
        <v>0</v>
      </c>
      <c r="M90" s="1878">
        <v>0</v>
      </c>
      <c r="N90" s="1878">
        <v>0</v>
      </c>
      <c r="O90" s="1878">
        <v>0</v>
      </c>
      <c r="P90" s="1878">
        <v>0</v>
      </c>
      <c r="Q90" s="1878">
        <v>0</v>
      </c>
    </row>
    <row r="91" spans="1:18" x14ac:dyDescent="0.2">
      <c r="A91" s="2012"/>
      <c r="B91" s="1112" t="s">
        <v>2059</v>
      </c>
      <c r="C91" s="1598" t="s">
        <v>1993</v>
      </c>
      <c r="D91" s="1175">
        <f t="shared" si="64"/>
        <v>0</v>
      </c>
      <c r="E91" s="2002">
        <f t="shared" si="66"/>
        <v>0</v>
      </c>
      <c r="F91" s="2002">
        <f>+F407</f>
        <v>0</v>
      </c>
      <c r="G91" s="2002">
        <f t="shared" ref="G91:K91" si="74">+G407</f>
        <v>0</v>
      </c>
      <c r="H91" s="2002">
        <f t="shared" si="74"/>
        <v>0</v>
      </c>
      <c r="I91" s="2002">
        <f t="shared" si="74"/>
        <v>0</v>
      </c>
      <c r="J91" s="2002">
        <f t="shared" si="74"/>
        <v>0</v>
      </c>
      <c r="K91" s="2002">
        <f t="shared" si="74"/>
        <v>0</v>
      </c>
      <c r="L91" s="1878">
        <v>0</v>
      </c>
      <c r="M91" s="1878">
        <v>0</v>
      </c>
      <c r="N91" s="1878">
        <v>0</v>
      </c>
      <c r="O91" s="1878">
        <v>0</v>
      </c>
      <c r="P91" s="1878">
        <v>0</v>
      </c>
      <c r="Q91" s="1878">
        <v>0</v>
      </c>
    </row>
    <row r="92" spans="1:18" ht="11.25" customHeight="1" x14ac:dyDescent="0.2">
      <c r="A92" s="2013"/>
      <c r="B92" s="1112" t="s">
        <v>2053</v>
      </c>
      <c r="C92" s="1598" t="s">
        <v>1994</v>
      </c>
      <c r="D92" s="1175">
        <f t="shared" si="64"/>
        <v>36372</v>
      </c>
      <c r="E92" s="2002">
        <f t="shared" si="66"/>
        <v>74184</v>
      </c>
      <c r="F92" s="2002">
        <f>+F408</f>
        <v>6274</v>
      </c>
      <c r="G92" s="2002">
        <f t="shared" ref="G92:K92" si="75">+G408</f>
        <v>6274</v>
      </c>
      <c r="H92" s="2002">
        <f t="shared" si="75"/>
        <v>6274</v>
      </c>
      <c r="I92" s="2002">
        <f t="shared" si="75"/>
        <v>6260</v>
      </c>
      <c r="J92" s="2002">
        <f t="shared" si="75"/>
        <v>6365</v>
      </c>
      <c r="K92" s="2002">
        <f t="shared" si="75"/>
        <v>6365</v>
      </c>
      <c r="L92" s="1878">
        <v>6062</v>
      </c>
      <c r="M92" s="1878">
        <v>6062</v>
      </c>
      <c r="N92" s="1878">
        <v>6062</v>
      </c>
      <c r="O92" s="1878">
        <v>6062</v>
      </c>
      <c r="P92" s="1878">
        <v>6062</v>
      </c>
      <c r="Q92" s="1878">
        <v>6062</v>
      </c>
    </row>
    <row r="93" spans="1:18" x14ac:dyDescent="0.2">
      <c r="A93" s="2012"/>
      <c r="B93" s="1112" t="s">
        <v>2060</v>
      </c>
      <c r="C93" s="1598" t="s">
        <v>1995</v>
      </c>
      <c r="D93" s="1175">
        <f t="shared" si="64"/>
        <v>-41502</v>
      </c>
      <c r="E93" s="2002">
        <f t="shared" si="66"/>
        <v>-75603.399999999994</v>
      </c>
      <c r="F93" s="2002">
        <f>+SUM(F391:F393)</f>
        <v>-6747</v>
      </c>
      <c r="G93" s="2002">
        <f t="shared" ref="G93:K93" si="76">+SUM(G391:G393)</f>
        <v>-6747</v>
      </c>
      <c r="H93" s="2002">
        <f t="shared" si="76"/>
        <v>-6747</v>
      </c>
      <c r="I93" s="2002">
        <f t="shared" si="76"/>
        <v>-6748.4</v>
      </c>
      <c r="J93" s="2002">
        <f t="shared" si="76"/>
        <v>-3556</v>
      </c>
      <c r="K93" s="2002">
        <f t="shared" si="76"/>
        <v>-3556</v>
      </c>
      <c r="L93" s="1878">
        <v>-6917</v>
      </c>
      <c r="M93" s="1878">
        <v>-6917</v>
      </c>
      <c r="N93" s="1878">
        <v>-6917</v>
      </c>
      <c r="O93" s="1878">
        <v>-6917</v>
      </c>
      <c r="P93" s="1878">
        <v>-6917</v>
      </c>
      <c r="Q93" s="1878">
        <v>-6917</v>
      </c>
    </row>
    <row r="94" spans="1:18" x14ac:dyDescent="0.2">
      <c r="A94" s="2012"/>
      <c r="B94" s="1112" t="s">
        <v>2061</v>
      </c>
      <c r="C94" s="1598" t="s">
        <v>1996</v>
      </c>
      <c r="D94" s="1175">
        <f t="shared" si="64"/>
        <v>282120</v>
      </c>
      <c r="E94" s="2002">
        <f t="shared" si="66"/>
        <v>283563.33</v>
      </c>
      <c r="F94" s="2002">
        <f>+F409</f>
        <v>0</v>
      </c>
      <c r="G94" s="2002">
        <f t="shared" ref="G94:K94" si="77">+G409</f>
        <v>706.11</v>
      </c>
      <c r="H94" s="2002">
        <f t="shared" si="77"/>
        <v>0</v>
      </c>
      <c r="I94" s="2002">
        <f t="shared" si="77"/>
        <v>0</v>
      </c>
      <c r="J94" s="2002">
        <f t="shared" si="77"/>
        <v>737.22</v>
      </c>
      <c r="K94" s="2002">
        <f t="shared" si="77"/>
        <v>0</v>
      </c>
      <c r="L94" s="1878">
        <v>47020</v>
      </c>
      <c r="M94" s="1878">
        <v>47020</v>
      </c>
      <c r="N94" s="1878">
        <v>47020</v>
      </c>
      <c r="O94" s="1878">
        <v>47020</v>
      </c>
      <c r="P94" s="1878">
        <v>47020</v>
      </c>
      <c r="Q94" s="1878">
        <v>47020</v>
      </c>
    </row>
    <row r="95" spans="1:18" x14ac:dyDescent="0.2">
      <c r="A95" s="2012"/>
      <c r="B95" s="1112" t="s">
        <v>2062</v>
      </c>
      <c r="C95" s="1598" t="s">
        <v>226</v>
      </c>
      <c r="D95" s="1175">
        <f t="shared" si="64"/>
        <v>-245740</v>
      </c>
      <c r="E95" s="2002">
        <f t="shared" si="66"/>
        <v>-530802.89</v>
      </c>
      <c r="F95" s="2002">
        <f t="shared" ref="F95:K99" si="78">+F410</f>
        <v>-37787.410000000003</v>
      </c>
      <c r="G95" s="2002">
        <f t="shared" si="78"/>
        <v>-41951.92</v>
      </c>
      <c r="H95" s="2002">
        <f t="shared" si="78"/>
        <v>-39269.32</v>
      </c>
      <c r="I95" s="2002">
        <f t="shared" si="78"/>
        <v>-42200.99</v>
      </c>
      <c r="J95" s="2002">
        <f t="shared" si="78"/>
        <v>-39414.81</v>
      </c>
      <c r="K95" s="2002">
        <f t="shared" si="78"/>
        <v>-84438.44</v>
      </c>
      <c r="L95" s="1878">
        <v>-33817</v>
      </c>
      <c r="M95" s="1878">
        <v>-37612</v>
      </c>
      <c r="N95" s="1878">
        <v>-36589</v>
      </c>
      <c r="O95" s="1878">
        <v>-45912</v>
      </c>
      <c r="P95" s="1878">
        <v>-48259</v>
      </c>
      <c r="Q95" s="1878">
        <v>-43551</v>
      </c>
    </row>
    <row r="96" spans="1:18" x14ac:dyDescent="0.2">
      <c r="A96" s="2012"/>
      <c r="B96" s="1112" t="s">
        <v>2124</v>
      </c>
      <c r="C96" s="1598" t="s">
        <v>2126</v>
      </c>
      <c r="D96" s="1175">
        <f t="shared" si="64"/>
        <v>17826</v>
      </c>
      <c r="E96" s="2002">
        <f t="shared" si="66"/>
        <v>17826</v>
      </c>
      <c r="F96" s="2002">
        <f t="shared" si="78"/>
        <v>0</v>
      </c>
      <c r="G96" s="2002">
        <f t="shared" si="78"/>
        <v>0</v>
      </c>
      <c r="H96" s="2002">
        <f t="shared" si="78"/>
        <v>0</v>
      </c>
      <c r="I96" s="2002">
        <f t="shared" si="78"/>
        <v>0</v>
      </c>
      <c r="J96" s="2002">
        <f t="shared" si="78"/>
        <v>0</v>
      </c>
      <c r="K96" s="2002">
        <f t="shared" si="78"/>
        <v>0</v>
      </c>
      <c r="L96" s="1878">
        <v>2971</v>
      </c>
      <c r="M96" s="1878">
        <v>2971</v>
      </c>
      <c r="N96" s="1878">
        <v>2971</v>
      </c>
      <c r="O96" s="1878">
        <v>2971</v>
      </c>
      <c r="P96" s="1878">
        <v>2971</v>
      </c>
      <c r="Q96" s="1878">
        <v>2971</v>
      </c>
    </row>
    <row r="97" spans="1:17" x14ac:dyDescent="0.2">
      <c r="A97" s="2012"/>
      <c r="B97" s="1175" t="s">
        <v>2125</v>
      </c>
      <c r="C97" s="1598" t="s">
        <v>2127</v>
      </c>
      <c r="D97" s="1175">
        <f t="shared" si="64"/>
        <v>14226</v>
      </c>
      <c r="E97" s="2002">
        <f t="shared" si="66"/>
        <v>14226</v>
      </c>
      <c r="F97" s="2002">
        <f t="shared" si="78"/>
        <v>0</v>
      </c>
      <c r="G97" s="2002">
        <f t="shared" si="78"/>
        <v>0</v>
      </c>
      <c r="H97" s="2002">
        <f t="shared" si="78"/>
        <v>0</v>
      </c>
      <c r="I97" s="2002">
        <f t="shared" si="78"/>
        <v>0</v>
      </c>
      <c r="J97" s="2002">
        <f t="shared" si="78"/>
        <v>0</v>
      </c>
      <c r="K97" s="2002">
        <f t="shared" si="78"/>
        <v>0</v>
      </c>
      <c r="L97" s="1878">
        <v>2371</v>
      </c>
      <c r="M97" s="1878">
        <v>2371</v>
      </c>
      <c r="N97" s="1878">
        <v>2371</v>
      </c>
      <c r="O97" s="1878">
        <v>2371</v>
      </c>
      <c r="P97" s="1878">
        <v>2371</v>
      </c>
      <c r="Q97" s="1878">
        <v>2371</v>
      </c>
    </row>
    <row r="98" spans="1:17" ht="10.5" customHeight="1" x14ac:dyDescent="0.2">
      <c r="A98" s="2012"/>
      <c r="B98" s="1175" t="s">
        <v>2063</v>
      </c>
      <c r="C98" s="1598" t="s">
        <v>1997</v>
      </c>
      <c r="D98" s="1175">
        <f t="shared" si="64"/>
        <v>-53646</v>
      </c>
      <c r="E98" s="2002">
        <f t="shared" si="66"/>
        <v>-118715.37</v>
      </c>
      <c r="F98" s="2002">
        <f t="shared" si="78"/>
        <v>-9005.4</v>
      </c>
      <c r="G98" s="2002">
        <f t="shared" si="78"/>
        <v>-8569.36</v>
      </c>
      <c r="H98" s="2002">
        <f t="shared" si="78"/>
        <v>-8117.27</v>
      </c>
      <c r="I98" s="2002">
        <f t="shared" si="78"/>
        <v>-7714.51</v>
      </c>
      <c r="J98" s="2002">
        <f t="shared" si="78"/>
        <v>-15873.77</v>
      </c>
      <c r="K98" s="2002">
        <f t="shared" si="78"/>
        <v>-15789.06</v>
      </c>
      <c r="L98" s="1878">
        <v>-8941</v>
      </c>
      <c r="M98" s="1878">
        <v>-8941</v>
      </c>
      <c r="N98" s="1878">
        <v>-8941</v>
      </c>
      <c r="O98" s="1878">
        <v>-8941</v>
      </c>
      <c r="P98" s="1878">
        <v>-8941</v>
      </c>
      <c r="Q98" s="1878">
        <v>-8941</v>
      </c>
    </row>
    <row r="99" spans="1:17" x14ac:dyDescent="0.2">
      <c r="A99" s="2012"/>
      <c r="B99" s="1175" t="s">
        <v>2064</v>
      </c>
      <c r="C99" s="1598" t="s">
        <v>1998</v>
      </c>
      <c r="D99" s="1175">
        <f t="shared" si="64"/>
        <v>-96708</v>
      </c>
      <c r="E99" s="2002">
        <f t="shared" si="66"/>
        <v>-191282.45</v>
      </c>
      <c r="F99" s="2002">
        <f t="shared" si="78"/>
        <v>-15906.22</v>
      </c>
      <c r="G99" s="2002">
        <f t="shared" si="78"/>
        <v>-15626.17</v>
      </c>
      <c r="H99" s="2002">
        <f t="shared" si="78"/>
        <v>-20474.91</v>
      </c>
      <c r="I99" s="2002">
        <f t="shared" si="78"/>
        <v>-18094.419999999998</v>
      </c>
      <c r="J99" s="2002">
        <f t="shared" si="78"/>
        <v>-10231.42</v>
      </c>
      <c r="K99" s="2002">
        <f t="shared" si="78"/>
        <v>-14241.31</v>
      </c>
      <c r="L99" s="1878">
        <v>-16118</v>
      </c>
      <c r="M99" s="1878">
        <v>-16118</v>
      </c>
      <c r="N99" s="1878">
        <v>-16118</v>
      </c>
      <c r="O99" s="1878">
        <v>-16118</v>
      </c>
      <c r="P99" s="1878">
        <v>-16118</v>
      </c>
      <c r="Q99" s="1878">
        <v>-16118</v>
      </c>
    </row>
    <row r="100" spans="1:17" x14ac:dyDescent="0.15">
      <c r="A100" s="2012"/>
      <c r="B100" s="1194"/>
      <c r="C100" s="1574"/>
      <c r="D100" s="1574"/>
      <c r="E100" s="1564"/>
      <c r="F100" s="1564"/>
      <c r="G100" s="1564"/>
      <c r="H100" s="1564"/>
      <c r="I100" s="1564"/>
      <c r="J100" s="1564"/>
      <c r="K100" s="1564"/>
      <c r="L100" s="1564"/>
      <c r="M100" s="1564"/>
      <c r="N100" s="1564"/>
      <c r="O100" s="1564"/>
      <c r="P100" s="1564"/>
      <c r="Q100" s="1564"/>
    </row>
    <row r="101" spans="1:17" x14ac:dyDescent="0.2">
      <c r="A101" s="1574" t="s">
        <v>2099</v>
      </c>
      <c r="B101" s="1194"/>
      <c r="C101" s="1599"/>
      <c r="D101" s="1599"/>
      <c r="E101" s="2004"/>
      <c r="F101" s="2004"/>
      <c r="G101" s="2004"/>
      <c r="H101" s="2004"/>
      <c r="I101" s="2004"/>
      <c r="J101" s="2004"/>
      <c r="K101" s="2004"/>
      <c r="L101" s="1880"/>
      <c r="M101" s="1880"/>
      <c r="N101" s="1880"/>
      <c r="O101" s="1880"/>
      <c r="P101" s="1880"/>
      <c r="Q101" s="1880"/>
    </row>
    <row r="102" spans="1:17" x14ac:dyDescent="0.2">
      <c r="A102" s="2012"/>
      <c r="B102" s="1194" t="s">
        <v>2065</v>
      </c>
      <c r="C102" s="1599" t="s">
        <v>2001</v>
      </c>
      <c r="D102" s="1599"/>
      <c r="E102" s="2002">
        <f>SUM(F102:Q102)</f>
        <v>15900947.359999999</v>
      </c>
      <c r="F102" s="2002">
        <f>+F327</f>
        <v>1239159.3899999999</v>
      </c>
      <c r="G102" s="2002">
        <f t="shared" ref="G102:K102" si="79">+G327</f>
        <v>1264520.51</v>
      </c>
      <c r="H102" s="2002">
        <f t="shared" si="79"/>
        <v>1436607.1099999999</v>
      </c>
      <c r="I102" s="2002">
        <f t="shared" si="79"/>
        <v>1441488.1099999999</v>
      </c>
      <c r="J102" s="2002">
        <f t="shared" si="79"/>
        <v>1228550.6000000003</v>
      </c>
      <c r="K102" s="2002">
        <f t="shared" si="79"/>
        <v>1205777.6399999999</v>
      </c>
      <c r="L102" s="1878">
        <v>1346785</v>
      </c>
      <c r="M102" s="1878">
        <v>1284241</v>
      </c>
      <c r="N102" s="1878">
        <v>1318831</v>
      </c>
      <c r="O102" s="1878">
        <v>1411659</v>
      </c>
      <c r="P102" s="1878">
        <v>1374341</v>
      </c>
      <c r="Q102" s="1878">
        <v>1348987</v>
      </c>
    </row>
    <row r="103" spans="1:17" x14ac:dyDescent="0.2">
      <c r="A103" s="2012"/>
      <c r="B103" s="1194" t="s">
        <v>2066</v>
      </c>
      <c r="C103" s="1599" t="s">
        <v>2002</v>
      </c>
      <c r="D103" s="1599"/>
      <c r="E103" s="2002">
        <f>SUM(F103:Q103)</f>
        <v>0</v>
      </c>
      <c r="F103" s="2002"/>
      <c r="G103" s="2002"/>
      <c r="H103" s="2002"/>
      <c r="I103" s="2002"/>
      <c r="J103" s="2002"/>
      <c r="K103" s="2002"/>
      <c r="L103" s="1878">
        <v>0</v>
      </c>
      <c r="M103" s="1878">
        <v>0</v>
      </c>
      <c r="N103" s="1878">
        <v>0</v>
      </c>
      <c r="O103" s="1878">
        <v>0</v>
      </c>
      <c r="P103" s="1878">
        <v>0</v>
      </c>
      <c r="Q103" s="1878">
        <v>0</v>
      </c>
    </row>
    <row r="104" spans="1:17" x14ac:dyDescent="0.15">
      <c r="A104" s="2012"/>
      <c r="B104" s="1194"/>
      <c r="C104" s="1574"/>
      <c r="D104" s="1574"/>
      <c r="E104" s="1564"/>
      <c r="F104" s="1564"/>
      <c r="G104" s="1564"/>
      <c r="H104" s="1564"/>
      <c r="I104" s="1564"/>
      <c r="J104" s="1564"/>
      <c r="K104" s="1564"/>
      <c r="L104" s="1564"/>
      <c r="M104" s="1564"/>
      <c r="N104" s="1564"/>
      <c r="O104" s="1564"/>
      <c r="P104" s="1564"/>
      <c r="Q104" s="1564"/>
    </row>
    <row r="105" spans="1:17" x14ac:dyDescent="0.2">
      <c r="A105" s="2012"/>
      <c r="B105" s="1194" t="s">
        <v>2067</v>
      </c>
      <c r="C105" s="1599" t="s">
        <v>2003</v>
      </c>
      <c r="D105" s="1599"/>
      <c r="E105" s="2002">
        <f>SUM(F105:Q105)</f>
        <v>1895204.77</v>
      </c>
      <c r="F105" s="2002">
        <f>+F185</f>
        <v>132576</v>
      </c>
      <c r="G105" s="2002">
        <f t="shared" ref="G105:K105" si="80">+G185</f>
        <v>141393.80000000002</v>
      </c>
      <c r="H105" s="2002">
        <f t="shared" si="80"/>
        <v>168161.02</v>
      </c>
      <c r="I105" s="2002">
        <f t="shared" si="80"/>
        <v>236305.65999999997</v>
      </c>
      <c r="J105" s="2002">
        <f t="shared" si="80"/>
        <v>122471.25</v>
      </c>
      <c r="K105" s="2002">
        <f t="shared" si="80"/>
        <v>146245.04</v>
      </c>
      <c r="L105" s="1878">
        <v>141977</v>
      </c>
      <c r="M105" s="1878">
        <v>158772</v>
      </c>
      <c r="N105" s="1878">
        <v>151356</v>
      </c>
      <c r="O105" s="1878">
        <v>171969</v>
      </c>
      <c r="P105" s="1878">
        <v>175926</v>
      </c>
      <c r="Q105" s="1878">
        <v>148052</v>
      </c>
    </row>
    <row r="106" spans="1:17" x14ac:dyDescent="0.2">
      <c r="A106" s="2012"/>
      <c r="B106" s="1194" t="s">
        <v>2068</v>
      </c>
      <c r="C106" s="1599" t="s">
        <v>2004</v>
      </c>
      <c r="D106" s="1599"/>
      <c r="E106" s="2002">
        <f t="shared" ref="E106:E133" si="81">SUM(F106:Q106)</f>
        <v>31614.06</v>
      </c>
      <c r="F106" s="2002">
        <f>+F222</f>
        <v>8627.2800000000007</v>
      </c>
      <c r="G106" s="2002">
        <f t="shared" ref="G106:K106" si="82">+G222</f>
        <v>-3354.84</v>
      </c>
      <c r="H106" s="2002">
        <f t="shared" si="82"/>
        <v>23646.03</v>
      </c>
      <c r="I106" s="2002">
        <f t="shared" si="82"/>
        <v>-12266.27</v>
      </c>
      <c r="J106" s="2002">
        <f t="shared" si="82"/>
        <v>1775.29</v>
      </c>
      <c r="K106" s="2002">
        <f t="shared" si="82"/>
        <v>9808.57</v>
      </c>
      <c r="L106" s="1878">
        <v>563</v>
      </c>
      <c r="M106" s="1878">
        <v>563</v>
      </c>
      <c r="N106" s="1878">
        <v>563</v>
      </c>
      <c r="O106" s="1878">
        <v>563</v>
      </c>
      <c r="P106" s="1878">
        <v>563</v>
      </c>
      <c r="Q106" s="1878">
        <v>563</v>
      </c>
    </row>
    <row r="107" spans="1:17" x14ac:dyDescent="0.2">
      <c r="A107" s="2012"/>
      <c r="B107" s="1194" t="s">
        <v>205</v>
      </c>
      <c r="C107" s="1599" t="s">
        <v>2005</v>
      </c>
      <c r="D107" s="1599"/>
      <c r="E107" s="2002">
        <f t="shared" si="81"/>
        <v>79230.19</v>
      </c>
      <c r="F107" s="2002">
        <f>+F423</f>
        <v>0</v>
      </c>
      <c r="G107" s="2002">
        <f t="shared" ref="G107:K107" si="83">+G423</f>
        <v>0</v>
      </c>
      <c r="H107" s="2002">
        <f t="shared" si="83"/>
        <v>0</v>
      </c>
      <c r="I107" s="2002">
        <f t="shared" si="83"/>
        <v>51732.19</v>
      </c>
      <c r="J107" s="2002">
        <f t="shared" si="83"/>
        <v>0</v>
      </c>
      <c r="K107" s="2002">
        <f t="shared" si="83"/>
        <v>0</v>
      </c>
      <c r="L107" s="1878">
        <v>7083</v>
      </c>
      <c r="M107" s="1878">
        <v>2083</v>
      </c>
      <c r="N107" s="1878">
        <v>2083</v>
      </c>
      <c r="O107" s="1878">
        <v>2083</v>
      </c>
      <c r="P107" s="1878">
        <v>7083</v>
      </c>
      <c r="Q107" s="1878">
        <v>7083</v>
      </c>
    </row>
    <row r="108" spans="1:17" x14ac:dyDescent="0.2">
      <c r="A108" s="2012"/>
      <c r="B108" s="1194" t="s">
        <v>2069</v>
      </c>
      <c r="C108" s="1599" t="s">
        <v>2006</v>
      </c>
      <c r="D108" s="1599"/>
      <c r="E108" s="2002">
        <f t="shared" si="81"/>
        <v>0</v>
      </c>
      <c r="F108" s="2002">
        <f>+F224</f>
        <v>0</v>
      </c>
      <c r="G108" s="2002">
        <f t="shared" ref="G108:K108" si="84">+G224</f>
        <v>0</v>
      </c>
      <c r="H108" s="2002">
        <f t="shared" si="84"/>
        <v>0</v>
      </c>
      <c r="I108" s="2002">
        <f t="shared" si="84"/>
        <v>0</v>
      </c>
      <c r="J108" s="2002">
        <f t="shared" si="84"/>
        <v>0</v>
      </c>
      <c r="K108" s="2002">
        <f t="shared" si="84"/>
        <v>0</v>
      </c>
      <c r="L108" s="1878">
        <v>0</v>
      </c>
      <c r="M108" s="1878">
        <v>0</v>
      </c>
      <c r="N108" s="1878">
        <v>0</v>
      </c>
      <c r="O108" s="1878">
        <v>0</v>
      </c>
      <c r="P108" s="1878">
        <v>0</v>
      </c>
      <c r="Q108" s="1878">
        <v>0</v>
      </c>
    </row>
    <row r="109" spans="1:17" x14ac:dyDescent="0.2">
      <c r="A109" s="2012"/>
      <c r="B109" s="1194" t="s">
        <v>2070</v>
      </c>
      <c r="C109" s="1599" t="s">
        <v>2007</v>
      </c>
      <c r="D109" s="1599"/>
      <c r="E109" s="2002">
        <f t="shared" si="81"/>
        <v>142906</v>
      </c>
      <c r="F109" s="2002">
        <f>+F215</f>
        <v>11317</v>
      </c>
      <c r="G109" s="2002">
        <f t="shared" ref="G109:K109" si="85">+G215</f>
        <v>10174</v>
      </c>
      <c r="H109" s="2002">
        <f t="shared" si="85"/>
        <v>10174</v>
      </c>
      <c r="I109" s="2002">
        <f t="shared" si="85"/>
        <v>10174</v>
      </c>
      <c r="J109" s="2002">
        <f t="shared" si="85"/>
        <v>11511</v>
      </c>
      <c r="K109" s="2002">
        <f t="shared" si="85"/>
        <v>10368</v>
      </c>
      <c r="L109" s="1878">
        <v>13198</v>
      </c>
      <c r="M109" s="1878">
        <v>13198</v>
      </c>
      <c r="N109" s="1878">
        <v>13198</v>
      </c>
      <c r="O109" s="1878">
        <v>13198</v>
      </c>
      <c r="P109" s="1878">
        <v>13198</v>
      </c>
      <c r="Q109" s="1878">
        <v>13198</v>
      </c>
    </row>
    <row r="110" spans="1:17" x14ac:dyDescent="0.2">
      <c r="A110" s="2012"/>
      <c r="B110" s="1194" t="s">
        <v>2071</v>
      </c>
      <c r="C110" s="1599" t="s">
        <v>2008</v>
      </c>
      <c r="D110" s="1599"/>
      <c r="E110" s="2002">
        <f t="shared" si="81"/>
        <v>5240404.24</v>
      </c>
      <c r="F110" s="2002">
        <f>+F210</f>
        <v>327691.77</v>
      </c>
      <c r="G110" s="2002">
        <f t="shared" ref="G110:K110" si="86">+G210</f>
        <v>365595.73999999993</v>
      </c>
      <c r="H110" s="2002">
        <f t="shared" si="86"/>
        <v>395660.34</v>
      </c>
      <c r="I110" s="2002">
        <f t="shared" si="86"/>
        <v>562257.85999999975</v>
      </c>
      <c r="J110" s="2002">
        <f t="shared" si="86"/>
        <v>251394.95</v>
      </c>
      <c r="K110" s="2002">
        <f t="shared" si="86"/>
        <v>307454.57999999996</v>
      </c>
      <c r="L110" s="1878">
        <v>378940</v>
      </c>
      <c r="M110" s="1878">
        <v>484161</v>
      </c>
      <c r="N110" s="1878">
        <v>512547</v>
      </c>
      <c r="O110" s="1878">
        <v>522559</v>
      </c>
      <c r="P110" s="1878">
        <v>516763</v>
      </c>
      <c r="Q110" s="1878">
        <v>615379</v>
      </c>
    </row>
    <row r="111" spans="1:17" x14ac:dyDescent="0.2">
      <c r="A111" s="2012"/>
      <c r="B111" s="1194" t="s">
        <v>2128</v>
      </c>
      <c r="C111" s="1599" t="s">
        <v>2129</v>
      </c>
      <c r="D111" s="1599"/>
      <c r="E111" s="2002">
        <f t="shared" si="81"/>
        <v>85893</v>
      </c>
      <c r="F111" s="2002">
        <f>+F212</f>
        <v>8753</v>
      </c>
      <c r="G111" s="2002">
        <f t="shared" ref="G111:K111" si="87">+G212</f>
        <v>8753</v>
      </c>
      <c r="H111" s="2002">
        <f t="shared" si="87"/>
        <v>8753</v>
      </c>
      <c r="I111" s="2002">
        <f t="shared" si="87"/>
        <v>0</v>
      </c>
      <c r="J111" s="2002">
        <f t="shared" si="87"/>
        <v>0</v>
      </c>
      <c r="K111" s="2002">
        <f t="shared" si="87"/>
        <v>0</v>
      </c>
      <c r="L111" s="1878">
        <v>9939</v>
      </c>
      <c r="M111" s="1878">
        <v>9939</v>
      </c>
      <c r="N111" s="1878">
        <v>9939</v>
      </c>
      <c r="O111" s="1878">
        <v>9939</v>
      </c>
      <c r="P111" s="1878">
        <v>9939</v>
      </c>
      <c r="Q111" s="1878">
        <v>9939</v>
      </c>
    </row>
    <row r="112" spans="1:17" x14ac:dyDescent="0.2">
      <c r="A112" s="2012"/>
      <c r="B112" s="1194" t="s">
        <v>2072</v>
      </c>
      <c r="C112" s="1599" t="s">
        <v>2009</v>
      </c>
      <c r="D112" s="1599"/>
      <c r="E112" s="2002">
        <f t="shared" si="81"/>
        <v>402754.41000000003</v>
      </c>
      <c r="F112" s="2002">
        <f>+F271</f>
        <v>19785.3</v>
      </c>
      <c r="G112" s="2002">
        <f t="shared" ref="G112:K112" si="88">+G271</f>
        <v>29100.06</v>
      </c>
      <c r="H112" s="2002">
        <f t="shared" si="88"/>
        <v>31913.54</v>
      </c>
      <c r="I112" s="2002">
        <f t="shared" si="88"/>
        <v>40066.78</v>
      </c>
      <c r="J112" s="2002">
        <f t="shared" si="88"/>
        <v>20627.57</v>
      </c>
      <c r="K112" s="2002">
        <f t="shared" si="88"/>
        <v>17955.16</v>
      </c>
      <c r="L112" s="1878">
        <v>39123</v>
      </c>
      <c r="M112" s="1878">
        <v>36128</v>
      </c>
      <c r="N112" s="1878">
        <v>41662</v>
      </c>
      <c r="O112" s="1878">
        <v>42590</v>
      </c>
      <c r="P112" s="1878">
        <v>38038</v>
      </c>
      <c r="Q112" s="1878">
        <v>45765</v>
      </c>
    </row>
    <row r="113" spans="1:17" x14ac:dyDescent="0.2">
      <c r="A113" s="2012"/>
      <c r="B113" s="1194" t="s">
        <v>196</v>
      </c>
      <c r="C113" s="1599" t="s">
        <v>2010</v>
      </c>
      <c r="D113" s="1599"/>
      <c r="E113" s="2002">
        <f t="shared" si="81"/>
        <v>389000</v>
      </c>
      <c r="F113" s="2002">
        <f>+F333</f>
        <v>25000</v>
      </c>
      <c r="G113" s="2002">
        <f t="shared" ref="G113:K113" si="89">+G333</f>
        <v>22000</v>
      </c>
      <c r="H113" s="2002">
        <f t="shared" si="89"/>
        <v>-62000</v>
      </c>
      <c r="I113" s="2002">
        <f t="shared" si="89"/>
        <v>-129000</v>
      </c>
      <c r="J113" s="2002">
        <f t="shared" si="89"/>
        <v>103000</v>
      </c>
      <c r="K113" s="2002">
        <f t="shared" si="89"/>
        <v>81000</v>
      </c>
      <c r="L113" s="1878">
        <v>93000</v>
      </c>
      <c r="M113" s="1878">
        <v>72000</v>
      </c>
      <c r="N113" s="1878">
        <v>56000</v>
      </c>
      <c r="O113" s="1878">
        <v>44000</v>
      </c>
      <c r="P113" s="1878">
        <v>42000</v>
      </c>
      <c r="Q113" s="1878">
        <v>42000</v>
      </c>
    </row>
    <row r="114" spans="1:17" x14ac:dyDescent="0.2">
      <c r="A114" s="2012"/>
      <c r="B114" s="1194" t="s">
        <v>2073</v>
      </c>
      <c r="C114" s="1599" t="s">
        <v>2011</v>
      </c>
      <c r="D114" s="1599"/>
      <c r="E114" s="2002">
        <f t="shared" si="81"/>
        <v>361529.23</v>
      </c>
      <c r="F114" s="2002">
        <f>+F335</f>
        <v>6424.35</v>
      </c>
      <c r="G114" s="2002">
        <f t="shared" ref="G114:K114" si="90">+G335</f>
        <v>17261.16</v>
      </c>
      <c r="H114" s="2002">
        <f t="shared" si="90"/>
        <v>33306.79</v>
      </c>
      <c r="I114" s="2002">
        <f t="shared" si="90"/>
        <v>42695.01</v>
      </c>
      <c r="J114" s="2002">
        <f t="shared" si="90"/>
        <v>86655.35</v>
      </c>
      <c r="K114" s="2002">
        <f t="shared" si="90"/>
        <v>69478.570000000007</v>
      </c>
      <c r="L114" s="1878">
        <v>52713</v>
      </c>
      <c r="M114" s="1878">
        <v>24477</v>
      </c>
      <c r="N114" s="1878">
        <v>11940</v>
      </c>
      <c r="O114" s="1878">
        <v>5448</v>
      </c>
      <c r="P114" s="1878">
        <v>6365</v>
      </c>
      <c r="Q114" s="1878">
        <v>4765</v>
      </c>
    </row>
    <row r="115" spans="1:17" x14ac:dyDescent="0.2">
      <c r="A115" s="2012"/>
      <c r="B115" s="1194" t="s">
        <v>2074</v>
      </c>
      <c r="C115" s="1599" t="s">
        <v>2012</v>
      </c>
      <c r="D115" s="1599"/>
      <c r="E115" s="2002">
        <f t="shared" si="81"/>
        <v>2314.3099999999995</v>
      </c>
      <c r="F115" s="2002">
        <f>+F334</f>
        <v>-10185.69</v>
      </c>
      <c r="G115" s="2002">
        <f t="shared" ref="G115:K115" si="91">+G334</f>
        <v>0</v>
      </c>
      <c r="H115" s="2002">
        <f t="shared" si="91"/>
        <v>0</v>
      </c>
      <c r="I115" s="2002">
        <f t="shared" si="91"/>
        <v>0</v>
      </c>
      <c r="J115" s="2002">
        <f t="shared" si="91"/>
        <v>0</v>
      </c>
      <c r="K115" s="2002">
        <f t="shared" si="91"/>
        <v>0</v>
      </c>
      <c r="L115" s="1878">
        <v>0</v>
      </c>
      <c r="M115" s="1878">
        <v>0</v>
      </c>
      <c r="N115" s="1878">
        <v>6250</v>
      </c>
      <c r="O115" s="1878">
        <v>0</v>
      </c>
      <c r="P115" s="1878">
        <v>0</v>
      </c>
      <c r="Q115" s="1878">
        <v>6250</v>
      </c>
    </row>
    <row r="116" spans="1:17" x14ac:dyDescent="0.2">
      <c r="A116" s="2012"/>
      <c r="B116" s="1194" t="s">
        <v>2077</v>
      </c>
      <c r="C116" s="1599" t="s">
        <v>2020</v>
      </c>
      <c r="D116" s="1599"/>
      <c r="E116" s="2002">
        <f t="shared" si="81"/>
        <v>210804.42</v>
      </c>
      <c r="F116" s="2002">
        <f>+F370</f>
        <v>17567.07</v>
      </c>
      <c r="G116" s="2002">
        <f t="shared" ref="G116:K116" si="92">+G370</f>
        <v>17567.07</v>
      </c>
      <c r="H116" s="2002">
        <f t="shared" si="92"/>
        <v>17567.07</v>
      </c>
      <c r="I116" s="2002">
        <f t="shared" si="92"/>
        <v>17567.07</v>
      </c>
      <c r="J116" s="2002">
        <f t="shared" si="92"/>
        <v>17567.07</v>
      </c>
      <c r="K116" s="2002">
        <f t="shared" si="92"/>
        <v>17567.07</v>
      </c>
      <c r="L116" s="1878">
        <v>17567</v>
      </c>
      <c r="M116" s="1878">
        <v>17567</v>
      </c>
      <c r="N116" s="1878">
        <v>17567</v>
      </c>
      <c r="O116" s="1878">
        <v>17567</v>
      </c>
      <c r="P116" s="1878">
        <v>17567</v>
      </c>
      <c r="Q116" s="1878">
        <v>17567</v>
      </c>
    </row>
    <row r="117" spans="1:17" x14ac:dyDescent="0.2">
      <c r="A117" s="2012"/>
      <c r="B117" s="1194" t="s">
        <v>2078</v>
      </c>
      <c r="C117" s="1599" t="s">
        <v>2075</v>
      </c>
      <c r="D117" s="1599"/>
      <c r="E117" s="2002">
        <f t="shared" si="81"/>
        <v>0</v>
      </c>
      <c r="F117" s="2002">
        <f>+F466</f>
        <v>0</v>
      </c>
      <c r="G117" s="2002">
        <f t="shared" ref="G117:K117" si="93">+G466</f>
        <v>0</v>
      </c>
      <c r="H117" s="2002">
        <f t="shared" si="93"/>
        <v>0</v>
      </c>
      <c r="I117" s="2002">
        <f t="shared" si="93"/>
        <v>0</v>
      </c>
      <c r="J117" s="2002">
        <f t="shared" si="93"/>
        <v>0</v>
      </c>
      <c r="K117" s="2002">
        <f t="shared" si="93"/>
        <v>0</v>
      </c>
      <c r="L117" s="1878">
        <v>0</v>
      </c>
      <c r="M117" s="1878">
        <v>0</v>
      </c>
      <c r="N117" s="1878">
        <v>0</v>
      </c>
      <c r="O117" s="1878">
        <v>0</v>
      </c>
      <c r="P117" s="1878">
        <v>0</v>
      </c>
      <c r="Q117" s="1878">
        <v>0</v>
      </c>
    </row>
    <row r="118" spans="1:17" x14ac:dyDescent="0.2">
      <c r="A118" s="2012"/>
      <c r="B118" s="1194" t="s">
        <v>2079</v>
      </c>
      <c r="C118" s="1599" t="s">
        <v>2076</v>
      </c>
      <c r="D118" s="1599"/>
      <c r="E118" s="2002">
        <f t="shared" si="81"/>
        <v>271323.56</v>
      </c>
      <c r="F118" s="2002">
        <f>+F464</f>
        <v>14373.56</v>
      </c>
      <c r="G118" s="2002">
        <f t="shared" ref="G118:K118" si="94">+G464</f>
        <v>26515.929999999997</v>
      </c>
      <c r="H118" s="2002">
        <f t="shared" si="94"/>
        <v>23119.51</v>
      </c>
      <c r="I118" s="2002">
        <f t="shared" si="94"/>
        <v>33862.53</v>
      </c>
      <c r="J118" s="2002">
        <f t="shared" si="94"/>
        <v>28188.089999999997</v>
      </c>
      <c r="K118" s="2002">
        <f t="shared" si="94"/>
        <v>30816.939999999995</v>
      </c>
      <c r="L118" s="1878">
        <v>18852</v>
      </c>
      <c r="M118" s="1878">
        <v>16635</v>
      </c>
      <c r="N118" s="1878">
        <v>22401</v>
      </c>
      <c r="O118" s="1878">
        <v>20627</v>
      </c>
      <c r="P118" s="1878">
        <v>17966</v>
      </c>
      <c r="Q118" s="1878">
        <v>17966</v>
      </c>
    </row>
    <row r="119" spans="1:17" x14ac:dyDescent="0.2">
      <c r="A119" s="2012"/>
      <c r="B119" s="1194" t="s">
        <v>2080</v>
      </c>
      <c r="C119" s="1599" t="s">
        <v>2051</v>
      </c>
      <c r="D119" s="1599"/>
      <c r="E119" s="2002">
        <f t="shared" si="81"/>
        <v>1031801.68</v>
      </c>
      <c r="F119" s="2002">
        <f>+F445</f>
        <v>92527.189999999988</v>
      </c>
      <c r="G119" s="2002">
        <f t="shared" ref="G119:K119" si="95">+G445</f>
        <v>77000.27</v>
      </c>
      <c r="H119" s="2002">
        <f t="shared" si="95"/>
        <v>60248.86</v>
      </c>
      <c r="I119" s="2002">
        <f t="shared" si="95"/>
        <v>91281.61</v>
      </c>
      <c r="J119" s="2002">
        <f t="shared" si="95"/>
        <v>91865.12999999999</v>
      </c>
      <c r="K119" s="2002">
        <f t="shared" si="95"/>
        <v>83514.620000000024</v>
      </c>
      <c r="L119" s="1878">
        <v>88364</v>
      </c>
      <c r="M119" s="1878">
        <v>78101</v>
      </c>
      <c r="N119" s="1878">
        <v>104044</v>
      </c>
      <c r="O119" s="1878">
        <v>96232</v>
      </c>
      <c r="P119" s="1878">
        <v>84034</v>
      </c>
      <c r="Q119" s="1878">
        <v>84589</v>
      </c>
    </row>
    <row r="120" spans="1:17" x14ac:dyDescent="0.2">
      <c r="A120" s="2012"/>
      <c r="B120" s="1194" t="s">
        <v>2082</v>
      </c>
      <c r="C120" s="1599" t="s">
        <v>2081</v>
      </c>
      <c r="D120" s="1599"/>
      <c r="E120" s="2002">
        <f t="shared" si="81"/>
        <v>0</v>
      </c>
      <c r="F120" s="2002">
        <f>+F468</f>
        <v>0</v>
      </c>
      <c r="G120" s="2002">
        <f t="shared" ref="G120:K120" si="96">+G468</f>
        <v>0</v>
      </c>
      <c r="H120" s="2002">
        <f t="shared" si="96"/>
        <v>0</v>
      </c>
      <c r="I120" s="2002">
        <f t="shared" si="96"/>
        <v>0</v>
      </c>
      <c r="J120" s="2002">
        <f t="shared" si="96"/>
        <v>0</v>
      </c>
      <c r="K120" s="2002">
        <f t="shared" si="96"/>
        <v>0</v>
      </c>
      <c r="L120" s="1878">
        <v>0</v>
      </c>
      <c r="M120" s="1878">
        <v>0</v>
      </c>
      <c r="N120" s="1878">
        <v>0</v>
      </c>
      <c r="O120" s="1878">
        <v>0</v>
      </c>
      <c r="P120" s="1878">
        <v>0</v>
      </c>
      <c r="Q120" s="1878">
        <v>0</v>
      </c>
    </row>
    <row r="121" spans="1:17" x14ac:dyDescent="0.2">
      <c r="A121" s="2012"/>
      <c r="B121" s="1194" t="s">
        <v>2083</v>
      </c>
      <c r="C121" s="1599" t="s">
        <v>2019</v>
      </c>
      <c r="D121" s="1599"/>
      <c r="E121" s="2002">
        <f t="shared" si="81"/>
        <v>74122.03</v>
      </c>
      <c r="F121" s="2002">
        <f>+F277</f>
        <v>12319.880000000001</v>
      </c>
      <c r="G121" s="2002">
        <f t="shared" ref="G121:K121" si="97">+G277</f>
        <v>9482.65</v>
      </c>
      <c r="H121" s="2002">
        <f t="shared" si="97"/>
        <v>0</v>
      </c>
      <c r="I121" s="2002">
        <f t="shared" si="97"/>
        <v>5000</v>
      </c>
      <c r="J121" s="2002">
        <f t="shared" si="97"/>
        <v>8607.5</v>
      </c>
      <c r="K121" s="2002">
        <f t="shared" si="97"/>
        <v>2250</v>
      </c>
      <c r="L121" s="1878">
        <v>2965</v>
      </c>
      <c r="M121" s="1878">
        <v>3132</v>
      </c>
      <c r="N121" s="1878">
        <v>11973</v>
      </c>
      <c r="O121" s="1878">
        <v>3469</v>
      </c>
      <c r="P121" s="1878">
        <v>11960</v>
      </c>
      <c r="Q121" s="1878">
        <v>2963</v>
      </c>
    </row>
    <row r="122" spans="1:17" x14ac:dyDescent="0.2">
      <c r="A122" s="2012"/>
      <c r="B122" s="1194" t="s">
        <v>2084</v>
      </c>
      <c r="C122" s="1599" t="s">
        <v>2022</v>
      </c>
      <c r="D122" s="1599"/>
      <c r="E122" s="2002">
        <f t="shared" si="81"/>
        <v>-158296.62</v>
      </c>
      <c r="F122" s="2002">
        <f>+F343</f>
        <v>-11091.630000000001</v>
      </c>
      <c r="G122" s="2002">
        <f t="shared" ref="G122:K122" si="98">+G343</f>
        <v>-37831.21</v>
      </c>
      <c r="H122" s="2002">
        <f t="shared" si="98"/>
        <v>-22276.18</v>
      </c>
      <c r="I122" s="2002">
        <f t="shared" si="98"/>
        <v>-43306.17</v>
      </c>
      <c r="J122" s="2002">
        <f t="shared" si="98"/>
        <v>-8745.01</v>
      </c>
      <c r="K122" s="2002">
        <f t="shared" si="98"/>
        <v>15859.579999999998</v>
      </c>
      <c r="L122" s="1878">
        <v>-8386</v>
      </c>
      <c r="M122" s="1878">
        <v>-7399</v>
      </c>
      <c r="N122" s="1878">
        <v>-9964</v>
      </c>
      <c r="O122" s="1878">
        <v>-9175</v>
      </c>
      <c r="P122" s="1878">
        <v>-7991</v>
      </c>
      <c r="Q122" s="1878">
        <v>-7991</v>
      </c>
    </row>
    <row r="123" spans="1:17" x14ac:dyDescent="0.2">
      <c r="A123" s="2012"/>
      <c r="B123" s="1194" t="s">
        <v>197</v>
      </c>
      <c r="C123" s="1599" t="s">
        <v>2023</v>
      </c>
      <c r="D123" s="1599"/>
      <c r="E123" s="2002">
        <f t="shared" si="81"/>
        <v>500691.34</v>
      </c>
      <c r="F123" s="2002">
        <f>+F366</f>
        <v>43152.13</v>
      </c>
      <c r="G123" s="2002">
        <f t="shared" ref="G123:K123" si="99">+G366</f>
        <v>34104.06</v>
      </c>
      <c r="H123" s="2002">
        <f t="shared" si="99"/>
        <v>29525.659999999996</v>
      </c>
      <c r="I123" s="2002">
        <f t="shared" si="99"/>
        <v>104079.26000000001</v>
      </c>
      <c r="J123" s="2002">
        <f t="shared" si="99"/>
        <v>35243.360000000001</v>
      </c>
      <c r="K123" s="2002">
        <f t="shared" si="99"/>
        <v>48675.87</v>
      </c>
      <c r="L123" s="1878">
        <v>31543</v>
      </c>
      <c r="M123" s="1878">
        <v>43891</v>
      </c>
      <c r="N123" s="1878">
        <v>33754</v>
      </c>
      <c r="O123" s="1878">
        <v>32625</v>
      </c>
      <c r="P123" s="1878">
        <v>32049</v>
      </c>
      <c r="Q123" s="1878">
        <v>32049</v>
      </c>
    </row>
    <row r="124" spans="1:17" x14ac:dyDescent="0.2">
      <c r="A124" s="2012"/>
      <c r="B124" s="1194" t="s">
        <v>2085</v>
      </c>
      <c r="C124" s="1599" t="s">
        <v>2021</v>
      </c>
      <c r="D124" s="1599"/>
      <c r="E124" s="2002">
        <f t="shared" si="81"/>
        <v>-250002</v>
      </c>
      <c r="F124" s="2002">
        <f>+F376</f>
        <v>0</v>
      </c>
      <c r="G124" s="2002">
        <f t="shared" ref="G124:K124" si="100">+G376</f>
        <v>0</v>
      </c>
      <c r="H124" s="2002">
        <f t="shared" si="100"/>
        <v>0</v>
      </c>
      <c r="I124" s="2002">
        <f t="shared" si="100"/>
        <v>0</v>
      </c>
      <c r="J124" s="2002">
        <f t="shared" si="100"/>
        <v>0</v>
      </c>
      <c r="K124" s="2002">
        <f t="shared" si="100"/>
        <v>0</v>
      </c>
      <c r="L124" s="1878">
        <v>-41667</v>
      </c>
      <c r="M124" s="1878">
        <v>-41667</v>
      </c>
      <c r="N124" s="1878">
        <v>-41667</v>
      </c>
      <c r="O124" s="1878">
        <v>-41667</v>
      </c>
      <c r="P124" s="1878">
        <v>-41667</v>
      </c>
      <c r="Q124" s="1878">
        <v>-41667</v>
      </c>
    </row>
    <row r="125" spans="1:17" x14ac:dyDescent="0.2">
      <c r="A125" s="2012"/>
      <c r="B125" s="1194" t="s">
        <v>2086</v>
      </c>
      <c r="C125" s="1599" t="s">
        <v>2013</v>
      </c>
      <c r="D125" s="1599"/>
      <c r="E125" s="2002">
        <f t="shared" si="81"/>
        <v>531936.72</v>
      </c>
      <c r="F125" s="2002">
        <f>+F250</f>
        <v>42839.69</v>
      </c>
      <c r="G125" s="2002">
        <f t="shared" ref="G125:K125" si="101">+G250</f>
        <v>43796.42</v>
      </c>
      <c r="H125" s="2002">
        <f t="shared" si="101"/>
        <v>43929.450000000004</v>
      </c>
      <c r="I125" s="2002">
        <f t="shared" si="101"/>
        <v>44918.27</v>
      </c>
      <c r="J125" s="2002">
        <f t="shared" si="101"/>
        <v>45087.61</v>
      </c>
      <c r="K125" s="2002">
        <f t="shared" si="101"/>
        <v>45472.28</v>
      </c>
      <c r="L125" s="1878">
        <v>42698</v>
      </c>
      <c r="M125" s="1878">
        <v>42698</v>
      </c>
      <c r="N125" s="1878">
        <v>43603</v>
      </c>
      <c r="O125" s="1878">
        <v>42698</v>
      </c>
      <c r="P125" s="1878">
        <v>47098</v>
      </c>
      <c r="Q125" s="1878">
        <v>47098</v>
      </c>
    </row>
    <row r="126" spans="1:17" x14ac:dyDescent="0.2">
      <c r="A126" s="2012"/>
      <c r="B126" s="1194" t="s">
        <v>2087</v>
      </c>
      <c r="C126" s="1599" t="s">
        <v>2024</v>
      </c>
      <c r="D126" s="1599"/>
      <c r="E126" s="2002">
        <f t="shared" si="81"/>
        <v>126651.91</v>
      </c>
      <c r="F126" s="2002">
        <f>+F378</f>
        <v>-1182.56</v>
      </c>
      <c r="G126" s="2002">
        <f t="shared" ref="G126:K126" si="102">+G378</f>
        <v>11328.53</v>
      </c>
      <c r="H126" s="2002">
        <f t="shared" si="102"/>
        <v>11014.87</v>
      </c>
      <c r="I126" s="2002">
        <f t="shared" si="102"/>
        <v>4460.38</v>
      </c>
      <c r="J126" s="2002">
        <f t="shared" si="102"/>
        <v>10065.34</v>
      </c>
      <c r="K126" s="2002">
        <f t="shared" si="102"/>
        <v>40967.35</v>
      </c>
      <c r="L126" s="1878">
        <v>8333</v>
      </c>
      <c r="M126" s="1878">
        <v>8333</v>
      </c>
      <c r="N126" s="1878">
        <v>8333</v>
      </c>
      <c r="O126" s="1878">
        <v>8333</v>
      </c>
      <c r="P126" s="1878">
        <v>8333</v>
      </c>
      <c r="Q126" s="1878">
        <v>8333</v>
      </c>
    </row>
    <row r="127" spans="1:17" x14ac:dyDescent="0.2">
      <c r="A127" s="2012"/>
      <c r="B127" s="1194" t="s">
        <v>2088</v>
      </c>
      <c r="C127" s="1599" t="s">
        <v>2014</v>
      </c>
      <c r="D127" s="1599"/>
      <c r="E127" s="2002">
        <f t="shared" si="81"/>
        <v>305255</v>
      </c>
      <c r="F127" s="2002">
        <f>+F254</f>
        <v>19482</v>
      </c>
      <c r="G127" s="2002">
        <f t="shared" ref="G127:K127" si="103">+G254</f>
        <v>19482</v>
      </c>
      <c r="H127" s="2002">
        <f t="shared" si="103"/>
        <v>19482</v>
      </c>
      <c r="I127" s="2002">
        <f t="shared" si="103"/>
        <v>19482</v>
      </c>
      <c r="J127" s="2002">
        <f t="shared" si="103"/>
        <v>19482</v>
      </c>
      <c r="K127" s="2002">
        <f t="shared" si="103"/>
        <v>19482</v>
      </c>
      <c r="L127" s="1878">
        <v>30248</v>
      </c>
      <c r="M127" s="1878">
        <v>30248</v>
      </c>
      <c r="N127" s="1878">
        <v>30889</v>
      </c>
      <c r="O127" s="1878">
        <v>30248</v>
      </c>
      <c r="P127" s="1878">
        <v>33365</v>
      </c>
      <c r="Q127" s="1878">
        <v>33365</v>
      </c>
    </row>
    <row r="128" spans="1:17" x14ac:dyDescent="0.2">
      <c r="A128" s="2012"/>
      <c r="B128" s="1194" t="s">
        <v>2089</v>
      </c>
      <c r="C128" s="1599" t="s">
        <v>225</v>
      </c>
      <c r="D128" s="1599"/>
      <c r="E128" s="2002">
        <f t="shared" si="81"/>
        <v>59130.53</v>
      </c>
      <c r="F128" s="2002">
        <f>+F336</f>
        <v>5380.84</v>
      </c>
      <c r="G128" s="2002">
        <f t="shared" ref="G128:K128" si="104">+G336</f>
        <v>14479.98</v>
      </c>
      <c r="H128" s="2002">
        <f t="shared" si="104"/>
        <v>-21243.64</v>
      </c>
      <c r="I128" s="2002">
        <f t="shared" si="104"/>
        <v>-52655.07</v>
      </c>
      <c r="J128" s="2002">
        <f t="shared" si="104"/>
        <v>35194.129999999997</v>
      </c>
      <c r="K128" s="2002">
        <f t="shared" si="104"/>
        <v>18994.29</v>
      </c>
      <c r="L128" s="1878">
        <v>27637</v>
      </c>
      <c r="M128" s="1878">
        <v>15937</v>
      </c>
      <c r="N128" s="1878">
        <v>7107</v>
      </c>
      <c r="O128" s="1878">
        <v>3499</v>
      </c>
      <c r="P128" s="1878">
        <v>2440</v>
      </c>
      <c r="Q128" s="1878">
        <v>2360</v>
      </c>
    </row>
    <row r="129" spans="1:17" x14ac:dyDescent="0.2">
      <c r="A129" s="2012"/>
      <c r="B129" s="1194" t="s">
        <v>2090</v>
      </c>
      <c r="C129" s="1599" t="s">
        <v>2016</v>
      </c>
      <c r="D129" s="1599"/>
      <c r="E129" s="2002">
        <f t="shared" si="81"/>
        <v>1059464.22</v>
      </c>
      <c r="F129" s="2002">
        <f>+F372</f>
        <v>48596.76</v>
      </c>
      <c r="G129" s="2002">
        <f t="shared" ref="G129:K129" si="105">+G372</f>
        <v>55185.91</v>
      </c>
      <c r="H129" s="2002">
        <f t="shared" si="105"/>
        <v>40322.25</v>
      </c>
      <c r="I129" s="2002">
        <f t="shared" si="105"/>
        <v>123671.35</v>
      </c>
      <c r="J129" s="2002">
        <f t="shared" si="105"/>
        <v>103125.75999999999</v>
      </c>
      <c r="K129" s="2002">
        <f t="shared" si="105"/>
        <v>105562.19</v>
      </c>
      <c r="L129" s="1878">
        <v>88000</v>
      </c>
      <c r="M129" s="1878">
        <v>89000</v>
      </c>
      <c r="N129" s="1878">
        <v>98000</v>
      </c>
      <c r="O129" s="1878">
        <v>99000</v>
      </c>
      <c r="P129" s="1878">
        <v>110000</v>
      </c>
      <c r="Q129" s="1878">
        <v>99000</v>
      </c>
    </row>
    <row r="130" spans="1:17" x14ac:dyDescent="0.2">
      <c r="A130" s="2012"/>
      <c r="B130" s="1194" t="s">
        <v>2091</v>
      </c>
      <c r="C130" s="1599" t="s">
        <v>2015</v>
      </c>
      <c r="D130" s="1599"/>
      <c r="E130" s="2002">
        <f t="shared" si="81"/>
        <v>470250.82</v>
      </c>
      <c r="F130" s="2002">
        <f>+F293</f>
        <v>47797.340000000004</v>
      </c>
      <c r="G130" s="2002">
        <f t="shared" ref="G130:K130" si="106">+G293</f>
        <v>34522.050000000003</v>
      </c>
      <c r="H130" s="2002">
        <f t="shared" si="106"/>
        <v>25237.05</v>
      </c>
      <c r="I130" s="2002">
        <f t="shared" si="106"/>
        <v>48494.28</v>
      </c>
      <c r="J130" s="2002">
        <f t="shared" si="106"/>
        <v>47664.42</v>
      </c>
      <c r="K130" s="2002">
        <f t="shared" si="106"/>
        <v>43268.679999999993</v>
      </c>
      <c r="L130" s="1878">
        <v>38055</v>
      </c>
      <c r="M130" s="1878">
        <v>33538</v>
      </c>
      <c r="N130" s="1878">
        <v>40351</v>
      </c>
      <c r="O130" s="1878">
        <v>39302</v>
      </c>
      <c r="P130" s="1878">
        <v>36006</v>
      </c>
      <c r="Q130" s="1878">
        <v>36015</v>
      </c>
    </row>
    <row r="131" spans="1:17" x14ac:dyDescent="0.2">
      <c r="A131" s="2012"/>
      <c r="B131" s="1194" t="s">
        <v>2096</v>
      </c>
      <c r="C131" s="1599" t="s">
        <v>2094</v>
      </c>
      <c r="D131" s="1599"/>
      <c r="E131" s="2002">
        <f t="shared" si="81"/>
        <v>0</v>
      </c>
      <c r="F131" s="2002"/>
      <c r="G131" s="2002"/>
      <c r="H131" s="2002"/>
      <c r="I131" s="2002"/>
      <c r="J131" s="2002"/>
      <c r="K131" s="2002"/>
      <c r="L131" s="1878">
        <v>0</v>
      </c>
      <c r="M131" s="1878">
        <v>0</v>
      </c>
      <c r="N131" s="1878">
        <v>0</v>
      </c>
      <c r="O131" s="1878">
        <v>0</v>
      </c>
      <c r="P131" s="1878">
        <v>0</v>
      </c>
      <c r="Q131" s="1878">
        <v>0</v>
      </c>
    </row>
    <row r="132" spans="1:17" x14ac:dyDescent="0.2">
      <c r="A132" s="2012"/>
      <c r="B132" s="1194" t="s">
        <v>2097</v>
      </c>
      <c r="C132" s="1599" t="s">
        <v>2095</v>
      </c>
      <c r="D132" s="1599"/>
      <c r="E132" s="2002">
        <f t="shared" si="81"/>
        <v>0</v>
      </c>
      <c r="F132" s="2002"/>
      <c r="G132" s="2002"/>
      <c r="H132" s="2002"/>
      <c r="I132" s="2002"/>
      <c r="J132" s="2002"/>
      <c r="K132" s="2002"/>
      <c r="L132" s="1878">
        <v>0</v>
      </c>
      <c r="M132" s="1878">
        <v>0</v>
      </c>
      <c r="N132" s="1878">
        <v>0</v>
      </c>
      <c r="O132" s="1878">
        <v>0</v>
      </c>
      <c r="P132" s="1878">
        <v>0</v>
      </c>
      <c r="Q132" s="1878">
        <v>0</v>
      </c>
    </row>
    <row r="133" spans="1:17" x14ac:dyDescent="0.2">
      <c r="A133" s="2012"/>
      <c r="B133" s="1194" t="s">
        <v>2092</v>
      </c>
      <c r="C133" s="1599" t="s">
        <v>2017</v>
      </c>
      <c r="D133" s="1599"/>
      <c r="E133" s="2002">
        <f t="shared" si="81"/>
        <v>-76675.64</v>
      </c>
      <c r="F133" s="2002">
        <f>+F229</f>
        <v>-6802.7</v>
      </c>
      <c r="G133" s="2002">
        <f t="shared" ref="G133:K133" si="107">+G229</f>
        <v>-6684.7</v>
      </c>
      <c r="H133" s="2002">
        <f t="shared" si="107"/>
        <v>-5638.7</v>
      </c>
      <c r="I133" s="2002">
        <f t="shared" si="107"/>
        <v>-6662.7</v>
      </c>
      <c r="J133" s="2002">
        <f t="shared" si="107"/>
        <v>-6757.7</v>
      </c>
      <c r="K133" s="2002">
        <f t="shared" si="107"/>
        <v>-2330.1400000000003</v>
      </c>
      <c r="L133" s="1878">
        <v>-7039</v>
      </c>
      <c r="M133" s="1878">
        <v>-7766</v>
      </c>
      <c r="N133" s="1878">
        <v>-5866</v>
      </c>
      <c r="O133" s="1878">
        <v>-6448</v>
      </c>
      <c r="P133" s="1878">
        <v>-7350</v>
      </c>
      <c r="Q133" s="1878">
        <v>-7330</v>
      </c>
    </row>
    <row r="134" spans="1:17" ht="13.5" x14ac:dyDescent="0.35">
      <c r="A134" s="2012"/>
      <c r="B134" s="1194" t="s">
        <v>2093</v>
      </c>
      <c r="C134" s="1599" t="s">
        <v>2018</v>
      </c>
      <c r="D134" s="1599"/>
      <c r="E134" s="2005">
        <f>SUM(F134:Q134)</f>
        <v>197233.62</v>
      </c>
      <c r="F134" s="2005">
        <f>+F243</f>
        <v>17202.530000000002</v>
      </c>
      <c r="G134" s="2005">
        <f t="shared" ref="G134:K134" si="108">+G243</f>
        <v>15092.470000000001</v>
      </c>
      <c r="H134" s="2005">
        <f t="shared" si="108"/>
        <v>17824.310000000001</v>
      </c>
      <c r="I134" s="2005">
        <f t="shared" si="108"/>
        <v>21085.659999999996</v>
      </c>
      <c r="J134" s="2005">
        <f t="shared" si="108"/>
        <v>15324.03</v>
      </c>
      <c r="K134" s="2005">
        <f t="shared" si="108"/>
        <v>13086.619999999999</v>
      </c>
      <c r="L134" s="1881">
        <v>17816</v>
      </c>
      <c r="M134" s="1881">
        <v>14030</v>
      </c>
      <c r="N134" s="1881">
        <v>16546</v>
      </c>
      <c r="O134" s="1881">
        <v>17327</v>
      </c>
      <c r="P134" s="1881">
        <v>15943</v>
      </c>
      <c r="Q134" s="1881">
        <v>15956</v>
      </c>
    </row>
    <row r="135" spans="1:17" x14ac:dyDescent="0.15">
      <c r="A135" s="1574"/>
      <c r="B135" s="1194" t="s">
        <v>1194</v>
      </c>
      <c r="C135" s="1574"/>
      <c r="D135" s="1574"/>
      <c r="E135" s="1574">
        <f t="shared" ref="E135:Q135" si="109">SUM(E79:E134)</f>
        <v>39066472.799999997</v>
      </c>
      <c r="F135" s="1574">
        <f t="shared" si="109"/>
        <v>2815928.3999999985</v>
      </c>
      <c r="G135" s="1574">
        <f t="shared" si="109"/>
        <v>2896049.9899999998</v>
      </c>
      <c r="H135" s="1574">
        <f t="shared" si="109"/>
        <v>3137525.689999999</v>
      </c>
      <c r="I135" s="1574">
        <f t="shared" si="109"/>
        <v>3541067.1399999987</v>
      </c>
      <c r="J135" s="1574">
        <f t="shared" si="109"/>
        <v>3080649.6799999988</v>
      </c>
      <c r="K135" s="1574">
        <f t="shared" si="109"/>
        <v>3300693.9</v>
      </c>
      <c r="L135" s="1574">
        <f t="shared" si="109"/>
        <v>3329606</v>
      </c>
      <c r="M135" s="1574">
        <f t="shared" si="109"/>
        <v>3264548</v>
      </c>
      <c r="N135" s="1574">
        <f t="shared" si="109"/>
        <v>3346676</v>
      </c>
      <c r="O135" s="1574">
        <f t="shared" si="109"/>
        <v>3493004</v>
      </c>
      <c r="P135" s="1574">
        <f t="shared" si="109"/>
        <v>3434456</v>
      </c>
      <c r="Q135" s="1574">
        <f t="shared" si="109"/>
        <v>3426268</v>
      </c>
    </row>
    <row r="136" spans="1:17" x14ac:dyDescent="0.15">
      <c r="A136" s="1574"/>
      <c r="B136" s="1194"/>
      <c r="C136" s="1574"/>
      <c r="D136" s="1574"/>
      <c r="E136" s="1574"/>
      <c r="F136" s="1574"/>
      <c r="G136" s="1574"/>
      <c r="H136" s="1574"/>
      <c r="I136" s="1574"/>
      <c r="J136" s="1574"/>
      <c r="K136" s="1574"/>
      <c r="L136" s="1574"/>
      <c r="M136" s="1574"/>
      <c r="N136" s="1574"/>
      <c r="O136" s="1112"/>
      <c r="P136" s="2006"/>
      <c r="Q136" s="2006"/>
    </row>
    <row r="137" spans="1:17" x14ac:dyDescent="0.15">
      <c r="A137" s="1631" t="s">
        <v>1695</v>
      </c>
      <c r="B137" s="1194"/>
      <c r="C137" s="1574"/>
      <c r="D137" s="1194"/>
      <c r="E137" s="1574"/>
      <c r="F137" s="1574"/>
      <c r="G137" s="1574"/>
      <c r="H137" s="1574"/>
      <c r="I137" s="1574"/>
      <c r="J137" s="1574"/>
      <c r="K137" s="1574"/>
      <c r="L137" s="1574"/>
      <c r="M137" s="1574"/>
      <c r="N137" s="1574"/>
      <c r="O137" s="1112"/>
      <c r="P137" s="2006"/>
      <c r="Q137" s="2006"/>
    </row>
    <row r="138" spans="1:17" x14ac:dyDescent="0.15">
      <c r="A138" s="1629" t="s">
        <v>2118</v>
      </c>
      <c r="B138" s="1194"/>
      <c r="C138" s="1574"/>
      <c r="D138" s="1194"/>
      <c r="E138" s="1574"/>
      <c r="F138" s="1574"/>
      <c r="G138" s="1574"/>
      <c r="H138" s="1574"/>
      <c r="I138" s="1574"/>
      <c r="J138" s="1574"/>
      <c r="K138" s="1574"/>
      <c r="L138" s="1574"/>
      <c r="M138" s="1574"/>
      <c r="N138" s="1574"/>
      <c r="O138" s="1112"/>
      <c r="P138" s="2006"/>
      <c r="Q138" s="2006"/>
    </row>
    <row r="139" spans="1:17" x14ac:dyDescent="0.15">
      <c r="A139" s="1574"/>
      <c r="B139" s="1194"/>
      <c r="C139" s="1574"/>
      <c r="D139" s="1194"/>
      <c r="E139" s="1574"/>
      <c r="F139" s="1574"/>
      <c r="G139" s="1574"/>
      <c r="H139" s="1574"/>
      <c r="I139" s="1574"/>
      <c r="J139" s="1574"/>
      <c r="K139" s="1574"/>
      <c r="L139" s="1574"/>
      <c r="M139" s="1574"/>
      <c r="N139" s="1574"/>
      <c r="O139" s="1112"/>
      <c r="P139" s="2006"/>
      <c r="Q139" s="2006"/>
    </row>
    <row r="140" spans="1:17" x14ac:dyDescent="0.15">
      <c r="A140" s="1585" t="s">
        <v>1696</v>
      </c>
      <c r="B140" s="1209"/>
      <c r="C140" s="1585" t="s">
        <v>1697</v>
      </c>
      <c r="D140" s="1209" t="s">
        <v>1697</v>
      </c>
      <c r="E140" s="1585" t="s">
        <v>2123</v>
      </c>
      <c r="F140" s="2150" t="s">
        <v>16</v>
      </c>
      <c r="G140" s="2151"/>
      <c r="H140" s="2151"/>
      <c r="I140" s="2151"/>
      <c r="J140" s="2151"/>
      <c r="K140" s="2152"/>
      <c r="L140" s="2150" t="s">
        <v>1112</v>
      </c>
      <c r="M140" s="2151"/>
      <c r="N140" s="2151"/>
      <c r="O140" s="2151"/>
      <c r="P140" s="2151"/>
      <c r="Q140" s="2152"/>
    </row>
    <row r="141" spans="1:17" ht="13.5" x14ac:dyDescent="0.35">
      <c r="A141" s="1586" t="s">
        <v>2100</v>
      </c>
      <c r="B141" s="1210" t="s">
        <v>1698</v>
      </c>
      <c r="C141" s="1586" t="s">
        <v>137</v>
      </c>
      <c r="D141" s="1211" t="s">
        <v>1699</v>
      </c>
      <c r="E141" s="1586" t="s">
        <v>1194</v>
      </c>
      <c r="F141" s="2007">
        <v>42248</v>
      </c>
      <c r="G141" s="2007">
        <v>42278</v>
      </c>
      <c r="H141" s="2007">
        <v>42309</v>
      </c>
      <c r="I141" s="2007">
        <v>42339</v>
      </c>
      <c r="J141" s="2007">
        <v>42370</v>
      </c>
      <c r="K141" s="2007">
        <v>42401</v>
      </c>
      <c r="L141" s="2007">
        <f>$L$7</f>
        <v>42430</v>
      </c>
      <c r="M141" s="2007">
        <f>$M$7</f>
        <v>42461</v>
      </c>
      <c r="N141" s="2007">
        <f>$N$7</f>
        <v>42491</v>
      </c>
      <c r="O141" s="2007">
        <f>$O$7</f>
        <v>42522</v>
      </c>
      <c r="P141" s="2007">
        <f>$P$7</f>
        <v>42552</v>
      </c>
      <c r="Q141" s="2007">
        <f>$Q$7</f>
        <v>42583</v>
      </c>
    </row>
    <row r="142" spans="1:17" x14ac:dyDescent="0.15">
      <c r="A142" s="1574"/>
      <c r="B142" s="1194"/>
      <c r="C142" s="1574"/>
      <c r="D142" s="1194"/>
      <c r="E142" s="1574"/>
      <c r="F142" s="1574"/>
      <c r="G142" s="1574"/>
      <c r="H142" s="1574"/>
      <c r="I142" s="1574"/>
      <c r="J142" s="1574"/>
      <c r="K142" s="1574"/>
      <c r="L142" s="1574"/>
      <c r="M142" s="1574"/>
      <c r="N142" s="1574"/>
      <c r="O142" s="1112"/>
      <c r="P142" s="1112"/>
      <c r="Q142" s="1112"/>
    </row>
    <row r="143" spans="1:17" x14ac:dyDescent="0.2">
      <c r="A143" s="1581" t="str">
        <f>B$79</f>
        <v>Net Labor</v>
      </c>
      <c r="B143" s="831">
        <v>870</v>
      </c>
      <c r="C143" s="1571">
        <v>84194.3</v>
      </c>
      <c r="D143" s="1216">
        <f t="shared" ref="D143:D163" si="110">ROUND(C143/$C$164,6)</f>
        <v>1.0414E-2</v>
      </c>
      <c r="E143" s="1582">
        <f>SUM(F143:Q143)</f>
        <v>59190.69</v>
      </c>
      <c r="F143" s="1571">
        <v>41740.959999999999</v>
      </c>
      <c r="G143" s="1571">
        <v>29664.73</v>
      </c>
      <c r="H143" s="1571">
        <v>-65294.78</v>
      </c>
      <c r="I143" s="1571">
        <v>79085.820000000007</v>
      </c>
      <c r="J143" s="1571">
        <v>8248.2800000000007</v>
      </c>
      <c r="K143" s="1571">
        <v>-81062.320000000007</v>
      </c>
      <c r="L143" s="1574">
        <f t="shared" ref="L143:L162" si="111">ROUND(D143*$L$164,0)</f>
        <v>8150</v>
      </c>
      <c r="M143" s="1574">
        <f t="shared" ref="M143:M162" si="112">ROUND(D143*$M$164,0)</f>
        <v>7568</v>
      </c>
      <c r="N143" s="1574">
        <f t="shared" ref="N143:N162" si="113">ROUND(D143*$N$164,0)</f>
        <v>7615</v>
      </c>
      <c r="O143" s="1574">
        <f t="shared" ref="O143:O162" si="114">ROUND(D143*$O$164,0)</f>
        <v>8159</v>
      </c>
      <c r="P143" s="1574">
        <f t="shared" ref="P143:P162" si="115">ROUND(D143*$P$164,0)</f>
        <v>7853</v>
      </c>
      <c r="Q143" s="1574">
        <f t="shared" ref="Q143:Q162" si="116">ROUND(D143*$Q$164,0)</f>
        <v>7463</v>
      </c>
    </row>
    <row r="144" spans="1:17" x14ac:dyDescent="0.2">
      <c r="A144" s="1581" t="str">
        <f t="shared" ref="A144:A163" si="117">B$79</f>
        <v>Net Labor</v>
      </c>
      <c r="B144" s="831">
        <v>871</v>
      </c>
      <c r="C144" s="1571">
        <v>57571.44</v>
      </c>
      <c r="D144" s="1216">
        <f t="shared" si="110"/>
        <v>7.1209999999999997E-3</v>
      </c>
      <c r="E144" s="1582">
        <f t="shared" ref="E144:E163" si="118">SUM(F144:Q144)</f>
        <v>55521.96</v>
      </c>
      <c r="F144" s="1571">
        <v>2477.84</v>
      </c>
      <c r="G144" s="1571">
        <v>1949.15</v>
      </c>
      <c r="H144" s="1571">
        <v>1113.75</v>
      </c>
      <c r="I144" s="1571">
        <v>1074.43</v>
      </c>
      <c r="J144" s="1571">
        <v>16381.6</v>
      </c>
      <c r="K144" s="1571">
        <v>518.19000000000005</v>
      </c>
      <c r="L144" s="1574">
        <f t="shared" si="111"/>
        <v>5573</v>
      </c>
      <c r="M144" s="1574">
        <f t="shared" si="112"/>
        <v>5175</v>
      </c>
      <c r="N144" s="1574">
        <f t="shared" si="113"/>
        <v>5207</v>
      </c>
      <c r="O144" s="1574">
        <f t="shared" si="114"/>
        <v>5579</v>
      </c>
      <c r="P144" s="1574">
        <f t="shared" si="115"/>
        <v>5370</v>
      </c>
      <c r="Q144" s="1574">
        <f t="shared" si="116"/>
        <v>5103</v>
      </c>
    </row>
    <row r="145" spans="1:17" x14ac:dyDescent="0.2">
      <c r="A145" s="1581" t="str">
        <f t="shared" si="117"/>
        <v>Net Labor</v>
      </c>
      <c r="B145" s="831">
        <v>874</v>
      </c>
      <c r="C145" s="1571">
        <v>1491523.0399999996</v>
      </c>
      <c r="D145" s="1216">
        <f t="shared" si="110"/>
        <v>0.18448400000000001</v>
      </c>
      <c r="E145" s="1582">
        <f t="shared" si="118"/>
        <v>1527399.9100000001</v>
      </c>
      <c r="F145" s="1571">
        <v>95636.46</v>
      </c>
      <c r="G145" s="1571">
        <v>102209.49</v>
      </c>
      <c r="H145" s="1571">
        <v>115182</v>
      </c>
      <c r="I145" s="1571">
        <v>118275.77</v>
      </c>
      <c r="J145" s="1571">
        <v>117081.8</v>
      </c>
      <c r="K145" s="1571">
        <v>149796.39000000001</v>
      </c>
      <c r="L145" s="1574">
        <f t="shared" si="111"/>
        <v>144378</v>
      </c>
      <c r="M145" s="1574">
        <f t="shared" si="112"/>
        <v>134071</v>
      </c>
      <c r="N145" s="1574">
        <f t="shared" si="113"/>
        <v>134899</v>
      </c>
      <c r="O145" s="1574">
        <f t="shared" si="114"/>
        <v>144538</v>
      </c>
      <c r="P145" s="1574">
        <f t="shared" si="115"/>
        <v>139120</v>
      </c>
      <c r="Q145" s="1574">
        <f t="shared" si="116"/>
        <v>132212</v>
      </c>
    </row>
    <row r="146" spans="1:17" x14ac:dyDescent="0.2">
      <c r="A146" s="1581" t="str">
        <f t="shared" si="117"/>
        <v>Net Labor</v>
      </c>
      <c r="B146" s="831">
        <v>875</v>
      </c>
      <c r="C146" s="1571">
        <v>71137.399999999994</v>
      </c>
      <c r="D146" s="1216">
        <f t="shared" si="110"/>
        <v>8.7989999999999995E-3</v>
      </c>
      <c r="E146" s="1582">
        <f t="shared" si="118"/>
        <v>75792.600000000006</v>
      </c>
      <c r="F146" s="1571">
        <v>3997.28</v>
      </c>
      <c r="G146" s="1571">
        <v>5866.37</v>
      </c>
      <c r="H146" s="1571">
        <v>8143.11</v>
      </c>
      <c r="I146" s="1571">
        <v>5937.43</v>
      </c>
      <c r="J146" s="1571">
        <v>6001.07</v>
      </c>
      <c r="K146" s="1571">
        <v>6297.34</v>
      </c>
      <c r="L146" s="1574">
        <f t="shared" si="111"/>
        <v>6886</v>
      </c>
      <c r="M146" s="1574">
        <f t="shared" si="112"/>
        <v>6395</v>
      </c>
      <c r="N146" s="1574">
        <f t="shared" si="113"/>
        <v>6434</v>
      </c>
      <c r="O146" s="1574">
        <f t="shared" si="114"/>
        <v>6894</v>
      </c>
      <c r="P146" s="1574">
        <f t="shared" si="115"/>
        <v>6635</v>
      </c>
      <c r="Q146" s="1574">
        <f t="shared" si="116"/>
        <v>6306</v>
      </c>
    </row>
    <row r="147" spans="1:17" x14ac:dyDescent="0.2">
      <c r="A147" s="1581" t="str">
        <f t="shared" si="117"/>
        <v>Net Labor</v>
      </c>
      <c r="B147" s="831">
        <v>876</v>
      </c>
      <c r="C147" s="1571">
        <v>33460.659999999996</v>
      </c>
      <c r="D147" s="1216">
        <f t="shared" si="110"/>
        <v>4.1390000000000003E-3</v>
      </c>
      <c r="E147" s="1582">
        <f t="shared" si="118"/>
        <v>41798.86</v>
      </c>
      <c r="F147" s="1571">
        <v>2901.82</v>
      </c>
      <c r="G147" s="1571">
        <v>3103.75</v>
      </c>
      <c r="H147" s="1571">
        <v>6983.77</v>
      </c>
      <c r="I147" s="1571">
        <v>6353.72</v>
      </c>
      <c r="J147" s="1571">
        <v>2198.02</v>
      </c>
      <c r="K147" s="1571">
        <v>1653.78</v>
      </c>
      <c r="L147" s="1574">
        <f t="shared" si="111"/>
        <v>3239</v>
      </c>
      <c r="M147" s="1574">
        <f t="shared" si="112"/>
        <v>3008</v>
      </c>
      <c r="N147" s="1574">
        <f t="shared" si="113"/>
        <v>3027</v>
      </c>
      <c r="O147" s="1574">
        <f t="shared" si="114"/>
        <v>3243</v>
      </c>
      <c r="P147" s="1574">
        <f t="shared" si="115"/>
        <v>3121</v>
      </c>
      <c r="Q147" s="1574">
        <f t="shared" si="116"/>
        <v>2966</v>
      </c>
    </row>
    <row r="148" spans="1:17" x14ac:dyDescent="0.2">
      <c r="A148" s="1581" t="str">
        <f t="shared" si="117"/>
        <v>Net Labor</v>
      </c>
      <c r="B148" s="831">
        <v>878</v>
      </c>
      <c r="C148" s="1571">
        <v>1105455.53</v>
      </c>
      <c r="D148" s="1216">
        <f t="shared" si="110"/>
        <v>0.13673199999999999</v>
      </c>
      <c r="E148" s="1582">
        <f t="shared" si="118"/>
        <v>1196946.23</v>
      </c>
      <c r="F148" s="1571">
        <v>73303.86</v>
      </c>
      <c r="G148" s="1571">
        <v>87831.06</v>
      </c>
      <c r="H148" s="1571">
        <v>139880.39000000001</v>
      </c>
      <c r="I148" s="1571">
        <v>97679.05</v>
      </c>
      <c r="J148" s="1571">
        <v>82027.97</v>
      </c>
      <c r="K148" s="1571">
        <v>101640.9</v>
      </c>
      <c r="L148" s="1574">
        <f t="shared" si="111"/>
        <v>107007</v>
      </c>
      <c r="M148" s="1574">
        <f t="shared" si="112"/>
        <v>99368</v>
      </c>
      <c r="N148" s="1574">
        <f t="shared" si="113"/>
        <v>99982</v>
      </c>
      <c r="O148" s="1574">
        <f t="shared" si="114"/>
        <v>107126</v>
      </c>
      <c r="P148" s="1574">
        <f t="shared" si="115"/>
        <v>103110</v>
      </c>
      <c r="Q148" s="1574">
        <f t="shared" si="116"/>
        <v>97990</v>
      </c>
    </row>
    <row r="149" spans="1:17" x14ac:dyDescent="0.2">
      <c r="A149" s="1581" t="str">
        <f t="shared" si="117"/>
        <v>Net Labor</v>
      </c>
      <c r="B149" s="831">
        <v>879</v>
      </c>
      <c r="C149" s="1571">
        <v>1296419.0099999998</v>
      </c>
      <c r="D149" s="1216">
        <f t="shared" si="110"/>
        <v>0.16035199999999999</v>
      </c>
      <c r="E149" s="1582">
        <f t="shared" si="118"/>
        <v>1382843.71</v>
      </c>
      <c r="F149" s="1571">
        <v>84014.45</v>
      </c>
      <c r="G149" s="1571">
        <v>97073.2</v>
      </c>
      <c r="H149" s="1571">
        <v>121060.73</v>
      </c>
      <c r="I149" s="1571">
        <v>110127.97</v>
      </c>
      <c r="J149" s="1571">
        <v>110215.41</v>
      </c>
      <c r="K149" s="1571">
        <v>139602.95000000001</v>
      </c>
      <c r="L149" s="1574">
        <f t="shared" si="111"/>
        <v>125492</v>
      </c>
      <c r="M149" s="1574">
        <f t="shared" si="112"/>
        <v>116534</v>
      </c>
      <c r="N149" s="1574">
        <f t="shared" si="113"/>
        <v>117253</v>
      </c>
      <c r="O149" s="1574">
        <f t="shared" si="114"/>
        <v>125631</v>
      </c>
      <c r="P149" s="1574">
        <f t="shared" si="115"/>
        <v>120922</v>
      </c>
      <c r="Q149" s="1574">
        <f t="shared" si="116"/>
        <v>114917</v>
      </c>
    </row>
    <row r="150" spans="1:17" x14ac:dyDescent="0.2">
      <c r="A150" s="1581" t="str">
        <f t="shared" si="117"/>
        <v>Net Labor</v>
      </c>
      <c r="B150" s="831">
        <v>880</v>
      </c>
      <c r="C150" s="1571">
        <v>473382.86</v>
      </c>
      <c r="D150" s="1216">
        <f t="shared" si="110"/>
        <v>5.8552E-2</v>
      </c>
      <c r="E150" s="1582">
        <f t="shared" si="118"/>
        <v>527380.49</v>
      </c>
      <c r="F150" s="1571">
        <v>36074.980000000003</v>
      </c>
      <c r="G150" s="1571">
        <v>33400.67</v>
      </c>
      <c r="H150" s="1571">
        <v>49010.21</v>
      </c>
      <c r="I150" s="1571">
        <v>39858.69</v>
      </c>
      <c r="J150" s="1571">
        <v>41243.760000000002</v>
      </c>
      <c r="K150" s="1571">
        <v>64612.18</v>
      </c>
      <c r="L150" s="1574">
        <f t="shared" si="111"/>
        <v>45823</v>
      </c>
      <c r="M150" s="1574">
        <f t="shared" si="112"/>
        <v>42552</v>
      </c>
      <c r="N150" s="1574">
        <f t="shared" si="113"/>
        <v>42815</v>
      </c>
      <c r="O150" s="1574">
        <f t="shared" si="114"/>
        <v>45874</v>
      </c>
      <c r="P150" s="1574">
        <f t="shared" si="115"/>
        <v>44154</v>
      </c>
      <c r="Q150" s="1574">
        <f t="shared" si="116"/>
        <v>41962</v>
      </c>
    </row>
    <row r="151" spans="1:17" x14ac:dyDescent="0.2">
      <c r="A151" s="1581" t="str">
        <f t="shared" si="117"/>
        <v>Net Labor</v>
      </c>
      <c r="B151" s="831">
        <v>885</v>
      </c>
      <c r="C151" s="1571">
        <v>7469.93</v>
      </c>
      <c r="D151" s="1216">
        <f t="shared" si="110"/>
        <v>9.2400000000000002E-4</v>
      </c>
      <c r="E151" s="1582">
        <f t="shared" si="118"/>
        <v>8237.1500000000015</v>
      </c>
      <c r="F151" s="1571">
        <v>678.45</v>
      </c>
      <c r="G151" s="1571">
        <v>704.91</v>
      </c>
      <c r="H151" s="1571">
        <v>653.83000000000004</v>
      </c>
      <c r="I151" s="1571">
        <v>635.53</v>
      </c>
      <c r="J151" s="1571">
        <v>651.15</v>
      </c>
      <c r="K151" s="1571">
        <v>759.28</v>
      </c>
      <c r="L151" s="1574">
        <f t="shared" si="111"/>
        <v>723</v>
      </c>
      <c r="M151" s="1574">
        <f t="shared" si="112"/>
        <v>672</v>
      </c>
      <c r="N151" s="1574">
        <f t="shared" si="113"/>
        <v>676</v>
      </c>
      <c r="O151" s="1574">
        <f t="shared" si="114"/>
        <v>724</v>
      </c>
      <c r="P151" s="1574">
        <f t="shared" si="115"/>
        <v>697</v>
      </c>
      <c r="Q151" s="1574">
        <f t="shared" si="116"/>
        <v>662</v>
      </c>
    </row>
    <row r="152" spans="1:17" x14ac:dyDescent="0.2">
      <c r="A152" s="1581" t="str">
        <f t="shared" si="117"/>
        <v>Net Labor</v>
      </c>
      <c r="B152" s="831">
        <v>886</v>
      </c>
      <c r="C152" s="1571">
        <v>2166.92</v>
      </c>
      <c r="D152" s="1216">
        <f t="shared" si="110"/>
        <v>2.6800000000000001E-4</v>
      </c>
      <c r="E152" s="1582">
        <f t="shared" si="118"/>
        <v>1968.6799999999998</v>
      </c>
      <c r="F152" s="1571">
        <v>0</v>
      </c>
      <c r="G152" s="1571">
        <v>35.549999999999997</v>
      </c>
      <c r="H152" s="1571">
        <v>0</v>
      </c>
      <c r="I152" s="1571">
        <v>633.33000000000004</v>
      </c>
      <c r="J152" s="1571">
        <v>0</v>
      </c>
      <c r="K152" s="1571">
        <v>94.8</v>
      </c>
      <c r="L152" s="1574">
        <f t="shared" si="111"/>
        <v>210</v>
      </c>
      <c r="M152" s="1574">
        <f t="shared" si="112"/>
        <v>195</v>
      </c>
      <c r="N152" s="1574">
        <f t="shared" si="113"/>
        <v>196</v>
      </c>
      <c r="O152" s="1574">
        <f t="shared" si="114"/>
        <v>210</v>
      </c>
      <c r="P152" s="1574">
        <f t="shared" si="115"/>
        <v>202</v>
      </c>
      <c r="Q152" s="1574">
        <f t="shared" si="116"/>
        <v>192</v>
      </c>
    </row>
    <row r="153" spans="1:17" x14ac:dyDescent="0.2">
      <c r="A153" s="1581" t="str">
        <f t="shared" si="117"/>
        <v>Net Labor</v>
      </c>
      <c r="B153" s="831">
        <v>887</v>
      </c>
      <c r="C153" s="1571">
        <v>800263.32999999914</v>
      </c>
      <c r="D153" s="1216">
        <f t="shared" si="110"/>
        <v>9.8983000000000002E-2</v>
      </c>
      <c r="E153" s="1582">
        <f t="shared" si="118"/>
        <v>841927.32</v>
      </c>
      <c r="F153" s="1571">
        <v>39497.97</v>
      </c>
      <c r="G153" s="1571">
        <v>40980.31</v>
      </c>
      <c r="H153" s="1571">
        <v>73173.14</v>
      </c>
      <c r="I153" s="1571">
        <v>79850.679999999993</v>
      </c>
      <c r="J153" s="1571">
        <v>71405.429999999993</v>
      </c>
      <c r="K153" s="1571">
        <v>92110.79</v>
      </c>
      <c r="L153" s="1574">
        <f t="shared" si="111"/>
        <v>77464</v>
      </c>
      <c r="M153" s="1574">
        <f t="shared" si="112"/>
        <v>71935</v>
      </c>
      <c r="N153" s="1574">
        <f t="shared" si="113"/>
        <v>72379</v>
      </c>
      <c r="O153" s="1574">
        <f t="shared" si="114"/>
        <v>77551</v>
      </c>
      <c r="P153" s="1574">
        <f t="shared" si="115"/>
        <v>74643</v>
      </c>
      <c r="Q153" s="1574">
        <f t="shared" si="116"/>
        <v>70937</v>
      </c>
    </row>
    <row r="154" spans="1:17" x14ac:dyDescent="0.2">
      <c r="A154" s="1581" t="str">
        <f t="shared" si="117"/>
        <v>Net Labor</v>
      </c>
      <c r="B154" s="831">
        <v>889</v>
      </c>
      <c r="C154" s="1571">
        <v>119729.34999999999</v>
      </c>
      <c r="D154" s="1216">
        <f t="shared" si="110"/>
        <v>1.4808999999999999E-2</v>
      </c>
      <c r="E154" s="1582">
        <f t="shared" si="118"/>
        <v>129612.97</v>
      </c>
      <c r="F154" s="1571">
        <v>17899.310000000001</v>
      </c>
      <c r="G154" s="1571">
        <v>11469.59</v>
      </c>
      <c r="H154" s="1571">
        <v>4634.76</v>
      </c>
      <c r="I154" s="1571">
        <v>3192.11</v>
      </c>
      <c r="J154" s="1571">
        <v>15357.58</v>
      </c>
      <c r="K154" s="1571">
        <v>10496.62</v>
      </c>
      <c r="L154" s="1574">
        <f t="shared" si="111"/>
        <v>11590</v>
      </c>
      <c r="M154" s="1574">
        <f t="shared" si="112"/>
        <v>10762</v>
      </c>
      <c r="N154" s="1574">
        <f t="shared" si="113"/>
        <v>10829</v>
      </c>
      <c r="O154" s="1574">
        <f t="shared" si="114"/>
        <v>11602</v>
      </c>
      <c r="P154" s="1574">
        <f t="shared" si="115"/>
        <v>11167</v>
      </c>
      <c r="Q154" s="1574">
        <f t="shared" si="116"/>
        <v>10613</v>
      </c>
    </row>
    <row r="155" spans="1:17" x14ac:dyDescent="0.2">
      <c r="A155" s="1581" t="str">
        <f t="shared" si="117"/>
        <v>Net Labor</v>
      </c>
      <c r="B155" s="831">
        <v>890</v>
      </c>
      <c r="C155" s="1571">
        <v>16772.05</v>
      </c>
      <c r="D155" s="1216">
        <f t="shared" si="110"/>
        <v>2.075E-3</v>
      </c>
      <c r="E155" s="1582">
        <f t="shared" si="118"/>
        <v>18872.45</v>
      </c>
      <c r="F155" s="1571">
        <v>1399.07</v>
      </c>
      <c r="G155" s="1571">
        <v>1022.8</v>
      </c>
      <c r="H155" s="1571">
        <v>2263.2600000000002</v>
      </c>
      <c r="I155" s="1571">
        <v>2720.04</v>
      </c>
      <c r="J155" s="1571">
        <v>995.57</v>
      </c>
      <c r="K155" s="1571">
        <v>1144.71</v>
      </c>
      <c r="L155" s="1574">
        <f t="shared" si="111"/>
        <v>1624</v>
      </c>
      <c r="M155" s="1574">
        <f t="shared" si="112"/>
        <v>1508</v>
      </c>
      <c r="N155" s="1574">
        <f t="shared" si="113"/>
        <v>1517</v>
      </c>
      <c r="O155" s="1574">
        <f t="shared" si="114"/>
        <v>1626</v>
      </c>
      <c r="P155" s="1574">
        <f t="shared" si="115"/>
        <v>1565</v>
      </c>
      <c r="Q155" s="1574">
        <f t="shared" si="116"/>
        <v>1487</v>
      </c>
    </row>
    <row r="156" spans="1:17" x14ac:dyDescent="0.2">
      <c r="A156" s="1581" t="str">
        <f t="shared" si="117"/>
        <v>Net Labor</v>
      </c>
      <c r="B156" s="831">
        <v>892</v>
      </c>
      <c r="C156" s="1571">
        <v>258003.12</v>
      </c>
      <c r="D156" s="1216">
        <f t="shared" si="110"/>
        <v>3.1912000000000003E-2</v>
      </c>
      <c r="E156" s="1582">
        <f t="shared" si="118"/>
        <v>270728.53999999998</v>
      </c>
      <c r="F156" s="1571">
        <v>15522.99</v>
      </c>
      <c r="G156" s="1571">
        <v>14888.64</v>
      </c>
      <c r="H156" s="1571">
        <v>22240.12</v>
      </c>
      <c r="I156" s="1571">
        <v>21667.66</v>
      </c>
      <c r="J156" s="1571">
        <v>24552.76</v>
      </c>
      <c r="K156" s="1571">
        <v>28418.37</v>
      </c>
      <c r="L156" s="1574">
        <f t="shared" si="111"/>
        <v>24974</v>
      </c>
      <c r="M156" s="1574">
        <f t="shared" si="112"/>
        <v>23192</v>
      </c>
      <c r="N156" s="1574">
        <f t="shared" si="113"/>
        <v>23335</v>
      </c>
      <c r="O156" s="1574">
        <f t="shared" si="114"/>
        <v>25002</v>
      </c>
      <c r="P156" s="1574">
        <f t="shared" si="115"/>
        <v>24065</v>
      </c>
      <c r="Q156" s="1574">
        <f t="shared" si="116"/>
        <v>22870</v>
      </c>
    </row>
    <row r="157" spans="1:17" x14ac:dyDescent="0.2">
      <c r="A157" s="1581" t="str">
        <f t="shared" si="117"/>
        <v>Net Labor</v>
      </c>
      <c r="B157" s="831">
        <v>893</v>
      </c>
      <c r="C157" s="1571">
        <v>23199.120000000003</v>
      </c>
      <c r="D157" s="1216">
        <f t="shared" si="110"/>
        <v>2.869E-3</v>
      </c>
      <c r="E157" s="1582">
        <f t="shared" si="118"/>
        <v>33249.520000000004</v>
      </c>
      <c r="F157" s="1571">
        <v>3937.5</v>
      </c>
      <c r="G157" s="1571">
        <v>2579.69</v>
      </c>
      <c r="H157" s="1571">
        <v>2410.29</v>
      </c>
      <c r="I157" s="1571">
        <v>1676.76</v>
      </c>
      <c r="J157" s="1571">
        <v>1658.97</v>
      </c>
      <c r="K157" s="1571">
        <v>8090.31</v>
      </c>
      <c r="L157" s="1574">
        <f t="shared" si="111"/>
        <v>2245</v>
      </c>
      <c r="M157" s="1574">
        <f t="shared" si="112"/>
        <v>2085</v>
      </c>
      <c r="N157" s="1574">
        <f t="shared" si="113"/>
        <v>2098</v>
      </c>
      <c r="O157" s="1574">
        <f t="shared" si="114"/>
        <v>2248</v>
      </c>
      <c r="P157" s="1574">
        <f t="shared" si="115"/>
        <v>2164</v>
      </c>
      <c r="Q157" s="1574">
        <f t="shared" si="116"/>
        <v>2056</v>
      </c>
    </row>
    <row r="158" spans="1:17" x14ac:dyDescent="0.2">
      <c r="A158" s="1581" t="str">
        <f t="shared" si="117"/>
        <v>Net Labor</v>
      </c>
      <c r="B158" s="831">
        <v>894</v>
      </c>
      <c r="C158" s="1571">
        <v>107278.9699999999</v>
      </c>
      <c r="D158" s="1216">
        <f t="shared" si="110"/>
        <v>1.3269E-2</v>
      </c>
      <c r="E158" s="1582">
        <f t="shared" si="118"/>
        <v>133196.82</v>
      </c>
      <c r="F158" s="1571">
        <v>7972.02</v>
      </c>
      <c r="G158" s="1571">
        <v>4580.68</v>
      </c>
      <c r="H158" s="1571">
        <v>8057.95</v>
      </c>
      <c r="I158" s="1571">
        <v>19500.009999999998</v>
      </c>
      <c r="J158" s="1571">
        <v>8184.84</v>
      </c>
      <c r="K158" s="1571">
        <v>25260.32</v>
      </c>
      <c r="L158" s="1574">
        <f t="shared" si="111"/>
        <v>10384</v>
      </c>
      <c r="M158" s="1574">
        <f t="shared" si="112"/>
        <v>9643</v>
      </c>
      <c r="N158" s="1574">
        <f t="shared" si="113"/>
        <v>9703</v>
      </c>
      <c r="O158" s="1574">
        <f t="shared" si="114"/>
        <v>10396</v>
      </c>
      <c r="P158" s="1574">
        <f t="shared" si="115"/>
        <v>10006</v>
      </c>
      <c r="Q158" s="1574">
        <f t="shared" si="116"/>
        <v>9509</v>
      </c>
    </row>
    <row r="159" spans="1:17" x14ac:dyDescent="0.2">
      <c r="A159" s="1581" t="str">
        <f t="shared" si="117"/>
        <v>Net Labor</v>
      </c>
      <c r="B159" s="831">
        <v>902</v>
      </c>
      <c r="C159" s="1571">
        <v>142829.91999999998</v>
      </c>
      <c r="D159" s="1216">
        <f t="shared" si="110"/>
        <v>1.7666000000000001E-2</v>
      </c>
      <c r="E159" s="1582">
        <f t="shared" si="118"/>
        <v>151928.39000000001</v>
      </c>
      <c r="F159" s="1571">
        <v>9437.11</v>
      </c>
      <c r="G159" s="1571">
        <v>10663.92</v>
      </c>
      <c r="H159" s="1571">
        <v>12395.36</v>
      </c>
      <c r="I159" s="1571">
        <v>13408.12</v>
      </c>
      <c r="J159" s="1571">
        <v>11609.09</v>
      </c>
      <c r="K159" s="1571">
        <v>15009.79</v>
      </c>
      <c r="L159" s="1574">
        <f t="shared" si="111"/>
        <v>13825</v>
      </c>
      <c r="M159" s="1574">
        <f t="shared" si="112"/>
        <v>12839</v>
      </c>
      <c r="N159" s="1574">
        <f t="shared" si="113"/>
        <v>12918</v>
      </c>
      <c r="O159" s="1574">
        <f t="shared" si="114"/>
        <v>13841</v>
      </c>
      <c r="P159" s="1574">
        <f t="shared" si="115"/>
        <v>13322</v>
      </c>
      <c r="Q159" s="1574">
        <f t="shared" si="116"/>
        <v>12660</v>
      </c>
    </row>
    <row r="160" spans="1:17" x14ac:dyDescent="0.2">
      <c r="A160" s="1581" t="str">
        <f t="shared" si="117"/>
        <v>Net Labor</v>
      </c>
      <c r="B160" s="832">
        <v>903</v>
      </c>
      <c r="C160" s="1571">
        <v>598286.1399999999</v>
      </c>
      <c r="D160" s="1216">
        <f t="shared" si="110"/>
        <v>7.4000999999999997E-2</v>
      </c>
      <c r="E160" s="1582">
        <f t="shared" si="118"/>
        <v>643066.32000000007</v>
      </c>
      <c r="F160" s="1571">
        <v>48788.08</v>
      </c>
      <c r="G160" s="1571">
        <v>53446.55</v>
      </c>
      <c r="H160" s="1571">
        <v>60303.44</v>
      </c>
      <c r="I160" s="1571">
        <v>46296.41</v>
      </c>
      <c r="J160" s="1571">
        <v>47489.36</v>
      </c>
      <c r="K160" s="1571">
        <v>54124.480000000003</v>
      </c>
      <c r="L160" s="1574">
        <f t="shared" si="111"/>
        <v>57913</v>
      </c>
      <c r="M160" s="1574">
        <f t="shared" si="112"/>
        <v>53779</v>
      </c>
      <c r="N160" s="1574">
        <f t="shared" si="113"/>
        <v>54111</v>
      </c>
      <c r="O160" s="1574">
        <f t="shared" si="114"/>
        <v>57978</v>
      </c>
      <c r="P160" s="1574">
        <f t="shared" si="115"/>
        <v>55804</v>
      </c>
      <c r="Q160" s="1574">
        <f t="shared" si="116"/>
        <v>53033</v>
      </c>
    </row>
    <row r="161" spans="1:17" x14ac:dyDescent="0.2">
      <c r="A161" s="1581" t="str">
        <f t="shared" si="117"/>
        <v>Net Labor</v>
      </c>
      <c r="B161" s="831">
        <v>908</v>
      </c>
      <c r="C161" s="1571">
        <v>11216.48</v>
      </c>
      <c r="D161" s="1216">
        <f t="shared" si="110"/>
        <v>1.387E-3</v>
      </c>
      <c r="E161" s="1582">
        <f t="shared" si="118"/>
        <v>9425.34</v>
      </c>
      <c r="F161" s="1571">
        <v>1268.05</v>
      </c>
      <c r="G161" s="1571">
        <v>1012.36</v>
      </c>
      <c r="H161" s="1571">
        <v>910.93</v>
      </c>
      <c r="I161" s="1571">
        <v>0</v>
      </c>
      <c r="J161" s="1571">
        <v>318.98</v>
      </c>
      <c r="K161" s="1571">
        <v>-318.98</v>
      </c>
      <c r="L161" s="1574">
        <f t="shared" si="111"/>
        <v>1085</v>
      </c>
      <c r="M161" s="1574">
        <f t="shared" si="112"/>
        <v>1008</v>
      </c>
      <c r="N161" s="1574">
        <f t="shared" si="113"/>
        <v>1014</v>
      </c>
      <c r="O161" s="1574">
        <f t="shared" si="114"/>
        <v>1087</v>
      </c>
      <c r="P161" s="1574">
        <f t="shared" si="115"/>
        <v>1046</v>
      </c>
      <c r="Q161" s="1574">
        <f t="shared" si="116"/>
        <v>994</v>
      </c>
    </row>
    <row r="162" spans="1:17" x14ac:dyDescent="0.2">
      <c r="A162" s="1581" t="str">
        <f t="shared" si="117"/>
        <v>Net Labor</v>
      </c>
      <c r="B162" s="831">
        <v>920</v>
      </c>
      <c r="C162" s="1571">
        <v>1380473.0199999998</v>
      </c>
      <c r="D162" s="1216">
        <f t="shared" si="110"/>
        <v>0.17074800000000001</v>
      </c>
      <c r="E162" s="1582">
        <f t="shared" si="118"/>
        <v>1529965.02</v>
      </c>
      <c r="F162" s="1571">
        <v>123574.26</v>
      </c>
      <c r="G162" s="1571">
        <v>117505.81</v>
      </c>
      <c r="H162" s="1571">
        <v>170007.19</v>
      </c>
      <c r="I162" s="1571">
        <v>110743.69</v>
      </c>
      <c r="J162" s="1571">
        <v>111158.77</v>
      </c>
      <c r="K162" s="1571">
        <v>129498.3</v>
      </c>
      <c r="L162" s="1574">
        <f t="shared" si="111"/>
        <v>133628</v>
      </c>
      <c r="M162" s="1574">
        <f t="shared" si="112"/>
        <v>124089</v>
      </c>
      <c r="N162" s="1574">
        <f t="shared" si="113"/>
        <v>124855</v>
      </c>
      <c r="O162" s="1574">
        <f t="shared" si="114"/>
        <v>133776</v>
      </c>
      <c r="P162" s="1574">
        <f t="shared" si="115"/>
        <v>128761</v>
      </c>
      <c r="Q162" s="1574">
        <f t="shared" si="116"/>
        <v>122368</v>
      </c>
    </row>
    <row r="163" spans="1:17" ht="13.5" x14ac:dyDescent="0.35">
      <c r="A163" s="1581" t="str">
        <f t="shared" si="117"/>
        <v>Net Labor</v>
      </c>
      <c r="B163" s="832">
        <v>923</v>
      </c>
      <c r="C163" s="1623">
        <v>4011.53</v>
      </c>
      <c r="D163" s="1570">
        <f t="shared" si="110"/>
        <v>4.9600000000000002E-4</v>
      </c>
      <c r="E163" s="1587">
        <f t="shared" si="118"/>
        <v>2227</v>
      </c>
      <c r="F163" s="1623">
        <v>0</v>
      </c>
      <c r="G163" s="1623">
        <v>0</v>
      </c>
      <c r="H163" s="1623">
        <v>0</v>
      </c>
      <c r="I163" s="1623">
        <v>0</v>
      </c>
      <c r="J163" s="1623">
        <v>0</v>
      </c>
      <c r="K163" s="1623">
        <v>0</v>
      </c>
      <c r="L163" s="2008">
        <f t="shared" ref="L163:Q163" si="119">L164-SUM(L143:L162)</f>
        <v>389</v>
      </c>
      <c r="M163" s="2008">
        <f t="shared" si="119"/>
        <v>358</v>
      </c>
      <c r="N163" s="2008">
        <f t="shared" si="119"/>
        <v>361</v>
      </c>
      <c r="O163" s="2008">
        <f t="shared" si="119"/>
        <v>388</v>
      </c>
      <c r="P163" s="2008">
        <f t="shared" si="119"/>
        <v>375</v>
      </c>
      <c r="Q163" s="2008">
        <f t="shared" si="119"/>
        <v>356</v>
      </c>
    </row>
    <row r="164" spans="1:17" x14ac:dyDescent="0.2">
      <c r="A164" s="1113"/>
      <c r="B164" s="1626"/>
      <c r="C164" s="1582">
        <f>SUM(C143:C163)</f>
        <v>8084844.1199999973</v>
      </c>
      <c r="D164" s="1216">
        <f>SUM(D143:D163)</f>
        <v>1.0000000000000002</v>
      </c>
      <c r="E164" s="1582">
        <f>SUM(E143:E163)</f>
        <v>8641279.9700000007</v>
      </c>
      <c r="F164" s="1582">
        <f>SUM(F143:F163)</f>
        <v>610122.46000000008</v>
      </c>
      <c r="G164" s="1582">
        <f t="shared" ref="G164:K164" si="120">SUM(G143:G163)</f>
        <v>619989.23</v>
      </c>
      <c r="H164" s="1582">
        <f t="shared" si="120"/>
        <v>733129.45000000019</v>
      </c>
      <c r="I164" s="1582">
        <f t="shared" si="120"/>
        <v>758717.2200000002</v>
      </c>
      <c r="J164" s="1582">
        <f t="shared" si="120"/>
        <v>676780.41000000015</v>
      </c>
      <c r="K164" s="1582">
        <f t="shared" si="120"/>
        <v>747748.20000000007</v>
      </c>
      <c r="L164" s="1574">
        <f t="shared" ref="L164:Q164" si="121">L79</f>
        <v>782602</v>
      </c>
      <c r="M164" s="1574">
        <f t="shared" si="121"/>
        <v>726736</v>
      </c>
      <c r="N164" s="1574">
        <f t="shared" si="121"/>
        <v>731224</v>
      </c>
      <c r="O164" s="1574">
        <f t="shared" si="121"/>
        <v>783473</v>
      </c>
      <c r="P164" s="1574">
        <f t="shared" si="121"/>
        <v>754102</v>
      </c>
      <c r="Q164" s="1574">
        <f t="shared" si="121"/>
        <v>716656</v>
      </c>
    </row>
    <row r="165" spans="1:17" x14ac:dyDescent="0.2">
      <c r="A165" s="1113"/>
      <c r="B165" s="1626"/>
      <c r="C165" s="1582"/>
      <c r="D165" s="1216"/>
      <c r="E165" s="1582"/>
      <c r="F165" s="1582"/>
      <c r="G165" s="1582"/>
      <c r="H165" s="1582"/>
      <c r="I165" s="1582"/>
      <c r="J165" s="1582"/>
      <c r="K165" s="1582"/>
      <c r="L165" s="1574"/>
      <c r="M165" s="1574"/>
      <c r="N165" s="1574"/>
      <c r="O165" s="1574"/>
      <c r="P165" s="1574"/>
      <c r="Q165" s="1574"/>
    </row>
    <row r="166" spans="1:17" x14ac:dyDescent="0.2">
      <c r="A166" s="1110" t="str">
        <f>$B$105</f>
        <v>Materials &amp; Supplies</v>
      </c>
      <c r="B166" s="831">
        <v>870</v>
      </c>
      <c r="C166" s="1571">
        <v>6702.62</v>
      </c>
      <c r="D166" s="1216">
        <f t="shared" ref="D166:D184" si="122">ROUND(C166/$C$185,6)</f>
        <v>3.8839999999999999E-3</v>
      </c>
      <c r="E166" s="1582">
        <f t="shared" ref="E166:E184" si="123">SUM(F166:Q166)</f>
        <v>8773.9500000000007</v>
      </c>
      <c r="F166" s="1571">
        <v>382.23</v>
      </c>
      <c r="G166" s="1571">
        <v>1442.21</v>
      </c>
      <c r="H166" s="1571">
        <v>1927.88</v>
      </c>
      <c r="I166" s="1571">
        <v>493.59</v>
      </c>
      <c r="J166" s="1571">
        <v>475.73</v>
      </c>
      <c r="K166" s="1571">
        <v>370.31</v>
      </c>
      <c r="L166" s="1574">
        <f t="shared" ref="L166:L183" si="124">ROUND(D166*$L$185,0)</f>
        <v>551</v>
      </c>
      <c r="M166" s="1574">
        <f t="shared" ref="M166:M183" si="125">ROUND(D166*$M$185,0)</f>
        <v>617</v>
      </c>
      <c r="N166" s="1574">
        <f t="shared" ref="N166:N183" si="126">ROUND(D166*$N$185,0)</f>
        <v>588</v>
      </c>
      <c r="O166" s="1574">
        <f t="shared" ref="O166:O183" si="127">ROUND(D166*$O$185,0)</f>
        <v>668</v>
      </c>
      <c r="P166" s="1574">
        <f t="shared" ref="P166:P183" si="128">ROUND(D166*$P$185,0)</f>
        <v>683</v>
      </c>
      <c r="Q166" s="1574">
        <f t="shared" ref="Q166:Q183" si="129">ROUND(D166*$Q$185,0)</f>
        <v>575</v>
      </c>
    </row>
    <row r="167" spans="1:17" x14ac:dyDescent="0.2">
      <c r="A167" s="1110" t="str">
        <f t="shared" ref="A167:A184" si="130">$B$105</f>
        <v>Materials &amp; Supplies</v>
      </c>
      <c r="B167" s="831">
        <v>874</v>
      </c>
      <c r="C167" s="1571">
        <v>243079.33</v>
      </c>
      <c r="D167" s="1216">
        <f t="shared" si="122"/>
        <v>0.14086599999999999</v>
      </c>
      <c r="E167" s="1582">
        <f t="shared" si="123"/>
        <v>295415.90000000002</v>
      </c>
      <c r="F167" s="1571">
        <v>8804.65</v>
      </c>
      <c r="G167" s="1571">
        <v>15833.87</v>
      </c>
      <c r="H167" s="1571">
        <v>48211.93</v>
      </c>
      <c r="I167" s="1571">
        <v>58693.03</v>
      </c>
      <c r="J167" s="1571">
        <v>14598.07</v>
      </c>
      <c r="K167" s="1571">
        <v>15725.35</v>
      </c>
      <c r="L167" s="1574">
        <f t="shared" si="124"/>
        <v>20000</v>
      </c>
      <c r="M167" s="1574">
        <f t="shared" si="125"/>
        <v>22366</v>
      </c>
      <c r="N167" s="1574">
        <f t="shared" si="126"/>
        <v>21321</v>
      </c>
      <c r="O167" s="1574">
        <f t="shared" si="127"/>
        <v>24225</v>
      </c>
      <c r="P167" s="1574">
        <f t="shared" si="128"/>
        <v>24782</v>
      </c>
      <c r="Q167" s="1574">
        <f t="shared" si="129"/>
        <v>20855</v>
      </c>
    </row>
    <row r="168" spans="1:17" x14ac:dyDescent="0.2">
      <c r="A168" s="1110" t="str">
        <f t="shared" si="130"/>
        <v>Materials &amp; Supplies</v>
      </c>
      <c r="B168" s="831">
        <v>875</v>
      </c>
      <c r="C168" s="1571">
        <v>3308.36</v>
      </c>
      <c r="D168" s="1216">
        <f t="shared" si="122"/>
        <v>1.9170000000000001E-3</v>
      </c>
      <c r="E168" s="1582">
        <f t="shared" si="123"/>
        <v>2645.2200000000003</v>
      </c>
      <c r="F168" s="1571">
        <v>0</v>
      </c>
      <c r="G168" s="1571">
        <v>103.46</v>
      </c>
      <c r="H168" s="1571">
        <v>0</v>
      </c>
      <c r="I168" s="1571">
        <v>50.88</v>
      </c>
      <c r="J168" s="1571">
        <v>673.88</v>
      </c>
      <c r="K168" s="1571">
        <v>0</v>
      </c>
      <c r="L168" s="1574">
        <f t="shared" si="124"/>
        <v>272</v>
      </c>
      <c r="M168" s="1574">
        <f t="shared" si="125"/>
        <v>304</v>
      </c>
      <c r="N168" s="1574">
        <f t="shared" si="126"/>
        <v>290</v>
      </c>
      <c r="O168" s="1574">
        <f t="shared" si="127"/>
        <v>330</v>
      </c>
      <c r="P168" s="1574">
        <f t="shared" si="128"/>
        <v>337</v>
      </c>
      <c r="Q168" s="1574">
        <f t="shared" si="129"/>
        <v>284</v>
      </c>
    </row>
    <row r="169" spans="1:17" x14ac:dyDescent="0.2">
      <c r="A169" s="1110" t="str">
        <f t="shared" si="130"/>
        <v>Materials &amp; Supplies</v>
      </c>
      <c r="B169" s="831">
        <v>876</v>
      </c>
      <c r="C169" s="1571">
        <v>455.91</v>
      </c>
      <c r="D169" s="1216">
        <f t="shared" si="122"/>
        <v>2.6400000000000002E-4</v>
      </c>
      <c r="E169" s="1582">
        <f t="shared" si="123"/>
        <v>428.19</v>
      </c>
      <c r="F169" s="1571">
        <v>0</v>
      </c>
      <c r="G169" s="1571">
        <v>179.19</v>
      </c>
      <c r="H169" s="1571">
        <v>0</v>
      </c>
      <c r="I169" s="1571">
        <v>0</v>
      </c>
      <c r="J169" s="1571">
        <v>0</v>
      </c>
      <c r="K169" s="1571">
        <v>0</v>
      </c>
      <c r="L169" s="1574">
        <f t="shared" si="124"/>
        <v>37</v>
      </c>
      <c r="M169" s="1574">
        <f t="shared" si="125"/>
        <v>42</v>
      </c>
      <c r="N169" s="1574">
        <f t="shared" si="126"/>
        <v>40</v>
      </c>
      <c r="O169" s="1574">
        <f t="shared" si="127"/>
        <v>45</v>
      </c>
      <c r="P169" s="1574">
        <f t="shared" si="128"/>
        <v>46</v>
      </c>
      <c r="Q169" s="1574">
        <f t="shared" si="129"/>
        <v>39</v>
      </c>
    </row>
    <row r="170" spans="1:17" x14ac:dyDescent="0.2">
      <c r="A170" s="1110" t="str">
        <f t="shared" si="130"/>
        <v>Materials &amp; Supplies</v>
      </c>
      <c r="B170" s="831">
        <v>878</v>
      </c>
      <c r="C170" s="1571">
        <v>57666.74</v>
      </c>
      <c r="D170" s="1216">
        <f t="shared" si="122"/>
        <v>3.3418000000000003E-2</v>
      </c>
      <c r="E170" s="1582">
        <f t="shared" si="123"/>
        <v>58723.06</v>
      </c>
      <c r="F170" s="1571">
        <v>2083.12</v>
      </c>
      <c r="G170" s="1571">
        <v>4249.92</v>
      </c>
      <c r="H170" s="1571">
        <v>5182.22</v>
      </c>
      <c r="I170" s="1571">
        <v>9704.91</v>
      </c>
      <c r="J170" s="1571">
        <v>2688.36</v>
      </c>
      <c r="K170" s="1571">
        <v>3131.53</v>
      </c>
      <c r="L170" s="1574">
        <f t="shared" si="124"/>
        <v>4745</v>
      </c>
      <c r="M170" s="1574">
        <f t="shared" si="125"/>
        <v>5306</v>
      </c>
      <c r="N170" s="1574">
        <f t="shared" si="126"/>
        <v>5058</v>
      </c>
      <c r="O170" s="1574">
        <f t="shared" si="127"/>
        <v>5747</v>
      </c>
      <c r="P170" s="1574">
        <f t="shared" si="128"/>
        <v>5879</v>
      </c>
      <c r="Q170" s="1574">
        <f t="shared" si="129"/>
        <v>4948</v>
      </c>
    </row>
    <row r="171" spans="1:17" x14ac:dyDescent="0.2">
      <c r="A171" s="1110" t="str">
        <f t="shared" si="130"/>
        <v>Materials &amp; Supplies</v>
      </c>
      <c r="B171" s="831">
        <v>879</v>
      </c>
      <c r="C171" s="1571">
        <v>28755.100000000002</v>
      </c>
      <c r="D171" s="1216">
        <f t="shared" si="122"/>
        <v>1.6664000000000002E-2</v>
      </c>
      <c r="E171" s="1582">
        <f t="shared" si="123"/>
        <v>31487.280000000002</v>
      </c>
      <c r="F171" s="1571">
        <v>2147.0300000000002</v>
      </c>
      <c r="G171" s="1571">
        <v>1740.02</v>
      </c>
      <c r="H171" s="1571">
        <v>3258.08</v>
      </c>
      <c r="I171" s="1571">
        <v>4866.68</v>
      </c>
      <c r="J171" s="1571">
        <v>2212.9299999999998</v>
      </c>
      <c r="K171" s="1571">
        <v>1463.54</v>
      </c>
      <c r="L171" s="1574">
        <f t="shared" si="124"/>
        <v>2366</v>
      </c>
      <c r="M171" s="1574">
        <f t="shared" si="125"/>
        <v>2646</v>
      </c>
      <c r="N171" s="1574">
        <f t="shared" si="126"/>
        <v>2522</v>
      </c>
      <c r="O171" s="1574">
        <f t="shared" si="127"/>
        <v>2866</v>
      </c>
      <c r="P171" s="1574">
        <f t="shared" si="128"/>
        <v>2932</v>
      </c>
      <c r="Q171" s="1574">
        <f t="shared" si="129"/>
        <v>2467</v>
      </c>
    </row>
    <row r="172" spans="1:17" x14ac:dyDescent="0.2">
      <c r="A172" s="1110" t="str">
        <f t="shared" si="130"/>
        <v>Materials &amp; Supplies</v>
      </c>
      <c r="B172" s="831">
        <v>880</v>
      </c>
      <c r="C172" s="1571">
        <v>187775.75</v>
      </c>
      <c r="D172" s="1216">
        <f t="shared" si="122"/>
        <v>0.108817</v>
      </c>
      <c r="E172" s="1582">
        <f t="shared" si="123"/>
        <v>203964.81</v>
      </c>
      <c r="F172" s="1571">
        <v>19110</v>
      </c>
      <c r="G172" s="1571">
        <v>11467.23</v>
      </c>
      <c r="H172" s="1571">
        <v>18022.5</v>
      </c>
      <c r="I172" s="1571">
        <v>5590.6</v>
      </c>
      <c r="J172" s="1571">
        <v>30723.91</v>
      </c>
      <c r="K172" s="1571">
        <v>15885.57</v>
      </c>
      <c r="L172" s="1574">
        <f t="shared" si="124"/>
        <v>15450</v>
      </c>
      <c r="M172" s="1574">
        <f t="shared" si="125"/>
        <v>17277</v>
      </c>
      <c r="N172" s="1574">
        <f t="shared" si="126"/>
        <v>16470</v>
      </c>
      <c r="O172" s="1574">
        <f t="shared" si="127"/>
        <v>18713</v>
      </c>
      <c r="P172" s="1574">
        <f t="shared" si="128"/>
        <v>19144</v>
      </c>
      <c r="Q172" s="1574">
        <f t="shared" si="129"/>
        <v>16111</v>
      </c>
    </row>
    <row r="173" spans="1:17" x14ac:dyDescent="0.2">
      <c r="A173" s="1110" t="str">
        <f t="shared" si="130"/>
        <v>Materials &amp; Supplies</v>
      </c>
      <c r="B173" s="831">
        <v>885</v>
      </c>
      <c r="C173" s="1571">
        <v>238.30999999999997</v>
      </c>
      <c r="D173" s="1216">
        <f t="shared" si="122"/>
        <v>1.3799999999999999E-4</v>
      </c>
      <c r="E173" s="1582">
        <f t="shared" si="123"/>
        <v>255.65</v>
      </c>
      <c r="F173" s="1571">
        <v>23.95</v>
      </c>
      <c r="G173" s="1571">
        <v>15.71</v>
      </c>
      <c r="H173" s="1571">
        <v>37.43</v>
      </c>
      <c r="I173" s="1571">
        <v>21.95</v>
      </c>
      <c r="J173" s="1571">
        <v>0.96</v>
      </c>
      <c r="K173" s="1571">
        <v>24.65</v>
      </c>
      <c r="L173" s="1574">
        <f t="shared" si="124"/>
        <v>20</v>
      </c>
      <c r="M173" s="1574">
        <f t="shared" si="125"/>
        <v>22</v>
      </c>
      <c r="N173" s="1574">
        <f t="shared" si="126"/>
        <v>21</v>
      </c>
      <c r="O173" s="1574">
        <f t="shared" si="127"/>
        <v>24</v>
      </c>
      <c r="P173" s="1574">
        <f t="shared" si="128"/>
        <v>24</v>
      </c>
      <c r="Q173" s="1574">
        <f t="shared" si="129"/>
        <v>20</v>
      </c>
    </row>
    <row r="174" spans="1:17" x14ac:dyDescent="0.2">
      <c r="A174" s="1110" t="str">
        <f t="shared" si="130"/>
        <v>Materials &amp; Supplies</v>
      </c>
      <c r="B174" s="831">
        <v>886</v>
      </c>
      <c r="C174" s="1571">
        <v>22522.69</v>
      </c>
      <c r="D174" s="1216">
        <f t="shared" si="122"/>
        <v>1.3051999999999999E-2</v>
      </c>
      <c r="E174" s="1582">
        <f t="shared" si="123"/>
        <v>33484.54</v>
      </c>
      <c r="F174" s="1571">
        <v>1572.57</v>
      </c>
      <c r="G174" s="1571">
        <v>4289.5</v>
      </c>
      <c r="H174" s="1571">
        <v>866.83</v>
      </c>
      <c r="I174" s="1571">
        <v>6657.3</v>
      </c>
      <c r="J174" s="1571">
        <v>1969.91</v>
      </c>
      <c r="K174" s="1571">
        <v>5755.43</v>
      </c>
      <c r="L174" s="1574">
        <f t="shared" si="124"/>
        <v>1853</v>
      </c>
      <c r="M174" s="1574">
        <f t="shared" si="125"/>
        <v>2072</v>
      </c>
      <c r="N174" s="1574">
        <f t="shared" si="126"/>
        <v>1975</v>
      </c>
      <c r="O174" s="1574">
        <f t="shared" si="127"/>
        <v>2245</v>
      </c>
      <c r="P174" s="1574">
        <f t="shared" si="128"/>
        <v>2296</v>
      </c>
      <c r="Q174" s="1574">
        <f t="shared" si="129"/>
        <v>1932</v>
      </c>
    </row>
    <row r="175" spans="1:17" x14ac:dyDescent="0.2">
      <c r="A175" s="1110" t="str">
        <f t="shared" si="130"/>
        <v>Materials &amp; Supplies</v>
      </c>
      <c r="B175" s="831">
        <v>887</v>
      </c>
      <c r="C175" s="1571">
        <v>290883.15000000002</v>
      </c>
      <c r="D175" s="1216">
        <f t="shared" si="122"/>
        <v>0.168569</v>
      </c>
      <c r="E175" s="1582">
        <f t="shared" si="123"/>
        <v>320976.08999999997</v>
      </c>
      <c r="F175" s="1571">
        <v>30006.86</v>
      </c>
      <c r="G175" s="1571">
        <v>31024.5</v>
      </c>
      <c r="H175" s="1571">
        <v>29628.91</v>
      </c>
      <c r="I175" s="1571">
        <v>40764.49</v>
      </c>
      <c r="J175" s="1571">
        <v>12666.62</v>
      </c>
      <c r="K175" s="1571">
        <v>17071.71</v>
      </c>
      <c r="L175" s="1574">
        <f t="shared" si="124"/>
        <v>23933</v>
      </c>
      <c r="M175" s="1574">
        <f t="shared" si="125"/>
        <v>26764</v>
      </c>
      <c r="N175" s="1574">
        <f t="shared" si="126"/>
        <v>25514</v>
      </c>
      <c r="O175" s="1574">
        <f t="shared" si="127"/>
        <v>28989</v>
      </c>
      <c r="P175" s="1574">
        <f t="shared" si="128"/>
        <v>29656</v>
      </c>
      <c r="Q175" s="1574">
        <f t="shared" si="129"/>
        <v>24957</v>
      </c>
    </row>
    <row r="176" spans="1:17" x14ac:dyDescent="0.2">
      <c r="A176" s="1110" t="str">
        <f t="shared" si="130"/>
        <v>Materials &amp; Supplies</v>
      </c>
      <c r="B176" s="831">
        <v>889</v>
      </c>
      <c r="C176" s="1571">
        <v>73436.460000000006</v>
      </c>
      <c r="D176" s="1216">
        <f t="shared" si="122"/>
        <v>4.2556999999999998E-2</v>
      </c>
      <c r="E176" s="1582">
        <f t="shared" si="123"/>
        <v>93306.19</v>
      </c>
      <c r="F176" s="1571">
        <v>0</v>
      </c>
      <c r="G176" s="1571">
        <v>0</v>
      </c>
      <c r="H176" s="1571">
        <v>1288.93</v>
      </c>
      <c r="I176" s="1571">
        <v>46635.96</v>
      </c>
      <c r="J176" s="1571">
        <v>0</v>
      </c>
      <c r="K176" s="1571">
        <v>5035.3</v>
      </c>
      <c r="L176" s="1574">
        <f t="shared" si="124"/>
        <v>6042</v>
      </c>
      <c r="M176" s="1574">
        <f t="shared" si="125"/>
        <v>6757</v>
      </c>
      <c r="N176" s="1574">
        <f t="shared" si="126"/>
        <v>6441</v>
      </c>
      <c r="O176" s="1574">
        <f t="shared" si="127"/>
        <v>7318</v>
      </c>
      <c r="P176" s="1574">
        <f t="shared" si="128"/>
        <v>7487</v>
      </c>
      <c r="Q176" s="1574">
        <f t="shared" si="129"/>
        <v>6301</v>
      </c>
    </row>
    <row r="177" spans="1:17" x14ac:dyDescent="0.2">
      <c r="A177" s="1110" t="str">
        <f t="shared" si="130"/>
        <v>Materials &amp; Supplies</v>
      </c>
      <c r="B177" s="831">
        <v>890</v>
      </c>
      <c r="C177" s="1571">
        <v>3.89</v>
      </c>
      <c r="D177" s="1216">
        <f t="shared" si="122"/>
        <v>1.9999999999999999E-6</v>
      </c>
      <c r="E177" s="1582">
        <f t="shared" si="123"/>
        <v>0</v>
      </c>
      <c r="F177" s="1571">
        <v>0</v>
      </c>
      <c r="G177" s="1571">
        <v>0</v>
      </c>
      <c r="H177" s="1571">
        <v>0</v>
      </c>
      <c r="I177" s="1571">
        <v>0</v>
      </c>
      <c r="J177" s="1571">
        <v>0</v>
      </c>
      <c r="K177" s="1571">
        <v>0</v>
      </c>
      <c r="L177" s="1574">
        <f t="shared" si="124"/>
        <v>0</v>
      </c>
      <c r="M177" s="1574">
        <f t="shared" si="125"/>
        <v>0</v>
      </c>
      <c r="N177" s="1574">
        <f t="shared" si="126"/>
        <v>0</v>
      </c>
      <c r="O177" s="1574">
        <f t="shared" si="127"/>
        <v>0</v>
      </c>
      <c r="P177" s="1574">
        <f t="shared" si="128"/>
        <v>0</v>
      </c>
      <c r="Q177" s="1574">
        <f t="shared" si="129"/>
        <v>0</v>
      </c>
    </row>
    <row r="178" spans="1:17" x14ac:dyDescent="0.2">
      <c r="A178" s="1110" t="str">
        <f t="shared" si="130"/>
        <v>Materials &amp; Supplies</v>
      </c>
      <c r="B178" s="831">
        <v>892</v>
      </c>
      <c r="C178" s="1571">
        <v>39501.919999999998</v>
      </c>
      <c r="D178" s="1216">
        <f t="shared" si="122"/>
        <v>2.2891999999999999E-2</v>
      </c>
      <c r="E178" s="1582">
        <f t="shared" si="123"/>
        <v>40903.74</v>
      </c>
      <c r="F178" s="1571">
        <v>6640.56</v>
      </c>
      <c r="G178" s="1571">
        <v>1330.81</v>
      </c>
      <c r="H178" s="1571">
        <v>3177.89</v>
      </c>
      <c r="I178" s="1571">
        <v>3516.12</v>
      </c>
      <c r="J178" s="1571">
        <v>2430.6</v>
      </c>
      <c r="K178" s="1571">
        <v>2104.7600000000002</v>
      </c>
      <c r="L178" s="1574">
        <f t="shared" si="124"/>
        <v>3250</v>
      </c>
      <c r="M178" s="1574">
        <f t="shared" si="125"/>
        <v>3635</v>
      </c>
      <c r="N178" s="1574">
        <f t="shared" si="126"/>
        <v>3465</v>
      </c>
      <c r="O178" s="1574">
        <f t="shared" si="127"/>
        <v>3937</v>
      </c>
      <c r="P178" s="1574">
        <f t="shared" si="128"/>
        <v>4027</v>
      </c>
      <c r="Q178" s="1574">
        <f t="shared" si="129"/>
        <v>3389</v>
      </c>
    </row>
    <row r="179" spans="1:17" x14ac:dyDescent="0.2">
      <c r="A179" s="1110" t="str">
        <f t="shared" si="130"/>
        <v>Materials &amp; Supplies</v>
      </c>
      <c r="B179" s="831">
        <v>893</v>
      </c>
      <c r="C179" s="1571">
        <v>60362.71</v>
      </c>
      <c r="D179" s="1216">
        <f t="shared" si="122"/>
        <v>3.4980999999999998E-2</v>
      </c>
      <c r="E179" s="1582">
        <f t="shared" si="123"/>
        <v>75656.22</v>
      </c>
      <c r="F179" s="1571">
        <v>5926.9</v>
      </c>
      <c r="G179" s="1571">
        <v>9362.19</v>
      </c>
      <c r="H179" s="1571">
        <v>3456.51</v>
      </c>
      <c r="I179" s="1571">
        <v>2966.38</v>
      </c>
      <c r="J179" s="1571">
        <v>0</v>
      </c>
      <c r="K179" s="1571">
        <v>20780.240000000002</v>
      </c>
      <c r="L179" s="1574">
        <f t="shared" si="124"/>
        <v>4966</v>
      </c>
      <c r="M179" s="1574">
        <f t="shared" si="125"/>
        <v>5554</v>
      </c>
      <c r="N179" s="1574">
        <f t="shared" si="126"/>
        <v>5295</v>
      </c>
      <c r="O179" s="1574">
        <f t="shared" si="127"/>
        <v>6016</v>
      </c>
      <c r="P179" s="1574">
        <f t="shared" si="128"/>
        <v>6154</v>
      </c>
      <c r="Q179" s="1574">
        <f t="shared" si="129"/>
        <v>5179</v>
      </c>
    </row>
    <row r="180" spans="1:17" x14ac:dyDescent="0.2">
      <c r="A180" s="1110" t="str">
        <f t="shared" si="130"/>
        <v>Materials &amp; Supplies</v>
      </c>
      <c r="B180" s="831">
        <v>894</v>
      </c>
      <c r="C180" s="1571">
        <v>51130.400000000001</v>
      </c>
      <c r="D180" s="1216">
        <f t="shared" si="122"/>
        <v>2.963E-2</v>
      </c>
      <c r="E180" s="1582">
        <f t="shared" si="123"/>
        <v>43766.92</v>
      </c>
      <c r="F180" s="1571">
        <v>1244.08</v>
      </c>
      <c r="G180" s="1571">
        <v>3783.01</v>
      </c>
      <c r="H180" s="1571">
        <v>2746.41</v>
      </c>
      <c r="I180" s="1571">
        <v>741.97</v>
      </c>
      <c r="J180" s="1571">
        <v>2636</v>
      </c>
      <c r="K180" s="1571">
        <v>4524.45</v>
      </c>
      <c r="L180" s="1574">
        <f t="shared" si="124"/>
        <v>4207</v>
      </c>
      <c r="M180" s="1574">
        <f t="shared" si="125"/>
        <v>4704</v>
      </c>
      <c r="N180" s="1574">
        <f t="shared" si="126"/>
        <v>4485</v>
      </c>
      <c r="O180" s="1574">
        <f t="shared" si="127"/>
        <v>5095</v>
      </c>
      <c r="P180" s="1574">
        <f t="shared" si="128"/>
        <v>5213</v>
      </c>
      <c r="Q180" s="1574">
        <f t="shared" si="129"/>
        <v>4387</v>
      </c>
    </row>
    <row r="181" spans="1:17" x14ac:dyDescent="0.2">
      <c r="A181" s="1110" t="str">
        <f t="shared" si="130"/>
        <v>Materials &amp; Supplies</v>
      </c>
      <c r="B181" s="831">
        <v>903</v>
      </c>
      <c r="C181" s="1571">
        <v>639507.92000000004</v>
      </c>
      <c r="D181" s="1216">
        <f t="shared" si="122"/>
        <v>0.37059999999999998</v>
      </c>
      <c r="E181" s="1582">
        <f t="shared" si="123"/>
        <v>664199.55000000005</v>
      </c>
      <c r="F181" s="1571">
        <v>51911.7</v>
      </c>
      <c r="G181" s="1571">
        <v>55909.279999999999</v>
      </c>
      <c r="H181" s="1571">
        <v>49046.1</v>
      </c>
      <c r="I181" s="1571">
        <v>52880.23</v>
      </c>
      <c r="J181" s="1571">
        <v>50000.55</v>
      </c>
      <c r="K181" s="1571">
        <v>53102.69</v>
      </c>
      <c r="L181" s="1574">
        <f t="shared" si="124"/>
        <v>52617</v>
      </c>
      <c r="M181" s="1574">
        <f t="shared" si="125"/>
        <v>58841</v>
      </c>
      <c r="N181" s="1574">
        <f t="shared" si="126"/>
        <v>56093</v>
      </c>
      <c r="O181" s="1574">
        <f t="shared" si="127"/>
        <v>63732</v>
      </c>
      <c r="P181" s="1574">
        <f t="shared" si="128"/>
        <v>65198</v>
      </c>
      <c r="Q181" s="1574">
        <f t="shared" si="129"/>
        <v>54868</v>
      </c>
    </row>
    <row r="182" spans="1:17" x14ac:dyDescent="0.2">
      <c r="A182" s="1110" t="str">
        <f t="shared" si="130"/>
        <v>Materials &amp; Supplies</v>
      </c>
      <c r="B182" s="831">
        <v>921</v>
      </c>
      <c r="C182" s="1571">
        <v>16598.18</v>
      </c>
      <c r="D182" s="1216">
        <f t="shared" si="122"/>
        <v>9.6190000000000008E-3</v>
      </c>
      <c r="E182" s="1582">
        <f t="shared" si="123"/>
        <v>18114.330000000002</v>
      </c>
      <c r="F182" s="1571">
        <v>2657.01</v>
      </c>
      <c r="G182" s="1571">
        <v>483.38</v>
      </c>
      <c r="H182" s="1571">
        <v>1274.3499999999999</v>
      </c>
      <c r="I182" s="1571">
        <v>2686.27</v>
      </c>
      <c r="J182" s="1571">
        <v>1023.08</v>
      </c>
      <c r="K182" s="1571">
        <v>871.24</v>
      </c>
      <c r="L182" s="1574">
        <f t="shared" si="124"/>
        <v>1366</v>
      </c>
      <c r="M182" s="1574">
        <f t="shared" si="125"/>
        <v>1527</v>
      </c>
      <c r="N182" s="1574">
        <f t="shared" si="126"/>
        <v>1456</v>
      </c>
      <c r="O182" s="1574">
        <f t="shared" si="127"/>
        <v>1654</v>
      </c>
      <c r="P182" s="1574">
        <f t="shared" si="128"/>
        <v>1692</v>
      </c>
      <c r="Q182" s="1574">
        <f t="shared" si="129"/>
        <v>1424</v>
      </c>
    </row>
    <row r="183" spans="1:17" x14ac:dyDescent="0.2">
      <c r="A183" s="1110" t="str">
        <f t="shared" si="130"/>
        <v>Materials &amp; Supplies</v>
      </c>
      <c r="B183" s="831">
        <v>923</v>
      </c>
      <c r="C183" s="1571">
        <v>37.95999999999993</v>
      </c>
      <c r="D183" s="1216">
        <f t="shared" si="122"/>
        <v>2.1999999999999999E-5</v>
      </c>
      <c r="E183" s="1582">
        <f t="shared" si="123"/>
        <v>59.790000000000006</v>
      </c>
      <c r="F183" s="1571">
        <v>0</v>
      </c>
      <c r="G183" s="1571">
        <v>37.630000000000003</v>
      </c>
      <c r="H183" s="1571">
        <v>0</v>
      </c>
      <c r="I183" s="1571">
        <v>0</v>
      </c>
      <c r="J183" s="1571">
        <v>0</v>
      </c>
      <c r="K183" s="1571">
        <v>2.16</v>
      </c>
      <c r="L183" s="1574">
        <f t="shared" si="124"/>
        <v>3</v>
      </c>
      <c r="M183" s="1574">
        <f t="shared" si="125"/>
        <v>3</v>
      </c>
      <c r="N183" s="1574">
        <f t="shared" si="126"/>
        <v>3</v>
      </c>
      <c r="O183" s="1574">
        <f t="shared" si="127"/>
        <v>4</v>
      </c>
      <c r="P183" s="1574">
        <f t="shared" si="128"/>
        <v>4</v>
      </c>
      <c r="Q183" s="1574">
        <f t="shared" si="129"/>
        <v>3</v>
      </c>
    </row>
    <row r="184" spans="1:17" ht="13.5" x14ac:dyDescent="0.35">
      <c r="A184" s="1110" t="str">
        <f t="shared" si="130"/>
        <v>Materials &amp; Supplies</v>
      </c>
      <c r="B184" s="831">
        <v>930</v>
      </c>
      <c r="C184" s="1624">
        <v>3635.92</v>
      </c>
      <c r="D184" s="1217">
        <f t="shared" si="122"/>
        <v>2.1069999999999999E-3</v>
      </c>
      <c r="E184" s="1587">
        <f t="shared" si="123"/>
        <v>3043.34</v>
      </c>
      <c r="F184" s="1623">
        <v>65.34</v>
      </c>
      <c r="G184" s="1623">
        <v>141.88999999999999</v>
      </c>
      <c r="H184" s="1623">
        <v>35.049999999999997</v>
      </c>
      <c r="I184" s="1623">
        <v>35.299999999999997</v>
      </c>
      <c r="J184" s="1623">
        <v>370.65</v>
      </c>
      <c r="K184" s="1623">
        <v>396.11</v>
      </c>
      <c r="L184" s="2009">
        <f t="shared" ref="L184:Q184" si="131">L185-SUM(L166:L183)</f>
        <v>299</v>
      </c>
      <c r="M184" s="2009">
        <f t="shared" si="131"/>
        <v>335</v>
      </c>
      <c r="N184" s="2009">
        <f t="shared" si="131"/>
        <v>319</v>
      </c>
      <c r="O184" s="2009">
        <f t="shared" si="131"/>
        <v>361</v>
      </c>
      <c r="P184" s="2009">
        <f t="shared" si="131"/>
        <v>372</v>
      </c>
      <c r="Q184" s="2009">
        <f t="shared" si="131"/>
        <v>313</v>
      </c>
    </row>
    <row r="185" spans="1:17" x14ac:dyDescent="0.2">
      <c r="A185" s="1113"/>
      <c r="B185" s="1110"/>
      <c r="C185" s="1582">
        <f>SUM(C166:C184)</f>
        <v>1725603.3199999996</v>
      </c>
      <c r="D185" s="1216">
        <f>SUM(D166:D184)</f>
        <v>0.99999899999999997</v>
      </c>
      <c r="E185" s="1582">
        <f>SUM(E166:E184)</f>
        <v>1895204.7700000003</v>
      </c>
      <c r="F185" s="1582">
        <f>SUM(F166:F184)</f>
        <v>132576</v>
      </c>
      <c r="G185" s="1582">
        <f t="shared" ref="G185:K185" si="132">SUM(G166:G184)</f>
        <v>141393.80000000002</v>
      </c>
      <c r="H185" s="1582">
        <f t="shared" si="132"/>
        <v>168161.02</v>
      </c>
      <c r="I185" s="1582">
        <f t="shared" si="132"/>
        <v>236305.65999999997</v>
      </c>
      <c r="J185" s="1582">
        <f t="shared" si="132"/>
        <v>122471.25</v>
      </c>
      <c r="K185" s="1582">
        <f t="shared" si="132"/>
        <v>146245.04</v>
      </c>
      <c r="L185" s="1582">
        <f t="shared" ref="L185:Q185" si="133">L105</f>
        <v>141977</v>
      </c>
      <c r="M185" s="1582">
        <f t="shared" si="133"/>
        <v>158772</v>
      </c>
      <c r="N185" s="1582">
        <f t="shared" si="133"/>
        <v>151356</v>
      </c>
      <c r="O185" s="1582">
        <f t="shared" si="133"/>
        <v>171969</v>
      </c>
      <c r="P185" s="1582">
        <f t="shared" si="133"/>
        <v>175926</v>
      </c>
      <c r="Q185" s="1582">
        <f t="shared" si="133"/>
        <v>148052</v>
      </c>
    </row>
    <row r="186" spans="1:17" x14ac:dyDescent="0.2">
      <c r="A186" s="1113"/>
      <c r="B186" s="1110"/>
      <c r="C186" s="1582"/>
      <c r="D186" s="1216"/>
      <c r="E186" s="1582"/>
      <c r="F186" s="1582"/>
      <c r="G186" s="1582"/>
      <c r="H186" s="1582"/>
      <c r="I186" s="1582"/>
      <c r="J186" s="1582"/>
      <c r="K186" s="1582"/>
      <c r="L186" s="1582"/>
      <c r="M186" s="1582"/>
      <c r="N186" s="1582"/>
      <c r="O186" s="1582"/>
      <c r="P186" s="1582"/>
      <c r="Q186" s="1582"/>
    </row>
    <row r="187" spans="1:17" ht="10.5" customHeight="1" x14ac:dyDescent="0.2">
      <c r="A187" s="1110" t="str">
        <f>$B$110</f>
        <v>Other Outside Services</v>
      </c>
      <c r="B187" s="832">
        <v>870</v>
      </c>
      <c r="C187" s="1571">
        <v>5602.95</v>
      </c>
      <c r="D187" s="1216">
        <f t="shared" ref="D187:D209" si="134">ROUND(C187/$C$210,6)</f>
        <v>1.351E-3</v>
      </c>
      <c r="E187" s="1582">
        <f t="shared" ref="E187:E209" si="135">SUM(F187:Q187)</f>
        <v>4985</v>
      </c>
      <c r="F187" s="1571">
        <v>154.72</v>
      </c>
      <c r="G187" s="1571">
        <v>154.72</v>
      </c>
      <c r="H187" s="1571">
        <v>154.82</v>
      </c>
      <c r="I187" s="1571">
        <v>154.72</v>
      </c>
      <c r="J187" s="1571">
        <v>118.3</v>
      </c>
      <c r="K187" s="1571">
        <v>154.72</v>
      </c>
      <c r="L187" s="1574">
        <f t="shared" ref="L187:L208" si="136">ROUND(D187*$L$210,0)</f>
        <v>512</v>
      </c>
      <c r="M187" s="1574">
        <f t="shared" ref="M187:M208" si="137">ROUND(D187*$M$210,0)</f>
        <v>654</v>
      </c>
      <c r="N187" s="1574">
        <f t="shared" ref="N187:N208" si="138">ROUND(D187*$N$210,0)</f>
        <v>692</v>
      </c>
      <c r="O187" s="1574">
        <f t="shared" ref="O187:O208" si="139">ROUND(D187*$O$210,0)</f>
        <v>706</v>
      </c>
      <c r="P187" s="1574">
        <f t="shared" ref="P187:P208" si="140">ROUND(D187*$P$210,0)</f>
        <v>698</v>
      </c>
      <c r="Q187" s="1574">
        <f t="shared" ref="Q187:Q208" si="141">ROUND(D187*$Q$210,0)</f>
        <v>831</v>
      </c>
    </row>
    <row r="188" spans="1:17" x14ac:dyDescent="0.2">
      <c r="A188" s="1110" t="str">
        <f t="shared" ref="A188:A209" si="142">$B$110</f>
        <v>Other Outside Services</v>
      </c>
      <c r="B188" s="832">
        <v>874</v>
      </c>
      <c r="C188" s="1571">
        <v>1861126.5</v>
      </c>
      <c r="D188" s="1216">
        <f t="shared" si="134"/>
        <v>0.44892500000000002</v>
      </c>
      <c r="E188" s="1582">
        <f t="shared" si="135"/>
        <v>2520606.09</v>
      </c>
      <c r="F188" s="1571">
        <v>108467.61</v>
      </c>
      <c r="G188" s="1571">
        <v>229485.61</v>
      </c>
      <c r="H188" s="1571">
        <v>217105.5</v>
      </c>
      <c r="I188" s="1571">
        <v>362926.87</v>
      </c>
      <c r="J188" s="1571">
        <v>118814.33</v>
      </c>
      <c r="K188" s="1571">
        <v>123406.17</v>
      </c>
      <c r="L188" s="1574">
        <f t="shared" si="136"/>
        <v>170116</v>
      </c>
      <c r="M188" s="1574">
        <f t="shared" si="137"/>
        <v>217352</v>
      </c>
      <c r="N188" s="1574">
        <f t="shared" si="138"/>
        <v>230095</v>
      </c>
      <c r="O188" s="1574">
        <f t="shared" si="139"/>
        <v>234590</v>
      </c>
      <c r="P188" s="1574">
        <f t="shared" si="140"/>
        <v>231988</v>
      </c>
      <c r="Q188" s="1574">
        <f t="shared" si="141"/>
        <v>276259</v>
      </c>
    </row>
    <row r="189" spans="1:17" x14ac:dyDescent="0.2">
      <c r="A189" s="1110" t="str">
        <f t="shared" si="142"/>
        <v>Other Outside Services</v>
      </c>
      <c r="B189" s="832">
        <v>875</v>
      </c>
      <c r="C189" s="1571">
        <v>33419.4</v>
      </c>
      <c r="D189" s="1216">
        <f t="shared" si="134"/>
        <v>8.0610000000000005E-3</v>
      </c>
      <c r="E189" s="1582">
        <f t="shared" si="135"/>
        <v>27107.25</v>
      </c>
      <c r="F189" s="1571">
        <v>0</v>
      </c>
      <c r="G189" s="1571">
        <v>0</v>
      </c>
      <c r="H189" s="1571">
        <v>2134.25</v>
      </c>
      <c r="I189" s="1571">
        <v>544</v>
      </c>
      <c r="J189" s="1571">
        <v>0</v>
      </c>
      <c r="K189" s="1571">
        <v>0</v>
      </c>
      <c r="L189" s="1574">
        <f t="shared" si="136"/>
        <v>3055</v>
      </c>
      <c r="M189" s="1574">
        <f t="shared" si="137"/>
        <v>3903</v>
      </c>
      <c r="N189" s="1574">
        <f t="shared" si="138"/>
        <v>4132</v>
      </c>
      <c r="O189" s="1574">
        <f t="shared" si="139"/>
        <v>4212</v>
      </c>
      <c r="P189" s="1574">
        <f t="shared" si="140"/>
        <v>4166</v>
      </c>
      <c r="Q189" s="1574">
        <f t="shared" si="141"/>
        <v>4961</v>
      </c>
    </row>
    <row r="190" spans="1:17" x14ac:dyDescent="0.2">
      <c r="A190" s="1110" t="str">
        <f t="shared" si="142"/>
        <v>Other Outside Services</v>
      </c>
      <c r="B190" s="832">
        <v>876</v>
      </c>
      <c r="C190" s="1571">
        <v>73.37</v>
      </c>
      <c r="D190" s="1216">
        <f t="shared" si="134"/>
        <v>1.8E-5</v>
      </c>
      <c r="E190" s="1582">
        <f t="shared" si="135"/>
        <v>54</v>
      </c>
      <c r="F190" s="1571">
        <v>0</v>
      </c>
      <c r="G190" s="1571">
        <v>0</v>
      </c>
      <c r="H190" s="1571">
        <v>0</v>
      </c>
      <c r="I190" s="1571">
        <v>0</v>
      </c>
      <c r="J190" s="1571">
        <v>0</v>
      </c>
      <c r="K190" s="1571">
        <v>0</v>
      </c>
      <c r="L190" s="1574">
        <f t="shared" si="136"/>
        <v>7</v>
      </c>
      <c r="M190" s="1574">
        <f t="shared" si="137"/>
        <v>9</v>
      </c>
      <c r="N190" s="1574">
        <f t="shared" si="138"/>
        <v>9</v>
      </c>
      <c r="O190" s="1574">
        <f t="shared" si="139"/>
        <v>9</v>
      </c>
      <c r="P190" s="1574">
        <f t="shared" si="140"/>
        <v>9</v>
      </c>
      <c r="Q190" s="1574">
        <f t="shared" si="141"/>
        <v>11</v>
      </c>
    </row>
    <row r="191" spans="1:17" x14ac:dyDescent="0.2">
      <c r="A191" s="1110" t="str">
        <f t="shared" si="142"/>
        <v>Other Outside Services</v>
      </c>
      <c r="B191" s="832">
        <v>878</v>
      </c>
      <c r="C191" s="1571">
        <v>5986.85</v>
      </c>
      <c r="D191" s="1216">
        <f t="shared" si="134"/>
        <v>1.444E-3</v>
      </c>
      <c r="E191" s="1582">
        <f t="shared" si="135"/>
        <v>8300.73</v>
      </c>
      <c r="F191" s="1571">
        <v>1581.65</v>
      </c>
      <c r="G191" s="1571">
        <v>409.44</v>
      </c>
      <c r="H191" s="1571">
        <v>0</v>
      </c>
      <c r="I191" s="1571">
        <v>940.08</v>
      </c>
      <c r="J191" s="1571">
        <v>0</v>
      </c>
      <c r="K191" s="1571">
        <v>993.56</v>
      </c>
      <c r="L191" s="1574">
        <f t="shared" si="136"/>
        <v>547</v>
      </c>
      <c r="M191" s="1574">
        <f t="shared" si="137"/>
        <v>699</v>
      </c>
      <c r="N191" s="1574">
        <f t="shared" si="138"/>
        <v>740</v>
      </c>
      <c r="O191" s="1574">
        <f t="shared" si="139"/>
        <v>755</v>
      </c>
      <c r="P191" s="1574">
        <f t="shared" si="140"/>
        <v>746</v>
      </c>
      <c r="Q191" s="1574">
        <f t="shared" si="141"/>
        <v>889</v>
      </c>
    </row>
    <row r="192" spans="1:17" x14ac:dyDescent="0.2">
      <c r="A192" s="1110" t="str">
        <f t="shared" si="142"/>
        <v>Other Outside Services</v>
      </c>
      <c r="B192" s="832">
        <v>879</v>
      </c>
      <c r="C192" s="1571">
        <v>95580.75999999998</v>
      </c>
      <c r="D192" s="1216">
        <f t="shared" si="134"/>
        <v>2.3054999999999999E-2</v>
      </c>
      <c r="E192" s="1582">
        <f t="shared" si="135"/>
        <v>103454.85</v>
      </c>
      <c r="F192" s="1571">
        <v>9208.92</v>
      </c>
      <c r="G192" s="1571">
        <v>10880.8</v>
      </c>
      <c r="H192" s="1571">
        <v>8729.73</v>
      </c>
      <c r="I192" s="1571">
        <v>2594.4</v>
      </c>
      <c r="J192" s="1571">
        <v>2176</v>
      </c>
      <c r="K192" s="1571">
        <v>0</v>
      </c>
      <c r="L192" s="1574">
        <f t="shared" si="136"/>
        <v>8736</v>
      </c>
      <c r="M192" s="1574">
        <f t="shared" si="137"/>
        <v>11162</v>
      </c>
      <c r="N192" s="1574">
        <f t="shared" si="138"/>
        <v>11817</v>
      </c>
      <c r="O192" s="1574">
        <f t="shared" si="139"/>
        <v>12048</v>
      </c>
      <c r="P192" s="1574">
        <f t="shared" si="140"/>
        <v>11914</v>
      </c>
      <c r="Q192" s="1574">
        <f t="shared" si="141"/>
        <v>14188</v>
      </c>
    </row>
    <row r="193" spans="1:17" x14ac:dyDescent="0.2">
      <c r="A193" s="1110" t="str">
        <f t="shared" si="142"/>
        <v>Other Outside Services</v>
      </c>
      <c r="B193" s="832">
        <v>880</v>
      </c>
      <c r="C193" s="1571">
        <v>299427.78000000003</v>
      </c>
      <c r="D193" s="1216">
        <f t="shared" si="134"/>
        <v>7.2224999999999998E-2</v>
      </c>
      <c r="E193" s="1582">
        <f t="shared" si="135"/>
        <v>306226.02</v>
      </c>
      <c r="F193" s="1571">
        <v>42661.06</v>
      </c>
      <c r="G193" s="1571">
        <v>-14945.48</v>
      </c>
      <c r="H193" s="1571">
        <v>32574.09</v>
      </c>
      <c r="I193" s="1571">
        <v>12783.73</v>
      </c>
      <c r="J193" s="1571">
        <v>8124.86</v>
      </c>
      <c r="K193" s="1571">
        <v>6159.76</v>
      </c>
      <c r="L193" s="1574">
        <f t="shared" si="136"/>
        <v>27369</v>
      </c>
      <c r="M193" s="1574">
        <f t="shared" si="137"/>
        <v>34969</v>
      </c>
      <c r="N193" s="1574">
        <f t="shared" si="138"/>
        <v>37019</v>
      </c>
      <c r="O193" s="1574">
        <f t="shared" si="139"/>
        <v>37742</v>
      </c>
      <c r="P193" s="1574">
        <f t="shared" si="140"/>
        <v>37323</v>
      </c>
      <c r="Q193" s="1574">
        <f t="shared" si="141"/>
        <v>44446</v>
      </c>
    </row>
    <row r="194" spans="1:17" x14ac:dyDescent="0.2">
      <c r="A194" s="1110" t="str">
        <f t="shared" si="142"/>
        <v>Other Outside Services</v>
      </c>
      <c r="B194" s="832">
        <v>885</v>
      </c>
      <c r="C194" s="1571">
        <v>0.08</v>
      </c>
      <c r="D194" s="1216">
        <f t="shared" si="134"/>
        <v>0</v>
      </c>
      <c r="E194" s="1582">
        <f t="shared" si="135"/>
        <v>0</v>
      </c>
      <c r="F194" s="1571">
        <v>0</v>
      </c>
      <c r="G194" s="1571">
        <v>0</v>
      </c>
      <c r="H194" s="1571">
        <v>0</v>
      </c>
      <c r="I194" s="1571">
        <v>0</v>
      </c>
      <c r="J194" s="1571">
        <v>0</v>
      </c>
      <c r="K194" s="1571">
        <v>0</v>
      </c>
      <c r="L194" s="1574">
        <f t="shared" si="136"/>
        <v>0</v>
      </c>
      <c r="M194" s="1574">
        <f t="shared" si="137"/>
        <v>0</v>
      </c>
      <c r="N194" s="1574">
        <f t="shared" si="138"/>
        <v>0</v>
      </c>
      <c r="O194" s="1574">
        <f t="shared" si="139"/>
        <v>0</v>
      </c>
      <c r="P194" s="1574">
        <f t="shared" si="140"/>
        <v>0</v>
      </c>
      <c r="Q194" s="1574">
        <f t="shared" si="141"/>
        <v>0</v>
      </c>
    </row>
    <row r="195" spans="1:17" x14ac:dyDescent="0.2">
      <c r="A195" s="1110" t="str">
        <f t="shared" si="142"/>
        <v>Other Outside Services</v>
      </c>
      <c r="B195" s="832">
        <v>886</v>
      </c>
      <c r="C195" s="1571">
        <v>134895.34999999998</v>
      </c>
      <c r="D195" s="1216">
        <f t="shared" si="134"/>
        <v>3.2537999999999997E-2</v>
      </c>
      <c r="E195" s="1582">
        <f t="shared" si="135"/>
        <v>197966.9</v>
      </c>
      <c r="F195" s="1571">
        <v>13790.44</v>
      </c>
      <c r="G195" s="1571">
        <v>16077.8</v>
      </c>
      <c r="H195" s="1571">
        <v>9886.99</v>
      </c>
      <c r="I195" s="1571">
        <v>27653.360000000001</v>
      </c>
      <c r="J195" s="1571">
        <v>8680.1200000000008</v>
      </c>
      <c r="K195" s="1571">
        <v>23277.19</v>
      </c>
      <c r="L195" s="1574">
        <f t="shared" si="136"/>
        <v>12330</v>
      </c>
      <c r="M195" s="1574">
        <f t="shared" si="137"/>
        <v>15754</v>
      </c>
      <c r="N195" s="1574">
        <f t="shared" si="138"/>
        <v>16677</v>
      </c>
      <c r="O195" s="1574">
        <f t="shared" si="139"/>
        <v>17003</v>
      </c>
      <c r="P195" s="1574">
        <f t="shared" si="140"/>
        <v>16814</v>
      </c>
      <c r="Q195" s="1574">
        <f t="shared" si="141"/>
        <v>20023</v>
      </c>
    </row>
    <row r="196" spans="1:17" x14ac:dyDescent="0.2">
      <c r="A196" s="1110" t="str">
        <f t="shared" si="142"/>
        <v>Other Outside Services</v>
      </c>
      <c r="B196" s="832">
        <v>887</v>
      </c>
      <c r="C196" s="1571">
        <v>1020030.0100000001</v>
      </c>
      <c r="D196" s="1216">
        <f t="shared" si="134"/>
        <v>0.24604300000000001</v>
      </c>
      <c r="E196" s="1582">
        <f t="shared" si="135"/>
        <v>1396658.18</v>
      </c>
      <c r="F196" s="1571">
        <v>123707.8</v>
      </c>
      <c r="G196" s="1571">
        <v>120221.84</v>
      </c>
      <c r="H196" s="1571">
        <v>83250.559999999998</v>
      </c>
      <c r="I196" s="1571">
        <v>136852.66</v>
      </c>
      <c r="J196" s="1571">
        <v>78405.87</v>
      </c>
      <c r="K196" s="1571">
        <v>108622.45</v>
      </c>
      <c r="L196" s="1574">
        <f t="shared" si="136"/>
        <v>93236</v>
      </c>
      <c r="M196" s="1574">
        <f t="shared" si="137"/>
        <v>119124</v>
      </c>
      <c r="N196" s="1574">
        <f t="shared" si="138"/>
        <v>126109</v>
      </c>
      <c r="O196" s="1574">
        <f t="shared" si="139"/>
        <v>128572</v>
      </c>
      <c r="P196" s="1574">
        <f t="shared" si="140"/>
        <v>127146</v>
      </c>
      <c r="Q196" s="1574">
        <f t="shared" si="141"/>
        <v>151410</v>
      </c>
    </row>
    <row r="197" spans="1:17" x14ac:dyDescent="0.2">
      <c r="A197" s="1110" t="str">
        <f t="shared" si="142"/>
        <v>Other Outside Services</v>
      </c>
      <c r="B197" s="832">
        <v>889</v>
      </c>
      <c r="C197" s="1571">
        <v>539.15</v>
      </c>
      <c r="D197" s="1216">
        <f t="shared" si="134"/>
        <v>1.2999999999999999E-4</v>
      </c>
      <c r="E197" s="1582">
        <f t="shared" si="135"/>
        <v>394</v>
      </c>
      <c r="F197" s="1571">
        <v>0</v>
      </c>
      <c r="G197" s="1571">
        <v>0</v>
      </c>
      <c r="H197" s="1571">
        <v>0</v>
      </c>
      <c r="I197" s="1571">
        <v>0</v>
      </c>
      <c r="J197" s="1571">
        <v>0</v>
      </c>
      <c r="K197" s="1571">
        <v>0</v>
      </c>
      <c r="L197" s="1574">
        <f t="shared" si="136"/>
        <v>49</v>
      </c>
      <c r="M197" s="1574">
        <f t="shared" si="137"/>
        <v>63</v>
      </c>
      <c r="N197" s="1574">
        <f t="shared" si="138"/>
        <v>67</v>
      </c>
      <c r="O197" s="1574">
        <f t="shared" si="139"/>
        <v>68</v>
      </c>
      <c r="P197" s="1574">
        <f t="shared" si="140"/>
        <v>67</v>
      </c>
      <c r="Q197" s="1574">
        <f t="shared" si="141"/>
        <v>80</v>
      </c>
    </row>
    <row r="198" spans="1:17" x14ac:dyDescent="0.2">
      <c r="A198" s="1110" t="str">
        <f t="shared" si="142"/>
        <v>Other Outside Services</v>
      </c>
      <c r="B198" s="832">
        <v>890</v>
      </c>
      <c r="C198" s="1571">
        <v>73.37</v>
      </c>
      <c r="D198" s="1216">
        <f t="shared" si="134"/>
        <v>1.8E-5</v>
      </c>
      <c r="E198" s="1582">
        <f t="shared" si="135"/>
        <v>54</v>
      </c>
      <c r="F198" s="1571">
        <v>0</v>
      </c>
      <c r="G198" s="1571">
        <v>0</v>
      </c>
      <c r="H198" s="1571">
        <v>0</v>
      </c>
      <c r="I198" s="1571">
        <v>0</v>
      </c>
      <c r="J198" s="1571">
        <v>0</v>
      </c>
      <c r="K198" s="1571">
        <v>0</v>
      </c>
      <c r="L198" s="1574">
        <f t="shared" si="136"/>
        <v>7</v>
      </c>
      <c r="M198" s="1574">
        <f t="shared" si="137"/>
        <v>9</v>
      </c>
      <c r="N198" s="1574">
        <f t="shared" si="138"/>
        <v>9</v>
      </c>
      <c r="O198" s="1574">
        <f t="shared" si="139"/>
        <v>9</v>
      </c>
      <c r="P198" s="1574">
        <f t="shared" si="140"/>
        <v>9</v>
      </c>
      <c r="Q198" s="1574">
        <f t="shared" si="141"/>
        <v>11</v>
      </c>
    </row>
    <row r="199" spans="1:17" x14ac:dyDescent="0.2">
      <c r="A199" s="1110" t="str">
        <f t="shared" si="142"/>
        <v>Other Outside Services</v>
      </c>
      <c r="B199" s="832">
        <v>892</v>
      </c>
      <c r="C199" s="1571">
        <v>213686.77</v>
      </c>
      <c r="D199" s="1216">
        <f t="shared" si="134"/>
        <v>5.1544E-2</v>
      </c>
      <c r="E199" s="1582">
        <f t="shared" si="135"/>
        <v>227725.11000000002</v>
      </c>
      <c r="F199" s="1571">
        <v>5192.63</v>
      </c>
      <c r="G199" s="1571">
        <v>8409.7900000000009</v>
      </c>
      <c r="H199" s="1571">
        <v>19496.46</v>
      </c>
      <c r="I199" s="1571">
        <v>9378.57</v>
      </c>
      <c r="J199" s="1571">
        <v>16265.73</v>
      </c>
      <c r="K199" s="1571">
        <v>12784.93</v>
      </c>
      <c r="L199" s="1574">
        <f t="shared" si="136"/>
        <v>19532</v>
      </c>
      <c r="M199" s="1574">
        <f t="shared" si="137"/>
        <v>24956</v>
      </c>
      <c r="N199" s="1574">
        <f t="shared" si="138"/>
        <v>26419</v>
      </c>
      <c r="O199" s="1574">
        <f t="shared" si="139"/>
        <v>26935</v>
      </c>
      <c r="P199" s="1574">
        <f t="shared" si="140"/>
        <v>26636</v>
      </c>
      <c r="Q199" s="1574">
        <f t="shared" si="141"/>
        <v>31719</v>
      </c>
    </row>
    <row r="200" spans="1:17" x14ac:dyDescent="0.2">
      <c r="A200" s="1110" t="str">
        <f t="shared" si="142"/>
        <v>Other Outside Services</v>
      </c>
      <c r="B200" s="832">
        <v>894</v>
      </c>
      <c r="C200" s="1571">
        <v>10983.939999999999</v>
      </c>
      <c r="D200" s="1216">
        <f t="shared" si="134"/>
        <v>2.6489999999999999E-3</v>
      </c>
      <c r="E200" s="1582">
        <f t="shared" si="135"/>
        <v>10330.15</v>
      </c>
      <c r="F200" s="1571">
        <v>0</v>
      </c>
      <c r="G200" s="1571">
        <v>1849.83</v>
      </c>
      <c r="H200" s="1571">
        <v>402.32</v>
      </c>
      <c r="I200" s="1571">
        <v>0</v>
      </c>
      <c r="J200" s="1571">
        <v>0</v>
      </c>
      <c r="K200" s="1571">
        <v>50</v>
      </c>
      <c r="L200" s="1574">
        <f t="shared" si="136"/>
        <v>1004</v>
      </c>
      <c r="M200" s="1574">
        <f t="shared" si="137"/>
        <v>1283</v>
      </c>
      <c r="N200" s="1574">
        <f t="shared" si="138"/>
        <v>1358</v>
      </c>
      <c r="O200" s="1574">
        <f t="shared" si="139"/>
        <v>1384</v>
      </c>
      <c r="P200" s="1574">
        <f t="shared" si="140"/>
        <v>1369</v>
      </c>
      <c r="Q200" s="1574">
        <f t="shared" si="141"/>
        <v>1630</v>
      </c>
    </row>
    <row r="201" spans="1:17" x14ac:dyDescent="0.2">
      <c r="A201" s="1110" t="str">
        <f t="shared" si="142"/>
        <v>Other Outside Services</v>
      </c>
      <c r="B201" s="832">
        <v>902</v>
      </c>
      <c r="C201" s="1571">
        <v>238431.65999999997</v>
      </c>
      <c r="D201" s="1216">
        <f t="shared" si="134"/>
        <v>5.7512000000000001E-2</v>
      </c>
      <c r="E201" s="1582">
        <f t="shared" si="135"/>
        <v>186619.31</v>
      </c>
      <c r="F201" s="1571">
        <v>8943.98</v>
      </c>
      <c r="G201" s="1571">
        <v>-18465.59</v>
      </c>
      <c r="H201" s="1571">
        <v>9567.98</v>
      </c>
      <c r="I201" s="1571">
        <v>-2737.05</v>
      </c>
      <c r="J201" s="1571">
        <v>1056.1300000000001</v>
      </c>
      <c r="K201" s="1571">
        <v>13971.86</v>
      </c>
      <c r="L201" s="1574">
        <f t="shared" si="136"/>
        <v>21794</v>
      </c>
      <c r="M201" s="1574">
        <f t="shared" si="137"/>
        <v>27845</v>
      </c>
      <c r="N201" s="1574">
        <f t="shared" si="138"/>
        <v>29478</v>
      </c>
      <c r="O201" s="1574">
        <f t="shared" si="139"/>
        <v>30053</v>
      </c>
      <c r="P201" s="1574">
        <f t="shared" si="140"/>
        <v>29720</v>
      </c>
      <c r="Q201" s="1574">
        <f t="shared" si="141"/>
        <v>35392</v>
      </c>
    </row>
    <row r="202" spans="1:17" x14ac:dyDescent="0.2">
      <c r="A202" s="1110" t="str">
        <f t="shared" si="142"/>
        <v>Other Outside Services</v>
      </c>
      <c r="B202" s="832">
        <v>903</v>
      </c>
      <c r="C202" s="1571">
        <v>107809.94</v>
      </c>
      <c r="D202" s="1216">
        <f t="shared" si="134"/>
        <v>2.6005E-2</v>
      </c>
      <c r="E202" s="1582">
        <f t="shared" si="135"/>
        <v>125380.24</v>
      </c>
      <c r="F202" s="1571">
        <v>10268.59</v>
      </c>
      <c r="G202" s="1571">
        <v>7776.6</v>
      </c>
      <c r="H202" s="1571">
        <v>8781.18</v>
      </c>
      <c r="I202" s="1571">
        <v>6034.83</v>
      </c>
      <c r="J202" s="1571">
        <v>7313</v>
      </c>
      <c r="K202" s="1571">
        <v>6402.04</v>
      </c>
      <c r="L202" s="1574">
        <f t="shared" si="136"/>
        <v>9854</v>
      </c>
      <c r="M202" s="1574">
        <f t="shared" si="137"/>
        <v>12591</v>
      </c>
      <c r="N202" s="1574">
        <f t="shared" si="138"/>
        <v>13329</v>
      </c>
      <c r="O202" s="1574">
        <f t="shared" si="139"/>
        <v>13589</v>
      </c>
      <c r="P202" s="1574">
        <f t="shared" si="140"/>
        <v>13438</v>
      </c>
      <c r="Q202" s="1574">
        <f t="shared" si="141"/>
        <v>16003</v>
      </c>
    </row>
    <row r="203" spans="1:17" x14ac:dyDescent="0.2">
      <c r="A203" s="1110" t="str">
        <f t="shared" si="142"/>
        <v>Other Outside Services</v>
      </c>
      <c r="B203" s="832">
        <v>908</v>
      </c>
      <c r="C203" s="1571">
        <v>70647</v>
      </c>
      <c r="D203" s="1216">
        <f t="shared" si="134"/>
        <v>1.7041000000000001E-2</v>
      </c>
      <c r="E203" s="1582">
        <f t="shared" si="135"/>
        <v>51641</v>
      </c>
      <c r="F203" s="1571">
        <v>0</v>
      </c>
      <c r="G203" s="1571">
        <v>0</v>
      </c>
      <c r="H203" s="1571">
        <v>0</v>
      </c>
      <c r="I203" s="1571">
        <v>0</v>
      </c>
      <c r="J203" s="1571">
        <v>0</v>
      </c>
      <c r="K203" s="1571">
        <v>0</v>
      </c>
      <c r="L203" s="1574">
        <f t="shared" si="136"/>
        <v>6458</v>
      </c>
      <c r="M203" s="1574">
        <f t="shared" si="137"/>
        <v>8251</v>
      </c>
      <c r="N203" s="1574">
        <f t="shared" si="138"/>
        <v>8734</v>
      </c>
      <c r="O203" s="1574">
        <f t="shared" si="139"/>
        <v>8905</v>
      </c>
      <c r="P203" s="1574">
        <f t="shared" si="140"/>
        <v>8806</v>
      </c>
      <c r="Q203" s="1574">
        <f t="shared" si="141"/>
        <v>10487</v>
      </c>
    </row>
    <row r="204" spans="1:17" x14ac:dyDescent="0.2">
      <c r="A204" s="1110" t="str">
        <f t="shared" si="142"/>
        <v>Other Outside Services</v>
      </c>
      <c r="B204" s="832">
        <v>920</v>
      </c>
      <c r="C204" s="1571">
        <v>3611.5</v>
      </c>
      <c r="D204" s="1216">
        <f t="shared" si="134"/>
        <v>8.7100000000000003E-4</v>
      </c>
      <c r="E204" s="1582">
        <f t="shared" si="135"/>
        <v>2639</v>
      </c>
      <c r="F204" s="1571">
        <v>0</v>
      </c>
      <c r="G204" s="1571">
        <v>0</v>
      </c>
      <c r="H204" s="1571">
        <v>0</v>
      </c>
      <c r="I204" s="1571">
        <v>0</v>
      </c>
      <c r="J204" s="1571">
        <v>0</v>
      </c>
      <c r="K204" s="1571">
        <v>0</v>
      </c>
      <c r="L204" s="1574">
        <f t="shared" si="136"/>
        <v>330</v>
      </c>
      <c r="M204" s="1574">
        <f t="shared" si="137"/>
        <v>422</v>
      </c>
      <c r="N204" s="1574">
        <f t="shared" si="138"/>
        <v>446</v>
      </c>
      <c r="O204" s="1574">
        <f t="shared" si="139"/>
        <v>455</v>
      </c>
      <c r="P204" s="1574">
        <f t="shared" si="140"/>
        <v>450</v>
      </c>
      <c r="Q204" s="1574">
        <f t="shared" si="141"/>
        <v>536</v>
      </c>
    </row>
    <row r="205" spans="1:17" x14ac:dyDescent="0.2">
      <c r="A205" s="1110" t="str">
        <f t="shared" si="142"/>
        <v>Other Outside Services</v>
      </c>
      <c r="B205" s="832">
        <v>921</v>
      </c>
      <c r="C205" s="1571">
        <v>6374.2999999999993</v>
      </c>
      <c r="D205" s="1216">
        <f t="shared" si="134"/>
        <v>1.5380000000000001E-3</v>
      </c>
      <c r="E205" s="1582">
        <f t="shared" si="135"/>
        <v>6706</v>
      </c>
      <c r="F205" s="1571">
        <v>86</v>
      </c>
      <c r="G205" s="1571">
        <v>94</v>
      </c>
      <c r="H205" s="1571">
        <v>335</v>
      </c>
      <c r="I205" s="1571">
        <v>175</v>
      </c>
      <c r="J205" s="1571">
        <v>109.11</v>
      </c>
      <c r="K205" s="1571">
        <v>1245.8900000000001</v>
      </c>
      <c r="L205" s="1574">
        <f t="shared" si="136"/>
        <v>583</v>
      </c>
      <c r="M205" s="1574">
        <f t="shared" si="137"/>
        <v>745</v>
      </c>
      <c r="N205" s="1574">
        <f t="shared" si="138"/>
        <v>788</v>
      </c>
      <c r="O205" s="1574">
        <f t="shared" si="139"/>
        <v>804</v>
      </c>
      <c r="P205" s="1574">
        <f t="shared" si="140"/>
        <v>795</v>
      </c>
      <c r="Q205" s="1574">
        <f t="shared" si="141"/>
        <v>946</v>
      </c>
    </row>
    <row r="206" spans="1:17" x14ac:dyDescent="0.2">
      <c r="A206" s="1110" t="str">
        <f t="shared" si="142"/>
        <v>Other Outside Services</v>
      </c>
      <c r="B206" s="832">
        <v>923</v>
      </c>
      <c r="C206" s="1571">
        <v>32248.25</v>
      </c>
      <c r="D206" s="1216">
        <f t="shared" si="134"/>
        <v>7.7790000000000003E-3</v>
      </c>
      <c r="E206" s="1582">
        <f t="shared" si="135"/>
        <v>59683.409999999996</v>
      </c>
      <c r="F206" s="1571">
        <v>3628.37</v>
      </c>
      <c r="G206" s="1571">
        <v>3646.38</v>
      </c>
      <c r="H206" s="1571">
        <v>3241.46</v>
      </c>
      <c r="I206" s="1571">
        <v>4876.6899999999996</v>
      </c>
      <c r="J206" s="1571">
        <v>10331.5</v>
      </c>
      <c r="K206" s="1571">
        <v>10386.01</v>
      </c>
      <c r="L206" s="1574">
        <f t="shared" si="136"/>
        <v>2948</v>
      </c>
      <c r="M206" s="1574">
        <f t="shared" si="137"/>
        <v>3766</v>
      </c>
      <c r="N206" s="1574">
        <f t="shared" si="138"/>
        <v>3987</v>
      </c>
      <c r="O206" s="1574">
        <f t="shared" si="139"/>
        <v>4065</v>
      </c>
      <c r="P206" s="1574">
        <f t="shared" si="140"/>
        <v>4020</v>
      </c>
      <c r="Q206" s="1574">
        <f t="shared" si="141"/>
        <v>4787</v>
      </c>
    </row>
    <row r="207" spans="1:17" x14ac:dyDescent="0.2">
      <c r="A207" s="1110" t="str">
        <f t="shared" si="142"/>
        <v>Other Outside Services</v>
      </c>
      <c r="B207" s="832">
        <v>930</v>
      </c>
      <c r="C207" s="1571">
        <v>1436.24</v>
      </c>
      <c r="D207" s="1216">
        <f t="shared" si="134"/>
        <v>3.4600000000000001E-4</v>
      </c>
      <c r="E207" s="1582">
        <f t="shared" si="135"/>
        <v>1049</v>
      </c>
      <c r="F207" s="1571">
        <v>0</v>
      </c>
      <c r="G207" s="1571">
        <v>0</v>
      </c>
      <c r="H207" s="1571">
        <v>0</v>
      </c>
      <c r="I207" s="1571">
        <v>0</v>
      </c>
      <c r="J207" s="1571">
        <v>0</v>
      </c>
      <c r="K207" s="1571">
        <v>0</v>
      </c>
      <c r="L207" s="1574">
        <f t="shared" si="136"/>
        <v>131</v>
      </c>
      <c r="M207" s="1574">
        <f t="shared" si="137"/>
        <v>168</v>
      </c>
      <c r="N207" s="1574">
        <f t="shared" si="138"/>
        <v>177</v>
      </c>
      <c r="O207" s="1574">
        <f t="shared" si="139"/>
        <v>181</v>
      </c>
      <c r="P207" s="1574">
        <f t="shared" si="140"/>
        <v>179</v>
      </c>
      <c r="Q207" s="1574">
        <f t="shared" si="141"/>
        <v>213</v>
      </c>
    </row>
    <row r="208" spans="1:17" x14ac:dyDescent="0.2">
      <c r="A208" s="1110" t="str">
        <f t="shared" si="142"/>
        <v>Other Outside Services</v>
      </c>
      <c r="B208" s="832">
        <v>932</v>
      </c>
      <c r="C208" s="1571">
        <v>3674.66</v>
      </c>
      <c r="D208" s="1216">
        <f t="shared" si="134"/>
        <v>8.8599999999999996E-4</v>
      </c>
      <c r="E208" s="1582">
        <f t="shared" si="135"/>
        <v>2685</v>
      </c>
      <c r="F208" s="1571">
        <v>0</v>
      </c>
      <c r="G208" s="1571">
        <v>0</v>
      </c>
      <c r="H208" s="1571">
        <v>0</v>
      </c>
      <c r="I208" s="1571">
        <v>0</v>
      </c>
      <c r="J208" s="1571">
        <v>0</v>
      </c>
      <c r="K208" s="1571">
        <v>0</v>
      </c>
      <c r="L208" s="1574">
        <f t="shared" si="136"/>
        <v>336</v>
      </c>
      <c r="M208" s="1574">
        <f t="shared" si="137"/>
        <v>429</v>
      </c>
      <c r="N208" s="1574">
        <f t="shared" si="138"/>
        <v>454</v>
      </c>
      <c r="O208" s="1574">
        <f t="shared" si="139"/>
        <v>463</v>
      </c>
      <c r="P208" s="1574">
        <f t="shared" si="140"/>
        <v>458</v>
      </c>
      <c r="Q208" s="1574">
        <f t="shared" si="141"/>
        <v>545</v>
      </c>
    </row>
    <row r="209" spans="1:17" ht="13.5" x14ac:dyDescent="0.35">
      <c r="A209" s="1110" t="str">
        <f t="shared" si="142"/>
        <v>Other Outside Services</v>
      </c>
      <c r="B209" s="832">
        <v>935</v>
      </c>
      <c r="C209" s="1623">
        <v>80</v>
      </c>
      <c r="D209" s="1570">
        <f t="shared" si="134"/>
        <v>1.9000000000000001E-5</v>
      </c>
      <c r="E209" s="1587">
        <f t="shared" si="135"/>
        <v>139</v>
      </c>
      <c r="F209" s="1623">
        <v>0</v>
      </c>
      <c r="G209" s="1623">
        <v>0</v>
      </c>
      <c r="H209" s="1623">
        <v>0</v>
      </c>
      <c r="I209" s="1623">
        <v>80</v>
      </c>
      <c r="J209" s="1623">
        <v>0</v>
      </c>
      <c r="K209" s="1623">
        <v>0</v>
      </c>
      <c r="L209" s="2008">
        <f t="shared" ref="L209:Q209" si="143">L210-SUM(L187:L208)</f>
        <v>6</v>
      </c>
      <c r="M209" s="2008">
        <f t="shared" si="143"/>
        <v>7</v>
      </c>
      <c r="N209" s="2008">
        <f t="shared" si="143"/>
        <v>11</v>
      </c>
      <c r="O209" s="2008">
        <f t="shared" si="143"/>
        <v>11</v>
      </c>
      <c r="P209" s="2008">
        <f t="shared" si="143"/>
        <v>12</v>
      </c>
      <c r="Q209" s="2008">
        <f t="shared" si="143"/>
        <v>12</v>
      </c>
    </row>
    <row r="210" spans="1:17" x14ac:dyDescent="0.2">
      <c r="A210" s="1113"/>
      <c r="B210" s="1110"/>
      <c r="C210" s="1582">
        <f t="shared" ref="C210:K210" si="144">SUM(C187:C209)</f>
        <v>4145739.830000001</v>
      </c>
      <c r="D210" s="1216">
        <f t="shared" si="144"/>
        <v>0.99999799999999983</v>
      </c>
      <c r="E210" s="1582">
        <f t="shared" si="144"/>
        <v>5240404.24</v>
      </c>
      <c r="F210" s="1582">
        <f t="shared" si="144"/>
        <v>327691.77</v>
      </c>
      <c r="G210" s="1582">
        <f t="shared" si="144"/>
        <v>365595.73999999993</v>
      </c>
      <c r="H210" s="1582">
        <f t="shared" si="144"/>
        <v>395660.34</v>
      </c>
      <c r="I210" s="1582">
        <f t="shared" si="144"/>
        <v>562257.85999999975</v>
      </c>
      <c r="J210" s="1582">
        <f t="shared" si="144"/>
        <v>251394.95</v>
      </c>
      <c r="K210" s="1582">
        <f t="shared" si="144"/>
        <v>307454.57999999996</v>
      </c>
      <c r="L210" s="1574">
        <f t="shared" ref="L210:Q210" si="145">L110</f>
        <v>378940</v>
      </c>
      <c r="M210" s="1574">
        <f t="shared" si="145"/>
        <v>484161</v>
      </c>
      <c r="N210" s="1574">
        <f t="shared" si="145"/>
        <v>512547</v>
      </c>
      <c r="O210" s="1574">
        <f t="shared" si="145"/>
        <v>522559</v>
      </c>
      <c r="P210" s="1574">
        <f t="shared" si="145"/>
        <v>516763</v>
      </c>
      <c r="Q210" s="1574">
        <f t="shared" si="145"/>
        <v>615379</v>
      </c>
    </row>
    <row r="211" spans="1:17" x14ac:dyDescent="0.2">
      <c r="A211" s="1113"/>
      <c r="B211" s="1110"/>
      <c r="C211" s="1582"/>
      <c r="D211" s="1216"/>
      <c r="E211" s="1582"/>
      <c r="F211" s="1582"/>
      <c r="G211" s="1582"/>
      <c r="H211" s="1582"/>
      <c r="I211" s="1582"/>
      <c r="J211" s="1582"/>
      <c r="K211" s="1582"/>
      <c r="L211" s="1574"/>
      <c r="M211" s="1574"/>
      <c r="N211" s="1574"/>
      <c r="O211" s="1574"/>
      <c r="P211" s="1574"/>
      <c r="Q211" s="1574"/>
    </row>
    <row r="212" spans="1:17" x14ac:dyDescent="0.2">
      <c r="A212" s="1110" t="s">
        <v>2128</v>
      </c>
      <c r="B212" s="832">
        <v>926</v>
      </c>
      <c r="C212" s="1571">
        <v>90431</v>
      </c>
      <c r="D212" s="1216">
        <v>1</v>
      </c>
      <c r="E212" s="1582">
        <f t="shared" ref="E212" si="146">SUM(F212:Q212)</f>
        <v>85893</v>
      </c>
      <c r="F212" s="1571">
        <v>8753</v>
      </c>
      <c r="G212" s="1571">
        <v>8753</v>
      </c>
      <c r="H212" s="1571">
        <v>8753</v>
      </c>
      <c r="I212" s="1571">
        <v>0</v>
      </c>
      <c r="J212" s="1571">
        <v>0</v>
      </c>
      <c r="K212" s="1571">
        <v>0</v>
      </c>
      <c r="L212" s="1574">
        <f>L111</f>
        <v>9939</v>
      </c>
      <c r="M212" s="1574">
        <f t="shared" ref="M212:Q212" si="147">M111</f>
        <v>9939</v>
      </c>
      <c r="N212" s="1574">
        <f t="shared" si="147"/>
        <v>9939</v>
      </c>
      <c r="O212" s="1574">
        <f t="shared" si="147"/>
        <v>9939</v>
      </c>
      <c r="P212" s="1574">
        <f t="shared" si="147"/>
        <v>9939</v>
      </c>
      <c r="Q212" s="1574">
        <f t="shared" si="147"/>
        <v>9939</v>
      </c>
    </row>
    <row r="213" spans="1:17" x14ac:dyDescent="0.2">
      <c r="A213" s="1113"/>
      <c r="B213" s="1110"/>
      <c r="C213" s="1582"/>
      <c r="D213" s="1216"/>
      <c r="E213" s="1582"/>
      <c r="F213" s="1582"/>
      <c r="G213" s="1582"/>
      <c r="H213" s="1582"/>
      <c r="I213" s="1582"/>
      <c r="J213" s="1582"/>
      <c r="K213" s="1582"/>
      <c r="L213" s="1574"/>
      <c r="M213" s="1574"/>
      <c r="N213" s="1574"/>
      <c r="O213" s="1574"/>
      <c r="P213" s="1574"/>
      <c r="Q213" s="1574"/>
    </row>
    <row r="214" spans="1:17" ht="13.5" x14ac:dyDescent="0.35">
      <c r="A214" s="1110" t="str">
        <f>$B$109</f>
        <v>Auditing Services</v>
      </c>
      <c r="B214" s="831">
        <v>923</v>
      </c>
      <c r="C214" s="1624">
        <v>131834</v>
      </c>
      <c r="D214" s="1217">
        <f>ROUND(C214/$C$215,6)</f>
        <v>1</v>
      </c>
      <c r="E214" s="1587">
        <f t="shared" ref="E214" si="148">SUM(F214:Q214)</f>
        <v>142906</v>
      </c>
      <c r="F214" s="1623">
        <v>11317</v>
      </c>
      <c r="G214" s="1623">
        <v>10174</v>
      </c>
      <c r="H214" s="1623">
        <v>10174</v>
      </c>
      <c r="I214" s="1623">
        <v>10174</v>
      </c>
      <c r="J214" s="1623">
        <v>11511</v>
      </c>
      <c r="K214" s="1623">
        <v>10368</v>
      </c>
      <c r="L214" s="2009">
        <f t="shared" ref="L214:Q214" si="149">ROUND($D214*L$215,0)</f>
        <v>13198</v>
      </c>
      <c r="M214" s="2009">
        <f t="shared" si="149"/>
        <v>13198</v>
      </c>
      <c r="N214" s="2009">
        <f t="shared" si="149"/>
        <v>13198</v>
      </c>
      <c r="O214" s="2009">
        <f t="shared" si="149"/>
        <v>13198</v>
      </c>
      <c r="P214" s="2009">
        <f t="shared" si="149"/>
        <v>13198</v>
      </c>
      <c r="Q214" s="2009">
        <f t="shared" si="149"/>
        <v>13198</v>
      </c>
    </row>
    <row r="215" spans="1:17" x14ac:dyDescent="0.2">
      <c r="A215" s="1113"/>
      <c r="B215" s="1110"/>
      <c r="C215" s="1582">
        <f>SUM(C214:C214)</f>
        <v>131834</v>
      </c>
      <c r="D215" s="1216">
        <f>SUM(D214:D214)</f>
        <v>1</v>
      </c>
      <c r="E215" s="1572">
        <f>SUM(E214)</f>
        <v>142906</v>
      </c>
      <c r="F215" s="1582">
        <f>SUM(F214)</f>
        <v>11317</v>
      </c>
      <c r="G215" s="1582">
        <f t="shared" ref="G215:K215" si="150">SUM(G214)</f>
        <v>10174</v>
      </c>
      <c r="H215" s="1582">
        <f t="shared" si="150"/>
        <v>10174</v>
      </c>
      <c r="I215" s="1582">
        <f t="shared" si="150"/>
        <v>10174</v>
      </c>
      <c r="J215" s="1582">
        <f t="shared" si="150"/>
        <v>11511</v>
      </c>
      <c r="K215" s="1582">
        <f t="shared" si="150"/>
        <v>10368</v>
      </c>
      <c r="L215" s="1574">
        <f t="shared" ref="L215:Q215" si="151">L109</f>
        <v>13198</v>
      </c>
      <c r="M215" s="1574">
        <f t="shared" si="151"/>
        <v>13198</v>
      </c>
      <c r="N215" s="1574">
        <f t="shared" si="151"/>
        <v>13198</v>
      </c>
      <c r="O215" s="1574">
        <f t="shared" si="151"/>
        <v>13198</v>
      </c>
      <c r="P215" s="1574">
        <f t="shared" si="151"/>
        <v>13198</v>
      </c>
      <c r="Q215" s="1574">
        <f t="shared" si="151"/>
        <v>13198</v>
      </c>
    </row>
    <row r="216" spans="1:17" x14ac:dyDescent="0.2">
      <c r="A216" s="1113"/>
      <c r="B216" s="1110"/>
      <c r="C216" s="1582"/>
      <c r="D216" s="1216"/>
      <c r="E216" s="1572"/>
      <c r="F216" s="1572"/>
      <c r="G216" s="1572"/>
      <c r="H216" s="1572"/>
      <c r="I216" s="1572"/>
      <c r="J216" s="1572"/>
      <c r="K216" s="1572"/>
      <c r="L216" s="1574"/>
      <c r="M216" s="1574"/>
      <c r="N216" s="1574"/>
      <c r="O216" s="1574"/>
      <c r="P216" s="1574"/>
      <c r="Q216" s="1574"/>
    </row>
    <row r="217" spans="1:17" x14ac:dyDescent="0.2">
      <c r="A217" s="1110" t="str">
        <f t="shared" ref="A217:A221" si="152">$B$106</f>
        <v>Consulting Services</v>
      </c>
      <c r="B217" s="832">
        <v>870</v>
      </c>
      <c r="C217" s="1571">
        <v>826.8</v>
      </c>
      <c r="D217" s="1216">
        <f>ROUND(C217/$C$222,6)</f>
        <v>8.7639999999999992E-3</v>
      </c>
      <c r="E217" s="1582">
        <f t="shared" ref="E217:E221" si="153">SUM(F217:Q217)</f>
        <v>30</v>
      </c>
      <c r="F217" s="1571">
        <v>0</v>
      </c>
      <c r="G217" s="1571">
        <v>0</v>
      </c>
      <c r="H217" s="1571">
        <v>0</v>
      </c>
      <c r="I217" s="1571">
        <v>0</v>
      </c>
      <c r="J217" s="1571">
        <v>0</v>
      </c>
      <c r="K217" s="1571">
        <v>0</v>
      </c>
      <c r="L217" s="1574">
        <f t="shared" ref="L217:Q220" si="154">ROUND($D217*L$106,0)</f>
        <v>5</v>
      </c>
      <c r="M217" s="1574">
        <f t="shared" si="154"/>
        <v>5</v>
      </c>
      <c r="N217" s="1574">
        <f t="shared" si="154"/>
        <v>5</v>
      </c>
      <c r="O217" s="1574">
        <f t="shared" si="154"/>
        <v>5</v>
      </c>
      <c r="P217" s="1574">
        <f t="shared" si="154"/>
        <v>5</v>
      </c>
      <c r="Q217" s="1574">
        <f t="shared" si="154"/>
        <v>5</v>
      </c>
    </row>
    <row r="218" spans="1:17" x14ac:dyDescent="0.2">
      <c r="A218" s="1110" t="str">
        <f t="shared" si="152"/>
        <v>Consulting Services</v>
      </c>
      <c r="B218" s="831">
        <v>874</v>
      </c>
      <c r="C218" s="1571">
        <v>988</v>
      </c>
      <c r="D218" s="1216">
        <f>ROUND(C218/$C$222,6)</f>
        <v>1.0472E-2</v>
      </c>
      <c r="E218" s="1582">
        <f t="shared" si="153"/>
        <v>36</v>
      </c>
      <c r="F218" s="1571">
        <v>0</v>
      </c>
      <c r="G218" s="1571">
        <v>0</v>
      </c>
      <c r="H218" s="1571">
        <v>0</v>
      </c>
      <c r="I218" s="1571">
        <v>0</v>
      </c>
      <c r="J218" s="1571">
        <v>0</v>
      </c>
      <c r="K218" s="1571">
        <v>0</v>
      </c>
      <c r="L218" s="1574">
        <f t="shared" si="154"/>
        <v>6</v>
      </c>
      <c r="M218" s="1574">
        <f t="shared" si="154"/>
        <v>6</v>
      </c>
      <c r="N218" s="1574">
        <f t="shared" si="154"/>
        <v>6</v>
      </c>
      <c r="O218" s="1574">
        <f t="shared" si="154"/>
        <v>6</v>
      </c>
      <c r="P218" s="1574">
        <f t="shared" si="154"/>
        <v>6</v>
      </c>
      <c r="Q218" s="1574">
        <f t="shared" si="154"/>
        <v>6</v>
      </c>
    </row>
    <row r="219" spans="1:17" x14ac:dyDescent="0.2">
      <c r="A219" s="1110" t="str">
        <f t="shared" si="152"/>
        <v>Consulting Services</v>
      </c>
      <c r="B219" s="831">
        <v>880</v>
      </c>
      <c r="C219" s="1571">
        <v>1232.74</v>
      </c>
      <c r="D219" s="1216">
        <f>ROUND(C219/$C$222,6)</f>
        <v>1.3065999999999999E-2</v>
      </c>
      <c r="E219" s="1582">
        <f t="shared" si="153"/>
        <v>42</v>
      </c>
      <c r="F219" s="1571">
        <v>0</v>
      </c>
      <c r="G219" s="1571">
        <v>0</v>
      </c>
      <c r="H219" s="1571">
        <v>0</v>
      </c>
      <c r="I219" s="1571">
        <v>0</v>
      </c>
      <c r="J219" s="1571">
        <v>0</v>
      </c>
      <c r="K219" s="1571">
        <v>0</v>
      </c>
      <c r="L219" s="1574">
        <f t="shared" si="154"/>
        <v>7</v>
      </c>
      <c r="M219" s="1574">
        <f t="shared" si="154"/>
        <v>7</v>
      </c>
      <c r="N219" s="1574">
        <f t="shared" si="154"/>
        <v>7</v>
      </c>
      <c r="O219" s="1574">
        <f t="shared" si="154"/>
        <v>7</v>
      </c>
      <c r="P219" s="1574">
        <f t="shared" si="154"/>
        <v>7</v>
      </c>
      <c r="Q219" s="1574">
        <f t="shared" si="154"/>
        <v>7</v>
      </c>
    </row>
    <row r="220" spans="1:17" x14ac:dyDescent="0.2">
      <c r="A220" s="1110" t="str">
        <f t="shared" si="152"/>
        <v>Consulting Services</v>
      </c>
      <c r="B220" s="832">
        <v>923</v>
      </c>
      <c r="C220" s="1571">
        <v>91026.61</v>
      </c>
      <c r="D220" s="1216">
        <f>ROUND(C220/$C$222,6)</f>
        <v>0.96482599999999996</v>
      </c>
      <c r="E220" s="1582">
        <f t="shared" si="153"/>
        <v>31494.06</v>
      </c>
      <c r="F220" s="1571">
        <v>8627.2800000000007</v>
      </c>
      <c r="G220" s="1571">
        <v>-3354.84</v>
      </c>
      <c r="H220" s="1571">
        <v>23646.03</v>
      </c>
      <c r="I220" s="1571">
        <v>-12266.27</v>
      </c>
      <c r="J220" s="1571">
        <v>1775.29</v>
      </c>
      <c r="K220" s="1571">
        <v>9808.57</v>
      </c>
      <c r="L220" s="1574">
        <f t="shared" si="154"/>
        <v>543</v>
      </c>
      <c r="M220" s="1574">
        <f t="shared" si="154"/>
        <v>543</v>
      </c>
      <c r="N220" s="1574">
        <f t="shared" si="154"/>
        <v>543</v>
      </c>
      <c r="O220" s="1574">
        <f t="shared" si="154"/>
        <v>543</v>
      </c>
      <c r="P220" s="1574">
        <f t="shared" si="154"/>
        <v>543</v>
      </c>
      <c r="Q220" s="1574">
        <f t="shared" si="154"/>
        <v>543</v>
      </c>
    </row>
    <row r="221" spans="1:17" ht="13.5" x14ac:dyDescent="0.35">
      <c r="A221" s="1110" t="str">
        <f t="shared" si="152"/>
        <v>Consulting Services</v>
      </c>
      <c r="B221" s="831">
        <v>924</v>
      </c>
      <c r="C221" s="1623">
        <v>271</v>
      </c>
      <c r="D221" s="1217">
        <f>ROUND(C221/$C$222,6)</f>
        <v>2.872E-3</v>
      </c>
      <c r="E221" s="1587">
        <f t="shared" si="153"/>
        <v>12</v>
      </c>
      <c r="F221" s="1623">
        <v>0</v>
      </c>
      <c r="G221" s="1623">
        <v>0</v>
      </c>
      <c r="H221" s="1623">
        <v>0</v>
      </c>
      <c r="I221" s="1623">
        <v>0</v>
      </c>
      <c r="J221" s="1623">
        <v>0</v>
      </c>
      <c r="K221" s="1623">
        <v>0</v>
      </c>
      <c r="L221" s="2008">
        <f t="shared" ref="L221:Q221" si="155">L222-SUM(L217:L220)</f>
        <v>2</v>
      </c>
      <c r="M221" s="2008">
        <f t="shared" si="155"/>
        <v>2</v>
      </c>
      <c r="N221" s="2008">
        <f t="shared" si="155"/>
        <v>2</v>
      </c>
      <c r="O221" s="2008">
        <f t="shared" si="155"/>
        <v>2</v>
      </c>
      <c r="P221" s="2008">
        <f t="shared" si="155"/>
        <v>2</v>
      </c>
      <c r="Q221" s="2008">
        <f t="shared" si="155"/>
        <v>2</v>
      </c>
    </row>
    <row r="222" spans="1:17" x14ac:dyDescent="0.2">
      <c r="A222" s="1110"/>
      <c r="B222" s="1110"/>
      <c r="C222" s="1582">
        <f>SUM(C217:C221)</f>
        <v>94345.15</v>
      </c>
      <c r="D222" s="1216">
        <f>SUM(D217:D221)</f>
        <v>1</v>
      </c>
      <c r="E222" s="1572">
        <f>SUM(E217:E221)</f>
        <v>31614.06</v>
      </c>
      <c r="F222" s="1582">
        <f>SUM(F217:F221)</f>
        <v>8627.2800000000007</v>
      </c>
      <c r="G222" s="1582">
        <f t="shared" ref="G222:K222" si="156">SUM(G217:G221)</f>
        <v>-3354.84</v>
      </c>
      <c r="H222" s="1582">
        <f t="shared" si="156"/>
        <v>23646.03</v>
      </c>
      <c r="I222" s="1582">
        <f t="shared" si="156"/>
        <v>-12266.27</v>
      </c>
      <c r="J222" s="1582">
        <f t="shared" si="156"/>
        <v>1775.29</v>
      </c>
      <c r="K222" s="1582">
        <f t="shared" si="156"/>
        <v>9808.57</v>
      </c>
      <c r="L222" s="1574">
        <f t="shared" ref="L222:Q222" si="157">L106</f>
        <v>563</v>
      </c>
      <c r="M222" s="1574">
        <f t="shared" si="157"/>
        <v>563</v>
      </c>
      <c r="N222" s="1574">
        <f t="shared" si="157"/>
        <v>563</v>
      </c>
      <c r="O222" s="1574">
        <f t="shared" si="157"/>
        <v>563</v>
      </c>
      <c r="P222" s="1574">
        <f t="shared" si="157"/>
        <v>563</v>
      </c>
      <c r="Q222" s="1574">
        <f t="shared" si="157"/>
        <v>563</v>
      </c>
    </row>
    <row r="223" spans="1:17" x14ac:dyDescent="0.2">
      <c r="A223" s="1113"/>
      <c r="B223" s="1110"/>
      <c r="C223" s="1582"/>
      <c r="D223" s="1216"/>
      <c r="E223" s="1582"/>
      <c r="F223" s="1582"/>
      <c r="G223" s="1582"/>
      <c r="H223" s="1582"/>
      <c r="I223" s="1582"/>
      <c r="J223" s="1582"/>
      <c r="K223" s="1582"/>
      <c r="L223" s="1574"/>
      <c r="M223" s="1574"/>
      <c r="N223" s="1574"/>
      <c r="O223" s="1574"/>
      <c r="P223" s="1574"/>
      <c r="Q223" s="1574"/>
    </row>
    <row r="224" spans="1:17" x14ac:dyDescent="0.2">
      <c r="A224" s="1110" t="str">
        <f>B$108</f>
        <v>Legal Services</v>
      </c>
      <c r="B224" s="832">
        <v>874</v>
      </c>
      <c r="C224" s="1571">
        <v>0</v>
      </c>
      <c r="D224" s="1216">
        <v>1</v>
      </c>
      <c r="E224" s="1582">
        <f t="shared" ref="E224:E228" si="158">SUM(F224:Q224)</f>
        <v>0</v>
      </c>
      <c r="F224" s="1582"/>
      <c r="G224" s="1582"/>
      <c r="H224" s="1582"/>
      <c r="I224" s="1582"/>
      <c r="J224" s="1582"/>
      <c r="K224" s="1582"/>
      <c r="L224" s="1574">
        <f t="shared" ref="L224:Q224" si="159">L108</f>
        <v>0</v>
      </c>
      <c r="M224" s="1574">
        <f t="shared" si="159"/>
        <v>0</v>
      </c>
      <c r="N224" s="1574">
        <f t="shared" si="159"/>
        <v>0</v>
      </c>
      <c r="O224" s="1574">
        <f t="shared" si="159"/>
        <v>0</v>
      </c>
      <c r="P224" s="1574">
        <f t="shared" si="159"/>
        <v>0</v>
      </c>
      <c r="Q224" s="1574">
        <f t="shared" si="159"/>
        <v>0</v>
      </c>
    </row>
    <row r="225" spans="1:17" x14ac:dyDescent="0.2">
      <c r="A225" s="1113"/>
      <c r="B225" s="1110"/>
      <c r="C225" s="1582"/>
      <c r="D225" s="1216"/>
      <c r="E225" s="1582"/>
      <c r="F225" s="1582"/>
      <c r="G225" s="1582"/>
      <c r="H225" s="1582"/>
      <c r="I225" s="1582"/>
      <c r="J225" s="1582"/>
      <c r="K225" s="1582"/>
      <c r="L225" s="1574"/>
      <c r="M225" s="1574"/>
      <c r="N225" s="1574"/>
      <c r="O225" s="1574"/>
      <c r="P225" s="1574"/>
      <c r="Q225" s="1574"/>
    </row>
    <row r="226" spans="1:17" x14ac:dyDescent="0.2">
      <c r="A226" s="1110" t="str">
        <f>$B$133</f>
        <v>Leases - Building/Land</v>
      </c>
      <c r="B226" s="831">
        <v>881</v>
      </c>
      <c r="C226" s="1571">
        <v>67885.539999999994</v>
      </c>
      <c r="D226" s="1216">
        <f>ROUND(C226/$C$229,6)</f>
        <v>-0.82570299999999996</v>
      </c>
      <c r="E226" s="1582">
        <f t="shared" si="158"/>
        <v>70260.36</v>
      </c>
      <c r="F226" s="1571">
        <v>5754.3</v>
      </c>
      <c r="G226" s="1571">
        <v>5754.3</v>
      </c>
      <c r="H226" s="1571">
        <v>6704.3</v>
      </c>
      <c r="I226" s="1571">
        <v>5754.3</v>
      </c>
      <c r="J226" s="1571">
        <v>5754.3</v>
      </c>
      <c r="K226" s="1571">
        <v>6025.86</v>
      </c>
      <c r="L226" s="1574">
        <f>ROUND(D226*$L$229,0)</f>
        <v>5812</v>
      </c>
      <c r="M226" s="1574">
        <f>ROUND(D226*$M$229,0)</f>
        <v>6412</v>
      </c>
      <c r="N226" s="1574">
        <f>ROUND(D226*$N$229,0)</f>
        <v>4844</v>
      </c>
      <c r="O226" s="1574">
        <f>ROUND(D226*$O$229,0)</f>
        <v>5324</v>
      </c>
      <c r="P226" s="1574">
        <f>ROUND(D226*$P$229,0)</f>
        <v>6069</v>
      </c>
      <c r="Q226" s="1574">
        <f>ROUND(D226*$Q$229,0)</f>
        <v>6052</v>
      </c>
    </row>
    <row r="227" spans="1:17" x14ac:dyDescent="0.2">
      <c r="A227" s="1110" t="str">
        <f>$B$133</f>
        <v>Leases - Building/Land</v>
      </c>
      <c r="B227" s="831">
        <v>930</v>
      </c>
      <c r="C227" s="1571">
        <v>-161568</v>
      </c>
      <c r="D227" s="1216">
        <f>ROUND(C227/$C$229,6)</f>
        <v>1.9651780000000001</v>
      </c>
      <c r="E227" s="1582">
        <f t="shared" si="158"/>
        <v>-158685</v>
      </c>
      <c r="F227" s="1571">
        <v>-13464</v>
      </c>
      <c r="G227" s="1571">
        <v>-13464</v>
      </c>
      <c r="H227" s="1571">
        <v>-13464</v>
      </c>
      <c r="I227" s="1571">
        <v>-13464</v>
      </c>
      <c r="J227" s="1571">
        <v>-13464</v>
      </c>
      <c r="K227" s="1571">
        <v>-9222</v>
      </c>
      <c r="L227" s="1574">
        <f>ROUND(D227*$L$229,0)</f>
        <v>-13833</v>
      </c>
      <c r="M227" s="1574">
        <f>ROUND(D227*$M$229,0)</f>
        <v>-15262</v>
      </c>
      <c r="N227" s="1574">
        <f>ROUND(D227*$N$229,0)</f>
        <v>-11528</v>
      </c>
      <c r="O227" s="1574">
        <f>ROUND(D227*$O$229,0)</f>
        <v>-12671</v>
      </c>
      <c r="P227" s="1574">
        <f>ROUND(D227*$P$229,0)</f>
        <v>-14444</v>
      </c>
      <c r="Q227" s="1574">
        <f>ROUND(D227*$Q$229,0)</f>
        <v>-14405</v>
      </c>
    </row>
    <row r="228" spans="1:17" ht="13.5" x14ac:dyDescent="0.35">
      <c r="A228" s="1110" t="str">
        <f>$B$133</f>
        <v>Leases - Building/Land</v>
      </c>
      <c r="B228" s="831">
        <v>931</v>
      </c>
      <c r="C228" s="1624">
        <v>11467</v>
      </c>
      <c r="D228" s="1217">
        <f>ROUND(C228/$C$229,6)</f>
        <v>-0.13947499999999999</v>
      </c>
      <c r="E228" s="1587">
        <f t="shared" si="158"/>
        <v>11749</v>
      </c>
      <c r="F228" s="1623">
        <v>907</v>
      </c>
      <c r="G228" s="1623">
        <v>1025</v>
      </c>
      <c r="H228" s="1623">
        <v>1121</v>
      </c>
      <c r="I228" s="1623">
        <v>1047</v>
      </c>
      <c r="J228" s="1623">
        <v>952</v>
      </c>
      <c r="K228" s="1623">
        <v>866</v>
      </c>
      <c r="L228" s="2009">
        <f t="shared" ref="L228:Q228" si="160">L229-SUM(L226:L227)</f>
        <v>982</v>
      </c>
      <c r="M228" s="2009">
        <f t="shared" si="160"/>
        <v>1084</v>
      </c>
      <c r="N228" s="2009">
        <f t="shared" si="160"/>
        <v>818</v>
      </c>
      <c r="O228" s="2009">
        <f t="shared" si="160"/>
        <v>899</v>
      </c>
      <c r="P228" s="2009">
        <f t="shared" si="160"/>
        <v>1025</v>
      </c>
      <c r="Q228" s="2009">
        <f t="shared" si="160"/>
        <v>1023</v>
      </c>
    </row>
    <row r="229" spans="1:17" x14ac:dyDescent="0.2">
      <c r="A229" s="1113"/>
      <c r="B229" s="1110"/>
      <c r="C229" s="1582">
        <f>SUM(C226:C228)</f>
        <v>-82215.460000000006</v>
      </c>
      <c r="D229" s="1216">
        <f>SUM(D226:D228)</f>
        <v>1</v>
      </c>
      <c r="E229" s="1572">
        <f>SUM(E226:E228)</f>
        <v>-76675.64</v>
      </c>
      <c r="F229" s="1582">
        <f>SUM(F224:F228)</f>
        <v>-6802.7</v>
      </c>
      <c r="G229" s="1582">
        <f t="shared" ref="G229" si="161">SUM(G224:G228)</f>
        <v>-6684.7</v>
      </c>
      <c r="H229" s="1582">
        <f t="shared" ref="H229" si="162">SUM(H224:H228)</f>
        <v>-5638.7</v>
      </c>
      <c r="I229" s="1582">
        <f t="shared" ref="I229" si="163">SUM(I224:I228)</f>
        <v>-6662.7</v>
      </c>
      <c r="J229" s="1582">
        <f t="shared" ref="J229" si="164">SUM(J224:J228)</f>
        <v>-6757.7</v>
      </c>
      <c r="K229" s="1582">
        <f t="shared" ref="K229" si="165">SUM(K224:K228)</f>
        <v>-2330.1400000000003</v>
      </c>
      <c r="L229" s="1574">
        <f t="shared" ref="L229:Q229" si="166">L133</f>
        <v>-7039</v>
      </c>
      <c r="M229" s="1574">
        <f t="shared" si="166"/>
        <v>-7766</v>
      </c>
      <c r="N229" s="1574">
        <f t="shared" si="166"/>
        <v>-5866</v>
      </c>
      <c r="O229" s="1574">
        <f t="shared" si="166"/>
        <v>-6448</v>
      </c>
      <c r="P229" s="1574">
        <f t="shared" si="166"/>
        <v>-7350</v>
      </c>
      <c r="Q229" s="1574">
        <f t="shared" si="166"/>
        <v>-7330</v>
      </c>
    </row>
    <row r="230" spans="1:17" x14ac:dyDescent="0.2">
      <c r="A230" s="1113"/>
      <c r="B230" s="1110"/>
      <c r="C230" s="1582"/>
      <c r="D230" s="1216"/>
      <c r="E230" s="1582"/>
      <c r="F230" s="1582"/>
      <c r="G230" s="1582"/>
      <c r="H230" s="1582"/>
      <c r="I230" s="1582"/>
      <c r="J230" s="1582"/>
      <c r="K230" s="1582"/>
      <c r="L230" s="1574"/>
      <c r="M230" s="1574"/>
      <c r="N230" s="1574"/>
      <c r="O230" s="1112"/>
      <c r="P230" s="1112"/>
      <c r="Q230" s="1112"/>
    </row>
    <row r="231" spans="1:17" x14ac:dyDescent="0.2">
      <c r="A231" s="1110" t="str">
        <f>$B$134</f>
        <v>Leases - Other</v>
      </c>
      <c r="B231" s="831">
        <v>874</v>
      </c>
      <c r="C231" s="1571">
        <v>706.37</v>
      </c>
      <c r="D231" s="1216">
        <f>ROUND(C231/$C$243,6)</f>
        <v>3.869E-3</v>
      </c>
      <c r="E231" s="1582">
        <f t="shared" ref="E231:E242" si="167">SUM(F231:Q231)</f>
        <v>799.74</v>
      </c>
      <c r="F231" s="1571">
        <v>126</v>
      </c>
      <c r="G231" s="1571">
        <v>0</v>
      </c>
      <c r="H231" s="1571">
        <v>0</v>
      </c>
      <c r="I231" s="1571">
        <v>295.74</v>
      </c>
      <c r="J231" s="1571">
        <v>0</v>
      </c>
      <c r="K231" s="1571">
        <v>0</v>
      </c>
      <c r="L231" s="1574">
        <f>ROUND(D231*$L$243,0)</f>
        <v>69</v>
      </c>
      <c r="M231" s="1574">
        <f>ROUND(D231*$M$243,0)</f>
        <v>54</v>
      </c>
      <c r="N231" s="1574">
        <f>ROUND(D231*$N$243,0)</f>
        <v>64</v>
      </c>
      <c r="O231" s="1574">
        <f>ROUND(D231*$O$243,0)</f>
        <v>67</v>
      </c>
      <c r="P231" s="1574">
        <f>ROUND(D231*$P$243,0)</f>
        <v>62</v>
      </c>
      <c r="Q231" s="1574">
        <f>ROUND(D231*$Q$243,0)</f>
        <v>62</v>
      </c>
    </row>
    <row r="232" spans="1:17" x14ac:dyDescent="0.2">
      <c r="A232" s="1110" t="str">
        <f t="shared" ref="A232:A240" si="168">$B$134</f>
        <v>Leases - Other</v>
      </c>
      <c r="B232" s="831">
        <v>875</v>
      </c>
      <c r="C232" s="1571">
        <v>52.58</v>
      </c>
      <c r="D232" s="1216">
        <f t="shared" ref="D232:D239" si="169">ROUND(C232/$C$243,6)</f>
        <v>2.8800000000000001E-4</v>
      </c>
      <c r="E232" s="1582">
        <f t="shared" si="167"/>
        <v>81.58</v>
      </c>
      <c r="F232" s="1571">
        <v>0</v>
      </c>
      <c r="G232" s="1571">
        <v>0</v>
      </c>
      <c r="H232" s="1571">
        <v>52.58</v>
      </c>
      <c r="I232" s="1571">
        <v>0</v>
      </c>
      <c r="J232" s="1571">
        <v>0</v>
      </c>
      <c r="K232" s="1571">
        <v>0</v>
      </c>
      <c r="L232" s="1574">
        <f t="shared" ref="L232:L239" si="170">ROUND(D232*$L$243,0)</f>
        <v>5</v>
      </c>
      <c r="M232" s="1574">
        <f t="shared" ref="M232:M239" si="171">ROUND(D232*$M$243,0)</f>
        <v>4</v>
      </c>
      <c r="N232" s="1574">
        <f t="shared" ref="N232:N239" si="172">ROUND(D232*$N$243,0)</f>
        <v>5</v>
      </c>
      <c r="O232" s="1574">
        <f t="shared" ref="O232:O239" si="173">ROUND(D232*$O$243,0)</f>
        <v>5</v>
      </c>
      <c r="P232" s="1574">
        <f t="shared" ref="P232:P239" si="174">ROUND(D232*$P$243,0)</f>
        <v>5</v>
      </c>
      <c r="Q232" s="1574">
        <f t="shared" ref="Q232:Q239" si="175">ROUND(D232*$Q$243,0)</f>
        <v>5</v>
      </c>
    </row>
    <row r="233" spans="1:17" x14ac:dyDescent="0.2">
      <c r="A233" s="1110" t="str">
        <f t="shared" si="168"/>
        <v>Leases - Other</v>
      </c>
      <c r="B233" s="831">
        <v>878</v>
      </c>
      <c r="C233" s="1571">
        <v>344.88</v>
      </c>
      <c r="D233" s="1216">
        <f t="shared" si="169"/>
        <v>1.8890000000000001E-3</v>
      </c>
      <c r="E233" s="1582">
        <f t="shared" si="167"/>
        <v>529.88</v>
      </c>
      <c r="F233" s="1571">
        <v>135</v>
      </c>
      <c r="G233" s="1571">
        <v>0</v>
      </c>
      <c r="H233" s="1571">
        <v>0</v>
      </c>
      <c r="I233" s="1571">
        <v>209.88</v>
      </c>
      <c r="J233" s="1571">
        <v>0</v>
      </c>
      <c r="K233" s="1571">
        <v>0</v>
      </c>
      <c r="L233" s="1574">
        <f t="shared" si="170"/>
        <v>34</v>
      </c>
      <c r="M233" s="1574">
        <f t="shared" si="171"/>
        <v>27</v>
      </c>
      <c r="N233" s="1574">
        <f t="shared" si="172"/>
        <v>31</v>
      </c>
      <c r="O233" s="1574">
        <f t="shared" si="173"/>
        <v>33</v>
      </c>
      <c r="P233" s="1574">
        <f t="shared" si="174"/>
        <v>30</v>
      </c>
      <c r="Q233" s="1574">
        <f t="shared" si="175"/>
        <v>30</v>
      </c>
    </row>
    <row r="234" spans="1:17" x14ac:dyDescent="0.2">
      <c r="A234" s="1110" t="str">
        <f t="shared" si="168"/>
        <v>Leases - Other</v>
      </c>
      <c r="B234" s="831">
        <v>879</v>
      </c>
      <c r="C234" s="1571">
        <v>260.10000000000002</v>
      </c>
      <c r="D234" s="1216">
        <f t="shared" si="169"/>
        <v>1.4250000000000001E-3</v>
      </c>
      <c r="E234" s="1582">
        <f t="shared" si="167"/>
        <v>400.1</v>
      </c>
      <c r="F234" s="1571">
        <v>117</v>
      </c>
      <c r="G234" s="1571">
        <v>0</v>
      </c>
      <c r="H234" s="1571">
        <v>0</v>
      </c>
      <c r="I234" s="1571">
        <v>143.1</v>
      </c>
      <c r="J234" s="1571">
        <v>0</v>
      </c>
      <c r="K234" s="1571">
        <v>0</v>
      </c>
      <c r="L234" s="1574">
        <f t="shared" si="170"/>
        <v>25</v>
      </c>
      <c r="M234" s="1574">
        <f t="shared" si="171"/>
        <v>20</v>
      </c>
      <c r="N234" s="1574">
        <f t="shared" si="172"/>
        <v>24</v>
      </c>
      <c r="O234" s="1574">
        <f t="shared" si="173"/>
        <v>25</v>
      </c>
      <c r="P234" s="1574">
        <f t="shared" si="174"/>
        <v>23</v>
      </c>
      <c r="Q234" s="1574">
        <f t="shared" si="175"/>
        <v>23</v>
      </c>
    </row>
    <row r="235" spans="1:17" x14ac:dyDescent="0.2">
      <c r="A235" s="1110" t="str">
        <f t="shared" si="168"/>
        <v>Leases - Other</v>
      </c>
      <c r="B235" s="831">
        <v>880</v>
      </c>
      <c r="C235" s="1571">
        <v>15744.62</v>
      </c>
      <c r="D235" s="1216">
        <f t="shared" si="169"/>
        <v>8.6233000000000004E-2</v>
      </c>
      <c r="E235" s="1582">
        <f t="shared" si="167"/>
        <v>16426.16</v>
      </c>
      <c r="F235" s="1571">
        <v>1289.27</v>
      </c>
      <c r="G235" s="1571">
        <v>1262.27</v>
      </c>
      <c r="H235" s="1571">
        <v>650</v>
      </c>
      <c r="I235" s="1571">
        <v>2205.7800000000002</v>
      </c>
      <c r="J235" s="1571">
        <v>1300.42</v>
      </c>
      <c r="K235" s="1571">
        <v>1300.42</v>
      </c>
      <c r="L235" s="1574">
        <f t="shared" si="170"/>
        <v>1536</v>
      </c>
      <c r="M235" s="1574">
        <f t="shared" si="171"/>
        <v>1210</v>
      </c>
      <c r="N235" s="1574">
        <f t="shared" si="172"/>
        <v>1427</v>
      </c>
      <c r="O235" s="1574">
        <f t="shared" si="173"/>
        <v>1494</v>
      </c>
      <c r="P235" s="1574">
        <f t="shared" si="174"/>
        <v>1375</v>
      </c>
      <c r="Q235" s="1574">
        <f t="shared" si="175"/>
        <v>1376</v>
      </c>
    </row>
    <row r="236" spans="1:17" x14ac:dyDescent="0.2">
      <c r="A236" s="1110" t="str">
        <f t="shared" si="168"/>
        <v>Leases - Other</v>
      </c>
      <c r="B236" s="831">
        <v>881</v>
      </c>
      <c r="C236" s="1571">
        <v>14624.8</v>
      </c>
      <c r="D236" s="1216">
        <f t="shared" si="169"/>
        <v>8.0100000000000005E-2</v>
      </c>
      <c r="E236" s="1582">
        <f t="shared" si="167"/>
        <v>16282</v>
      </c>
      <c r="F236" s="1571">
        <v>829.98</v>
      </c>
      <c r="G236" s="1571">
        <v>475</v>
      </c>
      <c r="H236" s="1571">
        <v>3503.58</v>
      </c>
      <c r="I236" s="1571">
        <v>2502.37</v>
      </c>
      <c r="J236" s="1571">
        <v>579.5</v>
      </c>
      <c r="K236" s="1571">
        <v>572.57000000000005</v>
      </c>
      <c r="L236" s="1574">
        <f t="shared" si="170"/>
        <v>1427</v>
      </c>
      <c r="M236" s="1574">
        <f t="shared" si="171"/>
        <v>1124</v>
      </c>
      <c r="N236" s="1574">
        <f t="shared" si="172"/>
        <v>1325</v>
      </c>
      <c r="O236" s="1574">
        <f t="shared" si="173"/>
        <v>1388</v>
      </c>
      <c r="P236" s="1574">
        <f t="shared" si="174"/>
        <v>1277</v>
      </c>
      <c r="Q236" s="1574">
        <f t="shared" si="175"/>
        <v>1278</v>
      </c>
    </row>
    <row r="237" spans="1:17" x14ac:dyDescent="0.2">
      <c r="A237" s="1110" t="str">
        <f t="shared" si="168"/>
        <v>Leases - Other</v>
      </c>
      <c r="B237" s="831">
        <v>887</v>
      </c>
      <c r="C237" s="1571">
        <v>564.38</v>
      </c>
      <c r="D237" s="1216">
        <f t="shared" si="169"/>
        <v>3.091E-3</v>
      </c>
      <c r="E237" s="1582">
        <f t="shared" si="167"/>
        <v>865.38</v>
      </c>
      <c r="F237" s="1571">
        <v>90</v>
      </c>
      <c r="G237" s="1571">
        <v>0</v>
      </c>
      <c r="H237" s="1571">
        <v>407.6</v>
      </c>
      <c r="I237" s="1571">
        <v>66.78</v>
      </c>
      <c r="J237" s="1571">
        <v>0</v>
      </c>
      <c r="K237" s="1571">
        <v>0</v>
      </c>
      <c r="L237" s="1574">
        <f t="shared" si="170"/>
        <v>55</v>
      </c>
      <c r="M237" s="1574">
        <f t="shared" si="171"/>
        <v>43</v>
      </c>
      <c r="N237" s="1574">
        <f t="shared" si="172"/>
        <v>51</v>
      </c>
      <c r="O237" s="1574">
        <f t="shared" si="173"/>
        <v>54</v>
      </c>
      <c r="P237" s="1574">
        <f t="shared" si="174"/>
        <v>49</v>
      </c>
      <c r="Q237" s="1574">
        <f t="shared" si="175"/>
        <v>49</v>
      </c>
    </row>
    <row r="238" spans="1:17" x14ac:dyDescent="0.2">
      <c r="A238" s="1110" t="str">
        <f t="shared" si="168"/>
        <v>Leases - Other</v>
      </c>
      <c r="B238" s="831">
        <v>892</v>
      </c>
      <c r="C238" s="1571">
        <v>103.32</v>
      </c>
      <c r="D238" s="1216">
        <f t="shared" si="169"/>
        <v>5.6599999999999999E-4</v>
      </c>
      <c r="E238" s="1582">
        <f t="shared" si="167"/>
        <v>158.32</v>
      </c>
      <c r="F238" s="1571">
        <v>27</v>
      </c>
      <c r="G238" s="1571">
        <v>0</v>
      </c>
      <c r="H238" s="1571">
        <v>0</v>
      </c>
      <c r="I238" s="1571">
        <v>76.319999999999993</v>
      </c>
      <c r="J238" s="1571">
        <v>0</v>
      </c>
      <c r="K238" s="1571">
        <v>0</v>
      </c>
      <c r="L238" s="1574">
        <f t="shared" si="170"/>
        <v>10</v>
      </c>
      <c r="M238" s="1574">
        <f t="shared" si="171"/>
        <v>8</v>
      </c>
      <c r="N238" s="1574">
        <f t="shared" si="172"/>
        <v>9</v>
      </c>
      <c r="O238" s="1574">
        <f t="shared" si="173"/>
        <v>10</v>
      </c>
      <c r="P238" s="1574">
        <f t="shared" si="174"/>
        <v>9</v>
      </c>
      <c r="Q238" s="1574">
        <f t="shared" si="175"/>
        <v>9</v>
      </c>
    </row>
    <row r="239" spans="1:17" x14ac:dyDescent="0.2">
      <c r="A239" s="1110" t="str">
        <f t="shared" si="168"/>
        <v>Leases - Other</v>
      </c>
      <c r="B239" s="832">
        <v>903</v>
      </c>
      <c r="C239" s="1571">
        <v>93.24</v>
      </c>
      <c r="D239" s="1216">
        <f t="shared" si="169"/>
        <v>5.1099999999999995E-4</v>
      </c>
      <c r="E239" s="1582">
        <f t="shared" si="167"/>
        <v>142.24</v>
      </c>
      <c r="F239" s="1571">
        <v>36</v>
      </c>
      <c r="G239" s="1571">
        <v>0</v>
      </c>
      <c r="H239" s="1571">
        <v>0</v>
      </c>
      <c r="I239" s="1571">
        <v>57.24</v>
      </c>
      <c r="J239" s="1571">
        <v>0</v>
      </c>
      <c r="K239" s="1571">
        <v>0</v>
      </c>
      <c r="L239" s="1574">
        <f t="shared" si="170"/>
        <v>9</v>
      </c>
      <c r="M239" s="1574">
        <f t="shared" si="171"/>
        <v>7</v>
      </c>
      <c r="N239" s="1574">
        <f t="shared" si="172"/>
        <v>8</v>
      </c>
      <c r="O239" s="1574">
        <f t="shared" si="173"/>
        <v>9</v>
      </c>
      <c r="P239" s="1574">
        <f t="shared" si="174"/>
        <v>8</v>
      </c>
      <c r="Q239" s="1574">
        <f t="shared" si="175"/>
        <v>8</v>
      </c>
    </row>
    <row r="240" spans="1:17" x14ac:dyDescent="0.2">
      <c r="A240" s="1110" t="str">
        <f t="shared" si="168"/>
        <v>Leases - Other</v>
      </c>
      <c r="B240" s="832">
        <v>921</v>
      </c>
      <c r="C240" s="1571">
        <v>134722.78</v>
      </c>
      <c r="D240" s="1216">
        <f>ROUND(C240/$C$243,6)</f>
        <v>0.73787199999999997</v>
      </c>
      <c r="E240" s="1582">
        <f t="shared" si="167"/>
        <v>145149.10999999999</v>
      </c>
      <c r="F240" s="1571">
        <v>13797.97</v>
      </c>
      <c r="G240" s="1571">
        <v>11406.26</v>
      </c>
      <c r="H240" s="1571">
        <v>11571.48</v>
      </c>
      <c r="I240" s="1571">
        <v>14124.74</v>
      </c>
      <c r="J240" s="1571">
        <v>11963.53</v>
      </c>
      <c r="K240" s="1571">
        <v>10256.129999999999</v>
      </c>
      <c r="L240" s="1574">
        <f>ROUND(D240*$L$243,0)</f>
        <v>13146</v>
      </c>
      <c r="M240" s="1574">
        <f>ROUND(D240*$M$243,0)</f>
        <v>10352</v>
      </c>
      <c r="N240" s="1574">
        <f>ROUND(D240*$N$243,0)</f>
        <v>12209</v>
      </c>
      <c r="O240" s="1574">
        <f>ROUND(D240*$O$243,0)</f>
        <v>12785</v>
      </c>
      <c r="P240" s="1574">
        <f>ROUND(D240*$P$243,0)</f>
        <v>11764</v>
      </c>
      <c r="Q240" s="1574">
        <f>ROUND(D240*$Q$243,0)</f>
        <v>11773</v>
      </c>
    </row>
    <row r="241" spans="1:17" x14ac:dyDescent="0.2">
      <c r="A241" s="1110" t="str">
        <f t="shared" ref="A241:A242" si="176">$B$134</f>
        <v>Leases - Other</v>
      </c>
      <c r="B241" s="832">
        <v>923</v>
      </c>
      <c r="C241" s="1571">
        <v>15302.37</v>
      </c>
      <c r="D241" s="1216">
        <f>ROUND(C241/$C$243,6)</f>
        <v>8.3810999999999997E-2</v>
      </c>
      <c r="E241" s="1582">
        <f t="shared" si="167"/>
        <v>16365.11</v>
      </c>
      <c r="F241" s="1571">
        <v>754.31</v>
      </c>
      <c r="G241" s="1571">
        <v>1948.94</v>
      </c>
      <c r="H241" s="1571">
        <v>1639.07</v>
      </c>
      <c r="I241" s="1571">
        <v>1403.71</v>
      </c>
      <c r="J241" s="1571">
        <v>1480.58</v>
      </c>
      <c r="K241" s="1571">
        <v>957.5</v>
      </c>
      <c r="L241" s="1574">
        <f>ROUND(D241*$L$243,0)</f>
        <v>1493</v>
      </c>
      <c r="M241" s="1574">
        <f>ROUND(D241*$M$243,0)</f>
        <v>1176</v>
      </c>
      <c r="N241" s="1574">
        <f>ROUND(D241*$N$243,0)</f>
        <v>1387</v>
      </c>
      <c r="O241" s="1574">
        <f>ROUND(D241*$O$243,0)</f>
        <v>1452</v>
      </c>
      <c r="P241" s="1574">
        <f>ROUND(D241*$P$243,0)</f>
        <v>1336</v>
      </c>
      <c r="Q241" s="1574">
        <f>ROUND(D241*$Q$243,0)</f>
        <v>1337</v>
      </c>
    </row>
    <row r="242" spans="1:17" ht="13.5" x14ac:dyDescent="0.35">
      <c r="A242" s="1110" t="str">
        <f t="shared" si="176"/>
        <v>Leases - Other</v>
      </c>
      <c r="B242" s="831">
        <v>930</v>
      </c>
      <c r="C242" s="1623">
        <v>63.42</v>
      </c>
      <c r="D242" s="1217">
        <f>ROUND(C242/$C$243,6)</f>
        <v>3.4699999999999998E-4</v>
      </c>
      <c r="E242" s="1587">
        <f t="shared" si="167"/>
        <v>34</v>
      </c>
      <c r="F242" s="1623">
        <v>0</v>
      </c>
      <c r="G242" s="1623">
        <v>0</v>
      </c>
      <c r="H242" s="1623">
        <v>0</v>
      </c>
      <c r="I242" s="1623">
        <v>0</v>
      </c>
      <c r="J242" s="1623">
        <v>0</v>
      </c>
      <c r="K242" s="1623">
        <v>0</v>
      </c>
      <c r="L242" s="2009">
        <f t="shared" ref="L242:Q242" si="177">L243-SUM(L231:L241)</f>
        <v>7</v>
      </c>
      <c r="M242" s="2009">
        <f t="shared" si="177"/>
        <v>5</v>
      </c>
      <c r="N242" s="2009">
        <f t="shared" si="177"/>
        <v>6</v>
      </c>
      <c r="O242" s="2009">
        <f t="shared" si="177"/>
        <v>5</v>
      </c>
      <c r="P242" s="2009">
        <f t="shared" si="177"/>
        <v>5</v>
      </c>
      <c r="Q242" s="2009">
        <f t="shared" si="177"/>
        <v>6</v>
      </c>
    </row>
    <row r="243" spans="1:17" x14ac:dyDescent="0.2">
      <c r="A243" s="1113"/>
      <c r="B243" s="1110"/>
      <c r="C243" s="1582">
        <f>SUM(C231:C242)</f>
        <v>182582.86000000002</v>
      </c>
      <c r="D243" s="1216">
        <f>SUM(D231:D242)</f>
        <v>1.0000020000000001</v>
      </c>
      <c r="E243" s="1582">
        <f>SUM(E231:E242)</f>
        <v>197233.62</v>
      </c>
      <c r="F243" s="1582">
        <f>SUM(F231:F242)</f>
        <v>17202.530000000002</v>
      </c>
      <c r="G243" s="1582">
        <f t="shared" ref="G243:K243" si="178">SUM(G231:G242)</f>
        <v>15092.470000000001</v>
      </c>
      <c r="H243" s="1582">
        <f t="shared" si="178"/>
        <v>17824.310000000001</v>
      </c>
      <c r="I243" s="1582">
        <f t="shared" si="178"/>
        <v>21085.659999999996</v>
      </c>
      <c r="J243" s="1582">
        <f t="shared" si="178"/>
        <v>15324.03</v>
      </c>
      <c r="K243" s="1582">
        <f t="shared" si="178"/>
        <v>13086.619999999999</v>
      </c>
      <c r="L243" s="1574">
        <f t="shared" ref="L243:Q243" si="179">L134</f>
        <v>17816</v>
      </c>
      <c r="M243" s="1574">
        <f t="shared" si="179"/>
        <v>14030</v>
      </c>
      <c r="N243" s="1574">
        <f t="shared" si="179"/>
        <v>16546</v>
      </c>
      <c r="O243" s="1574">
        <f t="shared" si="179"/>
        <v>17327</v>
      </c>
      <c r="P243" s="1574">
        <f t="shared" si="179"/>
        <v>15943</v>
      </c>
      <c r="Q243" s="1574">
        <f t="shared" si="179"/>
        <v>15956</v>
      </c>
    </row>
    <row r="244" spans="1:17" x14ac:dyDescent="0.2">
      <c r="A244" s="1113"/>
      <c r="B244" s="1110"/>
      <c r="C244" s="1582"/>
      <c r="D244" s="1216"/>
      <c r="E244" s="1582"/>
      <c r="F244" s="1582"/>
      <c r="G244" s="1582"/>
      <c r="H244" s="1582"/>
      <c r="I244" s="1582"/>
      <c r="J244" s="1582"/>
      <c r="K244" s="1582"/>
      <c r="L244" s="1574"/>
      <c r="M244" s="1574"/>
      <c r="N244" s="1574"/>
      <c r="O244" s="1574"/>
      <c r="P244" s="1574"/>
      <c r="Q244" s="1574"/>
    </row>
    <row r="245" spans="1:17" x14ac:dyDescent="0.2">
      <c r="A245" s="1110" t="str">
        <f>$B$125</f>
        <v>Insurance</v>
      </c>
      <c r="B245" s="831">
        <v>880</v>
      </c>
      <c r="C245" s="1571">
        <v>3.52</v>
      </c>
      <c r="D245" s="1216">
        <f>ROUND(C245/$C$254,6)</f>
        <v>1.5E-5</v>
      </c>
      <c r="E245" s="1582">
        <f t="shared" ref="E245" si="180">SUM(F245:Q245)</f>
        <v>4.18</v>
      </c>
      <c r="F245" s="1571">
        <v>0</v>
      </c>
      <c r="G245" s="1571">
        <v>0</v>
      </c>
      <c r="H245" s="1571">
        <v>0</v>
      </c>
      <c r="I245" s="1571">
        <v>2.1800000000000002</v>
      </c>
      <c r="J245" s="1571">
        <v>0</v>
      </c>
      <c r="K245" s="1571">
        <v>0</v>
      </c>
      <c r="L245" s="1574">
        <f>ROUND(D245*$L$254,0)</f>
        <v>0</v>
      </c>
      <c r="M245" s="1574">
        <f>ROUND(D245*$M$254,0)</f>
        <v>0</v>
      </c>
      <c r="N245" s="1574">
        <f>ROUND(D245*$N$254,0)</f>
        <v>0</v>
      </c>
      <c r="O245" s="1574">
        <f>ROUND(D245*$O$254,0)</f>
        <v>0</v>
      </c>
      <c r="P245" s="1574">
        <f>ROUND(D245*$P$254,0)</f>
        <v>1</v>
      </c>
      <c r="Q245" s="1574">
        <f>ROUND(D245*$Q$254,0)</f>
        <v>1</v>
      </c>
    </row>
    <row r="246" spans="1:17" x14ac:dyDescent="0.2">
      <c r="A246" s="1110" t="str">
        <f t="shared" ref="A246:A247" si="181">$B$125</f>
        <v>Insurance</v>
      </c>
      <c r="B246" s="831">
        <v>887</v>
      </c>
      <c r="C246" s="1571">
        <v>8.74</v>
      </c>
      <c r="D246" s="1216"/>
      <c r="E246" s="1582"/>
      <c r="F246" s="1571">
        <v>0</v>
      </c>
      <c r="G246" s="1571">
        <v>0</v>
      </c>
      <c r="H246" s="1571">
        <v>0</v>
      </c>
      <c r="I246" s="1571">
        <v>0</v>
      </c>
      <c r="J246" s="1571">
        <v>0</v>
      </c>
      <c r="K246" s="1571">
        <v>0</v>
      </c>
      <c r="L246" s="1574"/>
      <c r="M246" s="1574"/>
      <c r="N246" s="1574"/>
      <c r="O246" s="1574"/>
      <c r="P246" s="1574"/>
      <c r="Q246" s="1574"/>
    </row>
    <row r="247" spans="1:17" x14ac:dyDescent="0.2">
      <c r="A247" s="1110" t="str">
        <f t="shared" si="181"/>
        <v>Insurance</v>
      </c>
      <c r="B247" s="831">
        <v>892</v>
      </c>
      <c r="C247" s="1571">
        <v>3.07</v>
      </c>
      <c r="D247" s="1216">
        <f>ROUND(C247/$C$254,6)</f>
        <v>1.2999999999999999E-5</v>
      </c>
      <c r="E247" s="1582">
        <f t="shared" ref="E247:E249" si="182">SUM(F247:Q247)</f>
        <v>3.07</v>
      </c>
      <c r="F247" s="1571">
        <v>0</v>
      </c>
      <c r="G247" s="1571">
        <v>0</v>
      </c>
      <c r="H247" s="1571">
        <v>0</v>
      </c>
      <c r="I247" s="1571">
        <v>3.07</v>
      </c>
      <c r="J247" s="1571">
        <v>0</v>
      </c>
      <c r="K247" s="1571">
        <v>0</v>
      </c>
      <c r="L247" s="1574">
        <f>ROUND(D247*$L$254,0)</f>
        <v>0</v>
      </c>
      <c r="M247" s="1574">
        <f>ROUND(D247*$M$254,0)</f>
        <v>0</v>
      </c>
      <c r="N247" s="1574">
        <f>ROUND(D247*$N$254,0)</f>
        <v>0</v>
      </c>
      <c r="O247" s="1574">
        <f>ROUND(D247*$O$254,0)</f>
        <v>0</v>
      </c>
      <c r="P247" s="1574">
        <f>ROUND(D247*$P$254,0)</f>
        <v>0</v>
      </c>
      <c r="Q247" s="1574">
        <f>ROUND(D247*$Q$254,0)</f>
        <v>0</v>
      </c>
    </row>
    <row r="248" spans="1:17" x14ac:dyDescent="0.2">
      <c r="A248" s="1110" t="str">
        <f t="shared" ref="A248" si="183">$B$125</f>
        <v>Insurance</v>
      </c>
      <c r="B248" s="831">
        <v>924</v>
      </c>
      <c r="C248" s="1571">
        <v>45685.599999999999</v>
      </c>
      <c r="D248" s="1216">
        <f>ROUND(C248/$C$254,6)</f>
        <v>0.18919800000000001</v>
      </c>
      <c r="E248" s="1582">
        <f t="shared" si="182"/>
        <v>51418.23</v>
      </c>
      <c r="F248" s="1571">
        <v>3049.36</v>
      </c>
      <c r="G248" s="1571">
        <v>2724</v>
      </c>
      <c r="H248" s="1571">
        <v>1991.04</v>
      </c>
      <c r="I248" s="1571">
        <v>2724</v>
      </c>
      <c r="J248" s="1571">
        <v>2566.83</v>
      </c>
      <c r="K248" s="1571">
        <v>2724</v>
      </c>
      <c r="L248" s="1574">
        <f>ROUND(D248*$L$254,0)</f>
        <v>5723</v>
      </c>
      <c r="M248" s="1574">
        <f>ROUND(D248*$M$254,0)</f>
        <v>5723</v>
      </c>
      <c r="N248" s="1574">
        <f>ROUND(D248*$N$254,0)</f>
        <v>5844</v>
      </c>
      <c r="O248" s="1574">
        <f>ROUND(D248*$O$254,0)</f>
        <v>5723</v>
      </c>
      <c r="P248" s="1574">
        <f>ROUND(D248*$P$254,0)</f>
        <v>6313</v>
      </c>
      <c r="Q248" s="1574">
        <f>ROUND(D248*$Q$254,0)</f>
        <v>6313</v>
      </c>
    </row>
    <row r="249" spans="1:17" ht="13.5" x14ac:dyDescent="0.35">
      <c r="A249" s="1110" t="str">
        <f>$B$125</f>
        <v>Insurance</v>
      </c>
      <c r="B249" s="831">
        <v>925</v>
      </c>
      <c r="C249" s="1624">
        <v>501281.08999999997</v>
      </c>
      <c r="D249" s="1217">
        <f>ROUND(C249/$C$254,6)</f>
        <v>2.075955</v>
      </c>
      <c r="E249" s="1587">
        <f t="shared" si="182"/>
        <v>480511.24</v>
      </c>
      <c r="F249" s="1623">
        <v>39790.33</v>
      </c>
      <c r="G249" s="1623">
        <v>41072.42</v>
      </c>
      <c r="H249" s="1623">
        <v>41938.410000000003</v>
      </c>
      <c r="I249" s="1623">
        <v>42189.02</v>
      </c>
      <c r="J249" s="1623">
        <v>42520.78</v>
      </c>
      <c r="K249" s="1623">
        <v>42748.28</v>
      </c>
      <c r="L249" s="2009">
        <f t="shared" ref="L249:Q249" si="184">L250-SUM(L245:L248)</f>
        <v>36975</v>
      </c>
      <c r="M249" s="2009">
        <f t="shared" si="184"/>
        <v>36975</v>
      </c>
      <c r="N249" s="2009">
        <f t="shared" si="184"/>
        <v>37759</v>
      </c>
      <c r="O249" s="2009">
        <f t="shared" si="184"/>
        <v>36975</v>
      </c>
      <c r="P249" s="2009">
        <f t="shared" si="184"/>
        <v>40784</v>
      </c>
      <c r="Q249" s="2009">
        <f t="shared" si="184"/>
        <v>40784</v>
      </c>
    </row>
    <row r="250" spans="1:17" x14ac:dyDescent="0.2">
      <c r="A250" s="1113"/>
      <c r="B250" s="1110"/>
      <c r="C250" s="1572">
        <f>SUM(C245:C249)</f>
        <v>546982.02</v>
      </c>
      <c r="D250" s="1216">
        <f>SUM(D245:D249)</f>
        <v>2.2651810000000001</v>
      </c>
      <c r="E250" s="1572">
        <f>SUM(E245:E249)</f>
        <v>531936.72</v>
      </c>
      <c r="F250" s="1572">
        <f>SUM(F245:F249)</f>
        <v>42839.69</v>
      </c>
      <c r="G250" s="1572">
        <f t="shared" ref="G250:K250" si="185">SUM(G245:G249)</f>
        <v>43796.42</v>
      </c>
      <c r="H250" s="1572">
        <f t="shared" si="185"/>
        <v>43929.450000000004</v>
      </c>
      <c r="I250" s="1572">
        <f t="shared" si="185"/>
        <v>44918.27</v>
      </c>
      <c r="J250" s="1582">
        <f t="shared" si="185"/>
        <v>45087.61</v>
      </c>
      <c r="K250" s="1582">
        <f t="shared" si="185"/>
        <v>45472.28</v>
      </c>
      <c r="L250" s="1574">
        <f t="shared" ref="L250:Q250" si="186">L125</f>
        <v>42698</v>
      </c>
      <c r="M250" s="1574">
        <f t="shared" si="186"/>
        <v>42698</v>
      </c>
      <c r="N250" s="1574">
        <f t="shared" si="186"/>
        <v>43603</v>
      </c>
      <c r="O250" s="1574">
        <f t="shared" si="186"/>
        <v>42698</v>
      </c>
      <c r="P250" s="1574">
        <f t="shared" si="186"/>
        <v>47098</v>
      </c>
      <c r="Q250" s="1574">
        <f t="shared" si="186"/>
        <v>47098</v>
      </c>
    </row>
    <row r="251" spans="1:17" x14ac:dyDescent="0.2">
      <c r="A251" s="1113"/>
      <c r="B251" s="1110"/>
      <c r="C251" s="1572"/>
      <c r="D251" s="1216"/>
      <c r="E251" s="1572"/>
      <c r="F251" s="1572"/>
      <c r="G251" s="1572"/>
      <c r="H251" s="1572"/>
      <c r="I251" s="1572"/>
      <c r="J251" s="1572"/>
      <c r="K251" s="1572"/>
      <c r="L251" s="1574"/>
      <c r="M251" s="1574"/>
      <c r="N251" s="1574"/>
      <c r="O251" s="1574"/>
      <c r="P251" s="1574"/>
      <c r="Q251" s="1574"/>
    </row>
    <row r="252" spans="1:17" x14ac:dyDescent="0.2">
      <c r="A252" s="1110" t="str">
        <f>$B$127</f>
        <v>Insurance Affiliated</v>
      </c>
      <c r="B252" s="831">
        <v>924</v>
      </c>
      <c r="C252" s="1571">
        <v>13980.12</v>
      </c>
      <c r="D252" s="1216">
        <f>ROUND(C252/$C$254,6)</f>
        <v>5.7896000000000003E-2</v>
      </c>
      <c r="E252" s="1582">
        <f t="shared" ref="E252:E253" si="187">SUM(F252:Q252)</f>
        <v>14313</v>
      </c>
      <c r="F252" s="1571">
        <v>568</v>
      </c>
      <c r="G252" s="1571">
        <v>568</v>
      </c>
      <c r="H252" s="1571">
        <v>568</v>
      </c>
      <c r="I252" s="1571">
        <v>568</v>
      </c>
      <c r="J252" s="1571">
        <v>568</v>
      </c>
      <c r="K252" s="1571">
        <v>568</v>
      </c>
      <c r="L252" s="1574">
        <f>ROUND(D252*$L$254,0)</f>
        <v>1751</v>
      </c>
      <c r="M252" s="1574">
        <f>ROUND(D252*$M$254,0)</f>
        <v>1751</v>
      </c>
      <c r="N252" s="1574">
        <f>ROUND(D252*$N$254,0)</f>
        <v>1788</v>
      </c>
      <c r="O252" s="1574">
        <f>ROUND(D252*$O$254,0)</f>
        <v>1751</v>
      </c>
      <c r="P252" s="1574">
        <f>ROUND(D252*$P$254,0)</f>
        <v>1932</v>
      </c>
      <c r="Q252" s="1574">
        <f>ROUND(D252*$Q$254,0)</f>
        <v>1932</v>
      </c>
    </row>
    <row r="253" spans="1:17" ht="13.5" x14ac:dyDescent="0.35">
      <c r="A253" s="1110" t="str">
        <f>$B$127</f>
        <v>Insurance Affiliated</v>
      </c>
      <c r="B253" s="831">
        <v>925</v>
      </c>
      <c r="C253" s="1624">
        <v>227489.94</v>
      </c>
      <c r="D253" s="1217">
        <f>ROUND(C253/$C$254,6)</f>
        <v>0.94210400000000005</v>
      </c>
      <c r="E253" s="1587">
        <f t="shared" si="187"/>
        <v>290942</v>
      </c>
      <c r="F253" s="1623">
        <v>18914</v>
      </c>
      <c r="G253" s="1623">
        <v>18914</v>
      </c>
      <c r="H253" s="1623">
        <v>18914</v>
      </c>
      <c r="I253" s="1623">
        <v>18914</v>
      </c>
      <c r="J253" s="1623">
        <v>18914</v>
      </c>
      <c r="K253" s="1623">
        <v>18914</v>
      </c>
      <c r="L253" s="2009">
        <f t="shared" ref="L253:Q253" si="188">L254-SUM(L252:L252)</f>
        <v>28497</v>
      </c>
      <c r="M253" s="2009">
        <f t="shared" si="188"/>
        <v>28497</v>
      </c>
      <c r="N253" s="2009">
        <f t="shared" si="188"/>
        <v>29101</v>
      </c>
      <c r="O253" s="2009">
        <f t="shared" si="188"/>
        <v>28497</v>
      </c>
      <c r="P253" s="2009">
        <f t="shared" si="188"/>
        <v>31433</v>
      </c>
      <c r="Q253" s="2009">
        <f t="shared" si="188"/>
        <v>31433</v>
      </c>
    </row>
    <row r="254" spans="1:17" x14ac:dyDescent="0.2">
      <c r="A254" s="1113"/>
      <c r="B254" s="1110"/>
      <c r="C254" s="1572">
        <f>SUM(C252:C253)</f>
        <v>241470.06</v>
      </c>
      <c r="D254" s="1216">
        <f>SUM(D252:D253)</f>
        <v>1</v>
      </c>
      <c r="E254" s="1572">
        <f>SUM(E252:E253)</f>
        <v>305255</v>
      </c>
      <c r="F254" s="1582">
        <f>SUM(F252:F253)</f>
        <v>19482</v>
      </c>
      <c r="G254" s="1582">
        <f t="shared" ref="G254:K254" si="189">SUM(G252:G253)</f>
        <v>19482</v>
      </c>
      <c r="H254" s="1582">
        <f t="shared" si="189"/>
        <v>19482</v>
      </c>
      <c r="I254" s="1582">
        <f t="shared" si="189"/>
        <v>19482</v>
      </c>
      <c r="J254" s="1582">
        <f t="shared" si="189"/>
        <v>19482</v>
      </c>
      <c r="K254" s="1582">
        <f t="shared" si="189"/>
        <v>19482</v>
      </c>
      <c r="L254" s="1574">
        <f t="shared" ref="L254:Q254" si="190">L127</f>
        <v>30248</v>
      </c>
      <c r="M254" s="1574">
        <f t="shared" si="190"/>
        <v>30248</v>
      </c>
      <c r="N254" s="1574">
        <f t="shared" si="190"/>
        <v>30889</v>
      </c>
      <c r="O254" s="1574">
        <f t="shared" si="190"/>
        <v>30248</v>
      </c>
      <c r="P254" s="1574">
        <f t="shared" si="190"/>
        <v>33365</v>
      </c>
      <c r="Q254" s="1574">
        <f t="shared" si="190"/>
        <v>33365</v>
      </c>
    </row>
    <row r="255" spans="1:17" x14ac:dyDescent="0.2">
      <c r="A255" s="1113"/>
      <c r="B255" s="1110"/>
      <c r="C255" s="1572"/>
      <c r="D255" s="1216"/>
      <c r="E255" s="1572"/>
      <c r="F255" s="1572"/>
      <c r="G255" s="1572"/>
      <c r="H255" s="1572"/>
      <c r="I255" s="1572"/>
      <c r="J255" s="1572"/>
      <c r="K255" s="1572"/>
      <c r="L255" s="1574"/>
      <c r="M255" s="1574"/>
      <c r="N255" s="1574"/>
      <c r="O255" s="1574"/>
      <c r="P255" s="1574"/>
      <c r="Q255" s="1574"/>
    </row>
    <row r="256" spans="1:17" x14ac:dyDescent="0.2">
      <c r="A256" s="1110" t="str">
        <f>$B$112</f>
        <v>Employee Expenses</v>
      </c>
      <c r="B256" s="832">
        <v>870</v>
      </c>
      <c r="C256" s="1571">
        <v>14064.07</v>
      </c>
      <c r="D256" s="1216">
        <f t="shared" ref="D256:D270" si="191">ROUND(C256/$C$271,6)</f>
        <v>3.9733999999999998E-2</v>
      </c>
      <c r="E256" s="1582">
        <f t="shared" ref="E256:E270" si="192">SUM(F256:Q256)</f>
        <v>10534.22</v>
      </c>
      <c r="F256" s="1571">
        <v>125.26</v>
      </c>
      <c r="G256" s="1571">
        <v>126.71</v>
      </c>
      <c r="H256" s="1571">
        <v>161.35</v>
      </c>
      <c r="I256" s="1571">
        <v>266.17</v>
      </c>
      <c r="J256" s="1571">
        <v>155.56</v>
      </c>
      <c r="K256" s="1571">
        <v>32.17</v>
      </c>
      <c r="L256" s="1574">
        <f t="shared" ref="L256:Q269" si="193">ROUND($D256*L$271,0)</f>
        <v>1555</v>
      </c>
      <c r="M256" s="1574">
        <f t="shared" si="193"/>
        <v>1436</v>
      </c>
      <c r="N256" s="1574">
        <f t="shared" si="193"/>
        <v>1655</v>
      </c>
      <c r="O256" s="1574">
        <f t="shared" si="193"/>
        <v>1692</v>
      </c>
      <c r="P256" s="1574">
        <f t="shared" si="193"/>
        <v>1511</v>
      </c>
      <c r="Q256" s="1574">
        <f t="shared" si="193"/>
        <v>1818</v>
      </c>
    </row>
    <row r="257" spans="1:17" x14ac:dyDescent="0.2">
      <c r="A257" s="1110" t="str">
        <f t="shared" ref="A257:A270" si="194">$B$112</f>
        <v>Employee Expenses</v>
      </c>
      <c r="B257" s="832">
        <v>874</v>
      </c>
      <c r="C257" s="1571">
        <v>124825.33</v>
      </c>
      <c r="D257" s="1216">
        <f t="shared" si="191"/>
        <v>0.35265999999999997</v>
      </c>
      <c r="E257" s="1582">
        <f t="shared" si="192"/>
        <v>140594.97999999998</v>
      </c>
      <c r="F257" s="1571">
        <v>5865.63</v>
      </c>
      <c r="G257" s="1571">
        <v>9793.7800000000007</v>
      </c>
      <c r="H257" s="1571">
        <v>11146.37</v>
      </c>
      <c r="I257" s="1571">
        <v>11805.46</v>
      </c>
      <c r="J257" s="1571">
        <v>7112.24</v>
      </c>
      <c r="K257" s="1571">
        <v>9067.5</v>
      </c>
      <c r="L257" s="1574">
        <f t="shared" si="193"/>
        <v>13797</v>
      </c>
      <c r="M257" s="1574">
        <f t="shared" si="193"/>
        <v>12741</v>
      </c>
      <c r="N257" s="1574">
        <f t="shared" si="193"/>
        <v>14693</v>
      </c>
      <c r="O257" s="1574">
        <f t="shared" si="193"/>
        <v>15020</v>
      </c>
      <c r="P257" s="1574">
        <f t="shared" si="193"/>
        <v>13414</v>
      </c>
      <c r="Q257" s="1574">
        <f t="shared" si="193"/>
        <v>16139</v>
      </c>
    </row>
    <row r="258" spans="1:17" x14ac:dyDescent="0.2">
      <c r="A258" s="1110" t="str">
        <f t="shared" si="194"/>
        <v>Employee Expenses</v>
      </c>
      <c r="B258" s="832">
        <v>875</v>
      </c>
      <c r="C258" s="1571">
        <v>9448.19</v>
      </c>
      <c r="D258" s="1216">
        <f t="shared" si="191"/>
        <v>2.6693000000000001E-2</v>
      </c>
      <c r="E258" s="1582">
        <f t="shared" si="192"/>
        <v>11822.46</v>
      </c>
      <c r="F258" s="1571">
        <v>603.25</v>
      </c>
      <c r="G258" s="1571">
        <v>1893.8</v>
      </c>
      <c r="H258" s="1571">
        <v>1705.87</v>
      </c>
      <c r="I258" s="1571">
        <v>956.07</v>
      </c>
      <c r="J258" s="1571">
        <v>169.47</v>
      </c>
      <c r="K258" s="1571">
        <v>0</v>
      </c>
      <c r="L258" s="1574">
        <f t="shared" si="193"/>
        <v>1044</v>
      </c>
      <c r="M258" s="1574">
        <f t="shared" si="193"/>
        <v>964</v>
      </c>
      <c r="N258" s="1574">
        <f t="shared" si="193"/>
        <v>1112</v>
      </c>
      <c r="O258" s="1574">
        <f t="shared" si="193"/>
        <v>1137</v>
      </c>
      <c r="P258" s="1574">
        <f t="shared" si="193"/>
        <v>1015</v>
      </c>
      <c r="Q258" s="1574">
        <f t="shared" si="193"/>
        <v>1222</v>
      </c>
    </row>
    <row r="259" spans="1:17" x14ac:dyDescent="0.2">
      <c r="A259" s="1110" t="str">
        <f t="shared" si="194"/>
        <v>Employee Expenses</v>
      </c>
      <c r="B259" s="832">
        <v>876</v>
      </c>
      <c r="C259" s="1571">
        <v>2156.41</v>
      </c>
      <c r="D259" s="1216">
        <f t="shared" si="191"/>
        <v>6.0920000000000002E-3</v>
      </c>
      <c r="E259" s="1582">
        <f t="shared" si="192"/>
        <v>2062.33</v>
      </c>
      <c r="F259" s="1571">
        <v>71.13</v>
      </c>
      <c r="G259" s="1571">
        <v>198.83</v>
      </c>
      <c r="H259" s="1571">
        <v>93.75</v>
      </c>
      <c r="I259" s="1571">
        <v>129.9</v>
      </c>
      <c r="J259" s="1571">
        <v>86.72</v>
      </c>
      <c r="K259" s="1571">
        <v>0</v>
      </c>
      <c r="L259" s="1574">
        <f t="shared" si="193"/>
        <v>238</v>
      </c>
      <c r="M259" s="1574">
        <f t="shared" si="193"/>
        <v>220</v>
      </c>
      <c r="N259" s="1574">
        <f t="shared" si="193"/>
        <v>254</v>
      </c>
      <c r="O259" s="1574">
        <f t="shared" si="193"/>
        <v>259</v>
      </c>
      <c r="P259" s="1574">
        <f t="shared" si="193"/>
        <v>232</v>
      </c>
      <c r="Q259" s="1574">
        <f t="shared" si="193"/>
        <v>279</v>
      </c>
    </row>
    <row r="260" spans="1:17" x14ac:dyDescent="0.2">
      <c r="A260" s="1110" t="str">
        <f t="shared" si="194"/>
        <v>Employee Expenses</v>
      </c>
      <c r="B260" s="832">
        <v>878</v>
      </c>
      <c r="C260" s="1571">
        <v>24889.81</v>
      </c>
      <c r="D260" s="1216">
        <f t="shared" si="191"/>
        <v>7.0319000000000007E-2</v>
      </c>
      <c r="E260" s="1582">
        <f t="shared" si="192"/>
        <v>29696</v>
      </c>
      <c r="F260" s="1571">
        <v>1239.3900000000001</v>
      </c>
      <c r="G260" s="1571">
        <v>1366.97</v>
      </c>
      <c r="H260" s="1571">
        <v>1228.9100000000001</v>
      </c>
      <c r="I260" s="1571">
        <v>5132.07</v>
      </c>
      <c r="J260" s="1571">
        <v>2690.98</v>
      </c>
      <c r="K260" s="1571">
        <v>928.68</v>
      </c>
      <c r="L260" s="1574">
        <f t="shared" si="193"/>
        <v>2751</v>
      </c>
      <c r="M260" s="1574">
        <f t="shared" si="193"/>
        <v>2540</v>
      </c>
      <c r="N260" s="1574">
        <f t="shared" si="193"/>
        <v>2930</v>
      </c>
      <c r="O260" s="1574">
        <f t="shared" si="193"/>
        <v>2995</v>
      </c>
      <c r="P260" s="1574">
        <f t="shared" si="193"/>
        <v>2675</v>
      </c>
      <c r="Q260" s="1574">
        <f t="shared" si="193"/>
        <v>3218</v>
      </c>
    </row>
    <row r="261" spans="1:17" x14ac:dyDescent="0.2">
      <c r="A261" s="1110" t="str">
        <f t="shared" si="194"/>
        <v>Employee Expenses</v>
      </c>
      <c r="B261" s="832">
        <v>879</v>
      </c>
      <c r="C261" s="1571">
        <v>10581.42</v>
      </c>
      <c r="D261" s="1216">
        <f t="shared" si="191"/>
        <v>2.9895000000000001E-2</v>
      </c>
      <c r="E261" s="1582">
        <f t="shared" si="192"/>
        <v>12692.1</v>
      </c>
      <c r="F261" s="1571">
        <v>650.67999999999995</v>
      </c>
      <c r="G261" s="1571">
        <v>701.41</v>
      </c>
      <c r="H261" s="1571">
        <v>889.44</v>
      </c>
      <c r="I261" s="1571">
        <v>1902.37</v>
      </c>
      <c r="J261" s="1571">
        <v>733.47</v>
      </c>
      <c r="K261" s="1571">
        <v>541.73</v>
      </c>
      <c r="L261" s="1574">
        <f t="shared" si="193"/>
        <v>1170</v>
      </c>
      <c r="M261" s="1574">
        <f t="shared" si="193"/>
        <v>1080</v>
      </c>
      <c r="N261" s="1574">
        <f t="shared" si="193"/>
        <v>1245</v>
      </c>
      <c r="O261" s="1574">
        <f t="shared" si="193"/>
        <v>1273</v>
      </c>
      <c r="P261" s="1574">
        <f t="shared" si="193"/>
        <v>1137</v>
      </c>
      <c r="Q261" s="1574">
        <f t="shared" si="193"/>
        <v>1368</v>
      </c>
    </row>
    <row r="262" spans="1:17" x14ac:dyDescent="0.2">
      <c r="A262" s="1110" t="str">
        <f t="shared" si="194"/>
        <v>Employee Expenses</v>
      </c>
      <c r="B262" s="832">
        <v>880</v>
      </c>
      <c r="C262" s="1571">
        <v>37158.620000000003</v>
      </c>
      <c r="D262" s="1216">
        <f t="shared" si="191"/>
        <v>0.104981</v>
      </c>
      <c r="E262" s="1582">
        <f t="shared" si="192"/>
        <v>39436.980000000003</v>
      </c>
      <c r="F262" s="1571">
        <v>1830.87</v>
      </c>
      <c r="G262" s="1571">
        <v>3074.77</v>
      </c>
      <c r="H262" s="1571">
        <v>1673.14</v>
      </c>
      <c r="I262" s="1571">
        <v>3690.33</v>
      </c>
      <c r="J262" s="1571">
        <v>1685.38</v>
      </c>
      <c r="K262" s="1571">
        <v>1940.49</v>
      </c>
      <c r="L262" s="1574">
        <f t="shared" si="193"/>
        <v>4107</v>
      </c>
      <c r="M262" s="1574">
        <f t="shared" si="193"/>
        <v>3793</v>
      </c>
      <c r="N262" s="1574">
        <f t="shared" si="193"/>
        <v>4374</v>
      </c>
      <c r="O262" s="1574">
        <f t="shared" si="193"/>
        <v>4471</v>
      </c>
      <c r="P262" s="1574">
        <f t="shared" si="193"/>
        <v>3993</v>
      </c>
      <c r="Q262" s="1574">
        <f t="shared" si="193"/>
        <v>4804</v>
      </c>
    </row>
    <row r="263" spans="1:17" x14ac:dyDescent="0.2">
      <c r="A263" s="1110" t="str">
        <f t="shared" si="194"/>
        <v>Employee Expenses</v>
      </c>
      <c r="B263" s="832">
        <v>885</v>
      </c>
      <c r="C263" s="1571">
        <v>478.23999999999995</v>
      </c>
      <c r="D263" s="1216">
        <f t="shared" si="191"/>
        <v>1.351E-3</v>
      </c>
      <c r="E263" s="1582">
        <f t="shared" si="192"/>
        <v>534.93000000000006</v>
      </c>
      <c r="F263" s="1571">
        <v>38.590000000000003</v>
      </c>
      <c r="G263" s="1571">
        <v>40.4</v>
      </c>
      <c r="H263" s="1571">
        <v>49.79</v>
      </c>
      <c r="I263" s="1571">
        <v>44.01</v>
      </c>
      <c r="J263" s="1571">
        <v>18.03</v>
      </c>
      <c r="K263" s="1571">
        <v>15.11</v>
      </c>
      <c r="L263" s="1574">
        <f t="shared" si="193"/>
        <v>53</v>
      </c>
      <c r="M263" s="1574">
        <f t="shared" si="193"/>
        <v>49</v>
      </c>
      <c r="N263" s="1574">
        <f t="shared" si="193"/>
        <v>56</v>
      </c>
      <c r="O263" s="1574">
        <f t="shared" si="193"/>
        <v>58</v>
      </c>
      <c r="P263" s="1574">
        <f t="shared" si="193"/>
        <v>51</v>
      </c>
      <c r="Q263" s="1574">
        <f t="shared" si="193"/>
        <v>62</v>
      </c>
    </row>
    <row r="264" spans="1:17" x14ac:dyDescent="0.2">
      <c r="A264" s="1110" t="str">
        <f t="shared" si="194"/>
        <v>Employee Expenses</v>
      </c>
      <c r="B264" s="832">
        <v>887</v>
      </c>
      <c r="C264" s="1571">
        <v>15523.15</v>
      </c>
      <c r="D264" s="1216">
        <f t="shared" si="191"/>
        <v>4.3855999999999999E-2</v>
      </c>
      <c r="E264" s="1582">
        <f t="shared" si="192"/>
        <v>15799.77</v>
      </c>
      <c r="F264" s="1571">
        <v>342.37</v>
      </c>
      <c r="G264" s="1571">
        <v>776.12</v>
      </c>
      <c r="H264" s="1571">
        <v>892.21</v>
      </c>
      <c r="I264" s="1571">
        <v>1608</v>
      </c>
      <c r="J264" s="1571">
        <v>805.81</v>
      </c>
      <c r="K264" s="1571">
        <v>705.26</v>
      </c>
      <c r="L264" s="1574">
        <f t="shared" si="193"/>
        <v>1716</v>
      </c>
      <c r="M264" s="1574">
        <f t="shared" si="193"/>
        <v>1584</v>
      </c>
      <c r="N264" s="1574">
        <f t="shared" si="193"/>
        <v>1827</v>
      </c>
      <c r="O264" s="1574">
        <f t="shared" si="193"/>
        <v>1868</v>
      </c>
      <c r="P264" s="1574">
        <f t="shared" si="193"/>
        <v>1668</v>
      </c>
      <c r="Q264" s="1574">
        <f t="shared" si="193"/>
        <v>2007</v>
      </c>
    </row>
    <row r="265" spans="1:17" x14ac:dyDescent="0.2">
      <c r="A265" s="1110" t="str">
        <f t="shared" si="194"/>
        <v>Employee Expenses</v>
      </c>
      <c r="B265" s="832">
        <v>889</v>
      </c>
      <c r="C265" s="1571">
        <v>4214.71</v>
      </c>
      <c r="D265" s="1216">
        <f t="shared" si="191"/>
        <v>1.1908E-2</v>
      </c>
      <c r="E265" s="1582">
        <f t="shared" si="192"/>
        <v>4031.3</v>
      </c>
      <c r="F265" s="1571">
        <v>139.01</v>
      </c>
      <c r="G265" s="1571">
        <v>388.68</v>
      </c>
      <c r="H265" s="1571">
        <v>183.24</v>
      </c>
      <c r="I265" s="1571">
        <v>253.9</v>
      </c>
      <c r="J265" s="1571">
        <v>169.47</v>
      </c>
      <c r="K265" s="1571">
        <v>0</v>
      </c>
      <c r="L265" s="1574">
        <f t="shared" si="193"/>
        <v>466</v>
      </c>
      <c r="M265" s="1574">
        <f t="shared" si="193"/>
        <v>430</v>
      </c>
      <c r="N265" s="1574">
        <f t="shared" si="193"/>
        <v>496</v>
      </c>
      <c r="O265" s="1574">
        <f t="shared" si="193"/>
        <v>507</v>
      </c>
      <c r="P265" s="1574">
        <f t="shared" si="193"/>
        <v>453</v>
      </c>
      <c r="Q265" s="1574">
        <f t="shared" si="193"/>
        <v>545</v>
      </c>
    </row>
    <row r="266" spans="1:17" x14ac:dyDescent="0.2">
      <c r="A266" s="1110" t="str">
        <f t="shared" si="194"/>
        <v>Employee Expenses</v>
      </c>
      <c r="B266" s="832">
        <v>890</v>
      </c>
      <c r="C266" s="1571">
        <v>2156.41</v>
      </c>
      <c r="D266" s="1216">
        <f t="shared" si="191"/>
        <v>6.0920000000000002E-3</v>
      </c>
      <c r="E266" s="1582">
        <f t="shared" si="192"/>
        <v>2062.33</v>
      </c>
      <c r="F266" s="1571">
        <v>71.13</v>
      </c>
      <c r="G266" s="1571">
        <v>198.83</v>
      </c>
      <c r="H266" s="1571">
        <v>93.75</v>
      </c>
      <c r="I266" s="1571">
        <v>129.9</v>
      </c>
      <c r="J266" s="1571">
        <v>86.72</v>
      </c>
      <c r="K266" s="1571">
        <v>0</v>
      </c>
      <c r="L266" s="1574">
        <f t="shared" si="193"/>
        <v>238</v>
      </c>
      <c r="M266" s="1574">
        <f t="shared" si="193"/>
        <v>220</v>
      </c>
      <c r="N266" s="1574">
        <f t="shared" si="193"/>
        <v>254</v>
      </c>
      <c r="O266" s="1574">
        <f t="shared" si="193"/>
        <v>259</v>
      </c>
      <c r="P266" s="1574">
        <f t="shared" si="193"/>
        <v>232</v>
      </c>
      <c r="Q266" s="1574">
        <f t="shared" si="193"/>
        <v>279</v>
      </c>
    </row>
    <row r="267" spans="1:17" x14ac:dyDescent="0.2">
      <c r="A267" s="1110" t="str">
        <f t="shared" si="194"/>
        <v>Employee Expenses</v>
      </c>
      <c r="B267" s="832">
        <v>892</v>
      </c>
      <c r="C267" s="1571">
        <v>4190.87</v>
      </c>
      <c r="D267" s="1216">
        <f t="shared" si="191"/>
        <v>1.184E-2</v>
      </c>
      <c r="E267" s="1582">
        <f t="shared" si="192"/>
        <v>4800.68</v>
      </c>
      <c r="F267" s="1571">
        <v>229.23</v>
      </c>
      <c r="G267" s="1571">
        <v>291.43</v>
      </c>
      <c r="H267" s="1571">
        <v>414.17</v>
      </c>
      <c r="I267" s="1571">
        <v>583.71</v>
      </c>
      <c r="J267" s="1571">
        <v>235.81</v>
      </c>
      <c r="K267" s="1571">
        <v>166.33</v>
      </c>
      <c r="L267" s="1574">
        <f t="shared" si="193"/>
        <v>463</v>
      </c>
      <c r="M267" s="1574">
        <f t="shared" si="193"/>
        <v>428</v>
      </c>
      <c r="N267" s="1574">
        <f t="shared" si="193"/>
        <v>493</v>
      </c>
      <c r="O267" s="1574">
        <f t="shared" si="193"/>
        <v>504</v>
      </c>
      <c r="P267" s="1574">
        <f t="shared" si="193"/>
        <v>450</v>
      </c>
      <c r="Q267" s="1574">
        <f t="shared" si="193"/>
        <v>542</v>
      </c>
    </row>
    <row r="268" spans="1:17" x14ac:dyDescent="0.2">
      <c r="A268" s="1110" t="str">
        <f t="shared" si="194"/>
        <v>Employee Expenses</v>
      </c>
      <c r="B268" s="832">
        <v>903</v>
      </c>
      <c r="C268" s="1571">
        <v>5622.66</v>
      </c>
      <c r="D268" s="1216">
        <f t="shared" si="191"/>
        <v>1.5885E-2</v>
      </c>
      <c r="E268" s="1582">
        <f t="shared" si="192"/>
        <v>6413.32</v>
      </c>
      <c r="F268" s="1571">
        <v>202.72</v>
      </c>
      <c r="G268" s="1571">
        <v>753.88</v>
      </c>
      <c r="H268" s="1571">
        <v>274.3</v>
      </c>
      <c r="I268" s="1571">
        <v>1012.4</v>
      </c>
      <c r="J268" s="1571">
        <v>225.62</v>
      </c>
      <c r="K268" s="1571">
        <v>79.400000000000006</v>
      </c>
      <c r="L268" s="1574">
        <f t="shared" si="193"/>
        <v>621</v>
      </c>
      <c r="M268" s="1574">
        <f t="shared" si="193"/>
        <v>574</v>
      </c>
      <c r="N268" s="1574">
        <f t="shared" si="193"/>
        <v>662</v>
      </c>
      <c r="O268" s="1574">
        <f t="shared" si="193"/>
        <v>677</v>
      </c>
      <c r="P268" s="1574">
        <f t="shared" si="193"/>
        <v>604</v>
      </c>
      <c r="Q268" s="1574">
        <f t="shared" si="193"/>
        <v>727</v>
      </c>
    </row>
    <row r="269" spans="1:17" x14ac:dyDescent="0.2">
      <c r="A269" s="1110" t="str">
        <f t="shared" si="194"/>
        <v>Employee Expenses</v>
      </c>
      <c r="B269" s="832">
        <v>921</v>
      </c>
      <c r="C269" s="1571">
        <v>98431.86</v>
      </c>
      <c r="D269" s="1216">
        <f t="shared" si="191"/>
        <v>0.27809200000000001</v>
      </c>
      <c r="E269" s="1582">
        <f t="shared" si="192"/>
        <v>122068.13</v>
      </c>
      <c r="F269" s="1571">
        <v>8368.56</v>
      </c>
      <c r="G269" s="1571">
        <v>9494.4500000000007</v>
      </c>
      <c r="H269" s="1571">
        <v>13070.57</v>
      </c>
      <c r="I269" s="1571">
        <v>12541.77</v>
      </c>
      <c r="J269" s="1571">
        <v>6452.29</v>
      </c>
      <c r="K269" s="1571">
        <v>4478.49</v>
      </c>
      <c r="L269" s="1574">
        <f t="shared" si="193"/>
        <v>10880</v>
      </c>
      <c r="M269" s="1574">
        <f t="shared" si="193"/>
        <v>10047</v>
      </c>
      <c r="N269" s="1574">
        <f t="shared" si="193"/>
        <v>11586</v>
      </c>
      <c r="O269" s="1574">
        <f t="shared" si="193"/>
        <v>11844</v>
      </c>
      <c r="P269" s="1574">
        <f t="shared" si="193"/>
        <v>10578</v>
      </c>
      <c r="Q269" s="1574">
        <f t="shared" si="193"/>
        <v>12727</v>
      </c>
    </row>
    <row r="270" spans="1:17" ht="13.5" x14ac:dyDescent="0.35">
      <c r="A270" s="1110" t="str">
        <f t="shared" si="194"/>
        <v>Employee Expenses</v>
      </c>
      <c r="B270" s="832">
        <v>923</v>
      </c>
      <c r="C270" s="1623">
        <v>212.43</v>
      </c>
      <c r="D270" s="1217">
        <f t="shared" si="191"/>
        <v>5.9999999999999995E-4</v>
      </c>
      <c r="E270" s="1587">
        <f t="shared" si="192"/>
        <v>204.88</v>
      </c>
      <c r="F270" s="1623">
        <v>7.48</v>
      </c>
      <c r="G270" s="1623">
        <v>0</v>
      </c>
      <c r="H270" s="1623">
        <v>36.68</v>
      </c>
      <c r="I270" s="1623">
        <v>10.72</v>
      </c>
      <c r="J270" s="1623">
        <v>0</v>
      </c>
      <c r="K270" s="1623">
        <v>0</v>
      </c>
      <c r="L270" s="2009">
        <f t="shared" ref="L270:Q270" si="195">L271-SUM(L256:L269)</f>
        <v>24</v>
      </c>
      <c r="M270" s="2009">
        <f t="shared" si="195"/>
        <v>22</v>
      </c>
      <c r="N270" s="2009">
        <f t="shared" si="195"/>
        <v>25</v>
      </c>
      <c r="O270" s="2009">
        <f t="shared" si="195"/>
        <v>26</v>
      </c>
      <c r="P270" s="2009">
        <f t="shared" si="195"/>
        <v>25</v>
      </c>
      <c r="Q270" s="2009">
        <f t="shared" si="195"/>
        <v>28</v>
      </c>
    </row>
    <row r="271" spans="1:17" x14ac:dyDescent="0.2">
      <c r="A271" s="1113"/>
      <c r="B271" s="1110"/>
      <c r="C271" s="1572">
        <f>SUM(C256:C270)</f>
        <v>353954.18</v>
      </c>
      <c r="D271" s="1216">
        <f>SUM(D256:D270)</f>
        <v>0.99999800000000005</v>
      </c>
      <c r="E271" s="1572">
        <f>SUM(E256:E270)</f>
        <v>402754.41</v>
      </c>
      <c r="F271" s="1582">
        <f>SUM(F256:F270)</f>
        <v>19785.3</v>
      </c>
      <c r="G271" s="1582">
        <f t="shared" ref="G271:K271" si="196">SUM(G256:G270)</f>
        <v>29100.06</v>
      </c>
      <c r="H271" s="1582">
        <f t="shared" si="196"/>
        <v>31913.54</v>
      </c>
      <c r="I271" s="1582">
        <f t="shared" si="196"/>
        <v>40066.78</v>
      </c>
      <c r="J271" s="1582">
        <f t="shared" si="196"/>
        <v>20627.57</v>
      </c>
      <c r="K271" s="1582">
        <f t="shared" si="196"/>
        <v>17955.16</v>
      </c>
      <c r="L271" s="1574">
        <f t="shared" ref="L271:Q271" si="197">L112</f>
        <v>39123</v>
      </c>
      <c r="M271" s="1574">
        <f t="shared" si="197"/>
        <v>36128</v>
      </c>
      <c r="N271" s="1574">
        <f t="shared" si="197"/>
        <v>41662</v>
      </c>
      <c r="O271" s="1574">
        <f t="shared" si="197"/>
        <v>42590</v>
      </c>
      <c r="P271" s="1574">
        <f t="shared" si="197"/>
        <v>38038</v>
      </c>
      <c r="Q271" s="1574">
        <f t="shared" si="197"/>
        <v>45765</v>
      </c>
    </row>
    <row r="272" spans="1:17" x14ac:dyDescent="0.2">
      <c r="A272" s="1113"/>
      <c r="B272" s="1110"/>
      <c r="C272" s="1582"/>
      <c r="D272" s="1216"/>
      <c r="E272" s="1582"/>
      <c r="F272" s="1582"/>
      <c r="G272" s="1582"/>
      <c r="H272" s="1582"/>
      <c r="I272" s="1582"/>
      <c r="J272" s="1582"/>
      <c r="K272" s="1582"/>
      <c r="L272" s="1574"/>
      <c r="M272" s="1574"/>
      <c r="N272" s="1574"/>
      <c r="O272" s="1574"/>
      <c r="P272" s="1574"/>
      <c r="Q272" s="1574"/>
    </row>
    <row r="273" spans="1:17" x14ac:dyDescent="0.2">
      <c r="A273" s="1110" t="str">
        <f t="shared" ref="A273:A276" si="198">$B$121</f>
        <v>Co Dues/Mbrshps-Industry Assns</v>
      </c>
      <c r="B273" s="832">
        <v>880</v>
      </c>
      <c r="C273" s="1571">
        <v>11225</v>
      </c>
      <c r="D273" s="1216">
        <f>ROUND(C273/$C$277,6)</f>
        <v>0.110695</v>
      </c>
      <c r="E273" s="1582">
        <f t="shared" ref="E273:E276" si="199">SUM(F273:Q273)</f>
        <v>14526</v>
      </c>
      <c r="F273" s="1571">
        <v>10490</v>
      </c>
      <c r="G273" s="1571">
        <v>0</v>
      </c>
      <c r="H273" s="1571">
        <v>0</v>
      </c>
      <c r="I273" s="1571">
        <v>0</v>
      </c>
      <c r="J273" s="1571">
        <v>0</v>
      </c>
      <c r="K273" s="1571">
        <v>0</v>
      </c>
      <c r="L273" s="1574">
        <f>ROUND($L$277*D273,0)</f>
        <v>328</v>
      </c>
      <c r="M273" s="1574">
        <f>ROUND($M$277*D273,0)</f>
        <v>347</v>
      </c>
      <c r="N273" s="1574">
        <f>ROUND($N$277*D273,0)</f>
        <v>1325</v>
      </c>
      <c r="O273" s="1574">
        <f>ROUND($O$277*D273,0)</f>
        <v>384</v>
      </c>
      <c r="P273" s="1574">
        <f>ROUND($P$277*D273,0)</f>
        <v>1324</v>
      </c>
      <c r="Q273" s="1574">
        <f>ROUND($Q$277*D273,0)</f>
        <v>328</v>
      </c>
    </row>
    <row r="274" spans="1:17" x14ac:dyDescent="0.2">
      <c r="A274" s="1110" t="str">
        <f t="shared" si="198"/>
        <v>Co Dues/Mbrshps-Industry Assns</v>
      </c>
      <c r="B274" s="832">
        <v>907</v>
      </c>
      <c r="C274" s="1571">
        <v>26915</v>
      </c>
      <c r="D274" s="1216">
        <f>ROUND(C274/$C$277,6)</f>
        <v>0.26542199999999999</v>
      </c>
      <c r="E274" s="1582">
        <f t="shared" si="199"/>
        <v>15792</v>
      </c>
      <c r="F274" s="1571">
        <v>0</v>
      </c>
      <c r="G274" s="1571">
        <v>0</v>
      </c>
      <c r="H274" s="1571">
        <v>0</v>
      </c>
      <c r="I274" s="1571">
        <v>0</v>
      </c>
      <c r="J274" s="1571">
        <v>6115</v>
      </c>
      <c r="K274" s="1571">
        <v>0</v>
      </c>
      <c r="L274" s="1574">
        <f>ROUND($L$277*D274,0)</f>
        <v>787</v>
      </c>
      <c r="M274" s="1574">
        <f>ROUND($M$277*D274,0)</f>
        <v>831</v>
      </c>
      <c r="N274" s="1574">
        <f>ROUND($N$277*D274,0)</f>
        <v>3178</v>
      </c>
      <c r="O274" s="1574">
        <f>ROUND($O$277*D274,0)</f>
        <v>921</v>
      </c>
      <c r="P274" s="1574">
        <f>ROUND($P$277*D274,0)</f>
        <v>3174</v>
      </c>
      <c r="Q274" s="1574">
        <f>ROUND($Q$277*D274,0)</f>
        <v>786</v>
      </c>
    </row>
    <row r="275" spans="1:17" x14ac:dyDescent="0.2">
      <c r="A275" s="1110" t="str">
        <f t="shared" si="198"/>
        <v>Co Dues/Mbrshps-Industry Assns</v>
      </c>
      <c r="B275" s="832">
        <v>921</v>
      </c>
      <c r="C275" s="1571">
        <v>22593</v>
      </c>
      <c r="D275" s="1216">
        <f>ROUND(C275/$C$277,6)</f>
        <v>0.222801</v>
      </c>
      <c r="E275" s="1582">
        <f t="shared" si="199"/>
        <v>17867.5</v>
      </c>
      <c r="F275" s="1571">
        <v>0</v>
      </c>
      <c r="G275" s="1571">
        <v>0</v>
      </c>
      <c r="H275" s="1571">
        <v>0</v>
      </c>
      <c r="I275" s="1571">
        <v>5000</v>
      </c>
      <c r="J275" s="1571">
        <v>2492.5</v>
      </c>
      <c r="K275" s="1571">
        <v>2250</v>
      </c>
      <c r="L275" s="1574">
        <f>ROUND($L$277*D275,0)</f>
        <v>661</v>
      </c>
      <c r="M275" s="1574">
        <f>ROUND($M$277*D275,0)</f>
        <v>698</v>
      </c>
      <c r="N275" s="1574">
        <f>ROUND($N$277*D275,0)</f>
        <v>2668</v>
      </c>
      <c r="O275" s="1574">
        <f>ROUND($O$277*D275,0)</f>
        <v>773</v>
      </c>
      <c r="P275" s="1574">
        <f>ROUND($P$277*D275,0)</f>
        <v>2665</v>
      </c>
      <c r="Q275" s="1574">
        <f>ROUND($Q$277*D275,0)</f>
        <v>660</v>
      </c>
    </row>
    <row r="276" spans="1:17" ht="13.5" x14ac:dyDescent="0.35">
      <c r="A276" s="1110" t="str">
        <f t="shared" si="198"/>
        <v>Co Dues/Mbrshps-Industry Assns</v>
      </c>
      <c r="B276" s="832">
        <v>930</v>
      </c>
      <c r="C276" s="1623">
        <v>40671.56</v>
      </c>
      <c r="D276" s="1570">
        <f>ROUND(C276/$C$277,6)</f>
        <v>0.40108199999999999</v>
      </c>
      <c r="E276" s="1587">
        <f t="shared" si="199"/>
        <v>25936.53</v>
      </c>
      <c r="F276" s="1623">
        <v>1829.88</v>
      </c>
      <c r="G276" s="1623">
        <v>9482.65</v>
      </c>
      <c r="H276" s="1623">
        <v>0</v>
      </c>
      <c r="I276" s="1623">
        <v>0</v>
      </c>
      <c r="J276" s="1623">
        <v>0</v>
      </c>
      <c r="K276" s="1623">
        <v>0</v>
      </c>
      <c r="L276" s="2008">
        <f t="shared" ref="L276:Q276" si="200">L277-SUM(L273:L275)</f>
        <v>1189</v>
      </c>
      <c r="M276" s="2008">
        <f t="shared" si="200"/>
        <v>1256</v>
      </c>
      <c r="N276" s="2008">
        <f t="shared" si="200"/>
        <v>4802</v>
      </c>
      <c r="O276" s="2008">
        <f t="shared" si="200"/>
        <v>1391</v>
      </c>
      <c r="P276" s="2008">
        <f t="shared" si="200"/>
        <v>4797</v>
      </c>
      <c r="Q276" s="2008">
        <f t="shared" si="200"/>
        <v>1189</v>
      </c>
    </row>
    <row r="277" spans="1:17" s="1112" customFormat="1" x14ac:dyDescent="0.2">
      <c r="A277" s="1113"/>
      <c r="B277" s="1110"/>
      <c r="C277" s="1572">
        <f>SUM(C273:C276)</f>
        <v>101404.56</v>
      </c>
      <c r="D277" s="1573">
        <f>SUM(D273:D276)</f>
        <v>1</v>
      </c>
      <c r="E277" s="1572">
        <f>SUM(E273:E276)</f>
        <v>74122.03</v>
      </c>
      <c r="F277" s="1582">
        <f>SUM(F273:F276)</f>
        <v>12319.880000000001</v>
      </c>
      <c r="G277" s="1582">
        <f t="shared" ref="G277:K277" si="201">SUM(G273:G276)</f>
        <v>9482.65</v>
      </c>
      <c r="H277" s="1582">
        <f t="shared" si="201"/>
        <v>0</v>
      </c>
      <c r="I277" s="1582">
        <f t="shared" si="201"/>
        <v>5000</v>
      </c>
      <c r="J277" s="1582">
        <f t="shared" si="201"/>
        <v>8607.5</v>
      </c>
      <c r="K277" s="1582">
        <f t="shared" si="201"/>
        <v>2250</v>
      </c>
      <c r="L277" s="1574">
        <f t="shared" ref="L277:Q277" si="202">L121</f>
        <v>2965</v>
      </c>
      <c r="M277" s="1574">
        <f t="shared" si="202"/>
        <v>3132</v>
      </c>
      <c r="N277" s="1574">
        <f t="shared" si="202"/>
        <v>11973</v>
      </c>
      <c r="O277" s="1574">
        <f t="shared" si="202"/>
        <v>3469</v>
      </c>
      <c r="P277" s="1574">
        <f t="shared" si="202"/>
        <v>11960</v>
      </c>
      <c r="Q277" s="1574">
        <f t="shared" si="202"/>
        <v>2963</v>
      </c>
    </row>
    <row r="278" spans="1:17" s="1112" customFormat="1" x14ac:dyDescent="0.2">
      <c r="A278" s="1113"/>
      <c r="B278" s="1110"/>
      <c r="C278" s="1572"/>
      <c r="D278" s="1573"/>
      <c r="E278" s="1572"/>
      <c r="F278" s="1572"/>
      <c r="G278" s="1572"/>
      <c r="H278" s="1572"/>
      <c r="I278" s="1572"/>
      <c r="J278" s="1572"/>
      <c r="K278" s="1572"/>
      <c r="L278" s="1574"/>
      <c r="M278" s="1574"/>
      <c r="N278" s="1574"/>
      <c r="O278" s="1574"/>
      <c r="P278" s="1574"/>
      <c r="Q278" s="1574"/>
    </row>
    <row r="279" spans="1:17" x14ac:dyDescent="0.2">
      <c r="A279" s="1110" t="str">
        <f>$B$130</f>
        <v>Utilities</v>
      </c>
      <c r="B279" s="831">
        <v>717</v>
      </c>
      <c r="C279" s="1571">
        <v>2091.98</v>
      </c>
      <c r="D279" s="1216">
        <f>ROUND(C279/$C$293,6)</f>
        <v>4.8630000000000001E-3</v>
      </c>
      <c r="E279" s="1582">
        <f t="shared" ref="E279:E292" si="203">SUM(F279:Q279)</f>
        <v>1191.99</v>
      </c>
      <c r="F279" s="1571">
        <v>0</v>
      </c>
      <c r="G279" s="1571">
        <v>35.090000000000003</v>
      </c>
      <c r="H279" s="1571">
        <v>0</v>
      </c>
      <c r="I279" s="1571">
        <v>36.840000000000003</v>
      </c>
      <c r="J279" s="1571">
        <v>35.06</v>
      </c>
      <c r="K279" s="1571">
        <v>0</v>
      </c>
      <c r="L279" s="1574">
        <f t="shared" ref="L279:L291" si="204">ROUND(D279*$L$293,0)</f>
        <v>185</v>
      </c>
      <c r="M279" s="1574">
        <f t="shared" ref="M279:M291" si="205">ROUND(D279*$M$293,0)</f>
        <v>163</v>
      </c>
      <c r="N279" s="1574">
        <f t="shared" ref="N279:N291" si="206">ROUND(D279*$N$293,0)</f>
        <v>196</v>
      </c>
      <c r="O279" s="1574">
        <f t="shared" ref="O279:O291" si="207">ROUND(D279*$O$293,0)</f>
        <v>191</v>
      </c>
      <c r="P279" s="1574">
        <f t="shared" ref="P279:P291" si="208">ROUND(D279*$P$293,0)</f>
        <v>175</v>
      </c>
      <c r="Q279" s="1574">
        <f t="shared" ref="Q279:Q291" si="209">ROUND(D279*$Q$293,0)</f>
        <v>175</v>
      </c>
    </row>
    <row r="280" spans="1:17" x14ac:dyDescent="0.2">
      <c r="A280" s="1110" t="str">
        <f t="shared" ref="A280:A292" si="210">$B$130</f>
        <v>Utilities</v>
      </c>
      <c r="B280" s="831">
        <v>870</v>
      </c>
      <c r="C280" s="1571">
        <v>15.9</v>
      </c>
      <c r="D280" s="1216">
        <f>ROUND(C280/$C$293,6)</f>
        <v>3.6999999999999998E-5</v>
      </c>
      <c r="E280" s="1582">
        <f t="shared" si="203"/>
        <v>6</v>
      </c>
      <c r="F280" s="1571">
        <v>0</v>
      </c>
      <c r="G280" s="1571">
        <v>0</v>
      </c>
      <c r="H280" s="1571">
        <v>0</v>
      </c>
      <c r="I280" s="1571">
        <v>0</v>
      </c>
      <c r="J280" s="1571">
        <v>0</v>
      </c>
      <c r="K280" s="1571">
        <v>0</v>
      </c>
      <c r="L280" s="1574">
        <f t="shared" si="204"/>
        <v>1</v>
      </c>
      <c r="M280" s="1574">
        <f t="shared" si="205"/>
        <v>1</v>
      </c>
      <c r="N280" s="1574">
        <f t="shared" si="206"/>
        <v>1</v>
      </c>
      <c r="O280" s="1574">
        <f t="shared" si="207"/>
        <v>1</v>
      </c>
      <c r="P280" s="1574">
        <f t="shared" si="208"/>
        <v>1</v>
      </c>
      <c r="Q280" s="1574">
        <f t="shared" si="209"/>
        <v>1</v>
      </c>
    </row>
    <row r="281" spans="1:17" x14ac:dyDescent="0.2">
      <c r="A281" s="1110" t="str">
        <f t="shared" si="210"/>
        <v>Utilities</v>
      </c>
      <c r="B281" s="831">
        <v>874</v>
      </c>
      <c r="C281" s="1571">
        <v>7484.079999999999</v>
      </c>
      <c r="D281" s="1216">
        <f>ROUND(C281/$C$293,6)</f>
        <v>1.7396999999999999E-2</v>
      </c>
      <c r="E281" s="1582">
        <f t="shared" si="203"/>
        <v>15912.020000000002</v>
      </c>
      <c r="F281" s="1571">
        <v>617.76</v>
      </c>
      <c r="G281" s="1571">
        <v>1544.17</v>
      </c>
      <c r="H281" s="1571">
        <v>1471.78</v>
      </c>
      <c r="I281" s="1571">
        <v>3271.23</v>
      </c>
      <c r="J281" s="1571">
        <v>2907.8</v>
      </c>
      <c r="K281" s="1571">
        <v>2215.2800000000002</v>
      </c>
      <c r="L281" s="1574">
        <f t="shared" si="204"/>
        <v>662</v>
      </c>
      <c r="M281" s="1574">
        <f t="shared" si="205"/>
        <v>583</v>
      </c>
      <c r="N281" s="1574">
        <f t="shared" si="206"/>
        <v>702</v>
      </c>
      <c r="O281" s="1574">
        <f t="shared" si="207"/>
        <v>684</v>
      </c>
      <c r="P281" s="1574">
        <f t="shared" si="208"/>
        <v>626</v>
      </c>
      <c r="Q281" s="1574">
        <f t="shared" si="209"/>
        <v>627</v>
      </c>
    </row>
    <row r="282" spans="1:17" x14ac:dyDescent="0.2">
      <c r="A282" s="1110" t="str">
        <f t="shared" si="210"/>
        <v>Utilities</v>
      </c>
      <c r="B282" s="831">
        <v>875</v>
      </c>
      <c r="C282" s="1571">
        <v>8653.67</v>
      </c>
      <c r="D282" s="1216">
        <f t="shared" ref="D282:D288" si="211">ROUND(C282/$C$293,6)</f>
        <v>2.0115999999999998E-2</v>
      </c>
      <c r="E282" s="1582">
        <f t="shared" si="203"/>
        <v>9354.89</v>
      </c>
      <c r="F282" s="1571">
        <v>554.46</v>
      </c>
      <c r="G282" s="1571">
        <v>397.12</v>
      </c>
      <c r="H282" s="1571">
        <v>636.96</v>
      </c>
      <c r="I282" s="1571">
        <v>767.76</v>
      </c>
      <c r="J282" s="1571">
        <v>1471.33</v>
      </c>
      <c r="K282" s="1571">
        <v>1035.26</v>
      </c>
      <c r="L282" s="1574">
        <f t="shared" si="204"/>
        <v>766</v>
      </c>
      <c r="M282" s="1574">
        <f t="shared" si="205"/>
        <v>675</v>
      </c>
      <c r="N282" s="1574">
        <f t="shared" si="206"/>
        <v>812</v>
      </c>
      <c r="O282" s="1574">
        <f t="shared" si="207"/>
        <v>791</v>
      </c>
      <c r="P282" s="1574">
        <f t="shared" si="208"/>
        <v>724</v>
      </c>
      <c r="Q282" s="1574">
        <f t="shared" si="209"/>
        <v>724</v>
      </c>
    </row>
    <row r="283" spans="1:17" x14ac:dyDescent="0.2">
      <c r="A283" s="1110" t="str">
        <f t="shared" si="210"/>
        <v>Utilities</v>
      </c>
      <c r="B283" s="831">
        <v>878</v>
      </c>
      <c r="C283" s="1571">
        <v>6.3</v>
      </c>
      <c r="D283" s="1216">
        <f t="shared" si="211"/>
        <v>1.5E-5</v>
      </c>
      <c r="E283" s="1582">
        <f t="shared" si="203"/>
        <v>12.3</v>
      </c>
      <c r="F283" s="1571">
        <v>1.43</v>
      </c>
      <c r="G283" s="1571">
        <v>2.86</v>
      </c>
      <c r="H283" s="1571">
        <v>0</v>
      </c>
      <c r="I283" s="1571">
        <v>2.0099999999999998</v>
      </c>
      <c r="J283" s="1571">
        <v>0</v>
      </c>
      <c r="K283" s="1571">
        <v>0</v>
      </c>
      <c r="L283" s="1574">
        <f t="shared" si="204"/>
        <v>1</v>
      </c>
      <c r="M283" s="1574">
        <f t="shared" si="205"/>
        <v>1</v>
      </c>
      <c r="N283" s="1574">
        <f t="shared" si="206"/>
        <v>1</v>
      </c>
      <c r="O283" s="1574">
        <f t="shared" si="207"/>
        <v>1</v>
      </c>
      <c r="P283" s="1574">
        <f t="shared" si="208"/>
        <v>1</v>
      </c>
      <c r="Q283" s="1574">
        <f t="shared" si="209"/>
        <v>1</v>
      </c>
    </row>
    <row r="284" spans="1:17" x14ac:dyDescent="0.2">
      <c r="A284" s="1110" t="str">
        <f t="shared" si="210"/>
        <v>Utilities</v>
      </c>
      <c r="B284" s="831">
        <v>879</v>
      </c>
      <c r="C284" s="1571">
        <v>5.46</v>
      </c>
      <c r="D284" s="1216">
        <f t="shared" si="211"/>
        <v>1.2999999999999999E-5</v>
      </c>
      <c r="E284" s="1582">
        <f t="shared" si="203"/>
        <v>7.46</v>
      </c>
      <c r="F284" s="1571">
        <v>1.24</v>
      </c>
      <c r="G284" s="1571">
        <v>2.48</v>
      </c>
      <c r="H284" s="1571">
        <v>0</v>
      </c>
      <c r="I284" s="1571">
        <v>1.74</v>
      </c>
      <c r="J284" s="1571">
        <v>0</v>
      </c>
      <c r="K284" s="1571">
        <v>0</v>
      </c>
      <c r="L284" s="1574">
        <f t="shared" si="204"/>
        <v>0</v>
      </c>
      <c r="M284" s="1574">
        <f t="shared" si="205"/>
        <v>0</v>
      </c>
      <c r="N284" s="1574">
        <f t="shared" si="206"/>
        <v>1</v>
      </c>
      <c r="O284" s="1574">
        <f t="shared" si="207"/>
        <v>1</v>
      </c>
      <c r="P284" s="1574">
        <f t="shared" si="208"/>
        <v>0</v>
      </c>
      <c r="Q284" s="1574">
        <f t="shared" si="209"/>
        <v>0</v>
      </c>
    </row>
    <row r="285" spans="1:17" x14ac:dyDescent="0.2">
      <c r="A285" s="1110" t="str">
        <f t="shared" si="210"/>
        <v>Utilities</v>
      </c>
      <c r="B285" s="831">
        <v>880</v>
      </c>
      <c r="C285" s="1571">
        <v>193323.05000000002</v>
      </c>
      <c r="D285" s="1216">
        <f t="shared" si="211"/>
        <v>0.44939800000000002</v>
      </c>
      <c r="E285" s="1582">
        <f t="shared" si="203"/>
        <v>201896.2</v>
      </c>
      <c r="F285" s="1571">
        <v>22534.84</v>
      </c>
      <c r="G285" s="1571">
        <v>13354.89</v>
      </c>
      <c r="H285" s="1571">
        <v>4781.79</v>
      </c>
      <c r="I285" s="1571">
        <v>24245.98</v>
      </c>
      <c r="J285" s="1571">
        <v>21251.03</v>
      </c>
      <c r="K285" s="1571">
        <v>15391.67</v>
      </c>
      <c r="L285" s="1574">
        <f t="shared" si="204"/>
        <v>17102</v>
      </c>
      <c r="M285" s="1574">
        <f t="shared" si="205"/>
        <v>15072</v>
      </c>
      <c r="N285" s="1574">
        <f t="shared" si="206"/>
        <v>18134</v>
      </c>
      <c r="O285" s="1574">
        <f t="shared" si="207"/>
        <v>17662</v>
      </c>
      <c r="P285" s="1574">
        <f t="shared" si="208"/>
        <v>16181</v>
      </c>
      <c r="Q285" s="1574">
        <f t="shared" si="209"/>
        <v>16185</v>
      </c>
    </row>
    <row r="286" spans="1:17" ht="13.5" customHeight="1" x14ac:dyDescent="0.2">
      <c r="A286" s="1110" t="str">
        <f t="shared" si="210"/>
        <v>Utilities</v>
      </c>
      <c r="B286" s="832">
        <v>886</v>
      </c>
      <c r="C286" s="1571">
        <v>19718.309999999998</v>
      </c>
      <c r="D286" s="1216">
        <f t="shared" si="211"/>
        <v>4.5837000000000003E-2</v>
      </c>
      <c r="E286" s="1582">
        <f t="shared" si="203"/>
        <v>22020.019999999997</v>
      </c>
      <c r="F286" s="1571">
        <v>4218.24</v>
      </c>
      <c r="G286" s="1571">
        <v>2052.35</v>
      </c>
      <c r="H286" s="1571">
        <v>1136.6199999999999</v>
      </c>
      <c r="I286" s="1571">
        <v>1178.02</v>
      </c>
      <c r="J286" s="1571">
        <v>2077.48</v>
      </c>
      <c r="K286" s="1571">
        <v>1124.31</v>
      </c>
      <c r="L286" s="1574">
        <f t="shared" si="204"/>
        <v>1744</v>
      </c>
      <c r="M286" s="1574">
        <f t="shared" si="205"/>
        <v>1537</v>
      </c>
      <c r="N286" s="1574">
        <f t="shared" si="206"/>
        <v>1850</v>
      </c>
      <c r="O286" s="1574">
        <f t="shared" si="207"/>
        <v>1801</v>
      </c>
      <c r="P286" s="1574">
        <f t="shared" si="208"/>
        <v>1650</v>
      </c>
      <c r="Q286" s="1574">
        <f t="shared" si="209"/>
        <v>1651</v>
      </c>
    </row>
    <row r="287" spans="1:17" x14ac:dyDescent="0.2">
      <c r="A287" s="1110" t="str">
        <f t="shared" si="210"/>
        <v>Utilities</v>
      </c>
      <c r="B287" s="832">
        <v>887</v>
      </c>
      <c r="C287" s="1571">
        <v>20031.249999999996</v>
      </c>
      <c r="D287" s="1216">
        <f t="shared" si="211"/>
        <v>4.6565000000000002E-2</v>
      </c>
      <c r="E287" s="1582">
        <f t="shared" si="203"/>
        <v>21491.58</v>
      </c>
      <c r="F287" s="1571">
        <v>1916.23</v>
      </c>
      <c r="G287" s="1571">
        <v>1708.54</v>
      </c>
      <c r="H287" s="1571">
        <v>1389.62</v>
      </c>
      <c r="I287" s="1571">
        <v>1861.85</v>
      </c>
      <c r="J287" s="1571">
        <v>1828.56</v>
      </c>
      <c r="K287" s="1571">
        <v>2389.7800000000002</v>
      </c>
      <c r="L287" s="1574">
        <f t="shared" si="204"/>
        <v>1772</v>
      </c>
      <c r="M287" s="1574">
        <f t="shared" si="205"/>
        <v>1562</v>
      </c>
      <c r="N287" s="1574">
        <f t="shared" si="206"/>
        <v>1879</v>
      </c>
      <c r="O287" s="1574">
        <f t="shared" si="207"/>
        <v>1830</v>
      </c>
      <c r="P287" s="1574">
        <f t="shared" si="208"/>
        <v>1677</v>
      </c>
      <c r="Q287" s="1574">
        <f t="shared" si="209"/>
        <v>1677</v>
      </c>
    </row>
    <row r="288" spans="1:17" x14ac:dyDescent="0.2">
      <c r="A288" s="1110" t="str">
        <f t="shared" si="210"/>
        <v>Utilities</v>
      </c>
      <c r="B288" s="832">
        <v>892</v>
      </c>
      <c r="C288" s="1571">
        <v>1.26</v>
      </c>
      <c r="D288" s="1216">
        <f t="shared" si="211"/>
        <v>3.0000000000000001E-6</v>
      </c>
      <c r="E288" s="1582">
        <f t="shared" si="203"/>
        <v>1.2599999999999998</v>
      </c>
      <c r="F288" s="1571">
        <v>0.28999999999999998</v>
      </c>
      <c r="G288" s="1571">
        <v>0.57999999999999996</v>
      </c>
      <c r="H288" s="1571">
        <v>0</v>
      </c>
      <c r="I288" s="1571">
        <v>0.39</v>
      </c>
      <c r="J288" s="1571">
        <v>0</v>
      </c>
      <c r="K288" s="1571">
        <v>0</v>
      </c>
      <c r="L288" s="1574">
        <f t="shared" si="204"/>
        <v>0</v>
      </c>
      <c r="M288" s="1574">
        <f t="shared" si="205"/>
        <v>0</v>
      </c>
      <c r="N288" s="1574">
        <f t="shared" si="206"/>
        <v>0</v>
      </c>
      <c r="O288" s="1574">
        <f t="shared" si="207"/>
        <v>0</v>
      </c>
      <c r="P288" s="1574">
        <f t="shared" si="208"/>
        <v>0</v>
      </c>
      <c r="Q288" s="1574">
        <f t="shared" si="209"/>
        <v>0</v>
      </c>
    </row>
    <row r="289" spans="1:17" x14ac:dyDescent="0.2">
      <c r="A289" s="1110" t="str">
        <f t="shared" si="210"/>
        <v>Utilities</v>
      </c>
      <c r="B289" s="832">
        <v>894</v>
      </c>
      <c r="C289" s="1571">
        <v>10114.959999999999</v>
      </c>
      <c r="D289" s="1216">
        <f>ROUND(C289/$C$293,6)</f>
        <v>2.3512999999999999E-2</v>
      </c>
      <c r="E289" s="1582">
        <f t="shared" si="203"/>
        <v>10220.049999999999</v>
      </c>
      <c r="F289" s="1571">
        <v>1855.82</v>
      </c>
      <c r="G289" s="1571">
        <v>599.85</v>
      </c>
      <c r="H289" s="1571">
        <v>0</v>
      </c>
      <c r="I289" s="1571">
        <v>1232.1500000000001</v>
      </c>
      <c r="J289" s="1571">
        <v>631.32000000000005</v>
      </c>
      <c r="K289" s="1571">
        <v>649.91</v>
      </c>
      <c r="L289" s="1574">
        <f t="shared" si="204"/>
        <v>895</v>
      </c>
      <c r="M289" s="1574">
        <f t="shared" si="205"/>
        <v>789</v>
      </c>
      <c r="N289" s="1574">
        <f t="shared" si="206"/>
        <v>949</v>
      </c>
      <c r="O289" s="1574">
        <f t="shared" si="207"/>
        <v>924</v>
      </c>
      <c r="P289" s="1574">
        <f t="shared" si="208"/>
        <v>847</v>
      </c>
      <c r="Q289" s="1574">
        <f t="shared" si="209"/>
        <v>847</v>
      </c>
    </row>
    <row r="290" spans="1:17" x14ac:dyDescent="0.2">
      <c r="A290" s="1110" t="str">
        <f t="shared" si="210"/>
        <v>Utilities</v>
      </c>
      <c r="B290" s="832">
        <v>903</v>
      </c>
      <c r="C290" s="1571">
        <v>1.68</v>
      </c>
      <c r="D290" s="1216">
        <f>ROUND(C290/$C$293,6)</f>
        <v>3.9999999999999998E-6</v>
      </c>
      <c r="E290" s="1582">
        <f t="shared" si="203"/>
        <v>1.6800000000000002</v>
      </c>
      <c r="F290" s="1571">
        <v>0.38</v>
      </c>
      <c r="G290" s="1571">
        <v>0.76</v>
      </c>
      <c r="H290" s="1571">
        <v>0</v>
      </c>
      <c r="I290" s="1571">
        <v>0.54</v>
      </c>
      <c r="J290" s="1571">
        <v>0</v>
      </c>
      <c r="K290" s="1571">
        <v>0</v>
      </c>
      <c r="L290" s="1574">
        <f t="shared" si="204"/>
        <v>0</v>
      </c>
      <c r="M290" s="1574">
        <f t="shared" si="205"/>
        <v>0</v>
      </c>
      <c r="N290" s="1574">
        <f t="shared" si="206"/>
        <v>0</v>
      </c>
      <c r="O290" s="1574">
        <f t="shared" si="207"/>
        <v>0</v>
      </c>
      <c r="P290" s="1574">
        <f t="shared" si="208"/>
        <v>0</v>
      </c>
      <c r="Q290" s="1574">
        <f t="shared" si="209"/>
        <v>0</v>
      </c>
    </row>
    <row r="291" spans="1:17" x14ac:dyDescent="0.2">
      <c r="A291" s="1110" t="str">
        <f t="shared" si="210"/>
        <v>Utilities</v>
      </c>
      <c r="B291" s="832">
        <v>905</v>
      </c>
      <c r="C291" s="1571">
        <v>758.56999999999994</v>
      </c>
      <c r="D291" s="1216">
        <f>ROUND(C291/$C$293,6)</f>
        <v>1.763E-3</v>
      </c>
      <c r="E291" s="1582">
        <f t="shared" si="203"/>
        <v>772.72</v>
      </c>
      <c r="F291" s="1571">
        <v>75.87</v>
      </c>
      <c r="G291" s="1571">
        <v>80.290000000000006</v>
      </c>
      <c r="H291" s="1571">
        <v>78.06</v>
      </c>
      <c r="I291" s="1571">
        <v>49.92</v>
      </c>
      <c r="J291" s="1571">
        <v>49.41</v>
      </c>
      <c r="K291" s="1571">
        <v>47.17</v>
      </c>
      <c r="L291" s="1574">
        <f t="shared" si="204"/>
        <v>67</v>
      </c>
      <c r="M291" s="1574">
        <f t="shared" si="205"/>
        <v>59</v>
      </c>
      <c r="N291" s="1574">
        <f t="shared" si="206"/>
        <v>71</v>
      </c>
      <c r="O291" s="1574">
        <f t="shared" si="207"/>
        <v>69</v>
      </c>
      <c r="P291" s="1574">
        <f t="shared" si="208"/>
        <v>63</v>
      </c>
      <c r="Q291" s="1574">
        <f t="shared" si="209"/>
        <v>63</v>
      </c>
    </row>
    <row r="292" spans="1:17" ht="13.5" x14ac:dyDescent="0.35">
      <c r="A292" s="1110" t="str">
        <f t="shared" si="210"/>
        <v>Utilities</v>
      </c>
      <c r="B292" s="832">
        <v>921</v>
      </c>
      <c r="C292" s="1624">
        <v>167975.37</v>
      </c>
      <c r="D292" s="1217">
        <f>ROUND(C292/$C$293,6)</f>
        <v>0.39047500000000002</v>
      </c>
      <c r="E292" s="1587">
        <f t="shared" si="203"/>
        <v>187362.65000000002</v>
      </c>
      <c r="F292" s="1623">
        <v>16020.78</v>
      </c>
      <c r="G292" s="1623">
        <v>14743.07</v>
      </c>
      <c r="H292" s="1623">
        <v>15742.22</v>
      </c>
      <c r="I292" s="1623">
        <v>15845.85</v>
      </c>
      <c r="J292" s="1623">
        <v>17412.43</v>
      </c>
      <c r="K292" s="1623">
        <v>20415.3</v>
      </c>
      <c r="L292" s="2009">
        <f t="shared" ref="L292:Q292" si="212">L293-SUM(L279:L291)</f>
        <v>14860</v>
      </c>
      <c r="M292" s="2009">
        <f t="shared" si="212"/>
        <v>13096</v>
      </c>
      <c r="N292" s="2009">
        <f t="shared" si="212"/>
        <v>15755</v>
      </c>
      <c r="O292" s="2009">
        <f t="shared" si="212"/>
        <v>15347</v>
      </c>
      <c r="P292" s="2009">
        <f t="shared" si="212"/>
        <v>14061</v>
      </c>
      <c r="Q292" s="2009">
        <f t="shared" si="212"/>
        <v>14064</v>
      </c>
    </row>
    <row r="293" spans="1:17" x14ac:dyDescent="0.2">
      <c r="A293" s="1113"/>
      <c r="B293" s="1110"/>
      <c r="C293" s="1572">
        <f>SUM(C279:C292)</f>
        <v>430181.83999999997</v>
      </c>
      <c r="D293" s="1216">
        <f>SUM(D279:D292)</f>
        <v>0.99999899999999997</v>
      </c>
      <c r="E293" s="1572">
        <f>SUM(E279:E292)</f>
        <v>470250.82</v>
      </c>
      <c r="F293" s="1582">
        <f>SUM(F279:F292)</f>
        <v>47797.340000000004</v>
      </c>
      <c r="G293" s="1582">
        <f t="shared" ref="G293:K293" si="213">SUM(G279:G292)</f>
        <v>34522.050000000003</v>
      </c>
      <c r="H293" s="1582">
        <f t="shared" si="213"/>
        <v>25237.05</v>
      </c>
      <c r="I293" s="1582">
        <f t="shared" si="213"/>
        <v>48494.28</v>
      </c>
      <c r="J293" s="1582">
        <f t="shared" si="213"/>
        <v>47664.42</v>
      </c>
      <c r="K293" s="1582">
        <f t="shared" si="213"/>
        <v>43268.679999999993</v>
      </c>
      <c r="L293" s="1574">
        <f t="shared" ref="L293:Q293" si="214">L130</f>
        <v>38055</v>
      </c>
      <c r="M293" s="1574">
        <f t="shared" si="214"/>
        <v>33538</v>
      </c>
      <c r="N293" s="1574">
        <f t="shared" si="214"/>
        <v>40351</v>
      </c>
      <c r="O293" s="1574">
        <f t="shared" si="214"/>
        <v>39302</v>
      </c>
      <c r="P293" s="1574">
        <f t="shared" si="214"/>
        <v>36006</v>
      </c>
      <c r="Q293" s="1574">
        <f t="shared" si="214"/>
        <v>36015</v>
      </c>
    </row>
    <row r="294" spans="1:17" x14ac:dyDescent="0.2">
      <c r="A294" s="1113"/>
      <c r="B294" s="1110"/>
      <c r="C294" s="1571"/>
      <c r="D294" s="1216"/>
      <c r="E294" s="1571"/>
      <c r="F294" s="1571"/>
      <c r="G294" s="1571"/>
      <c r="H294" s="1571"/>
      <c r="I294" s="1571"/>
      <c r="J294" s="1571"/>
      <c r="K294" s="1571"/>
      <c r="L294" s="1574"/>
      <c r="M294" s="1574"/>
      <c r="N294" s="1574"/>
      <c r="O294" s="1574"/>
      <c r="P294" s="1574"/>
      <c r="Q294" s="1574"/>
    </row>
    <row r="295" spans="1:17" x14ac:dyDescent="0.2">
      <c r="A295" s="1110" t="str">
        <f>$B$102</f>
        <v>Corporate Services - Bill</v>
      </c>
      <c r="B295" s="832">
        <v>807</v>
      </c>
      <c r="C295" s="1571">
        <v>284943.84000000003</v>
      </c>
      <c r="D295" s="1216">
        <f t="shared" ref="D295:D320" si="215">ROUND(C295/$C$327,6)</f>
        <v>1.9730000000000001E-2</v>
      </c>
      <c r="E295" s="1582">
        <f t="shared" ref="E295:E326" si="216">SUM(F295:Q295)</f>
        <v>324707.32999999996</v>
      </c>
      <c r="F295" s="1571">
        <v>27355.75</v>
      </c>
      <c r="G295" s="1571">
        <v>25807.439999999999</v>
      </c>
      <c r="H295" s="1571">
        <v>28949.62</v>
      </c>
      <c r="I295" s="1571">
        <v>27195.45</v>
      </c>
      <c r="J295" s="1571">
        <v>27505.279999999999</v>
      </c>
      <c r="K295" s="1571">
        <v>28378.79</v>
      </c>
      <c r="L295" s="1574">
        <f t="shared" ref="L295:L320" si="217">ROUND(D295*$L$327,0)</f>
        <v>26572</v>
      </c>
      <c r="M295" s="1574">
        <f t="shared" ref="M295:M320" si="218">ROUND(D295*$M$327,0)</f>
        <v>25338</v>
      </c>
      <c r="N295" s="1574">
        <f t="shared" ref="N295:N320" si="219">ROUND(D295*$N$327,0)</f>
        <v>26021</v>
      </c>
      <c r="O295" s="1574">
        <f t="shared" ref="O295:O320" si="220">ROUND(D295*$O$327,0)</f>
        <v>27852</v>
      </c>
      <c r="P295" s="1574">
        <f t="shared" ref="P295:P320" si="221">ROUND(D295*$P$327,0)</f>
        <v>27116</v>
      </c>
      <c r="Q295" s="1574">
        <f t="shared" ref="Q295:Q320" si="222">ROUND(D295*$Q$327,0)</f>
        <v>26616</v>
      </c>
    </row>
    <row r="296" spans="1:17" x14ac:dyDescent="0.2">
      <c r="A296" s="1110" t="str">
        <f t="shared" ref="A296:A326" si="223">$B$102</f>
        <v>Corporate Services - Bill</v>
      </c>
      <c r="B296" s="832">
        <v>867</v>
      </c>
      <c r="C296" s="1571">
        <v>0</v>
      </c>
      <c r="D296" s="1216">
        <f t="shared" si="215"/>
        <v>0</v>
      </c>
      <c r="E296" s="1582">
        <f t="shared" si="216"/>
        <v>0</v>
      </c>
      <c r="F296" s="1571">
        <v>0</v>
      </c>
      <c r="G296" s="1571">
        <v>0</v>
      </c>
      <c r="H296" s="1571">
        <v>0</v>
      </c>
      <c r="I296" s="1571">
        <v>0</v>
      </c>
      <c r="J296" s="1571">
        <v>0</v>
      </c>
      <c r="K296" s="1571">
        <v>0</v>
      </c>
      <c r="L296" s="1574">
        <f t="shared" si="217"/>
        <v>0</v>
      </c>
      <c r="M296" s="1574">
        <f t="shared" si="218"/>
        <v>0</v>
      </c>
      <c r="N296" s="1574">
        <f t="shared" si="219"/>
        <v>0</v>
      </c>
      <c r="O296" s="1574">
        <f t="shared" si="220"/>
        <v>0</v>
      </c>
      <c r="P296" s="1574">
        <f t="shared" si="221"/>
        <v>0</v>
      </c>
      <c r="Q296" s="1574">
        <f t="shared" si="222"/>
        <v>0</v>
      </c>
    </row>
    <row r="297" spans="1:17" x14ac:dyDescent="0.2">
      <c r="A297" s="1110" t="str">
        <f t="shared" si="223"/>
        <v>Corporate Services - Bill</v>
      </c>
      <c r="B297" s="832">
        <v>870</v>
      </c>
      <c r="C297" s="1571">
        <v>598635.86000000103</v>
      </c>
      <c r="D297" s="1216">
        <f t="shared" si="215"/>
        <v>4.1450000000000001E-2</v>
      </c>
      <c r="E297" s="1582">
        <f t="shared" si="216"/>
        <v>587256.47</v>
      </c>
      <c r="F297" s="1571">
        <v>34307.14</v>
      </c>
      <c r="G297" s="1571">
        <v>49288.23</v>
      </c>
      <c r="H297" s="1571">
        <v>56099.09</v>
      </c>
      <c r="I297" s="1571">
        <v>42931.63</v>
      </c>
      <c r="J297" s="1571">
        <v>34914.14</v>
      </c>
      <c r="K297" s="1571">
        <v>34599.24</v>
      </c>
      <c r="L297" s="1574">
        <f t="shared" si="217"/>
        <v>55824</v>
      </c>
      <c r="M297" s="1574">
        <f t="shared" si="218"/>
        <v>53232</v>
      </c>
      <c r="N297" s="1574">
        <f t="shared" si="219"/>
        <v>54666</v>
      </c>
      <c r="O297" s="1574">
        <f t="shared" si="220"/>
        <v>58513</v>
      </c>
      <c r="P297" s="1574">
        <f t="shared" si="221"/>
        <v>56966</v>
      </c>
      <c r="Q297" s="1574">
        <f t="shared" si="222"/>
        <v>55916</v>
      </c>
    </row>
    <row r="298" spans="1:17" x14ac:dyDescent="0.2">
      <c r="A298" s="1110" t="str">
        <f t="shared" si="223"/>
        <v>Corporate Services - Bill</v>
      </c>
      <c r="B298" s="832">
        <v>874</v>
      </c>
      <c r="C298" s="1571">
        <v>148133.6</v>
      </c>
      <c r="D298" s="1216">
        <f t="shared" si="215"/>
        <v>1.0257E-2</v>
      </c>
      <c r="E298" s="1582">
        <f t="shared" si="216"/>
        <v>149035.45000000001</v>
      </c>
      <c r="F298" s="1571">
        <v>13935.48</v>
      </c>
      <c r="G298" s="1571">
        <v>7483.74</v>
      </c>
      <c r="H298" s="1571">
        <v>11208.52</v>
      </c>
      <c r="I298" s="1571">
        <v>9545.44</v>
      </c>
      <c r="J298" s="1571">
        <v>12314.63</v>
      </c>
      <c r="K298" s="1571">
        <v>11621.64</v>
      </c>
      <c r="L298" s="1574">
        <f t="shared" si="217"/>
        <v>13814</v>
      </c>
      <c r="M298" s="1574">
        <f t="shared" si="218"/>
        <v>13172</v>
      </c>
      <c r="N298" s="1574">
        <f t="shared" si="219"/>
        <v>13527</v>
      </c>
      <c r="O298" s="1574">
        <f t="shared" si="220"/>
        <v>14479</v>
      </c>
      <c r="P298" s="1574">
        <f t="shared" si="221"/>
        <v>14097</v>
      </c>
      <c r="Q298" s="1574">
        <f t="shared" si="222"/>
        <v>13837</v>
      </c>
    </row>
    <row r="299" spans="1:17" x14ac:dyDescent="0.2">
      <c r="A299" s="1110" t="str">
        <f t="shared" si="223"/>
        <v>Corporate Services - Bill</v>
      </c>
      <c r="B299" s="832">
        <v>875</v>
      </c>
      <c r="C299" s="1571">
        <v>15485.35</v>
      </c>
      <c r="D299" s="1216">
        <f t="shared" si="215"/>
        <v>1.072E-3</v>
      </c>
      <c r="E299" s="1582">
        <f t="shared" si="216"/>
        <v>16731.75</v>
      </c>
      <c r="F299" s="1571">
        <v>1231.1199999999999</v>
      </c>
      <c r="G299" s="1571">
        <v>1177.98</v>
      </c>
      <c r="H299" s="1571">
        <v>1316.76</v>
      </c>
      <c r="I299" s="1571">
        <v>1478.91</v>
      </c>
      <c r="J299" s="1571">
        <v>1755.57</v>
      </c>
      <c r="K299" s="1571">
        <v>1104.4100000000001</v>
      </c>
      <c r="L299" s="1574">
        <f t="shared" si="217"/>
        <v>1444</v>
      </c>
      <c r="M299" s="1574">
        <f t="shared" si="218"/>
        <v>1377</v>
      </c>
      <c r="N299" s="1574">
        <f t="shared" si="219"/>
        <v>1414</v>
      </c>
      <c r="O299" s="1574">
        <f t="shared" si="220"/>
        <v>1513</v>
      </c>
      <c r="P299" s="1574">
        <f t="shared" si="221"/>
        <v>1473</v>
      </c>
      <c r="Q299" s="1574">
        <f t="shared" si="222"/>
        <v>1446</v>
      </c>
    </row>
    <row r="300" spans="1:17" x14ac:dyDescent="0.2">
      <c r="A300" s="1110" t="str">
        <f t="shared" si="223"/>
        <v>Corporate Services - Bill</v>
      </c>
      <c r="B300" s="832">
        <v>876</v>
      </c>
      <c r="C300" s="1571">
        <v>12670.21</v>
      </c>
      <c r="D300" s="1216">
        <f t="shared" si="215"/>
        <v>8.7699999999999996E-4</v>
      </c>
      <c r="E300" s="1582">
        <f t="shared" si="216"/>
        <v>13687.85</v>
      </c>
      <c r="F300" s="1571">
        <v>1007.27</v>
      </c>
      <c r="G300" s="1571">
        <v>963.98</v>
      </c>
      <c r="H300" s="1571">
        <v>1077.22</v>
      </c>
      <c r="I300" s="1571">
        <v>1209.8399999999999</v>
      </c>
      <c r="J300" s="1571">
        <v>1436.13</v>
      </c>
      <c r="K300" s="1571">
        <v>903.41</v>
      </c>
      <c r="L300" s="1574">
        <f t="shared" si="217"/>
        <v>1181</v>
      </c>
      <c r="M300" s="1574">
        <f t="shared" si="218"/>
        <v>1126</v>
      </c>
      <c r="N300" s="1574">
        <f t="shared" si="219"/>
        <v>1157</v>
      </c>
      <c r="O300" s="1574">
        <f t="shared" si="220"/>
        <v>1238</v>
      </c>
      <c r="P300" s="1574">
        <f t="shared" si="221"/>
        <v>1205</v>
      </c>
      <c r="Q300" s="1574">
        <f t="shared" si="222"/>
        <v>1183</v>
      </c>
    </row>
    <row r="301" spans="1:17" x14ac:dyDescent="0.2">
      <c r="A301" s="1110" t="str">
        <f t="shared" si="223"/>
        <v>Corporate Services - Bill</v>
      </c>
      <c r="B301" s="832">
        <v>878</v>
      </c>
      <c r="C301" s="1571">
        <v>70312.289999999994</v>
      </c>
      <c r="D301" s="1216">
        <f t="shared" si="215"/>
        <v>4.8679999999999999E-3</v>
      </c>
      <c r="E301" s="1582">
        <f t="shared" si="216"/>
        <v>77338.76999999999</v>
      </c>
      <c r="F301" s="1571">
        <v>5421.86</v>
      </c>
      <c r="G301" s="1571">
        <v>5708.15</v>
      </c>
      <c r="H301" s="1571">
        <v>6128.77</v>
      </c>
      <c r="I301" s="1571">
        <v>6580.68</v>
      </c>
      <c r="J301" s="1571">
        <v>6723.5</v>
      </c>
      <c r="K301" s="1571">
        <v>7418.81</v>
      </c>
      <c r="L301" s="1574">
        <f t="shared" si="217"/>
        <v>6556</v>
      </c>
      <c r="M301" s="1574">
        <f t="shared" si="218"/>
        <v>6252</v>
      </c>
      <c r="N301" s="1574">
        <f t="shared" si="219"/>
        <v>6420</v>
      </c>
      <c r="O301" s="1574">
        <f t="shared" si="220"/>
        <v>6872</v>
      </c>
      <c r="P301" s="1574">
        <f t="shared" si="221"/>
        <v>6690</v>
      </c>
      <c r="Q301" s="1574">
        <f t="shared" si="222"/>
        <v>6567</v>
      </c>
    </row>
    <row r="302" spans="1:17" x14ac:dyDescent="0.2">
      <c r="A302" s="1110" t="str">
        <f t="shared" si="223"/>
        <v>Corporate Services - Bill</v>
      </c>
      <c r="B302" s="832">
        <v>879</v>
      </c>
      <c r="C302" s="1571">
        <v>67808.92</v>
      </c>
      <c r="D302" s="1216">
        <f t="shared" si="215"/>
        <v>4.6950000000000004E-3</v>
      </c>
      <c r="E302" s="1582">
        <f t="shared" si="216"/>
        <v>74393.03</v>
      </c>
      <c r="F302" s="1571">
        <v>5248.89</v>
      </c>
      <c r="G302" s="1571">
        <v>5509.08</v>
      </c>
      <c r="H302" s="1571">
        <v>5876.48</v>
      </c>
      <c r="I302" s="1571">
        <v>6287.89</v>
      </c>
      <c r="J302" s="1571">
        <v>6405.32</v>
      </c>
      <c r="K302" s="1571">
        <v>7106.37</v>
      </c>
      <c r="L302" s="1574">
        <f t="shared" si="217"/>
        <v>6323</v>
      </c>
      <c r="M302" s="1574">
        <f t="shared" si="218"/>
        <v>6030</v>
      </c>
      <c r="N302" s="1574">
        <f t="shared" si="219"/>
        <v>6192</v>
      </c>
      <c r="O302" s="1574">
        <f t="shared" si="220"/>
        <v>6628</v>
      </c>
      <c r="P302" s="1574">
        <f t="shared" si="221"/>
        <v>6453</v>
      </c>
      <c r="Q302" s="1574">
        <f t="shared" si="222"/>
        <v>6333</v>
      </c>
    </row>
    <row r="303" spans="1:17" x14ac:dyDescent="0.2">
      <c r="A303" s="1110" t="str">
        <f t="shared" si="223"/>
        <v>Corporate Services - Bill</v>
      </c>
      <c r="B303" s="832">
        <v>880</v>
      </c>
      <c r="C303" s="1571">
        <v>16282.54</v>
      </c>
      <c r="D303" s="1216">
        <f t="shared" si="215"/>
        <v>1.127E-3</v>
      </c>
      <c r="E303" s="1582">
        <f t="shared" si="216"/>
        <v>16803.669999999998</v>
      </c>
      <c r="F303" s="1571">
        <v>1211.74</v>
      </c>
      <c r="G303" s="1571">
        <v>1236.1300000000001</v>
      </c>
      <c r="H303" s="1571">
        <v>1248.33</v>
      </c>
      <c r="I303" s="1571">
        <v>1271.46</v>
      </c>
      <c r="J303" s="1571">
        <v>1253.3699999999999</v>
      </c>
      <c r="K303" s="1571">
        <v>1471.64</v>
      </c>
      <c r="L303" s="1574">
        <f t="shared" si="217"/>
        <v>1518</v>
      </c>
      <c r="M303" s="1574">
        <f t="shared" si="218"/>
        <v>1447</v>
      </c>
      <c r="N303" s="1574">
        <f t="shared" si="219"/>
        <v>1486</v>
      </c>
      <c r="O303" s="1574">
        <f t="shared" si="220"/>
        <v>1591</v>
      </c>
      <c r="P303" s="1574">
        <f t="shared" si="221"/>
        <v>1549</v>
      </c>
      <c r="Q303" s="1574">
        <f t="shared" si="222"/>
        <v>1520</v>
      </c>
    </row>
    <row r="304" spans="1:17" x14ac:dyDescent="0.2">
      <c r="A304" s="1110" t="str">
        <f t="shared" si="223"/>
        <v>Corporate Services - Bill</v>
      </c>
      <c r="B304" s="832">
        <v>887</v>
      </c>
      <c r="C304" s="1571">
        <v>43272.95</v>
      </c>
      <c r="D304" s="1216">
        <f t="shared" si="215"/>
        <v>2.996E-3</v>
      </c>
      <c r="E304" s="1582">
        <f t="shared" si="216"/>
        <v>44704.5</v>
      </c>
      <c r="F304" s="1571">
        <v>3595.52</v>
      </c>
      <c r="G304" s="1571">
        <v>3556.72</v>
      </c>
      <c r="H304" s="1571">
        <v>3288.69</v>
      </c>
      <c r="I304" s="1571">
        <v>3196.68</v>
      </c>
      <c r="J304" s="1571">
        <v>3082.23</v>
      </c>
      <c r="K304" s="1571">
        <v>3761.66</v>
      </c>
      <c r="L304" s="1574">
        <f t="shared" si="217"/>
        <v>4035</v>
      </c>
      <c r="M304" s="1574">
        <f t="shared" si="218"/>
        <v>3848</v>
      </c>
      <c r="N304" s="1574">
        <f t="shared" si="219"/>
        <v>3951</v>
      </c>
      <c r="O304" s="1574">
        <f t="shared" si="220"/>
        <v>4229</v>
      </c>
      <c r="P304" s="1574">
        <f t="shared" si="221"/>
        <v>4118</v>
      </c>
      <c r="Q304" s="1574">
        <f t="shared" si="222"/>
        <v>4042</v>
      </c>
    </row>
    <row r="305" spans="1:17" x14ac:dyDescent="0.2">
      <c r="A305" s="1110" t="str">
        <f t="shared" si="223"/>
        <v>Corporate Services - Bill</v>
      </c>
      <c r="B305" s="832">
        <v>889</v>
      </c>
      <c r="C305" s="1571">
        <v>15485.37</v>
      </c>
      <c r="D305" s="1216">
        <f t="shared" si="215"/>
        <v>1.072E-3</v>
      </c>
      <c r="E305" s="1582">
        <f t="shared" si="216"/>
        <v>16731.75</v>
      </c>
      <c r="F305" s="1571">
        <v>1231.1199999999999</v>
      </c>
      <c r="G305" s="1571">
        <v>1177.98</v>
      </c>
      <c r="H305" s="1571">
        <v>1316.76</v>
      </c>
      <c r="I305" s="1571">
        <v>1478.91</v>
      </c>
      <c r="J305" s="1571">
        <v>1755.57</v>
      </c>
      <c r="K305" s="1571">
        <v>1104.4100000000001</v>
      </c>
      <c r="L305" s="1574">
        <f t="shared" si="217"/>
        <v>1444</v>
      </c>
      <c r="M305" s="1574">
        <f t="shared" si="218"/>
        <v>1377</v>
      </c>
      <c r="N305" s="1574">
        <f t="shared" si="219"/>
        <v>1414</v>
      </c>
      <c r="O305" s="1574">
        <f t="shared" si="220"/>
        <v>1513</v>
      </c>
      <c r="P305" s="1574">
        <f t="shared" si="221"/>
        <v>1473</v>
      </c>
      <c r="Q305" s="1574">
        <f t="shared" si="222"/>
        <v>1446</v>
      </c>
    </row>
    <row r="306" spans="1:17" x14ac:dyDescent="0.2">
      <c r="A306" s="1110" t="str">
        <f t="shared" si="223"/>
        <v>Corporate Services - Bill</v>
      </c>
      <c r="B306" s="832">
        <v>890</v>
      </c>
      <c r="C306" s="1571">
        <v>34571.660000000003</v>
      </c>
      <c r="D306" s="1216">
        <f t="shared" si="215"/>
        <v>2.3939999999999999E-3</v>
      </c>
      <c r="E306" s="1582">
        <f t="shared" si="216"/>
        <v>33805.229999999996</v>
      </c>
      <c r="F306" s="1571">
        <v>2780.01</v>
      </c>
      <c r="G306" s="1571">
        <v>4415.03</v>
      </c>
      <c r="H306" s="1571">
        <v>2067.8000000000002</v>
      </c>
      <c r="I306" s="1571">
        <v>1732.74</v>
      </c>
      <c r="J306" s="1571">
        <v>1960.52</v>
      </c>
      <c r="K306" s="1571">
        <v>1495.13</v>
      </c>
      <c r="L306" s="1574">
        <f t="shared" si="217"/>
        <v>3224</v>
      </c>
      <c r="M306" s="1574">
        <f t="shared" si="218"/>
        <v>3074</v>
      </c>
      <c r="N306" s="1574">
        <f t="shared" si="219"/>
        <v>3157</v>
      </c>
      <c r="O306" s="1574">
        <f t="shared" si="220"/>
        <v>3380</v>
      </c>
      <c r="P306" s="1574">
        <f t="shared" si="221"/>
        <v>3290</v>
      </c>
      <c r="Q306" s="1574">
        <f t="shared" si="222"/>
        <v>3229</v>
      </c>
    </row>
    <row r="307" spans="1:17" x14ac:dyDescent="0.2">
      <c r="A307" s="1110" t="str">
        <f t="shared" si="223"/>
        <v>Corporate Services - Bill</v>
      </c>
      <c r="B307" s="832">
        <v>892</v>
      </c>
      <c r="C307" s="1571">
        <v>22233.43</v>
      </c>
      <c r="D307" s="1216">
        <f t="shared" si="215"/>
        <v>1.539E-3</v>
      </c>
      <c r="E307" s="1582">
        <f t="shared" si="216"/>
        <v>29802.070000000003</v>
      </c>
      <c r="F307" s="1571">
        <v>3229.36</v>
      </c>
      <c r="G307" s="1571">
        <v>2229.98</v>
      </c>
      <c r="H307" s="1571">
        <v>4519.97</v>
      </c>
      <c r="I307" s="1571">
        <v>1016.03</v>
      </c>
      <c r="J307" s="1571">
        <v>3292.8</v>
      </c>
      <c r="K307" s="1571">
        <v>3070.93</v>
      </c>
      <c r="L307" s="1574">
        <f t="shared" si="217"/>
        <v>2073</v>
      </c>
      <c r="M307" s="1574">
        <f t="shared" si="218"/>
        <v>1976</v>
      </c>
      <c r="N307" s="1574">
        <f t="shared" si="219"/>
        <v>2030</v>
      </c>
      <c r="O307" s="1574">
        <f t="shared" si="220"/>
        <v>2173</v>
      </c>
      <c r="P307" s="1574">
        <f t="shared" si="221"/>
        <v>2115</v>
      </c>
      <c r="Q307" s="1574">
        <f t="shared" si="222"/>
        <v>2076</v>
      </c>
    </row>
    <row r="308" spans="1:17" x14ac:dyDescent="0.2">
      <c r="A308" s="1110" t="str">
        <f t="shared" si="223"/>
        <v>Corporate Services - Bill</v>
      </c>
      <c r="B308" s="832">
        <v>893</v>
      </c>
      <c r="C308" s="1571">
        <v>34295.440000000002</v>
      </c>
      <c r="D308" s="1216">
        <f t="shared" si="215"/>
        <v>2.3749999999999999E-3</v>
      </c>
      <c r="E308" s="1582">
        <f t="shared" si="216"/>
        <v>33477.019999999997</v>
      </c>
      <c r="F308" s="1571">
        <v>5181.1099999999997</v>
      </c>
      <c r="G308" s="1571">
        <v>2875.92</v>
      </c>
      <c r="H308" s="1571">
        <v>2965.22</v>
      </c>
      <c r="I308" s="1571">
        <v>1094.07</v>
      </c>
      <c r="J308" s="1571">
        <v>351.55</v>
      </c>
      <c r="K308" s="1571">
        <v>1807.15</v>
      </c>
      <c r="L308" s="1574">
        <f t="shared" si="217"/>
        <v>3199</v>
      </c>
      <c r="M308" s="1574">
        <f t="shared" si="218"/>
        <v>3050</v>
      </c>
      <c r="N308" s="1574">
        <f t="shared" si="219"/>
        <v>3132</v>
      </c>
      <c r="O308" s="1574">
        <f t="shared" si="220"/>
        <v>3353</v>
      </c>
      <c r="P308" s="1574">
        <f t="shared" si="221"/>
        <v>3264</v>
      </c>
      <c r="Q308" s="1574">
        <f t="shared" si="222"/>
        <v>3204</v>
      </c>
    </row>
    <row r="309" spans="1:17" x14ac:dyDescent="0.2">
      <c r="A309" s="1110" t="str">
        <f t="shared" si="223"/>
        <v>Corporate Services - Bill</v>
      </c>
      <c r="B309" s="832">
        <v>894</v>
      </c>
      <c r="C309" s="1571">
        <v>63174.87</v>
      </c>
      <c r="D309" s="1216">
        <f t="shared" si="215"/>
        <v>4.3740000000000003E-3</v>
      </c>
      <c r="E309" s="1582">
        <f t="shared" si="216"/>
        <v>64925.680000000008</v>
      </c>
      <c r="F309" s="1571">
        <v>4509.8</v>
      </c>
      <c r="G309" s="1571">
        <v>4564.53</v>
      </c>
      <c r="H309" s="1571">
        <v>3727.94</v>
      </c>
      <c r="I309" s="1571">
        <v>5137.42</v>
      </c>
      <c r="J309" s="1571">
        <v>2549.65</v>
      </c>
      <c r="K309" s="1571">
        <v>9073.34</v>
      </c>
      <c r="L309" s="1574">
        <f t="shared" si="217"/>
        <v>5891</v>
      </c>
      <c r="M309" s="1574">
        <f t="shared" si="218"/>
        <v>5617</v>
      </c>
      <c r="N309" s="1574">
        <f t="shared" si="219"/>
        <v>5769</v>
      </c>
      <c r="O309" s="1574">
        <f t="shared" si="220"/>
        <v>6175</v>
      </c>
      <c r="P309" s="1574">
        <f t="shared" si="221"/>
        <v>6011</v>
      </c>
      <c r="Q309" s="1574">
        <f t="shared" si="222"/>
        <v>5900</v>
      </c>
    </row>
    <row r="310" spans="1:17" x14ac:dyDescent="0.2">
      <c r="A310" s="1110" t="str">
        <f t="shared" si="223"/>
        <v>Corporate Services - Bill</v>
      </c>
      <c r="B310" s="832">
        <v>903</v>
      </c>
      <c r="C310" s="1571">
        <v>1670385.87</v>
      </c>
      <c r="D310" s="1216">
        <f t="shared" si="215"/>
        <v>0.115658</v>
      </c>
      <c r="E310" s="1582">
        <f t="shared" si="216"/>
        <v>1773393.44</v>
      </c>
      <c r="F310" s="1571">
        <v>132539.97</v>
      </c>
      <c r="G310" s="1571">
        <v>118831.69</v>
      </c>
      <c r="H310" s="1571">
        <v>159007.76</v>
      </c>
      <c r="I310" s="1571">
        <v>170239.89</v>
      </c>
      <c r="J310" s="1571">
        <v>133412.22</v>
      </c>
      <c r="K310" s="1571">
        <v>124284.91</v>
      </c>
      <c r="L310" s="1574">
        <f t="shared" si="217"/>
        <v>155766</v>
      </c>
      <c r="M310" s="1574">
        <f t="shared" si="218"/>
        <v>148533</v>
      </c>
      <c r="N310" s="1574">
        <f t="shared" si="219"/>
        <v>152533</v>
      </c>
      <c r="O310" s="1574">
        <f t="shared" si="220"/>
        <v>163270</v>
      </c>
      <c r="P310" s="1574">
        <f t="shared" si="221"/>
        <v>158954</v>
      </c>
      <c r="Q310" s="1574">
        <f t="shared" si="222"/>
        <v>156021</v>
      </c>
    </row>
    <row r="311" spans="1:17" x14ac:dyDescent="0.2">
      <c r="A311" s="1110" t="str">
        <f t="shared" si="223"/>
        <v>Corporate Services - Bill</v>
      </c>
      <c r="B311" s="832">
        <v>907</v>
      </c>
      <c r="C311" s="1571">
        <v>63.67</v>
      </c>
      <c r="D311" s="1216">
        <f t="shared" si="215"/>
        <v>3.9999999999999998E-6</v>
      </c>
      <c r="E311" s="1582">
        <f t="shared" si="216"/>
        <v>24.6</v>
      </c>
      <c r="F311" s="1571">
        <v>0</v>
      </c>
      <c r="G311" s="1571">
        <v>0</v>
      </c>
      <c r="H311" s="1571">
        <v>0</v>
      </c>
      <c r="I311" s="1571">
        <v>-6.4</v>
      </c>
      <c r="J311" s="1571">
        <v>0</v>
      </c>
      <c r="K311" s="1571">
        <v>0</v>
      </c>
      <c r="L311" s="1574">
        <f t="shared" si="217"/>
        <v>5</v>
      </c>
      <c r="M311" s="1574">
        <f t="shared" si="218"/>
        <v>5</v>
      </c>
      <c r="N311" s="1574">
        <f t="shared" si="219"/>
        <v>5</v>
      </c>
      <c r="O311" s="1574">
        <f t="shared" si="220"/>
        <v>6</v>
      </c>
      <c r="P311" s="1574">
        <f t="shared" si="221"/>
        <v>5</v>
      </c>
      <c r="Q311" s="1574">
        <f t="shared" si="222"/>
        <v>5</v>
      </c>
    </row>
    <row r="312" spans="1:17" x14ac:dyDescent="0.2">
      <c r="A312" s="1110" t="str">
        <f t="shared" si="223"/>
        <v>Corporate Services - Bill</v>
      </c>
      <c r="B312" s="832">
        <v>908</v>
      </c>
      <c r="C312" s="1571">
        <v>65375.49</v>
      </c>
      <c r="D312" s="1216">
        <f t="shared" si="215"/>
        <v>4.5269999999999998E-3</v>
      </c>
      <c r="E312" s="1582">
        <f t="shared" si="216"/>
        <v>66646.94</v>
      </c>
      <c r="F312" s="1571">
        <v>4771.51</v>
      </c>
      <c r="G312" s="1571">
        <v>5821.78</v>
      </c>
      <c r="H312" s="1571">
        <v>4366.1000000000004</v>
      </c>
      <c r="I312" s="1571">
        <v>3876.86</v>
      </c>
      <c r="J312" s="1571">
        <v>5197.8100000000004</v>
      </c>
      <c r="K312" s="1571">
        <v>6011.88</v>
      </c>
      <c r="L312" s="1574">
        <f t="shared" si="217"/>
        <v>6097</v>
      </c>
      <c r="M312" s="1574">
        <f t="shared" si="218"/>
        <v>5814</v>
      </c>
      <c r="N312" s="1574">
        <f t="shared" si="219"/>
        <v>5970</v>
      </c>
      <c r="O312" s="1574">
        <f t="shared" si="220"/>
        <v>6391</v>
      </c>
      <c r="P312" s="1574">
        <f t="shared" si="221"/>
        <v>6222</v>
      </c>
      <c r="Q312" s="1574">
        <f t="shared" si="222"/>
        <v>6107</v>
      </c>
    </row>
    <row r="313" spans="1:17" x14ac:dyDescent="0.2">
      <c r="A313" s="1110" t="str">
        <f t="shared" si="223"/>
        <v>Corporate Services - Bill</v>
      </c>
      <c r="B313" s="832">
        <v>909</v>
      </c>
      <c r="C313" s="1571">
        <v>52573.35</v>
      </c>
      <c r="D313" s="1216">
        <f t="shared" si="215"/>
        <v>3.64E-3</v>
      </c>
      <c r="E313" s="1582">
        <f t="shared" si="216"/>
        <v>79519.59</v>
      </c>
      <c r="F313" s="1571">
        <v>635.09</v>
      </c>
      <c r="G313" s="1571">
        <v>1908.43</v>
      </c>
      <c r="H313" s="1571">
        <v>41475.4</v>
      </c>
      <c r="I313" s="1571">
        <v>4805.88</v>
      </c>
      <c r="J313" s="1571">
        <v>807.03</v>
      </c>
      <c r="K313" s="1571">
        <v>458.76</v>
      </c>
      <c r="L313" s="1574">
        <f t="shared" si="217"/>
        <v>4902</v>
      </c>
      <c r="M313" s="1574">
        <f t="shared" si="218"/>
        <v>4675</v>
      </c>
      <c r="N313" s="1574">
        <f t="shared" si="219"/>
        <v>4801</v>
      </c>
      <c r="O313" s="1574">
        <f t="shared" si="220"/>
        <v>5138</v>
      </c>
      <c r="P313" s="1574">
        <f t="shared" si="221"/>
        <v>5003</v>
      </c>
      <c r="Q313" s="1574">
        <f t="shared" si="222"/>
        <v>4910</v>
      </c>
    </row>
    <row r="314" spans="1:17" x14ac:dyDescent="0.2">
      <c r="A314" s="1110" t="str">
        <f t="shared" si="223"/>
        <v>Corporate Services - Bill</v>
      </c>
      <c r="B314" s="832">
        <v>910</v>
      </c>
      <c r="C314" s="1571">
        <v>219656.08</v>
      </c>
      <c r="D314" s="1216">
        <f t="shared" si="215"/>
        <v>1.5209E-2</v>
      </c>
      <c r="E314" s="1582">
        <f t="shared" si="216"/>
        <v>227785.5</v>
      </c>
      <c r="F314" s="1571">
        <v>21766.98</v>
      </c>
      <c r="G314" s="1571">
        <v>17278.12</v>
      </c>
      <c r="H314" s="1571">
        <v>17054.22</v>
      </c>
      <c r="I314" s="1571">
        <v>14087.45</v>
      </c>
      <c r="J314" s="1571">
        <v>17134.96</v>
      </c>
      <c r="K314" s="1571">
        <v>17501.77</v>
      </c>
      <c r="L314" s="1574">
        <f t="shared" si="217"/>
        <v>20483</v>
      </c>
      <c r="M314" s="1574">
        <f t="shared" si="218"/>
        <v>19532</v>
      </c>
      <c r="N314" s="1574">
        <f t="shared" si="219"/>
        <v>20058</v>
      </c>
      <c r="O314" s="1574">
        <f t="shared" si="220"/>
        <v>21470</v>
      </c>
      <c r="P314" s="1574">
        <f t="shared" si="221"/>
        <v>20902</v>
      </c>
      <c r="Q314" s="1574">
        <f t="shared" si="222"/>
        <v>20517</v>
      </c>
    </row>
    <row r="315" spans="1:17" x14ac:dyDescent="0.2">
      <c r="A315" s="1110" t="str">
        <f t="shared" si="223"/>
        <v>Corporate Services - Bill</v>
      </c>
      <c r="B315" s="832">
        <v>912</v>
      </c>
      <c r="C315" s="1571">
        <v>45138.62</v>
      </c>
      <c r="D315" s="1216">
        <f t="shared" si="215"/>
        <v>3.1250000000000002E-3</v>
      </c>
      <c r="E315" s="1582">
        <f t="shared" si="216"/>
        <v>44003.94</v>
      </c>
      <c r="F315" s="1571">
        <v>6741.46</v>
      </c>
      <c r="G315" s="1571">
        <v>-484.07</v>
      </c>
      <c r="H315" s="1571">
        <v>8381.6200000000008</v>
      </c>
      <c r="I315" s="1571">
        <v>-7380.15</v>
      </c>
      <c r="J315" s="1571">
        <v>9534.9</v>
      </c>
      <c r="K315" s="1571">
        <v>1945.18</v>
      </c>
      <c r="L315" s="1574">
        <f t="shared" si="217"/>
        <v>4209</v>
      </c>
      <c r="M315" s="1574">
        <f t="shared" si="218"/>
        <v>4013</v>
      </c>
      <c r="N315" s="1574">
        <f t="shared" si="219"/>
        <v>4121</v>
      </c>
      <c r="O315" s="1574">
        <f t="shared" si="220"/>
        <v>4411</v>
      </c>
      <c r="P315" s="1574">
        <f t="shared" si="221"/>
        <v>4295</v>
      </c>
      <c r="Q315" s="1574">
        <f t="shared" si="222"/>
        <v>4216</v>
      </c>
    </row>
    <row r="316" spans="1:17" x14ac:dyDescent="0.2">
      <c r="A316" s="1110" t="str">
        <f t="shared" si="223"/>
        <v>Corporate Services - Bill</v>
      </c>
      <c r="B316" s="832">
        <v>913</v>
      </c>
      <c r="C316" s="1571">
        <v>16009.67</v>
      </c>
      <c r="D316" s="1216">
        <f t="shared" si="215"/>
        <v>1.109E-3</v>
      </c>
      <c r="E316" s="1582">
        <f t="shared" si="216"/>
        <v>17256.490000000002</v>
      </c>
      <c r="F316" s="1571">
        <v>1.1299999999999999</v>
      </c>
      <c r="G316" s="1571">
        <v>0</v>
      </c>
      <c r="H316" s="1571">
        <v>673.11</v>
      </c>
      <c r="I316" s="1571">
        <v>3113.78</v>
      </c>
      <c r="J316" s="1571">
        <v>0</v>
      </c>
      <c r="K316" s="1571">
        <v>4501.47</v>
      </c>
      <c r="L316" s="1574">
        <f t="shared" si="217"/>
        <v>1494</v>
      </c>
      <c r="M316" s="1574">
        <f t="shared" si="218"/>
        <v>1424</v>
      </c>
      <c r="N316" s="1574">
        <f t="shared" si="219"/>
        <v>1463</v>
      </c>
      <c r="O316" s="1574">
        <f t="shared" si="220"/>
        <v>1566</v>
      </c>
      <c r="P316" s="1574">
        <f t="shared" si="221"/>
        <v>1524</v>
      </c>
      <c r="Q316" s="1574">
        <f t="shared" si="222"/>
        <v>1496</v>
      </c>
    </row>
    <row r="317" spans="1:17" x14ac:dyDescent="0.2">
      <c r="A317" s="1110" t="str">
        <f t="shared" si="223"/>
        <v>Corporate Services - Bill</v>
      </c>
      <c r="B317" s="832">
        <v>916</v>
      </c>
      <c r="C317" s="1571">
        <v>9.9999999999909103E-3</v>
      </c>
      <c r="D317" s="1216">
        <f t="shared" si="215"/>
        <v>0</v>
      </c>
      <c r="E317" s="1582">
        <f t="shared" si="216"/>
        <v>0.01</v>
      </c>
      <c r="F317" s="1571">
        <v>0</v>
      </c>
      <c r="G317" s="1571">
        <v>0</v>
      </c>
      <c r="H317" s="1571">
        <v>0</v>
      </c>
      <c r="I317" s="1571">
        <v>0.01</v>
      </c>
      <c r="J317" s="1571">
        <v>0</v>
      </c>
      <c r="K317" s="1571">
        <v>0</v>
      </c>
      <c r="L317" s="1574">
        <f t="shared" si="217"/>
        <v>0</v>
      </c>
      <c r="M317" s="1574">
        <f t="shared" si="218"/>
        <v>0</v>
      </c>
      <c r="N317" s="1574">
        <f t="shared" si="219"/>
        <v>0</v>
      </c>
      <c r="O317" s="1574">
        <f t="shared" si="220"/>
        <v>0</v>
      </c>
      <c r="P317" s="1574">
        <f t="shared" si="221"/>
        <v>0</v>
      </c>
      <c r="Q317" s="1574">
        <f t="shared" si="222"/>
        <v>0</v>
      </c>
    </row>
    <row r="318" spans="1:17" x14ac:dyDescent="0.2">
      <c r="A318" s="1110" t="str">
        <f t="shared" si="223"/>
        <v>Corporate Services - Bill</v>
      </c>
      <c r="B318" s="832">
        <v>920</v>
      </c>
      <c r="C318" s="1571">
        <v>2339246.7200000002</v>
      </c>
      <c r="D318" s="1216">
        <f t="shared" si="215"/>
        <v>0.161969</v>
      </c>
      <c r="E318" s="1582">
        <f t="shared" si="216"/>
        <v>3058381.53</v>
      </c>
      <c r="F318" s="1571">
        <v>312514.90000000002</v>
      </c>
      <c r="G318" s="1571">
        <v>301156.87</v>
      </c>
      <c r="H318" s="1571">
        <v>285272.93</v>
      </c>
      <c r="I318" s="1571">
        <v>290012.96000000002</v>
      </c>
      <c r="J318" s="1571">
        <v>294629.09999999998</v>
      </c>
      <c r="K318" s="1571">
        <v>265300.77</v>
      </c>
      <c r="L318" s="1574">
        <f t="shared" si="217"/>
        <v>218137</v>
      </c>
      <c r="M318" s="1574">
        <f t="shared" si="218"/>
        <v>208007</v>
      </c>
      <c r="N318" s="1574">
        <f t="shared" si="219"/>
        <v>213610</v>
      </c>
      <c r="O318" s="1574">
        <f t="shared" si="220"/>
        <v>228645</v>
      </c>
      <c r="P318" s="1574">
        <f t="shared" si="221"/>
        <v>222601</v>
      </c>
      <c r="Q318" s="1574">
        <f t="shared" si="222"/>
        <v>218494</v>
      </c>
    </row>
    <row r="319" spans="1:17" x14ac:dyDescent="0.2">
      <c r="A319" s="1110" t="str">
        <f t="shared" si="223"/>
        <v>Corporate Services - Bill</v>
      </c>
      <c r="B319" s="832">
        <v>921</v>
      </c>
      <c r="C319" s="1571">
        <v>319519.40000000002</v>
      </c>
      <c r="D319" s="1216">
        <f t="shared" si="215"/>
        <v>2.2124000000000001E-2</v>
      </c>
      <c r="E319" s="1582">
        <f t="shared" si="216"/>
        <v>421230.73</v>
      </c>
      <c r="F319" s="1571">
        <v>16736.52</v>
      </c>
      <c r="G319" s="1571">
        <v>28987.42</v>
      </c>
      <c r="H319" s="1571">
        <v>34198.9</v>
      </c>
      <c r="I319" s="1571">
        <v>121657.93</v>
      </c>
      <c r="J319" s="1571">
        <v>22715.360000000001</v>
      </c>
      <c r="K319" s="1571">
        <v>18064.599999999999</v>
      </c>
      <c r="L319" s="1574">
        <f t="shared" si="217"/>
        <v>29796</v>
      </c>
      <c r="M319" s="1574">
        <f t="shared" si="218"/>
        <v>28413</v>
      </c>
      <c r="N319" s="1574">
        <f t="shared" si="219"/>
        <v>29178</v>
      </c>
      <c r="O319" s="1574">
        <f t="shared" si="220"/>
        <v>31232</v>
      </c>
      <c r="P319" s="1574">
        <f t="shared" si="221"/>
        <v>30406</v>
      </c>
      <c r="Q319" s="1574">
        <f t="shared" si="222"/>
        <v>29845</v>
      </c>
    </row>
    <row r="320" spans="1:17" x14ac:dyDescent="0.2">
      <c r="A320" s="1110" t="str">
        <f t="shared" si="223"/>
        <v>Corporate Services - Bill</v>
      </c>
      <c r="B320" s="832">
        <v>923</v>
      </c>
      <c r="C320" s="1571">
        <v>6106678.1700000297</v>
      </c>
      <c r="D320" s="1216">
        <f t="shared" si="215"/>
        <v>0.42282599999999998</v>
      </c>
      <c r="E320" s="1582">
        <f t="shared" si="216"/>
        <v>6000616.46</v>
      </c>
      <c r="F320" s="1571">
        <v>409548.75</v>
      </c>
      <c r="G320" s="1571">
        <v>426650.58</v>
      </c>
      <c r="H320" s="1571">
        <v>457821.92</v>
      </c>
      <c r="I320" s="1571">
        <v>553392.85</v>
      </c>
      <c r="J320" s="1571">
        <v>393802.71</v>
      </c>
      <c r="K320" s="1571">
        <v>340917.65</v>
      </c>
      <c r="L320" s="1574">
        <f t="shared" si="217"/>
        <v>569456</v>
      </c>
      <c r="M320" s="1574">
        <f t="shared" si="218"/>
        <v>543010</v>
      </c>
      <c r="N320" s="1574">
        <f t="shared" si="219"/>
        <v>557636</v>
      </c>
      <c r="O320" s="1574">
        <f t="shared" si="220"/>
        <v>596886</v>
      </c>
      <c r="P320" s="1574">
        <f t="shared" si="221"/>
        <v>581107</v>
      </c>
      <c r="Q320" s="1574">
        <f t="shared" si="222"/>
        <v>570387</v>
      </c>
    </row>
    <row r="321" spans="1:17" x14ac:dyDescent="0.2">
      <c r="A321" s="1110" t="str">
        <f t="shared" si="223"/>
        <v>Corporate Services - Bill</v>
      </c>
      <c r="B321" s="832">
        <v>924</v>
      </c>
      <c r="C321" s="1571">
        <v>47.91</v>
      </c>
      <c r="D321" s="1216">
        <f t="shared" ref="D321:D323" si="224">ROUND(C321/$C$327,6)</f>
        <v>3.0000000000000001E-6</v>
      </c>
      <c r="E321" s="1582">
        <f t="shared" si="216"/>
        <v>22.89</v>
      </c>
      <c r="F321" s="1571">
        <v>0.21</v>
      </c>
      <c r="G321" s="1571">
        <v>0</v>
      </c>
      <c r="H321" s="1571">
        <v>-1.33</v>
      </c>
      <c r="I321" s="1571">
        <v>0</v>
      </c>
      <c r="J321" s="1571">
        <v>-0.44</v>
      </c>
      <c r="K321" s="1571">
        <v>0.45</v>
      </c>
      <c r="L321" s="1574">
        <f t="shared" ref="L321:L323" si="225">ROUND(D321*$L$327,0)</f>
        <v>4</v>
      </c>
      <c r="M321" s="1574">
        <f t="shared" ref="M321:M323" si="226">ROUND(D321*$M$327,0)</f>
        <v>4</v>
      </c>
      <c r="N321" s="1574">
        <f t="shared" ref="N321:N323" si="227">ROUND(D321*$N$327,0)</f>
        <v>4</v>
      </c>
      <c r="O321" s="1574">
        <f t="shared" ref="O321:O323" si="228">ROUND(D321*$O$327,0)</f>
        <v>4</v>
      </c>
      <c r="P321" s="1574">
        <f t="shared" ref="P321:P323" si="229">ROUND(D321*$P$327,0)</f>
        <v>4</v>
      </c>
      <c r="Q321" s="1574">
        <f t="shared" ref="Q321:Q323" si="230">ROUND(D321*$Q$327,0)</f>
        <v>4</v>
      </c>
    </row>
    <row r="322" spans="1:17" x14ac:dyDescent="0.2">
      <c r="A322" s="1110" t="str">
        <f t="shared" si="223"/>
        <v>Corporate Services - Bill</v>
      </c>
      <c r="B322" s="832">
        <v>925</v>
      </c>
      <c r="C322" s="1571">
        <v>40244.67</v>
      </c>
      <c r="D322" s="1216">
        <f t="shared" si="224"/>
        <v>2.787E-3</v>
      </c>
      <c r="E322" s="1582">
        <f t="shared" si="216"/>
        <v>51903.66</v>
      </c>
      <c r="F322" s="1571">
        <v>6307.25</v>
      </c>
      <c r="G322" s="1571">
        <v>5227.5</v>
      </c>
      <c r="H322" s="1571">
        <v>5325.25</v>
      </c>
      <c r="I322" s="1571">
        <v>2830.48</v>
      </c>
      <c r="J322" s="1571">
        <v>4903.05</v>
      </c>
      <c r="K322" s="1571">
        <v>4778.13</v>
      </c>
      <c r="L322" s="1574">
        <f t="shared" si="225"/>
        <v>3753</v>
      </c>
      <c r="M322" s="1574">
        <f t="shared" si="226"/>
        <v>3579</v>
      </c>
      <c r="N322" s="1574">
        <f t="shared" si="227"/>
        <v>3676</v>
      </c>
      <c r="O322" s="1574">
        <f t="shared" si="228"/>
        <v>3934</v>
      </c>
      <c r="P322" s="1574">
        <f t="shared" si="229"/>
        <v>3830</v>
      </c>
      <c r="Q322" s="1574">
        <f t="shared" si="230"/>
        <v>3760</v>
      </c>
    </row>
    <row r="323" spans="1:17" x14ac:dyDescent="0.2">
      <c r="A323" s="1110" t="str">
        <f t="shared" si="223"/>
        <v>Corporate Services - Bill</v>
      </c>
      <c r="B323" s="832">
        <v>926</v>
      </c>
      <c r="C323" s="1571">
        <v>1358312.57</v>
      </c>
      <c r="D323" s="1216">
        <f t="shared" si="224"/>
        <v>9.4049999999999995E-2</v>
      </c>
      <c r="E323" s="1582">
        <f t="shared" si="216"/>
        <v>1730741.97</v>
      </c>
      <c r="F323" s="1571">
        <v>127515.62</v>
      </c>
      <c r="G323" s="1571">
        <v>150528.09</v>
      </c>
      <c r="H323" s="1571">
        <v>199114.4</v>
      </c>
      <c r="I323" s="1571">
        <v>126317.34</v>
      </c>
      <c r="J323" s="1571">
        <v>148835.25</v>
      </c>
      <c r="K323" s="1571">
        <v>218051.27</v>
      </c>
      <c r="L323" s="1574">
        <f t="shared" si="225"/>
        <v>126665</v>
      </c>
      <c r="M323" s="1574">
        <f t="shared" si="226"/>
        <v>120783</v>
      </c>
      <c r="N323" s="1574">
        <f t="shared" si="227"/>
        <v>124036</v>
      </c>
      <c r="O323" s="1574">
        <f t="shared" si="228"/>
        <v>132767</v>
      </c>
      <c r="P323" s="1574">
        <f t="shared" si="229"/>
        <v>129257</v>
      </c>
      <c r="Q323" s="1574">
        <f t="shared" si="230"/>
        <v>126872</v>
      </c>
    </row>
    <row r="324" spans="1:17" x14ac:dyDescent="0.2">
      <c r="A324" s="1110" t="str">
        <f t="shared" si="223"/>
        <v>Corporate Services - Bill</v>
      </c>
      <c r="B324" s="832">
        <v>930</v>
      </c>
      <c r="C324" s="1571">
        <v>54255.199999999903</v>
      </c>
      <c r="D324" s="1216">
        <f>ROUND(C324/$C$327,6)</f>
        <v>3.7569999999999999E-3</v>
      </c>
      <c r="E324" s="1582">
        <f t="shared" si="216"/>
        <v>49781.55</v>
      </c>
      <c r="F324" s="1571">
        <v>8403.4699999999993</v>
      </c>
      <c r="G324" s="1571">
        <v>10007.469999999999</v>
      </c>
      <c r="H324" s="1571">
        <v>7588.68</v>
      </c>
      <c r="I324" s="1571">
        <v>-17634.77</v>
      </c>
      <c r="J324" s="1571">
        <v>5455.1</v>
      </c>
      <c r="K324" s="1571">
        <v>5586.6</v>
      </c>
      <c r="L324" s="1574">
        <f>ROUND(D324*$L$327,0)</f>
        <v>5060</v>
      </c>
      <c r="M324" s="1574">
        <f>ROUND(D324*$M$327,0)</f>
        <v>4825</v>
      </c>
      <c r="N324" s="1574">
        <f>ROUND(D324*$N$327,0)</f>
        <v>4955</v>
      </c>
      <c r="O324" s="1574">
        <f>ROUND(D324*$O$327,0)</f>
        <v>5304</v>
      </c>
      <c r="P324" s="1574">
        <f>ROUND(D324*$P$327,0)</f>
        <v>5163</v>
      </c>
      <c r="Q324" s="1574">
        <f>ROUND(D324*$Q$327,0)</f>
        <v>5068</v>
      </c>
    </row>
    <row r="325" spans="1:17" x14ac:dyDescent="0.2">
      <c r="A325" s="1110" t="str">
        <f t="shared" si="223"/>
        <v>Corporate Services - Bill</v>
      </c>
      <c r="B325" s="832">
        <v>931</v>
      </c>
      <c r="C325" s="1571">
        <v>525856.68999999901</v>
      </c>
      <c r="D325" s="1216">
        <f>ROUND(C325/$C$327,6)</f>
        <v>3.6409999999999998E-2</v>
      </c>
      <c r="E325" s="1582">
        <f t="shared" si="216"/>
        <v>649685.81000000006</v>
      </c>
      <c r="F325" s="1571">
        <v>62962.15</v>
      </c>
      <c r="G325" s="1571">
        <v>65145.57</v>
      </c>
      <c r="H325" s="1571">
        <v>66446.84</v>
      </c>
      <c r="I325" s="1571">
        <v>31855.68</v>
      </c>
      <c r="J325" s="1571">
        <v>64372.27</v>
      </c>
      <c r="K325" s="1571">
        <v>64533.3</v>
      </c>
      <c r="L325" s="1574">
        <f>ROUND(D325*$L$327,0)</f>
        <v>49036</v>
      </c>
      <c r="M325" s="1574">
        <f>ROUND(D325*$M$327,0)</f>
        <v>46759</v>
      </c>
      <c r="N325" s="1574">
        <f>ROUND(D325*$N$327,0)</f>
        <v>48019</v>
      </c>
      <c r="O325" s="1574">
        <f>ROUND(D325*$O$327,0)</f>
        <v>51399</v>
      </c>
      <c r="P325" s="1574">
        <f>ROUND(D325*$P$327,0)</f>
        <v>50040</v>
      </c>
      <c r="Q325" s="1574">
        <f>ROUND(D325*$Q$327,0)</f>
        <v>49117</v>
      </c>
    </row>
    <row r="326" spans="1:17" ht="13.5" x14ac:dyDescent="0.35">
      <c r="A326" s="1110" t="str">
        <f t="shared" si="223"/>
        <v>Corporate Services - Bill</v>
      </c>
      <c r="B326" s="832">
        <v>932</v>
      </c>
      <c r="C326" s="1623">
        <v>201845.84</v>
      </c>
      <c r="D326" s="1217">
        <f>ROUND(C326/$C$327,6)</f>
        <v>1.3976000000000001E-2</v>
      </c>
      <c r="E326" s="1587">
        <f t="shared" si="216"/>
        <v>246551.67999999999</v>
      </c>
      <c r="F326" s="1623">
        <v>18468.21</v>
      </c>
      <c r="G326" s="1623">
        <v>17466.169999999998</v>
      </c>
      <c r="H326" s="1623">
        <v>20090.14</v>
      </c>
      <c r="I326" s="1623">
        <v>34161.17</v>
      </c>
      <c r="J326" s="1623">
        <v>22451.02</v>
      </c>
      <c r="K326" s="1623">
        <v>20923.97</v>
      </c>
      <c r="L326" s="2009">
        <f t="shared" ref="L326:Q326" si="231">L327-SUM(L295:L325)</f>
        <v>18824</v>
      </c>
      <c r="M326" s="2009">
        <f t="shared" si="231"/>
        <v>17949</v>
      </c>
      <c r="N326" s="2009">
        <f t="shared" si="231"/>
        <v>18430</v>
      </c>
      <c r="O326" s="2009">
        <f t="shared" si="231"/>
        <v>19727</v>
      </c>
      <c r="P326" s="2009">
        <f t="shared" si="231"/>
        <v>19208</v>
      </c>
      <c r="Q326" s="2009">
        <f t="shared" si="231"/>
        <v>18853</v>
      </c>
    </row>
    <row r="327" spans="1:17" x14ac:dyDescent="0.2">
      <c r="A327" s="1113"/>
      <c r="B327" s="1110"/>
      <c r="C327" s="1572">
        <f>SUM(C295:C326)</f>
        <v>14442516.260000031</v>
      </c>
      <c r="D327" s="1216">
        <f>SUM(D295:D326)</f>
        <v>0.99999999999999978</v>
      </c>
      <c r="E327" s="1572">
        <f>SUM(E295:E326)</f>
        <v>15900947.360000003</v>
      </c>
      <c r="F327" s="1582">
        <f>SUM(F295:F326)</f>
        <v>1239159.3899999999</v>
      </c>
      <c r="G327" s="1582">
        <f t="shared" ref="G327:K327" si="232">SUM(G295:G326)</f>
        <v>1264520.51</v>
      </c>
      <c r="H327" s="1582">
        <f t="shared" si="232"/>
        <v>1436607.1099999999</v>
      </c>
      <c r="I327" s="1582">
        <f t="shared" si="232"/>
        <v>1441488.1099999999</v>
      </c>
      <c r="J327" s="1582">
        <f t="shared" si="232"/>
        <v>1228550.6000000003</v>
      </c>
      <c r="K327" s="1582">
        <f t="shared" si="232"/>
        <v>1205777.6399999999</v>
      </c>
      <c r="L327" s="1574">
        <f t="shared" ref="L327:Q327" si="233">L102</f>
        <v>1346785</v>
      </c>
      <c r="M327" s="1574">
        <f t="shared" si="233"/>
        <v>1284241</v>
      </c>
      <c r="N327" s="1574">
        <f t="shared" si="233"/>
        <v>1318831</v>
      </c>
      <c r="O327" s="1574">
        <f t="shared" si="233"/>
        <v>1411659</v>
      </c>
      <c r="P327" s="1574">
        <f t="shared" si="233"/>
        <v>1374341</v>
      </c>
      <c r="Q327" s="1574">
        <f t="shared" si="233"/>
        <v>1348987</v>
      </c>
    </row>
    <row r="328" spans="1:17" x14ac:dyDescent="0.2">
      <c r="A328" s="1113"/>
      <c r="B328" s="1110"/>
      <c r="C328" s="1572"/>
      <c r="D328" s="1216"/>
      <c r="E328" s="1572"/>
      <c r="F328" s="1572"/>
      <c r="G328" s="1572"/>
      <c r="H328" s="1572"/>
      <c r="I328" s="1572"/>
      <c r="J328" s="1572"/>
      <c r="K328" s="1572"/>
      <c r="L328" s="1574"/>
      <c r="M328" s="1574"/>
      <c r="N328" s="1574"/>
      <c r="O328" s="1112"/>
      <c r="P328" s="1112"/>
      <c r="Q328" s="1112"/>
    </row>
    <row r="329" spans="1:17" x14ac:dyDescent="0.2">
      <c r="A329" s="1110" t="str">
        <f>$B$103</f>
        <v>Mgmt Fee Transfers</v>
      </c>
      <c r="B329" s="832">
        <v>880</v>
      </c>
      <c r="C329" s="1571">
        <v>0</v>
      </c>
      <c r="D329" s="1216">
        <f>IF($C$331=0,0,ROUND(C329/$C$331,6))</f>
        <v>0</v>
      </c>
      <c r="E329" s="1582">
        <f t="shared" ref="E329:E330" si="234">SUM(F329:Q329)</f>
        <v>0</v>
      </c>
      <c r="F329" s="1571">
        <v>0</v>
      </c>
      <c r="G329" s="1571">
        <v>0</v>
      </c>
      <c r="H329" s="1571">
        <v>0</v>
      </c>
      <c r="I329" s="1571">
        <v>0</v>
      </c>
      <c r="J329" s="1571">
        <v>0</v>
      </c>
      <c r="K329" s="1571">
        <v>0</v>
      </c>
      <c r="L329" s="1574">
        <f>ROUND(D329*$L$331,0)</f>
        <v>0</v>
      </c>
      <c r="M329" s="1574">
        <f>ROUND(D329*$M$331,0)</f>
        <v>0</v>
      </c>
      <c r="N329" s="1574">
        <f>ROUND(D329*$N$331,0)</f>
        <v>0</v>
      </c>
      <c r="O329" s="1574">
        <f>ROUND(D329*$O$331,0)</f>
        <v>0</v>
      </c>
      <c r="P329" s="1574">
        <f>ROUND(D329*$P$331,0)</f>
        <v>0</v>
      </c>
      <c r="Q329" s="1574">
        <f>ROUND(D329*$Q$331,0)</f>
        <v>0</v>
      </c>
    </row>
    <row r="330" spans="1:17" ht="13.5" x14ac:dyDescent="0.35">
      <c r="A330" s="1110" t="str">
        <f>$B$103</f>
        <v>Mgmt Fee Transfers</v>
      </c>
      <c r="B330" s="831">
        <v>923</v>
      </c>
      <c r="C330" s="1623">
        <v>0</v>
      </c>
      <c r="D330" s="1217">
        <f>IF($C$331=0,0,ROUND(C330/$C$331,6))</f>
        <v>0</v>
      </c>
      <c r="E330" s="1587">
        <f t="shared" si="234"/>
        <v>0</v>
      </c>
      <c r="F330" s="1623">
        <v>0</v>
      </c>
      <c r="G330" s="1623">
        <v>0</v>
      </c>
      <c r="H330" s="1623">
        <v>0</v>
      </c>
      <c r="I330" s="1623">
        <v>0</v>
      </c>
      <c r="J330" s="1623">
        <v>0</v>
      </c>
      <c r="K330" s="1623">
        <v>0</v>
      </c>
      <c r="L330" s="2010">
        <f t="shared" ref="L330:Q330" si="235">L331-L329</f>
        <v>0</v>
      </c>
      <c r="M330" s="2010">
        <f t="shared" si="235"/>
        <v>0</v>
      </c>
      <c r="N330" s="2010">
        <f t="shared" si="235"/>
        <v>0</v>
      </c>
      <c r="O330" s="2010">
        <f t="shared" si="235"/>
        <v>0</v>
      </c>
      <c r="P330" s="2010">
        <f t="shared" si="235"/>
        <v>0</v>
      </c>
      <c r="Q330" s="2010">
        <f t="shared" si="235"/>
        <v>0</v>
      </c>
    </row>
    <row r="331" spans="1:17" x14ac:dyDescent="0.2">
      <c r="A331" s="1113"/>
      <c r="B331" s="1110"/>
      <c r="C331" s="1572">
        <f>SUM(C329:C330)</f>
        <v>0</v>
      </c>
      <c r="D331" s="1216">
        <f>SUM(D329:D330)</f>
        <v>0</v>
      </c>
      <c r="E331" s="1572">
        <f>SUM(E329:E330)</f>
        <v>0</v>
      </c>
      <c r="F331" s="1582">
        <f>SUM(F329:F330)</f>
        <v>0</v>
      </c>
      <c r="G331" s="1582">
        <f t="shared" ref="G331:K331" si="236">SUM(G329:G330)</f>
        <v>0</v>
      </c>
      <c r="H331" s="1582">
        <f t="shared" si="236"/>
        <v>0</v>
      </c>
      <c r="I331" s="1582">
        <f t="shared" si="236"/>
        <v>0</v>
      </c>
      <c r="J331" s="1582">
        <f t="shared" si="236"/>
        <v>0</v>
      </c>
      <c r="K331" s="1582">
        <f t="shared" si="236"/>
        <v>0</v>
      </c>
      <c r="L331" s="1574">
        <f t="shared" ref="L331:Q331" si="237">L103</f>
        <v>0</v>
      </c>
      <c r="M331" s="1574">
        <f t="shared" si="237"/>
        <v>0</v>
      </c>
      <c r="N331" s="1574">
        <f t="shared" si="237"/>
        <v>0</v>
      </c>
      <c r="O331" s="1574">
        <f t="shared" si="237"/>
        <v>0</v>
      </c>
      <c r="P331" s="1574">
        <f t="shared" si="237"/>
        <v>0</v>
      </c>
      <c r="Q331" s="1574">
        <f t="shared" si="237"/>
        <v>0</v>
      </c>
    </row>
    <row r="332" spans="1:17" x14ac:dyDescent="0.2">
      <c r="A332" s="1113"/>
      <c r="B332" s="1110"/>
      <c r="C332" s="1572"/>
      <c r="D332" s="1216"/>
      <c r="E332" s="1572"/>
      <c r="F332" s="1572"/>
      <c r="G332" s="1572"/>
      <c r="H332" s="1572"/>
      <c r="I332" s="1572"/>
      <c r="J332" s="1572"/>
      <c r="K332" s="1572"/>
      <c r="L332" s="1574"/>
      <c r="M332" s="1574"/>
      <c r="N332" s="1574"/>
      <c r="O332" s="1112"/>
      <c r="P332" s="1112"/>
      <c r="Q332" s="1112"/>
    </row>
    <row r="333" spans="1:17" x14ac:dyDescent="0.2">
      <c r="A333" s="1110" t="str">
        <f>$B113</f>
        <v>Uncollectible Accounts</v>
      </c>
      <c r="B333" s="831">
        <v>904</v>
      </c>
      <c r="C333" s="1571">
        <v>444906.84</v>
      </c>
      <c r="D333" s="1216">
        <v>1</v>
      </c>
      <c r="E333" s="1582">
        <f t="shared" ref="E333:E342" si="238">SUM(F333:Q333)</f>
        <v>389000</v>
      </c>
      <c r="F333" s="1571">
        <v>25000</v>
      </c>
      <c r="G333" s="1571">
        <v>22000</v>
      </c>
      <c r="H333" s="1571">
        <v>-62000</v>
      </c>
      <c r="I333" s="1571">
        <v>-129000</v>
      </c>
      <c r="J333" s="1571">
        <v>103000</v>
      </c>
      <c r="K333" s="1571">
        <v>81000</v>
      </c>
      <c r="L333" s="1574">
        <f t="shared" ref="L333:Q333" si="239">L113</f>
        <v>93000</v>
      </c>
      <c r="M333" s="1574">
        <f t="shared" si="239"/>
        <v>72000</v>
      </c>
      <c r="N333" s="1574">
        <f t="shared" si="239"/>
        <v>56000</v>
      </c>
      <c r="O333" s="1574">
        <f t="shared" si="239"/>
        <v>44000</v>
      </c>
      <c r="P333" s="1574">
        <f t="shared" si="239"/>
        <v>42000</v>
      </c>
      <c r="Q333" s="1574">
        <f t="shared" si="239"/>
        <v>42000</v>
      </c>
    </row>
    <row r="334" spans="1:17" x14ac:dyDescent="0.2">
      <c r="A334" s="1110" t="str">
        <f>$B115</f>
        <v>Uncollectible Accts High Press</v>
      </c>
      <c r="B334" s="831">
        <v>904</v>
      </c>
      <c r="C334" s="1571">
        <v>0</v>
      </c>
      <c r="D334" s="1216">
        <v>1</v>
      </c>
      <c r="E334" s="1582">
        <f t="shared" si="238"/>
        <v>2314.3099999999995</v>
      </c>
      <c r="F334" s="1571">
        <v>-10185.69</v>
      </c>
      <c r="G334" s="1571">
        <v>0</v>
      </c>
      <c r="H334" s="1571">
        <v>0</v>
      </c>
      <c r="I334" s="1571">
        <v>0</v>
      </c>
      <c r="J334" s="1571">
        <v>0</v>
      </c>
      <c r="K334" s="1571">
        <v>0</v>
      </c>
      <c r="L334" s="1574">
        <f t="shared" ref="L334:Q334" si="240">L115</f>
        <v>0</v>
      </c>
      <c r="M334" s="1574">
        <f t="shared" si="240"/>
        <v>0</v>
      </c>
      <c r="N334" s="1574">
        <f t="shared" si="240"/>
        <v>6250</v>
      </c>
      <c r="O334" s="1574">
        <f t="shared" si="240"/>
        <v>0</v>
      </c>
      <c r="P334" s="1574">
        <f t="shared" si="240"/>
        <v>0</v>
      </c>
      <c r="Q334" s="1574">
        <f t="shared" si="240"/>
        <v>6250</v>
      </c>
    </row>
    <row r="335" spans="1:17" x14ac:dyDescent="0.2">
      <c r="A335" s="1110" t="str">
        <f>$B114</f>
        <v>Uncollectible Accts Low Income</v>
      </c>
      <c r="B335" s="831">
        <v>904</v>
      </c>
      <c r="C335" s="1571">
        <v>406574.47</v>
      </c>
      <c r="D335" s="1216">
        <v>1</v>
      </c>
      <c r="E335" s="1582">
        <f t="shared" si="238"/>
        <v>361529.23</v>
      </c>
      <c r="F335" s="1571">
        <v>6424.35</v>
      </c>
      <c r="G335" s="1571">
        <v>17261.16</v>
      </c>
      <c r="H335" s="1571">
        <v>33306.79</v>
      </c>
      <c r="I335" s="1571">
        <v>42695.01</v>
      </c>
      <c r="J335" s="1571">
        <v>86655.35</v>
      </c>
      <c r="K335" s="1571">
        <v>69478.570000000007</v>
      </c>
      <c r="L335" s="1574">
        <f t="shared" ref="L335:Q335" si="241">L114</f>
        <v>52713</v>
      </c>
      <c r="M335" s="1574">
        <f t="shared" si="241"/>
        <v>24477</v>
      </c>
      <c r="N335" s="1574">
        <f t="shared" si="241"/>
        <v>11940</v>
      </c>
      <c r="O335" s="1574">
        <f t="shared" si="241"/>
        <v>5448</v>
      </c>
      <c r="P335" s="1574">
        <f t="shared" si="241"/>
        <v>6365</v>
      </c>
      <c r="Q335" s="1574">
        <f t="shared" si="241"/>
        <v>4765</v>
      </c>
    </row>
    <row r="336" spans="1:17" x14ac:dyDescent="0.2">
      <c r="A336" s="1110" t="str">
        <f>B128</f>
        <v>Uncollectible Tracker</v>
      </c>
      <c r="B336" s="831">
        <v>904</v>
      </c>
      <c r="C336" s="1571">
        <v>179567.81</v>
      </c>
      <c r="D336" s="1216">
        <v>1</v>
      </c>
      <c r="E336" s="1582">
        <f t="shared" si="238"/>
        <v>59130.53</v>
      </c>
      <c r="F336" s="1571">
        <v>5380.84</v>
      </c>
      <c r="G336" s="1571">
        <v>14479.98</v>
      </c>
      <c r="H336" s="1571">
        <v>-21243.64</v>
      </c>
      <c r="I336" s="1571">
        <v>-52655.07</v>
      </c>
      <c r="J336" s="1571">
        <v>35194.129999999997</v>
      </c>
      <c r="K336" s="1571">
        <v>18994.29</v>
      </c>
      <c r="L336" s="1574">
        <f t="shared" ref="L336:Q336" si="242">L128</f>
        <v>27637</v>
      </c>
      <c r="M336" s="1574">
        <f t="shared" si="242"/>
        <v>15937</v>
      </c>
      <c r="N336" s="1574">
        <f t="shared" si="242"/>
        <v>7107</v>
      </c>
      <c r="O336" s="1574">
        <f t="shared" si="242"/>
        <v>3499</v>
      </c>
      <c r="P336" s="1574">
        <f t="shared" si="242"/>
        <v>2440</v>
      </c>
      <c r="Q336" s="1574">
        <f t="shared" si="242"/>
        <v>2360</v>
      </c>
    </row>
    <row r="337" spans="1:17" s="1112" customFormat="1" x14ac:dyDescent="0.2">
      <c r="A337" s="1113"/>
      <c r="B337" s="1110"/>
      <c r="C337" s="1571"/>
      <c r="D337" s="1573"/>
      <c r="E337" s="1582">
        <f t="shared" si="238"/>
        <v>0</v>
      </c>
      <c r="F337" s="1571"/>
      <c r="G337" s="1571"/>
      <c r="H337" s="1571"/>
      <c r="I337" s="1571"/>
      <c r="J337" s="1571"/>
      <c r="K337" s="1571"/>
      <c r="L337" s="1574"/>
      <c r="M337" s="1574"/>
      <c r="N337" s="1574"/>
      <c r="O337" s="1574"/>
      <c r="P337" s="1574"/>
      <c r="Q337" s="1574"/>
    </row>
    <row r="338" spans="1:17" x14ac:dyDescent="0.2">
      <c r="A338" s="1110" t="str">
        <f>$B$122</f>
        <v>Miscellaneous Revenue Billings</v>
      </c>
      <c r="B338" s="831">
        <v>878</v>
      </c>
      <c r="C338" s="1571">
        <v>-28464.81</v>
      </c>
      <c r="D338" s="1216">
        <f>ROUND(C338/$C$343,6)</f>
        <v>8.6856000000000003E-2</v>
      </c>
      <c r="E338" s="1582">
        <f t="shared" si="238"/>
        <v>-11636.061540000001</v>
      </c>
      <c r="F338" s="1571">
        <v>-5923.29</v>
      </c>
      <c r="G338" s="1571">
        <v>-6217.86</v>
      </c>
      <c r="H338" s="1571">
        <v>1703.78</v>
      </c>
      <c r="I338" s="1571">
        <v>2990.57</v>
      </c>
      <c r="J338" s="1571">
        <v>0</v>
      </c>
      <c r="K338" s="1571">
        <v>232.23</v>
      </c>
      <c r="L338" s="1574">
        <f>ROUND(D338*$L$343,5)</f>
        <v>-728.37441999999999</v>
      </c>
      <c r="M338" s="1574">
        <f>ROUND(D338*$M$343,5)</f>
        <v>-642.64754000000005</v>
      </c>
      <c r="N338" s="1574">
        <f>ROUND(D338*$N$343,5)</f>
        <v>-865.43317999999999</v>
      </c>
      <c r="O338" s="1574">
        <f>ROUND(D338*$O$343,5)</f>
        <v>-796.90380000000005</v>
      </c>
      <c r="P338" s="1574">
        <f>ROUND(D338*$P$343,5)</f>
        <v>-694.06629999999996</v>
      </c>
      <c r="Q338" s="1574">
        <f>ROUND(D338*$Q$343,5)</f>
        <v>-694.06629999999996</v>
      </c>
    </row>
    <row r="339" spans="1:17" x14ac:dyDescent="0.2">
      <c r="A339" s="1110" t="str">
        <f t="shared" ref="A339:A342" si="243">$B$122</f>
        <v>Miscellaneous Revenue Billings</v>
      </c>
      <c r="B339" s="831">
        <v>879</v>
      </c>
      <c r="C339" s="1571">
        <v>-1966.5</v>
      </c>
      <c r="D339" s="1216">
        <f>ROUND(C339/$C$343,6)</f>
        <v>6.0000000000000001E-3</v>
      </c>
      <c r="E339" s="1582">
        <f t="shared" si="238"/>
        <v>-1182.6859999999999</v>
      </c>
      <c r="F339" s="1571">
        <v>-211.75</v>
      </c>
      <c r="G339" s="1571">
        <v>-181.5</v>
      </c>
      <c r="H339" s="1571">
        <v>-302.75</v>
      </c>
      <c r="I339" s="1571">
        <v>-90.75</v>
      </c>
      <c r="J339" s="1571">
        <v>-60.25</v>
      </c>
      <c r="K339" s="1571">
        <v>-30.25</v>
      </c>
      <c r="L339" s="1574">
        <f>ROUND(D339*$L$343,5)</f>
        <v>-50.316000000000003</v>
      </c>
      <c r="M339" s="1574">
        <f>ROUND(D339*$M$343,5)</f>
        <v>-44.393999999999998</v>
      </c>
      <c r="N339" s="1574">
        <f>ROUND(D339*$N$343,5)</f>
        <v>-59.783999999999999</v>
      </c>
      <c r="O339" s="1574">
        <f>ROUND(D339*$O$343,5)</f>
        <v>-55.05</v>
      </c>
      <c r="P339" s="1574">
        <f>ROUND(D339*$P$343,5)</f>
        <v>-47.945999999999998</v>
      </c>
      <c r="Q339" s="1574">
        <f>ROUND(D339*$Q$343,5)</f>
        <v>-47.945999999999998</v>
      </c>
    </row>
    <row r="340" spans="1:17" x14ac:dyDescent="0.2">
      <c r="A340" s="1110" t="str">
        <f t="shared" si="243"/>
        <v>Miscellaneous Revenue Billings</v>
      </c>
      <c r="B340" s="831">
        <v>887</v>
      </c>
      <c r="C340" s="1571">
        <v>-124383.46</v>
      </c>
      <c r="D340" s="1216">
        <f>ROUND(C340/$C$343,6)</f>
        <v>0.37953700000000001</v>
      </c>
      <c r="E340" s="1582">
        <f t="shared" si="238"/>
        <v>-33078.100529999996</v>
      </c>
      <c r="F340" s="1571">
        <v>7578.17</v>
      </c>
      <c r="G340" s="1571">
        <v>-12124.96</v>
      </c>
      <c r="H340" s="1571">
        <v>-5604.49</v>
      </c>
      <c r="I340" s="1571">
        <v>-22615.03</v>
      </c>
      <c r="J340" s="1571">
        <v>-6188.86</v>
      </c>
      <c r="K340" s="1571">
        <v>25197.78</v>
      </c>
      <c r="L340" s="1574">
        <f>ROUND(D340*$L$343,5)</f>
        <v>-3182.7972799999998</v>
      </c>
      <c r="M340" s="1574">
        <f>ROUND(D340*$M$343,5)</f>
        <v>-2808.1942600000002</v>
      </c>
      <c r="N340" s="1574">
        <f>ROUND(D340*$N$343,5)</f>
        <v>-3781.70667</v>
      </c>
      <c r="O340" s="1574">
        <f>ROUND(D340*$O$343,5)</f>
        <v>-3482.25198</v>
      </c>
      <c r="P340" s="1574">
        <f>ROUND(D340*$P$343,5)</f>
        <v>-3032.8801699999999</v>
      </c>
      <c r="Q340" s="1574">
        <f>ROUND(D340*$Q$343,5)</f>
        <v>-3032.8801699999999</v>
      </c>
    </row>
    <row r="341" spans="1:17" x14ac:dyDescent="0.2">
      <c r="A341" s="1110" t="str">
        <f t="shared" si="243"/>
        <v>Miscellaneous Revenue Billings</v>
      </c>
      <c r="B341" s="831">
        <v>892</v>
      </c>
      <c r="C341" s="1571">
        <v>-170945.57</v>
      </c>
      <c r="D341" s="1216">
        <f>ROUND(C341/$C$343,6)</f>
        <v>0.52161500000000005</v>
      </c>
      <c r="E341" s="1582">
        <f t="shared" si="238"/>
        <v>-110463.99321000003</v>
      </c>
      <c r="F341" s="1571">
        <v>-12504.51</v>
      </c>
      <c r="G341" s="1571">
        <v>-19034.64</v>
      </c>
      <c r="H341" s="1571">
        <v>-17742.72</v>
      </c>
      <c r="I341" s="1571">
        <v>-23288.46</v>
      </c>
      <c r="J341" s="1571">
        <v>-2075.15</v>
      </c>
      <c r="K341" s="1571">
        <v>-9265.18</v>
      </c>
      <c r="L341" s="1574">
        <f>ROUND(D341*$L$343,5)</f>
        <v>-4374.2633900000001</v>
      </c>
      <c r="M341" s="1574">
        <f>ROUND(D341*$M$343,5)</f>
        <v>-3859.4293899999998</v>
      </c>
      <c r="N341" s="1574">
        <f>ROUND(D341*$N$343,5)</f>
        <v>-5197.3718600000002</v>
      </c>
      <c r="O341" s="1574">
        <f>ROUND(D341*$O$343,5)</f>
        <v>-4785.8176299999996</v>
      </c>
      <c r="P341" s="1574">
        <f>ROUND(D341*$P$343,5)</f>
        <v>-4168.2254700000003</v>
      </c>
      <c r="Q341" s="1574">
        <f>ROUND(D341*$Q$343,5)</f>
        <v>-4168.2254700000003</v>
      </c>
    </row>
    <row r="342" spans="1:17" ht="13.5" x14ac:dyDescent="0.35">
      <c r="A342" s="1110" t="str">
        <f t="shared" si="243"/>
        <v>Miscellaneous Revenue Billings</v>
      </c>
      <c r="B342" s="831">
        <v>903</v>
      </c>
      <c r="C342" s="1623">
        <v>-1963.5</v>
      </c>
      <c r="D342" s="1217">
        <f>ROUND(C342/$C$343,6)</f>
        <v>5.9909999999999998E-3</v>
      </c>
      <c r="E342" s="1587">
        <f t="shared" si="238"/>
        <v>-1935.7787200000002</v>
      </c>
      <c r="F342" s="1623">
        <v>-30.25</v>
      </c>
      <c r="G342" s="1623">
        <v>-272.25</v>
      </c>
      <c r="H342" s="1623">
        <v>-330</v>
      </c>
      <c r="I342" s="1623">
        <v>-302.5</v>
      </c>
      <c r="J342" s="1623">
        <v>-420.75</v>
      </c>
      <c r="K342" s="1623">
        <v>-275</v>
      </c>
      <c r="L342" s="2009">
        <f t="shared" ref="L342:Q342" si="244">L343-SUM(L338:L341)</f>
        <v>-50.248910000000251</v>
      </c>
      <c r="M342" s="2009">
        <f t="shared" si="244"/>
        <v>-44.334810000000289</v>
      </c>
      <c r="N342" s="2009">
        <f t="shared" si="244"/>
        <v>-59.704289999999673</v>
      </c>
      <c r="O342" s="2009">
        <f t="shared" si="244"/>
        <v>-54.976590000000215</v>
      </c>
      <c r="P342" s="2009">
        <f t="shared" si="244"/>
        <v>-47.88205999999991</v>
      </c>
      <c r="Q342" s="2009">
        <f t="shared" si="244"/>
        <v>-47.88205999999991</v>
      </c>
    </row>
    <row r="343" spans="1:17" x14ac:dyDescent="0.2">
      <c r="A343" s="1113"/>
      <c r="B343" s="1110"/>
      <c r="C343" s="1572">
        <f>SUM(C338:C342)</f>
        <v>-327723.84000000003</v>
      </c>
      <c r="D343" s="1216">
        <f>SUM(D338:D342)</f>
        <v>0.99999899999999997</v>
      </c>
      <c r="E343" s="1572">
        <f>SUM(E338:E342)</f>
        <v>-158296.62000000002</v>
      </c>
      <c r="F343" s="1582">
        <f t="shared" ref="F343:K343" si="245">SUM(F338:F342)</f>
        <v>-11091.630000000001</v>
      </c>
      <c r="G343" s="1582">
        <f t="shared" si="245"/>
        <v>-37831.21</v>
      </c>
      <c r="H343" s="1582">
        <f t="shared" si="245"/>
        <v>-22276.18</v>
      </c>
      <c r="I343" s="1582">
        <f t="shared" si="245"/>
        <v>-43306.17</v>
      </c>
      <c r="J343" s="1582">
        <f t="shared" si="245"/>
        <v>-8745.01</v>
      </c>
      <c r="K343" s="1582">
        <f t="shared" si="245"/>
        <v>15859.579999999998</v>
      </c>
      <c r="L343" s="1574">
        <f t="shared" ref="L343:Q343" si="246">L122</f>
        <v>-8386</v>
      </c>
      <c r="M343" s="1574">
        <f t="shared" si="246"/>
        <v>-7399</v>
      </c>
      <c r="N343" s="1574">
        <f t="shared" si="246"/>
        <v>-9964</v>
      </c>
      <c r="O343" s="1574">
        <f t="shared" si="246"/>
        <v>-9175</v>
      </c>
      <c r="P343" s="1574">
        <f t="shared" si="246"/>
        <v>-7991</v>
      </c>
      <c r="Q343" s="1574">
        <f t="shared" si="246"/>
        <v>-7991</v>
      </c>
    </row>
    <row r="344" spans="1:17" x14ac:dyDescent="0.2">
      <c r="A344" s="1113"/>
      <c r="B344" s="1110"/>
      <c r="C344" s="1572"/>
      <c r="D344" s="1216"/>
      <c r="E344" s="1572"/>
      <c r="F344" s="1572"/>
      <c r="G344" s="1572"/>
      <c r="H344" s="1572"/>
      <c r="I344" s="1572"/>
      <c r="J344" s="1572"/>
      <c r="K344" s="1572"/>
      <c r="L344" s="1574"/>
      <c r="M344" s="1574"/>
      <c r="N344" s="1574"/>
      <c r="O344" s="1574"/>
      <c r="P344" s="1574"/>
      <c r="Q344" s="1574"/>
    </row>
    <row r="345" spans="1:17" x14ac:dyDescent="0.2">
      <c r="A345" s="1110" t="str">
        <f t="shared" ref="A345:A365" si="247">$B$123</f>
        <v>Miscellaneous</v>
      </c>
      <c r="B345" s="831">
        <v>870</v>
      </c>
      <c r="C345" s="1571">
        <v>19992.04</v>
      </c>
      <c r="D345" s="1216">
        <f t="shared" ref="D345:D365" si="248">ROUND(C345/$C$366,6)</f>
        <v>4.0732999999999998E-2</v>
      </c>
      <c r="E345" s="1582">
        <f t="shared" ref="E345:E365" si="249">SUM(F345:Q345)</f>
        <v>10071.06</v>
      </c>
      <c r="F345" s="1571">
        <v>200.16</v>
      </c>
      <c r="G345" s="1571">
        <v>118.25</v>
      </c>
      <c r="H345" s="1571">
        <v>53.86</v>
      </c>
      <c r="I345" s="1571">
        <v>454.17</v>
      </c>
      <c r="J345" s="1571">
        <v>312.62</v>
      </c>
      <c r="K345" s="1571">
        <v>545</v>
      </c>
      <c r="L345" s="1574">
        <f t="shared" ref="L345:L364" si="250">ROUND(D345*$L$366,0)</f>
        <v>1285</v>
      </c>
      <c r="M345" s="1574">
        <f t="shared" ref="M345:M364" si="251">ROUND(D345*$M$366,0)</f>
        <v>1788</v>
      </c>
      <c r="N345" s="1574">
        <f t="shared" ref="N345:N364" si="252">ROUND(D345*$N$366,0)</f>
        <v>1375</v>
      </c>
      <c r="O345" s="1574">
        <f t="shared" ref="O345:O364" si="253">ROUND(D345*$O$366,0)</f>
        <v>1329</v>
      </c>
      <c r="P345" s="1574">
        <f t="shared" ref="P345:P364" si="254">ROUND(D345*$P$366,0)</f>
        <v>1305</v>
      </c>
      <c r="Q345" s="1574">
        <f t="shared" ref="Q345:Q364" si="255">ROUND(D345*$Q$366,0)</f>
        <v>1305</v>
      </c>
    </row>
    <row r="346" spans="1:17" x14ac:dyDescent="0.2">
      <c r="A346" s="1110" t="str">
        <f t="shared" si="247"/>
        <v>Miscellaneous</v>
      </c>
      <c r="B346" s="832">
        <v>874</v>
      </c>
      <c r="C346" s="1571">
        <v>104174.81</v>
      </c>
      <c r="D346" s="1216">
        <f t="shared" si="248"/>
        <v>0.21224999999999999</v>
      </c>
      <c r="E346" s="1582">
        <f t="shared" si="249"/>
        <v>85990.920000000013</v>
      </c>
      <c r="F346" s="1571">
        <v>5114.76</v>
      </c>
      <c r="G346" s="1571">
        <v>8829.68</v>
      </c>
      <c r="H346" s="1571">
        <v>5363.78</v>
      </c>
      <c r="I346" s="1571">
        <v>22867.69</v>
      </c>
      <c r="J346" s="1571">
        <v>111.01</v>
      </c>
      <c r="K346" s="1571">
        <v>0</v>
      </c>
      <c r="L346" s="1574">
        <f t="shared" si="250"/>
        <v>6695</v>
      </c>
      <c r="M346" s="1574">
        <f t="shared" si="251"/>
        <v>9316</v>
      </c>
      <c r="N346" s="1574">
        <f t="shared" si="252"/>
        <v>7164</v>
      </c>
      <c r="O346" s="1574">
        <f t="shared" si="253"/>
        <v>6925</v>
      </c>
      <c r="P346" s="1574">
        <f t="shared" si="254"/>
        <v>6802</v>
      </c>
      <c r="Q346" s="1574">
        <f t="shared" si="255"/>
        <v>6802</v>
      </c>
    </row>
    <row r="347" spans="1:17" x14ac:dyDescent="0.2">
      <c r="A347" s="1110" t="str">
        <f t="shared" si="247"/>
        <v>Miscellaneous</v>
      </c>
      <c r="B347" s="832">
        <v>875</v>
      </c>
      <c r="C347" s="1571">
        <v>144.43</v>
      </c>
      <c r="D347" s="1216">
        <f t="shared" si="248"/>
        <v>2.9399999999999999E-4</v>
      </c>
      <c r="E347" s="1582">
        <f t="shared" si="249"/>
        <v>429.27</v>
      </c>
      <c r="F347" s="1571">
        <v>0</v>
      </c>
      <c r="G347" s="1571">
        <v>0</v>
      </c>
      <c r="H347" s="1571">
        <v>21.5</v>
      </c>
      <c r="I347" s="1571">
        <v>122.02</v>
      </c>
      <c r="J347" s="1571">
        <v>225.75</v>
      </c>
      <c r="K347" s="1571">
        <v>0</v>
      </c>
      <c r="L347" s="1574">
        <f t="shared" si="250"/>
        <v>9</v>
      </c>
      <c r="M347" s="1574">
        <f t="shared" si="251"/>
        <v>13</v>
      </c>
      <c r="N347" s="1574">
        <f t="shared" si="252"/>
        <v>10</v>
      </c>
      <c r="O347" s="1574">
        <f t="shared" si="253"/>
        <v>10</v>
      </c>
      <c r="P347" s="1574">
        <f t="shared" si="254"/>
        <v>9</v>
      </c>
      <c r="Q347" s="1574">
        <f t="shared" si="255"/>
        <v>9</v>
      </c>
    </row>
    <row r="348" spans="1:17" x14ac:dyDescent="0.2">
      <c r="A348" s="1110" t="str">
        <f t="shared" si="247"/>
        <v>Miscellaneous</v>
      </c>
      <c r="B348" s="832">
        <v>876</v>
      </c>
      <c r="C348" s="1571">
        <v>73.900000000000006</v>
      </c>
      <c r="D348" s="1216">
        <f t="shared" si="248"/>
        <v>1.5100000000000001E-4</v>
      </c>
      <c r="E348" s="1582">
        <f t="shared" si="249"/>
        <v>220.93</v>
      </c>
      <c r="F348" s="1571">
        <v>0</v>
      </c>
      <c r="G348" s="1571">
        <v>0</v>
      </c>
      <c r="H348" s="1571">
        <v>11</v>
      </c>
      <c r="I348" s="1571">
        <v>62.43</v>
      </c>
      <c r="J348" s="1571">
        <v>115.5</v>
      </c>
      <c r="K348" s="1571">
        <v>0</v>
      </c>
      <c r="L348" s="1574">
        <f t="shared" si="250"/>
        <v>5</v>
      </c>
      <c r="M348" s="1574">
        <f t="shared" si="251"/>
        <v>7</v>
      </c>
      <c r="N348" s="1574">
        <f t="shared" si="252"/>
        <v>5</v>
      </c>
      <c r="O348" s="1574">
        <f t="shared" si="253"/>
        <v>5</v>
      </c>
      <c r="P348" s="1574">
        <f t="shared" si="254"/>
        <v>5</v>
      </c>
      <c r="Q348" s="1574">
        <f t="shared" si="255"/>
        <v>5</v>
      </c>
    </row>
    <row r="349" spans="1:17" x14ac:dyDescent="0.2">
      <c r="A349" s="1110" t="str">
        <f t="shared" si="247"/>
        <v>Miscellaneous</v>
      </c>
      <c r="B349" s="832">
        <v>878</v>
      </c>
      <c r="C349" s="1571">
        <v>-37787.14</v>
      </c>
      <c r="D349" s="1216">
        <f t="shared" si="248"/>
        <v>-7.6989000000000002E-2</v>
      </c>
      <c r="E349" s="1582">
        <f t="shared" si="249"/>
        <v>-34308.78</v>
      </c>
      <c r="F349" s="1571">
        <v>-3360.84</v>
      </c>
      <c r="G349" s="1571">
        <v>-2881.73</v>
      </c>
      <c r="H349" s="1571">
        <v>-3451.75</v>
      </c>
      <c r="I349" s="1571">
        <v>-1480.86</v>
      </c>
      <c r="J349" s="1571">
        <v>-3651.6</v>
      </c>
      <c r="K349" s="1571">
        <v>-3630</v>
      </c>
      <c r="L349" s="1574">
        <f t="shared" si="250"/>
        <v>-2428</v>
      </c>
      <c r="M349" s="1574">
        <f t="shared" si="251"/>
        <v>-3379</v>
      </c>
      <c r="N349" s="1574">
        <f t="shared" si="252"/>
        <v>-2599</v>
      </c>
      <c r="O349" s="1574">
        <f t="shared" si="253"/>
        <v>-2512</v>
      </c>
      <c r="P349" s="1574">
        <f t="shared" si="254"/>
        <v>-2467</v>
      </c>
      <c r="Q349" s="1574">
        <f t="shared" si="255"/>
        <v>-2467</v>
      </c>
    </row>
    <row r="350" spans="1:17" x14ac:dyDescent="0.2">
      <c r="A350" s="1110" t="str">
        <f t="shared" si="247"/>
        <v>Miscellaneous</v>
      </c>
      <c r="B350" s="832">
        <v>879</v>
      </c>
      <c r="C350" s="1571">
        <v>2944</v>
      </c>
      <c r="D350" s="1216">
        <f t="shared" si="248"/>
        <v>5.9979999999999999E-3</v>
      </c>
      <c r="E350" s="1582">
        <f t="shared" si="249"/>
        <v>3169.4399999999996</v>
      </c>
      <c r="F350" s="1571">
        <v>155.26</v>
      </c>
      <c r="G350" s="1571">
        <v>262.83</v>
      </c>
      <c r="H350" s="1571">
        <v>102.48</v>
      </c>
      <c r="I350" s="1571">
        <v>1446.59</v>
      </c>
      <c r="J350" s="1571">
        <v>-31.72</v>
      </c>
      <c r="K350" s="1571">
        <v>0</v>
      </c>
      <c r="L350" s="1574">
        <f t="shared" si="250"/>
        <v>189</v>
      </c>
      <c r="M350" s="1574">
        <f t="shared" si="251"/>
        <v>263</v>
      </c>
      <c r="N350" s="1574">
        <f t="shared" si="252"/>
        <v>202</v>
      </c>
      <c r="O350" s="1574">
        <f t="shared" si="253"/>
        <v>196</v>
      </c>
      <c r="P350" s="1574">
        <f t="shared" si="254"/>
        <v>192</v>
      </c>
      <c r="Q350" s="1574">
        <f t="shared" si="255"/>
        <v>192</v>
      </c>
    </row>
    <row r="351" spans="1:17" x14ac:dyDescent="0.2">
      <c r="A351" s="1110" t="str">
        <f t="shared" si="247"/>
        <v>Miscellaneous</v>
      </c>
      <c r="B351" s="832">
        <v>880</v>
      </c>
      <c r="C351" s="1571">
        <v>44078.270000000004</v>
      </c>
      <c r="D351" s="1216">
        <f t="shared" si="248"/>
        <v>8.9806999999999998E-2</v>
      </c>
      <c r="E351" s="1582">
        <f t="shared" si="249"/>
        <v>52058.38</v>
      </c>
      <c r="F351" s="1571">
        <v>10769.72</v>
      </c>
      <c r="G351" s="1571">
        <v>1231.77</v>
      </c>
      <c r="H351" s="1571">
        <v>1949.21</v>
      </c>
      <c r="I351" s="1571">
        <v>11978.96</v>
      </c>
      <c r="J351" s="1571">
        <v>945.6</v>
      </c>
      <c r="K351" s="1571">
        <v>6691.12</v>
      </c>
      <c r="L351" s="1574">
        <f t="shared" si="250"/>
        <v>2833</v>
      </c>
      <c r="M351" s="1574">
        <f t="shared" si="251"/>
        <v>3942</v>
      </c>
      <c r="N351" s="1574">
        <f t="shared" si="252"/>
        <v>3031</v>
      </c>
      <c r="O351" s="1574">
        <f t="shared" si="253"/>
        <v>2930</v>
      </c>
      <c r="P351" s="1574">
        <f t="shared" si="254"/>
        <v>2878</v>
      </c>
      <c r="Q351" s="1574">
        <f t="shared" si="255"/>
        <v>2878</v>
      </c>
    </row>
    <row r="352" spans="1:17" x14ac:dyDescent="0.2">
      <c r="A352" s="1110" t="str">
        <f t="shared" si="247"/>
        <v>Miscellaneous</v>
      </c>
      <c r="B352" s="832">
        <v>885</v>
      </c>
      <c r="C352" s="1571">
        <v>28.380000000000003</v>
      </c>
      <c r="D352" s="1216">
        <f t="shared" si="248"/>
        <v>5.8E-5</v>
      </c>
      <c r="E352" s="1582">
        <f t="shared" si="249"/>
        <v>25.75</v>
      </c>
      <c r="F352" s="1571">
        <v>0</v>
      </c>
      <c r="G352" s="1571">
        <v>2.41</v>
      </c>
      <c r="H352" s="1571">
        <v>2.68</v>
      </c>
      <c r="I352" s="1571">
        <v>2.36</v>
      </c>
      <c r="J352" s="1571">
        <v>5.3</v>
      </c>
      <c r="K352" s="1571">
        <v>0</v>
      </c>
      <c r="L352" s="1574">
        <f t="shared" si="250"/>
        <v>2</v>
      </c>
      <c r="M352" s="1574">
        <f t="shared" si="251"/>
        <v>3</v>
      </c>
      <c r="N352" s="1574">
        <f t="shared" si="252"/>
        <v>2</v>
      </c>
      <c r="O352" s="1574">
        <f t="shared" si="253"/>
        <v>2</v>
      </c>
      <c r="P352" s="1574">
        <f t="shared" si="254"/>
        <v>2</v>
      </c>
      <c r="Q352" s="1574">
        <f t="shared" si="255"/>
        <v>2</v>
      </c>
    </row>
    <row r="353" spans="1:17" x14ac:dyDescent="0.2">
      <c r="A353" s="1110" t="str">
        <f t="shared" si="247"/>
        <v>Miscellaneous</v>
      </c>
      <c r="B353" s="832">
        <v>887</v>
      </c>
      <c r="C353" s="1571">
        <v>2491.67</v>
      </c>
      <c r="D353" s="1216">
        <f t="shared" si="248"/>
        <v>5.0769999999999999E-3</v>
      </c>
      <c r="E353" s="1582">
        <f t="shared" si="249"/>
        <v>2534.2199999999998</v>
      </c>
      <c r="F353" s="1571">
        <v>119.43</v>
      </c>
      <c r="G353" s="1571">
        <v>200.81</v>
      </c>
      <c r="H353" s="1571">
        <v>78.819999999999993</v>
      </c>
      <c r="I353" s="1571">
        <v>1113.55</v>
      </c>
      <c r="J353" s="1571">
        <v>-24.39</v>
      </c>
      <c r="K353" s="1571">
        <v>0</v>
      </c>
      <c r="L353" s="1574">
        <f t="shared" si="250"/>
        <v>160</v>
      </c>
      <c r="M353" s="1574">
        <f t="shared" si="251"/>
        <v>223</v>
      </c>
      <c r="N353" s="1574">
        <f t="shared" si="252"/>
        <v>171</v>
      </c>
      <c r="O353" s="1574">
        <f t="shared" si="253"/>
        <v>166</v>
      </c>
      <c r="P353" s="1574">
        <f t="shared" si="254"/>
        <v>163</v>
      </c>
      <c r="Q353" s="1574">
        <f t="shared" si="255"/>
        <v>163</v>
      </c>
    </row>
    <row r="354" spans="1:17" x14ac:dyDescent="0.2">
      <c r="A354" s="1110" t="str">
        <f t="shared" si="247"/>
        <v>Miscellaneous</v>
      </c>
      <c r="B354" s="832">
        <v>889</v>
      </c>
      <c r="C354" s="1571">
        <v>144.43</v>
      </c>
      <c r="D354" s="1216">
        <f t="shared" si="248"/>
        <v>2.9399999999999999E-4</v>
      </c>
      <c r="E354" s="1582">
        <f t="shared" si="249"/>
        <v>429.27</v>
      </c>
      <c r="F354" s="1571">
        <v>0</v>
      </c>
      <c r="G354" s="1571">
        <v>0</v>
      </c>
      <c r="H354" s="1571">
        <v>21.5</v>
      </c>
      <c r="I354" s="1571">
        <v>122.02</v>
      </c>
      <c r="J354" s="1571">
        <v>225.75</v>
      </c>
      <c r="K354" s="1571">
        <v>0</v>
      </c>
      <c r="L354" s="1574">
        <f t="shared" si="250"/>
        <v>9</v>
      </c>
      <c r="M354" s="1574">
        <f t="shared" si="251"/>
        <v>13</v>
      </c>
      <c r="N354" s="1574">
        <f t="shared" si="252"/>
        <v>10</v>
      </c>
      <c r="O354" s="1574">
        <f t="shared" si="253"/>
        <v>10</v>
      </c>
      <c r="P354" s="1574">
        <f t="shared" si="254"/>
        <v>9</v>
      </c>
      <c r="Q354" s="1574">
        <f t="shared" si="255"/>
        <v>9</v>
      </c>
    </row>
    <row r="355" spans="1:17" x14ac:dyDescent="0.2">
      <c r="A355" s="1110" t="str">
        <f t="shared" si="247"/>
        <v>Miscellaneous</v>
      </c>
      <c r="B355" s="832">
        <v>890</v>
      </c>
      <c r="C355" s="1571">
        <v>1867.72</v>
      </c>
      <c r="D355" s="1216">
        <f t="shared" si="248"/>
        <v>3.8049999999999998E-3</v>
      </c>
      <c r="E355" s="1582">
        <f t="shared" si="249"/>
        <v>1820.21</v>
      </c>
      <c r="F355" s="1571">
        <v>133.43</v>
      </c>
      <c r="G355" s="1571">
        <v>185.52</v>
      </c>
      <c r="H355" s="1571">
        <v>289.5</v>
      </c>
      <c r="I355" s="1571">
        <v>175.25</v>
      </c>
      <c r="J355" s="1571">
        <v>192.17</v>
      </c>
      <c r="K355" s="1571">
        <v>61.34</v>
      </c>
      <c r="L355" s="1574">
        <f t="shared" si="250"/>
        <v>120</v>
      </c>
      <c r="M355" s="1574">
        <f t="shared" si="251"/>
        <v>167</v>
      </c>
      <c r="N355" s="1574">
        <f t="shared" si="252"/>
        <v>128</v>
      </c>
      <c r="O355" s="1574">
        <f t="shared" si="253"/>
        <v>124</v>
      </c>
      <c r="P355" s="1574">
        <f t="shared" si="254"/>
        <v>122</v>
      </c>
      <c r="Q355" s="1574">
        <f t="shared" si="255"/>
        <v>122</v>
      </c>
    </row>
    <row r="356" spans="1:17" x14ac:dyDescent="0.2">
      <c r="A356" s="1110" t="str">
        <f t="shared" si="247"/>
        <v>Miscellaneous</v>
      </c>
      <c r="B356" s="832">
        <v>892</v>
      </c>
      <c r="C356" s="1571">
        <v>806.22</v>
      </c>
      <c r="D356" s="1216">
        <f t="shared" si="248"/>
        <v>1.6429999999999999E-3</v>
      </c>
      <c r="E356" s="1582">
        <f t="shared" si="249"/>
        <v>804.85000000000014</v>
      </c>
      <c r="F356" s="1571">
        <v>35.840000000000003</v>
      </c>
      <c r="G356" s="1571">
        <v>62.02</v>
      </c>
      <c r="H356" s="1571">
        <v>23.65</v>
      </c>
      <c r="I356" s="1571">
        <v>351.66</v>
      </c>
      <c r="J356" s="1571">
        <v>-7.32</v>
      </c>
      <c r="K356" s="1571">
        <v>0</v>
      </c>
      <c r="L356" s="1574">
        <f t="shared" si="250"/>
        <v>52</v>
      </c>
      <c r="M356" s="1574">
        <f t="shared" si="251"/>
        <v>72</v>
      </c>
      <c r="N356" s="1574">
        <f t="shared" si="252"/>
        <v>55</v>
      </c>
      <c r="O356" s="1574">
        <f t="shared" si="253"/>
        <v>54</v>
      </c>
      <c r="P356" s="1574">
        <f t="shared" si="254"/>
        <v>53</v>
      </c>
      <c r="Q356" s="1574">
        <f t="shared" si="255"/>
        <v>53</v>
      </c>
    </row>
    <row r="357" spans="1:17" x14ac:dyDescent="0.2">
      <c r="A357" s="1110" t="str">
        <f t="shared" si="247"/>
        <v>Miscellaneous</v>
      </c>
      <c r="B357" s="832">
        <v>893</v>
      </c>
      <c r="C357" s="1571">
        <v>2839.33</v>
      </c>
      <c r="D357" s="1216">
        <f t="shared" si="248"/>
        <v>5.7850000000000002E-3</v>
      </c>
      <c r="E357" s="1582">
        <f t="shared" si="249"/>
        <v>2876.98</v>
      </c>
      <c r="F357" s="1571">
        <v>324.76</v>
      </c>
      <c r="G357" s="1571">
        <v>390.02</v>
      </c>
      <c r="H357" s="1571">
        <v>578.99</v>
      </c>
      <c r="I357" s="1571">
        <v>231.3</v>
      </c>
      <c r="J357" s="1571">
        <v>110.93</v>
      </c>
      <c r="K357" s="1571">
        <v>50.98</v>
      </c>
      <c r="L357" s="1574">
        <f t="shared" si="250"/>
        <v>182</v>
      </c>
      <c r="M357" s="1574">
        <f t="shared" si="251"/>
        <v>254</v>
      </c>
      <c r="N357" s="1574">
        <f t="shared" si="252"/>
        <v>195</v>
      </c>
      <c r="O357" s="1574">
        <f t="shared" si="253"/>
        <v>189</v>
      </c>
      <c r="P357" s="1574">
        <f t="shared" si="254"/>
        <v>185</v>
      </c>
      <c r="Q357" s="1574">
        <f t="shared" si="255"/>
        <v>185</v>
      </c>
    </row>
    <row r="358" spans="1:17" x14ac:dyDescent="0.2">
      <c r="A358" s="1110" t="str">
        <f t="shared" si="247"/>
        <v>Miscellaneous</v>
      </c>
      <c r="B358" s="832">
        <v>894</v>
      </c>
      <c r="C358" s="1571">
        <v>2485.92</v>
      </c>
      <c r="D358" s="1216">
        <f t="shared" si="248"/>
        <v>5.0650000000000001E-3</v>
      </c>
      <c r="E358" s="1582">
        <f t="shared" si="249"/>
        <v>2248.9499999999998</v>
      </c>
      <c r="F358" s="1571">
        <v>249.99</v>
      </c>
      <c r="G358" s="1571">
        <v>214.94</v>
      </c>
      <c r="H358" s="1571">
        <v>214.48</v>
      </c>
      <c r="I358" s="1571">
        <v>174.35</v>
      </c>
      <c r="J358" s="1571">
        <v>196</v>
      </c>
      <c r="K358" s="1571">
        <v>157.19</v>
      </c>
      <c r="L358" s="1574">
        <f t="shared" si="250"/>
        <v>160</v>
      </c>
      <c r="M358" s="1574">
        <f t="shared" si="251"/>
        <v>222</v>
      </c>
      <c r="N358" s="1574">
        <f t="shared" si="252"/>
        <v>171</v>
      </c>
      <c r="O358" s="1574">
        <f t="shared" si="253"/>
        <v>165</v>
      </c>
      <c r="P358" s="1574">
        <f t="shared" si="254"/>
        <v>162</v>
      </c>
      <c r="Q358" s="1574">
        <f t="shared" si="255"/>
        <v>162</v>
      </c>
    </row>
    <row r="359" spans="1:17" x14ac:dyDescent="0.2">
      <c r="A359" s="1110" t="str">
        <f t="shared" si="247"/>
        <v>Miscellaneous</v>
      </c>
      <c r="B359" s="832">
        <v>902</v>
      </c>
      <c r="C359" s="1571">
        <v>1323.08</v>
      </c>
      <c r="D359" s="1216">
        <f t="shared" si="248"/>
        <v>2.696E-3</v>
      </c>
      <c r="E359" s="1582">
        <f t="shared" si="249"/>
        <v>554</v>
      </c>
      <c r="F359" s="1571">
        <v>0</v>
      </c>
      <c r="G359" s="1571">
        <v>0</v>
      </c>
      <c r="H359" s="1571">
        <v>0</v>
      </c>
      <c r="I359" s="1571">
        <v>0</v>
      </c>
      <c r="J359" s="1571">
        <v>0</v>
      </c>
      <c r="K359" s="1571">
        <v>0</v>
      </c>
      <c r="L359" s="1574">
        <f t="shared" si="250"/>
        <v>85</v>
      </c>
      <c r="M359" s="1574">
        <f t="shared" si="251"/>
        <v>118</v>
      </c>
      <c r="N359" s="1574">
        <f t="shared" si="252"/>
        <v>91</v>
      </c>
      <c r="O359" s="1574">
        <f t="shared" si="253"/>
        <v>88</v>
      </c>
      <c r="P359" s="1574">
        <f t="shared" si="254"/>
        <v>86</v>
      </c>
      <c r="Q359" s="1574">
        <f t="shared" si="255"/>
        <v>86</v>
      </c>
    </row>
    <row r="360" spans="1:17" x14ac:dyDescent="0.2">
      <c r="A360" s="1110" t="str">
        <f t="shared" si="247"/>
        <v>Miscellaneous</v>
      </c>
      <c r="B360" s="832">
        <v>903</v>
      </c>
      <c r="C360" s="1571">
        <v>2032.74</v>
      </c>
      <c r="D360" s="1216">
        <f t="shared" si="248"/>
        <v>4.1419999999999998E-3</v>
      </c>
      <c r="E360" s="1582">
        <f t="shared" si="249"/>
        <v>1951.65</v>
      </c>
      <c r="F360" s="1571">
        <v>46.72</v>
      </c>
      <c r="G360" s="1571">
        <v>229.56</v>
      </c>
      <c r="H360" s="1571">
        <v>250.81</v>
      </c>
      <c r="I360" s="1571">
        <v>545.1</v>
      </c>
      <c r="J360" s="1571">
        <v>25.46</v>
      </c>
      <c r="K360" s="1571">
        <v>0</v>
      </c>
      <c r="L360" s="1574">
        <f t="shared" si="250"/>
        <v>131</v>
      </c>
      <c r="M360" s="1574">
        <f t="shared" si="251"/>
        <v>182</v>
      </c>
      <c r="N360" s="1574">
        <f t="shared" si="252"/>
        <v>140</v>
      </c>
      <c r="O360" s="1574">
        <f t="shared" si="253"/>
        <v>135</v>
      </c>
      <c r="P360" s="1574">
        <f t="shared" si="254"/>
        <v>133</v>
      </c>
      <c r="Q360" s="1574">
        <f t="shared" si="255"/>
        <v>133</v>
      </c>
    </row>
    <row r="361" spans="1:17" x14ac:dyDescent="0.2">
      <c r="A361" s="1110" t="str">
        <f t="shared" si="247"/>
        <v>Miscellaneous</v>
      </c>
      <c r="B361" s="832">
        <v>905</v>
      </c>
      <c r="C361" s="1571">
        <v>369.36</v>
      </c>
      <c r="D361" s="1216">
        <f t="shared" si="248"/>
        <v>7.5299999999999998E-4</v>
      </c>
      <c r="E361" s="1582">
        <f t="shared" si="249"/>
        <v>427.85</v>
      </c>
      <c r="F361" s="1571">
        <v>0</v>
      </c>
      <c r="G361" s="1571">
        <v>50</v>
      </c>
      <c r="H361" s="1571">
        <v>0</v>
      </c>
      <c r="I361" s="1571">
        <v>123.56</v>
      </c>
      <c r="J361" s="1571">
        <v>-16.25</v>
      </c>
      <c r="K361" s="1571">
        <v>115.54</v>
      </c>
      <c r="L361" s="1574">
        <f t="shared" si="250"/>
        <v>24</v>
      </c>
      <c r="M361" s="1574">
        <f t="shared" si="251"/>
        <v>33</v>
      </c>
      <c r="N361" s="1574">
        <f t="shared" si="252"/>
        <v>25</v>
      </c>
      <c r="O361" s="1574">
        <f t="shared" si="253"/>
        <v>25</v>
      </c>
      <c r="P361" s="1574">
        <f t="shared" si="254"/>
        <v>24</v>
      </c>
      <c r="Q361" s="1574">
        <f t="shared" si="255"/>
        <v>24</v>
      </c>
    </row>
    <row r="362" spans="1:17" x14ac:dyDescent="0.2">
      <c r="A362" s="1110" t="str">
        <f t="shared" si="247"/>
        <v>Miscellaneous</v>
      </c>
      <c r="B362" s="832">
        <v>921</v>
      </c>
      <c r="C362" s="1571">
        <v>32738.43</v>
      </c>
      <c r="D362" s="1216">
        <f t="shared" si="248"/>
        <v>6.6702999999999998E-2</v>
      </c>
      <c r="E362" s="1582">
        <f t="shared" si="249"/>
        <v>37967.509999999995</v>
      </c>
      <c r="F362" s="1571">
        <v>5612.9</v>
      </c>
      <c r="G362" s="1571">
        <v>1457.98</v>
      </c>
      <c r="H362" s="1571">
        <v>265.14999999999998</v>
      </c>
      <c r="I362" s="1571">
        <v>13140.11</v>
      </c>
      <c r="J362" s="1571">
        <v>839.8</v>
      </c>
      <c r="K362" s="1571">
        <v>2916.57</v>
      </c>
      <c r="L362" s="1574">
        <f t="shared" si="250"/>
        <v>2104</v>
      </c>
      <c r="M362" s="1574">
        <f t="shared" si="251"/>
        <v>2928</v>
      </c>
      <c r="N362" s="1574">
        <f t="shared" si="252"/>
        <v>2251</v>
      </c>
      <c r="O362" s="1574">
        <f t="shared" si="253"/>
        <v>2176</v>
      </c>
      <c r="P362" s="1574">
        <f t="shared" si="254"/>
        <v>2138</v>
      </c>
      <c r="Q362" s="1574">
        <f t="shared" si="255"/>
        <v>2138</v>
      </c>
    </row>
    <row r="363" spans="1:17" x14ac:dyDescent="0.2">
      <c r="A363" s="1110" t="str">
        <f t="shared" si="247"/>
        <v>Miscellaneous</v>
      </c>
      <c r="B363" s="832">
        <v>923</v>
      </c>
      <c r="C363" s="1571">
        <v>53573.27</v>
      </c>
      <c r="D363" s="1216">
        <f t="shared" si="248"/>
        <v>0.109152</v>
      </c>
      <c r="E363" s="1582">
        <f t="shared" si="249"/>
        <v>75197.440000000002</v>
      </c>
      <c r="F363" s="1571">
        <v>0</v>
      </c>
      <c r="G363" s="1571">
        <v>0</v>
      </c>
      <c r="H363" s="1571">
        <v>0</v>
      </c>
      <c r="I363" s="1571">
        <v>28899</v>
      </c>
      <c r="J363" s="1571">
        <v>9633</v>
      </c>
      <c r="K363" s="1571">
        <v>14190.44</v>
      </c>
      <c r="L363" s="1574">
        <f t="shared" si="250"/>
        <v>3443</v>
      </c>
      <c r="M363" s="1574">
        <f t="shared" si="251"/>
        <v>4791</v>
      </c>
      <c r="N363" s="1574">
        <f t="shared" si="252"/>
        <v>3684</v>
      </c>
      <c r="O363" s="1574">
        <f t="shared" si="253"/>
        <v>3561</v>
      </c>
      <c r="P363" s="1574">
        <f t="shared" si="254"/>
        <v>3498</v>
      </c>
      <c r="Q363" s="1574">
        <f t="shared" si="255"/>
        <v>3498</v>
      </c>
    </row>
    <row r="364" spans="1:17" x14ac:dyDescent="0.2">
      <c r="A364" s="1110" t="str">
        <f t="shared" si="247"/>
        <v>Miscellaneous</v>
      </c>
      <c r="B364" s="832">
        <v>928</v>
      </c>
      <c r="C364" s="1571">
        <v>256250.94</v>
      </c>
      <c r="D364" s="1216">
        <f t="shared" si="248"/>
        <v>0.522096</v>
      </c>
      <c r="E364" s="1582">
        <f t="shared" si="249"/>
        <v>252290.75</v>
      </c>
      <c r="F364" s="1571">
        <v>23750</v>
      </c>
      <c r="G364" s="1571">
        <v>23750</v>
      </c>
      <c r="H364" s="1571">
        <v>23750</v>
      </c>
      <c r="I364" s="1571">
        <v>23750</v>
      </c>
      <c r="J364" s="1571">
        <v>26035.75</v>
      </c>
      <c r="K364" s="1571">
        <v>23750</v>
      </c>
      <c r="L364" s="1574">
        <f t="shared" si="250"/>
        <v>16468</v>
      </c>
      <c r="M364" s="1574">
        <f t="shared" si="251"/>
        <v>22915</v>
      </c>
      <c r="N364" s="1574">
        <f t="shared" si="252"/>
        <v>17623</v>
      </c>
      <c r="O364" s="1574">
        <f t="shared" si="253"/>
        <v>17033</v>
      </c>
      <c r="P364" s="1574">
        <f t="shared" si="254"/>
        <v>16733</v>
      </c>
      <c r="Q364" s="1574">
        <f t="shared" si="255"/>
        <v>16733</v>
      </c>
    </row>
    <row r="365" spans="1:17" ht="13.5" x14ac:dyDescent="0.35">
      <c r="A365" s="1110" t="str">
        <f t="shared" si="247"/>
        <v>Miscellaneous</v>
      </c>
      <c r="B365" s="832">
        <v>930</v>
      </c>
      <c r="C365" s="1623">
        <v>240.03999999997899</v>
      </c>
      <c r="D365" s="1217">
        <f t="shared" si="248"/>
        <v>4.8899999999999996E-4</v>
      </c>
      <c r="E365" s="1587">
        <f t="shared" si="249"/>
        <v>3930.69</v>
      </c>
      <c r="F365" s="1623">
        <v>0</v>
      </c>
      <c r="G365" s="1623">
        <v>0</v>
      </c>
      <c r="H365" s="1623">
        <v>0</v>
      </c>
      <c r="I365" s="1623">
        <v>0</v>
      </c>
      <c r="J365" s="1623">
        <v>0</v>
      </c>
      <c r="K365" s="1623">
        <v>3827.69</v>
      </c>
      <c r="L365" s="2009">
        <f t="shared" ref="L365:Q365" si="256">L366-SUM(L345:L364)</f>
        <v>15</v>
      </c>
      <c r="M365" s="2009">
        <f t="shared" si="256"/>
        <v>20</v>
      </c>
      <c r="N365" s="2009">
        <f t="shared" si="256"/>
        <v>20</v>
      </c>
      <c r="O365" s="2009">
        <f t="shared" si="256"/>
        <v>14</v>
      </c>
      <c r="P365" s="2009">
        <f t="shared" si="256"/>
        <v>17</v>
      </c>
      <c r="Q365" s="2009">
        <f t="shared" si="256"/>
        <v>17</v>
      </c>
    </row>
    <row r="366" spans="1:17" x14ac:dyDescent="0.2">
      <c r="A366" s="1113"/>
      <c r="B366" s="1110"/>
      <c r="C366" s="1572">
        <f>SUM(C345:C365)</f>
        <v>490811.83999999991</v>
      </c>
      <c r="D366" s="1216">
        <f>SUM(D345:D365)</f>
        <v>1.0000020000000001</v>
      </c>
      <c r="E366" s="1572">
        <f>SUM(E345:E365)</f>
        <v>500691.34</v>
      </c>
      <c r="F366" s="1582">
        <f t="shared" ref="F366:K366" si="257">SUM(F345:F365)</f>
        <v>43152.13</v>
      </c>
      <c r="G366" s="1582">
        <f t="shared" si="257"/>
        <v>34104.06</v>
      </c>
      <c r="H366" s="1582">
        <f t="shared" si="257"/>
        <v>29525.659999999996</v>
      </c>
      <c r="I366" s="1582">
        <f t="shared" si="257"/>
        <v>104079.26000000001</v>
      </c>
      <c r="J366" s="1582">
        <f t="shared" si="257"/>
        <v>35243.360000000001</v>
      </c>
      <c r="K366" s="1582">
        <f t="shared" si="257"/>
        <v>48675.87</v>
      </c>
      <c r="L366" s="1574">
        <f t="shared" ref="L366:Q366" si="258">L123</f>
        <v>31543</v>
      </c>
      <c r="M366" s="1574">
        <f t="shared" si="258"/>
        <v>43891</v>
      </c>
      <c r="N366" s="1574">
        <f t="shared" si="258"/>
        <v>33754</v>
      </c>
      <c r="O366" s="1574">
        <f t="shared" si="258"/>
        <v>32625</v>
      </c>
      <c r="P366" s="1574">
        <f t="shared" si="258"/>
        <v>32049</v>
      </c>
      <c r="Q366" s="1574">
        <f t="shared" si="258"/>
        <v>32049</v>
      </c>
    </row>
    <row r="367" spans="1:17" x14ac:dyDescent="0.2">
      <c r="A367" s="1113"/>
      <c r="B367" s="1110"/>
      <c r="C367" s="1572"/>
      <c r="D367" s="1216"/>
      <c r="E367" s="1572"/>
      <c r="F367" s="1572"/>
      <c r="G367" s="1572"/>
      <c r="H367" s="1572"/>
      <c r="I367" s="1572"/>
      <c r="J367" s="1572"/>
      <c r="K367" s="1572"/>
      <c r="L367" s="1574"/>
      <c r="M367" s="1574"/>
      <c r="N367" s="1574"/>
      <c r="O367" s="1574"/>
      <c r="P367" s="1574"/>
      <c r="Q367" s="1574"/>
    </row>
    <row r="368" spans="1:17" x14ac:dyDescent="0.2">
      <c r="A368" s="1110" t="str">
        <f>$B$116</f>
        <v>Amortization Charges</v>
      </c>
      <c r="B368" s="832">
        <v>923</v>
      </c>
      <c r="C368" s="1571">
        <v>260072.32000000001</v>
      </c>
      <c r="D368" s="1216">
        <f>ROUND(C368/$C$370,6)</f>
        <v>0.552315</v>
      </c>
      <c r="E368" s="1582">
        <f t="shared" ref="E368:E369" si="259">SUM(F368:Q368)</f>
        <v>58218</v>
      </c>
      <c r="F368" s="1571">
        <v>0</v>
      </c>
      <c r="G368" s="1571">
        <v>0</v>
      </c>
      <c r="H368" s="1571">
        <v>0</v>
      </c>
      <c r="I368" s="1571">
        <v>0</v>
      </c>
      <c r="J368" s="1571">
        <v>0</v>
      </c>
      <c r="K368" s="1571">
        <v>0</v>
      </c>
      <c r="L368" s="1574">
        <f>ROUND(D368*$L$370,0)</f>
        <v>9703</v>
      </c>
      <c r="M368" s="1574">
        <f>ROUND(D368*$M$370,0)</f>
        <v>9703</v>
      </c>
      <c r="N368" s="1574">
        <f>ROUND(D368*$N$370,0)</f>
        <v>9703</v>
      </c>
      <c r="O368" s="1574">
        <f>ROUND(D368*$O$370,0)</f>
        <v>9703</v>
      </c>
      <c r="P368" s="1574">
        <f>ROUND(D368*$P$370,0)</f>
        <v>9703</v>
      </c>
      <c r="Q368" s="1574">
        <f>ROUND(D368*$Q$370,0)</f>
        <v>9703</v>
      </c>
    </row>
    <row r="369" spans="1:17" ht="13.5" x14ac:dyDescent="0.35">
      <c r="A369" s="1110" t="str">
        <f>$B$116</f>
        <v>Amortization Charges</v>
      </c>
      <c r="B369" s="832">
        <v>928</v>
      </c>
      <c r="C369" s="1623">
        <v>210804.84</v>
      </c>
      <c r="D369" s="1217">
        <f>ROUND(C369/$C$370,6)</f>
        <v>0.447685</v>
      </c>
      <c r="E369" s="1587">
        <f t="shared" si="259"/>
        <v>152586.42000000001</v>
      </c>
      <c r="F369" s="1623">
        <v>17567.07</v>
      </c>
      <c r="G369" s="1623">
        <v>17567.07</v>
      </c>
      <c r="H369" s="1623">
        <v>17567.07</v>
      </c>
      <c r="I369" s="1623">
        <v>17567.07</v>
      </c>
      <c r="J369" s="1623">
        <v>17567.07</v>
      </c>
      <c r="K369" s="1623">
        <v>17567.07</v>
      </c>
      <c r="L369" s="2009">
        <f t="shared" ref="L369:Q369" si="260">L370-SUM(L368:L368)</f>
        <v>7864</v>
      </c>
      <c r="M369" s="2009">
        <f t="shared" si="260"/>
        <v>7864</v>
      </c>
      <c r="N369" s="2009">
        <f t="shared" si="260"/>
        <v>7864</v>
      </c>
      <c r="O369" s="2009">
        <f t="shared" si="260"/>
        <v>7864</v>
      </c>
      <c r="P369" s="2009">
        <f t="shared" si="260"/>
        <v>7864</v>
      </c>
      <c r="Q369" s="2009">
        <f t="shared" si="260"/>
        <v>7864</v>
      </c>
    </row>
    <row r="370" spans="1:17" x14ac:dyDescent="0.2">
      <c r="A370" s="1113"/>
      <c r="B370" s="1110"/>
      <c r="C370" s="1572">
        <f>SUM(C368:C369)</f>
        <v>470877.16000000003</v>
      </c>
      <c r="D370" s="1216">
        <f>SUM(D368:D369)</f>
        <v>1</v>
      </c>
      <c r="E370" s="1572">
        <f>SUM(E368:E369)</f>
        <v>210804.42</v>
      </c>
      <c r="F370" s="1582">
        <f>SUM(F368:F369)</f>
        <v>17567.07</v>
      </c>
      <c r="G370" s="1582">
        <f t="shared" ref="G370:K370" si="261">SUM(G368:G369)</f>
        <v>17567.07</v>
      </c>
      <c r="H370" s="1582">
        <f t="shared" si="261"/>
        <v>17567.07</v>
      </c>
      <c r="I370" s="1582">
        <f t="shared" si="261"/>
        <v>17567.07</v>
      </c>
      <c r="J370" s="1582">
        <f t="shared" si="261"/>
        <v>17567.07</v>
      </c>
      <c r="K370" s="1582">
        <f t="shared" si="261"/>
        <v>17567.07</v>
      </c>
      <c r="L370" s="1574">
        <f t="shared" ref="L370:Q370" si="262">L116</f>
        <v>17567</v>
      </c>
      <c r="M370" s="1574">
        <f t="shared" si="262"/>
        <v>17567</v>
      </c>
      <c r="N370" s="1574">
        <f t="shared" si="262"/>
        <v>17567</v>
      </c>
      <c r="O370" s="1574">
        <f t="shared" si="262"/>
        <v>17567</v>
      </c>
      <c r="P370" s="1574">
        <f t="shared" si="262"/>
        <v>17567</v>
      </c>
      <c r="Q370" s="1574">
        <f t="shared" si="262"/>
        <v>17567</v>
      </c>
    </row>
    <row r="371" spans="1:17" ht="14.25" customHeight="1" x14ac:dyDescent="0.2">
      <c r="A371" s="1113"/>
      <c r="B371" s="1110"/>
      <c r="C371" s="1572"/>
      <c r="D371" s="1216"/>
      <c r="E371" s="1572"/>
      <c r="F371" s="1572"/>
      <c r="G371" s="1572"/>
      <c r="H371" s="1572"/>
      <c r="I371" s="1572"/>
      <c r="J371" s="1572"/>
      <c r="K371" s="1572"/>
      <c r="L371" s="1574"/>
      <c r="M371" s="1574"/>
      <c r="N371" s="1574"/>
      <c r="O371" s="1574"/>
      <c r="P371" s="1574"/>
      <c r="Q371" s="1574"/>
    </row>
    <row r="372" spans="1:17" x14ac:dyDescent="0.2">
      <c r="A372" s="1110" t="str">
        <f>B129</f>
        <v>Misc Revenue Trackers</v>
      </c>
      <c r="B372" s="832">
        <v>908</v>
      </c>
      <c r="C372" s="1571">
        <v>729911.9</v>
      </c>
      <c r="D372" s="1216">
        <v>1</v>
      </c>
      <c r="E372" s="1582">
        <f t="shared" ref="E372" si="263">SUM(F372:Q372)</f>
        <v>1059464.22</v>
      </c>
      <c r="F372" s="1571">
        <v>48596.76</v>
      </c>
      <c r="G372" s="1571">
        <v>55185.91</v>
      </c>
      <c r="H372" s="1571">
        <v>40322.25</v>
      </c>
      <c r="I372" s="1571">
        <v>123671.35</v>
      </c>
      <c r="J372" s="1571">
        <v>103125.75999999999</v>
      </c>
      <c r="K372" s="1571">
        <v>105562.19</v>
      </c>
      <c r="L372" s="1574">
        <f t="shared" ref="L372:Q372" si="264">L129</f>
        <v>88000</v>
      </c>
      <c r="M372" s="1574">
        <f t="shared" si="264"/>
        <v>89000</v>
      </c>
      <c r="N372" s="1574">
        <f t="shared" si="264"/>
        <v>98000</v>
      </c>
      <c r="O372" s="1574">
        <f t="shared" si="264"/>
        <v>99000</v>
      </c>
      <c r="P372" s="1574">
        <f t="shared" si="264"/>
        <v>110000</v>
      </c>
      <c r="Q372" s="1574">
        <f t="shared" si="264"/>
        <v>99000</v>
      </c>
    </row>
    <row r="373" spans="1:17" x14ac:dyDescent="0.2">
      <c r="A373" s="1110"/>
      <c r="B373" s="1111"/>
      <c r="C373" s="1571"/>
      <c r="D373" s="1216"/>
      <c r="E373" s="1582"/>
      <c r="F373" s="1582"/>
      <c r="G373" s="1582"/>
      <c r="H373" s="1582"/>
      <c r="I373" s="1582"/>
      <c r="J373" s="1582"/>
      <c r="K373" s="1582"/>
      <c r="L373" s="1574"/>
      <c r="M373" s="1574"/>
      <c r="N373" s="1574"/>
      <c r="O373" s="1574"/>
      <c r="P373" s="1574"/>
      <c r="Q373" s="1574"/>
    </row>
    <row r="374" spans="1:17" x14ac:dyDescent="0.2">
      <c r="A374" s="1110" t="str">
        <f t="shared" ref="A374:A375" si="265">$B$124</f>
        <v>Deferrals</v>
      </c>
      <c r="B374" s="832">
        <v>903</v>
      </c>
      <c r="C374" s="1571">
        <v>12146.12</v>
      </c>
      <c r="D374" s="1216">
        <f>ROUND(C374/$C$376,6)</f>
        <v>-0.207623</v>
      </c>
      <c r="E374" s="1582">
        <f t="shared" ref="E374:E375" si="266">SUM(F374:Q374)</f>
        <v>51906.165239999988</v>
      </c>
      <c r="F374" s="1571">
        <v>0</v>
      </c>
      <c r="G374" s="1571">
        <v>0</v>
      </c>
      <c r="H374" s="1571">
        <v>0</v>
      </c>
      <c r="I374" s="1571">
        <v>0</v>
      </c>
      <c r="J374" s="1571">
        <v>0</v>
      </c>
      <c r="K374" s="1571">
        <v>0</v>
      </c>
      <c r="L374" s="1574">
        <f>ROUND(D374*$L$376,5)</f>
        <v>8651.0275399999991</v>
      </c>
      <c r="M374" s="1574">
        <f>ROUND(D374*$M$376,5)</f>
        <v>8651.0275399999991</v>
      </c>
      <c r="N374" s="1574">
        <f>ROUND(D374*$N$376,5)</f>
        <v>8651.0275399999991</v>
      </c>
      <c r="O374" s="1574">
        <f>ROUND(D374*$O$376,5)</f>
        <v>8651.0275399999991</v>
      </c>
      <c r="P374" s="1574">
        <f>ROUND(D374*$P$376,5)</f>
        <v>8651.0275399999991</v>
      </c>
      <c r="Q374" s="1574">
        <f>ROUND(D374*$Q$376,5)</f>
        <v>8651.0275399999991</v>
      </c>
    </row>
    <row r="375" spans="1:17" ht="13.5" x14ac:dyDescent="0.35">
      <c r="A375" s="1110" t="str">
        <f t="shared" si="265"/>
        <v>Deferrals</v>
      </c>
      <c r="B375" s="832">
        <v>908</v>
      </c>
      <c r="C375" s="1623">
        <v>-70647</v>
      </c>
      <c r="D375" s="1217">
        <f>ROUND(C375/$C$376,6)</f>
        <v>1.2076229999999999</v>
      </c>
      <c r="E375" s="1587">
        <f t="shared" si="266"/>
        <v>-301908.16523999994</v>
      </c>
      <c r="F375" s="1623">
        <v>0</v>
      </c>
      <c r="G375" s="1623">
        <v>0</v>
      </c>
      <c r="H375" s="1623">
        <v>0</v>
      </c>
      <c r="I375" s="1623">
        <v>0</v>
      </c>
      <c r="J375" s="1623">
        <v>0</v>
      </c>
      <c r="K375" s="1623">
        <v>0</v>
      </c>
      <c r="L375" s="2009">
        <f t="shared" ref="L375:Q375" si="267">L376-SUM(L374:L374)</f>
        <v>-50318.027539999995</v>
      </c>
      <c r="M375" s="2009">
        <f t="shared" si="267"/>
        <v>-50318.027539999995</v>
      </c>
      <c r="N375" s="2009">
        <f t="shared" si="267"/>
        <v>-50318.027539999995</v>
      </c>
      <c r="O375" s="2009">
        <f t="shared" si="267"/>
        <v>-50318.027539999995</v>
      </c>
      <c r="P375" s="2009">
        <f t="shared" si="267"/>
        <v>-50318.027539999995</v>
      </c>
      <c r="Q375" s="2009">
        <f t="shared" si="267"/>
        <v>-50318.027539999995</v>
      </c>
    </row>
    <row r="376" spans="1:17" x14ac:dyDescent="0.2">
      <c r="A376" s="1113"/>
      <c r="B376" s="1111"/>
      <c r="C376" s="1572">
        <f>SUM(C374:C375)</f>
        <v>-58500.88</v>
      </c>
      <c r="D376" s="1216">
        <f>SUM(D374:D375)</f>
        <v>0.99999999999999989</v>
      </c>
      <c r="E376" s="1572">
        <f>SUM(E374:E375)</f>
        <v>-250001.99999999994</v>
      </c>
      <c r="F376" s="1582">
        <f t="shared" ref="F376" si="268">SUM(F374:F375)</f>
        <v>0</v>
      </c>
      <c r="G376" s="1582">
        <f t="shared" ref="G376" si="269">SUM(G374:G375)</f>
        <v>0</v>
      </c>
      <c r="H376" s="1582">
        <f t="shared" ref="H376" si="270">SUM(H374:H375)</f>
        <v>0</v>
      </c>
      <c r="I376" s="1582">
        <f t="shared" ref="I376" si="271">SUM(I374:I375)</f>
        <v>0</v>
      </c>
      <c r="J376" s="1582">
        <f t="shared" ref="J376" si="272">SUM(J374:J375)</f>
        <v>0</v>
      </c>
      <c r="K376" s="1582">
        <f t="shared" ref="K376" si="273">SUM(K374:K375)</f>
        <v>0</v>
      </c>
      <c r="L376" s="1574">
        <f t="shared" ref="L376:Q376" si="274">L124</f>
        <v>-41667</v>
      </c>
      <c r="M376" s="1574">
        <f t="shared" si="274"/>
        <v>-41667</v>
      </c>
      <c r="N376" s="1574">
        <f t="shared" si="274"/>
        <v>-41667</v>
      </c>
      <c r="O376" s="1574">
        <f t="shared" si="274"/>
        <v>-41667</v>
      </c>
      <c r="P376" s="1574">
        <f t="shared" si="274"/>
        <v>-41667</v>
      </c>
      <c r="Q376" s="1574">
        <f t="shared" si="274"/>
        <v>-41667</v>
      </c>
    </row>
    <row r="377" spans="1:17" x14ac:dyDescent="0.2">
      <c r="A377" s="1113"/>
      <c r="B377" s="1111"/>
      <c r="C377" s="1572"/>
      <c r="D377" s="1216"/>
      <c r="E377" s="1572"/>
      <c r="F377" s="1572"/>
      <c r="G377" s="1572"/>
      <c r="H377" s="1572"/>
      <c r="I377" s="1572"/>
      <c r="J377" s="1572"/>
      <c r="K377" s="1572"/>
      <c r="L377" s="1574"/>
      <c r="M377" s="1574"/>
      <c r="N377" s="1574"/>
      <c r="O377" s="1574"/>
      <c r="P377" s="1574"/>
      <c r="Q377" s="1574"/>
    </row>
    <row r="378" spans="1:17" x14ac:dyDescent="0.2">
      <c r="A378" s="1110" t="str">
        <f>$B$126</f>
        <v>Losses/Claims Expense</v>
      </c>
      <c r="B378" s="832">
        <v>925</v>
      </c>
      <c r="C378" s="1571">
        <v>77233.899999999994</v>
      </c>
      <c r="D378" s="1216">
        <v>1</v>
      </c>
      <c r="E378" s="1582">
        <f t="shared" ref="E378" si="275">SUM(F378:Q378)</f>
        <v>126651.91</v>
      </c>
      <c r="F378" s="1571">
        <v>-1182.56</v>
      </c>
      <c r="G378" s="1571">
        <v>11328.53</v>
      </c>
      <c r="H378" s="1571">
        <v>11014.87</v>
      </c>
      <c r="I378" s="1571">
        <v>4460.38</v>
      </c>
      <c r="J378" s="1571">
        <v>10065.34</v>
      </c>
      <c r="K378" s="1571">
        <v>40967.35</v>
      </c>
      <c r="L378" s="1574">
        <f t="shared" ref="L378:Q378" si="276">L126</f>
        <v>8333</v>
      </c>
      <c r="M378" s="1574">
        <f t="shared" si="276"/>
        <v>8333</v>
      </c>
      <c r="N378" s="1574">
        <f t="shared" si="276"/>
        <v>8333</v>
      </c>
      <c r="O378" s="1574">
        <f t="shared" si="276"/>
        <v>8333</v>
      </c>
      <c r="P378" s="1574">
        <f t="shared" si="276"/>
        <v>8333</v>
      </c>
      <c r="Q378" s="1574">
        <f t="shared" si="276"/>
        <v>8333</v>
      </c>
    </row>
    <row r="379" spans="1:17" s="1112" customFormat="1" x14ac:dyDescent="0.2">
      <c r="A379" s="1110"/>
      <c r="B379" s="1111"/>
      <c r="C379" s="1571"/>
      <c r="D379" s="1573"/>
      <c r="E379" s="1582"/>
      <c r="F379" s="1582"/>
      <c r="G379" s="1582"/>
      <c r="H379" s="1582"/>
      <c r="I379" s="1582"/>
      <c r="J379" s="1582"/>
      <c r="K379" s="1582"/>
      <c r="L379" s="1574"/>
      <c r="M379" s="1574"/>
      <c r="N379" s="1574"/>
      <c r="O379" s="1574"/>
      <c r="P379" s="1574"/>
      <c r="Q379" s="1574"/>
    </row>
    <row r="380" spans="1:17" ht="10.5" customHeight="1" x14ac:dyDescent="0.2">
      <c r="A380" s="1581" t="str">
        <f>B85</f>
        <v>Dental</v>
      </c>
      <c r="B380" s="831">
        <v>926</v>
      </c>
      <c r="C380" s="1571">
        <v>95598.89</v>
      </c>
      <c r="D380" s="1216">
        <v>1</v>
      </c>
      <c r="E380" s="1582">
        <f t="shared" ref="E380:E422" si="277">SUM(F380:Q380)</f>
        <v>100615.6</v>
      </c>
      <c r="F380" s="1571">
        <v>7837.42</v>
      </c>
      <c r="G380" s="1571">
        <v>8043.93</v>
      </c>
      <c r="H380" s="1571">
        <v>11988.35</v>
      </c>
      <c r="I380" s="1571">
        <v>7972.49</v>
      </c>
      <c r="J380" s="1571">
        <v>5626.98</v>
      </c>
      <c r="K380" s="1571">
        <v>10648.43</v>
      </c>
      <c r="L380" s="1574">
        <f t="shared" ref="L380:Q382" si="278">L85</f>
        <v>8083</v>
      </c>
      <c r="M380" s="1574">
        <f t="shared" si="278"/>
        <v>8083</v>
      </c>
      <c r="N380" s="1574">
        <f t="shared" si="278"/>
        <v>8083</v>
      </c>
      <c r="O380" s="1574">
        <f t="shared" si="278"/>
        <v>8083</v>
      </c>
      <c r="P380" s="1574">
        <f t="shared" si="278"/>
        <v>8083</v>
      </c>
      <c r="Q380" s="1574">
        <f t="shared" si="278"/>
        <v>8083</v>
      </c>
    </row>
    <row r="381" spans="1:17" x14ac:dyDescent="0.2">
      <c r="A381" s="1581" t="str">
        <f>B86</f>
        <v>Group Life - Active</v>
      </c>
      <c r="B381" s="831">
        <v>926</v>
      </c>
      <c r="C381" s="1571">
        <v>31735.21</v>
      </c>
      <c r="D381" s="1216">
        <v>1</v>
      </c>
      <c r="E381" s="1582">
        <f t="shared" si="277"/>
        <v>45846.87</v>
      </c>
      <c r="F381" s="1571">
        <v>2239.52</v>
      </c>
      <c r="G381" s="1571">
        <v>2336.9899999999998</v>
      </c>
      <c r="H381" s="1571">
        <v>5806.41</v>
      </c>
      <c r="I381" s="1571">
        <v>2324.4299999999998</v>
      </c>
      <c r="J381" s="1571">
        <v>1785.1</v>
      </c>
      <c r="K381" s="1571">
        <v>13852.42</v>
      </c>
      <c r="L381" s="1574">
        <f t="shared" si="278"/>
        <v>2917</v>
      </c>
      <c r="M381" s="1574">
        <f t="shared" si="278"/>
        <v>2917</v>
      </c>
      <c r="N381" s="1574">
        <f t="shared" si="278"/>
        <v>2917</v>
      </c>
      <c r="O381" s="1574">
        <f t="shared" si="278"/>
        <v>2917</v>
      </c>
      <c r="P381" s="1574">
        <f t="shared" si="278"/>
        <v>2917</v>
      </c>
      <c r="Q381" s="1574">
        <f t="shared" si="278"/>
        <v>2917</v>
      </c>
    </row>
    <row r="382" spans="1:17" x14ac:dyDescent="0.2">
      <c r="A382" s="1581" t="str">
        <f>B87</f>
        <v>Long Term Disability</v>
      </c>
      <c r="B382" s="831">
        <v>926</v>
      </c>
      <c r="C382" s="1571">
        <v>73280</v>
      </c>
      <c r="D382" s="1216">
        <v>1</v>
      </c>
      <c r="E382" s="1582">
        <f t="shared" si="277"/>
        <v>83569.399999999994</v>
      </c>
      <c r="F382" s="1571">
        <v>6086.2</v>
      </c>
      <c r="G382" s="1571">
        <v>6086.35</v>
      </c>
      <c r="H382" s="1571">
        <v>6086.42</v>
      </c>
      <c r="I382" s="1571">
        <v>6082.48</v>
      </c>
      <c r="J382" s="1571">
        <v>6079.85</v>
      </c>
      <c r="K382" s="1571">
        <v>8148.1</v>
      </c>
      <c r="L382" s="1574">
        <f t="shared" si="278"/>
        <v>7500</v>
      </c>
      <c r="M382" s="1574">
        <f t="shared" si="278"/>
        <v>7500</v>
      </c>
      <c r="N382" s="1574">
        <f t="shared" si="278"/>
        <v>7500</v>
      </c>
      <c r="O382" s="1574">
        <f t="shared" si="278"/>
        <v>7500</v>
      </c>
      <c r="P382" s="1574">
        <f t="shared" si="278"/>
        <v>7500</v>
      </c>
      <c r="Q382" s="1574">
        <f t="shared" si="278"/>
        <v>7500</v>
      </c>
    </row>
    <row r="383" spans="1:17" x14ac:dyDescent="0.2">
      <c r="A383" s="1581" t="str">
        <f>$B$84</f>
        <v>Medical</v>
      </c>
      <c r="B383" s="831">
        <v>926</v>
      </c>
      <c r="C383" s="1571">
        <f>14839.78+1393229.59-319821.35</f>
        <v>1088248.02</v>
      </c>
      <c r="D383" s="1216">
        <v>1</v>
      </c>
      <c r="E383" s="1582">
        <f t="shared" si="277"/>
        <v>1222480.26</v>
      </c>
      <c r="F383" s="1571">
        <v>56418.41</v>
      </c>
      <c r="G383" s="1571">
        <v>67898.720000000001</v>
      </c>
      <c r="H383" s="1571">
        <v>163858.21</v>
      </c>
      <c r="I383" s="1571">
        <v>84167.22</v>
      </c>
      <c r="J383" s="1571">
        <v>85351.19</v>
      </c>
      <c r="K383" s="1571">
        <v>169924.51</v>
      </c>
      <c r="L383" s="1574">
        <f t="shared" ref="L383:Q383" si="279">L84</f>
        <v>78316</v>
      </c>
      <c r="M383" s="1574">
        <f t="shared" si="279"/>
        <v>89386</v>
      </c>
      <c r="N383" s="1574">
        <f t="shared" si="279"/>
        <v>86403</v>
      </c>
      <c r="O383" s="1574">
        <f t="shared" si="279"/>
        <v>113600</v>
      </c>
      <c r="P383" s="1574">
        <f t="shared" si="279"/>
        <v>120446</v>
      </c>
      <c r="Q383" s="1574">
        <f t="shared" si="279"/>
        <v>106711</v>
      </c>
    </row>
    <row r="384" spans="1:17" x14ac:dyDescent="0.2">
      <c r="A384" s="1581" t="str">
        <f t="shared" ref="A384:A390" si="280">$B$84</f>
        <v>Medical</v>
      </c>
      <c r="B384" s="831">
        <v>875</v>
      </c>
      <c r="C384" s="1571">
        <v>21.72</v>
      </c>
      <c r="D384" s="1216">
        <v>0</v>
      </c>
      <c r="E384" s="1582">
        <f t="shared" si="277"/>
        <v>0</v>
      </c>
      <c r="F384" s="1571">
        <v>0</v>
      </c>
      <c r="G384" s="1571">
        <v>0</v>
      </c>
      <c r="H384" s="1571">
        <v>0</v>
      </c>
      <c r="I384" s="1571">
        <v>0</v>
      </c>
      <c r="J384" s="1571">
        <v>0</v>
      </c>
      <c r="K384" s="1571">
        <v>0</v>
      </c>
      <c r="L384" s="1564">
        <v>0</v>
      </c>
      <c r="M384" s="1564">
        <v>0</v>
      </c>
      <c r="N384" s="1564">
        <v>0</v>
      </c>
      <c r="O384" s="1564">
        <v>0</v>
      </c>
      <c r="P384" s="1564">
        <v>0</v>
      </c>
      <c r="Q384" s="1564">
        <v>0</v>
      </c>
    </row>
    <row r="385" spans="1:17" x14ac:dyDescent="0.2">
      <c r="A385" s="1581" t="str">
        <f t="shared" si="280"/>
        <v>Medical</v>
      </c>
      <c r="B385" s="831">
        <v>876</v>
      </c>
      <c r="C385" s="1571">
        <v>11.11</v>
      </c>
      <c r="D385" s="1216">
        <v>0</v>
      </c>
      <c r="E385" s="1582">
        <f t="shared" si="277"/>
        <v>0</v>
      </c>
      <c r="F385" s="1571">
        <v>0</v>
      </c>
      <c r="G385" s="1571">
        <v>0</v>
      </c>
      <c r="H385" s="1571">
        <v>0</v>
      </c>
      <c r="I385" s="1571">
        <v>0</v>
      </c>
      <c r="J385" s="1571">
        <v>0</v>
      </c>
      <c r="K385" s="1571">
        <v>0</v>
      </c>
      <c r="L385" s="1564">
        <v>0</v>
      </c>
      <c r="M385" s="1564">
        <v>0</v>
      </c>
      <c r="N385" s="1564">
        <v>0</v>
      </c>
      <c r="O385" s="1564">
        <v>0</v>
      </c>
      <c r="P385" s="1564">
        <v>0</v>
      </c>
      <c r="Q385" s="1564">
        <v>0</v>
      </c>
    </row>
    <row r="386" spans="1:17" x14ac:dyDescent="0.2">
      <c r="A386" s="1581" t="str">
        <f t="shared" si="280"/>
        <v>Medical</v>
      </c>
      <c r="B386" s="831">
        <v>880</v>
      </c>
      <c r="C386" s="1571">
        <v>34.56</v>
      </c>
      <c r="D386" s="1216">
        <v>0</v>
      </c>
      <c r="E386" s="1582">
        <f t="shared" si="277"/>
        <v>21.9</v>
      </c>
      <c r="F386" s="1571">
        <v>0</v>
      </c>
      <c r="G386" s="1571">
        <v>0</v>
      </c>
      <c r="H386" s="1571">
        <v>0</v>
      </c>
      <c r="I386" s="1571">
        <v>21.9</v>
      </c>
      <c r="J386" s="1571">
        <v>0</v>
      </c>
      <c r="K386" s="1571">
        <v>0</v>
      </c>
      <c r="L386" s="1564">
        <v>0</v>
      </c>
      <c r="M386" s="1564">
        <v>0</v>
      </c>
      <c r="N386" s="1564">
        <v>0</v>
      </c>
      <c r="O386" s="1564">
        <v>0</v>
      </c>
      <c r="P386" s="1564">
        <v>0</v>
      </c>
      <c r="Q386" s="1564">
        <v>0</v>
      </c>
    </row>
    <row r="387" spans="1:17" x14ac:dyDescent="0.2">
      <c r="A387" s="1581" t="str">
        <f t="shared" si="280"/>
        <v>Medical</v>
      </c>
      <c r="B387" s="831">
        <v>887</v>
      </c>
      <c r="C387" s="1571">
        <v>26.09</v>
      </c>
      <c r="D387" s="1216">
        <v>0</v>
      </c>
      <c r="E387" s="1582">
        <f t="shared" si="277"/>
        <v>0</v>
      </c>
      <c r="F387" s="1571">
        <v>0</v>
      </c>
      <c r="G387" s="1571">
        <v>0</v>
      </c>
      <c r="H387" s="1571">
        <v>0</v>
      </c>
      <c r="I387" s="1571">
        <v>0</v>
      </c>
      <c r="J387" s="1571">
        <v>0</v>
      </c>
      <c r="K387" s="1571">
        <v>0</v>
      </c>
      <c r="L387" s="1564">
        <v>0</v>
      </c>
      <c r="M387" s="1564">
        <v>0</v>
      </c>
      <c r="N387" s="1564">
        <v>0</v>
      </c>
      <c r="O387" s="1564">
        <v>0</v>
      </c>
      <c r="P387" s="1564">
        <v>0</v>
      </c>
      <c r="Q387" s="1564">
        <v>0</v>
      </c>
    </row>
    <row r="388" spans="1:17" x14ac:dyDescent="0.2">
      <c r="A388" s="1581" t="str">
        <f t="shared" si="280"/>
        <v>Medical</v>
      </c>
      <c r="B388" s="831">
        <v>889</v>
      </c>
      <c r="C388" s="1571">
        <v>21.72</v>
      </c>
      <c r="D388" s="1216">
        <v>0</v>
      </c>
      <c r="E388" s="1582">
        <f t="shared" si="277"/>
        <v>0</v>
      </c>
      <c r="F388" s="1571">
        <v>0</v>
      </c>
      <c r="G388" s="1571">
        <v>0</v>
      </c>
      <c r="H388" s="1571">
        <v>0</v>
      </c>
      <c r="I388" s="1571">
        <v>0</v>
      </c>
      <c r="J388" s="1571">
        <v>0</v>
      </c>
      <c r="K388" s="1571">
        <v>0</v>
      </c>
      <c r="L388" s="1564">
        <v>0</v>
      </c>
      <c r="M388" s="1564">
        <v>0</v>
      </c>
      <c r="N388" s="1564">
        <v>0</v>
      </c>
      <c r="O388" s="1564">
        <v>0</v>
      </c>
      <c r="P388" s="1564">
        <v>0</v>
      </c>
      <c r="Q388" s="1564">
        <v>0</v>
      </c>
    </row>
    <row r="389" spans="1:17" x14ac:dyDescent="0.2">
      <c r="A389" s="1581" t="str">
        <f t="shared" si="280"/>
        <v>Medical</v>
      </c>
      <c r="B389" s="831">
        <v>890</v>
      </c>
      <c r="C389" s="1571">
        <v>11.11</v>
      </c>
      <c r="D389" s="1216">
        <v>0</v>
      </c>
      <c r="E389" s="1582">
        <f t="shared" si="277"/>
        <v>0</v>
      </c>
      <c r="F389" s="1571">
        <v>0</v>
      </c>
      <c r="G389" s="1571">
        <v>0</v>
      </c>
      <c r="H389" s="1571">
        <v>0</v>
      </c>
      <c r="I389" s="1571">
        <v>0</v>
      </c>
      <c r="J389" s="1571">
        <v>0</v>
      </c>
      <c r="K389" s="1571">
        <v>0</v>
      </c>
      <c r="L389" s="1564">
        <v>0</v>
      </c>
      <c r="M389" s="1564">
        <v>0</v>
      </c>
      <c r="N389" s="1564">
        <v>0</v>
      </c>
      <c r="O389" s="1564">
        <v>0</v>
      </c>
      <c r="P389" s="1564">
        <v>0</v>
      </c>
      <c r="Q389" s="1564">
        <v>0</v>
      </c>
    </row>
    <row r="390" spans="1:17" x14ac:dyDescent="0.2">
      <c r="A390" s="1581" t="str">
        <f t="shared" si="280"/>
        <v>Medical</v>
      </c>
      <c r="B390" s="831">
        <v>892</v>
      </c>
      <c r="C390" s="1571">
        <v>29.33</v>
      </c>
      <c r="D390" s="1216">
        <v>0</v>
      </c>
      <c r="E390" s="1582">
        <f t="shared" si="277"/>
        <v>29.33</v>
      </c>
      <c r="F390" s="1571"/>
      <c r="G390" s="1571"/>
      <c r="H390" s="1571"/>
      <c r="I390" s="1571">
        <v>29.33</v>
      </c>
      <c r="J390" s="1571">
        <v>0</v>
      </c>
      <c r="K390" s="1571">
        <v>0</v>
      </c>
      <c r="L390" s="1564">
        <v>0</v>
      </c>
      <c r="M390" s="1564">
        <v>0</v>
      </c>
      <c r="N390" s="1564">
        <v>0</v>
      </c>
      <c r="O390" s="1564">
        <v>0</v>
      </c>
      <c r="P390" s="1564">
        <v>0</v>
      </c>
      <c r="Q390" s="1564">
        <v>0</v>
      </c>
    </row>
    <row r="391" spans="1:17" x14ac:dyDescent="0.2">
      <c r="A391" s="1581" t="str">
        <f>$B$93</f>
        <v>OPEB - Life</v>
      </c>
      <c r="B391" s="831">
        <v>926</v>
      </c>
      <c r="C391" s="1571">
        <v>-73314</v>
      </c>
      <c r="D391" s="1216">
        <v>1</v>
      </c>
      <c r="E391" s="1582">
        <f t="shared" si="277"/>
        <v>-75602</v>
      </c>
      <c r="F391" s="1571">
        <v>-6747</v>
      </c>
      <c r="G391" s="1571">
        <v>-6747</v>
      </c>
      <c r="H391" s="1571">
        <v>-6747</v>
      </c>
      <c r="I391" s="1571">
        <v>-6747</v>
      </c>
      <c r="J391" s="1571">
        <v>-3556</v>
      </c>
      <c r="K391" s="1571">
        <v>-3556</v>
      </c>
      <c r="L391" s="1574">
        <f t="shared" ref="L391:Q391" si="281">L93</f>
        <v>-6917</v>
      </c>
      <c r="M391" s="1574">
        <f t="shared" si="281"/>
        <v>-6917</v>
      </c>
      <c r="N391" s="1574">
        <f t="shared" si="281"/>
        <v>-6917</v>
      </c>
      <c r="O391" s="1574">
        <f t="shared" si="281"/>
        <v>-6917</v>
      </c>
      <c r="P391" s="1574">
        <f t="shared" si="281"/>
        <v>-6917</v>
      </c>
      <c r="Q391" s="1574">
        <f t="shared" si="281"/>
        <v>-6917</v>
      </c>
    </row>
    <row r="392" spans="1:17" x14ac:dyDescent="0.2">
      <c r="A392" s="1581" t="str">
        <f>$B$93</f>
        <v>OPEB - Life</v>
      </c>
      <c r="B392" s="831">
        <v>887</v>
      </c>
      <c r="C392" s="1571">
        <v>-3.82</v>
      </c>
      <c r="D392" s="1216">
        <v>0</v>
      </c>
      <c r="E392" s="1582">
        <f t="shared" si="277"/>
        <v>0</v>
      </c>
      <c r="F392" s="1571">
        <v>0</v>
      </c>
      <c r="G392" s="1571">
        <v>0</v>
      </c>
      <c r="H392" s="1571">
        <v>0</v>
      </c>
      <c r="I392" s="1571">
        <v>0</v>
      </c>
      <c r="J392" s="1571">
        <v>0</v>
      </c>
      <c r="K392" s="1571">
        <v>0</v>
      </c>
      <c r="L392" s="1564">
        <v>0</v>
      </c>
      <c r="M392" s="1564">
        <v>0</v>
      </c>
      <c r="N392" s="1564">
        <v>0</v>
      </c>
      <c r="O392" s="1564">
        <v>0</v>
      </c>
      <c r="P392" s="1564">
        <v>0</v>
      </c>
      <c r="Q392" s="1564">
        <v>0</v>
      </c>
    </row>
    <row r="393" spans="1:17" x14ac:dyDescent="0.2">
      <c r="A393" s="1581" t="str">
        <f>$B$93</f>
        <v>OPEB - Life</v>
      </c>
      <c r="B393" s="831">
        <v>892</v>
      </c>
      <c r="C393" s="1571">
        <v>-1.4</v>
      </c>
      <c r="D393" s="1216">
        <v>0</v>
      </c>
      <c r="E393" s="1582">
        <f t="shared" si="277"/>
        <v>-1.4</v>
      </c>
      <c r="F393" s="1571">
        <v>0</v>
      </c>
      <c r="G393" s="1571">
        <v>0</v>
      </c>
      <c r="H393" s="1571">
        <v>0</v>
      </c>
      <c r="I393" s="1571">
        <v>-1.4</v>
      </c>
      <c r="J393" s="1571">
        <v>0</v>
      </c>
      <c r="K393" s="1571">
        <v>0</v>
      </c>
      <c r="L393" s="1564">
        <v>0</v>
      </c>
      <c r="M393" s="1564">
        <v>0</v>
      </c>
      <c r="N393" s="1564">
        <v>0</v>
      </c>
      <c r="O393" s="1564">
        <v>0</v>
      </c>
      <c r="P393" s="1564">
        <v>0</v>
      </c>
      <c r="Q393" s="1564">
        <v>0</v>
      </c>
    </row>
    <row r="394" spans="1:17" x14ac:dyDescent="0.2">
      <c r="A394" s="1581" t="str">
        <f>$B$88</f>
        <v>OPEB - Medical</v>
      </c>
      <c r="B394" s="831">
        <v>926</v>
      </c>
      <c r="C394" s="1571">
        <v>-102040.58</v>
      </c>
      <c r="D394" s="1216">
        <v>1</v>
      </c>
      <c r="E394" s="1582">
        <f t="shared" si="277"/>
        <v>-111323.5</v>
      </c>
      <c r="F394" s="1571">
        <v>-15590.28</v>
      </c>
      <c r="G394" s="1571">
        <v>-9952</v>
      </c>
      <c r="H394" s="1571">
        <v>-12183.46</v>
      </c>
      <c r="I394" s="1571">
        <v>-9952.86</v>
      </c>
      <c r="J394" s="1571">
        <v>-4593</v>
      </c>
      <c r="K394" s="1571">
        <v>-7049.9</v>
      </c>
      <c r="L394" s="1574">
        <f t="shared" ref="L394:Q394" si="282">L88</f>
        <v>-8667</v>
      </c>
      <c r="M394" s="1574">
        <f t="shared" si="282"/>
        <v>-8667</v>
      </c>
      <c r="N394" s="1574">
        <f t="shared" si="282"/>
        <v>-8667</v>
      </c>
      <c r="O394" s="1574">
        <f t="shared" si="282"/>
        <v>-8667</v>
      </c>
      <c r="P394" s="1574">
        <f t="shared" si="282"/>
        <v>-8667</v>
      </c>
      <c r="Q394" s="1574">
        <f t="shared" si="282"/>
        <v>-8667</v>
      </c>
    </row>
    <row r="395" spans="1:17" x14ac:dyDescent="0.2">
      <c r="A395" s="1581" t="str">
        <f>$B$88</f>
        <v>OPEB - Medical</v>
      </c>
      <c r="B395" s="831">
        <v>880</v>
      </c>
      <c r="C395" s="1571">
        <v>-0.12</v>
      </c>
      <c r="D395" s="1216">
        <v>0</v>
      </c>
      <c r="E395" s="1582">
        <f t="shared" si="277"/>
        <v>0.44</v>
      </c>
      <c r="F395" s="1571">
        <v>0</v>
      </c>
      <c r="G395" s="1571">
        <v>0</v>
      </c>
      <c r="H395" s="1571">
        <v>0</v>
      </c>
      <c r="I395" s="1571">
        <v>0.44</v>
      </c>
      <c r="J395" s="1571">
        <v>0</v>
      </c>
      <c r="K395" s="1571">
        <v>0</v>
      </c>
      <c r="L395" s="1564">
        <v>0</v>
      </c>
      <c r="M395" s="1564">
        <v>0</v>
      </c>
      <c r="N395" s="1564">
        <v>0</v>
      </c>
      <c r="O395" s="1564">
        <v>0</v>
      </c>
      <c r="P395" s="1564">
        <v>0</v>
      </c>
      <c r="Q395" s="1564">
        <v>0</v>
      </c>
    </row>
    <row r="396" spans="1:17" x14ac:dyDescent="0.2">
      <c r="A396" s="1581" t="str">
        <f>$B$88</f>
        <v>OPEB - Medical</v>
      </c>
      <c r="B396" s="831">
        <v>887</v>
      </c>
      <c r="C396" s="1571">
        <v>-4.2699999999999996</v>
      </c>
      <c r="D396" s="1216">
        <v>0</v>
      </c>
      <c r="E396" s="1582">
        <f t="shared" si="277"/>
        <v>0</v>
      </c>
      <c r="F396" s="1571">
        <v>0</v>
      </c>
      <c r="G396" s="1571">
        <v>0</v>
      </c>
      <c r="H396" s="1571">
        <v>0</v>
      </c>
      <c r="I396" s="1571">
        <v>0</v>
      </c>
      <c r="J396" s="1571">
        <v>0</v>
      </c>
      <c r="K396" s="1571">
        <v>0</v>
      </c>
      <c r="L396" s="1564">
        <v>0</v>
      </c>
      <c r="M396" s="1564">
        <v>0</v>
      </c>
      <c r="N396" s="1564">
        <v>0</v>
      </c>
      <c r="O396" s="1564">
        <v>0</v>
      </c>
      <c r="P396" s="1564">
        <v>0</v>
      </c>
      <c r="Q396" s="1564">
        <v>0</v>
      </c>
    </row>
    <row r="397" spans="1:17" x14ac:dyDescent="0.2">
      <c r="A397" s="1581" t="str">
        <f>$B$88</f>
        <v>OPEB - Medical</v>
      </c>
      <c r="B397" s="831">
        <v>892</v>
      </c>
      <c r="C397" s="1571">
        <v>-1.3</v>
      </c>
      <c r="D397" s="1216">
        <v>0</v>
      </c>
      <c r="E397" s="1582">
        <f t="shared" si="277"/>
        <v>-1.3</v>
      </c>
      <c r="F397" s="1571"/>
      <c r="G397" s="1571"/>
      <c r="H397" s="1571"/>
      <c r="I397" s="1571">
        <v>-1.3</v>
      </c>
      <c r="J397" s="1571">
        <v>0</v>
      </c>
      <c r="K397" s="1571">
        <v>0</v>
      </c>
      <c r="L397" s="1564">
        <v>0</v>
      </c>
      <c r="M397" s="1564">
        <v>0</v>
      </c>
      <c r="N397" s="1564">
        <v>0</v>
      </c>
      <c r="O397" s="1564">
        <v>0</v>
      </c>
      <c r="P397" s="1564">
        <v>0</v>
      </c>
      <c r="Q397" s="1564">
        <v>0</v>
      </c>
    </row>
    <row r="398" spans="1:17" x14ac:dyDescent="0.2">
      <c r="A398" s="1581" t="str">
        <f>$B$89</f>
        <v>Other Benefits</v>
      </c>
      <c r="B398" s="831">
        <v>926</v>
      </c>
      <c r="C398" s="1571">
        <f>478570.44+4460.55+20083.29+20125+349257.67</f>
        <v>872496.95</v>
      </c>
      <c r="D398" s="1216">
        <v>1</v>
      </c>
      <c r="E398" s="1582">
        <f t="shared" si="277"/>
        <v>493185.3</v>
      </c>
      <c r="F398" s="1571">
        <v>78683.199999999997</v>
      </c>
      <c r="G398" s="1571">
        <v>76083.25</v>
      </c>
      <c r="H398" s="1571">
        <v>94991.47</v>
      </c>
      <c r="I398" s="1571">
        <v>83525.149999999994</v>
      </c>
      <c r="J398" s="1571">
        <v>57393.19</v>
      </c>
      <c r="K398" s="1571">
        <v>91505.04</v>
      </c>
      <c r="L398" s="1574">
        <f t="shared" ref="L398:Q398" si="283">L89</f>
        <v>1834</v>
      </c>
      <c r="M398" s="1574">
        <f t="shared" si="283"/>
        <v>1834</v>
      </c>
      <c r="N398" s="1574">
        <f t="shared" si="283"/>
        <v>1834</v>
      </c>
      <c r="O398" s="1574">
        <f t="shared" si="283"/>
        <v>1834</v>
      </c>
      <c r="P398" s="1574">
        <f t="shared" si="283"/>
        <v>1834</v>
      </c>
      <c r="Q398" s="1574">
        <f t="shared" si="283"/>
        <v>1834</v>
      </c>
    </row>
    <row r="399" spans="1:17" x14ac:dyDescent="0.2">
      <c r="A399" s="1581" t="str">
        <f>$B$89</f>
        <v>Other Benefits</v>
      </c>
      <c r="B399" s="831">
        <v>880</v>
      </c>
      <c r="C399" s="1571">
        <v>7.92</v>
      </c>
      <c r="D399" s="1216">
        <v>0</v>
      </c>
      <c r="E399" s="1582">
        <f t="shared" si="277"/>
        <v>4.5199999999999996</v>
      </c>
      <c r="F399" s="1571">
        <v>0</v>
      </c>
      <c r="G399" s="1571">
        <v>0</v>
      </c>
      <c r="H399" s="1571">
        <v>0</v>
      </c>
      <c r="I399" s="1571">
        <v>4.5199999999999996</v>
      </c>
      <c r="J399" s="1571">
        <v>0</v>
      </c>
      <c r="K399" s="1571">
        <v>0</v>
      </c>
      <c r="L399" s="1564">
        <v>0</v>
      </c>
      <c r="M399" s="1564">
        <v>0</v>
      </c>
      <c r="N399" s="1564">
        <v>0</v>
      </c>
      <c r="O399" s="1564">
        <v>0</v>
      </c>
      <c r="P399" s="1564">
        <v>0</v>
      </c>
      <c r="Q399" s="1564">
        <v>0</v>
      </c>
    </row>
    <row r="400" spans="1:17" x14ac:dyDescent="0.2">
      <c r="A400" s="1581" t="str">
        <f>$B$89</f>
        <v>Other Benefits</v>
      </c>
      <c r="B400" s="831">
        <v>887</v>
      </c>
      <c r="C400" s="1571">
        <v>21.24</v>
      </c>
      <c r="D400" s="1216">
        <v>0</v>
      </c>
      <c r="E400" s="1582">
        <f t="shared" si="277"/>
        <v>0</v>
      </c>
      <c r="F400" s="1571">
        <v>0</v>
      </c>
      <c r="G400" s="1571">
        <v>0</v>
      </c>
      <c r="H400" s="1571">
        <v>0</v>
      </c>
      <c r="I400" s="1571">
        <v>0</v>
      </c>
      <c r="J400" s="1571">
        <v>0</v>
      </c>
      <c r="K400" s="1571">
        <v>0</v>
      </c>
      <c r="L400" s="1564">
        <v>0</v>
      </c>
      <c r="M400" s="1564">
        <v>0</v>
      </c>
      <c r="N400" s="1564">
        <v>0</v>
      </c>
      <c r="O400" s="1564">
        <v>0</v>
      </c>
      <c r="P400" s="1564">
        <v>0</v>
      </c>
      <c r="Q400" s="1564">
        <v>0</v>
      </c>
    </row>
    <row r="401" spans="1:17" x14ac:dyDescent="0.2">
      <c r="A401" s="1581" t="str">
        <f>$B$89</f>
        <v>Other Benefits</v>
      </c>
      <c r="B401" s="831">
        <v>892</v>
      </c>
      <c r="C401" s="1571">
        <v>7.89</v>
      </c>
      <c r="D401" s="1216">
        <v>0</v>
      </c>
      <c r="E401" s="1582">
        <f t="shared" si="277"/>
        <v>7.89</v>
      </c>
      <c r="F401" s="1571">
        <v>0</v>
      </c>
      <c r="G401" s="1571">
        <v>0</v>
      </c>
      <c r="H401" s="1571">
        <v>0</v>
      </c>
      <c r="I401" s="1571">
        <v>7.89</v>
      </c>
      <c r="J401" s="1571">
        <v>0</v>
      </c>
      <c r="K401" s="1571">
        <v>0</v>
      </c>
      <c r="L401" s="1564">
        <v>0</v>
      </c>
      <c r="M401" s="1564">
        <v>0</v>
      </c>
      <c r="N401" s="1564">
        <v>0</v>
      </c>
      <c r="O401" s="1564">
        <v>0</v>
      </c>
      <c r="P401" s="1564">
        <v>0</v>
      </c>
      <c r="Q401" s="1564">
        <v>0</v>
      </c>
    </row>
    <row r="402" spans="1:17" x14ac:dyDescent="0.2">
      <c r="A402" s="1581" t="str">
        <f>$B$83</f>
        <v>Pension</v>
      </c>
      <c r="B402" s="831">
        <v>926</v>
      </c>
      <c r="C402" s="1571">
        <f>166518+5718</f>
        <v>172236</v>
      </c>
      <c r="D402" s="1216">
        <v>1</v>
      </c>
      <c r="E402" s="1582">
        <f t="shared" si="277"/>
        <v>337014.87</v>
      </c>
      <c r="F402" s="1571">
        <v>21993</v>
      </c>
      <c r="G402" s="1571">
        <v>21993</v>
      </c>
      <c r="H402" s="1571">
        <v>21993</v>
      </c>
      <c r="I402" s="1571">
        <v>21933.87</v>
      </c>
      <c r="J402" s="1571">
        <v>46302</v>
      </c>
      <c r="K402" s="1571">
        <v>46302</v>
      </c>
      <c r="L402" s="1574">
        <f t="shared" ref="L402:Q402" si="284">L83</f>
        <v>26083</v>
      </c>
      <c r="M402" s="1574">
        <f t="shared" si="284"/>
        <v>26083</v>
      </c>
      <c r="N402" s="1574">
        <f t="shared" si="284"/>
        <v>26083</v>
      </c>
      <c r="O402" s="1574">
        <f t="shared" si="284"/>
        <v>26083</v>
      </c>
      <c r="P402" s="1574">
        <f t="shared" si="284"/>
        <v>26083</v>
      </c>
      <c r="Q402" s="1574">
        <f t="shared" si="284"/>
        <v>26083</v>
      </c>
    </row>
    <row r="403" spans="1:17" x14ac:dyDescent="0.2">
      <c r="A403" s="1581" t="str">
        <f>$B$83</f>
        <v>Pension</v>
      </c>
      <c r="B403" s="831">
        <v>880</v>
      </c>
      <c r="C403" s="1571">
        <v>0.38</v>
      </c>
      <c r="D403" s="1216">
        <v>0</v>
      </c>
      <c r="E403" s="1582">
        <f t="shared" si="277"/>
        <v>0</v>
      </c>
      <c r="F403" s="1571">
        <v>0</v>
      </c>
      <c r="G403" s="1571">
        <v>0</v>
      </c>
      <c r="H403" s="1571">
        <v>0</v>
      </c>
      <c r="I403" s="1571">
        <v>0</v>
      </c>
      <c r="J403" s="1571">
        <v>0</v>
      </c>
      <c r="K403" s="1571">
        <v>0</v>
      </c>
      <c r="L403" s="1564">
        <v>0</v>
      </c>
      <c r="M403" s="1564">
        <v>0</v>
      </c>
      <c r="N403" s="1564">
        <v>0</v>
      </c>
      <c r="O403" s="1564">
        <v>0</v>
      </c>
      <c r="P403" s="1564">
        <v>0</v>
      </c>
      <c r="Q403" s="1564">
        <v>0</v>
      </c>
    </row>
    <row r="404" spans="1:17" x14ac:dyDescent="0.2">
      <c r="A404" s="1581" t="str">
        <f>$B$83</f>
        <v>Pension</v>
      </c>
      <c r="B404" s="831">
        <v>887</v>
      </c>
      <c r="C404" s="1571">
        <v>2.4700000000000002</v>
      </c>
      <c r="D404" s="1216">
        <v>0</v>
      </c>
      <c r="E404" s="1582">
        <f t="shared" si="277"/>
        <v>0</v>
      </c>
      <c r="F404" s="1571">
        <v>0</v>
      </c>
      <c r="G404" s="1571">
        <v>0</v>
      </c>
      <c r="H404" s="1571">
        <v>0</v>
      </c>
      <c r="I404" s="1571">
        <v>0</v>
      </c>
      <c r="J404" s="1571">
        <v>0</v>
      </c>
      <c r="K404" s="1571">
        <v>0</v>
      </c>
      <c r="L404" s="1564">
        <v>0</v>
      </c>
      <c r="M404" s="1564">
        <v>0</v>
      </c>
      <c r="N404" s="1564">
        <v>0</v>
      </c>
      <c r="O404" s="1564">
        <v>0</v>
      </c>
      <c r="P404" s="1564">
        <v>0</v>
      </c>
      <c r="Q404" s="1564">
        <v>0</v>
      </c>
    </row>
    <row r="405" spans="1:17" x14ac:dyDescent="0.2">
      <c r="A405" s="1581" t="str">
        <f>$B$83</f>
        <v>Pension</v>
      </c>
      <c r="B405" s="831">
        <v>892</v>
      </c>
      <c r="C405" s="1571">
        <v>0.87</v>
      </c>
      <c r="D405" s="1216">
        <v>0</v>
      </c>
      <c r="E405" s="1582">
        <f t="shared" si="277"/>
        <v>0.87</v>
      </c>
      <c r="F405" s="1571">
        <v>0</v>
      </c>
      <c r="G405" s="1571">
        <v>0</v>
      </c>
      <c r="H405" s="1571">
        <v>0</v>
      </c>
      <c r="I405" s="1571">
        <v>0.87</v>
      </c>
      <c r="J405" s="1571">
        <v>0</v>
      </c>
      <c r="K405" s="1571">
        <v>0</v>
      </c>
      <c r="L405" s="1564">
        <v>0</v>
      </c>
      <c r="M405" s="1564">
        <v>0</v>
      </c>
      <c r="N405" s="1564">
        <v>0</v>
      </c>
      <c r="O405" s="1564">
        <v>0</v>
      </c>
      <c r="P405" s="1564">
        <v>0</v>
      </c>
      <c r="Q405" s="1564">
        <v>0</v>
      </c>
    </row>
    <row r="406" spans="1:17" x14ac:dyDescent="0.2">
      <c r="A406" s="1581" t="str">
        <f>B90</f>
        <v>Post Empl Benefits (FAS112)</v>
      </c>
      <c r="B406" s="831">
        <v>926</v>
      </c>
      <c r="C406" s="1571">
        <v>-105144</v>
      </c>
      <c r="D406" s="1216">
        <v>1</v>
      </c>
      <c r="E406" s="1582">
        <f t="shared" si="277"/>
        <v>-105144</v>
      </c>
      <c r="F406" s="1571">
        <v>0</v>
      </c>
      <c r="G406" s="1571">
        <v>0</v>
      </c>
      <c r="H406" s="1571">
        <v>-105144</v>
      </c>
      <c r="I406" s="1571">
        <v>0</v>
      </c>
      <c r="J406" s="1571">
        <v>0</v>
      </c>
      <c r="K406" s="1571">
        <v>0</v>
      </c>
      <c r="L406" s="1574">
        <f t="shared" ref="L406:Q408" si="285">L90</f>
        <v>0</v>
      </c>
      <c r="M406" s="1574">
        <f t="shared" si="285"/>
        <v>0</v>
      </c>
      <c r="N406" s="1574">
        <f t="shared" si="285"/>
        <v>0</v>
      </c>
      <c r="O406" s="1574">
        <f t="shared" si="285"/>
        <v>0</v>
      </c>
      <c r="P406" s="1574">
        <f t="shared" si="285"/>
        <v>0</v>
      </c>
      <c r="Q406" s="1574">
        <f t="shared" si="285"/>
        <v>0</v>
      </c>
    </row>
    <row r="407" spans="1:17" x14ac:dyDescent="0.2">
      <c r="A407" s="1581" t="str">
        <f>B91</f>
        <v>Post Empl Ret Benefit (FAS106)</v>
      </c>
      <c r="B407" s="831">
        <v>926</v>
      </c>
      <c r="C407" s="1571">
        <v>0</v>
      </c>
      <c r="D407" s="1216">
        <v>1</v>
      </c>
      <c r="E407" s="1582">
        <f t="shared" si="277"/>
        <v>0</v>
      </c>
      <c r="F407" s="1571">
        <v>0</v>
      </c>
      <c r="G407" s="1571">
        <v>0</v>
      </c>
      <c r="H407" s="1571">
        <v>0</v>
      </c>
      <c r="I407" s="1571">
        <v>0</v>
      </c>
      <c r="J407" s="1571">
        <v>0</v>
      </c>
      <c r="K407" s="1571">
        <v>0</v>
      </c>
      <c r="L407" s="1574">
        <f t="shared" si="285"/>
        <v>0</v>
      </c>
      <c r="M407" s="1574">
        <f t="shared" si="285"/>
        <v>0</v>
      </c>
      <c r="N407" s="1574">
        <f t="shared" si="285"/>
        <v>0</v>
      </c>
      <c r="O407" s="1574">
        <f t="shared" si="285"/>
        <v>0</v>
      </c>
      <c r="P407" s="1574">
        <f t="shared" si="285"/>
        <v>0</v>
      </c>
      <c r="Q407" s="1574">
        <f t="shared" si="285"/>
        <v>0</v>
      </c>
    </row>
    <row r="408" spans="1:17" x14ac:dyDescent="0.2">
      <c r="A408" s="1581" t="str">
        <f>B92</f>
        <v>Profit Sharing</v>
      </c>
      <c r="B408" s="831">
        <v>926</v>
      </c>
      <c r="C408" s="1571">
        <v>71861.41</v>
      </c>
      <c r="D408" s="1216">
        <v>1</v>
      </c>
      <c r="E408" s="1582">
        <f t="shared" si="277"/>
        <v>74184</v>
      </c>
      <c r="F408" s="1571">
        <v>6274</v>
      </c>
      <c r="G408" s="1571">
        <v>6274</v>
      </c>
      <c r="H408" s="1571">
        <v>6274</v>
      </c>
      <c r="I408" s="1571">
        <f>6260</f>
        <v>6260</v>
      </c>
      <c r="J408" s="1571">
        <v>6365</v>
      </c>
      <c r="K408" s="1571">
        <v>6365</v>
      </c>
      <c r="L408" s="1574">
        <f t="shared" si="285"/>
        <v>6062</v>
      </c>
      <c r="M408" s="1574">
        <f t="shared" si="285"/>
        <v>6062</v>
      </c>
      <c r="N408" s="1574">
        <f t="shared" si="285"/>
        <v>6062</v>
      </c>
      <c r="O408" s="1574">
        <f t="shared" si="285"/>
        <v>6062</v>
      </c>
      <c r="P408" s="1574">
        <f t="shared" si="285"/>
        <v>6062</v>
      </c>
      <c r="Q408" s="1574">
        <f t="shared" si="285"/>
        <v>6062</v>
      </c>
    </row>
    <row r="409" spans="1:17" x14ac:dyDescent="0.2">
      <c r="A409" s="1581" t="str">
        <f t="shared" ref="A409:A414" si="286">B94</f>
        <v>Thrift Plan - Employee / 401K</v>
      </c>
      <c r="B409" s="831">
        <v>926</v>
      </c>
      <c r="C409" s="1571">
        <v>2778.89</v>
      </c>
      <c r="D409" s="1216">
        <v>1</v>
      </c>
      <c r="E409" s="1582">
        <f t="shared" si="277"/>
        <v>283563.33</v>
      </c>
      <c r="F409" s="1571">
        <v>0</v>
      </c>
      <c r="G409" s="1571">
        <v>706.11</v>
      </c>
      <c r="H409" s="1571">
        <v>0</v>
      </c>
      <c r="I409" s="1571">
        <v>0</v>
      </c>
      <c r="J409" s="1571">
        <v>737.22</v>
      </c>
      <c r="K409" s="1571">
        <v>0</v>
      </c>
      <c r="L409" s="1574">
        <f t="shared" ref="L409:Q409" si="287">L94</f>
        <v>47020</v>
      </c>
      <c r="M409" s="1574">
        <f t="shared" si="287"/>
        <v>47020</v>
      </c>
      <c r="N409" s="1574">
        <f t="shared" si="287"/>
        <v>47020</v>
      </c>
      <c r="O409" s="1574">
        <f t="shared" si="287"/>
        <v>47020</v>
      </c>
      <c r="P409" s="1574">
        <f t="shared" si="287"/>
        <v>47020</v>
      </c>
      <c r="Q409" s="1574">
        <f t="shared" si="287"/>
        <v>47020</v>
      </c>
    </row>
    <row r="410" spans="1:17" x14ac:dyDescent="0.2">
      <c r="A410" s="1581" t="str">
        <f t="shared" si="286"/>
        <v>Trans-Employee Med Health Ins</v>
      </c>
      <c r="B410" s="831">
        <v>926</v>
      </c>
      <c r="C410" s="1571">
        <v>-490145.45</v>
      </c>
      <c r="D410" s="1216">
        <v>1</v>
      </c>
      <c r="E410" s="1582">
        <f t="shared" si="277"/>
        <v>-530802.89</v>
      </c>
      <c r="F410" s="1571">
        <v>-37787.410000000003</v>
      </c>
      <c r="G410" s="1571">
        <v>-41951.92</v>
      </c>
      <c r="H410" s="1571">
        <v>-39269.32</v>
      </c>
      <c r="I410" s="1571">
        <v>-42200.99</v>
      </c>
      <c r="J410" s="1571">
        <v>-39414.81</v>
      </c>
      <c r="K410" s="1571">
        <v>-84438.44</v>
      </c>
      <c r="L410" s="1574">
        <f t="shared" ref="L410:Q410" si="288">L95</f>
        <v>-33817</v>
      </c>
      <c r="M410" s="1574">
        <f t="shared" si="288"/>
        <v>-37612</v>
      </c>
      <c r="N410" s="1574">
        <f t="shared" si="288"/>
        <v>-36589</v>
      </c>
      <c r="O410" s="1574">
        <f t="shared" si="288"/>
        <v>-45912</v>
      </c>
      <c r="P410" s="1574">
        <f t="shared" si="288"/>
        <v>-48259</v>
      </c>
      <c r="Q410" s="1574">
        <f t="shared" si="288"/>
        <v>-43551</v>
      </c>
    </row>
    <row r="411" spans="1:17" x14ac:dyDescent="0.2">
      <c r="A411" s="1581" t="str">
        <f t="shared" si="286"/>
        <v>Trans- OPEB Medical</v>
      </c>
      <c r="B411" s="831">
        <v>926</v>
      </c>
      <c r="C411" s="1571">
        <v>0</v>
      </c>
      <c r="D411" s="1216">
        <v>1</v>
      </c>
      <c r="E411" s="1582">
        <f t="shared" si="277"/>
        <v>17826</v>
      </c>
      <c r="F411" s="1571">
        <v>0</v>
      </c>
      <c r="G411" s="1571">
        <v>0</v>
      </c>
      <c r="H411" s="1571">
        <v>0</v>
      </c>
      <c r="I411" s="1571">
        <v>0</v>
      </c>
      <c r="J411" s="1571">
        <v>0</v>
      </c>
      <c r="K411" s="1571">
        <v>0</v>
      </c>
      <c r="L411" s="1574">
        <f t="shared" ref="L411:Q414" si="289">L96</f>
        <v>2971</v>
      </c>
      <c r="M411" s="1574">
        <f t="shared" si="289"/>
        <v>2971</v>
      </c>
      <c r="N411" s="1574">
        <f t="shared" si="289"/>
        <v>2971</v>
      </c>
      <c r="O411" s="1574">
        <f t="shared" si="289"/>
        <v>2971</v>
      </c>
      <c r="P411" s="1574">
        <f t="shared" si="289"/>
        <v>2971</v>
      </c>
      <c r="Q411" s="1574">
        <f t="shared" si="289"/>
        <v>2971</v>
      </c>
    </row>
    <row r="412" spans="1:17" x14ac:dyDescent="0.2">
      <c r="A412" s="1581" t="str">
        <f t="shared" si="286"/>
        <v>Trans- OPEB Life</v>
      </c>
      <c r="B412" s="831">
        <v>926</v>
      </c>
      <c r="C412" s="1571">
        <v>0</v>
      </c>
      <c r="D412" s="1216">
        <v>1</v>
      </c>
      <c r="E412" s="1582">
        <f t="shared" si="277"/>
        <v>14226</v>
      </c>
      <c r="F412" s="1571">
        <v>0</v>
      </c>
      <c r="G412" s="1571">
        <v>0</v>
      </c>
      <c r="H412" s="1571">
        <v>0</v>
      </c>
      <c r="I412" s="1571">
        <v>0</v>
      </c>
      <c r="J412" s="1571">
        <v>0</v>
      </c>
      <c r="K412" s="1571">
        <v>0</v>
      </c>
      <c r="L412" s="1574">
        <f t="shared" si="289"/>
        <v>2371</v>
      </c>
      <c r="M412" s="1574">
        <f t="shared" si="289"/>
        <v>2371</v>
      </c>
      <c r="N412" s="1574">
        <f t="shared" si="289"/>
        <v>2371</v>
      </c>
      <c r="O412" s="1574">
        <f t="shared" si="289"/>
        <v>2371</v>
      </c>
      <c r="P412" s="1574">
        <f t="shared" si="289"/>
        <v>2371</v>
      </c>
      <c r="Q412" s="1574">
        <f t="shared" si="289"/>
        <v>2371</v>
      </c>
    </row>
    <row r="413" spans="1:17" x14ac:dyDescent="0.2">
      <c r="A413" s="1581" t="str">
        <f t="shared" si="286"/>
        <v>Trans-Pension (Qualified)</v>
      </c>
      <c r="B413" s="831">
        <v>926</v>
      </c>
      <c r="C413" s="1571">
        <v>-62437.86</v>
      </c>
      <c r="D413" s="1216">
        <v>1</v>
      </c>
      <c r="E413" s="1582">
        <f t="shared" si="277"/>
        <v>-118715.37</v>
      </c>
      <c r="F413" s="1571">
        <v>-9005.4</v>
      </c>
      <c r="G413" s="1571">
        <v>-8569.36</v>
      </c>
      <c r="H413" s="1571">
        <v>-8117.27</v>
      </c>
      <c r="I413" s="1571">
        <v>-7714.51</v>
      </c>
      <c r="J413" s="1571">
        <v>-15873.77</v>
      </c>
      <c r="K413" s="1571">
        <v>-15789.06</v>
      </c>
      <c r="L413" s="1574">
        <f t="shared" si="289"/>
        <v>-8941</v>
      </c>
      <c r="M413" s="1574">
        <f t="shared" si="289"/>
        <v>-8941</v>
      </c>
      <c r="N413" s="1574">
        <f t="shared" si="289"/>
        <v>-8941</v>
      </c>
      <c r="O413" s="1574">
        <f t="shared" si="289"/>
        <v>-8941</v>
      </c>
      <c r="P413" s="1574">
        <f t="shared" si="289"/>
        <v>-8941</v>
      </c>
      <c r="Q413" s="1574">
        <f t="shared" si="289"/>
        <v>-8941</v>
      </c>
    </row>
    <row r="414" spans="1:17" x14ac:dyDescent="0.2">
      <c r="A414" s="1581" t="str">
        <f t="shared" si="286"/>
        <v>Trans-401K Plan</v>
      </c>
      <c r="B414" s="831">
        <v>926</v>
      </c>
      <c r="C414" s="1571">
        <v>-168044.24</v>
      </c>
      <c r="D414" s="1216">
        <v>1</v>
      </c>
      <c r="E414" s="1582">
        <f>SUM(F414:Q414)</f>
        <v>-191282.45</v>
      </c>
      <c r="F414" s="1571">
        <v>-15906.22</v>
      </c>
      <c r="G414" s="1571">
        <v>-15626.17</v>
      </c>
      <c r="H414" s="1571">
        <v>-20474.91</v>
      </c>
      <c r="I414" s="1571">
        <v>-18094.419999999998</v>
      </c>
      <c r="J414" s="1571">
        <v>-10231.42</v>
      </c>
      <c r="K414" s="1571">
        <v>-14241.31</v>
      </c>
      <c r="L414" s="1574">
        <f t="shared" si="289"/>
        <v>-16118</v>
      </c>
      <c r="M414" s="1574">
        <f t="shared" si="289"/>
        <v>-16118</v>
      </c>
      <c r="N414" s="1574">
        <f t="shared" si="289"/>
        <v>-16118</v>
      </c>
      <c r="O414" s="1574">
        <f t="shared" si="289"/>
        <v>-16118</v>
      </c>
      <c r="P414" s="1574">
        <f t="shared" si="289"/>
        <v>-16118</v>
      </c>
      <c r="Q414" s="1574">
        <f t="shared" si="289"/>
        <v>-16118</v>
      </c>
    </row>
    <row r="415" spans="1:17" s="1112" customFormat="1" x14ac:dyDescent="0.2">
      <c r="A415" s="1581"/>
      <c r="B415" s="1110"/>
      <c r="C415" s="1571"/>
      <c r="D415" s="1573"/>
      <c r="E415" s="1571"/>
      <c r="F415" s="1571"/>
      <c r="G415" s="1571"/>
      <c r="H415" s="1571"/>
      <c r="I415" s="1571"/>
      <c r="J415" s="1571"/>
      <c r="K415" s="1571"/>
      <c r="L415" s="1574"/>
      <c r="M415" s="1574"/>
      <c r="N415" s="1574"/>
      <c r="O415" s="1574"/>
      <c r="P415" s="1574"/>
      <c r="Q415" s="1574"/>
    </row>
    <row r="416" spans="1:17" x14ac:dyDescent="0.2">
      <c r="A416" s="1110" t="str">
        <f>B$107</f>
        <v>Advertising</v>
      </c>
      <c r="B416" s="832">
        <v>874</v>
      </c>
      <c r="C416" s="1571">
        <v>5210.2299999999996</v>
      </c>
      <c r="D416" s="1216">
        <f t="shared" ref="D416:D422" si="290">ROUND(C416/$C$423,6)</f>
        <v>7.4182999999999999E-2</v>
      </c>
      <c r="E416" s="1582">
        <f t="shared" si="277"/>
        <v>7250.23</v>
      </c>
      <c r="F416" s="1571">
        <v>0</v>
      </c>
      <c r="G416" s="1571">
        <v>0</v>
      </c>
      <c r="H416" s="1571">
        <v>0</v>
      </c>
      <c r="I416" s="1571">
        <v>5210.2299999999996</v>
      </c>
      <c r="J416" s="1571">
        <v>0</v>
      </c>
      <c r="K416" s="1571">
        <v>0</v>
      </c>
      <c r="L416" s="1574">
        <f t="shared" ref="L416:L421" si="291">ROUND(D416*$L$423,0)</f>
        <v>525</v>
      </c>
      <c r="M416" s="1574">
        <f t="shared" ref="M416:M421" si="292">ROUND(D416*$M$423,0)</f>
        <v>155</v>
      </c>
      <c r="N416" s="1574">
        <f t="shared" ref="N416:N421" si="293">ROUND(D416*$N$423,0)</f>
        <v>155</v>
      </c>
      <c r="O416" s="1574">
        <f t="shared" ref="O416:O421" si="294">ROUND(D416*$O$423,0)</f>
        <v>155</v>
      </c>
      <c r="P416" s="1574">
        <f t="shared" ref="P416:P421" si="295">ROUND(D416*$P$423,0)</f>
        <v>525</v>
      </c>
      <c r="Q416" s="1574">
        <f t="shared" ref="Q416:Q421" si="296">ROUND(D416*$Q$423,0)</f>
        <v>525</v>
      </c>
    </row>
    <row r="417" spans="1:17" x14ac:dyDescent="0.2">
      <c r="A417" s="1110" t="str">
        <f t="shared" ref="A417:A422" si="297">B$107</f>
        <v>Advertising</v>
      </c>
      <c r="B417" s="832">
        <v>880</v>
      </c>
      <c r="C417" s="1571">
        <v>913.25</v>
      </c>
      <c r="D417" s="1216">
        <f t="shared" si="290"/>
        <v>1.3003000000000001E-2</v>
      </c>
      <c r="E417" s="1582">
        <f t="shared" si="277"/>
        <v>357</v>
      </c>
      <c r="F417" s="1571">
        <v>0</v>
      </c>
      <c r="G417" s="1571">
        <v>0</v>
      </c>
      <c r="H417" s="1571">
        <v>0</v>
      </c>
      <c r="I417" s="1571">
        <v>0</v>
      </c>
      <c r="J417" s="1571">
        <v>0</v>
      </c>
      <c r="K417" s="1571">
        <v>0</v>
      </c>
      <c r="L417" s="1574">
        <f t="shared" si="291"/>
        <v>92</v>
      </c>
      <c r="M417" s="1574">
        <f t="shared" si="292"/>
        <v>27</v>
      </c>
      <c r="N417" s="1574">
        <f t="shared" si="293"/>
        <v>27</v>
      </c>
      <c r="O417" s="1574">
        <f t="shared" si="294"/>
        <v>27</v>
      </c>
      <c r="P417" s="1574">
        <f t="shared" si="295"/>
        <v>92</v>
      </c>
      <c r="Q417" s="1574">
        <f t="shared" si="296"/>
        <v>92</v>
      </c>
    </row>
    <row r="418" spans="1:17" x14ac:dyDescent="0.2">
      <c r="A418" s="1110" t="str">
        <f t="shared" si="297"/>
        <v>Advertising</v>
      </c>
      <c r="B418" s="832">
        <v>887</v>
      </c>
      <c r="C418" s="1571">
        <v>642.35</v>
      </c>
      <c r="D418" s="1216">
        <f t="shared" si="290"/>
        <v>9.1459999999999996E-3</v>
      </c>
      <c r="E418" s="1582">
        <f t="shared" si="277"/>
        <v>894.35</v>
      </c>
      <c r="F418" s="1571">
        <v>0</v>
      </c>
      <c r="G418" s="1571">
        <v>0</v>
      </c>
      <c r="H418" s="1571">
        <v>0</v>
      </c>
      <c r="I418" s="1571">
        <v>642.35</v>
      </c>
      <c r="J418" s="1571">
        <v>0</v>
      </c>
      <c r="K418" s="1571">
        <v>0</v>
      </c>
      <c r="L418" s="1574">
        <f t="shared" si="291"/>
        <v>65</v>
      </c>
      <c r="M418" s="1574">
        <f t="shared" si="292"/>
        <v>19</v>
      </c>
      <c r="N418" s="1574">
        <f t="shared" si="293"/>
        <v>19</v>
      </c>
      <c r="O418" s="1574">
        <f t="shared" si="294"/>
        <v>19</v>
      </c>
      <c r="P418" s="1574">
        <f t="shared" si="295"/>
        <v>65</v>
      </c>
      <c r="Q418" s="1574">
        <f t="shared" si="296"/>
        <v>65</v>
      </c>
    </row>
    <row r="419" spans="1:17" x14ac:dyDescent="0.2">
      <c r="A419" s="1110" t="str">
        <f t="shared" si="297"/>
        <v>Advertising</v>
      </c>
      <c r="B419" s="832">
        <v>892</v>
      </c>
      <c r="C419" s="1571">
        <v>642.35</v>
      </c>
      <c r="D419" s="1216">
        <f t="shared" si="290"/>
        <v>9.1459999999999996E-3</v>
      </c>
      <c r="E419" s="1582">
        <f t="shared" si="277"/>
        <v>894.35</v>
      </c>
      <c r="F419" s="1571">
        <v>0</v>
      </c>
      <c r="G419" s="1571">
        <v>0</v>
      </c>
      <c r="H419" s="1571">
        <v>0</v>
      </c>
      <c r="I419" s="1571">
        <v>642.35</v>
      </c>
      <c r="J419" s="1571">
        <v>0</v>
      </c>
      <c r="K419" s="1571">
        <v>0</v>
      </c>
      <c r="L419" s="1574">
        <f t="shared" si="291"/>
        <v>65</v>
      </c>
      <c r="M419" s="1574">
        <f t="shared" si="292"/>
        <v>19</v>
      </c>
      <c r="N419" s="1574">
        <f t="shared" si="293"/>
        <v>19</v>
      </c>
      <c r="O419" s="1574">
        <f t="shared" si="294"/>
        <v>19</v>
      </c>
      <c r="P419" s="1574">
        <f t="shared" si="295"/>
        <v>65</v>
      </c>
      <c r="Q419" s="1574">
        <f t="shared" si="296"/>
        <v>65</v>
      </c>
    </row>
    <row r="420" spans="1:17" x14ac:dyDescent="0.2">
      <c r="A420" s="1110" t="str">
        <f t="shared" si="297"/>
        <v>Advertising</v>
      </c>
      <c r="B420" s="832">
        <v>909</v>
      </c>
      <c r="C420" s="1571">
        <v>1081.1500000000001</v>
      </c>
      <c r="D420" s="1216">
        <f t="shared" si="290"/>
        <v>1.5393E-2</v>
      </c>
      <c r="E420" s="1582">
        <f t="shared" si="277"/>
        <v>423</v>
      </c>
      <c r="F420" s="1571">
        <v>0</v>
      </c>
      <c r="G420" s="1571">
        <v>0</v>
      </c>
      <c r="H420" s="1571">
        <v>0</v>
      </c>
      <c r="I420" s="1571">
        <v>0</v>
      </c>
      <c r="J420" s="1571">
        <v>0</v>
      </c>
      <c r="K420" s="1571">
        <v>0</v>
      </c>
      <c r="L420" s="1574">
        <f t="shared" si="291"/>
        <v>109</v>
      </c>
      <c r="M420" s="1574">
        <f t="shared" si="292"/>
        <v>32</v>
      </c>
      <c r="N420" s="1574">
        <f t="shared" si="293"/>
        <v>32</v>
      </c>
      <c r="O420" s="1574">
        <f t="shared" si="294"/>
        <v>32</v>
      </c>
      <c r="P420" s="1574">
        <f t="shared" si="295"/>
        <v>109</v>
      </c>
      <c r="Q420" s="1574">
        <f t="shared" si="296"/>
        <v>109</v>
      </c>
    </row>
    <row r="421" spans="1:17" x14ac:dyDescent="0.2">
      <c r="A421" s="1110" t="str">
        <f t="shared" si="297"/>
        <v>Advertising</v>
      </c>
      <c r="B421" s="832">
        <v>913</v>
      </c>
      <c r="C421" s="1571">
        <v>59695.37</v>
      </c>
      <c r="D421" s="1216">
        <f t="shared" si="290"/>
        <v>0.84994099999999995</v>
      </c>
      <c r="E421" s="1582">
        <f t="shared" si="277"/>
        <v>68400</v>
      </c>
      <c r="F421" s="1571">
        <v>0</v>
      </c>
      <c r="G421" s="1571">
        <v>0</v>
      </c>
      <c r="H421" s="1571">
        <v>0</v>
      </c>
      <c r="I421" s="1571">
        <v>45030</v>
      </c>
      <c r="J421" s="1571">
        <v>0</v>
      </c>
      <c r="K421" s="1571">
        <v>0</v>
      </c>
      <c r="L421" s="1574">
        <f t="shared" si="291"/>
        <v>6020</v>
      </c>
      <c r="M421" s="1574">
        <f t="shared" si="292"/>
        <v>1770</v>
      </c>
      <c r="N421" s="1574">
        <f t="shared" si="293"/>
        <v>1770</v>
      </c>
      <c r="O421" s="1574">
        <f t="shared" si="294"/>
        <v>1770</v>
      </c>
      <c r="P421" s="1574">
        <f t="shared" si="295"/>
        <v>6020</v>
      </c>
      <c r="Q421" s="1574">
        <f t="shared" si="296"/>
        <v>6020</v>
      </c>
    </row>
    <row r="422" spans="1:17" ht="13.5" x14ac:dyDescent="0.35">
      <c r="A422" s="1110" t="str">
        <f t="shared" si="297"/>
        <v>Advertising</v>
      </c>
      <c r="B422" s="832">
        <v>921</v>
      </c>
      <c r="C422" s="1623">
        <v>2050.02</v>
      </c>
      <c r="D422" s="1217">
        <f t="shared" si="290"/>
        <v>2.9187999999999999E-2</v>
      </c>
      <c r="E422" s="1587">
        <f t="shared" si="277"/>
        <v>1011.26</v>
      </c>
      <c r="F422" s="1623">
        <v>0</v>
      </c>
      <c r="G422" s="1623">
        <v>0</v>
      </c>
      <c r="H422" s="1623">
        <v>0</v>
      </c>
      <c r="I422" s="1623">
        <v>207.26</v>
      </c>
      <c r="J422" s="1623">
        <v>0</v>
      </c>
      <c r="K422" s="1623">
        <v>0</v>
      </c>
      <c r="L422" s="2009">
        <f t="shared" ref="L422:Q422" si="298">L423-SUM(L416:L421)</f>
        <v>207</v>
      </c>
      <c r="M422" s="2009">
        <f t="shared" si="298"/>
        <v>61</v>
      </c>
      <c r="N422" s="2009">
        <f t="shared" si="298"/>
        <v>61</v>
      </c>
      <c r="O422" s="2009">
        <f t="shared" si="298"/>
        <v>61</v>
      </c>
      <c r="P422" s="2009">
        <f t="shared" si="298"/>
        <v>207</v>
      </c>
      <c r="Q422" s="2009">
        <f t="shared" si="298"/>
        <v>207</v>
      </c>
    </row>
    <row r="423" spans="1:17" x14ac:dyDescent="0.2">
      <c r="A423" s="1113"/>
      <c r="B423" s="1110"/>
      <c r="C423" s="1572">
        <f>SUM(C416:C422)</f>
        <v>70234.720000000001</v>
      </c>
      <c r="D423" s="1216">
        <f>SUM(D416:D422)</f>
        <v>1</v>
      </c>
      <c r="E423" s="1572">
        <f>SUM(E416:E422)</f>
        <v>79230.189999999988</v>
      </c>
      <c r="F423" s="1582">
        <f>SUM(F416:F422)</f>
        <v>0</v>
      </c>
      <c r="G423" s="1582">
        <f t="shared" ref="G423:K423" si="299">SUM(G416:G422)</f>
        <v>0</v>
      </c>
      <c r="H423" s="1582">
        <f t="shared" si="299"/>
        <v>0</v>
      </c>
      <c r="I423" s="1582">
        <f t="shared" si="299"/>
        <v>51732.19</v>
      </c>
      <c r="J423" s="1582">
        <f t="shared" si="299"/>
        <v>0</v>
      </c>
      <c r="K423" s="1582">
        <f t="shared" si="299"/>
        <v>0</v>
      </c>
      <c r="L423" s="1574">
        <f t="shared" ref="L423:Q423" si="300">L107</f>
        <v>7083</v>
      </c>
      <c r="M423" s="1574">
        <f t="shared" si="300"/>
        <v>2083</v>
      </c>
      <c r="N423" s="1574">
        <f t="shared" si="300"/>
        <v>2083</v>
      </c>
      <c r="O423" s="1574">
        <f t="shared" si="300"/>
        <v>2083</v>
      </c>
      <c r="P423" s="1574">
        <f t="shared" si="300"/>
        <v>7083</v>
      </c>
      <c r="Q423" s="1574">
        <f t="shared" si="300"/>
        <v>7083</v>
      </c>
    </row>
    <row r="424" spans="1:17" ht="15" customHeight="1" x14ac:dyDescent="0.2">
      <c r="A424" s="1113"/>
      <c r="B424" s="1110"/>
      <c r="C424" s="1572"/>
      <c r="D424" s="1216"/>
      <c r="E424" s="1572"/>
      <c r="F424" s="1572"/>
      <c r="G424" s="1572"/>
      <c r="H424" s="1572"/>
      <c r="I424" s="1572"/>
      <c r="J424" s="1572"/>
      <c r="K424" s="1572"/>
      <c r="L424" s="1574"/>
      <c r="M424" s="1574"/>
      <c r="N424" s="1574"/>
      <c r="O424" s="1574"/>
      <c r="P424" s="1574"/>
      <c r="Q424" s="1574"/>
    </row>
    <row r="425" spans="1:17" x14ac:dyDescent="0.2">
      <c r="A425" s="1110" t="str">
        <f>$B$119</f>
        <v>Vehicle Costs Cleared</v>
      </c>
      <c r="B425" s="832">
        <v>870</v>
      </c>
      <c r="C425" s="1571">
        <v>1284.29</v>
      </c>
      <c r="D425" s="1216">
        <f t="shared" ref="D425:D433" si="301">ROUND(C425/$C$445,6)</f>
        <v>1.186E-3</v>
      </c>
      <c r="E425" s="1582">
        <f t="shared" ref="E425:E444" si="302">SUM(F425:Q425)</f>
        <v>1523.0900000000001</v>
      </c>
      <c r="F425" s="1571">
        <v>151.02000000000001</v>
      </c>
      <c r="G425" s="1571">
        <v>152.24</v>
      </c>
      <c r="H425" s="1571">
        <v>74.569999999999993</v>
      </c>
      <c r="I425" s="1571">
        <v>167.4</v>
      </c>
      <c r="J425" s="1571">
        <v>132.44</v>
      </c>
      <c r="K425" s="1571">
        <v>210.42</v>
      </c>
      <c r="L425" s="1574">
        <f t="shared" ref="L425:L443" si="303">ROUND(D425*$L$445,0)</f>
        <v>105</v>
      </c>
      <c r="M425" s="1574">
        <f t="shared" ref="M425:M443" si="304">ROUND(D425*$M$445,0)</f>
        <v>93</v>
      </c>
      <c r="N425" s="1574">
        <f t="shared" ref="N425:N443" si="305">ROUND(D425*$N$445,0)</f>
        <v>123</v>
      </c>
      <c r="O425" s="1574">
        <f t="shared" ref="O425:O443" si="306">ROUND(D425*$O$445,0)</f>
        <v>114</v>
      </c>
      <c r="P425" s="1574">
        <f t="shared" ref="P425:P443" si="307">ROUND(D425*$P$445,0)</f>
        <v>100</v>
      </c>
      <c r="Q425" s="1574">
        <f t="shared" ref="Q425:Q443" si="308">ROUND(D425*$Q$445,0)</f>
        <v>100</v>
      </c>
    </row>
    <row r="426" spans="1:17" x14ac:dyDescent="0.2">
      <c r="A426" s="1110" t="str">
        <f t="shared" ref="A426:A444" si="309">$B$119</f>
        <v>Vehicle Costs Cleared</v>
      </c>
      <c r="B426" s="832">
        <v>871</v>
      </c>
      <c r="C426" s="1571">
        <v>9702.27</v>
      </c>
      <c r="D426" s="1216">
        <f t="shared" si="301"/>
        <v>8.9560000000000004E-3</v>
      </c>
      <c r="E426" s="1582">
        <f t="shared" si="302"/>
        <v>8441.34</v>
      </c>
      <c r="F426" s="1571">
        <v>444.95</v>
      </c>
      <c r="G426" s="1571">
        <v>494.67</v>
      </c>
      <c r="H426" s="1571">
        <v>76.650000000000006</v>
      </c>
      <c r="I426" s="1571">
        <v>198.28</v>
      </c>
      <c r="J426" s="1571">
        <v>2336.9699999999998</v>
      </c>
      <c r="K426" s="1571">
        <v>94.82</v>
      </c>
      <c r="L426" s="1574">
        <f t="shared" si="303"/>
        <v>791</v>
      </c>
      <c r="M426" s="1574">
        <f t="shared" si="304"/>
        <v>699</v>
      </c>
      <c r="N426" s="1574">
        <f t="shared" si="305"/>
        <v>932</v>
      </c>
      <c r="O426" s="1574">
        <f t="shared" si="306"/>
        <v>862</v>
      </c>
      <c r="P426" s="1574">
        <f t="shared" si="307"/>
        <v>753</v>
      </c>
      <c r="Q426" s="1574">
        <f t="shared" si="308"/>
        <v>758</v>
      </c>
    </row>
    <row r="427" spans="1:17" x14ac:dyDescent="0.2">
      <c r="A427" s="1110" t="str">
        <f t="shared" si="309"/>
        <v>Vehicle Costs Cleared</v>
      </c>
      <c r="B427" s="832">
        <v>874</v>
      </c>
      <c r="C427" s="1571">
        <v>249582.63999999998</v>
      </c>
      <c r="D427" s="1216">
        <f t="shared" si="301"/>
        <v>0.23039599999999999</v>
      </c>
      <c r="E427" s="1582">
        <f t="shared" si="302"/>
        <v>215166.37</v>
      </c>
      <c r="F427" s="1571">
        <v>16553.41</v>
      </c>
      <c r="G427" s="1571">
        <v>16107.18</v>
      </c>
      <c r="H427" s="1571">
        <v>417.74</v>
      </c>
      <c r="I427" s="1571">
        <v>18194.27</v>
      </c>
      <c r="J427" s="1571">
        <v>20804.53</v>
      </c>
      <c r="K427" s="1571">
        <v>19744.240000000002</v>
      </c>
      <c r="L427" s="1574">
        <f t="shared" si="303"/>
        <v>20359</v>
      </c>
      <c r="M427" s="1574">
        <f t="shared" si="304"/>
        <v>17994</v>
      </c>
      <c r="N427" s="1574">
        <f t="shared" si="305"/>
        <v>23971</v>
      </c>
      <c r="O427" s="1574">
        <f t="shared" si="306"/>
        <v>22171</v>
      </c>
      <c r="P427" s="1574">
        <f t="shared" si="307"/>
        <v>19361</v>
      </c>
      <c r="Q427" s="1574">
        <f t="shared" si="308"/>
        <v>19489</v>
      </c>
    </row>
    <row r="428" spans="1:17" x14ac:dyDescent="0.2">
      <c r="A428" s="1110" t="str">
        <f t="shared" si="309"/>
        <v>Vehicle Costs Cleared</v>
      </c>
      <c r="B428" s="832">
        <v>875</v>
      </c>
      <c r="C428" s="1571">
        <v>14798.15</v>
      </c>
      <c r="D428" s="1216">
        <f t="shared" si="301"/>
        <v>1.3661E-2</v>
      </c>
      <c r="E428" s="1582">
        <f t="shared" si="302"/>
        <v>14443.8</v>
      </c>
      <c r="F428" s="1571">
        <v>1073.72</v>
      </c>
      <c r="G428" s="1571">
        <v>1302.17</v>
      </c>
      <c r="H428" s="1571">
        <v>1417.16</v>
      </c>
      <c r="I428" s="1571">
        <v>1225.67</v>
      </c>
      <c r="J428" s="1571">
        <v>1096.24</v>
      </c>
      <c r="K428" s="1571">
        <v>1014.84</v>
      </c>
      <c r="L428" s="1574">
        <f t="shared" si="303"/>
        <v>1207</v>
      </c>
      <c r="M428" s="1574">
        <f t="shared" si="304"/>
        <v>1067</v>
      </c>
      <c r="N428" s="1574">
        <f t="shared" si="305"/>
        <v>1421</v>
      </c>
      <c r="O428" s="1574">
        <f t="shared" si="306"/>
        <v>1315</v>
      </c>
      <c r="P428" s="1574">
        <f t="shared" si="307"/>
        <v>1148</v>
      </c>
      <c r="Q428" s="1574">
        <f t="shared" si="308"/>
        <v>1156</v>
      </c>
    </row>
    <row r="429" spans="1:17" x14ac:dyDescent="0.2">
      <c r="A429" s="1110" t="str">
        <f t="shared" si="309"/>
        <v>Vehicle Costs Cleared</v>
      </c>
      <c r="B429" s="832">
        <v>876</v>
      </c>
      <c r="C429" s="1571">
        <v>6955.78</v>
      </c>
      <c r="D429" s="1216">
        <f t="shared" si="301"/>
        <v>6.4209999999999996E-3</v>
      </c>
      <c r="E429" s="1582">
        <f t="shared" si="302"/>
        <v>7713.8</v>
      </c>
      <c r="F429" s="1571">
        <v>741.64</v>
      </c>
      <c r="G429" s="1571">
        <v>617.99</v>
      </c>
      <c r="H429" s="1571">
        <v>1067.93</v>
      </c>
      <c r="I429" s="1571">
        <v>1200.73</v>
      </c>
      <c r="J429" s="1571">
        <v>444.2</v>
      </c>
      <c r="K429" s="1571">
        <v>204.31</v>
      </c>
      <c r="L429" s="1574">
        <f t="shared" si="303"/>
        <v>567</v>
      </c>
      <c r="M429" s="1574">
        <f t="shared" si="304"/>
        <v>501</v>
      </c>
      <c r="N429" s="1574">
        <f t="shared" si="305"/>
        <v>668</v>
      </c>
      <c r="O429" s="1574">
        <f t="shared" si="306"/>
        <v>618</v>
      </c>
      <c r="P429" s="1574">
        <f t="shared" si="307"/>
        <v>540</v>
      </c>
      <c r="Q429" s="1574">
        <f t="shared" si="308"/>
        <v>543</v>
      </c>
    </row>
    <row r="430" spans="1:17" x14ac:dyDescent="0.2">
      <c r="A430" s="1110" t="str">
        <f t="shared" si="309"/>
        <v>Vehicle Costs Cleared</v>
      </c>
      <c r="B430" s="832">
        <v>878</v>
      </c>
      <c r="C430" s="1571">
        <v>203678.19</v>
      </c>
      <c r="D430" s="1216">
        <f t="shared" si="301"/>
        <v>0.18801999999999999</v>
      </c>
      <c r="E430" s="1582">
        <f t="shared" si="302"/>
        <v>195731.02000000002</v>
      </c>
      <c r="F430" s="1571">
        <v>18167.45</v>
      </c>
      <c r="G430" s="1571">
        <v>15817.6</v>
      </c>
      <c r="H430" s="1571">
        <v>18072.580000000002</v>
      </c>
      <c r="I430" s="1571">
        <v>16701.64</v>
      </c>
      <c r="J430" s="1571">
        <v>14053.15</v>
      </c>
      <c r="K430" s="1571">
        <v>12259.6</v>
      </c>
      <c r="L430" s="1574">
        <f t="shared" si="303"/>
        <v>16614</v>
      </c>
      <c r="M430" s="1574">
        <f t="shared" si="304"/>
        <v>14685</v>
      </c>
      <c r="N430" s="1574">
        <f t="shared" si="305"/>
        <v>19562</v>
      </c>
      <c r="O430" s="1574">
        <f t="shared" si="306"/>
        <v>18094</v>
      </c>
      <c r="P430" s="1574">
        <f t="shared" si="307"/>
        <v>15800</v>
      </c>
      <c r="Q430" s="1574">
        <f t="shared" si="308"/>
        <v>15904</v>
      </c>
    </row>
    <row r="431" spans="1:17" x14ac:dyDescent="0.2">
      <c r="A431" s="1110" t="str">
        <f t="shared" si="309"/>
        <v>Vehicle Costs Cleared</v>
      </c>
      <c r="B431" s="832">
        <v>879</v>
      </c>
      <c r="C431" s="1571">
        <v>230504.95999999999</v>
      </c>
      <c r="D431" s="1216">
        <f t="shared" si="301"/>
        <v>0.212785</v>
      </c>
      <c r="E431" s="1582">
        <f t="shared" si="302"/>
        <v>223058.31</v>
      </c>
      <c r="F431" s="1571">
        <v>20663.05</v>
      </c>
      <c r="G431" s="1571">
        <v>16195.6</v>
      </c>
      <c r="H431" s="1571">
        <v>14745.35</v>
      </c>
      <c r="I431" s="1571">
        <v>18282.259999999998</v>
      </c>
      <c r="J431" s="1571">
        <v>20920.71</v>
      </c>
      <c r="K431" s="1571">
        <v>18333.34</v>
      </c>
      <c r="L431" s="1574">
        <f t="shared" si="303"/>
        <v>18803</v>
      </c>
      <c r="M431" s="1574">
        <f t="shared" si="304"/>
        <v>16619</v>
      </c>
      <c r="N431" s="1574">
        <f t="shared" si="305"/>
        <v>22139</v>
      </c>
      <c r="O431" s="1574">
        <f t="shared" si="306"/>
        <v>20477</v>
      </c>
      <c r="P431" s="1574">
        <f t="shared" si="307"/>
        <v>17881</v>
      </c>
      <c r="Q431" s="1574">
        <f t="shared" si="308"/>
        <v>17999</v>
      </c>
    </row>
    <row r="432" spans="1:17" x14ac:dyDescent="0.2">
      <c r="A432" s="1110" t="str">
        <f t="shared" si="309"/>
        <v>Vehicle Costs Cleared</v>
      </c>
      <c r="B432" s="832">
        <v>880</v>
      </c>
      <c r="C432" s="1571">
        <v>74974.27</v>
      </c>
      <c r="D432" s="1216">
        <f t="shared" si="301"/>
        <v>6.9210999999999995E-2</v>
      </c>
      <c r="E432" s="1582">
        <f t="shared" si="302"/>
        <v>79118.76999999999</v>
      </c>
      <c r="F432" s="1571">
        <v>8117.36</v>
      </c>
      <c r="G432" s="1571">
        <v>5759.02</v>
      </c>
      <c r="H432" s="1571">
        <v>7425.2</v>
      </c>
      <c r="I432" s="1571">
        <v>6941.44</v>
      </c>
      <c r="J432" s="1571">
        <v>6351.05</v>
      </c>
      <c r="K432" s="1571">
        <v>7472.7</v>
      </c>
      <c r="L432" s="1574">
        <f t="shared" si="303"/>
        <v>6116</v>
      </c>
      <c r="M432" s="1574">
        <f t="shared" si="304"/>
        <v>5405</v>
      </c>
      <c r="N432" s="1574">
        <f t="shared" si="305"/>
        <v>7201</v>
      </c>
      <c r="O432" s="1574">
        <f t="shared" si="306"/>
        <v>6660</v>
      </c>
      <c r="P432" s="1574">
        <f t="shared" si="307"/>
        <v>5816</v>
      </c>
      <c r="Q432" s="1574">
        <f t="shared" si="308"/>
        <v>5854</v>
      </c>
    </row>
    <row r="433" spans="1:17" x14ac:dyDescent="0.2">
      <c r="A433" s="1110" t="str">
        <f t="shared" si="309"/>
        <v>Vehicle Costs Cleared</v>
      </c>
      <c r="B433" s="832">
        <v>885</v>
      </c>
      <c r="C433" s="1571">
        <v>750.11</v>
      </c>
      <c r="D433" s="1216">
        <f t="shared" si="301"/>
        <v>6.9200000000000002E-4</v>
      </c>
      <c r="E433" s="1582">
        <f t="shared" si="302"/>
        <v>741.09</v>
      </c>
      <c r="F433" s="1571">
        <v>85.59</v>
      </c>
      <c r="G433" s="1571">
        <v>84.42</v>
      </c>
      <c r="H433" s="1571">
        <v>-18.010000000000002</v>
      </c>
      <c r="I433" s="1571">
        <v>66.72</v>
      </c>
      <c r="J433" s="1571">
        <v>48.33</v>
      </c>
      <c r="K433" s="1571">
        <v>103.04</v>
      </c>
      <c r="L433" s="1574">
        <f t="shared" si="303"/>
        <v>61</v>
      </c>
      <c r="M433" s="1574">
        <f t="shared" si="304"/>
        <v>54</v>
      </c>
      <c r="N433" s="1574">
        <f t="shared" si="305"/>
        <v>72</v>
      </c>
      <c r="O433" s="1574">
        <f t="shared" si="306"/>
        <v>67</v>
      </c>
      <c r="P433" s="1574">
        <f t="shared" si="307"/>
        <v>58</v>
      </c>
      <c r="Q433" s="1574">
        <f t="shared" si="308"/>
        <v>59</v>
      </c>
    </row>
    <row r="434" spans="1:17" x14ac:dyDescent="0.2">
      <c r="A434" s="1110" t="str">
        <f t="shared" si="309"/>
        <v>Vehicle Costs Cleared</v>
      </c>
      <c r="B434" s="832">
        <v>886</v>
      </c>
      <c r="C434" s="1571">
        <v>411.23</v>
      </c>
      <c r="D434" s="1216">
        <f t="shared" ref="D434:D439" si="310">ROUND(C434/$C$445,6)</f>
        <v>3.8000000000000002E-4</v>
      </c>
      <c r="E434" s="1582">
        <f t="shared" si="302"/>
        <v>323.59000000000003</v>
      </c>
      <c r="F434" s="1571">
        <v>0</v>
      </c>
      <c r="G434" s="1571">
        <v>8.01</v>
      </c>
      <c r="H434" s="1571">
        <v>0</v>
      </c>
      <c r="I434" s="1571">
        <v>92.59</v>
      </c>
      <c r="J434" s="1571">
        <v>0</v>
      </c>
      <c r="K434" s="1571">
        <v>17.989999999999998</v>
      </c>
      <c r="L434" s="1574">
        <f t="shared" si="303"/>
        <v>34</v>
      </c>
      <c r="M434" s="1574">
        <f t="shared" si="304"/>
        <v>30</v>
      </c>
      <c r="N434" s="1574">
        <f t="shared" si="305"/>
        <v>40</v>
      </c>
      <c r="O434" s="1574">
        <f t="shared" si="306"/>
        <v>37</v>
      </c>
      <c r="P434" s="1574">
        <f t="shared" si="307"/>
        <v>32</v>
      </c>
      <c r="Q434" s="1574">
        <f t="shared" si="308"/>
        <v>32</v>
      </c>
    </row>
    <row r="435" spans="1:17" x14ac:dyDescent="0.2">
      <c r="A435" s="1110" t="str">
        <f t="shared" si="309"/>
        <v>Vehicle Costs Cleared</v>
      </c>
      <c r="B435" s="832">
        <v>887</v>
      </c>
      <c r="C435" s="1571">
        <v>124239.39</v>
      </c>
      <c r="D435" s="1216">
        <f t="shared" si="310"/>
        <v>0.114688</v>
      </c>
      <c r="E435" s="1582">
        <f t="shared" si="302"/>
        <v>112945.45999999999</v>
      </c>
      <c r="F435" s="1571">
        <v>8416.19</v>
      </c>
      <c r="G435" s="1571">
        <v>7073.9</v>
      </c>
      <c r="H435" s="1571">
        <v>5746.48</v>
      </c>
      <c r="I435" s="1571">
        <v>11262.1</v>
      </c>
      <c r="J435" s="1571">
        <v>10536.16</v>
      </c>
      <c r="K435" s="1571">
        <v>8510.6299999999992</v>
      </c>
      <c r="L435" s="1574">
        <f t="shared" si="303"/>
        <v>10134</v>
      </c>
      <c r="M435" s="1574">
        <f t="shared" si="304"/>
        <v>8957</v>
      </c>
      <c r="N435" s="1574">
        <f t="shared" si="305"/>
        <v>11933</v>
      </c>
      <c r="O435" s="1574">
        <f t="shared" si="306"/>
        <v>11037</v>
      </c>
      <c r="P435" s="1574">
        <f t="shared" si="307"/>
        <v>9638</v>
      </c>
      <c r="Q435" s="1574">
        <f t="shared" si="308"/>
        <v>9701</v>
      </c>
    </row>
    <row r="436" spans="1:17" x14ac:dyDescent="0.2">
      <c r="A436" s="1110" t="str">
        <f t="shared" si="309"/>
        <v>Vehicle Costs Cleared</v>
      </c>
      <c r="B436" s="832">
        <v>889</v>
      </c>
      <c r="C436" s="1571">
        <v>23763.38</v>
      </c>
      <c r="D436" s="1216">
        <f t="shared" si="310"/>
        <v>2.1937000000000002E-2</v>
      </c>
      <c r="E436" s="1582">
        <f t="shared" si="302"/>
        <v>24372.46</v>
      </c>
      <c r="F436" s="1571">
        <v>4068.27</v>
      </c>
      <c r="G436" s="1571">
        <v>2148.1799999999998</v>
      </c>
      <c r="H436" s="1571">
        <v>829.54</v>
      </c>
      <c r="I436" s="1571">
        <v>633.80999999999995</v>
      </c>
      <c r="J436" s="1571">
        <v>3348.39</v>
      </c>
      <c r="K436" s="1571">
        <v>1601.27</v>
      </c>
      <c r="L436" s="1574">
        <f t="shared" si="303"/>
        <v>1938</v>
      </c>
      <c r="M436" s="1574">
        <f t="shared" si="304"/>
        <v>1713</v>
      </c>
      <c r="N436" s="1574">
        <f t="shared" si="305"/>
        <v>2282</v>
      </c>
      <c r="O436" s="1574">
        <f t="shared" si="306"/>
        <v>2111</v>
      </c>
      <c r="P436" s="1574">
        <f t="shared" si="307"/>
        <v>1843</v>
      </c>
      <c r="Q436" s="1574">
        <f t="shared" si="308"/>
        <v>1856</v>
      </c>
    </row>
    <row r="437" spans="1:17" x14ac:dyDescent="0.2">
      <c r="A437" s="1110" t="str">
        <f t="shared" si="309"/>
        <v>Vehicle Costs Cleared</v>
      </c>
      <c r="B437" s="832">
        <v>890</v>
      </c>
      <c r="C437" s="1571">
        <v>3889.03</v>
      </c>
      <c r="D437" s="1216">
        <f t="shared" si="310"/>
        <v>3.5899999999999999E-3</v>
      </c>
      <c r="E437" s="1582">
        <f t="shared" si="302"/>
        <v>3961.65</v>
      </c>
      <c r="F437" s="1571">
        <v>356.79</v>
      </c>
      <c r="G437" s="1571">
        <v>226.56</v>
      </c>
      <c r="H437" s="1571">
        <v>452.11</v>
      </c>
      <c r="I437" s="1571">
        <v>598</v>
      </c>
      <c r="J437" s="1571">
        <v>238.72</v>
      </c>
      <c r="K437" s="1571">
        <v>167.47</v>
      </c>
      <c r="L437" s="1574">
        <f t="shared" si="303"/>
        <v>317</v>
      </c>
      <c r="M437" s="1574">
        <f t="shared" si="304"/>
        <v>280</v>
      </c>
      <c r="N437" s="1574">
        <f t="shared" si="305"/>
        <v>374</v>
      </c>
      <c r="O437" s="1574">
        <f t="shared" si="306"/>
        <v>345</v>
      </c>
      <c r="P437" s="1574">
        <f t="shared" si="307"/>
        <v>302</v>
      </c>
      <c r="Q437" s="1574">
        <f t="shared" si="308"/>
        <v>304</v>
      </c>
    </row>
    <row r="438" spans="1:17" x14ac:dyDescent="0.2">
      <c r="A438" s="1110" t="str">
        <f t="shared" si="309"/>
        <v>Vehicle Costs Cleared</v>
      </c>
      <c r="B438" s="832">
        <v>892</v>
      </c>
      <c r="C438" s="1571">
        <v>35141.769999999997</v>
      </c>
      <c r="D438" s="1216">
        <f t="shared" si="310"/>
        <v>3.2439999999999997E-2</v>
      </c>
      <c r="E438" s="1582">
        <f t="shared" si="302"/>
        <v>30467.27</v>
      </c>
      <c r="F438" s="1571">
        <v>2438.8000000000002</v>
      </c>
      <c r="G438" s="1571">
        <v>1802.68</v>
      </c>
      <c r="H438" s="1571">
        <v>114.35</v>
      </c>
      <c r="I438" s="1571">
        <v>2555.96</v>
      </c>
      <c r="J438" s="1571">
        <v>3255.56</v>
      </c>
      <c r="K438" s="1571">
        <v>2931.92</v>
      </c>
      <c r="L438" s="1574">
        <f t="shared" si="303"/>
        <v>2867</v>
      </c>
      <c r="M438" s="1574">
        <f t="shared" si="304"/>
        <v>2534</v>
      </c>
      <c r="N438" s="1574">
        <f t="shared" si="305"/>
        <v>3375</v>
      </c>
      <c r="O438" s="1574">
        <f t="shared" si="306"/>
        <v>3122</v>
      </c>
      <c r="P438" s="1574">
        <f t="shared" si="307"/>
        <v>2726</v>
      </c>
      <c r="Q438" s="1574">
        <f t="shared" si="308"/>
        <v>2744</v>
      </c>
    </row>
    <row r="439" spans="1:17" x14ac:dyDescent="0.2">
      <c r="A439" s="1110" t="str">
        <f t="shared" si="309"/>
        <v>Vehicle Costs Cleared</v>
      </c>
      <c r="B439" s="832">
        <v>893</v>
      </c>
      <c r="C439" s="1571">
        <v>4987.92</v>
      </c>
      <c r="D439" s="1216">
        <f t="shared" si="310"/>
        <v>4.6039999999999996E-3</v>
      </c>
      <c r="E439" s="1582">
        <f t="shared" si="302"/>
        <v>6197.82</v>
      </c>
      <c r="F439" s="1571">
        <v>1169.29</v>
      </c>
      <c r="G439" s="1571">
        <v>407.05</v>
      </c>
      <c r="H439" s="1571">
        <v>387.01</v>
      </c>
      <c r="I439" s="1571">
        <v>322.66000000000003</v>
      </c>
      <c r="J439" s="1571">
        <v>236.18</v>
      </c>
      <c r="K439" s="1571">
        <v>1210.6300000000001</v>
      </c>
      <c r="L439" s="1574">
        <f t="shared" si="303"/>
        <v>407</v>
      </c>
      <c r="M439" s="1574">
        <f t="shared" si="304"/>
        <v>360</v>
      </c>
      <c r="N439" s="1574">
        <f t="shared" si="305"/>
        <v>479</v>
      </c>
      <c r="O439" s="1574">
        <f t="shared" si="306"/>
        <v>443</v>
      </c>
      <c r="P439" s="1574">
        <f t="shared" si="307"/>
        <v>387</v>
      </c>
      <c r="Q439" s="1574">
        <f t="shared" si="308"/>
        <v>389</v>
      </c>
    </row>
    <row r="440" spans="1:17" x14ac:dyDescent="0.2">
      <c r="A440" s="1110" t="str">
        <f t="shared" si="309"/>
        <v>Vehicle Costs Cleared</v>
      </c>
      <c r="B440" s="832">
        <v>894</v>
      </c>
      <c r="C440" s="1571">
        <v>23894.28</v>
      </c>
      <c r="D440" s="1216">
        <f>ROUND(C440/$C$445,6)</f>
        <v>2.2057E-2</v>
      </c>
      <c r="E440" s="1582">
        <f t="shared" si="302"/>
        <v>25796.920000000002</v>
      </c>
      <c r="F440" s="1571">
        <v>2406.98</v>
      </c>
      <c r="G440" s="1571">
        <v>1109.55</v>
      </c>
      <c r="H440" s="1571">
        <v>1183.5899999999999</v>
      </c>
      <c r="I440" s="1571">
        <v>4331.67</v>
      </c>
      <c r="J440" s="1571">
        <v>1861.27</v>
      </c>
      <c r="K440" s="1571">
        <v>3093.86</v>
      </c>
      <c r="L440" s="1574">
        <f t="shared" si="303"/>
        <v>1949</v>
      </c>
      <c r="M440" s="1574">
        <f t="shared" si="304"/>
        <v>1723</v>
      </c>
      <c r="N440" s="1574">
        <f t="shared" si="305"/>
        <v>2295</v>
      </c>
      <c r="O440" s="1574">
        <f t="shared" si="306"/>
        <v>2123</v>
      </c>
      <c r="P440" s="1574">
        <f t="shared" si="307"/>
        <v>1854</v>
      </c>
      <c r="Q440" s="1574">
        <f t="shared" si="308"/>
        <v>1866</v>
      </c>
    </row>
    <row r="441" spans="1:17" x14ac:dyDescent="0.2">
      <c r="A441" s="1110" t="str">
        <f t="shared" si="309"/>
        <v>Vehicle Costs Cleared</v>
      </c>
      <c r="B441" s="832">
        <v>902</v>
      </c>
      <c r="C441" s="1571">
        <v>19147.05</v>
      </c>
      <c r="D441" s="1216">
        <f>ROUND(C441/$C$445,6)</f>
        <v>1.7675E-2</v>
      </c>
      <c r="E441" s="1582">
        <f t="shared" si="302"/>
        <v>28662.23</v>
      </c>
      <c r="F441" s="1571">
        <v>2653.02</v>
      </c>
      <c r="G441" s="1571">
        <v>2903.57</v>
      </c>
      <c r="H441" s="1571">
        <v>3601.8</v>
      </c>
      <c r="I441" s="1571">
        <v>3732.11</v>
      </c>
      <c r="J441" s="1571">
        <v>2957.51</v>
      </c>
      <c r="K441" s="1571">
        <v>3352.22</v>
      </c>
      <c r="L441" s="1574">
        <f t="shared" si="303"/>
        <v>1562</v>
      </c>
      <c r="M441" s="1574">
        <f t="shared" si="304"/>
        <v>1380</v>
      </c>
      <c r="N441" s="1574">
        <f t="shared" si="305"/>
        <v>1839</v>
      </c>
      <c r="O441" s="1574">
        <f t="shared" si="306"/>
        <v>1701</v>
      </c>
      <c r="P441" s="1574">
        <f t="shared" si="307"/>
        <v>1485</v>
      </c>
      <c r="Q441" s="1574">
        <f t="shared" si="308"/>
        <v>1495</v>
      </c>
    </row>
    <row r="442" spans="1:17" x14ac:dyDescent="0.2">
      <c r="A442" s="1110" t="str">
        <f t="shared" si="309"/>
        <v>Vehicle Costs Cleared</v>
      </c>
      <c r="B442" s="832">
        <v>903</v>
      </c>
      <c r="C442" s="1571">
        <v>52057.96</v>
      </c>
      <c r="D442" s="1216">
        <f>ROUND(C442/$C$445,6)</f>
        <v>4.8056000000000001E-2</v>
      </c>
      <c r="E442" s="1582">
        <f t="shared" si="302"/>
        <v>50269.84</v>
      </c>
      <c r="F442" s="1571">
        <v>4784.79</v>
      </c>
      <c r="G442" s="1571">
        <v>4631.83</v>
      </c>
      <c r="H442" s="1571">
        <v>4632.08</v>
      </c>
      <c r="I442" s="1571">
        <v>4150.79</v>
      </c>
      <c r="J442" s="1571">
        <v>3175.91</v>
      </c>
      <c r="K442" s="1571">
        <v>3167.44</v>
      </c>
      <c r="L442" s="1574">
        <f t="shared" si="303"/>
        <v>4246</v>
      </c>
      <c r="M442" s="1574">
        <f t="shared" si="304"/>
        <v>3753</v>
      </c>
      <c r="N442" s="1574">
        <f t="shared" si="305"/>
        <v>5000</v>
      </c>
      <c r="O442" s="1574">
        <f t="shared" si="306"/>
        <v>4625</v>
      </c>
      <c r="P442" s="1574">
        <f t="shared" si="307"/>
        <v>4038</v>
      </c>
      <c r="Q442" s="1574">
        <f t="shared" si="308"/>
        <v>4065</v>
      </c>
    </row>
    <row r="443" spans="1:17" x14ac:dyDescent="0.2">
      <c r="A443" s="1110" t="str">
        <f t="shared" si="309"/>
        <v>Vehicle Costs Cleared</v>
      </c>
      <c r="B443" s="832">
        <v>908</v>
      </c>
      <c r="C443" s="1571">
        <v>2892.32</v>
      </c>
      <c r="D443" s="1216">
        <f>ROUND(C443/$C$445,6)</f>
        <v>2.6700000000000001E-3</v>
      </c>
      <c r="E443" s="1582">
        <f t="shared" si="302"/>
        <v>1937.3400000000001</v>
      </c>
      <c r="F443" s="1571">
        <v>234.87</v>
      </c>
      <c r="G443" s="1571">
        <v>158.05000000000001</v>
      </c>
      <c r="H443" s="1571">
        <v>22.73</v>
      </c>
      <c r="I443" s="1571">
        <v>0</v>
      </c>
      <c r="J443" s="1571">
        <v>67.81</v>
      </c>
      <c r="K443" s="1571">
        <v>23.88</v>
      </c>
      <c r="L443" s="1574">
        <f t="shared" si="303"/>
        <v>236</v>
      </c>
      <c r="M443" s="1574">
        <f t="shared" si="304"/>
        <v>209</v>
      </c>
      <c r="N443" s="1574">
        <f t="shared" si="305"/>
        <v>278</v>
      </c>
      <c r="O443" s="1574">
        <f t="shared" si="306"/>
        <v>257</v>
      </c>
      <c r="P443" s="1574">
        <f t="shared" si="307"/>
        <v>224</v>
      </c>
      <c r="Q443" s="1574">
        <f t="shared" si="308"/>
        <v>226</v>
      </c>
    </row>
    <row r="444" spans="1:17" ht="13.5" x14ac:dyDescent="0.35">
      <c r="A444" s="1110" t="str">
        <f t="shared" si="309"/>
        <v>Vehicle Costs Cleared</v>
      </c>
      <c r="B444" s="832">
        <v>921</v>
      </c>
      <c r="C444" s="1623">
        <v>623.51</v>
      </c>
      <c r="D444" s="1570">
        <f>ROUND(C444/$C$445,6)</f>
        <v>5.7600000000000001E-4</v>
      </c>
      <c r="E444" s="1587">
        <f t="shared" si="302"/>
        <v>929.51</v>
      </c>
      <c r="F444" s="1623">
        <v>0</v>
      </c>
      <c r="G444" s="1623">
        <v>0</v>
      </c>
      <c r="H444" s="1623">
        <v>0</v>
      </c>
      <c r="I444" s="1623">
        <v>623.51</v>
      </c>
      <c r="J444" s="1623">
        <v>0</v>
      </c>
      <c r="K444" s="1623">
        <v>0</v>
      </c>
      <c r="L444" s="2008">
        <f t="shared" ref="L444:Q444" si="311">L445-SUM(L425:L443)</f>
        <v>51</v>
      </c>
      <c r="M444" s="2008">
        <f t="shared" si="311"/>
        <v>45</v>
      </c>
      <c r="N444" s="2008">
        <f t="shared" si="311"/>
        <v>60</v>
      </c>
      <c r="O444" s="2008">
        <f t="shared" si="311"/>
        <v>53</v>
      </c>
      <c r="P444" s="2008">
        <f t="shared" si="311"/>
        <v>48</v>
      </c>
      <c r="Q444" s="2008">
        <f t="shared" si="311"/>
        <v>49</v>
      </c>
    </row>
    <row r="445" spans="1:17" s="1112" customFormat="1" x14ac:dyDescent="0.2">
      <c r="C445" s="1575">
        <f>SUM(C425:C444)</f>
        <v>1083278.5000000002</v>
      </c>
      <c r="D445" s="1573">
        <f>SUM(D425:D444)</f>
        <v>1.0000010000000001</v>
      </c>
      <c r="E445" s="1575">
        <f>SUM(E425:E444)</f>
        <v>1031801.6799999998</v>
      </c>
      <c r="F445" s="1582">
        <f>SUM(F425:F444)</f>
        <v>92527.189999999988</v>
      </c>
      <c r="G445" s="1582">
        <f t="shared" ref="G445:K445" si="312">SUM(G425:G444)</f>
        <v>77000.27</v>
      </c>
      <c r="H445" s="1582">
        <f t="shared" si="312"/>
        <v>60248.86</v>
      </c>
      <c r="I445" s="1582">
        <f t="shared" si="312"/>
        <v>91281.61</v>
      </c>
      <c r="J445" s="1582">
        <f t="shared" si="312"/>
        <v>91865.12999999999</v>
      </c>
      <c r="K445" s="1582">
        <f t="shared" si="312"/>
        <v>83514.620000000024</v>
      </c>
      <c r="L445" s="1576">
        <f t="shared" ref="L445:Q445" si="313">L119</f>
        <v>88364</v>
      </c>
      <c r="M445" s="1576">
        <f t="shared" si="313"/>
        <v>78101</v>
      </c>
      <c r="N445" s="1576">
        <f t="shared" si="313"/>
        <v>104044</v>
      </c>
      <c r="O445" s="1576">
        <f t="shared" si="313"/>
        <v>96232</v>
      </c>
      <c r="P445" s="1576">
        <f t="shared" si="313"/>
        <v>84034</v>
      </c>
      <c r="Q445" s="1576">
        <f t="shared" si="313"/>
        <v>84589</v>
      </c>
    </row>
    <row r="446" spans="1:17" s="1112" customFormat="1" x14ac:dyDescent="0.2">
      <c r="C446" s="1575"/>
      <c r="D446" s="1573"/>
      <c r="E446" s="1575"/>
      <c r="F446" s="1575"/>
      <c r="G446" s="1575"/>
      <c r="H446" s="1575"/>
      <c r="I446" s="1575"/>
      <c r="J446" s="1575"/>
      <c r="K446" s="1575"/>
      <c r="L446" s="1576"/>
      <c r="M446" s="1576"/>
      <c r="N446" s="1576"/>
      <c r="O446" s="1576"/>
      <c r="P446" s="1576"/>
      <c r="Q446" s="1576"/>
    </row>
    <row r="447" spans="1:17" x14ac:dyDescent="0.2">
      <c r="A447" s="1110" t="str">
        <f>$B$118</f>
        <v>General Tool Costs Clrd</v>
      </c>
      <c r="B447" s="831">
        <v>871</v>
      </c>
      <c r="C447" s="1571">
        <v>2602.25</v>
      </c>
      <c r="D447" s="1216">
        <f t="shared" ref="D447:D454" si="314">ROUND(C447/$C$464,6)</f>
        <v>8.4329999999999995E-3</v>
      </c>
      <c r="E447" s="1582">
        <f t="shared" ref="E447:E463" si="315">SUM(F447:Q447)</f>
        <v>115316.18</v>
      </c>
      <c r="F447" s="1571">
        <v>56.26</v>
      </c>
      <c r="G447" s="1571">
        <v>-10.43</v>
      </c>
      <c r="H447" s="1571">
        <v>0</v>
      </c>
      <c r="I447" s="1571">
        <v>0</v>
      </c>
      <c r="J447" s="1571">
        <v>823.35</v>
      </c>
      <c r="K447" s="1571">
        <v>0</v>
      </c>
      <c r="L447" s="1574">
        <f t="shared" ref="L447:Q447" si="316">L118</f>
        <v>18852</v>
      </c>
      <c r="M447" s="1574">
        <f t="shared" si="316"/>
        <v>16635</v>
      </c>
      <c r="N447" s="1574">
        <f t="shared" si="316"/>
        <v>22401</v>
      </c>
      <c r="O447" s="1574">
        <f t="shared" si="316"/>
        <v>20627</v>
      </c>
      <c r="P447" s="1574">
        <f t="shared" si="316"/>
        <v>17966</v>
      </c>
      <c r="Q447" s="1574">
        <f t="shared" si="316"/>
        <v>17966</v>
      </c>
    </row>
    <row r="448" spans="1:17" x14ac:dyDescent="0.2">
      <c r="A448" s="1110" t="str">
        <f t="shared" ref="A448:A463" si="317">$B$118</f>
        <v>General Tool Costs Clrd</v>
      </c>
      <c r="B448" s="831">
        <v>874</v>
      </c>
      <c r="C448" s="1571">
        <v>66397.039999999994</v>
      </c>
      <c r="D448" s="1216">
        <f t="shared" si="314"/>
        <v>0.21516199999999999</v>
      </c>
      <c r="E448" s="1582">
        <f t="shared" si="315"/>
        <v>71037.37</v>
      </c>
      <c r="F448" s="1571">
        <v>3765</v>
      </c>
      <c r="G448" s="1571">
        <v>4429.2299999999996</v>
      </c>
      <c r="H448" s="1571">
        <v>6808.18</v>
      </c>
      <c r="I448" s="1571">
        <v>11845.4</v>
      </c>
      <c r="J448" s="1571">
        <v>7416.85</v>
      </c>
      <c r="K448" s="1571">
        <v>12147.71</v>
      </c>
      <c r="L448" s="1574">
        <f t="shared" ref="L448:Q454" si="318">ROUND($D448*L$464,0)</f>
        <v>4056</v>
      </c>
      <c r="M448" s="1574">
        <f t="shared" si="318"/>
        <v>3579</v>
      </c>
      <c r="N448" s="1574">
        <f t="shared" si="318"/>
        <v>4820</v>
      </c>
      <c r="O448" s="1574">
        <f t="shared" si="318"/>
        <v>4438</v>
      </c>
      <c r="P448" s="1574">
        <f t="shared" si="318"/>
        <v>3866</v>
      </c>
      <c r="Q448" s="1574">
        <f t="shared" si="318"/>
        <v>3866</v>
      </c>
    </row>
    <row r="449" spans="1:17" x14ac:dyDescent="0.2">
      <c r="A449" s="1110" t="str">
        <f t="shared" si="317"/>
        <v>General Tool Costs Clrd</v>
      </c>
      <c r="B449" s="831">
        <v>875</v>
      </c>
      <c r="C449" s="1571">
        <v>8.74</v>
      </c>
      <c r="D449" s="1216">
        <f t="shared" si="314"/>
        <v>2.8E-5</v>
      </c>
      <c r="E449" s="1582">
        <f t="shared" si="315"/>
        <v>5</v>
      </c>
      <c r="F449" s="1571">
        <v>0</v>
      </c>
      <c r="G449" s="1571">
        <v>0</v>
      </c>
      <c r="H449" s="1571">
        <v>0</v>
      </c>
      <c r="I449" s="1571">
        <v>0</v>
      </c>
      <c r="J449" s="1571">
        <v>0</v>
      </c>
      <c r="K449" s="1571">
        <v>0</v>
      </c>
      <c r="L449" s="1574">
        <f t="shared" si="318"/>
        <v>1</v>
      </c>
      <c r="M449" s="1574">
        <f t="shared" si="318"/>
        <v>0</v>
      </c>
      <c r="N449" s="1574">
        <f t="shared" si="318"/>
        <v>1</v>
      </c>
      <c r="O449" s="1574">
        <f t="shared" si="318"/>
        <v>1</v>
      </c>
      <c r="P449" s="1574">
        <f t="shared" si="318"/>
        <v>1</v>
      </c>
      <c r="Q449" s="1574">
        <f t="shared" si="318"/>
        <v>1</v>
      </c>
    </row>
    <row r="450" spans="1:17" x14ac:dyDescent="0.2">
      <c r="A450" s="1110" t="str">
        <f t="shared" si="317"/>
        <v>General Tool Costs Clrd</v>
      </c>
      <c r="B450" s="831">
        <v>876</v>
      </c>
      <c r="C450" s="1571">
        <v>62.3</v>
      </c>
      <c r="D450" s="1216">
        <f t="shared" si="314"/>
        <v>2.02E-4</v>
      </c>
      <c r="E450" s="1582">
        <f t="shared" si="315"/>
        <v>149.07</v>
      </c>
      <c r="F450" s="1571">
        <v>0</v>
      </c>
      <c r="G450" s="1571">
        <v>0</v>
      </c>
      <c r="H450" s="1571">
        <v>0</v>
      </c>
      <c r="I450" s="1571">
        <v>57.83</v>
      </c>
      <c r="J450" s="1571">
        <v>67.239999999999995</v>
      </c>
      <c r="K450" s="1571">
        <v>0</v>
      </c>
      <c r="L450" s="1574">
        <f t="shared" si="318"/>
        <v>4</v>
      </c>
      <c r="M450" s="1574">
        <f t="shared" si="318"/>
        <v>3</v>
      </c>
      <c r="N450" s="1574">
        <f t="shared" si="318"/>
        <v>5</v>
      </c>
      <c r="O450" s="1574">
        <f t="shared" si="318"/>
        <v>4</v>
      </c>
      <c r="P450" s="1574">
        <f t="shared" si="318"/>
        <v>4</v>
      </c>
      <c r="Q450" s="1574">
        <f t="shared" si="318"/>
        <v>4</v>
      </c>
    </row>
    <row r="451" spans="1:17" x14ac:dyDescent="0.2">
      <c r="A451" s="1110" t="str">
        <f t="shared" si="317"/>
        <v>General Tool Costs Clrd</v>
      </c>
      <c r="B451" s="831">
        <v>878</v>
      </c>
      <c r="C451" s="1571">
        <v>8049.7</v>
      </c>
      <c r="D451" s="1216">
        <f t="shared" si="314"/>
        <v>2.6085000000000001E-2</v>
      </c>
      <c r="E451" s="1582">
        <f t="shared" si="315"/>
        <v>7453.66</v>
      </c>
      <c r="F451" s="1571">
        <v>294.26</v>
      </c>
      <c r="G451" s="1571">
        <v>852.82</v>
      </c>
      <c r="H451" s="1571">
        <v>1233.9000000000001</v>
      </c>
      <c r="I451" s="1571">
        <v>502.24</v>
      </c>
      <c r="J451" s="1571">
        <v>1061.94</v>
      </c>
      <c r="K451" s="1571">
        <v>522.5</v>
      </c>
      <c r="L451" s="1574">
        <f t="shared" si="318"/>
        <v>492</v>
      </c>
      <c r="M451" s="1574">
        <f t="shared" si="318"/>
        <v>434</v>
      </c>
      <c r="N451" s="1574">
        <f t="shared" si="318"/>
        <v>584</v>
      </c>
      <c r="O451" s="1574">
        <f t="shared" si="318"/>
        <v>538</v>
      </c>
      <c r="P451" s="1574">
        <f t="shared" si="318"/>
        <v>469</v>
      </c>
      <c r="Q451" s="1574">
        <f t="shared" si="318"/>
        <v>469</v>
      </c>
    </row>
    <row r="452" spans="1:17" x14ac:dyDescent="0.2">
      <c r="A452" s="1110" t="str">
        <f t="shared" si="317"/>
        <v>General Tool Costs Clrd</v>
      </c>
      <c r="B452" s="831">
        <v>879</v>
      </c>
      <c r="C452" s="1571">
        <v>10156.969999999999</v>
      </c>
      <c r="D452" s="1216">
        <f t="shared" si="314"/>
        <v>3.2913999999999999E-2</v>
      </c>
      <c r="E452" s="1582">
        <f t="shared" si="315"/>
        <v>10435.98</v>
      </c>
      <c r="F452" s="1571">
        <v>622.67999999999995</v>
      </c>
      <c r="G452" s="1571">
        <v>1482.16</v>
      </c>
      <c r="H452" s="1571">
        <v>888.93</v>
      </c>
      <c r="I452" s="1571">
        <v>721.02</v>
      </c>
      <c r="J452" s="1571">
        <v>1423.72</v>
      </c>
      <c r="K452" s="1571">
        <v>1531.47</v>
      </c>
      <c r="L452" s="1574">
        <f t="shared" si="318"/>
        <v>620</v>
      </c>
      <c r="M452" s="1574">
        <f t="shared" si="318"/>
        <v>548</v>
      </c>
      <c r="N452" s="1574">
        <f t="shared" si="318"/>
        <v>737</v>
      </c>
      <c r="O452" s="1574">
        <f t="shared" si="318"/>
        <v>679</v>
      </c>
      <c r="P452" s="1574">
        <f t="shared" si="318"/>
        <v>591</v>
      </c>
      <c r="Q452" s="1574">
        <f t="shared" si="318"/>
        <v>591</v>
      </c>
    </row>
    <row r="453" spans="1:17" x14ac:dyDescent="0.2">
      <c r="A453" s="1110" t="str">
        <f t="shared" si="317"/>
        <v>General Tool Costs Clrd</v>
      </c>
      <c r="B453" s="831">
        <v>880</v>
      </c>
      <c r="C453" s="1571">
        <v>126938.89</v>
      </c>
      <c r="D453" s="1216">
        <f t="shared" si="314"/>
        <v>0.41135100000000002</v>
      </c>
      <c r="E453" s="1582">
        <f t="shared" si="315"/>
        <v>90869.15</v>
      </c>
      <c r="F453" s="1571">
        <v>2301.3000000000002</v>
      </c>
      <c r="G453" s="1571">
        <v>12341.71</v>
      </c>
      <c r="H453" s="1571">
        <v>6763.69</v>
      </c>
      <c r="I453" s="1571">
        <v>9956.82</v>
      </c>
      <c r="J453" s="1571">
        <v>8555.18</v>
      </c>
      <c r="K453" s="1571">
        <v>3872.45</v>
      </c>
      <c r="L453" s="1574">
        <f t="shared" si="318"/>
        <v>7755</v>
      </c>
      <c r="M453" s="1574">
        <f t="shared" si="318"/>
        <v>6843</v>
      </c>
      <c r="N453" s="1574">
        <f t="shared" si="318"/>
        <v>9215</v>
      </c>
      <c r="O453" s="1574">
        <f t="shared" si="318"/>
        <v>8485</v>
      </c>
      <c r="P453" s="1574">
        <f t="shared" si="318"/>
        <v>7390</v>
      </c>
      <c r="Q453" s="1574">
        <f t="shared" si="318"/>
        <v>7390</v>
      </c>
    </row>
    <row r="454" spans="1:17" x14ac:dyDescent="0.2">
      <c r="A454" s="1110" t="str">
        <f t="shared" si="317"/>
        <v>General Tool Costs Clrd</v>
      </c>
      <c r="B454" s="831">
        <v>886</v>
      </c>
      <c r="C454" s="1571">
        <v>420.94</v>
      </c>
      <c r="D454" s="1216">
        <f t="shared" si="314"/>
        <v>1.364E-3</v>
      </c>
      <c r="E454" s="1582">
        <f t="shared" si="315"/>
        <v>158</v>
      </c>
      <c r="F454" s="1571">
        <v>0</v>
      </c>
      <c r="G454" s="1571">
        <v>0</v>
      </c>
      <c r="H454" s="1571">
        <v>0</v>
      </c>
      <c r="I454" s="1571">
        <v>0</v>
      </c>
      <c r="J454" s="1571">
        <v>0</v>
      </c>
      <c r="K454" s="1571">
        <v>0</v>
      </c>
      <c r="L454" s="1574">
        <f t="shared" si="318"/>
        <v>26</v>
      </c>
      <c r="M454" s="1574">
        <f t="shared" si="318"/>
        <v>23</v>
      </c>
      <c r="N454" s="1574">
        <f t="shared" si="318"/>
        <v>31</v>
      </c>
      <c r="O454" s="1574">
        <f t="shared" si="318"/>
        <v>28</v>
      </c>
      <c r="P454" s="1574">
        <f t="shared" si="318"/>
        <v>25</v>
      </c>
      <c r="Q454" s="1574">
        <f t="shared" si="318"/>
        <v>25</v>
      </c>
    </row>
    <row r="455" spans="1:17" x14ac:dyDescent="0.2">
      <c r="A455" s="1110" t="str">
        <f t="shared" si="317"/>
        <v>General Tool Costs Clrd</v>
      </c>
      <c r="B455" s="831">
        <v>887</v>
      </c>
      <c r="C455" s="1571">
        <v>68036.94</v>
      </c>
      <c r="D455" s="1216">
        <f t="shared" ref="D455:D458" si="319">ROUND(C455/$C$464,6)</f>
        <v>0.22047600000000001</v>
      </c>
      <c r="E455" s="1582">
        <f t="shared" si="315"/>
        <v>60954.46</v>
      </c>
      <c r="F455" s="1571">
        <v>4837.05</v>
      </c>
      <c r="G455" s="1571">
        <v>4922.8599999999997</v>
      </c>
      <c r="H455" s="1571">
        <v>5014.33</v>
      </c>
      <c r="I455" s="1571">
        <v>6397.37</v>
      </c>
      <c r="J455" s="1571">
        <v>6033.34</v>
      </c>
      <c r="K455" s="1571">
        <v>8516.51</v>
      </c>
      <c r="L455" s="1574">
        <f t="shared" ref="L455:Q458" si="320">ROUND($D455*L$464,0)</f>
        <v>4156</v>
      </c>
      <c r="M455" s="1574">
        <f t="shared" si="320"/>
        <v>3668</v>
      </c>
      <c r="N455" s="1574">
        <f t="shared" si="320"/>
        <v>4939</v>
      </c>
      <c r="O455" s="1574">
        <f t="shared" si="320"/>
        <v>4548</v>
      </c>
      <c r="P455" s="1574">
        <f t="shared" si="320"/>
        <v>3961</v>
      </c>
      <c r="Q455" s="1574">
        <f t="shared" si="320"/>
        <v>3961</v>
      </c>
    </row>
    <row r="456" spans="1:17" x14ac:dyDescent="0.2">
      <c r="A456" s="1110" t="str">
        <f t="shared" si="317"/>
        <v>General Tool Costs Clrd</v>
      </c>
      <c r="B456" s="831">
        <v>889</v>
      </c>
      <c r="C456" s="1571">
        <v>360.81</v>
      </c>
      <c r="D456" s="1216">
        <f t="shared" si="319"/>
        <v>1.1689999999999999E-3</v>
      </c>
      <c r="E456" s="1582">
        <f t="shared" si="315"/>
        <v>550.03</v>
      </c>
      <c r="F456" s="1571">
        <v>0</v>
      </c>
      <c r="G456" s="1571">
        <v>117.49</v>
      </c>
      <c r="H456" s="1571">
        <v>0</v>
      </c>
      <c r="I456" s="1571">
        <v>133.52000000000001</v>
      </c>
      <c r="J456" s="1571">
        <v>166.02</v>
      </c>
      <c r="K456" s="1571">
        <v>0</v>
      </c>
      <c r="L456" s="1574">
        <f t="shared" si="320"/>
        <v>22</v>
      </c>
      <c r="M456" s="1574">
        <f t="shared" si="320"/>
        <v>19</v>
      </c>
      <c r="N456" s="1574">
        <f t="shared" si="320"/>
        <v>26</v>
      </c>
      <c r="O456" s="1574">
        <f t="shared" si="320"/>
        <v>24</v>
      </c>
      <c r="P456" s="1574">
        <f t="shared" si="320"/>
        <v>21</v>
      </c>
      <c r="Q456" s="1574">
        <f t="shared" si="320"/>
        <v>21</v>
      </c>
    </row>
    <row r="457" spans="1:17" x14ac:dyDescent="0.2">
      <c r="A457" s="1110" t="str">
        <f t="shared" si="317"/>
        <v>General Tool Costs Clrd</v>
      </c>
      <c r="B457" s="831">
        <v>890</v>
      </c>
      <c r="C457" s="1571">
        <v>4.47</v>
      </c>
      <c r="D457" s="1216">
        <f t="shared" si="319"/>
        <v>1.4E-5</v>
      </c>
      <c r="E457" s="1582">
        <f t="shared" si="315"/>
        <v>0</v>
      </c>
      <c r="F457" s="1571">
        <v>0</v>
      </c>
      <c r="G457" s="1571">
        <v>0</v>
      </c>
      <c r="H457" s="1571">
        <v>0</v>
      </c>
      <c r="I457" s="1571">
        <v>0</v>
      </c>
      <c r="J457" s="1571">
        <v>0</v>
      </c>
      <c r="K457" s="1571">
        <v>0</v>
      </c>
      <c r="L457" s="1574">
        <f t="shared" si="320"/>
        <v>0</v>
      </c>
      <c r="M457" s="1574">
        <f t="shared" si="320"/>
        <v>0</v>
      </c>
      <c r="N457" s="1574">
        <f t="shared" si="320"/>
        <v>0</v>
      </c>
      <c r="O457" s="1574">
        <f t="shared" si="320"/>
        <v>0</v>
      </c>
      <c r="P457" s="1574">
        <f t="shared" si="320"/>
        <v>0</v>
      </c>
      <c r="Q457" s="1574">
        <f t="shared" si="320"/>
        <v>0</v>
      </c>
    </row>
    <row r="458" spans="1:17" x14ac:dyDescent="0.2">
      <c r="A458" s="1110" t="str">
        <f t="shared" si="317"/>
        <v>General Tool Costs Clrd</v>
      </c>
      <c r="B458" s="831">
        <v>892</v>
      </c>
      <c r="C458" s="1571">
        <v>20271.919999999998</v>
      </c>
      <c r="D458" s="1216">
        <f t="shared" si="319"/>
        <v>6.5692E-2</v>
      </c>
      <c r="E458" s="1582">
        <f t="shared" si="315"/>
        <v>20172.419999999998</v>
      </c>
      <c r="F458" s="1571">
        <v>1763.88</v>
      </c>
      <c r="G458" s="1571">
        <v>1555.38</v>
      </c>
      <c r="H458" s="1571">
        <v>1601.71</v>
      </c>
      <c r="I458" s="1571">
        <v>2734.61</v>
      </c>
      <c r="J458" s="1571">
        <v>2255.42</v>
      </c>
      <c r="K458" s="1571">
        <v>2743.42</v>
      </c>
      <c r="L458" s="1574">
        <f t="shared" si="320"/>
        <v>1238</v>
      </c>
      <c r="M458" s="1574">
        <f t="shared" si="320"/>
        <v>1093</v>
      </c>
      <c r="N458" s="1574">
        <f t="shared" si="320"/>
        <v>1472</v>
      </c>
      <c r="O458" s="1574">
        <f t="shared" si="320"/>
        <v>1355</v>
      </c>
      <c r="P458" s="1574">
        <f t="shared" si="320"/>
        <v>1180</v>
      </c>
      <c r="Q458" s="1574">
        <f t="shared" si="320"/>
        <v>1180</v>
      </c>
    </row>
    <row r="459" spans="1:17" x14ac:dyDescent="0.2">
      <c r="A459" s="1110" t="str">
        <f t="shared" si="317"/>
        <v>General Tool Costs Clrd</v>
      </c>
      <c r="B459" s="831">
        <v>893</v>
      </c>
      <c r="C459" s="1571">
        <v>135.09</v>
      </c>
      <c r="D459" s="1216">
        <f>ROUND(C459/$C$464,6)</f>
        <v>4.3800000000000002E-4</v>
      </c>
      <c r="E459" s="1582">
        <f t="shared" si="315"/>
        <v>170.57</v>
      </c>
      <c r="F459" s="1571">
        <v>4.13</v>
      </c>
      <c r="G459" s="1571">
        <v>11.76</v>
      </c>
      <c r="H459" s="1571">
        <v>20.34</v>
      </c>
      <c r="I459" s="1571">
        <v>39.97</v>
      </c>
      <c r="J459" s="1571">
        <v>0</v>
      </c>
      <c r="K459" s="1571">
        <v>44.37</v>
      </c>
      <c r="L459" s="1574">
        <f t="shared" ref="L459:Q462" si="321">ROUND($D459*L$464,0)</f>
        <v>8</v>
      </c>
      <c r="M459" s="1574">
        <f t="shared" si="321"/>
        <v>7</v>
      </c>
      <c r="N459" s="1574">
        <f t="shared" si="321"/>
        <v>10</v>
      </c>
      <c r="O459" s="1574">
        <f t="shared" si="321"/>
        <v>9</v>
      </c>
      <c r="P459" s="1574">
        <f t="shared" si="321"/>
        <v>8</v>
      </c>
      <c r="Q459" s="1574">
        <f t="shared" si="321"/>
        <v>8</v>
      </c>
    </row>
    <row r="460" spans="1:17" x14ac:dyDescent="0.2">
      <c r="A460" s="1110" t="str">
        <f t="shared" si="317"/>
        <v>General Tool Costs Clrd</v>
      </c>
      <c r="B460" s="831">
        <v>894</v>
      </c>
      <c r="C460" s="1571">
        <v>3020.66</v>
      </c>
      <c r="D460" s="1216">
        <f>ROUND(C460/$C$464,6)</f>
        <v>9.7890000000000008E-3</v>
      </c>
      <c r="E460" s="1582">
        <f t="shared" si="315"/>
        <v>4783.6899999999996</v>
      </c>
      <c r="F460" s="1571">
        <v>662.72</v>
      </c>
      <c r="G460" s="1571">
        <v>271.17</v>
      </c>
      <c r="H460" s="1571">
        <v>714.49</v>
      </c>
      <c r="I460" s="1571">
        <v>507.29</v>
      </c>
      <c r="J460" s="1571">
        <v>191.93</v>
      </c>
      <c r="K460" s="1571">
        <v>1315.09</v>
      </c>
      <c r="L460" s="1574">
        <f t="shared" si="321"/>
        <v>185</v>
      </c>
      <c r="M460" s="1574">
        <f t="shared" si="321"/>
        <v>163</v>
      </c>
      <c r="N460" s="1574">
        <f t="shared" si="321"/>
        <v>219</v>
      </c>
      <c r="O460" s="1574">
        <f t="shared" si="321"/>
        <v>202</v>
      </c>
      <c r="P460" s="1574">
        <f t="shared" si="321"/>
        <v>176</v>
      </c>
      <c r="Q460" s="1574">
        <f t="shared" si="321"/>
        <v>176</v>
      </c>
    </row>
    <row r="461" spans="1:17" x14ac:dyDescent="0.2">
      <c r="A461" s="1110" t="str">
        <f t="shared" si="317"/>
        <v>General Tool Costs Clrd</v>
      </c>
      <c r="B461" s="831">
        <v>902</v>
      </c>
      <c r="C461" s="1571">
        <v>129.29</v>
      </c>
      <c r="D461" s="1216">
        <f>ROUND(C461/$C$464,6)</f>
        <v>4.1899999999999999E-4</v>
      </c>
      <c r="E461" s="1582">
        <f t="shared" si="315"/>
        <v>178.29</v>
      </c>
      <c r="F461" s="1571">
        <v>0</v>
      </c>
      <c r="G461" s="1571">
        <v>0</v>
      </c>
      <c r="H461" s="1571">
        <v>0</v>
      </c>
      <c r="I461" s="1571">
        <v>129.29</v>
      </c>
      <c r="J461" s="1571">
        <v>0</v>
      </c>
      <c r="K461" s="1571">
        <v>0</v>
      </c>
      <c r="L461" s="1574">
        <f t="shared" si="321"/>
        <v>8</v>
      </c>
      <c r="M461" s="1574">
        <f t="shared" si="321"/>
        <v>7</v>
      </c>
      <c r="N461" s="1574">
        <f t="shared" si="321"/>
        <v>9</v>
      </c>
      <c r="O461" s="1574">
        <f t="shared" si="321"/>
        <v>9</v>
      </c>
      <c r="P461" s="1574">
        <f t="shared" si="321"/>
        <v>8</v>
      </c>
      <c r="Q461" s="1574">
        <f t="shared" si="321"/>
        <v>8</v>
      </c>
    </row>
    <row r="462" spans="1:17" x14ac:dyDescent="0.2">
      <c r="A462" s="1110" t="str">
        <f t="shared" si="317"/>
        <v>General Tool Costs Clrd</v>
      </c>
      <c r="B462" s="831">
        <v>903</v>
      </c>
      <c r="C462" s="1571">
        <v>1195.1600000000001</v>
      </c>
      <c r="D462" s="1216">
        <f>ROUND(C462/$C$464,6)</f>
        <v>3.8730000000000001E-3</v>
      </c>
      <c r="E462" s="1582">
        <f t="shared" si="315"/>
        <v>1480.38</v>
      </c>
      <c r="F462" s="1571">
        <v>66.28</v>
      </c>
      <c r="G462" s="1571">
        <v>541.78</v>
      </c>
      <c r="H462" s="1571">
        <v>73.94</v>
      </c>
      <c r="I462" s="1571">
        <v>37.86</v>
      </c>
      <c r="J462" s="1571">
        <v>193.1</v>
      </c>
      <c r="K462" s="1571">
        <v>123.42</v>
      </c>
      <c r="L462" s="1574">
        <f t="shared" si="321"/>
        <v>73</v>
      </c>
      <c r="M462" s="1574">
        <f t="shared" si="321"/>
        <v>64</v>
      </c>
      <c r="N462" s="1574">
        <f t="shared" si="321"/>
        <v>87</v>
      </c>
      <c r="O462" s="1574">
        <f t="shared" si="321"/>
        <v>80</v>
      </c>
      <c r="P462" s="1574">
        <f t="shared" si="321"/>
        <v>70</v>
      </c>
      <c r="Q462" s="1574">
        <f t="shared" si="321"/>
        <v>70</v>
      </c>
    </row>
    <row r="463" spans="1:17" ht="13.5" x14ac:dyDescent="0.35">
      <c r="A463" s="1110" t="str">
        <f t="shared" si="317"/>
        <v>General Tool Costs Clrd</v>
      </c>
      <c r="B463" s="831">
        <v>921</v>
      </c>
      <c r="C463" s="1623">
        <v>799.31</v>
      </c>
      <c r="D463" s="1217">
        <f>ROUND(C463/$C$464,6)</f>
        <v>2.5899999999999999E-3</v>
      </c>
      <c r="E463" s="1587">
        <f t="shared" si="315"/>
        <v>-112390.69</v>
      </c>
      <c r="F463" s="1623">
        <v>0</v>
      </c>
      <c r="G463" s="1623">
        <v>0</v>
      </c>
      <c r="H463" s="1623">
        <v>0</v>
      </c>
      <c r="I463" s="1623">
        <v>799.31</v>
      </c>
      <c r="J463" s="1623">
        <v>0</v>
      </c>
      <c r="K463" s="1623">
        <v>0</v>
      </c>
      <c r="L463" s="2009">
        <f t="shared" ref="L463:Q463" si="322">L464-SUM(L447:L462)</f>
        <v>-18644</v>
      </c>
      <c r="M463" s="2009">
        <f t="shared" si="322"/>
        <v>-16451</v>
      </c>
      <c r="N463" s="2009">
        <f t="shared" si="322"/>
        <v>-22155</v>
      </c>
      <c r="O463" s="2009">
        <f t="shared" si="322"/>
        <v>-20400</v>
      </c>
      <c r="P463" s="2009">
        <f t="shared" si="322"/>
        <v>-17770</v>
      </c>
      <c r="Q463" s="2009">
        <f t="shared" si="322"/>
        <v>-17770</v>
      </c>
    </row>
    <row r="464" spans="1:17" x14ac:dyDescent="0.2">
      <c r="A464" s="1110"/>
      <c r="B464" s="1110"/>
      <c r="C464" s="1582">
        <f>SUM(C447:C463)</f>
        <v>308590.47999999992</v>
      </c>
      <c r="D464" s="1216">
        <f>SUM(D447:D463)</f>
        <v>0.99999899999999997</v>
      </c>
      <c r="E464" s="1582">
        <f>SUM(E447:E463)</f>
        <v>271323.56000000006</v>
      </c>
      <c r="F464" s="1582">
        <f>SUM(F447:F463)</f>
        <v>14373.56</v>
      </c>
      <c r="G464" s="1582">
        <f t="shared" ref="G464:K464" si="323">SUM(G447:G463)</f>
        <v>26515.929999999997</v>
      </c>
      <c r="H464" s="1582">
        <f t="shared" si="323"/>
        <v>23119.51</v>
      </c>
      <c r="I464" s="1582">
        <f t="shared" si="323"/>
        <v>33862.53</v>
      </c>
      <c r="J464" s="1582">
        <f t="shared" si="323"/>
        <v>28188.089999999997</v>
      </c>
      <c r="K464" s="1582">
        <f t="shared" si="323"/>
        <v>30816.939999999995</v>
      </c>
      <c r="L464" s="1574">
        <f t="shared" ref="L464:Q464" si="324">L118</f>
        <v>18852</v>
      </c>
      <c r="M464" s="1574">
        <f t="shared" si="324"/>
        <v>16635</v>
      </c>
      <c r="N464" s="1574">
        <f t="shared" si="324"/>
        <v>22401</v>
      </c>
      <c r="O464" s="1574">
        <f t="shared" si="324"/>
        <v>20627</v>
      </c>
      <c r="P464" s="1574">
        <f t="shared" si="324"/>
        <v>17966</v>
      </c>
      <c r="Q464" s="1574">
        <f t="shared" si="324"/>
        <v>17966</v>
      </c>
    </row>
    <row r="465" spans="1:17" s="1112" customFormat="1" x14ac:dyDescent="0.2">
      <c r="A465" s="1110"/>
      <c r="B465" s="1110"/>
      <c r="C465" s="1571"/>
      <c r="D465" s="1573"/>
      <c r="E465" s="1571"/>
      <c r="F465" s="1571"/>
      <c r="G465" s="1571"/>
      <c r="H465" s="1571"/>
      <c r="I465" s="1571"/>
      <c r="J465" s="1571"/>
      <c r="K465" s="1571"/>
      <c r="L465" s="1574"/>
      <c r="M465" s="1574"/>
      <c r="N465" s="1574"/>
      <c r="O465" s="1574"/>
      <c r="P465" s="1574"/>
      <c r="Q465" s="1574"/>
    </row>
    <row r="466" spans="1:17" ht="10.5" customHeight="1" x14ac:dyDescent="0.2">
      <c r="A466" s="1110" t="str">
        <f>B117</f>
        <v>Meter Shop Costs Cleared</v>
      </c>
      <c r="B466" s="831">
        <v>904</v>
      </c>
      <c r="C466" s="1571">
        <v>0</v>
      </c>
      <c r="D466" s="1216">
        <v>1</v>
      </c>
      <c r="E466" s="1582">
        <f>SUM(L466:Q466)</f>
        <v>0</v>
      </c>
      <c r="F466" s="1582"/>
      <c r="G466" s="1582"/>
      <c r="H466" s="1582"/>
      <c r="I466" s="1582"/>
      <c r="J466" s="1582"/>
      <c r="K466" s="1582"/>
      <c r="L466" s="1574">
        <f t="shared" ref="L466:Q466" si="325">L117</f>
        <v>0</v>
      </c>
      <c r="M466" s="1574">
        <f t="shared" si="325"/>
        <v>0</v>
      </c>
      <c r="N466" s="1574">
        <f t="shared" si="325"/>
        <v>0</v>
      </c>
      <c r="O466" s="1574">
        <f t="shared" si="325"/>
        <v>0</v>
      </c>
      <c r="P466" s="1574">
        <f t="shared" si="325"/>
        <v>0</v>
      </c>
      <c r="Q466" s="1574">
        <f t="shared" si="325"/>
        <v>0</v>
      </c>
    </row>
    <row r="467" spans="1:17" s="1112" customFormat="1" ht="10.5" customHeight="1" x14ac:dyDescent="0.2">
      <c r="A467" s="1110"/>
      <c r="B467" s="1110"/>
      <c r="C467" s="1571"/>
      <c r="D467" s="1573"/>
      <c r="E467" s="1571"/>
      <c r="F467" s="1571"/>
      <c r="G467" s="1571"/>
      <c r="H467" s="1571"/>
      <c r="I467" s="1571"/>
      <c r="J467" s="1571"/>
      <c r="K467" s="1571"/>
      <c r="L467" s="1574"/>
      <c r="M467" s="1574"/>
      <c r="N467" s="1574"/>
      <c r="O467" s="1574"/>
      <c r="P467" s="1574"/>
      <c r="Q467" s="1574"/>
    </row>
    <row r="468" spans="1:17" ht="10.5" customHeight="1" x14ac:dyDescent="0.2">
      <c r="A468" s="1110" t="str">
        <f>B120</f>
        <v>Storeroom Costs Cleared</v>
      </c>
      <c r="B468" s="831">
        <v>904</v>
      </c>
      <c r="C468" s="1571">
        <v>0</v>
      </c>
      <c r="D468" s="1216">
        <v>1</v>
      </c>
      <c r="E468" s="1582">
        <f>SUM(L468:Q468)</f>
        <v>0</v>
      </c>
      <c r="F468" s="1582"/>
      <c r="G468" s="1582"/>
      <c r="H468" s="1582"/>
      <c r="I468" s="1582"/>
      <c r="J468" s="1582"/>
      <c r="K468" s="1582"/>
      <c r="L468" s="1574">
        <f t="shared" ref="L468:Q468" si="326">L120</f>
        <v>0</v>
      </c>
      <c r="M468" s="1574">
        <f t="shared" si="326"/>
        <v>0</v>
      </c>
      <c r="N468" s="1574">
        <f t="shared" si="326"/>
        <v>0</v>
      </c>
      <c r="O468" s="1574">
        <f t="shared" si="326"/>
        <v>0</v>
      </c>
      <c r="P468" s="1574">
        <f t="shared" si="326"/>
        <v>0</v>
      </c>
      <c r="Q468" s="1574">
        <f t="shared" si="326"/>
        <v>0</v>
      </c>
    </row>
    <row r="469" spans="1:17" s="1112" customFormat="1" ht="10.5" customHeight="1" x14ac:dyDescent="0.2">
      <c r="A469" s="1110"/>
      <c r="B469" s="1110"/>
      <c r="C469" s="1571"/>
      <c r="D469" s="1573"/>
      <c r="E469" s="1582"/>
      <c r="F469" s="1582"/>
      <c r="G469" s="1582"/>
      <c r="H469" s="1582"/>
      <c r="I469" s="1582"/>
      <c r="J469" s="1582"/>
      <c r="K469" s="1582"/>
      <c r="L469" s="1574"/>
      <c r="M469" s="1574"/>
      <c r="N469" s="1574"/>
      <c r="O469" s="1574"/>
      <c r="P469" s="1574"/>
      <c r="Q469" s="1574"/>
    </row>
    <row r="470" spans="1:17" x14ac:dyDescent="0.2">
      <c r="A470" s="1113"/>
      <c r="B470" s="1111"/>
      <c r="C470" s="1571"/>
      <c r="D470" s="1216"/>
      <c r="E470" s="1571"/>
      <c r="F470" s="1571"/>
      <c r="G470" s="1571"/>
      <c r="H470" s="1571"/>
      <c r="I470" s="1571"/>
      <c r="J470" s="1571"/>
      <c r="K470" s="1571"/>
      <c r="L470" s="1574"/>
      <c r="M470" s="1574"/>
      <c r="N470" s="1574"/>
      <c r="O470" s="1574"/>
      <c r="P470" s="1574"/>
      <c r="Q470" s="1574"/>
    </row>
    <row r="471" spans="1:17" s="1112" customFormat="1" x14ac:dyDescent="0.2">
      <c r="C471" s="1575"/>
      <c r="D471" s="1573"/>
      <c r="E471" s="1575"/>
      <c r="F471" s="1575"/>
      <c r="G471" s="1575"/>
      <c r="H471" s="1575"/>
      <c r="I471" s="1575"/>
      <c r="J471" s="1575"/>
      <c r="K471" s="1575"/>
      <c r="L471" s="1576"/>
      <c r="M471" s="1576"/>
      <c r="N471" s="1576"/>
      <c r="O471" s="1576"/>
      <c r="P471" s="1576"/>
      <c r="Q471" s="1576"/>
    </row>
    <row r="472" spans="1:17" x14ac:dyDescent="0.2">
      <c r="A472" s="1112"/>
      <c r="B472" s="1112"/>
      <c r="C472" s="1575"/>
      <c r="D472" s="1213"/>
      <c r="E472" s="1572">
        <f>SUM(E416:E422,E368:E369,E214,E273:E276,E217:E221,E295:E326,E374:E375,E380,E256:E270,E447:E463,E381,E245:E249,E252:E253,E226:E228,E231:E242,E224,E382,E378,E329:E330,E166:E184,E383,E466,E372,E338:E342,E345:E365,E143:E163,E384:E401,E187:E209,E402:E414,E468,E333:E336,E279:E292,E425:E444)+E212</f>
        <v>39066472.800000012</v>
      </c>
      <c r="F472" s="1572">
        <f t="shared" ref="F472:Q472" si="327">SUM(F416:F422,F368:F369,F214,F273:F276,F217:F221,F295:F326,F374:F375,F380,F256:F270,F447:F463,F381,F245:F249,F252:F253,F226:F228,F231:F242,F224,F382,F378,F329:F330,F166:F184,F383,F466,F372,F338:F342,F345:F365,F143:F163,F384:F401,F187:F209,F402:F414,F468,F333:F336,F279:F292,F425:F444)+F212</f>
        <v>2815928.399999999</v>
      </c>
      <c r="G472" s="1572">
        <f t="shared" si="327"/>
        <v>2896049.9899999988</v>
      </c>
      <c r="H472" s="1572">
        <f t="shared" si="327"/>
        <v>3137525.6900000004</v>
      </c>
      <c r="I472" s="1572">
        <f t="shared" si="327"/>
        <v>3541067.1400000006</v>
      </c>
      <c r="J472" s="1572">
        <f t="shared" si="327"/>
        <v>3080649.6800000011</v>
      </c>
      <c r="K472" s="1572">
        <f t="shared" si="327"/>
        <v>3300693.8999999994</v>
      </c>
      <c r="L472" s="1572">
        <f t="shared" si="327"/>
        <v>3329606</v>
      </c>
      <c r="M472" s="1572">
        <f t="shared" si="327"/>
        <v>3264548</v>
      </c>
      <c r="N472" s="1572">
        <f t="shared" si="327"/>
        <v>3346676</v>
      </c>
      <c r="O472" s="1572">
        <f t="shared" si="327"/>
        <v>3493004</v>
      </c>
      <c r="P472" s="1572">
        <f t="shared" si="327"/>
        <v>3434456</v>
      </c>
      <c r="Q472" s="1572">
        <f t="shared" si="327"/>
        <v>3426268</v>
      </c>
    </row>
    <row r="473" spans="1:17" x14ac:dyDescent="0.15">
      <c r="A473" s="1627" t="s">
        <v>1194</v>
      </c>
      <c r="B473" s="1627"/>
      <c r="C473" s="1642">
        <f>C164+C185+C210+C212+C215+C222+C224+C229+C243+C250+C254+C271+C277+C293+C327+C331+C333+C334+C335+C336+C343+C366+C370+C372+C376+C378+SUM(C380:C414)+C423+C445+C464+C466+C468</f>
        <v>35772731.380000025</v>
      </c>
      <c r="D473" s="1223"/>
      <c r="E473" s="1642">
        <f>E164+E185+E210+E212+E215+E222+E224+E229+E243+E250+E254+E271+E277+E293+E327+E331+E333+E334+E335+E336+E343+E366+E370+E372+E376+E378+SUM(E380:E414)+E423+E445+E464+E466+E468</f>
        <v>39066472.800000012</v>
      </c>
      <c r="F473" s="1642">
        <f t="shared" ref="F473:Q473" si="328">F164+F185+F210+F212+F215+F222+F224+F229+F243+F250+F254+F271+F277+F293+F327+F331+F333+F334+F335+F336+F343+F366+F370+F372+F376+F378+SUM(F380:F414)+F423+F445+F464+F466+F468</f>
        <v>2815928.3999999994</v>
      </c>
      <c r="G473" s="1642">
        <f t="shared" si="328"/>
        <v>2896049.9899999998</v>
      </c>
      <c r="H473" s="1642">
        <f t="shared" si="328"/>
        <v>3137525.69</v>
      </c>
      <c r="I473" s="1642">
        <f t="shared" si="328"/>
        <v>3541067.1399999987</v>
      </c>
      <c r="J473" s="1642">
        <f t="shared" si="328"/>
        <v>3080649.6799999997</v>
      </c>
      <c r="K473" s="1642">
        <f t="shared" si="328"/>
        <v>3300693.9</v>
      </c>
      <c r="L473" s="1642">
        <f t="shared" si="328"/>
        <v>3329606</v>
      </c>
      <c r="M473" s="1642">
        <f t="shared" si="328"/>
        <v>3264548</v>
      </c>
      <c r="N473" s="1642">
        <f t="shared" si="328"/>
        <v>3346676</v>
      </c>
      <c r="O473" s="1642">
        <f t="shared" si="328"/>
        <v>3493004</v>
      </c>
      <c r="P473" s="1642">
        <f t="shared" si="328"/>
        <v>3434456</v>
      </c>
      <c r="Q473" s="1642">
        <f t="shared" si="328"/>
        <v>3426268</v>
      </c>
    </row>
    <row r="474" spans="1:17" x14ac:dyDescent="0.15">
      <c r="A474" s="1112"/>
      <c r="B474" s="1112"/>
      <c r="C474" s="1628"/>
      <c r="E474" s="1628"/>
      <c r="F474" s="1628"/>
      <c r="G474" s="1628"/>
      <c r="H474" s="1628"/>
      <c r="I474" s="1628"/>
      <c r="J474" s="1628"/>
      <c r="K474" s="1628"/>
      <c r="L474" s="2011"/>
      <c r="M474" s="1574"/>
      <c r="N474" s="1112"/>
      <c r="O474" s="1112"/>
      <c r="P474" s="1112"/>
      <c r="Q474" s="1112"/>
    </row>
    <row r="475" spans="1:17" x14ac:dyDescent="0.15">
      <c r="A475" s="1112" t="s">
        <v>218</v>
      </c>
      <c r="B475" s="1112"/>
      <c r="C475" s="1628"/>
      <c r="E475" s="1112">
        <f t="shared" ref="E475:Q475" si="329">E473-E135</f>
        <v>0</v>
      </c>
      <c r="F475" s="1112">
        <f t="shared" si="329"/>
        <v>0</v>
      </c>
      <c r="G475" s="1112">
        <f t="shared" si="329"/>
        <v>0</v>
      </c>
      <c r="H475" s="1112">
        <f t="shared" si="329"/>
        <v>0</v>
      </c>
      <c r="I475" s="1112">
        <f t="shared" si="329"/>
        <v>0</v>
      </c>
      <c r="J475" s="1112">
        <f t="shared" si="329"/>
        <v>0</v>
      </c>
      <c r="K475" s="1112">
        <f t="shared" si="329"/>
        <v>0</v>
      </c>
      <c r="L475" s="1112">
        <f t="shared" si="329"/>
        <v>0</v>
      </c>
      <c r="M475" s="1112">
        <f t="shared" si="329"/>
        <v>0</v>
      </c>
      <c r="N475" s="1112">
        <f t="shared" si="329"/>
        <v>0</v>
      </c>
      <c r="O475" s="1112">
        <f t="shared" si="329"/>
        <v>0</v>
      </c>
      <c r="P475" s="1112">
        <f t="shared" si="329"/>
        <v>0</v>
      </c>
      <c r="Q475" s="1112">
        <f t="shared" si="329"/>
        <v>0</v>
      </c>
    </row>
    <row r="476" spans="1:17" x14ac:dyDescent="0.15">
      <c r="B476" s="1112"/>
      <c r="C476" s="1628"/>
      <c r="E476" s="1112">
        <f>E472-E473</f>
        <v>0</v>
      </c>
      <c r="F476" s="1112">
        <f t="shared" ref="F476:K476" si="330">F472-F473</f>
        <v>0</v>
      </c>
      <c r="G476" s="1112">
        <f t="shared" si="330"/>
        <v>0</v>
      </c>
      <c r="H476" s="1112">
        <f t="shared" si="330"/>
        <v>0</v>
      </c>
      <c r="I476" s="1112">
        <f t="shared" si="330"/>
        <v>0</v>
      </c>
      <c r="J476" s="1112">
        <f t="shared" si="330"/>
        <v>0</v>
      </c>
      <c r="K476" s="1112">
        <f t="shared" si="330"/>
        <v>0</v>
      </c>
      <c r="L476" s="1112">
        <f t="shared" ref="L476:Q476" si="331">L472-L473</f>
        <v>0</v>
      </c>
      <c r="M476" s="1112">
        <f t="shared" si="331"/>
        <v>0</v>
      </c>
      <c r="N476" s="1112">
        <f t="shared" si="331"/>
        <v>0</v>
      </c>
      <c r="O476" s="1112">
        <f t="shared" si="331"/>
        <v>0</v>
      </c>
      <c r="P476" s="1112">
        <f t="shared" si="331"/>
        <v>0</v>
      </c>
      <c r="Q476" s="1112">
        <f t="shared" si="331"/>
        <v>0</v>
      </c>
    </row>
    <row r="477" spans="1:17" x14ac:dyDescent="0.15">
      <c r="B477" s="1112"/>
      <c r="C477" s="1628"/>
      <c r="D477" s="1224"/>
      <c r="L477" s="1220"/>
      <c r="M477" s="1194"/>
    </row>
    <row r="478" spans="1:17" x14ac:dyDescent="0.15">
      <c r="B478" s="1112"/>
      <c r="C478" s="1628"/>
      <c r="D478" s="1224"/>
      <c r="L478" s="1220"/>
      <c r="M478" s="1194"/>
    </row>
    <row r="479" spans="1:17" x14ac:dyDescent="0.15">
      <c r="B479" s="1112"/>
      <c r="C479" s="1628"/>
      <c r="D479" s="1224"/>
      <c r="L479" s="1220"/>
      <c r="M479" s="1194"/>
    </row>
    <row r="480" spans="1:17" x14ac:dyDescent="0.15">
      <c r="B480" s="1112"/>
      <c r="C480" s="1628"/>
      <c r="D480" s="1224"/>
      <c r="L480" s="1220"/>
      <c r="M480" s="1194"/>
    </row>
    <row r="481" spans="2:13" x14ac:dyDescent="0.15">
      <c r="B481" s="1112"/>
      <c r="C481" s="1628"/>
      <c r="D481" s="1224"/>
      <c r="L481" s="1220"/>
      <c r="M481" s="1194"/>
    </row>
    <row r="482" spans="2:13" x14ac:dyDescent="0.15">
      <c r="B482" s="1112"/>
      <c r="C482" s="1628"/>
      <c r="D482" s="1224"/>
      <c r="L482" s="1220"/>
      <c r="M482" s="1194"/>
    </row>
    <row r="483" spans="2:13" x14ac:dyDescent="0.15">
      <c r="B483" s="1112"/>
      <c r="C483" s="1628"/>
      <c r="D483" s="1224"/>
      <c r="L483" s="1220"/>
      <c r="M483" s="1194"/>
    </row>
    <row r="484" spans="2:13" x14ac:dyDescent="0.15">
      <c r="B484" s="1112"/>
      <c r="C484" s="1628"/>
      <c r="D484" s="1224"/>
      <c r="L484" s="1220"/>
      <c r="M484" s="1194"/>
    </row>
    <row r="485" spans="2:13" x14ac:dyDescent="0.15">
      <c r="B485" s="1112"/>
      <c r="C485" s="1628"/>
      <c r="D485" s="1224"/>
      <c r="L485" s="1220"/>
      <c r="M485" s="1194"/>
    </row>
    <row r="486" spans="2:13" x14ac:dyDescent="0.15">
      <c r="B486" s="1112"/>
      <c r="C486" s="1628"/>
      <c r="D486" s="1224"/>
      <c r="L486" s="1220"/>
      <c r="M486" s="1194"/>
    </row>
    <row r="487" spans="2:13" x14ac:dyDescent="0.15">
      <c r="B487" s="1112"/>
      <c r="C487" s="1628"/>
      <c r="D487" s="1224"/>
      <c r="L487" s="1220"/>
      <c r="M487" s="1194"/>
    </row>
    <row r="488" spans="2:13" x14ac:dyDescent="0.15">
      <c r="B488" s="1112"/>
      <c r="C488" s="1628"/>
      <c r="D488" s="1224"/>
      <c r="L488" s="1220"/>
      <c r="M488" s="1194"/>
    </row>
    <row r="489" spans="2:13" x14ac:dyDescent="0.15">
      <c r="B489" s="1112"/>
      <c r="C489" s="1628"/>
      <c r="D489" s="1224"/>
      <c r="L489" s="1220"/>
      <c r="M489" s="1194"/>
    </row>
    <row r="490" spans="2:13" x14ac:dyDescent="0.15">
      <c r="B490" s="1112"/>
      <c r="C490" s="1628"/>
      <c r="D490" s="1224"/>
      <c r="L490" s="1220"/>
      <c r="M490" s="1194"/>
    </row>
    <row r="491" spans="2:13" x14ac:dyDescent="0.15">
      <c r="B491" s="1112"/>
      <c r="C491" s="1628"/>
      <c r="D491" s="1224"/>
      <c r="L491" s="1220"/>
      <c r="M491" s="1194"/>
    </row>
    <row r="492" spans="2:13" x14ac:dyDescent="0.15">
      <c r="B492" s="1112"/>
      <c r="C492" s="1628"/>
      <c r="D492" s="1224"/>
      <c r="L492" s="1220"/>
      <c r="M492" s="1194"/>
    </row>
    <row r="493" spans="2:13" x14ac:dyDescent="0.15">
      <c r="B493" s="1112"/>
      <c r="C493" s="1628"/>
      <c r="D493" s="1224"/>
      <c r="L493" s="1220"/>
      <c r="M493" s="1194"/>
    </row>
    <row r="494" spans="2:13" x14ac:dyDescent="0.15">
      <c r="B494" s="1112"/>
      <c r="C494" s="1628"/>
      <c r="D494" s="1224"/>
      <c r="L494" s="1220"/>
      <c r="M494" s="1194"/>
    </row>
    <row r="495" spans="2:13" x14ac:dyDescent="0.15">
      <c r="B495" s="1112"/>
      <c r="C495" s="1628"/>
      <c r="D495" s="1224"/>
      <c r="L495" s="1225"/>
    </row>
    <row r="496" spans="2:13" x14ac:dyDescent="0.15">
      <c r="B496" s="1112"/>
      <c r="C496" s="1628"/>
      <c r="D496" s="1224"/>
    </row>
    <row r="497" spans="2:4" x14ac:dyDescent="0.15">
      <c r="B497" s="1112"/>
      <c r="C497" s="1628"/>
      <c r="D497" s="1224"/>
    </row>
    <row r="498" spans="2:4" x14ac:dyDescent="0.15">
      <c r="B498" s="1112"/>
      <c r="C498" s="1628"/>
      <c r="D498" s="1224"/>
    </row>
    <row r="499" spans="2:4" ht="9.75" customHeight="1" x14ac:dyDescent="0.15">
      <c r="B499" s="1112"/>
      <c r="C499" s="1628"/>
      <c r="D499" s="1224"/>
    </row>
    <row r="500" spans="2:4" x14ac:dyDescent="0.15">
      <c r="B500" s="1112"/>
      <c r="C500" s="1628"/>
      <c r="D500" s="1224"/>
    </row>
    <row r="501" spans="2:4" x14ac:dyDescent="0.15">
      <c r="B501" s="1112"/>
      <c r="C501" s="1628"/>
      <c r="D501" s="1224"/>
    </row>
    <row r="502" spans="2:4" x14ac:dyDescent="0.15">
      <c r="B502" s="1112"/>
      <c r="C502" s="1628"/>
      <c r="D502" s="1224"/>
    </row>
    <row r="503" spans="2:4" x14ac:dyDescent="0.15">
      <c r="B503" s="1112"/>
      <c r="C503" s="1628"/>
      <c r="D503" s="1224"/>
    </row>
    <row r="504" spans="2:4" x14ac:dyDescent="0.15">
      <c r="B504" s="1112"/>
      <c r="C504" s="1628"/>
      <c r="D504" s="1224"/>
    </row>
    <row r="505" spans="2:4" x14ac:dyDescent="0.15">
      <c r="B505" s="1112"/>
      <c r="C505" s="1628"/>
      <c r="D505" s="1224"/>
    </row>
    <row r="506" spans="2:4" x14ac:dyDescent="0.15">
      <c r="B506" s="1112"/>
      <c r="C506" s="1628"/>
      <c r="D506" s="1224"/>
    </row>
    <row r="507" spans="2:4" x14ac:dyDescent="0.15">
      <c r="B507" s="1112"/>
      <c r="C507" s="1628"/>
      <c r="D507" s="1224"/>
    </row>
    <row r="508" spans="2:4" x14ac:dyDescent="0.15">
      <c r="B508" s="1112"/>
      <c r="C508" s="1628"/>
      <c r="D508" s="1224"/>
    </row>
    <row r="509" spans="2:4" x14ac:dyDescent="0.15">
      <c r="B509" s="1112"/>
      <c r="C509" s="1628"/>
      <c r="D509" s="1224"/>
    </row>
    <row r="510" spans="2:4" x14ac:dyDescent="0.15">
      <c r="B510" s="1112"/>
      <c r="C510" s="1628"/>
      <c r="D510" s="1224"/>
    </row>
    <row r="511" spans="2:4" x14ac:dyDescent="0.15">
      <c r="B511" s="1112"/>
      <c r="C511" s="1628"/>
      <c r="D511" s="1224"/>
    </row>
    <row r="512" spans="2:4" x14ac:dyDescent="0.15">
      <c r="C512" s="1628"/>
      <c r="D512" s="1224"/>
    </row>
    <row r="513" spans="3:4" x14ac:dyDescent="0.15">
      <c r="C513" s="1628"/>
      <c r="D513" s="1224"/>
    </row>
    <row r="514" spans="3:4" x14ac:dyDescent="0.15">
      <c r="C514" s="1628"/>
      <c r="D514" s="1224"/>
    </row>
    <row r="515" spans="3:4" x14ac:dyDescent="0.15">
      <c r="C515" s="1628"/>
      <c r="D515" s="1224"/>
    </row>
    <row r="516" spans="3:4" x14ac:dyDescent="0.15">
      <c r="C516" s="1628"/>
      <c r="D516" s="1224"/>
    </row>
    <row r="517" spans="3:4" x14ac:dyDescent="0.15">
      <c r="C517" s="1628"/>
      <c r="D517" s="1224"/>
    </row>
    <row r="518" spans="3:4" x14ac:dyDescent="0.15">
      <c r="C518" s="1628"/>
      <c r="D518" s="1224"/>
    </row>
    <row r="519" spans="3:4" x14ac:dyDescent="0.15">
      <c r="C519" s="1628"/>
      <c r="D519" s="1224"/>
    </row>
    <row r="520" spans="3:4" x14ac:dyDescent="0.15">
      <c r="C520" s="1628"/>
      <c r="D520" s="1224"/>
    </row>
    <row r="521" spans="3:4" x14ac:dyDescent="0.15">
      <c r="C521" s="1628"/>
      <c r="D521" s="1224"/>
    </row>
    <row r="522" spans="3:4" x14ac:dyDescent="0.15">
      <c r="C522" s="1628"/>
      <c r="D522" s="1224"/>
    </row>
    <row r="523" spans="3:4" x14ac:dyDescent="0.15">
      <c r="C523" s="1628"/>
      <c r="D523" s="1224"/>
    </row>
    <row r="524" spans="3:4" x14ac:dyDescent="0.15">
      <c r="C524" s="1628"/>
      <c r="D524" s="1224"/>
    </row>
    <row r="525" spans="3:4" x14ac:dyDescent="0.15">
      <c r="C525" s="1628"/>
      <c r="D525" s="1224"/>
    </row>
    <row r="526" spans="3:4" x14ac:dyDescent="0.15">
      <c r="C526" s="1628"/>
      <c r="D526" s="1224"/>
    </row>
    <row r="527" spans="3:4" x14ac:dyDescent="0.15">
      <c r="C527" s="1628"/>
      <c r="D527" s="1224"/>
    </row>
    <row r="528" spans="3:4" x14ac:dyDescent="0.15">
      <c r="C528" s="1628"/>
      <c r="D528" s="1224"/>
    </row>
    <row r="529" spans="3:4" x14ac:dyDescent="0.15">
      <c r="C529" s="1628"/>
      <c r="D529" s="1224"/>
    </row>
    <row r="530" spans="3:4" x14ac:dyDescent="0.15">
      <c r="C530" s="1628"/>
      <c r="D530" s="1224"/>
    </row>
    <row r="531" spans="3:4" x14ac:dyDescent="0.15">
      <c r="C531" s="1628"/>
      <c r="D531" s="1224"/>
    </row>
    <row r="532" spans="3:4" x14ac:dyDescent="0.15">
      <c r="C532" s="1628"/>
      <c r="D532" s="1224"/>
    </row>
    <row r="533" spans="3:4" x14ac:dyDescent="0.15">
      <c r="C533" s="1628"/>
      <c r="D533" s="1224"/>
    </row>
    <row r="534" spans="3:4" x14ac:dyDescent="0.15">
      <c r="C534" s="1628"/>
      <c r="D534" s="1224"/>
    </row>
    <row r="535" spans="3:4" x14ac:dyDescent="0.15">
      <c r="C535" s="1628"/>
      <c r="D535" s="1224"/>
    </row>
    <row r="536" spans="3:4" x14ac:dyDescent="0.15">
      <c r="C536" s="1628"/>
      <c r="D536" s="1224"/>
    </row>
    <row r="537" spans="3:4" x14ac:dyDescent="0.15">
      <c r="C537" s="1628"/>
      <c r="D537" s="1224"/>
    </row>
    <row r="538" spans="3:4" x14ac:dyDescent="0.15">
      <c r="C538" s="1628"/>
      <c r="D538" s="1224"/>
    </row>
    <row r="539" spans="3:4" x14ac:dyDescent="0.15">
      <c r="C539" s="1628"/>
      <c r="D539" s="1224"/>
    </row>
    <row r="540" spans="3:4" x14ac:dyDescent="0.15">
      <c r="C540" s="1628"/>
      <c r="D540" s="1224"/>
    </row>
    <row r="541" spans="3:4" x14ac:dyDescent="0.15">
      <c r="C541" s="1628"/>
      <c r="D541" s="1224"/>
    </row>
    <row r="542" spans="3:4" x14ac:dyDescent="0.15">
      <c r="C542" s="1628"/>
      <c r="D542" s="1224"/>
    </row>
    <row r="543" spans="3:4" x14ac:dyDescent="0.15">
      <c r="C543" s="1628"/>
      <c r="D543" s="1224"/>
    </row>
    <row r="544" spans="3:4" x14ac:dyDescent="0.15">
      <c r="C544" s="1628"/>
      <c r="D544" s="1224"/>
    </row>
    <row r="545" spans="3:4" x14ac:dyDescent="0.15">
      <c r="C545" s="1628"/>
      <c r="D545" s="1224"/>
    </row>
    <row r="546" spans="3:4" x14ac:dyDescent="0.15">
      <c r="C546" s="1628"/>
      <c r="D546" s="1224"/>
    </row>
    <row r="547" spans="3:4" x14ac:dyDescent="0.15">
      <c r="C547" s="1628"/>
      <c r="D547" s="1224"/>
    </row>
    <row r="548" spans="3:4" x14ac:dyDescent="0.15">
      <c r="C548" s="1628"/>
      <c r="D548" s="1224"/>
    </row>
    <row r="549" spans="3:4" x14ac:dyDescent="0.15">
      <c r="C549" s="1628"/>
      <c r="D549" s="1224"/>
    </row>
    <row r="550" spans="3:4" x14ac:dyDescent="0.15">
      <c r="C550" s="1628"/>
      <c r="D550" s="1224"/>
    </row>
    <row r="551" spans="3:4" x14ac:dyDescent="0.15">
      <c r="C551" s="1628"/>
      <c r="D551" s="1224"/>
    </row>
    <row r="552" spans="3:4" x14ac:dyDescent="0.15">
      <c r="C552" s="1628"/>
      <c r="D552" s="1224"/>
    </row>
    <row r="553" spans="3:4" x14ac:dyDescent="0.15">
      <c r="C553" s="1628"/>
      <c r="D553" s="1224"/>
    </row>
    <row r="554" spans="3:4" x14ac:dyDescent="0.15">
      <c r="C554" s="1628"/>
      <c r="D554" s="1224"/>
    </row>
    <row r="555" spans="3:4" x14ac:dyDescent="0.15">
      <c r="C555" s="1628"/>
      <c r="D555" s="1224"/>
    </row>
    <row r="556" spans="3:4" x14ac:dyDescent="0.15">
      <c r="C556" s="1628"/>
      <c r="D556" s="1224"/>
    </row>
    <row r="557" spans="3:4" x14ac:dyDescent="0.15">
      <c r="C557" s="1628"/>
      <c r="D557" s="1224"/>
    </row>
    <row r="558" spans="3:4" x14ac:dyDescent="0.15">
      <c r="C558" s="1628"/>
      <c r="D558" s="1224"/>
    </row>
    <row r="559" spans="3:4" x14ac:dyDescent="0.15">
      <c r="C559" s="1628"/>
      <c r="D559" s="1224"/>
    </row>
    <row r="560" spans="3:4" x14ac:dyDescent="0.15">
      <c r="C560" s="1628"/>
      <c r="D560" s="1224"/>
    </row>
    <row r="561" spans="3:4" x14ac:dyDescent="0.15">
      <c r="C561" s="1628"/>
      <c r="D561" s="1224"/>
    </row>
    <row r="562" spans="3:4" x14ac:dyDescent="0.15">
      <c r="C562" s="1628"/>
      <c r="D562" s="1224"/>
    </row>
    <row r="563" spans="3:4" x14ac:dyDescent="0.15">
      <c r="C563" s="1628"/>
      <c r="D563" s="1224"/>
    </row>
    <row r="564" spans="3:4" x14ac:dyDescent="0.15">
      <c r="C564" s="1628"/>
      <c r="D564" s="1224"/>
    </row>
    <row r="565" spans="3:4" x14ac:dyDescent="0.15">
      <c r="C565" s="1628"/>
      <c r="D565" s="1224"/>
    </row>
    <row r="566" spans="3:4" x14ac:dyDescent="0.15">
      <c r="C566" s="1628"/>
      <c r="D566" s="1224"/>
    </row>
    <row r="567" spans="3:4" x14ac:dyDescent="0.15">
      <c r="C567" s="1628"/>
      <c r="D567" s="1224"/>
    </row>
    <row r="568" spans="3:4" x14ac:dyDescent="0.15">
      <c r="C568" s="1628"/>
      <c r="D568" s="1224"/>
    </row>
    <row r="569" spans="3:4" x14ac:dyDescent="0.15">
      <c r="C569" s="1628"/>
      <c r="D569" s="1224"/>
    </row>
    <row r="570" spans="3:4" x14ac:dyDescent="0.15">
      <c r="C570" s="1628"/>
      <c r="D570" s="1224"/>
    </row>
    <row r="571" spans="3:4" x14ac:dyDescent="0.15">
      <c r="C571" s="1628"/>
      <c r="D571" s="1224"/>
    </row>
    <row r="572" spans="3:4" x14ac:dyDescent="0.15">
      <c r="C572" s="1628"/>
      <c r="D572" s="1224"/>
    </row>
    <row r="573" spans="3:4" x14ac:dyDescent="0.15">
      <c r="C573" s="1628"/>
      <c r="D573" s="1224"/>
    </row>
    <row r="574" spans="3:4" x14ac:dyDescent="0.15">
      <c r="C574" s="1628"/>
      <c r="D574" s="1224"/>
    </row>
    <row r="575" spans="3:4" x14ac:dyDescent="0.15">
      <c r="C575" s="1628"/>
      <c r="D575" s="1224"/>
    </row>
    <row r="576" spans="3:4" x14ac:dyDescent="0.15">
      <c r="C576" s="1628"/>
      <c r="D576" s="1224"/>
    </row>
    <row r="577" spans="3:4" x14ac:dyDescent="0.15">
      <c r="C577" s="1628"/>
      <c r="D577" s="1224"/>
    </row>
    <row r="578" spans="3:4" x14ac:dyDescent="0.15">
      <c r="C578" s="1628"/>
      <c r="D578" s="1224"/>
    </row>
    <row r="579" spans="3:4" x14ac:dyDescent="0.15">
      <c r="C579" s="1628"/>
      <c r="D579" s="1224"/>
    </row>
    <row r="580" spans="3:4" x14ac:dyDescent="0.15">
      <c r="C580" s="1628"/>
      <c r="D580" s="1224"/>
    </row>
    <row r="581" spans="3:4" x14ac:dyDescent="0.15">
      <c r="C581" s="1628"/>
      <c r="D581" s="1224"/>
    </row>
    <row r="582" spans="3:4" x14ac:dyDescent="0.15">
      <c r="C582" s="1628"/>
      <c r="D582" s="1224"/>
    </row>
    <row r="583" spans="3:4" x14ac:dyDescent="0.15">
      <c r="C583" s="1628"/>
      <c r="D583" s="1224"/>
    </row>
    <row r="584" spans="3:4" x14ac:dyDescent="0.15">
      <c r="C584" s="1628"/>
      <c r="D584" s="1224"/>
    </row>
    <row r="585" spans="3:4" x14ac:dyDescent="0.15">
      <c r="C585" s="1628"/>
      <c r="D585" s="1224"/>
    </row>
    <row r="586" spans="3:4" x14ac:dyDescent="0.15">
      <c r="C586" s="1628"/>
      <c r="D586" s="1224"/>
    </row>
    <row r="587" spans="3:4" x14ac:dyDescent="0.15">
      <c r="C587" s="1628"/>
      <c r="D587" s="1224"/>
    </row>
    <row r="588" spans="3:4" x14ac:dyDescent="0.15">
      <c r="C588" s="1628"/>
      <c r="D588" s="1224"/>
    </row>
    <row r="589" spans="3:4" x14ac:dyDescent="0.15">
      <c r="C589" s="1628"/>
      <c r="D589" s="1224"/>
    </row>
    <row r="590" spans="3:4" x14ac:dyDescent="0.15">
      <c r="C590" s="1628"/>
      <c r="D590" s="1224"/>
    </row>
    <row r="591" spans="3:4" x14ac:dyDescent="0.15">
      <c r="C591" s="1628"/>
      <c r="D591" s="1224"/>
    </row>
    <row r="592" spans="3:4" x14ac:dyDescent="0.15">
      <c r="C592" s="1628"/>
      <c r="D592" s="1224"/>
    </row>
    <row r="593" spans="3:4" x14ac:dyDescent="0.15">
      <c r="C593" s="1628"/>
      <c r="D593" s="1224"/>
    </row>
    <row r="594" spans="3:4" x14ac:dyDescent="0.15">
      <c r="C594" s="1628"/>
      <c r="D594" s="1224"/>
    </row>
    <row r="595" spans="3:4" x14ac:dyDescent="0.15">
      <c r="C595" s="1628"/>
      <c r="D595" s="1224"/>
    </row>
    <row r="596" spans="3:4" x14ac:dyDescent="0.15">
      <c r="C596" s="1628"/>
      <c r="D596" s="1224"/>
    </row>
    <row r="597" spans="3:4" x14ac:dyDescent="0.15">
      <c r="C597" s="1628"/>
      <c r="D597" s="1224"/>
    </row>
    <row r="598" spans="3:4" x14ac:dyDescent="0.15">
      <c r="C598" s="1628"/>
      <c r="D598" s="1224"/>
    </row>
    <row r="599" spans="3:4" x14ac:dyDescent="0.15">
      <c r="C599" s="1628"/>
      <c r="D599" s="1224"/>
    </row>
    <row r="600" spans="3:4" x14ac:dyDescent="0.15">
      <c r="C600" s="1628"/>
      <c r="D600" s="1224"/>
    </row>
    <row r="601" spans="3:4" x14ac:dyDescent="0.15">
      <c r="C601" s="1628"/>
      <c r="D601" s="1224"/>
    </row>
    <row r="602" spans="3:4" x14ac:dyDescent="0.15">
      <c r="C602" s="1628"/>
      <c r="D602" s="1224"/>
    </row>
    <row r="603" spans="3:4" x14ac:dyDescent="0.15">
      <c r="C603" s="1628"/>
      <c r="D603" s="1224"/>
    </row>
    <row r="604" spans="3:4" x14ac:dyDescent="0.15">
      <c r="C604" s="1628"/>
      <c r="D604" s="1224"/>
    </row>
    <row r="605" spans="3:4" x14ac:dyDescent="0.15">
      <c r="C605" s="1628"/>
      <c r="D605" s="1224"/>
    </row>
    <row r="606" spans="3:4" x14ac:dyDescent="0.15">
      <c r="C606" s="1628"/>
      <c r="D606" s="1224"/>
    </row>
    <row r="607" spans="3:4" x14ac:dyDescent="0.15">
      <c r="C607" s="1628"/>
      <c r="D607" s="1224"/>
    </row>
    <row r="608" spans="3:4" x14ac:dyDescent="0.15">
      <c r="C608" s="1628"/>
      <c r="D608" s="1224"/>
    </row>
    <row r="609" spans="3:4" x14ac:dyDescent="0.15">
      <c r="C609" s="1628"/>
      <c r="D609" s="1224"/>
    </row>
    <row r="610" spans="3:4" x14ac:dyDescent="0.15">
      <c r="C610" s="1628"/>
      <c r="D610" s="1224"/>
    </row>
    <row r="611" spans="3:4" x14ac:dyDescent="0.15">
      <c r="C611" s="1628"/>
      <c r="D611" s="1224"/>
    </row>
    <row r="612" spans="3:4" x14ac:dyDescent="0.15">
      <c r="C612" s="1628"/>
      <c r="D612" s="1224"/>
    </row>
    <row r="613" spans="3:4" x14ac:dyDescent="0.15">
      <c r="C613" s="1628"/>
      <c r="D613" s="1224"/>
    </row>
    <row r="614" spans="3:4" x14ac:dyDescent="0.15">
      <c r="C614" s="1628"/>
      <c r="D614" s="1224"/>
    </row>
    <row r="615" spans="3:4" x14ac:dyDescent="0.15">
      <c r="C615" s="1628"/>
      <c r="D615" s="1224"/>
    </row>
    <row r="616" spans="3:4" x14ac:dyDescent="0.15">
      <c r="C616" s="1628"/>
      <c r="D616" s="1224"/>
    </row>
    <row r="617" spans="3:4" x14ac:dyDescent="0.15">
      <c r="C617" s="1628"/>
      <c r="D617" s="1224"/>
    </row>
    <row r="618" spans="3:4" x14ac:dyDescent="0.15">
      <c r="C618" s="1628"/>
      <c r="D618" s="1224"/>
    </row>
    <row r="619" spans="3:4" x14ac:dyDescent="0.15">
      <c r="C619" s="1628"/>
      <c r="D619" s="1224"/>
    </row>
    <row r="620" spans="3:4" x14ac:dyDescent="0.15">
      <c r="C620" s="1628"/>
      <c r="D620" s="1224"/>
    </row>
    <row r="621" spans="3:4" x14ac:dyDescent="0.15">
      <c r="C621" s="1628"/>
      <c r="D621" s="1224"/>
    </row>
    <row r="622" spans="3:4" x14ac:dyDescent="0.15">
      <c r="C622" s="1628"/>
      <c r="D622" s="1224"/>
    </row>
    <row r="623" spans="3:4" x14ac:dyDescent="0.15">
      <c r="C623" s="1628"/>
      <c r="D623" s="1224"/>
    </row>
    <row r="624" spans="3:4" x14ac:dyDescent="0.15">
      <c r="C624" s="1628"/>
      <c r="D624" s="1224"/>
    </row>
    <row r="625" spans="3:4" x14ac:dyDescent="0.15">
      <c r="C625" s="1628"/>
      <c r="D625" s="1224"/>
    </row>
    <row r="626" spans="3:4" x14ac:dyDescent="0.15">
      <c r="C626" s="1628"/>
      <c r="D626" s="1224"/>
    </row>
    <row r="627" spans="3:4" x14ac:dyDescent="0.15">
      <c r="C627" s="1628"/>
      <c r="D627" s="1224"/>
    </row>
    <row r="628" spans="3:4" x14ac:dyDescent="0.15">
      <c r="C628" s="1628"/>
      <c r="D628" s="1224"/>
    </row>
    <row r="629" spans="3:4" x14ac:dyDescent="0.15">
      <c r="C629" s="1628"/>
      <c r="D629" s="1224"/>
    </row>
    <row r="630" spans="3:4" x14ac:dyDescent="0.15">
      <c r="C630" s="1628"/>
      <c r="D630" s="1224"/>
    </row>
    <row r="631" spans="3:4" x14ac:dyDescent="0.15">
      <c r="C631" s="1628"/>
      <c r="D631" s="1224"/>
    </row>
    <row r="632" spans="3:4" x14ac:dyDescent="0.15">
      <c r="C632" s="1628"/>
      <c r="D632" s="1224"/>
    </row>
    <row r="633" spans="3:4" x14ac:dyDescent="0.15">
      <c r="C633" s="1628"/>
      <c r="D633" s="1224"/>
    </row>
    <row r="634" spans="3:4" x14ac:dyDescent="0.15">
      <c r="C634" s="1628"/>
      <c r="D634" s="1224"/>
    </row>
    <row r="635" spans="3:4" x14ac:dyDescent="0.15">
      <c r="C635" s="1628"/>
      <c r="D635" s="1224"/>
    </row>
    <row r="636" spans="3:4" x14ac:dyDescent="0.15">
      <c r="C636" s="1628"/>
      <c r="D636" s="1224"/>
    </row>
    <row r="637" spans="3:4" x14ac:dyDescent="0.15">
      <c r="C637" s="1628"/>
      <c r="D637" s="1224"/>
    </row>
    <row r="638" spans="3:4" x14ac:dyDescent="0.15">
      <c r="C638" s="1628"/>
      <c r="D638" s="1224"/>
    </row>
    <row r="639" spans="3:4" x14ac:dyDescent="0.15">
      <c r="C639" s="1628"/>
      <c r="D639" s="1224"/>
    </row>
    <row r="640" spans="3:4" x14ac:dyDescent="0.15">
      <c r="C640" s="1628"/>
      <c r="D640" s="1224"/>
    </row>
    <row r="641" spans="3:4" x14ac:dyDescent="0.15">
      <c r="C641" s="1628"/>
      <c r="D641" s="1224"/>
    </row>
    <row r="642" spans="3:4" x14ac:dyDescent="0.15">
      <c r="C642" s="1628"/>
      <c r="D642" s="1224"/>
    </row>
    <row r="643" spans="3:4" x14ac:dyDescent="0.15">
      <c r="C643" s="1628"/>
      <c r="D643" s="1224"/>
    </row>
    <row r="644" spans="3:4" x14ac:dyDescent="0.15">
      <c r="C644" s="1628"/>
      <c r="D644" s="1224"/>
    </row>
    <row r="645" spans="3:4" x14ac:dyDescent="0.15">
      <c r="C645" s="1628"/>
      <c r="D645" s="1224"/>
    </row>
    <row r="646" spans="3:4" x14ac:dyDescent="0.15">
      <c r="C646" s="1628"/>
      <c r="D646" s="1224"/>
    </row>
    <row r="647" spans="3:4" x14ac:dyDescent="0.15">
      <c r="C647" s="1628"/>
      <c r="D647" s="1224"/>
    </row>
    <row r="648" spans="3:4" x14ac:dyDescent="0.15">
      <c r="C648" s="1628"/>
      <c r="D648" s="1224"/>
    </row>
    <row r="649" spans="3:4" x14ac:dyDescent="0.15">
      <c r="C649" s="1628"/>
      <c r="D649" s="1224"/>
    </row>
    <row r="650" spans="3:4" x14ac:dyDescent="0.15">
      <c r="C650" s="1628"/>
      <c r="D650" s="1224"/>
    </row>
    <row r="651" spans="3:4" x14ac:dyDescent="0.15">
      <c r="C651" s="1628"/>
      <c r="D651" s="1224"/>
    </row>
    <row r="652" spans="3:4" x14ac:dyDescent="0.15">
      <c r="C652" s="1628"/>
      <c r="D652" s="1224"/>
    </row>
    <row r="653" spans="3:4" x14ac:dyDescent="0.15">
      <c r="C653" s="1628"/>
      <c r="D653" s="1224"/>
    </row>
    <row r="654" spans="3:4" x14ac:dyDescent="0.15">
      <c r="C654" s="1628"/>
      <c r="D654" s="1224"/>
    </row>
    <row r="655" spans="3:4" x14ac:dyDescent="0.15">
      <c r="C655" s="1628"/>
      <c r="D655" s="1224"/>
    </row>
    <row r="656" spans="3:4" x14ac:dyDescent="0.15">
      <c r="C656" s="1628"/>
      <c r="D656" s="1224"/>
    </row>
    <row r="657" spans="3:4" x14ac:dyDescent="0.15">
      <c r="C657" s="1628"/>
      <c r="D657" s="1224"/>
    </row>
    <row r="658" spans="3:4" x14ac:dyDescent="0.15">
      <c r="C658" s="1628"/>
      <c r="D658" s="1224"/>
    </row>
    <row r="659" spans="3:4" x14ac:dyDescent="0.15">
      <c r="C659" s="1628"/>
      <c r="D659" s="1224"/>
    </row>
    <row r="660" spans="3:4" x14ac:dyDescent="0.15">
      <c r="C660" s="1628"/>
      <c r="D660" s="1224"/>
    </row>
    <row r="661" spans="3:4" x14ac:dyDescent="0.15">
      <c r="C661" s="1628"/>
      <c r="D661" s="1224"/>
    </row>
    <row r="662" spans="3:4" x14ac:dyDescent="0.15">
      <c r="C662" s="1628"/>
      <c r="D662" s="1224"/>
    </row>
    <row r="663" spans="3:4" x14ac:dyDescent="0.15">
      <c r="C663" s="1628"/>
      <c r="D663" s="1224"/>
    </row>
    <row r="664" spans="3:4" x14ac:dyDescent="0.15">
      <c r="C664" s="1628"/>
      <c r="D664" s="1224"/>
    </row>
    <row r="665" spans="3:4" x14ac:dyDescent="0.15">
      <c r="C665" s="1628"/>
      <c r="D665" s="1224"/>
    </row>
    <row r="666" spans="3:4" x14ac:dyDescent="0.15">
      <c r="C666" s="1628"/>
      <c r="D666" s="1224"/>
    </row>
    <row r="667" spans="3:4" x14ac:dyDescent="0.15">
      <c r="C667" s="1628"/>
      <c r="D667" s="1224"/>
    </row>
    <row r="668" spans="3:4" x14ac:dyDescent="0.15">
      <c r="C668" s="1628"/>
      <c r="D668" s="1224"/>
    </row>
    <row r="669" spans="3:4" x14ac:dyDescent="0.15">
      <c r="C669" s="1628"/>
      <c r="D669" s="1224"/>
    </row>
    <row r="670" spans="3:4" x14ac:dyDescent="0.15">
      <c r="C670" s="1628"/>
      <c r="D670" s="1224"/>
    </row>
    <row r="671" spans="3:4" x14ac:dyDescent="0.15">
      <c r="C671" s="1628"/>
      <c r="D671" s="1224"/>
    </row>
    <row r="672" spans="3:4" x14ac:dyDescent="0.15">
      <c r="C672" s="1628"/>
      <c r="D672" s="1224"/>
    </row>
    <row r="673" spans="3:4" x14ac:dyDescent="0.15">
      <c r="C673" s="1628"/>
      <c r="D673" s="1224"/>
    </row>
    <row r="674" spans="3:4" x14ac:dyDescent="0.15">
      <c r="C674" s="1628"/>
      <c r="D674" s="1224"/>
    </row>
    <row r="675" spans="3:4" x14ac:dyDescent="0.15">
      <c r="C675" s="1628"/>
      <c r="D675" s="1224"/>
    </row>
    <row r="676" spans="3:4" x14ac:dyDescent="0.15">
      <c r="C676" s="1628"/>
      <c r="D676" s="1224"/>
    </row>
    <row r="677" spans="3:4" x14ac:dyDescent="0.15">
      <c r="C677" s="1628"/>
      <c r="D677" s="1224"/>
    </row>
    <row r="678" spans="3:4" x14ac:dyDescent="0.15">
      <c r="C678" s="1628"/>
      <c r="D678" s="1224"/>
    </row>
    <row r="679" spans="3:4" x14ac:dyDescent="0.15">
      <c r="C679" s="1628"/>
      <c r="D679" s="1224"/>
    </row>
    <row r="680" spans="3:4" x14ac:dyDescent="0.15">
      <c r="C680" s="1628"/>
      <c r="D680" s="1224"/>
    </row>
    <row r="681" spans="3:4" x14ac:dyDescent="0.15">
      <c r="C681" s="1628"/>
      <c r="D681" s="1224"/>
    </row>
    <row r="682" spans="3:4" x14ac:dyDescent="0.15">
      <c r="C682" s="1628"/>
      <c r="D682" s="1224"/>
    </row>
    <row r="683" spans="3:4" x14ac:dyDescent="0.15">
      <c r="C683" s="1628"/>
      <c r="D683" s="1224"/>
    </row>
    <row r="684" spans="3:4" x14ac:dyDescent="0.15">
      <c r="C684" s="1628"/>
      <c r="D684" s="1224"/>
    </row>
    <row r="685" spans="3:4" x14ac:dyDescent="0.15">
      <c r="C685" s="1628"/>
      <c r="D685" s="1224"/>
    </row>
    <row r="686" spans="3:4" x14ac:dyDescent="0.15">
      <c r="C686" s="1628"/>
      <c r="D686" s="1224"/>
    </row>
    <row r="687" spans="3:4" x14ac:dyDescent="0.15">
      <c r="C687" s="1628"/>
      <c r="D687" s="1224"/>
    </row>
    <row r="688" spans="3:4" x14ac:dyDescent="0.15">
      <c r="C688" s="1628"/>
      <c r="D688" s="1224"/>
    </row>
    <row r="689" spans="3:4" x14ac:dyDescent="0.15">
      <c r="C689" s="1628"/>
      <c r="D689" s="1224"/>
    </row>
    <row r="690" spans="3:4" x14ac:dyDescent="0.15">
      <c r="C690" s="1628"/>
      <c r="D690" s="1224"/>
    </row>
    <row r="691" spans="3:4" x14ac:dyDescent="0.15">
      <c r="C691" s="1628"/>
      <c r="D691" s="1224"/>
    </row>
    <row r="692" spans="3:4" x14ac:dyDescent="0.15">
      <c r="C692" s="1628"/>
      <c r="D692" s="1224"/>
    </row>
    <row r="693" spans="3:4" x14ac:dyDescent="0.15">
      <c r="C693" s="1628"/>
      <c r="D693" s="1224"/>
    </row>
    <row r="694" spans="3:4" x14ac:dyDescent="0.15">
      <c r="C694" s="1628"/>
      <c r="D694" s="1224"/>
    </row>
    <row r="695" spans="3:4" x14ac:dyDescent="0.15">
      <c r="C695" s="1628"/>
      <c r="D695" s="1224"/>
    </row>
    <row r="696" spans="3:4" x14ac:dyDescent="0.15">
      <c r="C696" s="1628"/>
      <c r="D696" s="1224"/>
    </row>
    <row r="697" spans="3:4" x14ac:dyDescent="0.15">
      <c r="C697" s="1628"/>
      <c r="D697" s="1224"/>
    </row>
    <row r="698" spans="3:4" x14ac:dyDescent="0.15">
      <c r="C698" s="1628"/>
      <c r="D698" s="1224"/>
    </row>
    <row r="699" spans="3:4" x14ac:dyDescent="0.15">
      <c r="C699" s="1628"/>
      <c r="D699" s="1224"/>
    </row>
    <row r="700" spans="3:4" x14ac:dyDescent="0.15">
      <c r="C700" s="1628"/>
      <c r="D700" s="1224"/>
    </row>
    <row r="701" spans="3:4" x14ac:dyDescent="0.15">
      <c r="C701" s="1628"/>
      <c r="D701" s="1224"/>
    </row>
    <row r="702" spans="3:4" x14ac:dyDescent="0.15">
      <c r="C702" s="1628"/>
      <c r="D702" s="1224"/>
    </row>
    <row r="703" spans="3:4" x14ac:dyDescent="0.15">
      <c r="C703" s="1628"/>
      <c r="D703" s="1224"/>
    </row>
    <row r="704" spans="3:4" x14ac:dyDescent="0.15">
      <c r="C704" s="1628"/>
      <c r="D704" s="1224"/>
    </row>
    <row r="705" spans="3:4" x14ac:dyDescent="0.15">
      <c r="C705" s="1628"/>
      <c r="D705" s="1224"/>
    </row>
    <row r="706" spans="3:4" x14ac:dyDescent="0.15">
      <c r="C706" s="1628"/>
      <c r="D706" s="1224"/>
    </row>
    <row r="707" spans="3:4" x14ac:dyDescent="0.15">
      <c r="C707" s="1628"/>
      <c r="D707" s="1224"/>
    </row>
    <row r="708" spans="3:4" x14ac:dyDescent="0.15">
      <c r="C708" s="1628"/>
      <c r="D708" s="1224"/>
    </row>
    <row r="709" spans="3:4" x14ac:dyDescent="0.15">
      <c r="C709" s="1628"/>
      <c r="D709" s="1224"/>
    </row>
    <row r="710" spans="3:4" x14ac:dyDescent="0.15">
      <c r="C710" s="1628"/>
      <c r="D710" s="1224"/>
    </row>
    <row r="711" spans="3:4" x14ac:dyDescent="0.15">
      <c r="C711" s="1628"/>
      <c r="D711" s="1224"/>
    </row>
    <row r="712" spans="3:4" x14ac:dyDescent="0.15">
      <c r="C712" s="1628"/>
      <c r="D712" s="1224"/>
    </row>
    <row r="713" spans="3:4" x14ac:dyDescent="0.15">
      <c r="C713" s="1628"/>
      <c r="D713" s="1224"/>
    </row>
    <row r="714" spans="3:4" x14ac:dyDescent="0.15">
      <c r="C714" s="1628"/>
      <c r="D714" s="1224"/>
    </row>
    <row r="715" spans="3:4" x14ac:dyDescent="0.15">
      <c r="C715" s="1628"/>
      <c r="D715" s="1224"/>
    </row>
    <row r="716" spans="3:4" x14ac:dyDescent="0.15">
      <c r="C716" s="1628"/>
      <c r="D716" s="1224"/>
    </row>
    <row r="717" spans="3:4" x14ac:dyDescent="0.15">
      <c r="C717" s="1628"/>
      <c r="D717" s="1224"/>
    </row>
    <row r="718" spans="3:4" x14ac:dyDescent="0.15">
      <c r="C718" s="1628"/>
      <c r="D718" s="1224"/>
    </row>
    <row r="719" spans="3:4" x14ac:dyDescent="0.15">
      <c r="C719" s="1628"/>
      <c r="D719" s="1224"/>
    </row>
    <row r="720" spans="3:4" x14ac:dyDescent="0.15">
      <c r="C720" s="1628"/>
      <c r="D720" s="1224"/>
    </row>
    <row r="721" spans="3:4" x14ac:dyDescent="0.15">
      <c r="C721" s="1628"/>
      <c r="D721" s="1224"/>
    </row>
    <row r="722" spans="3:4" x14ac:dyDescent="0.15">
      <c r="C722" s="1628"/>
      <c r="D722" s="1224"/>
    </row>
    <row r="723" spans="3:4" x14ac:dyDescent="0.15">
      <c r="C723" s="1628"/>
      <c r="D723" s="1224"/>
    </row>
    <row r="724" spans="3:4" x14ac:dyDescent="0.15">
      <c r="C724" s="1628"/>
      <c r="D724" s="1224"/>
    </row>
    <row r="725" spans="3:4" x14ac:dyDescent="0.15">
      <c r="C725" s="1628"/>
      <c r="D725" s="1224"/>
    </row>
    <row r="726" spans="3:4" x14ac:dyDescent="0.15">
      <c r="C726" s="1628"/>
      <c r="D726" s="1224"/>
    </row>
    <row r="727" spans="3:4" x14ac:dyDescent="0.15">
      <c r="C727" s="1628"/>
      <c r="D727" s="1224"/>
    </row>
    <row r="728" spans="3:4" x14ac:dyDescent="0.15">
      <c r="C728" s="1628"/>
      <c r="D728" s="1224"/>
    </row>
    <row r="729" spans="3:4" x14ac:dyDescent="0.15">
      <c r="C729" s="1628"/>
      <c r="D729" s="1224"/>
    </row>
    <row r="730" spans="3:4" x14ac:dyDescent="0.15">
      <c r="C730" s="1628"/>
      <c r="D730" s="1224"/>
    </row>
    <row r="731" spans="3:4" x14ac:dyDescent="0.15">
      <c r="C731" s="1628"/>
      <c r="D731" s="1224"/>
    </row>
    <row r="732" spans="3:4" x14ac:dyDescent="0.15">
      <c r="C732" s="1628"/>
      <c r="D732" s="1224"/>
    </row>
    <row r="733" spans="3:4" x14ac:dyDescent="0.15">
      <c r="C733" s="1628"/>
      <c r="D733" s="1224"/>
    </row>
    <row r="734" spans="3:4" x14ac:dyDescent="0.15">
      <c r="C734" s="1628"/>
      <c r="D734" s="1224"/>
    </row>
    <row r="735" spans="3:4" x14ac:dyDescent="0.15">
      <c r="C735" s="1628"/>
      <c r="D735" s="1224"/>
    </row>
    <row r="736" spans="3:4" x14ac:dyDescent="0.15">
      <c r="C736" s="1628"/>
      <c r="D736" s="1224"/>
    </row>
    <row r="737" spans="3:4" x14ac:dyDescent="0.15">
      <c r="C737" s="1628"/>
      <c r="D737" s="1224"/>
    </row>
    <row r="738" spans="3:4" x14ac:dyDescent="0.15">
      <c r="C738" s="1628"/>
      <c r="D738" s="1224"/>
    </row>
    <row r="739" spans="3:4" x14ac:dyDescent="0.15">
      <c r="C739" s="1628"/>
      <c r="D739" s="1224"/>
    </row>
    <row r="740" spans="3:4" x14ac:dyDescent="0.15">
      <c r="C740" s="1628"/>
      <c r="D740" s="1224"/>
    </row>
    <row r="741" spans="3:4" x14ac:dyDescent="0.15">
      <c r="C741" s="1628"/>
      <c r="D741" s="1224"/>
    </row>
    <row r="742" spans="3:4" x14ac:dyDescent="0.15">
      <c r="C742" s="1628"/>
      <c r="D742" s="1224"/>
    </row>
    <row r="743" spans="3:4" x14ac:dyDescent="0.15">
      <c r="C743" s="1628"/>
      <c r="D743" s="1224"/>
    </row>
    <row r="744" spans="3:4" x14ac:dyDescent="0.15">
      <c r="C744" s="1628"/>
      <c r="D744" s="1224"/>
    </row>
    <row r="745" spans="3:4" x14ac:dyDescent="0.15">
      <c r="C745" s="1628"/>
      <c r="D745" s="1224"/>
    </row>
    <row r="746" spans="3:4" x14ac:dyDescent="0.15">
      <c r="C746" s="1628"/>
      <c r="D746" s="1224"/>
    </row>
    <row r="747" spans="3:4" x14ac:dyDescent="0.15">
      <c r="C747" s="1628"/>
      <c r="D747" s="1224"/>
    </row>
    <row r="748" spans="3:4" x14ac:dyDescent="0.15">
      <c r="C748" s="1628"/>
      <c r="D748" s="1224"/>
    </row>
    <row r="749" spans="3:4" x14ac:dyDescent="0.15">
      <c r="C749" s="1628"/>
      <c r="D749" s="1224"/>
    </row>
    <row r="750" spans="3:4" x14ac:dyDescent="0.15">
      <c r="C750" s="1628"/>
      <c r="D750" s="1224"/>
    </row>
    <row r="751" spans="3:4" x14ac:dyDescent="0.15">
      <c r="C751" s="1628"/>
      <c r="D751" s="1224"/>
    </row>
    <row r="752" spans="3:4" x14ac:dyDescent="0.15">
      <c r="C752" s="1628"/>
      <c r="D752" s="1224"/>
    </row>
    <row r="753" spans="3:4" x14ac:dyDescent="0.15">
      <c r="C753" s="1628"/>
      <c r="D753" s="1224"/>
    </row>
    <row r="754" spans="3:4" x14ac:dyDescent="0.15">
      <c r="C754" s="1628"/>
      <c r="D754" s="1224"/>
    </row>
    <row r="755" spans="3:4" x14ac:dyDescent="0.15">
      <c r="C755" s="1628"/>
      <c r="D755" s="1224"/>
    </row>
    <row r="756" spans="3:4" x14ac:dyDescent="0.15">
      <c r="C756" s="1628"/>
      <c r="D756" s="1224"/>
    </row>
    <row r="757" spans="3:4" x14ac:dyDescent="0.15">
      <c r="C757" s="1628"/>
      <c r="D757" s="1224"/>
    </row>
    <row r="758" spans="3:4" x14ac:dyDescent="0.15">
      <c r="C758" s="1628"/>
      <c r="D758" s="1224"/>
    </row>
    <row r="759" spans="3:4" x14ac:dyDescent="0.15">
      <c r="C759" s="1628"/>
      <c r="D759" s="1224"/>
    </row>
    <row r="760" spans="3:4" x14ac:dyDescent="0.15">
      <c r="C760" s="1628"/>
      <c r="D760" s="1224"/>
    </row>
    <row r="761" spans="3:4" x14ac:dyDescent="0.15">
      <c r="C761" s="1628"/>
      <c r="D761" s="1224"/>
    </row>
    <row r="762" spans="3:4" x14ac:dyDescent="0.15">
      <c r="C762" s="1628"/>
      <c r="D762" s="1224"/>
    </row>
    <row r="763" spans="3:4" x14ac:dyDescent="0.15">
      <c r="C763" s="1628"/>
      <c r="D763" s="1224"/>
    </row>
    <row r="764" spans="3:4" x14ac:dyDescent="0.15">
      <c r="C764" s="1628"/>
      <c r="D764" s="1224"/>
    </row>
    <row r="765" spans="3:4" x14ac:dyDescent="0.15">
      <c r="C765" s="1628"/>
      <c r="D765" s="1224"/>
    </row>
    <row r="766" spans="3:4" x14ac:dyDescent="0.15">
      <c r="C766" s="1628"/>
      <c r="D766" s="1224"/>
    </row>
    <row r="767" spans="3:4" x14ac:dyDescent="0.15">
      <c r="C767" s="1628"/>
      <c r="D767" s="1224"/>
    </row>
    <row r="768" spans="3:4" x14ac:dyDescent="0.15">
      <c r="C768" s="1628"/>
      <c r="D768" s="1224"/>
    </row>
    <row r="769" spans="3:4" x14ac:dyDescent="0.15">
      <c r="C769" s="1628"/>
      <c r="D769" s="1224"/>
    </row>
    <row r="770" spans="3:4" x14ac:dyDescent="0.15">
      <c r="C770" s="1628"/>
      <c r="D770" s="1224"/>
    </row>
    <row r="771" spans="3:4" x14ac:dyDescent="0.15">
      <c r="C771" s="1628"/>
      <c r="D771" s="1224"/>
    </row>
    <row r="772" spans="3:4" x14ac:dyDescent="0.15">
      <c r="C772" s="1628"/>
      <c r="D772" s="1224"/>
    </row>
    <row r="773" spans="3:4" x14ac:dyDescent="0.15">
      <c r="C773" s="1628"/>
      <c r="D773" s="1224"/>
    </row>
    <row r="774" spans="3:4" x14ac:dyDescent="0.15">
      <c r="C774" s="1628"/>
      <c r="D774" s="1224"/>
    </row>
    <row r="775" spans="3:4" x14ac:dyDescent="0.15">
      <c r="C775" s="1628"/>
      <c r="D775" s="1224"/>
    </row>
    <row r="776" spans="3:4" x14ac:dyDescent="0.15">
      <c r="C776" s="1628"/>
      <c r="D776" s="1224"/>
    </row>
    <row r="777" spans="3:4" x14ac:dyDescent="0.15">
      <c r="C777" s="1628"/>
      <c r="D777" s="1224"/>
    </row>
    <row r="778" spans="3:4" x14ac:dyDescent="0.15">
      <c r="C778" s="1628"/>
      <c r="D778" s="1224"/>
    </row>
    <row r="779" spans="3:4" x14ac:dyDescent="0.15">
      <c r="C779" s="1628"/>
      <c r="D779" s="1224"/>
    </row>
    <row r="780" spans="3:4" x14ac:dyDescent="0.15">
      <c r="C780" s="1628"/>
      <c r="D780" s="1224"/>
    </row>
    <row r="781" spans="3:4" x14ac:dyDescent="0.15">
      <c r="C781" s="1628"/>
      <c r="D781" s="1224"/>
    </row>
    <row r="782" spans="3:4" x14ac:dyDescent="0.15">
      <c r="C782" s="1628"/>
      <c r="D782" s="1224"/>
    </row>
    <row r="783" spans="3:4" x14ac:dyDescent="0.15">
      <c r="C783" s="1628"/>
      <c r="D783" s="1224"/>
    </row>
    <row r="784" spans="3:4" x14ac:dyDescent="0.15">
      <c r="C784" s="1628"/>
      <c r="D784" s="1224"/>
    </row>
    <row r="785" spans="3:4" x14ac:dyDescent="0.15">
      <c r="C785" s="1628"/>
      <c r="D785" s="1224"/>
    </row>
    <row r="786" spans="3:4" x14ac:dyDescent="0.15">
      <c r="C786" s="1628"/>
      <c r="D786" s="1224"/>
    </row>
    <row r="787" spans="3:4" x14ac:dyDescent="0.15">
      <c r="C787" s="1628"/>
      <c r="D787" s="1224"/>
    </row>
    <row r="788" spans="3:4" x14ac:dyDescent="0.15">
      <c r="C788" s="1628"/>
      <c r="D788" s="1224"/>
    </row>
    <row r="789" spans="3:4" x14ac:dyDescent="0.15">
      <c r="C789" s="1628"/>
      <c r="D789" s="1224"/>
    </row>
    <row r="790" spans="3:4" x14ac:dyDescent="0.15">
      <c r="C790" s="1628"/>
      <c r="D790" s="1224"/>
    </row>
    <row r="791" spans="3:4" x14ac:dyDescent="0.15">
      <c r="C791" s="1628"/>
      <c r="D791" s="1224"/>
    </row>
    <row r="792" spans="3:4" x14ac:dyDescent="0.15">
      <c r="C792" s="1628"/>
      <c r="D792" s="1224"/>
    </row>
    <row r="793" spans="3:4" x14ac:dyDescent="0.15">
      <c r="C793" s="1628"/>
      <c r="D793" s="1224"/>
    </row>
    <row r="794" spans="3:4" x14ac:dyDescent="0.15">
      <c r="C794" s="1628"/>
      <c r="D794" s="1224"/>
    </row>
    <row r="795" spans="3:4" x14ac:dyDescent="0.15">
      <c r="C795" s="1628"/>
      <c r="D795" s="1224"/>
    </row>
    <row r="796" spans="3:4" x14ac:dyDescent="0.15">
      <c r="C796" s="1628"/>
      <c r="D796" s="1224"/>
    </row>
    <row r="797" spans="3:4" x14ac:dyDescent="0.15">
      <c r="C797" s="1628"/>
      <c r="D797" s="1224"/>
    </row>
    <row r="798" spans="3:4" x14ac:dyDescent="0.15">
      <c r="C798" s="1628"/>
      <c r="D798" s="1224"/>
    </row>
    <row r="799" spans="3:4" x14ac:dyDescent="0.15">
      <c r="C799" s="1628"/>
      <c r="D799" s="1224"/>
    </row>
    <row r="800" spans="3:4" x14ac:dyDescent="0.15">
      <c r="C800" s="1628"/>
      <c r="D800" s="1224"/>
    </row>
    <row r="801" spans="3:4" x14ac:dyDescent="0.15">
      <c r="C801" s="1628"/>
      <c r="D801" s="1224"/>
    </row>
    <row r="802" spans="3:4" x14ac:dyDescent="0.15">
      <c r="C802" s="1628"/>
      <c r="D802" s="1224"/>
    </row>
    <row r="803" spans="3:4" x14ac:dyDescent="0.15">
      <c r="C803" s="1628"/>
      <c r="D803" s="1224"/>
    </row>
    <row r="804" spans="3:4" x14ac:dyDescent="0.15">
      <c r="C804" s="1628"/>
      <c r="D804" s="1224"/>
    </row>
    <row r="805" spans="3:4" x14ac:dyDescent="0.15">
      <c r="C805" s="1628"/>
      <c r="D805" s="1224"/>
    </row>
    <row r="806" spans="3:4" x14ac:dyDescent="0.15">
      <c r="C806" s="1628"/>
      <c r="D806" s="1224"/>
    </row>
    <row r="807" spans="3:4" x14ac:dyDescent="0.15">
      <c r="C807" s="1628"/>
      <c r="D807" s="1224"/>
    </row>
    <row r="808" spans="3:4" x14ac:dyDescent="0.15">
      <c r="C808" s="1628"/>
      <c r="D808" s="1224"/>
    </row>
    <row r="809" spans="3:4" x14ac:dyDescent="0.15">
      <c r="C809" s="1628"/>
      <c r="D809" s="1224"/>
    </row>
    <row r="810" spans="3:4" x14ac:dyDescent="0.15">
      <c r="C810" s="1628"/>
      <c r="D810" s="1224"/>
    </row>
    <row r="811" spans="3:4" x14ac:dyDescent="0.15">
      <c r="C811" s="1628"/>
      <c r="D811" s="1224"/>
    </row>
    <row r="812" spans="3:4" x14ac:dyDescent="0.15">
      <c r="C812" s="1628"/>
      <c r="D812" s="1224"/>
    </row>
    <row r="813" spans="3:4" x14ac:dyDescent="0.15">
      <c r="C813" s="1628"/>
      <c r="D813" s="1224"/>
    </row>
    <row r="814" spans="3:4" x14ac:dyDescent="0.15">
      <c r="C814" s="1628"/>
      <c r="D814" s="1224"/>
    </row>
    <row r="815" spans="3:4" x14ac:dyDescent="0.15">
      <c r="C815" s="1628"/>
      <c r="D815" s="1224"/>
    </row>
    <row r="816" spans="3:4" x14ac:dyDescent="0.15">
      <c r="C816" s="1628"/>
      <c r="D816" s="1224"/>
    </row>
    <row r="817" spans="3:4" x14ac:dyDescent="0.15">
      <c r="C817" s="1628"/>
      <c r="D817" s="1224"/>
    </row>
    <row r="818" spans="3:4" x14ac:dyDescent="0.15">
      <c r="C818" s="1628"/>
      <c r="D818" s="1224"/>
    </row>
    <row r="819" spans="3:4" x14ac:dyDescent="0.15">
      <c r="C819" s="1628"/>
      <c r="D819" s="1224"/>
    </row>
    <row r="820" spans="3:4" x14ac:dyDescent="0.15">
      <c r="C820" s="1628"/>
      <c r="D820" s="1224"/>
    </row>
    <row r="821" spans="3:4" x14ac:dyDescent="0.15">
      <c r="C821" s="1628"/>
      <c r="D821" s="1224"/>
    </row>
    <row r="822" spans="3:4" x14ac:dyDescent="0.15">
      <c r="C822" s="1628"/>
      <c r="D822" s="1224"/>
    </row>
    <row r="823" spans="3:4" x14ac:dyDescent="0.15">
      <c r="C823" s="1628"/>
      <c r="D823" s="1224"/>
    </row>
    <row r="824" spans="3:4" x14ac:dyDescent="0.15">
      <c r="C824" s="1628"/>
      <c r="D824" s="1224"/>
    </row>
    <row r="825" spans="3:4" x14ac:dyDescent="0.15">
      <c r="C825" s="1628"/>
      <c r="D825" s="1224"/>
    </row>
    <row r="826" spans="3:4" x14ac:dyDescent="0.15">
      <c r="C826" s="1628"/>
      <c r="D826" s="1224"/>
    </row>
    <row r="827" spans="3:4" x14ac:dyDescent="0.15">
      <c r="C827" s="1628"/>
      <c r="D827" s="1224"/>
    </row>
    <row r="828" spans="3:4" x14ac:dyDescent="0.15">
      <c r="C828" s="1628"/>
      <c r="D828" s="1224"/>
    </row>
    <row r="829" spans="3:4" x14ac:dyDescent="0.15">
      <c r="C829" s="1628"/>
      <c r="D829" s="1224"/>
    </row>
    <row r="830" spans="3:4" x14ac:dyDescent="0.15">
      <c r="C830" s="1628"/>
      <c r="D830" s="1224"/>
    </row>
    <row r="831" spans="3:4" x14ac:dyDescent="0.15">
      <c r="C831" s="1628"/>
      <c r="D831" s="1224"/>
    </row>
    <row r="832" spans="3:4" x14ac:dyDescent="0.15">
      <c r="C832" s="1628"/>
      <c r="D832" s="1224"/>
    </row>
    <row r="833" spans="3:4" x14ac:dyDescent="0.15">
      <c r="C833" s="1628"/>
      <c r="D833" s="1224"/>
    </row>
    <row r="834" spans="3:4" x14ac:dyDescent="0.15">
      <c r="C834" s="1628"/>
      <c r="D834" s="1224"/>
    </row>
    <row r="835" spans="3:4" x14ac:dyDescent="0.15">
      <c r="C835" s="1628"/>
      <c r="D835" s="1224"/>
    </row>
    <row r="836" spans="3:4" x14ac:dyDescent="0.15">
      <c r="C836" s="1628"/>
      <c r="D836" s="1224"/>
    </row>
    <row r="837" spans="3:4" x14ac:dyDescent="0.15">
      <c r="C837" s="1628"/>
      <c r="D837" s="1224"/>
    </row>
    <row r="838" spans="3:4" x14ac:dyDescent="0.15">
      <c r="C838" s="1628"/>
      <c r="D838" s="1224"/>
    </row>
    <row r="839" spans="3:4" x14ac:dyDescent="0.15">
      <c r="C839" s="1628"/>
      <c r="D839" s="1224"/>
    </row>
    <row r="840" spans="3:4" x14ac:dyDescent="0.15">
      <c r="C840" s="1628"/>
      <c r="D840" s="1224"/>
    </row>
    <row r="841" spans="3:4" x14ac:dyDescent="0.15">
      <c r="C841" s="1628"/>
      <c r="D841" s="1224"/>
    </row>
    <row r="842" spans="3:4" x14ac:dyDescent="0.15">
      <c r="C842" s="1628"/>
      <c r="D842" s="1224"/>
    </row>
    <row r="843" spans="3:4" x14ac:dyDescent="0.15">
      <c r="C843" s="1628"/>
      <c r="D843" s="1224"/>
    </row>
    <row r="844" spans="3:4" x14ac:dyDescent="0.15">
      <c r="C844" s="1628"/>
      <c r="D844" s="1224"/>
    </row>
    <row r="845" spans="3:4" x14ac:dyDescent="0.15">
      <c r="C845" s="1628"/>
      <c r="D845" s="1224"/>
    </row>
    <row r="846" spans="3:4" x14ac:dyDescent="0.15">
      <c r="C846" s="1628"/>
      <c r="D846" s="1224"/>
    </row>
    <row r="847" spans="3:4" x14ac:dyDescent="0.15">
      <c r="C847" s="1628"/>
      <c r="D847" s="1224"/>
    </row>
    <row r="848" spans="3:4" x14ac:dyDescent="0.15">
      <c r="C848" s="1628"/>
      <c r="D848" s="1224"/>
    </row>
    <row r="849" spans="3:4" x14ac:dyDescent="0.15">
      <c r="C849" s="1628"/>
      <c r="D849" s="1224"/>
    </row>
    <row r="850" spans="3:4" x14ac:dyDescent="0.15">
      <c r="C850" s="1628"/>
      <c r="D850" s="1224"/>
    </row>
    <row r="851" spans="3:4" x14ac:dyDescent="0.15">
      <c r="C851" s="1628"/>
      <c r="D851" s="1224"/>
    </row>
    <row r="852" spans="3:4" x14ac:dyDescent="0.15">
      <c r="C852" s="1628"/>
      <c r="D852" s="1224"/>
    </row>
    <row r="853" spans="3:4" x14ac:dyDescent="0.15">
      <c r="C853" s="1628"/>
      <c r="D853" s="1224"/>
    </row>
    <row r="854" spans="3:4" x14ac:dyDescent="0.15">
      <c r="C854" s="1628"/>
      <c r="D854" s="1224"/>
    </row>
    <row r="855" spans="3:4" x14ac:dyDescent="0.15">
      <c r="C855" s="1628"/>
      <c r="D855" s="1224"/>
    </row>
    <row r="856" spans="3:4" x14ac:dyDescent="0.15">
      <c r="C856" s="1628"/>
      <c r="D856" s="1224"/>
    </row>
    <row r="857" spans="3:4" x14ac:dyDescent="0.15">
      <c r="C857" s="1628"/>
      <c r="D857" s="1224"/>
    </row>
    <row r="858" spans="3:4" x14ac:dyDescent="0.15">
      <c r="C858" s="1628"/>
      <c r="D858" s="1224"/>
    </row>
    <row r="859" spans="3:4" x14ac:dyDescent="0.15">
      <c r="C859" s="1628"/>
      <c r="D859" s="1224"/>
    </row>
    <row r="860" spans="3:4" x14ac:dyDescent="0.15">
      <c r="C860" s="1628"/>
      <c r="D860" s="1224"/>
    </row>
    <row r="861" spans="3:4" x14ac:dyDescent="0.15">
      <c r="C861" s="1628"/>
      <c r="D861" s="1224"/>
    </row>
    <row r="862" spans="3:4" x14ac:dyDescent="0.15">
      <c r="C862" s="1628"/>
      <c r="D862" s="1224"/>
    </row>
    <row r="863" spans="3:4" x14ac:dyDescent="0.15">
      <c r="C863" s="1628"/>
      <c r="D863" s="1224"/>
    </row>
    <row r="864" spans="3:4" x14ac:dyDescent="0.15">
      <c r="C864" s="1628"/>
      <c r="D864" s="1224"/>
    </row>
    <row r="865" spans="3:4" x14ac:dyDescent="0.15">
      <c r="C865" s="1628"/>
      <c r="D865" s="1224"/>
    </row>
  </sheetData>
  <mergeCells count="9">
    <mergeCell ref="R78:R80"/>
    <mergeCell ref="F6:K6"/>
    <mergeCell ref="F77:K77"/>
    <mergeCell ref="F140:K140"/>
    <mergeCell ref="L6:Q6"/>
    <mergeCell ref="L77:Q77"/>
    <mergeCell ref="L140:Q140"/>
    <mergeCell ref="A75:Q75"/>
    <mergeCell ref="B76:L76"/>
  </mergeCells>
  <pageMargins left="0.7" right="0.7" top="0.75" bottom="0.75" header="0.3" footer="0.3"/>
  <pageSetup scale="77" orientation="portrait" r:id="rId1"/>
  <ignoredErrors>
    <ignoredError sqref="E9:Q73" unlockedFormula="1"/>
    <ignoredError sqref="F88:K106" formulaRange="1"/>
    <ignoredError sqref="F107:K107" formula="1" formulaRange="1"/>
    <ignoredError sqref="F125:K339" formula="1"/>
    <ignoredError sqref="C83:C123 C124:C134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>
    <tabColor rgb="FF7030A0"/>
  </sheetPr>
  <dimension ref="A1:AA861"/>
  <sheetViews>
    <sheetView showGridLines="0" zoomScaleNormal="100" workbookViewId="0">
      <pane xSplit="2" ySplit="7" topLeftCell="I8" activePane="bottomRight" state="frozen"/>
      <selection activeCell="C27" sqref="C27"/>
      <selection pane="topRight" activeCell="C27" sqref="C27"/>
      <selection pane="bottomLeft" activeCell="C27" sqref="C27"/>
      <selection pane="bottomRight" activeCell="R77" sqref="R77"/>
    </sheetView>
  </sheetViews>
  <sheetFormatPr defaultColWidth="9.33203125" defaultRowHeight="11.25" x14ac:dyDescent="0.15"/>
  <cols>
    <col min="1" max="1" width="29.1640625" style="1175" customWidth="1"/>
    <col min="2" max="2" width="40.83203125" style="1175" bestFit="1" customWidth="1"/>
    <col min="3" max="4" width="14.83203125" style="1175" customWidth="1"/>
    <col min="5" max="5" width="16.5" style="1175" customWidth="1"/>
    <col min="6" max="16" width="10.5" style="1175" bestFit="1" customWidth="1"/>
    <col min="17" max="17" width="10.5" style="1175" customWidth="1"/>
    <col min="18" max="18" width="17" style="1175" bestFit="1" customWidth="1"/>
    <col min="19" max="19" width="18.5" style="1175" bestFit="1" customWidth="1"/>
    <col min="20" max="20" width="15.6640625" style="1175" customWidth="1"/>
    <col min="21" max="21" width="1.6640625" style="1175" customWidth="1"/>
    <col min="22" max="22" width="12.6640625" style="1175" customWidth="1"/>
    <col min="23" max="23" width="13.6640625" style="1175" bestFit="1" customWidth="1"/>
    <col min="24" max="24" width="9.5" style="1175" bestFit="1" customWidth="1"/>
    <col min="25" max="16384" width="9.33203125" style="1175"/>
  </cols>
  <sheetData>
    <row r="1" spans="1:27" x14ac:dyDescent="0.15">
      <c r="A1" s="1174" t="s">
        <v>1650</v>
      </c>
    </row>
    <row r="2" spans="1:27" x14ac:dyDescent="0.15">
      <c r="A2" s="1174" t="s">
        <v>1651</v>
      </c>
      <c r="C2" s="1176"/>
      <c r="D2" s="1176"/>
      <c r="K2" s="1177"/>
    </row>
    <row r="3" spans="1:27" x14ac:dyDescent="0.15">
      <c r="A3" s="1844" t="s">
        <v>2040</v>
      </c>
      <c r="B3" s="1112"/>
      <c r="C3" s="1176"/>
      <c r="D3" s="1176"/>
    </row>
    <row r="4" spans="1:27" x14ac:dyDescent="0.15">
      <c r="A4" s="1174"/>
      <c r="C4" s="1176"/>
      <c r="D4" s="1176"/>
    </row>
    <row r="5" spans="1:27" x14ac:dyDescent="0.15">
      <c r="A5" s="1178"/>
      <c r="B5" s="1178"/>
      <c r="C5" s="1178"/>
      <c r="D5" s="1178"/>
      <c r="E5" s="1179"/>
      <c r="F5" s="1179"/>
      <c r="G5" s="1179"/>
      <c r="H5" s="1179"/>
      <c r="I5" s="1179"/>
      <c r="J5" s="1179"/>
      <c r="K5" s="1180"/>
      <c r="L5" s="1180"/>
      <c r="M5" s="1180"/>
      <c r="N5" s="1180"/>
      <c r="O5" s="1180"/>
      <c r="P5" s="1181"/>
      <c r="Q5" s="1181"/>
      <c r="R5" s="1181"/>
      <c r="S5" s="1567" t="s">
        <v>1705</v>
      </c>
      <c r="T5" s="1233" t="s">
        <v>1798</v>
      </c>
    </row>
    <row r="6" spans="1:27" x14ac:dyDescent="0.15">
      <c r="A6" s="1178"/>
      <c r="C6" s="1176"/>
      <c r="D6" s="1176"/>
      <c r="E6" s="1193" t="s">
        <v>1700</v>
      </c>
      <c r="F6" s="2147" t="s">
        <v>1112</v>
      </c>
      <c r="G6" s="2148"/>
      <c r="H6" s="2148"/>
      <c r="I6" s="2148"/>
      <c r="J6" s="2148"/>
      <c r="K6" s="2148"/>
      <c r="L6" s="2148"/>
      <c r="M6" s="2148"/>
      <c r="N6" s="2148"/>
      <c r="O6" s="2148"/>
      <c r="P6" s="2148"/>
      <c r="Q6" s="2149"/>
      <c r="R6" s="1193" t="s">
        <v>1706</v>
      </c>
      <c r="S6" s="1193" t="s">
        <v>1786</v>
      </c>
      <c r="T6" s="1193" t="s">
        <v>1701</v>
      </c>
      <c r="V6" s="1175" t="s">
        <v>222</v>
      </c>
    </row>
    <row r="7" spans="1:27" ht="13.5" x14ac:dyDescent="0.35">
      <c r="A7" s="1178"/>
      <c r="B7" s="1178"/>
      <c r="C7" s="1183"/>
      <c r="D7" s="1183"/>
      <c r="E7" s="1184" t="s">
        <v>1704</v>
      </c>
      <c r="F7" s="1185" t="s">
        <v>1652</v>
      </c>
      <c r="G7" s="1185" t="s">
        <v>1653</v>
      </c>
      <c r="H7" s="1185" t="s">
        <v>1654</v>
      </c>
      <c r="I7" s="1185" t="s">
        <v>1655</v>
      </c>
      <c r="J7" s="1185" t="s">
        <v>371</v>
      </c>
      <c r="K7" s="1185" t="s">
        <v>1656</v>
      </c>
      <c r="L7" s="1185" t="s">
        <v>1657</v>
      </c>
      <c r="M7" s="1185" t="s">
        <v>1658</v>
      </c>
      <c r="N7" s="1185" t="s">
        <v>1659</v>
      </c>
      <c r="O7" s="1185" t="s">
        <v>1660</v>
      </c>
      <c r="P7" s="1185" t="s">
        <v>1661</v>
      </c>
      <c r="Q7" s="1185" t="s">
        <v>1662</v>
      </c>
      <c r="R7" s="1185" t="s">
        <v>1194</v>
      </c>
      <c r="S7" s="1185" t="s">
        <v>1194</v>
      </c>
      <c r="T7" s="1185" t="s">
        <v>1194</v>
      </c>
      <c r="V7" s="1185" t="s">
        <v>1194</v>
      </c>
    </row>
    <row r="8" spans="1:27" ht="11.25" customHeight="1" x14ac:dyDescent="0.15">
      <c r="A8" s="1180" t="s">
        <v>1663</v>
      </c>
      <c r="B8" s="1178"/>
      <c r="C8" s="1183"/>
      <c r="D8" s="1183"/>
      <c r="E8" s="1184"/>
      <c r="F8" s="1184"/>
      <c r="G8" s="1184"/>
      <c r="H8" s="1184"/>
      <c r="I8" s="1184"/>
      <c r="J8" s="1184"/>
      <c r="L8" s="1180"/>
      <c r="P8" s="1180"/>
      <c r="Q8" s="1180"/>
      <c r="X8" s="2154"/>
      <c r="Y8" s="2154"/>
      <c r="Z8" s="2154"/>
      <c r="AA8" s="2154"/>
    </row>
    <row r="9" spans="1:27" x14ac:dyDescent="0.15">
      <c r="A9" s="1186">
        <v>717</v>
      </c>
      <c r="B9" s="1187" t="s">
        <v>1664</v>
      </c>
      <c r="C9" s="1188"/>
      <c r="D9" s="1188"/>
      <c r="E9" s="1187">
        <f>'Input O&amp;M FERC 12-17'!O9</f>
        <v>2139</v>
      </c>
      <c r="F9" s="1180">
        <f>SUMIF($B$143:$B$464,$A9,$F$143:$F$468)</f>
        <v>185</v>
      </c>
      <c r="G9" s="1180">
        <f>SUMIF($B$143:$B$464,$A9,$G$143:$G$468)</f>
        <v>161</v>
      </c>
      <c r="H9" s="1180">
        <f>SUMIF($B$143:$B$464,$A9,$H$143:$H$468)</f>
        <v>186</v>
      </c>
      <c r="I9" s="1180">
        <f>SUMIF($B$143:$B$464,$A9,$I$143:$I$468)</f>
        <v>164</v>
      </c>
      <c r="J9" s="1180">
        <f>SUMIF($B$143:$B$464,$A9,$J$143:$J$468)</f>
        <v>197</v>
      </c>
      <c r="K9" s="1180">
        <f>SUMIF($B$143:$B$464,$A9,$K$143:$K$468)</f>
        <v>192</v>
      </c>
      <c r="L9" s="1180">
        <f>SUMIF($B$143:$B$464,$A9,$L$143:$L$468)</f>
        <v>176</v>
      </c>
      <c r="M9" s="1180">
        <f>SUMIF($B$143:$B$464,$A9,$M$143:$M$468)</f>
        <v>176</v>
      </c>
      <c r="N9" s="1180">
        <f>SUMIF($B$143:$B$464,$A9,$N$143:$N$468)</f>
        <v>170</v>
      </c>
      <c r="O9" s="1180">
        <f>SUMIF($B$143:$B$464,$A9,$O$143:$O$468)</f>
        <v>180</v>
      </c>
      <c r="P9" s="1180">
        <f>SUMIF($B$143:$B$464,$A9,$P$143:$P$468)</f>
        <v>167</v>
      </c>
      <c r="Q9" s="1180">
        <f>SUMIF($B$143:$B$464,$A9,$Q$143:$Q$468)</f>
        <v>185</v>
      </c>
      <c r="R9" s="1180">
        <f>SUMIF($B$143:$B$468,$A9,$R$143:$R$468)</f>
        <v>0</v>
      </c>
      <c r="S9" s="1876">
        <v>0</v>
      </c>
      <c r="T9" s="1175">
        <f>R9+S9</f>
        <v>0</v>
      </c>
      <c r="V9" s="1175">
        <f>E9+T9</f>
        <v>2139</v>
      </c>
      <c r="X9" s="2154"/>
      <c r="Y9" s="2154"/>
      <c r="Z9" s="2154"/>
      <c r="AA9" s="2154"/>
    </row>
    <row r="10" spans="1:27" x14ac:dyDescent="0.15">
      <c r="A10" s="1186">
        <v>728</v>
      </c>
      <c r="B10" s="1187" t="s">
        <v>1665</v>
      </c>
      <c r="C10" s="1189"/>
      <c r="D10" s="1189"/>
      <c r="E10" s="1198">
        <v>0</v>
      </c>
      <c r="F10" s="1180">
        <f>SUMIF($B$143:$B$464,$A10,$F$143:$F$468)</f>
        <v>0</v>
      </c>
      <c r="G10" s="1180">
        <f>SUMIF($B$143:$B$464,$A10,$G$143:$G$468)</f>
        <v>0</v>
      </c>
      <c r="H10" s="1180">
        <f>SUMIF($B$143:$B$464,$A10,$H$143:$H$468)</f>
        <v>0</v>
      </c>
      <c r="I10" s="1180">
        <f>SUMIF($B$143:$B$464,$A10,$I$143:$I$468)</f>
        <v>0</v>
      </c>
      <c r="J10" s="1180">
        <f>SUMIF($B$143:$B$464,$A10,$J$143:$J$468)</f>
        <v>0</v>
      </c>
      <c r="K10" s="1180">
        <f>SUMIF($B$143:$B$464,$A10,$K$143:$K$468)</f>
        <v>0</v>
      </c>
      <c r="L10" s="1180">
        <f>SUMIF($B$143:$B$464,$A10,$L$143:$L$468)</f>
        <v>0</v>
      </c>
      <c r="M10" s="1180">
        <f>SUMIF($B$143:$B$464,$A10,$M$143:$M$468)</f>
        <v>0</v>
      </c>
      <c r="N10" s="1180">
        <f>SUMIF($B$143:$B$464,$A10,$N$143:$N$468)</f>
        <v>0</v>
      </c>
      <c r="O10" s="1180">
        <f>SUMIF($B$143:$B$464,$A10,$O$143:$O$468)</f>
        <v>0</v>
      </c>
      <c r="P10" s="1180">
        <f>SUMIF($B$143:$B$464,$A10,$P$143:$P$468)</f>
        <v>0</v>
      </c>
      <c r="Q10" s="1180">
        <f>SUMIF($B$143:$B$464,$A10,$Q$143:$Q$468)</f>
        <v>0</v>
      </c>
      <c r="R10" s="1180">
        <f>SUMIF($B$143:$B$464,$A10,$R$143:$R$468)</f>
        <v>0</v>
      </c>
      <c r="S10" s="1876">
        <v>0</v>
      </c>
      <c r="T10" s="1175">
        <f>R10+S10</f>
        <v>0</v>
      </c>
      <c r="V10" s="1175">
        <f>E10+T10</f>
        <v>0</v>
      </c>
      <c r="X10" s="2154"/>
      <c r="Y10" s="2154"/>
      <c r="Z10" s="2154"/>
      <c r="AA10" s="2154"/>
    </row>
    <row r="11" spans="1:27" ht="12" customHeight="1" x14ac:dyDescent="0.15">
      <c r="A11" s="1186"/>
      <c r="B11" s="1187"/>
      <c r="C11" s="1189"/>
      <c r="D11" s="1189"/>
      <c r="E11" s="1198"/>
      <c r="F11" s="1180"/>
      <c r="G11" s="1180"/>
      <c r="H11" s="1180"/>
      <c r="I11" s="1180"/>
      <c r="J11" s="1180"/>
      <c r="K11" s="1180"/>
      <c r="P11" s="1178"/>
      <c r="Q11" s="1178"/>
      <c r="S11" s="1877"/>
      <c r="X11" s="2154"/>
      <c r="Y11" s="2154"/>
      <c r="Z11" s="2154"/>
      <c r="AA11" s="2154"/>
    </row>
    <row r="12" spans="1:27" x14ac:dyDescent="0.15">
      <c r="A12" s="1190" t="s">
        <v>1666</v>
      </c>
      <c r="B12" s="1187"/>
      <c r="C12" s="1189"/>
      <c r="D12" s="1189"/>
      <c r="E12" s="1198"/>
      <c r="F12" s="1180"/>
      <c r="G12" s="1180"/>
      <c r="H12" s="1180"/>
      <c r="I12" s="1180"/>
      <c r="J12" s="1180"/>
      <c r="K12" s="1180"/>
      <c r="P12" s="1178"/>
      <c r="Q12" s="1178"/>
      <c r="S12" s="1877"/>
      <c r="X12" s="2154"/>
      <c r="Y12" s="2154"/>
      <c r="Z12" s="2154"/>
      <c r="AA12" s="2154"/>
    </row>
    <row r="13" spans="1:27" x14ac:dyDescent="0.15">
      <c r="A13" s="1186">
        <v>741</v>
      </c>
      <c r="B13" s="1187" t="s">
        <v>1568</v>
      </c>
      <c r="C13" s="1189"/>
      <c r="D13" s="1189"/>
      <c r="E13" s="1198">
        <v>0</v>
      </c>
      <c r="F13" s="1180">
        <f>SUMIF($B$143:$B$464,$A13,$F$143:$F$468)</f>
        <v>0</v>
      </c>
      <c r="G13" s="1180">
        <f>SUMIF($B$143:$B$464,$A13,$G$143:$G$468)</f>
        <v>0</v>
      </c>
      <c r="H13" s="1180">
        <f>SUMIF($B$143:$B$464,$A13,$H$143:$H$468)</f>
        <v>0</v>
      </c>
      <c r="I13" s="1180">
        <f>SUMIF($B$143:$B$464,$A13,$I$143:$I$468)</f>
        <v>0</v>
      </c>
      <c r="J13" s="1180">
        <f>SUMIF($B$143:$B$464,$A13,$J$143:$J$468)</f>
        <v>0</v>
      </c>
      <c r="K13" s="1180">
        <f>SUMIF($B$143:$B$464,$A13,$K$143:$K$468)</f>
        <v>0</v>
      </c>
      <c r="L13" s="1180">
        <f>SUMIF($B$143:$B$464,$A13,$L$143:$L$468)</f>
        <v>0</v>
      </c>
      <c r="M13" s="1180">
        <f>SUMIF($B$143:$B$464,$A13,$M$143:$M$468)</f>
        <v>0</v>
      </c>
      <c r="N13" s="1180">
        <f>SUMIF($B$143:$B$464,$A13,$N$143:$N$468)</f>
        <v>0</v>
      </c>
      <c r="O13" s="1180">
        <f>SUMIF($B$143:$B$464,$A13,$O$143:$O$468)</f>
        <v>0</v>
      </c>
      <c r="P13" s="1180">
        <f>SUMIF($B$143:$B$464,$A13,$P$143:$P$468)</f>
        <v>0</v>
      </c>
      <c r="Q13" s="1180">
        <f>SUMIF($B$143:$B$464,$A13,$Q$143:$Q$468)</f>
        <v>0</v>
      </c>
      <c r="R13" s="1180">
        <f t="shared" ref="R13:R14" si="0">SUMIF($B$143:$B$464,$A13,$R$143:$R$468)</f>
        <v>0</v>
      </c>
      <c r="S13" s="1876">
        <v>0</v>
      </c>
      <c r="T13" s="1175">
        <f>R13+S13</f>
        <v>0</v>
      </c>
      <c r="V13" s="1175">
        <f>E13+T13</f>
        <v>0</v>
      </c>
    </row>
    <row r="14" spans="1:27" x14ac:dyDescent="0.15">
      <c r="A14" s="1186">
        <v>742</v>
      </c>
      <c r="B14" s="1187" t="s">
        <v>1548</v>
      </c>
      <c r="C14" s="1189"/>
      <c r="D14" s="1189"/>
      <c r="E14" s="1198">
        <v>0</v>
      </c>
      <c r="F14" s="1180">
        <f>SUMIF($B$143:$B$464,$A14,$F$143:$F$468)</f>
        <v>0</v>
      </c>
      <c r="G14" s="1180">
        <f>SUMIF($B$143:$B$464,$A14,$G$143:$G$468)</f>
        <v>0</v>
      </c>
      <c r="H14" s="1180">
        <f>SUMIF($B$143:$B$464,$A14,$H$143:$H$468)</f>
        <v>0</v>
      </c>
      <c r="I14" s="1180">
        <f>SUMIF($B$143:$B$464,$A14,$I$143:$I$468)</f>
        <v>0</v>
      </c>
      <c r="J14" s="1180">
        <f>SUMIF($B$143:$B$464,$A14,$J$143:$J$468)</f>
        <v>0</v>
      </c>
      <c r="K14" s="1180">
        <f>SUMIF($B$143:$B$464,$A14,$K$143:$K$468)</f>
        <v>0</v>
      </c>
      <c r="L14" s="1180">
        <f>SUMIF($B$143:$B$464,$A14,$L$143:$L$468)</f>
        <v>0</v>
      </c>
      <c r="M14" s="1180">
        <f>SUMIF($B$143:$B$464,$A14,$M$143:$M$468)</f>
        <v>0</v>
      </c>
      <c r="N14" s="1180">
        <f>SUMIF($B$143:$B$464,$A14,$N$143:$N$468)</f>
        <v>0</v>
      </c>
      <c r="O14" s="1180">
        <f>SUMIF($B$143:$B$464,$A14,$O$143:$O$468)</f>
        <v>0</v>
      </c>
      <c r="P14" s="1180">
        <f>SUMIF($B$143:$B$464,$A14,$P$143:$P$468)</f>
        <v>0</v>
      </c>
      <c r="Q14" s="1180">
        <f>SUMIF($B$143:$B$464,$A14,$Q$143:$Q$468)</f>
        <v>0</v>
      </c>
      <c r="R14" s="1180">
        <f t="shared" si="0"/>
        <v>0</v>
      </c>
      <c r="S14" s="1876">
        <v>0</v>
      </c>
      <c r="T14" s="1175">
        <f>R14+S14</f>
        <v>0</v>
      </c>
      <c r="V14" s="1175">
        <f>E14+T14</f>
        <v>0</v>
      </c>
    </row>
    <row r="15" spans="1:27" ht="9.75" customHeight="1" x14ac:dyDescent="0.15">
      <c r="A15" s="1186"/>
      <c r="B15" s="1187"/>
      <c r="C15" s="1189"/>
      <c r="D15" s="1189"/>
      <c r="E15" s="1198"/>
      <c r="F15" s="1180"/>
      <c r="G15" s="1180"/>
      <c r="H15" s="1180"/>
      <c r="I15" s="1180"/>
      <c r="J15" s="1180"/>
      <c r="K15" s="1180"/>
      <c r="P15" s="1191"/>
      <c r="Q15" s="1191"/>
      <c r="S15" s="1877"/>
    </row>
    <row r="16" spans="1:27" x14ac:dyDescent="0.15">
      <c r="A16" s="1190" t="s">
        <v>1667</v>
      </c>
      <c r="B16" s="1187"/>
      <c r="C16" s="1189"/>
      <c r="D16" s="1189"/>
      <c r="E16" s="1198"/>
      <c r="F16" s="1180"/>
      <c r="G16" s="1180"/>
      <c r="H16" s="1180"/>
      <c r="I16" s="1180"/>
      <c r="J16" s="1180"/>
      <c r="K16" s="1180"/>
      <c r="P16" s="1191"/>
      <c r="Q16" s="1191"/>
      <c r="S16" s="1877"/>
    </row>
    <row r="17" spans="1:22" x14ac:dyDescent="0.15">
      <c r="A17" s="1186">
        <v>807</v>
      </c>
      <c r="B17" s="1187" t="s">
        <v>1555</v>
      </c>
      <c r="C17" s="1188"/>
      <c r="D17" s="1188"/>
      <c r="E17" s="1187">
        <f>'Input O&amp;M FERC 12-17'!O10</f>
        <v>344123</v>
      </c>
      <c r="F17" s="1180">
        <f>SUMIF($B$143:$B$464,$A17,$F$143:$F$468)</f>
        <v>27696</v>
      </c>
      <c r="G17" s="1180">
        <f>SUMIF($B$143:$B$464,$A17,$G$143:$G$468)</f>
        <v>28350</v>
      </c>
      <c r="H17" s="1180">
        <f>SUMIF($B$143:$B$464,$A17,$H$143:$H$468)</f>
        <v>28544</v>
      </c>
      <c r="I17" s="1180">
        <f>SUMIF($B$143:$B$464,$A17,$I$143:$I$468)</f>
        <v>27986</v>
      </c>
      <c r="J17" s="1180">
        <f>SUMIF($B$143:$B$464,$A17,$J$143:$J$468)</f>
        <v>28221</v>
      </c>
      <c r="K17" s="1180">
        <f>SUMIF($B$143:$B$464,$A17,$K$143:$K$468)</f>
        <v>29571</v>
      </c>
      <c r="L17" s="1180">
        <f>SUMIF($B$143:$B$464,$A17,$L$143:$L$468)</f>
        <v>28428</v>
      </c>
      <c r="M17" s="1180">
        <f>SUMIF($B$143:$B$464,$A17,$M$143:$M$468)</f>
        <v>28435</v>
      </c>
      <c r="N17" s="1180">
        <f>SUMIF($B$143:$B$464,$A17,$N$143:$N$468)</f>
        <v>29444</v>
      </c>
      <c r="O17" s="1180">
        <f>SUMIF($B$143:$B$464,$A17,$O$143:$O$468)</f>
        <v>28691</v>
      </c>
      <c r="P17" s="1180">
        <f>SUMIF($B$143:$B$464,$A17,$P$143:$P$468)</f>
        <v>29201</v>
      </c>
      <c r="Q17" s="1180">
        <f>SUMIF($B$143:$B$464,$A17,$Q$143:$Q$468)</f>
        <v>29556</v>
      </c>
      <c r="R17" s="1180">
        <f>SUMIF($B$143:$B$464,$A17,$R$143:$R$468)</f>
        <v>-2566</v>
      </c>
      <c r="S17" s="1876">
        <v>0</v>
      </c>
      <c r="T17" s="1175">
        <f>R17+S17</f>
        <v>-2566</v>
      </c>
      <c r="V17" s="1175">
        <f>E17+T17</f>
        <v>341557</v>
      </c>
    </row>
    <row r="18" spans="1:22" ht="10.5" customHeight="1" x14ac:dyDescent="0.15">
      <c r="A18" s="1186"/>
      <c r="B18" s="1187"/>
      <c r="C18" s="1188"/>
      <c r="D18" s="1188"/>
      <c r="E18" s="1198"/>
      <c r="F18" s="1180"/>
      <c r="G18" s="1180"/>
      <c r="H18" s="1180"/>
      <c r="I18" s="1180"/>
      <c r="J18" s="1180"/>
      <c r="K18" s="1180"/>
      <c r="P18" s="1178"/>
      <c r="Q18" s="1178"/>
      <c r="S18" s="1877"/>
    </row>
    <row r="19" spans="1:22" x14ac:dyDescent="0.15">
      <c r="A19" s="1192" t="s">
        <v>1668</v>
      </c>
      <c r="C19" s="1193"/>
      <c r="D19" s="1193"/>
      <c r="E19" s="1198"/>
      <c r="F19" s="1180"/>
      <c r="G19" s="1180"/>
      <c r="H19" s="1180"/>
      <c r="I19" s="1180"/>
      <c r="J19" s="1180"/>
      <c r="K19" s="1180"/>
      <c r="S19" s="1112"/>
    </row>
    <row r="20" spans="1:22" x14ac:dyDescent="0.15">
      <c r="A20" s="1186">
        <v>870</v>
      </c>
      <c r="B20" s="1187" t="s">
        <v>1669</v>
      </c>
      <c r="C20" s="1188"/>
      <c r="D20" s="1188"/>
      <c r="E20" s="1187">
        <f>'Input O&amp;M FERC 12-17'!O11</f>
        <v>876974</v>
      </c>
      <c r="F20" s="1180">
        <f t="shared" ref="F20:F28" si="1">SUMIF($B$143:$B$464,$A20,$F$143:$F$468)</f>
        <v>71511</v>
      </c>
      <c r="G20" s="1180">
        <f t="shared" ref="G20:G28" si="2">SUMIF($B$143:$B$464,$A20,$G$143:$G$468)</f>
        <v>70631</v>
      </c>
      <c r="H20" s="1180">
        <f t="shared" ref="H20:H28" si="3">SUMIF($B$143:$B$464,$A20,$H$143:$H$468)</f>
        <v>72975</v>
      </c>
      <c r="I20" s="1180">
        <f t="shared" ref="I20:I28" si="4">SUMIF($B$143:$B$464,$A20,$I$143:$I$468)</f>
        <v>71205</v>
      </c>
      <c r="J20" s="1180">
        <f t="shared" ref="J20:J28" si="5">SUMIF($B$143:$B$464,$A20,$J$143:$J$468)</f>
        <v>72249</v>
      </c>
      <c r="K20" s="1180">
        <f t="shared" ref="K20:K28" si="6">SUMIF($B$143:$B$464,$A20,$K$143:$K$468)</f>
        <v>75483</v>
      </c>
      <c r="L20" s="1180">
        <f t="shared" ref="L20:L28" si="7">SUMIF($B$143:$B$464,$A20,$L$143:$L$468)</f>
        <v>72813</v>
      </c>
      <c r="M20" s="1180">
        <f t="shared" ref="M20:M28" si="8">SUMIF($B$143:$B$464,$A20,$M$143:$M$468)</f>
        <v>72266</v>
      </c>
      <c r="N20" s="1180">
        <f t="shared" ref="N20:N28" si="9">SUMIF($B$143:$B$464,$A20,$N$143:$N$468)</f>
        <v>74642</v>
      </c>
      <c r="O20" s="1180">
        <f t="shared" ref="O20:O28" si="10">SUMIF($B$143:$B$464,$A20,$O$143:$O$468)</f>
        <v>73133</v>
      </c>
      <c r="P20" s="1180">
        <f t="shared" ref="P20:P28" si="11">SUMIF($B$143:$B$464,$A20,$P$143:$P$468)</f>
        <v>73963</v>
      </c>
      <c r="Q20" s="1180">
        <f t="shared" ref="Q20:Q28" si="12">SUMIF($B$143:$B$464,$A20,$Q$143:$Q$468)</f>
        <v>76103</v>
      </c>
      <c r="R20" s="1180">
        <f>SUMIF($B$143:$B$464,$A20,$R$143:$R$468)</f>
        <v>3957</v>
      </c>
      <c r="S20" s="1876">
        <v>0</v>
      </c>
      <c r="T20" s="1175">
        <f>R20+S20</f>
        <v>3957</v>
      </c>
      <c r="V20" s="1175">
        <f>E20+T20</f>
        <v>880931</v>
      </c>
    </row>
    <row r="21" spans="1:22" x14ac:dyDescent="0.15">
      <c r="A21" s="1186">
        <v>871</v>
      </c>
      <c r="B21" s="1187" t="s">
        <v>1670</v>
      </c>
      <c r="C21" s="1188"/>
      <c r="D21" s="1188"/>
      <c r="E21" s="1187">
        <f>'Input O&amp;M FERC 12-17'!O12</f>
        <v>77827</v>
      </c>
      <c r="F21" s="1180">
        <f t="shared" si="1"/>
        <v>6609</v>
      </c>
      <c r="G21" s="1180">
        <f t="shared" si="2"/>
        <v>5402</v>
      </c>
      <c r="H21" s="1180">
        <f t="shared" si="3"/>
        <v>6812</v>
      </c>
      <c r="I21" s="1180">
        <f t="shared" si="4"/>
        <v>6302</v>
      </c>
      <c r="J21" s="1180">
        <f t="shared" si="5"/>
        <v>6623</v>
      </c>
      <c r="K21" s="1180">
        <f t="shared" si="6"/>
        <v>6775</v>
      </c>
      <c r="L21" s="1180">
        <f t="shared" si="7"/>
        <v>6646</v>
      </c>
      <c r="M21" s="1180">
        <f t="shared" si="8"/>
        <v>6206</v>
      </c>
      <c r="N21" s="1180">
        <f t="shared" si="9"/>
        <v>6422</v>
      </c>
      <c r="O21" s="1180">
        <f t="shared" si="10"/>
        <v>6534</v>
      </c>
      <c r="P21" s="1180">
        <f t="shared" si="11"/>
        <v>6390</v>
      </c>
      <c r="Q21" s="1180">
        <f t="shared" si="12"/>
        <v>7106</v>
      </c>
      <c r="R21" s="1180">
        <f t="shared" ref="R21:R28" si="13">SUMIF($B$143:$B$464,$A21,$R$143:$R$468)</f>
        <v>6702</v>
      </c>
      <c r="S21" s="1876">
        <v>0</v>
      </c>
      <c r="T21" s="1175">
        <f t="shared" ref="T21:T28" si="14">R21+S21</f>
        <v>6702</v>
      </c>
      <c r="V21" s="1175">
        <f t="shared" ref="V21:V28" si="15">E21+T21</f>
        <v>84529</v>
      </c>
    </row>
    <row r="22" spans="1:22" x14ac:dyDescent="0.15">
      <c r="A22" s="1186">
        <v>874</v>
      </c>
      <c r="B22" s="1187" t="s">
        <v>1671</v>
      </c>
      <c r="C22" s="1188"/>
      <c r="D22" s="1188"/>
      <c r="E22" s="1187">
        <f>'Input O&amp;M FERC 12-17'!O13</f>
        <v>5585295</v>
      </c>
      <c r="F22" s="1180">
        <f t="shared" si="1"/>
        <v>418222</v>
      </c>
      <c r="G22" s="1180">
        <f t="shared" si="2"/>
        <v>375521</v>
      </c>
      <c r="H22" s="1180">
        <f t="shared" si="3"/>
        <v>419317</v>
      </c>
      <c r="I22" s="1180">
        <f t="shared" si="4"/>
        <v>441298</v>
      </c>
      <c r="J22" s="1180">
        <f t="shared" si="5"/>
        <v>498856</v>
      </c>
      <c r="K22" s="1180">
        <f t="shared" si="6"/>
        <v>501263</v>
      </c>
      <c r="L22" s="1180">
        <f t="shared" si="7"/>
        <v>483774</v>
      </c>
      <c r="M22" s="1180">
        <f t="shared" si="8"/>
        <v>530942</v>
      </c>
      <c r="N22" s="1180">
        <f t="shared" si="9"/>
        <v>504251</v>
      </c>
      <c r="O22" s="1180">
        <f t="shared" si="10"/>
        <v>479155</v>
      </c>
      <c r="P22" s="1180">
        <f t="shared" si="11"/>
        <v>455008</v>
      </c>
      <c r="Q22" s="1180">
        <f t="shared" si="12"/>
        <v>477688</v>
      </c>
      <c r="R22" s="1180">
        <f t="shared" si="13"/>
        <v>178211</v>
      </c>
      <c r="S22" s="1876">
        <f>770000-9310</f>
        <v>760690</v>
      </c>
      <c r="T22" s="1175">
        <f t="shared" si="14"/>
        <v>938901</v>
      </c>
      <c r="V22" s="1175">
        <f t="shared" si="15"/>
        <v>6524196</v>
      </c>
    </row>
    <row r="23" spans="1:22" x14ac:dyDescent="0.15">
      <c r="A23" s="1186">
        <v>875</v>
      </c>
      <c r="B23" s="1187" t="s">
        <v>1672</v>
      </c>
      <c r="C23" s="1189"/>
      <c r="D23" s="1189"/>
      <c r="E23" s="1187">
        <f>'Input O&amp;M FERC 12-17'!O14</f>
        <v>192465</v>
      </c>
      <c r="F23" s="1180">
        <f t="shared" si="1"/>
        <v>15499</v>
      </c>
      <c r="G23" s="1180">
        <f t="shared" si="2"/>
        <v>13445</v>
      </c>
      <c r="H23" s="1180">
        <f t="shared" si="3"/>
        <v>15452</v>
      </c>
      <c r="I23" s="1180">
        <f t="shared" si="4"/>
        <v>15275</v>
      </c>
      <c r="J23" s="1180">
        <f t="shared" si="5"/>
        <v>16812</v>
      </c>
      <c r="K23" s="1180">
        <f t="shared" si="6"/>
        <v>17032</v>
      </c>
      <c r="L23" s="1180">
        <f t="shared" si="7"/>
        <v>16396</v>
      </c>
      <c r="M23" s="1180">
        <f t="shared" si="8"/>
        <v>16902</v>
      </c>
      <c r="N23" s="1180">
        <f t="shared" si="9"/>
        <v>16614</v>
      </c>
      <c r="O23" s="1180">
        <f t="shared" si="10"/>
        <v>16290</v>
      </c>
      <c r="P23" s="1180">
        <f t="shared" si="11"/>
        <v>15726</v>
      </c>
      <c r="Q23" s="1180">
        <f t="shared" si="12"/>
        <v>17022</v>
      </c>
      <c r="R23" s="1180">
        <f t="shared" si="13"/>
        <v>8261</v>
      </c>
      <c r="S23" s="1876">
        <v>0</v>
      </c>
      <c r="T23" s="1175">
        <f t="shared" si="14"/>
        <v>8261</v>
      </c>
      <c r="V23" s="1175">
        <f t="shared" si="15"/>
        <v>200726</v>
      </c>
    </row>
    <row r="24" spans="1:22" x14ac:dyDescent="0.15">
      <c r="A24" s="1186">
        <v>876</v>
      </c>
      <c r="B24" s="1187" t="s">
        <v>1673</v>
      </c>
      <c r="C24" s="1188"/>
      <c r="D24" s="1188"/>
      <c r="E24" s="1187">
        <f>'Input O&amp;M FERC 12-17'!O15</f>
        <v>64566</v>
      </c>
      <c r="F24" s="1180">
        <f t="shared" si="1"/>
        <v>5486</v>
      </c>
      <c r="G24" s="1180">
        <f t="shared" si="2"/>
        <v>4717</v>
      </c>
      <c r="H24" s="1180">
        <f t="shared" si="3"/>
        <v>5549</v>
      </c>
      <c r="I24" s="1180">
        <f t="shared" si="4"/>
        <v>5213</v>
      </c>
      <c r="J24" s="1180">
        <f t="shared" si="5"/>
        <v>5449</v>
      </c>
      <c r="K24" s="1180">
        <f t="shared" si="6"/>
        <v>5606</v>
      </c>
      <c r="L24" s="1180">
        <f t="shared" si="7"/>
        <v>5449</v>
      </c>
      <c r="M24" s="1180">
        <f t="shared" si="8"/>
        <v>5187</v>
      </c>
      <c r="N24" s="1180">
        <f t="shared" si="9"/>
        <v>5353</v>
      </c>
      <c r="O24" s="1180">
        <f t="shared" si="10"/>
        <v>5397</v>
      </c>
      <c r="P24" s="1180">
        <f t="shared" si="11"/>
        <v>5325</v>
      </c>
      <c r="Q24" s="1180">
        <f t="shared" si="12"/>
        <v>5835</v>
      </c>
      <c r="R24" s="1180">
        <f t="shared" si="13"/>
        <v>3772</v>
      </c>
      <c r="S24" s="1876">
        <v>0</v>
      </c>
      <c r="T24" s="1175">
        <f t="shared" si="14"/>
        <v>3772</v>
      </c>
      <c r="V24" s="1175">
        <f t="shared" si="15"/>
        <v>68338</v>
      </c>
    </row>
    <row r="25" spans="1:22" x14ac:dyDescent="0.15">
      <c r="A25" s="1186">
        <v>878</v>
      </c>
      <c r="B25" s="1187" t="s">
        <v>1674</v>
      </c>
      <c r="C25" s="1188"/>
      <c r="D25" s="1188"/>
      <c r="E25" s="1187">
        <f>'Input O&amp;M FERC 12-17'!O16</f>
        <v>1635888</v>
      </c>
      <c r="F25" s="1180">
        <f t="shared" si="1"/>
        <v>139738</v>
      </c>
      <c r="G25" s="1180">
        <f t="shared" si="2"/>
        <v>115703</v>
      </c>
      <c r="H25" s="1180">
        <f t="shared" si="3"/>
        <v>141993</v>
      </c>
      <c r="I25" s="1180">
        <f t="shared" si="4"/>
        <v>132795</v>
      </c>
      <c r="J25" s="1180">
        <f t="shared" si="5"/>
        <v>138535</v>
      </c>
      <c r="K25" s="1180">
        <f t="shared" si="6"/>
        <v>142619</v>
      </c>
      <c r="L25" s="1180">
        <f t="shared" si="7"/>
        <v>139678</v>
      </c>
      <c r="M25" s="1180">
        <f t="shared" si="8"/>
        <v>130804</v>
      </c>
      <c r="N25" s="1180">
        <f t="shared" si="9"/>
        <v>135134</v>
      </c>
      <c r="O25" s="1180">
        <f t="shared" si="10"/>
        <v>137048</v>
      </c>
      <c r="P25" s="1180">
        <f t="shared" si="11"/>
        <v>133885</v>
      </c>
      <c r="Q25" s="1180">
        <f t="shared" si="12"/>
        <v>147956</v>
      </c>
      <c r="R25" s="1180">
        <f t="shared" si="13"/>
        <v>128806</v>
      </c>
      <c r="S25" s="1876">
        <v>0</v>
      </c>
      <c r="T25" s="1175">
        <f t="shared" si="14"/>
        <v>128806</v>
      </c>
      <c r="V25" s="1175">
        <f t="shared" si="15"/>
        <v>1764694</v>
      </c>
    </row>
    <row r="26" spans="1:22" x14ac:dyDescent="0.15">
      <c r="A26" s="1186">
        <v>879</v>
      </c>
      <c r="B26" s="1187" t="s">
        <v>1675</v>
      </c>
      <c r="C26" s="1189"/>
      <c r="D26" s="1189"/>
      <c r="E26" s="1187">
        <f>'Input O&amp;M FERC 12-17'!O17</f>
        <v>2005981</v>
      </c>
      <c r="F26" s="1180">
        <f t="shared" si="1"/>
        <v>167354</v>
      </c>
      <c r="G26" s="1180">
        <f t="shared" si="2"/>
        <v>139848</v>
      </c>
      <c r="H26" s="1180">
        <f t="shared" si="3"/>
        <v>171541</v>
      </c>
      <c r="I26" s="1180">
        <f t="shared" si="4"/>
        <v>162143</v>
      </c>
      <c r="J26" s="1180">
        <f t="shared" si="5"/>
        <v>171281</v>
      </c>
      <c r="K26" s="1180">
        <f t="shared" si="6"/>
        <v>175286</v>
      </c>
      <c r="L26" s="1180">
        <f t="shared" si="7"/>
        <v>171571</v>
      </c>
      <c r="M26" s="1180">
        <f t="shared" si="8"/>
        <v>164509</v>
      </c>
      <c r="N26" s="1180">
        <f t="shared" si="9"/>
        <v>168086</v>
      </c>
      <c r="O26" s="1180">
        <f t="shared" si="10"/>
        <v>168819</v>
      </c>
      <c r="P26" s="1180">
        <f t="shared" si="11"/>
        <v>164713</v>
      </c>
      <c r="Q26" s="1180">
        <f t="shared" si="12"/>
        <v>180830</v>
      </c>
      <c r="R26" s="1180">
        <f t="shared" si="13"/>
        <v>150651</v>
      </c>
      <c r="S26" s="1876">
        <v>0</v>
      </c>
      <c r="T26" s="1175">
        <f t="shared" si="14"/>
        <v>150651</v>
      </c>
      <c r="V26" s="1175">
        <f t="shared" si="15"/>
        <v>2156632</v>
      </c>
    </row>
    <row r="27" spans="1:22" x14ac:dyDescent="0.15">
      <c r="A27" s="1186">
        <v>880</v>
      </c>
      <c r="B27" s="1187" t="s">
        <v>686</v>
      </c>
      <c r="C27" s="1189"/>
      <c r="D27" s="1189"/>
      <c r="E27" s="1187">
        <f>'Input O&amp;M FERC 12-17'!O18</f>
        <v>1715569</v>
      </c>
      <c r="F27" s="1180">
        <f t="shared" si="1"/>
        <v>139188</v>
      </c>
      <c r="G27" s="1180">
        <f t="shared" si="2"/>
        <v>122610</v>
      </c>
      <c r="H27" s="1180">
        <f t="shared" si="3"/>
        <v>136618</v>
      </c>
      <c r="I27" s="1180">
        <f t="shared" si="4"/>
        <v>136142</v>
      </c>
      <c r="J27" s="1180">
        <f t="shared" si="5"/>
        <v>152799</v>
      </c>
      <c r="K27" s="1180">
        <f t="shared" si="6"/>
        <v>153161</v>
      </c>
      <c r="L27" s="1180">
        <f t="shared" si="7"/>
        <v>147845</v>
      </c>
      <c r="M27" s="1180">
        <f t="shared" si="8"/>
        <v>151104</v>
      </c>
      <c r="N27" s="1180">
        <f t="shared" si="9"/>
        <v>147417</v>
      </c>
      <c r="O27" s="1180">
        <f t="shared" si="10"/>
        <v>146093</v>
      </c>
      <c r="P27" s="1180">
        <f t="shared" si="11"/>
        <v>136158</v>
      </c>
      <c r="Q27" s="1180">
        <f t="shared" si="12"/>
        <v>146434</v>
      </c>
      <c r="R27" s="1180">
        <f t="shared" si="13"/>
        <v>55249</v>
      </c>
      <c r="S27" s="1876">
        <f>-11359</f>
        <v>-11359</v>
      </c>
      <c r="T27" s="1175">
        <f t="shared" si="14"/>
        <v>43890</v>
      </c>
      <c r="V27" s="1175">
        <f t="shared" si="15"/>
        <v>1759459</v>
      </c>
    </row>
    <row r="28" spans="1:22" x14ac:dyDescent="0.15">
      <c r="A28" s="1186">
        <v>881</v>
      </c>
      <c r="B28" s="1187" t="s">
        <v>1593</v>
      </c>
      <c r="C28" s="1189"/>
      <c r="D28" s="1189"/>
      <c r="E28" s="1187">
        <f>'Input O&amp;M FERC 12-17'!O19</f>
        <v>85757</v>
      </c>
      <c r="F28" s="1180">
        <f t="shared" si="1"/>
        <v>6750</v>
      </c>
      <c r="G28" s="1180">
        <f t="shared" si="2"/>
        <v>7686</v>
      </c>
      <c r="H28" s="1180">
        <f t="shared" si="3"/>
        <v>7195</v>
      </c>
      <c r="I28" s="1180">
        <f t="shared" si="4"/>
        <v>7488</v>
      </c>
      <c r="J28" s="1180">
        <f t="shared" si="5"/>
        <v>6131</v>
      </c>
      <c r="K28" s="1180">
        <f t="shared" si="6"/>
        <v>6675</v>
      </c>
      <c r="L28" s="1180">
        <f t="shared" si="7"/>
        <v>7283</v>
      </c>
      <c r="M28" s="1180">
        <f t="shared" si="8"/>
        <v>7284</v>
      </c>
      <c r="N28" s="1180">
        <f t="shared" si="9"/>
        <v>7638</v>
      </c>
      <c r="O28" s="1180">
        <f t="shared" si="10"/>
        <v>7051</v>
      </c>
      <c r="P28" s="1180">
        <f t="shared" si="11"/>
        <v>7817</v>
      </c>
      <c r="Q28" s="1180">
        <f t="shared" si="12"/>
        <v>6759</v>
      </c>
      <c r="R28" s="1180">
        <f t="shared" si="13"/>
        <v>0</v>
      </c>
      <c r="S28" s="1876">
        <f>-3600</f>
        <v>-3600</v>
      </c>
      <c r="T28" s="1175">
        <f t="shared" si="14"/>
        <v>-3600</v>
      </c>
      <c r="V28" s="1175">
        <f t="shared" si="15"/>
        <v>82157</v>
      </c>
    </row>
    <row r="29" spans="1:22" ht="12" customHeight="1" x14ac:dyDescent="0.15">
      <c r="A29" s="1186"/>
      <c r="B29" s="1187"/>
      <c r="C29" s="1189"/>
      <c r="D29" s="1189"/>
      <c r="E29" s="1198"/>
      <c r="F29" s="1180"/>
      <c r="G29" s="1180"/>
      <c r="H29" s="1180"/>
      <c r="I29" s="1180"/>
      <c r="J29" s="1180"/>
      <c r="K29" s="1180"/>
      <c r="P29" s="1178"/>
      <c r="Q29" s="1178"/>
      <c r="S29" s="1877"/>
    </row>
    <row r="30" spans="1:22" x14ac:dyDescent="0.15">
      <c r="A30" s="1190" t="s">
        <v>1676</v>
      </c>
      <c r="B30" s="1187"/>
      <c r="C30" s="1189"/>
      <c r="D30" s="1189"/>
      <c r="E30" s="1198"/>
      <c r="F30" s="1180"/>
      <c r="G30" s="1180"/>
      <c r="H30" s="1180"/>
      <c r="I30" s="1180"/>
      <c r="J30" s="1180"/>
      <c r="K30" s="1180"/>
      <c r="P30" s="1178"/>
      <c r="Q30" s="1178"/>
      <c r="S30" s="1877"/>
    </row>
    <row r="31" spans="1:22" x14ac:dyDescent="0.15">
      <c r="A31" s="1186">
        <v>885</v>
      </c>
      <c r="B31" s="1187" t="s">
        <v>1669</v>
      </c>
      <c r="C31" s="1189"/>
      <c r="D31" s="1189"/>
      <c r="E31" s="1187">
        <f>'Input O&amp;M FERC 12-17'!O21</f>
        <v>10353</v>
      </c>
      <c r="F31" s="1180">
        <f t="shared" ref="F31:F38" si="16">SUMIF($B$143:$B$464,$A31,$F$143:$F$468)</f>
        <v>894</v>
      </c>
      <c r="G31" s="1180">
        <f t="shared" ref="G31:G38" si="17">SUMIF($B$143:$B$464,$A31,$G$143:$G$468)</f>
        <v>727</v>
      </c>
      <c r="H31" s="1180">
        <f t="shared" ref="H31:H38" si="18">SUMIF($B$143:$B$464,$A31,$H$143:$H$468)</f>
        <v>900</v>
      </c>
      <c r="I31" s="1180">
        <f t="shared" ref="I31:I38" si="19">SUMIF($B$143:$B$464,$A31,$I$143:$I$468)</f>
        <v>839</v>
      </c>
      <c r="J31" s="1180">
        <f t="shared" ref="J31:J38" si="20">SUMIF($B$143:$B$464,$A31,$J$143:$J$468)</f>
        <v>869</v>
      </c>
      <c r="K31" s="1180">
        <f t="shared" ref="K31:K38" si="21">SUMIF($B$143:$B$464,$A31,$K$143:$K$468)</f>
        <v>899</v>
      </c>
      <c r="L31" s="1180">
        <f t="shared" ref="L31:L38" si="22">SUMIF($B$143:$B$464,$A31,$L$143:$L$468)</f>
        <v>883</v>
      </c>
      <c r="M31" s="1180">
        <f t="shared" ref="M31:M38" si="23">SUMIF($B$143:$B$464,$A31,$M$143:$M$468)</f>
        <v>823</v>
      </c>
      <c r="N31" s="1180">
        <f t="shared" ref="N31:N38" si="24">SUMIF($B$143:$B$464,$A31,$N$143:$N$468)</f>
        <v>854</v>
      </c>
      <c r="O31" s="1180">
        <f t="shared" ref="O31:O38" si="25">SUMIF($B$143:$B$464,$A31,$O$143:$O$468)</f>
        <v>864</v>
      </c>
      <c r="P31" s="1180">
        <f t="shared" ref="P31:P38" si="26">SUMIF($B$143:$B$464,$A31,$P$143:$P$468)</f>
        <v>852</v>
      </c>
      <c r="Q31" s="1180">
        <f t="shared" ref="Q31:Q38" si="27">SUMIF($B$143:$B$464,$A31,$Q$143:$Q$468)</f>
        <v>949</v>
      </c>
      <c r="R31" s="1180">
        <f t="shared" ref="R31:R38" si="28">SUMIF($B$143:$B$464,$A31,$R$143:$R$468)</f>
        <v>867</v>
      </c>
      <c r="S31" s="1876">
        <v>0</v>
      </c>
      <c r="T31" s="1175">
        <f>R31+S31</f>
        <v>867</v>
      </c>
      <c r="V31" s="1175">
        <f>E31+T31</f>
        <v>11220</v>
      </c>
    </row>
    <row r="32" spans="1:22" x14ac:dyDescent="0.15">
      <c r="A32" s="1186">
        <v>886</v>
      </c>
      <c r="B32" s="1187" t="s">
        <v>1568</v>
      </c>
      <c r="C32" s="1189"/>
      <c r="D32" s="1189"/>
      <c r="E32" s="1187">
        <f>'Input O&amp;M FERC 12-17'!O22</f>
        <v>253472</v>
      </c>
      <c r="F32" s="1180">
        <f t="shared" si="16"/>
        <v>17338</v>
      </c>
      <c r="G32" s="1180">
        <f t="shared" si="17"/>
        <v>16587</v>
      </c>
      <c r="H32" s="1180">
        <f t="shared" si="18"/>
        <v>17265</v>
      </c>
      <c r="I32" s="1180">
        <f t="shared" si="19"/>
        <v>19776</v>
      </c>
      <c r="J32" s="1180">
        <f t="shared" si="20"/>
        <v>23462</v>
      </c>
      <c r="K32" s="1180">
        <f t="shared" si="21"/>
        <v>23280</v>
      </c>
      <c r="L32" s="1180">
        <f t="shared" si="22"/>
        <v>22238</v>
      </c>
      <c r="M32" s="1180">
        <f t="shared" si="23"/>
        <v>26433</v>
      </c>
      <c r="N32" s="1180">
        <f t="shared" si="24"/>
        <v>24032</v>
      </c>
      <c r="O32" s="1180">
        <f t="shared" si="25"/>
        <v>22093</v>
      </c>
      <c r="P32" s="1180">
        <f t="shared" si="26"/>
        <v>20422</v>
      </c>
      <c r="Q32" s="1180">
        <f t="shared" si="27"/>
        <v>20546</v>
      </c>
      <c r="R32" s="1180">
        <f t="shared" si="28"/>
        <v>875</v>
      </c>
      <c r="S32" s="1876">
        <v>0</v>
      </c>
      <c r="T32" s="1175">
        <f t="shared" ref="T32:T45" si="29">R32+S32</f>
        <v>875</v>
      </c>
      <c r="V32" s="1175">
        <f t="shared" ref="V32:V38" si="30">E32+T32</f>
        <v>254347</v>
      </c>
    </row>
    <row r="33" spans="1:22" x14ac:dyDescent="0.15">
      <c r="A33" s="1186">
        <v>887</v>
      </c>
      <c r="B33" s="1187" t="s">
        <v>719</v>
      </c>
      <c r="C33" s="1189"/>
      <c r="D33" s="1189"/>
      <c r="E33" s="1187">
        <f>'Input O&amp;M FERC 12-17'!O23</f>
        <v>3031716</v>
      </c>
      <c r="F33" s="1180">
        <f t="shared" si="16"/>
        <v>227177</v>
      </c>
      <c r="G33" s="1180">
        <f t="shared" si="17"/>
        <v>205267</v>
      </c>
      <c r="H33" s="1180">
        <f t="shared" si="18"/>
        <v>226782</v>
      </c>
      <c r="I33" s="1180">
        <f t="shared" si="19"/>
        <v>241247</v>
      </c>
      <c r="J33" s="1180">
        <f t="shared" si="20"/>
        <v>270683</v>
      </c>
      <c r="K33" s="1180">
        <f t="shared" si="21"/>
        <v>273208</v>
      </c>
      <c r="L33" s="1180">
        <f t="shared" si="22"/>
        <v>264340</v>
      </c>
      <c r="M33" s="1180">
        <f t="shared" si="23"/>
        <v>288802</v>
      </c>
      <c r="N33" s="1180">
        <f t="shared" si="24"/>
        <v>273868</v>
      </c>
      <c r="O33" s="1180">
        <f t="shared" si="25"/>
        <v>260335</v>
      </c>
      <c r="P33" s="1180">
        <f t="shared" si="26"/>
        <v>245147</v>
      </c>
      <c r="Q33" s="1180">
        <f t="shared" si="27"/>
        <v>254860</v>
      </c>
      <c r="R33" s="1180">
        <f t="shared" si="28"/>
        <v>97356</v>
      </c>
      <c r="S33" s="1876">
        <f>-642</f>
        <v>-642</v>
      </c>
      <c r="T33" s="1175">
        <f t="shared" si="29"/>
        <v>96714</v>
      </c>
      <c r="V33" s="1175">
        <f t="shared" si="30"/>
        <v>3128430</v>
      </c>
    </row>
    <row r="34" spans="1:22" x14ac:dyDescent="0.15">
      <c r="A34" s="1186">
        <v>889</v>
      </c>
      <c r="B34" s="1187" t="s">
        <v>1672</v>
      </c>
      <c r="C34" s="1189"/>
      <c r="D34" s="1189"/>
      <c r="E34" s="1187">
        <f>'Input O&amp;M FERC 12-17'!O24</f>
        <v>269555</v>
      </c>
      <c r="F34" s="1180">
        <f t="shared" si="16"/>
        <v>23809</v>
      </c>
      <c r="G34" s="1180">
        <f t="shared" si="17"/>
        <v>20477</v>
      </c>
      <c r="H34" s="1180">
        <f t="shared" si="18"/>
        <v>22758</v>
      </c>
      <c r="I34" s="1180">
        <f t="shared" si="19"/>
        <v>22293</v>
      </c>
      <c r="J34" s="1180">
        <f t="shared" si="20"/>
        <v>22822</v>
      </c>
      <c r="K34" s="1180">
        <f t="shared" si="21"/>
        <v>23868</v>
      </c>
      <c r="L34" s="1180">
        <f t="shared" si="22"/>
        <v>23363</v>
      </c>
      <c r="M34" s="1180">
        <f t="shared" si="23"/>
        <v>21710</v>
      </c>
      <c r="N34" s="1180">
        <f t="shared" si="24"/>
        <v>21986</v>
      </c>
      <c r="O34" s="1180">
        <f t="shared" si="25"/>
        <v>22521</v>
      </c>
      <c r="P34" s="1180">
        <f t="shared" si="26"/>
        <v>21152</v>
      </c>
      <c r="Q34" s="1180">
        <f t="shared" si="27"/>
        <v>22796</v>
      </c>
      <c r="R34" s="1180">
        <f t="shared" si="28"/>
        <v>13775</v>
      </c>
      <c r="S34" s="1876">
        <v>0</v>
      </c>
      <c r="T34" s="1175">
        <f t="shared" si="29"/>
        <v>13775</v>
      </c>
      <c r="V34" s="1175">
        <f t="shared" si="30"/>
        <v>283330</v>
      </c>
    </row>
    <row r="35" spans="1:22" x14ac:dyDescent="0.15">
      <c r="A35" s="1186">
        <v>890</v>
      </c>
      <c r="B35" s="1187" t="s">
        <v>1673</v>
      </c>
      <c r="C35" s="1189"/>
      <c r="D35" s="1189"/>
      <c r="E35" s="1187">
        <f>'Input O&amp;M FERC 12-17'!O25</f>
        <v>69705</v>
      </c>
      <c r="F35" s="1180">
        <f t="shared" si="16"/>
        <v>5799</v>
      </c>
      <c r="G35" s="1180">
        <f t="shared" si="17"/>
        <v>5422</v>
      </c>
      <c r="H35" s="1180">
        <f t="shared" si="18"/>
        <v>5873</v>
      </c>
      <c r="I35" s="1180">
        <f t="shared" si="19"/>
        <v>5632</v>
      </c>
      <c r="J35" s="1180">
        <f t="shared" si="20"/>
        <v>5812</v>
      </c>
      <c r="K35" s="1180">
        <f t="shared" si="21"/>
        <v>6019</v>
      </c>
      <c r="L35" s="1180">
        <f t="shared" si="22"/>
        <v>5807</v>
      </c>
      <c r="M35" s="1180">
        <f t="shared" si="23"/>
        <v>5678</v>
      </c>
      <c r="N35" s="1180">
        <f t="shared" si="24"/>
        <v>5857</v>
      </c>
      <c r="O35" s="1180">
        <f t="shared" si="25"/>
        <v>5817</v>
      </c>
      <c r="P35" s="1180">
        <f t="shared" si="26"/>
        <v>5822</v>
      </c>
      <c r="Q35" s="1180">
        <f t="shared" si="27"/>
        <v>6167</v>
      </c>
      <c r="R35" s="1180">
        <f t="shared" si="28"/>
        <v>1594</v>
      </c>
      <c r="S35" s="1876">
        <v>0</v>
      </c>
      <c r="T35" s="1175">
        <f t="shared" si="29"/>
        <v>1594</v>
      </c>
      <c r="V35" s="1175">
        <f t="shared" si="30"/>
        <v>71299</v>
      </c>
    </row>
    <row r="36" spans="1:22" x14ac:dyDescent="0.15">
      <c r="A36" s="1186">
        <v>892</v>
      </c>
      <c r="B36" s="1187" t="s">
        <v>724</v>
      </c>
      <c r="C36" s="1188"/>
      <c r="D36" s="1188"/>
      <c r="E36" s="1187">
        <f>'Input O&amp;M FERC 12-17'!O26</f>
        <v>699761</v>
      </c>
      <c r="F36" s="1180">
        <f t="shared" si="16"/>
        <v>52521</v>
      </c>
      <c r="G36" s="1180">
        <f t="shared" si="17"/>
        <v>47133</v>
      </c>
      <c r="H36" s="1180">
        <f t="shared" si="18"/>
        <v>53427</v>
      </c>
      <c r="I36" s="1180">
        <f t="shared" si="19"/>
        <v>55925</v>
      </c>
      <c r="J36" s="1180">
        <f t="shared" si="20"/>
        <v>61372</v>
      </c>
      <c r="K36" s="1180">
        <f t="shared" si="21"/>
        <v>62412</v>
      </c>
      <c r="L36" s="1180">
        <f t="shared" si="22"/>
        <v>60961</v>
      </c>
      <c r="M36" s="1180">
        <f t="shared" si="23"/>
        <v>65610</v>
      </c>
      <c r="N36" s="1180">
        <f t="shared" si="24"/>
        <v>63198</v>
      </c>
      <c r="O36" s="1180">
        <f t="shared" si="25"/>
        <v>59908</v>
      </c>
      <c r="P36" s="1180">
        <f t="shared" si="26"/>
        <v>57489</v>
      </c>
      <c r="Q36" s="1180">
        <f t="shared" si="27"/>
        <v>59805</v>
      </c>
      <c r="R36" s="1180">
        <f t="shared" si="28"/>
        <v>30789</v>
      </c>
      <c r="S36" s="1876">
        <f>-642</f>
        <v>-642</v>
      </c>
      <c r="T36" s="1175">
        <f t="shared" si="29"/>
        <v>30147</v>
      </c>
      <c r="V36" s="1175">
        <f t="shared" si="30"/>
        <v>729908</v>
      </c>
    </row>
    <row r="37" spans="1:22" x14ac:dyDescent="0.15">
      <c r="A37" s="1186">
        <v>893</v>
      </c>
      <c r="B37" s="1187" t="s">
        <v>1674</v>
      </c>
      <c r="C37" s="1189"/>
      <c r="D37" s="1189"/>
      <c r="E37" s="1187">
        <f>'Input O&amp;M FERC 12-17'!O27</f>
        <v>143039</v>
      </c>
      <c r="F37" s="1180">
        <f t="shared" si="16"/>
        <v>12693</v>
      </c>
      <c r="G37" s="1180">
        <f t="shared" si="17"/>
        <v>11705</v>
      </c>
      <c r="H37" s="1180">
        <f t="shared" si="18"/>
        <v>11756</v>
      </c>
      <c r="I37" s="1180">
        <f t="shared" si="19"/>
        <v>12004</v>
      </c>
      <c r="J37" s="1180">
        <f t="shared" si="20"/>
        <v>12008</v>
      </c>
      <c r="K37" s="1180">
        <f t="shared" si="21"/>
        <v>12750</v>
      </c>
      <c r="L37" s="1180">
        <f t="shared" si="22"/>
        <v>12459</v>
      </c>
      <c r="M37" s="1180">
        <f t="shared" si="23"/>
        <v>11665</v>
      </c>
      <c r="N37" s="1180">
        <f t="shared" si="24"/>
        <v>11686</v>
      </c>
      <c r="O37" s="1180">
        <f t="shared" si="25"/>
        <v>11928</v>
      </c>
      <c r="P37" s="1180">
        <f t="shared" si="26"/>
        <v>11017</v>
      </c>
      <c r="Q37" s="1180">
        <f t="shared" si="27"/>
        <v>11368</v>
      </c>
      <c r="R37" s="1180">
        <f t="shared" si="28"/>
        <v>2323</v>
      </c>
      <c r="S37" s="1876">
        <f>-335</f>
        <v>-335</v>
      </c>
      <c r="T37" s="1175">
        <f t="shared" si="29"/>
        <v>1988</v>
      </c>
      <c r="V37" s="1175">
        <f t="shared" si="30"/>
        <v>145027</v>
      </c>
    </row>
    <row r="38" spans="1:22" x14ac:dyDescent="0.15">
      <c r="A38" s="1186">
        <v>894</v>
      </c>
      <c r="B38" s="1187" t="s">
        <v>1570</v>
      </c>
      <c r="C38" s="1189"/>
      <c r="D38" s="1189"/>
      <c r="E38" s="1187">
        <f>'Input O&amp;M FERC 12-17'!O28</f>
        <v>311841</v>
      </c>
      <c r="F38" s="1180">
        <f t="shared" si="16"/>
        <v>26427</v>
      </c>
      <c r="G38" s="1180">
        <f t="shared" si="17"/>
        <v>23631</v>
      </c>
      <c r="H38" s="1180">
        <f t="shared" si="18"/>
        <v>26061</v>
      </c>
      <c r="I38" s="1180">
        <f t="shared" si="19"/>
        <v>25491</v>
      </c>
      <c r="J38" s="1180">
        <f t="shared" si="20"/>
        <v>26543</v>
      </c>
      <c r="K38" s="1180">
        <f t="shared" si="21"/>
        <v>27488</v>
      </c>
      <c r="L38" s="1180">
        <f t="shared" si="22"/>
        <v>26711</v>
      </c>
      <c r="M38" s="1180">
        <f t="shared" si="23"/>
        <v>25735</v>
      </c>
      <c r="N38" s="1180">
        <f t="shared" si="24"/>
        <v>25968</v>
      </c>
      <c r="O38" s="1180">
        <f t="shared" si="25"/>
        <v>26163</v>
      </c>
      <c r="P38" s="1180">
        <f t="shared" si="26"/>
        <v>25023</v>
      </c>
      <c r="Q38" s="1180">
        <f t="shared" si="27"/>
        <v>26600</v>
      </c>
      <c r="R38" s="1180">
        <f t="shared" si="28"/>
        <v>11912</v>
      </c>
      <c r="S38" s="1876">
        <v>0</v>
      </c>
      <c r="T38" s="1175">
        <f t="shared" si="29"/>
        <v>11912</v>
      </c>
      <c r="V38" s="1175">
        <f t="shared" si="30"/>
        <v>323753</v>
      </c>
    </row>
    <row r="39" spans="1:22" ht="6" customHeight="1" x14ac:dyDescent="0.15">
      <c r="A39" s="1186"/>
      <c r="B39" s="1187"/>
      <c r="C39" s="1189"/>
      <c r="D39" s="1189"/>
      <c r="E39" s="1198"/>
      <c r="F39" s="1180"/>
      <c r="G39" s="1180"/>
      <c r="H39" s="1180"/>
      <c r="I39" s="1180"/>
      <c r="J39" s="1180"/>
      <c r="K39" s="1180"/>
      <c r="M39" s="1180"/>
      <c r="P39" s="1178"/>
      <c r="Q39" s="1180"/>
      <c r="R39" s="1180"/>
      <c r="S39" s="1876"/>
    </row>
    <row r="40" spans="1:22" x14ac:dyDescent="0.15">
      <c r="A40" s="1190" t="s">
        <v>1677</v>
      </c>
      <c r="C40" s="1193"/>
      <c r="D40" s="1193"/>
      <c r="E40" s="1198"/>
      <c r="F40" s="1180"/>
      <c r="G40" s="1180"/>
      <c r="H40" s="1180"/>
      <c r="I40" s="1180"/>
      <c r="J40" s="1180"/>
      <c r="K40" s="1180"/>
      <c r="L40" s="1194"/>
      <c r="P40" s="1182"/>
      <c r="Q40" s="1182"/>
      <c r="S40" s="1112"/>
    </row>
    <row r="41" spans="1:22" x14ac:dyDescent="0.15">
      <c r="A41" s="1186">
        <v>901</v>
      </c>
      <c r="B41" s="1187" t="s">
        <v>1571</v>
      </c>
      <c r="C41" s="1195"/>
      <c r="D41" s="1195"/>
      <c r="E41" s="1187">
        <f>'Input O&amp;M FERC 12-17'!O30</f>
        <v>0</v>
      </c>
      <c r="F41" s="1180">
        <f>SUMIF($B$143:$B$464,$A41,$F$143:$F$468)</f>
        <v>0</v>
      </c>
      <c r="G41" s="1180">
        <f>SUMIF($B$143:$B$464,$A41,$G$143:$G$468)</f>
        <v>0</v>
      </c>
      <c r="H41" s="1180">
        <f>SUMIF($B$143:$B$464,$A41,$H$143:$H$468)</f>
        <v>0</v>
      </c>
      <c r="I41" s="1180">
        <f>SUMIF($B$143:$B$464,$A41,$I$143:$I$468)</f>
        <v>0</v>
      </c>
      <c r="J41" s="1180">
        <f>SUMIF($B$143:$B$464,$A41,$J$143:$J$468)</f>
        <v>0</v>
      </c>
      <c r="K41" s="1180">
        <f>SUMIF($B$143:$B$464,$A41,$K$143:$K$468)</f>
        <v>0</v>
      </c>
      <c r="L41" s="1180">
        <f>SUMIF($B$143:$B$464,$A41,$L$143:$L$468)</f>
        <v>0</v>
      </c>
      <c r="M41" s="1180">
        <f>SUMIF($B$143:$B$464,$A41,$M$143:$M$468)</f>
        <v>0</v>
      </c>
      <c r="N41" s="1180">
        <f>SUMIF($B$143:$B$464,$A41,$N$143:$N$468)</f>
        <v>0</v>
      </c>
      <c r="O41" s="1180">
        <f>SUMIF($B$143:$B$464,$A41,$O$143:$O$468)</f>
        <v>0</v>
      </c>
      <c r="P41" s="1180">
        <f>SUMIF($B$143:$B$464,$A41,$P$143:$P$468)</f>
        <v>0</v>
      </c>
      <c r="Q41" s="1180">
        <f>SUMIF($B$143:$B$464,$A41,$Q$143:$Q$468)</f>
        <v>0</v>
      </c>
      <c r="R41" s="1180">
        <f t="shared" ref="R41:R45" si="31">SUMIF($B$143:$B$464,$A41,$R$143:$R$468)</f>
        <v>0</v>
      </c>
      <c r="S41" s="1876">
        <v>0</v>
      </c>
      <c r="T41" s="1175">
        <f t="shared" si="29"/>
        <v>0</v>
      </c>
      <c r="V41" s="1175">
        <f>E41+T41</f>
        <v>0</v>
      </c>
    </row>
    <row r="42" spans="1:22" x14ac:dyDescent="0.15">
      <c r="A42" s="1186">
        <v>902</v>
      </c>
      <c r="B42" s="1187" t="s">
        <v>1678</v>
      </c>
      <c r="C42" s="1195"/>
      <c r="D42" s="1195"/>
      <c r="E42" s="1187">
        <f>'Input O&amp;M FERC 12-17'!O31</f>
        <v>547130</v>
      </c>
      <c r="F42" s="1180">
        <f>SUMIF($B$143:$B$464,$A42,$F$143:$F$468)</f>
        <v>38481</v>
      </c>
      <c r="G42" s="1180">
        <f>SUMIF($B$143:$B$464,$A42,$G$143:$G$468)</f>
        <v>35160</v>
      </c>
      <c r="H42" s="1180">
        <f>SUMIF($B$143:$B$464,$A42,$H$143:$H$468)</f>
        <v>39603</v>
      </c>
      <c r="I42" s="1180">
        <f>SUMIF($B$143:$B$464,$A42,$I$143:$I$468)</f>
        <v>42923</v>
      </c>
      <c r="J42" s="1180">
        <f>SUMIF($B$143:$B$464,$A42,$J$143:$J$468)</f>
        <v>49535</v>
      </c>
      <c r="K42" s="1180">
        <f>SUMIF($B$143:$B$464,$A42,$K$143:$K$468)</f>
        <v>49394</v>
      </c>
      <c r="L42" s="1180">
        <f>SUMIF($B$143:$B$464,$A42,$L$143:$L$468)</f>
        <v>47682</v>
      </c>
      <c r="M42" s="1180">
        <f>SUMIF($B$143:$B$464,$A42,$M$143:$M$468)</f>
        <v>54440</v>
      </c>
      <c r="N42" s="1180">
        <f>SUMIF($B$143:$B$464,$A42,$N$143:$N$468)</f>
        <v>50995</v>
      </c>
      <c r="O42" s="1180">
        <f>SUMIF($B$143:$B$464,$A42,$O$143:$O$468)</f>
        <v>47390</v>
      </c>
      <c r="P42" s="1180">
        <f>SUMIF($B$143:$B$464,$A42,$P$143:$P$468)</f>
        <v>45019</v>
      </c>
      <c r="Q42" s="1180">
        <f>SUMIF($B$143:$B$464,$A42,$Q$143:$Q$468)</f>
        <v>46508</v>
      </c>
      <c r="R42" s="1180">
        <f t="shared" si="31"/>
        <v>17703</v>
      </c>
      <c r="S42" s="1876">
        <v>0</v>
      </c>
      <c r="T42" s="1175">
        <f t="shared" si="29"/>
        <v>17703</v>
      </c>
      <c r="V42" s="1175">
        <f>E42+T42</f>
        <v>564833</v>
      </c>
    </row>
    <row r="43" spans="1:22" x14ac:dyDescent="0.15">
      <c r="A43" s="1186">
        <v>903</v>
      </c>
      <c r="B43" s="1187" t="s">
        <v>1679</v>
      </c>
      <c r="C43" s="1189"/>
      <c r="D43" s="1189"/>
      <c r="E43" s="1187">
        <f>'Input O&amp;M FERC 12-17'!O32</f>
        <v>3649038</v>
      </c>
      <c r="F43" s="1180">
        <f>SUMIF($B$143:$B$464,$A43,$F$143:$F$468)</f>
        <v>304949</v>
      </c>
      <c r="G43" s="1180">
        <f>SUMIF($B$143:$B$464,$A43,$G$143:$G$468)</f>
        <v>290970</v>
      </c>
      <c r="H43" s="1180">
        <f>SUMIF($B$143:$B$464,$A43,$H$143:$H$468)</f>
        <v>300547</v>
      </c>
      <c r="I43" s="1180">
        <f>SUMIF($B$143:$B$464,$A43,$I$143:$I$468)</f>
        <v>300248</v>
      </c>
      <c r="J43" s="1180">
        <f>SUMIF($B$143:$B$464,$A43,$J$143:$J$468)</f>
        <v>304205</v>
      </c>
      <c r="K43" s="1180">
        <f>SUMIF($B$143:$B$464,$A43,$K$143:$K$468)</f>
        <v>319528</v>
      </c>
      <c r="L43" s="1180">
        <f>SUMIF($B$143:$B$464,$A43,$L$143:$L$468)</f>
        <v>310505</v>
      </c>
      <c r="M43" s="1180">
        <f>SUMIF($B$143:$B$464,$A43,$M$143:$M$468)</f>
        <v>302941</v>
      </c>
      <c r="N43" s="1180">
        <f>SUMIF($B$143:$B$464,$A43,$N$143:$N$468)</f>
        <v>307759</v>
      </c>
      <c r="O43" s="1180">
        <f>SUMIF($B$143:$B$464,$A43,$O$143:$O$468)</f>
        <v>305075</v>
      </c>
      <c r="P43" s="1180">
        <f>SUMIF($B$143:$B$464,$A43,$P$143:$P$468)</f>
        <v>296912</v>
      </c>
      <c r="Q43" s="1180">
        <f>SUMIF($B$143:$B$464,$A43,$Q$143:$Q$468)</f>
        <v>305399</v>
      </c>
      <c r="R43" s="1180">
        <f t="shared" si="31"/>
        <v>54976</v>
      </c>
      <c r="S43" s="1876">
        <f>241466-12</f>
        <v>241454</v>
      </c>
      <c r="T43" s="1175">
        <f t="shared" si="29"/>
        <v>296430</v>
      </c>
      <c r="V43" s="1175">
        <f>E43+T43</f>
        <v>3945468</v>
      </c>
    </row>
    <row r="44" spans="1:22" x14ac:dyDescent="0.15">
      <c r="A44" s="1186">
        <v>904</v>
      </c>
      <c r="B44" s="1187" t="s">
        <v>1680</v>
      </c>
      <c r="C44" s="1188"/>
      <c r="D44" s="1188"/>
      <c r="E44" s="1187">
        <f>'Input O&amp;M FERC 12-17'!O33</f>
        <v>1655463</v>
      </c>
      <c r="F44" s="1180">
        <f>SUMIF($B$143:$B$464,$A44,$F$143:$F$468)</f>
        <v>238584</v>
      </c>
      <c r="G44" s="1180">
        <f>SUMIF($B$143:$B$464,$A44,$G$143:$G$468)</f>
        <v>224468</v>
      </c>
      <c r="H44" s="1180">
        <f>SUMIF($B$143:$B$464,$A44,$H$143:$H$468)</f>
        <v>179189</v>
      </c>
      <c r="I44" s="1180">
        <f>SUMIF($B$143:$B$464,$A44,$I$143:$I$468)</f>
        <v>131801</v>
      </c>
      <c r="J44" s="1180">
        <f>SUMIF($B$143:$B$464,$A44,$J$143:$J$468)</f>
        <v>107750</v>
      </c>
      <c r="K44" s="1180">
        <f>SUMIF($B$143:$B$464,$A44,$K$143:$K$468)</f>
        <v>84105</v>
      </c>
      <c r="L44" s="1180">
        <f>SUMIF($B$143:$B$464,$A44,$L$143:$L$468)</f>
        <v>81152</v>
      </c>
      <c r="M44" s="1180">
        <f>SUMIF($B$143:$B$464,$A44,$M$143:$M$468)</f>
        <v>87880</v>
      </c>
      <c r="N44" s="1180">
        <f>SUMIF($B$143:$B$464,$A44,$N$143:$N$468)</f>
        <v>83818</v>
      </c>
      <c r="O44" s="1180">
        <f>SUMIF($B$143:$B$464,$A44,$O$143:$O$468)</f>
        <v>93919</v>
      </c>
      <c r="P44" s="1180">
        <f>SUMIF($B$143:$B$464,$A44,$P$143:$P$468)</f>
        <v>145918</v>
      </c>
      <c r="Q44" s="1180">
        <f>SUMIF($B$143:$B$464,$A44,$Q$143:$Q$468)</f>
        <v>196879</v>
      </c>
      <c r="R44" s="1180">
        <f t="shared" si="31"/>
        <v>0</v>
      </c>
      <c r="S44" s="1876">
        <f>-678407-12922+63451</f>
        <v>-627878</v>
      </c>
      <c r="T44" s="1175">
        <f t="shared" si="29"/>
        <v>-627878</v>
      </c>
      <c r="V44" s="1175">
        <f>E44+T44</f>
        <v>1027585</v>
      </c>
    </row>
    <row r="45" spans="1:22" x14ac:dyDescent="0.15">
      <c r="A45" s="1186">
        <v>905</v>
      </c>
      <c r="B45" s="1187" t="s">
        <v>1681</v>
      </c>
      <c r="C45" s="1189"/>
      <c r="D45" s="1189"/>
      <c r="E45" s="1187">
        <f>'Input O&amp;M FERC 12-17'!O34</f>
        <v>1081</v>
      </c>
      <c r="F45" s="1180">
        <f>SUMIF($B$143:$B$464,$A45,$F$143:$F$468)</f>
        <v>93</v>
      </c>
      <c r="G45" s="1180">
        <f>SUMIF($B$143:$B$464,$A45,$G$143:$G$468)</f>
        <v>83</v>
      </c>
      <c r="H45" s="1180">
        <f>SUMIF($B$143:$B$464,$A45,$H$143:$H$468)</f>
        <v>92</v>
      </c>
      <c r="I45" s="1180">
        <f>SUMIF($B$143:$B$464,$A45,$I$143:$I$468)</f>
        <v>83</v>
      </c>
      <c r="J45" s="1180">
        <f>SUMIF($B$143:$B$464,$A45,$J$143:$J$468)</f>
        <v>98</v>
      </c>
      <c r="K45" s="1180">
        <f>SUMIF($B$143:$B$464,$A45,$K$143:$K$468)</f>
        <v>95</v>
      </c>
      <c r="L45" s="1180">
        <f>SUMIF($B$143:$B$464,$A45,$L$143:$L$468)</f>
        <v>90</v>
      </c>
      <c r="M45" s="1180">
        <f>SUMIF($B$143:$B$464,$A45,$M$143:$M$468)</f>
        <v>90</v>
      </c>
      <c r="N45" s="1180">
        <f>SUMIF($B$143:$B$464,$A45,$N$143:$N$468)</f>
        <v>87</v>
      </c>
      <c r="O45" s="1180">
        <f>SUMIF($B$143:$B$464,$A45,$O$143:$O$468)</f>
        <v>91</v>
      </c>
      <c r="P45" s="1180">
        <f>SUMIF($B$143:$B$464,$A45,$P$143:$P$468)</f>
        <v>85</v>
      </c>
      <c r="Q45" s="1180">
        <f>SUMIF($B$143:$B$464,$A45,$Q$143:$Q$468)</f>
        <v>94</v>
      </c>
      <c r="R45" s="1180">
        <f t="shared" si="31"/>
        <v>-8</v>
      </c>
      <c r="S45" s="1876">
        <v>0</v>
      </c>
      <c r="T45" s="1175">
        <f t="shared" si="29"/>
        <v>-8</v>
      </c>
      <c r="V45" s="1175">
        <f>E45+T45</f>
        <v>1073</v>
      </c>
    </row>
    <row r="46" spans="1:22" ht="6" customHeight="1" x14ac:dyDescent="0.15">
      <c r="A46" s="1186"/>
      <c r="B46" s="1187"/>
      <c r="C46" s="1195"/>
      <c r="D46" s="1195"/>
      <c r="E46" s="1198"/>
      <c r="F46" s="1180"/>
      <c r="G46" s="1180"/>
      <c r="H46" s="1180"/>
      <c r="I46" s="1180"/>
      <c r="J46" s="1180"/>
      <c r="K46" s="1180"/>
      <c r="L46" s="1194"/>
      <c r="P46" s="1178"/>
      <c r="Q46" s="1178"/>
      <c r="S46" s="1877"/>
    </row>
    <row r="47" spans="1:22" x14ac:dyDescent="0.15">
      <c r="A47" s="1196" t="s">
        <v>265</v>
      </c>
      <c r="E47" s="1199"/>
      <c r="K47" s="1180"/>
      <c r="L47" s="1194"/>
      <c r="S47" s="1877"/>
    </row>
    <row r="48" spans="1:22" x14ac:dyDescent="0.15">
      <c r="A48" s="1186">
        <v>907</v>
      </c>
      <c r="B48" s="1187" t="s">
        <v>1571</v>
      </c>
      <c r="C48" s="1189"/>
      <c r="D48" s="1189"/>
      <c r="E48" s="1187">
        <f>'Input O&amp;M FERC 12-17'!O38</f>
        <v>22212</v>
      </c>
      <c r="F48" s="1180">
        <f>SUMIF($B$143:$B$464,$A48,$F$143:$F$468)</f>
        <v>794</v>
      </c>
      <c r="G48" s="1180">
        <f>SUMIF($B$143:$B$464,$A48,$G$143:$G$468)</f>
        <v>3180</v>
      </c>
      <c r="H48" s="1180">
        <f>SUMIF($B$143:$B$464,$A48,$H$143:$H$468)</f>
        <v>793</v>
      </c>
      <c r="I48" s="1180">
        <f>SUMIF($B$143:$B$464,$A48,$I$143:$I$468)</f>
        <v>837</v>
      </c>
      <c r="J48" s="1180">
        <f>SUMIF($B$143:$B$464,$A48,$J$143:$J$468)</f>
        <v>3184</v>
      </c>
      <c r="K48" s="1180">
        <f>SUMIF($B$143:$B$464,$A48,$K$143:$K$468)</f>
        <v>927</v>
      </c>
      <c r="L48" s="1180">
        <f>SUMIF($B$143:$B$464,$A48,$L$143:$L$468)</f>
        <v>3180</v>
      </c>
      <c r="M48" s="1180">
        <f>SUMIF($B$143:$B$464,$A48,$M$143:$M$468)</f>
        <v>792</v>
      </c>
      <c r="N48" s="1180">
        <f>SUMIF($B$143:$B$464,$A48,$N$143:$N$468)</f>
        <v>3760</v>
      </c>
      <c r="O48" s="1180">
        <f>SUMIF($B$143:$B$464,$A48,$O$143:$O$468)</f>
        <v>3182</v>
      </c>
      <c r="P48" s="1180">
        <f>SUMIF($B$143:$B$464,$A48,$P$143:$P$468)</f>
        <v>791</v>
      </c>
      <c r="Q48" s="1180">
        <f>SUMIF($B$143:$B$464,$A48,$Q$143:$Q$468)</f>
        <v>792</v>
      </c>
      <c r="R48" s="1180">
        <f t="shared" ref="R48:R51" si="32">SUMIF($B$143:$B$464,$A48,$R$143:$R$468)</f>
        <v>-1</v>
      </c>
      <c r="S48" s="1876">
        <f>-25000</f>
        <v>-25000</v>
      </c>
      <c r="T48" s="1175">
        <f>R48+S48</f>
        <v>-25001</v>
      </c>
      <c r="V48" s="1175">
        <f>E48+T48</f>
        <v>-2789</v>
      </c>
    </row>
    <row r="49" spans="1:22" x14ac:dyDescent="0.15">
      <c r="A49" s="1186">
        <v>908</v>
      </c>
      <c r="B49" s="1187" t="s">
        <v>265</v>
      </c>
      <c r="C49" s="1189"/>
      <c r="D49" s="1189"/>
      <c r="E49" s="1187">
        <f>'Input O&amp;M FERC 12-17'!O39</f>
        <v>1325046</v>
      </c>
      <c r="F49" s="1180">
        <f>SUMIF($B$143:$B$464,$A49,$F$143:$F$468)</f>
        <v>88458</v>
      </c>
      <c r="G49" s="1180">
        <f>SUMIF($B$143:$B$464,$A49,$G$143:$G$468)</f>
        <v>96221</v>
      </c>
      <c r="H49" s="1180">
        <f>SUMIF($B$143:$B$464,$A49,$H$143:$H$468)</f>
        <v>104861</v>
      </c>
      <c r="I49" s="1180">
        <f>SUMIF($B$143:$B$464,$A49,$I$143:$I$468)</f>
        <v>105959</v>
      </c>
      <c r="J49" s="1180">
        <f>SUMIF($B$143:$B$464,$A49,$J$143:$J$468)</f>
        <v>112882</v>
      </c>
      <c r="K49" s="1180">
        <f>SUMIF($B$143:$B$464,$A49,$K$143:$K$468)</f>
        <v>117042</v>
      </c>
      <c r="L49" s="1180">
        <f>SUMIF($B$143:$B$464,$A49,$L$143:$L$468)</f>
        <v>127304</v>
      </c>
      <c r="M49" s="1180">
        <f>SUMIF($B$143:$B$464,$A49,$M$143:$M$468)</f>
        <v>116547</v>
      </c>
      <c r="N49" s="1180">
        <f>SUMIF($B$143:$B$464,$A49,$N$143:$N$468)</f>
        <v>121621</v>
      </c>
      <c r="O49" s="1180">
        <f>SUMIF($B$143:$B$464,$A49,$O$143:$O$468)</f>
        <v>186353</v>
      </c>
      <c r="P49" s="1180">
        <f>SUMIF($B$143:$B$464,$A49,$P$143:$P$468)</f>
        <v>74803</v>
      </c>
      <c r="Q49" s="1180">
        <f>SUMIF($B$143:$B$464,$A49,$Q$143:$Q$468)</f>
        <v>72995</v>
      </c>
      <c r="R49" s="1180">
        <f t="shared" si="32"/>
        <v>1043</v>
      </c>
      <c r="S49" s="1876">
        <f>-113798-338</f>
        <v>-114136</v>
      </c>
      <c r="T49" s="1175">
        <f>R49+S49</f>
        <v>-113093</v>
      </c>
      <c r="V49" s="1175">
        <f>E49+T49</f>
        <v>1211953</v>
      </c>
    </row>
    <row r="50" spans="1:22" x14ac:dyDescent="0.15">
      <c r="A50" s="1186">
        <v>909</v>
      </c>
      <c r="B50" s="1187" t="s">
        <v>1682</v>
      </c>
      <c r="C50" s="1189"/>
      <c r="D50" s="1189"/>
      <c r="E50" s="1187">
        <f>'Input O&amp;M FERC 12-17'!O40</f>
        <v>66405</v>
      </c>
      <c r="F50" s="1180">
        <f>SUMIF($B$143:$B$464,$A50,$F$143:$F$468)</f>
        <v>5334</v>
      </c>
      <c r="G50" s="1180">
        <f>SUMIF($B$143:$B$464,$A50,$G$143:$G$468)</f>
        <v>5454</v>
      </c>
      <c r="H50" s="1180">
        <f>SUMIF($B$143:$B$464,$A50,$H$143:$H$468)</f>
        <v>5567</v>
      </c>
      <c r="I50" s="1180">
        <f>SUMIF($B$143:$B$464,$A50,$I$143:$I$468)</f>
        <v>5387</v>
      </c>
      <c r="J50" s="1180">
        <f>SUMIF($B$143:$B$464,$A50,$J$143:$J$468)</f>
        <v>5430</v>
      </c>
      <c r="K50" s="1180">
        <f>SUMIF($B$143:$B$464,$A50,$K$143:$K$468)</f>
        <v>5679</v>
      </c>
      <c r="L50" s="1180">
        <f>SUMIF($B$143:$B$464,$A50,$L$143:$L$468)</f>
        <v>5546</v>
      </c>
      <c r="M50" s="1180">
        <f>SUMIF($B$143:$B$464,$A50,$M$143:$M$468)</f>
        <v>5547</v>
      </c>
      <c r="N50" s="1180">
        <f>SUMIF($B$143:$B$464,$A50,$N$143:$N$468)</f>
        <v>5656</v>
      </c>
      <c r="O50" s="1180">
        <f>SUMIF($B$143:$B$464,$A50,$O$143:$O$468)</f>
        <v>5517</v>
      </c>
      <c r="P50" s="1180">
        <f>SUMIF($B$143:$B$464,$A50,$P$143:$P$468)</f>
        <v>5611</v>
      </c>
      <c r="Q50" s="1180">
        <f>SUMIF($B$143:$B$464,$A50,$Q$143:$Q$468)</f>
        <v>5677</v>
      </c>
      <c r="R50" s="1180">
        <f t="shared" si="32"/>
        <v>-473</v>
      </c>
      <c r="S50" s="1876">
        <v>0</v>
      </c>
      <c r="T50" s="1175">
        <f>R50+S50</f>
        <v>-473</v>
      </c>
      <c r="V50" s="1175">
        <f>E50+T50</f>
        <v>65932</v>
      </c>
    </row>
    <row r="51" spans="1:22" x14ac:dyDescent="0.15">
      <c r="A51" s="1186">
        <v>910</v>
      </c>
      <c r="B51" s="1187" t="s">
        <v>1681</v>
      </c>
      <c r="C51" s="1189"/>
      <c r="D51" s="1189"/>
      <c r="E51" s="1187">
        <f>'Input O&amp;M FERC 12-17'!O41</f>
        <v>265269</v>
      </c>
      <c r="F51" s="1180">
        <f>SUMIF($B$143:$B$464,$A51,$F$143:$F$468)</f>
        <v>21350</v>
      </c>
      <c r="G51" s="1180">
        <f>SUMIF($B$143:$B$464,$A51,$G$143:$G$468)</f>
        <v>21854</v>
      </c>
      <c r="H51" s="1180">
        <f>SUMIF($B$143:$B$464,$A51,$H$143:$H$468)</f>
        <v>22003</v>
      </c>
      <c r="I51" s="1180">
        <f>SUMIF($B$143:$B$464,$A51,$I$143:$I$468)</f>
        <v>21573</v>
      </c>
      <c r="J51" s="1180">
        <f>SUMIF($B$143:$B$464,$A51,$J$143:$J$468)</f>
        <v>21754</v>
      </c>
      <c r="K51" s="1180">
        <f>SUMIF($B$143:$B$464,$A51,$K$143:$K$468)</f>
        <v>22795</v>
      </c>
      <c r="L51" s="1180">
        <f>SUMIF($B$143:$B$464,$A51,$L$143:$L$468)</f>
        <v>21914</v>
      </c>
      <c r="M51" s="1180">
        <f>SUMIF($B$143:$B$464,$A51,$M$143:$M$468)</f>
        <v>21919</v>
      </c>
      <c r="N51" s="1180">
        <f>SUMIF($B$143:$B$464,$A51,$N$143:$N$468)</f>
        <v>22697</v>
      </c>
      <c r="O51" s="1180">
        <f>SUMIF($B$143:$B$464,$A51,$O$143:$O$468)</f>
        <v>22117</v>
      </c>
      <c r="P51" s="1180">
        <f>SUMIF($B$143:$B$464,$A51,$P$143:$P$468)</f>
        <v>22510</v>
      </c>
      <c r="Q51" s="1180">
        <f>SUMIF($B$143:$B$464,$A51,$Q$143:$Q$468)</f>
        <v>22783</v>
      </c>
      <c r="R51" s="1180">
        <f t="shared" si="32"/>
        <v>-1978</v>
      </c>
      <c r="S51" s="1876">
        <f>-5494</f>
        <v>-5494</v>
      </c>
      <c r="T51" s="1175">
        <f>R51+S51</f>
        <v>-7472</v>
      </c>
      <c r="V51" s="1175">
        <f>E51+T51</f>
        <v>257797</v>
      </c>
    </row>
    <row r="52" spans="1:22" x14ac:dyDescent="0.15">
      <c r="A52" s="1186">
        <v>921</v>
      </c>
      <c r="B52" s="1187" t="s">
        <v>1683</v>
      </c>
      <c r="C52" s="1189"/>
      <c r="D52" s="1189"/>
      <c r="E52" s="1198">
        <v>0</v>
      </c>
      <c r="F52" s="1199">
        <v>0</v>
      </c>
      <c r="G52" s="1199">
        <v>0</v>
      </c>
      <c r="H52" s="1199">
        <v>0</v>
      </c>
      <c r="I52" s="1199">
        <v>0</v>
      </c>
      <c r="J52" s="1199">
        <v>0</v>
      </c>
      <c r="K52" s="1199">
        <v>0</v>
      </c>
      <c r="L52" s="1199">
        <v>0</v>
      </c>
      <c r="M52" s="1199">
        <v>0</v>
      </c>
      <c r="N52" s="1199">
        <v>0</v>
      </c>
      <c r="O52" s="1199">
        <v>0</v>
      </c>
      <c r="P52" s="1199">
        <v>0</v>
      </c>
      <c r="Q52" s="1199">
        <v>0</v>
      </c>
      <c r="R52" s="1198">
        <v>0</v>
      </c>
      <c r="S52" s="1112">
        <v>0</v>
      </c>
      <c r="T52" s="1175">
        <f>R52+S52</f>
        <v>0</v>
      </c>
      <c r="V52" s="1175">
        <f>E52+T52</f>
        <v>0</v>
      </c>
    </row>
    <row r="53" spans="1:22" ht="15.75" customHeight="1" x14ac:dyDescent="0.15">
      <c r="A53" s="1186"/>
      <c r="B53" s="1187"/>
      <c r="C53" s="1195"/>
      <c r="D53" s="1195"/>
      <c r="E53" s="1198"/>
      <c r="F53" s="1180"/>
      <c r="G53" s="1180"/>
      <c r="H53" s="1180"/>
      <c r="I53" s="1180"/>
      <c r="J53" s="1180"/>
      <c r="K53" s="1180"/>
      <c r="L53" s="1197"/>
      <c r="P53" s="1178"/>
      <c r="Q53" s="1178"/>
      <c r="S53" s="1877"/>
    </row>
    <row r="54" spans="1:22" x14ac:dyDescent="0.15">
      <c r="A54" s="1196" t="s">
        <v>1684</v>
      </c>
      <c r="B54" s="1187"/>
      <c r="C54" s="1195"/>
      <c r="D54" s="1195"/>
      <c r="E54" s="1198"/>
      <c r="F54" s="1180"/>
      <c r="G54" s="1180"/>
      <c r="H54" s="1180"/>
      <c r="I54" s="1180"/>
      <c r="J54" s="1180"/>
      <c r="K54" s="1180"/>
      <c r="L54" s="1197"/>
      <c r="P54" s="1178"/>
      <c r="Q54" s="1178"/>
      <c r="S54" s="1877"/>
    </row>
    <row r="55" spans="1:22" x14ac:dyDescent="0.15">
      <c r="A55" s="1186">
        <v>912</v>
      </c>
      <c r="B55" s="1187" t="s">
        <v>1685</v>
      </c>
      <c r="C55" s="1189"/>
      <c r="D55" s="1189"/>
      <c r="E55" s="1187">
        <f>'Input O&amp;M FERC 12-17'!O43</f>
        <v>54506</v>
      </c>
      <c r="F55" s="1180">
        <f>SUMIF($B$143:$B$464,$A55,$F$143:$F$468)</f>
        <v>4387</v>
      </c>
      <c r="G55" s="1180">
        <f>SUMIF($B$143:$B$464,$A55,$G$143:$G$468)</f>
        <v>4490</v>
      </c>
      <c r="H55" s="1180">
        <f>SUMIF($B$143:$B$464,$A55,$H$143:$H$468)</f>
        <v>4521</v>
      </c>
      <c r="I55" s="1180">
        <f>SUMIF($B$143:$B$464,$A55,$I$143:$I$468)</f>
        <v>4433</v>
      </c>
      <c r="J55" s="1180">
        <f>SUMIF($B$143:$B$464,$A55,$J$143:$J$468)</f>
        <v>4470</v>
      </c>
      <c r="K55" s="1180">
        <f>SUMIF($B$143:$B$464,$A55,$K$143:$K$468)</f>
        <v>4684</v>
      </c>
      <c r="L55" s="1180">
        <f>SUMIF($B$143:$B$464,$A55,$L$143:$L$468)</f>
        <v>4503</v>
      </c>
      <c r="M55" s="1180">
        <f>SUMIF($B$143:$B$464,$A55,$M$143:$M$468)</f>
        <v>4504</v>
      </c>
      <c r="N55" s="1180">
        <f>SUMIF($B$143:$B$464,$A55,$N$143:$N$468)</f>
        <v>4664</v>
      </c>
      <c r="O55" s="1180">
        <f>SUMIF($B$143:$B$464,$A55,$O$143:$O$468)</f>
        <v>4544</v>
      </c>
      <c r="P55" s="1180">
        <f>SUMIF($B$143:$B$464,$A55,$P$143:$P$468)</f>
        <v>4625</v>
      </c>
      <c r="Q55" s="1180">
        <f>SUMIF($B$143:$B$464,$A55,$Q$143:$Q$468)</f>
        <v>4681</v>
      </c>
      <c r="R55" s="1180">
        <f t="shared" ref="R55:R57" si="33">SUMIF($B$143:$B$464,$A55,$R$143:$R$468)</f>
        <v>-406</v>
      </c>
      <c r="S55" s="1876">
        <f>-16623</f>
        <v>-16623</v>
      </c>
      <c r="T55" s="1175">
        <f>R55+S55</f>
        <v>-17029</v>
      </c>
      <c r="V55" s="1175">
        <f>E55+T55</f>
        <v>37477</v>
      </c>
    </row>
    <row r="56" spans="1:22" x14ac:dyDescent="0.15">
      <c r="A56" s="1186">
        <v>913</v>
      </c>
      <c r="B56" s="1187" t="s">
        <v>236</v>
      </c>
      <c r="C56" s="1189"/>
      <c r="D56" s="1189"/>
      <c r="E56" s="1187">
        <f>'Input O&amp;M FERC 12-17'!O44</f>
        <v>180829</v>
      </c>
      <c r="F56" s="1180">
        <f>SUMIF($B$143:$B$464,$A56,$F$143:$F$468)</f>
        <v>13952</v>
      </c>
      <c r="G56" s="1180">
        <f>SUMIF($B$143:$B$464,$A56,$G$143:$G$468)</f>
        <v>13989</v>
      </c>
      <c r="H56" s="1180">
        <f>SUMIF($B$143:$B$464,$A56,$H$143:$H$468)</f>
        <v>18248</v>
      </c>
      <c r="I56" s="1180">
        <f>SUMIF($B$143:$B$464,$A56,$I$143:$I$468)</f>
        <v>13968</v>
      </c>
      <c r="J56" s="1180">
        <f>SUMIF($B$143:$B$464,$A56,$J$143:$J$468)</f>
        <v>13981</v>
      </c>
      <c r="K56" s="1180">
        <f>SUMIF($B$143:$B$464,$A56,$K$143:$K$468)</f>
        <v>14057</v>
      </c>
      <c r="L56" s="1180">
        <f>SUMIF($B$143:$B$464,$A56,$L$143:$L$468)</f>
        <v>18242</v>
      </c>
      <c r="M56" s="1180">
        <f>SUMIF($B$143:$B$464,$A56,$M$143:$M$468)</f>
        <v>18242</v>
      </c>
      <c r="N56" s="1180">
        <f>SUMIF($B$143:$B$464,$A56,$N$143:$N$468)</f>
        <v>14050</v>
      </c>
      <c r="O56" s="1180">
        <f>SUMIF($B$143:$B$464,$A56,$O$143:$O$468)</f>
        <v>14008</v>
      </c>
      <c r="P56" s="1180">
        <f>SUMIF($B$143:$B$464,$A56,$P$143:$P$468)</f>
        <v>14036</v>
      </c>
      <c r="Q56" s="1180">
        <f>SUMIF($B$143:$B$464,$A56,$Q$143:$Q$468)</f>
        <v>14056</v>
      </c>
      <c r="R56" s="1180">
        <f t="shared" si="33"/>
        <v>-144</v>
      </c>
      <c r="S56" s="1876">
        <f>-41979</f>
        <v>-41979</v>
      </c>
      <c r="T56" s="1175">
        <f>R56+S56</f>
        <v>-42123</v>
      </c>
      <c r="V56" s="1175">
        <f>E56+T56</f>
        <v>138706</v>
      </c>
    </row>
    <row r="57" spans="1:22" x14ac:dyDescent="0.15">
      <c r="A57" s="1186">
        <v>916</v>
      </c>
      <c r="B57" s="1175" t="s">
        <v>1681</v>
      </c>
      <c r="C57" s="1189"/>
      <c r="D57" s="1189"/>
      <c r="E57" s="1198">
        <v>0</v>
      </c>
      <c r="F57" s="1180">
        <f>SUMIF($B$143:$B$464,$A57,$F$143:$F$468)</f>
        <v>0</v>
      </c>
      <c r="G57" s="1180">
        <f>SUMIF($B$143:$B$464,$A57,$G$143:$G$468)</f>
        <v>0</v>
      </c>
      <c r="H57" s="1180">
        <f>SUMIF($B$143:$B$464,$A57,$H$143:$H$468)</f>
        <v>0</v>
      </c>
      <c r="I57" s="1180">
        <f>SUMIF($B$143:$B$464,$A57,$I$143:$I$468)</f>
        <v>0</v>
      </c>
      <c r="J57" s="1180">
        <f>SUMIF($B$143:$B$464,$A57,$J$143:$J$468)</f>
        <v>0</v>
      </c>
      <c r="K57" s="1180">
        <f>SUMIF($B$143:$B$464,$A57,$K$143:$K$468)</f>
        <v>0</v>
      </c>
      <c r="L57" s="1180">
        <f>SUMIF($B$143:$B$464,$A57,$L$143:$L$468)</f>
        <v>0</v>
      </c>
      <c r="M57" s="1180">
        <f>SUMIF($B$143:$B$464,$A57,$M$143:$M$468)</f>
        <v>0</v>
      </c>
      <c r="N57" s="1180">
        <f>SUMIF($B$143:$B$464,$A57,$N$143:$N$468)</f>
        <v>0</v>
      </c>
      <c r="O57" s="1180">
        <f>SUMIF($B$143:$B$464,$A57,$O$143:$O$468)</f>
        <v>0</v>
      </c>
      <c r="P57" s="1180">
        <f>SUMIF($B$143:$B$464,$A57,$P$143:$P$468)</f>
        <v>0</v>
      </c>
      <c r="Q57" s="1180">
        <f>SUMIF($B$143:$B$464,$A57,$Q$143:$Q$468)</f>
        <v>0</v>
      </c>
      <c r="R57" s="1180">
        <f t="shared" si="33"/>
        <v>0</v>
      </c>
      <c r="S57" s="1876">
        <v>0</v>
      </c>
      <c r="T57" s="1175">
        <f>R57+S57</f>
        <v>0</v>
      </c>
      <c r="V57" s="1175">
        <f>E57+T57</f>
        <v>0</v>
      </c>
    </row>
    <row r="58" spans="1:22" ht="12.75" customHeight="1" x14ac:dyDescent="0.15">
      <c r="A58" s="1186"/>
      <c r="B58" s="1187"/>
      <c r="C58" s="1189"/>
      <c r="D58" s="1189"/>
      <c r="E58" s="1198"/>
      <c r="F58" s="1180"/>
      <c r="G58" s="1180"/>
      <c r="H58" s="1180"/>
      <c r="I58" s="1180"/>
      <c r="J58" s="1180"/>
      <c r="K58" s="1180"/>
      <c r="L58" s="1197"/>
      <c r="P58" s="1178"/>
      <c r="Q58" s="1178"/>
      <c r="S58" s="1877"/>
    </row>
    <row r="59" spans="1:22" x14ac:dyDescent="0.15">
      <c r="A59" s="1190" t="s">
        <v>1686</v>
      </c>
      <c r="B59" s="1187"/>
      <c r="C59" s="1189"/>
      <c r="D59" s="1189"/>
      <c r="E59" s="1198"/>
      <c r="F59" s="1180"/>
      <c r="G59" s="1180"/>
      <c r="H59" s="1180"/>
      <c r="I59" s="1180"/>
      <c r="J59" s="1180"/>
      <c r="K59" s="1180"/>
      <c r="L59" s="1197"/>
      <c r="P59" s="1178"/>
      <c r="Q59" s="1178"/>
      <c r="S59" s="1877"/>
    </row>
    <row r="60" spans="1:22" x14ac:dyDescent="0.15">
      <c r="A60" s="1186">
        <v>920</v>
      </c>
      <c r="B60" s="1187" t="s">
        <v>1687</v>
      </c>
      <c r="C60" s="1188"/>
      <c r="D60" s="1188"/>
      <c r="E60" s="1187">
        <f>'Input O&amp;M FERC 12-17'!O48</f>
        <v>4428466</v>
      </c>
      <c r="F60" s="1180">
        <f t="shared" ref="F60:F70" si="34">SUMIF($B$143:$B$464,$A60,$F$143:$F$468)</f>
        <v>362194</v>
      </c>
      <c r="G60" s="1180">
        <f t="shared" ref="G60:G70" si="35">SUMIF($B$143:$B$464,$A60,$G$143:$G$468)</f>
        <v>343221</v>
      </c>
      <c r="H60" s="1180">
        <f t="shared" ref="H60:H70" si="36">SUMIF($B$143:$B$464,$A60,$H$143:$H$468)</f>
        <v>375232</v>
      </c>
      <c r="I60" s="1180">
        <f t="shared" ref="I60:I70" si="37">SUMIF($B$143:$B$464,$A60,$I$143:$I$468)</f>
        <v>361171</v>
      </c>
      <c r="J60" s="1180">
        <f t="shared" ref="J60:J70" si="38">SUMIF($B$143:$B$464,$A60,$J$143:$J$468)</f>
        <v>364106</v>
      </c>
      <c r="K60" s="1180">
        <f t="shared" ref="K60:K70" si="39">SUMIF($B$143:$B$464,$A60,$K$143:$K$468)</f>
        <v>380880</v>
      </c>
      <c r="L60" s="1180">
        <f t="shared" ref="L60:L70" si="40">SUMIF($B$143:$B$464,$A60,$L$143:$L$468)</f>
        <v>371511</v>
      </c>
      <c r="M60" s="1180">
        <f t="shared" ref="M60:M70" si="41">SUMIF($B$143:$B$464,$A60,$M$143:$M$468)</f>
        <v>361017</v>
      </c>
      <c r="N60" s="1180">
        <f t="shared" ref="N60:N70" si="42">SUMIF($B$143:$B$464,$A60,$N$143:$N$468)</f>
        <v>376058</v>
      </c>
      <c r="O60" s="1180">
        <f t="shared" ref="O60:O70" si="43">SUMIF($B$143:$B$464,$A60,$O$143:$O$468)</f>
        <v>369780</v>
      </c>
      <c r="P60" s="1180">
        <f t="shared" ref="P60:P70" si="44">SUMIF($B$143:$B$464,$A60,$P$143:$P$468)</f>
        <v>373897</v>
      </c>
      <c r="Q60" s="1180">
        <f t="shared" ref="Q60:Q70" si="45">SUMIF($B$143:$B$464,$A60,$Q$143:$Q$468)</f>
        <v>389399</v>
      </c>
      <c r="R60" s="1180">
        <f t="shared" ref="R60:R70" si="46">SUMIF($B$143:$B$464,$A60,$R$143:$R$468)</f>
        <v>139663</v>
      </c>
      <c r="S60" s="1876">
        <v>-6843</v>
      </c>
      <c r="T60" s="1175">
        <f t="shared" ref="T60:T70" si="47">R60+S60</f>
        <v>132820</v>
      </c>
      <c r="V60" s="1175">
        <f t="shared" ref="V60:V70" si="48">E60+T60</f>
        <v>4561286</v>
      </c>
    </row>
    <row r="61" spans="1:22" x14ac:dyDescent="0.15">
      <c r="A61" s="1186">
        <v>921</v>
      </c>
      <c r="B61" s="1187" t="s">
        <v>1683</v>
      </c>
      <c r="C61" s="1189"/>
      <c r="D61" s="1189"/>
      <c r="E61" s="1187">
        <f>'Input O&amp;M FERC 12-17'!O35+'Input O&amp;M FERC 12-17'!O45+'Input O&amp;M FERC 12-17'!O49</f>
        <v>924229</v>
      </c>
      <c r="F61" s="1180">
        <f t="shared" si="34"/>
        <v>78937</v>
      </c>
      <c r="G61" s="1180">
        <f t="shared" si="35"/>
        <v>74027</v>
      </c>
      <c r="H61" s="1180">
        <f t="shared" si="36"/>
        <v>77273</v>
      </c>
      <c r="I61" s="1180">
        <f t="shared" si="37"/>
        <v>71268</v>
      </c>
      <c r="J61" s="1180">
        <f t="shared" si="38"/>
        <v>79932</v>
      </c>
      <c r="K61" s="1180">
        <f t="shared" si="39"/>
        <v>80119</v>
      </c>
      <c r="L61" s="1180">
        <f t="shared" si="40"/>
        <v>77109</v>
      </c>
      <c r="M61" s="1180">
        <f t="shared" si="41"/>
        <v>74983</v>
      </c>
      <c r="N61" s="1180">
        <f t="shared" si="42"/>
        <v>77646</v>
      </c>
      <c r="O61" s="1180">
        <f t="shared" si="43"/>
        <v>77825</v>
      </c>
      <c r="P61" s="1180">
        <f t="shared" si="44"/>
        <v>74709</v>
      </c>
      <c r="Q61" s="1180">
        <f t="shared" si="45"/>
        <v>80401</v>
      </c>
      <c r="R61" s="1180">
        <f t="shared" si="46"/>
        <v>-3903</v>
      </c>
      <c r="S61" s="1876">
        <f>-2716-8811</f>
        <v>-11527</v>
      </c>
      <c r="T61" s="1175">
        <f>R61+S61</f>
        <v>-15430</v>
      </c>
      <c r="V61" s="1175">
        <f t="shared" si="48"/>
        <v>908799</v>
      </c>
    </row>
    <row r="62" spans="1:22" x14ac:dyDescent="0.15">
      <c r="A62" s="1186">
        <v>923</v>
      </c>
      <c r="B62" s="1187" t="s">
        <v>1585</v>
      </c>
      <c r="C62" s="1189"/>
      <c r="D62" s="1189"/>
      <c r="E62" s="1187">
        <f>'Input O&amp;M FERC 12-17'!O50</f>
        <v>7929990.4399600001</v>
      </c>
      <c r="F62" s="1180">
        <f t="shared" si="34"/>
        <v>638849.58333000005</v>
      </c>
      <c r="G62" s="1180">
        <f t="shared" si="35"/>
        <v>652338.98333000008</v>
      </c>
      <c r="H62" s="1180">
        <f t="shared" si="36"/>
        <v>657202.00333000009</v>
      </c>
      <c r="I62" s="1180">
        <f t="shared" si="37"/>
        <v>645374.33333000005</v>
      </c>
      <c r="J62" s="1180">
        <f t="shared" si="38"/>
        <v>651768.16333000001</v>
      </c>
      <c r="K62" s="1180">
        <f t="shared" si="39"/>
        <v>680615.53333000001</v>
      </c>
      <c r="L62" s="1180">
        <f t="shared" si="40"/>
        <v>655758.45333000005</v>
      </c>
      <c r="M62" s="1180">
        <f t="shared" si="41"/>
        <v>656920.77333</v>
      </c>
      <c r="N62" s="1180">
        <f t="shared" si="42"/>
        <v>677939.44333000004</v>
      </c>
      <c r="O62" s="1180">
        <f t="shared" si="43"/>
        <v>661445.42333000002</v>
      </c>
      <c r="P62" s="1180">
        <f t="shared" si="44"/>
        <v>671903.33333000005</v>
      </c>
      <c r="Q62" s="1180">
        <f t="shared" si="45"/>
        <v>679874.41333000001</v>
      </c>
      <c r="R62" s="1180">
        <f t="shared" si="46"/>
        <v>-55521</v>
      </c>
      <c r="S62" s="1876">
        <f>-44</f>
        <v>-44</v>
      </c>
      <c r="T62" s="1175">
        <f t="shared" si="47"/>
        <v>-55565</v>
      </c>
      <c r="V62" s="1175">
        <f t="shared" si="48"/>
        <v>7874425.4399600001</v>
      </c>
    </row>
    <row r="63" spans="1:22" x14ac:dyDescent="0.15">
      <c r="A63" s="1186">
        <v>924</v>
      </c>
      <c r="B63" s="1187" t="s">
        <v>1688</v>
      </c>
      <c r="C63" s="1189"/>
      <c r="D63" s="1189"/>
      <c r="E63" s="1187">
        <f>'Input O&amp;M FERC 12-17'!O51</f>
        <v>81748</v>
      </c>
      <c r="F63" s="1180">
        <f t="shared" si="34"/>
        <v>6753</v>
      </c>
      <c r="G63" s="1180">
        <f t="shared" si="35"/>
        <v>6753</v>
      </c>
      <c r="H63" s="1180">
        <f t="shared" si="36"/>
        <v>6753</v>
      </c>
      <c r="I63" s="1180">
        <f t="shared" si="37"/>
        <v>6753</v>
      </c>
      <c r="J63" s="1180">
        <f t="shared" si="38"/>
        <v>6753</v>
      </c>
      <c r="K63" s="1180">
        <f t="shared" si="39"/>
        <v>6753</v>
      </c>
      <c r="L63" s="1180">
        <f t="shared" si="40"/>
        <v>6866</v>
      </c>
      <c r="M63" s="1180">
        <f t="shared" si="41"/>
        <v>6866</v>
      </c>
      <c r="N63" s="1180">
        <f t="shared" si="42"/>
        <v>6866</v>
      </c>
      <c r="O63" s="1180">
        <f t="shared" si="43"/>
        <v>6866</v>
      </c>
      <c r="P63" s="1180">
        <f t="shared" si="44"/>
        <v>6883</v>
      </c>
      <c r="Q63" s="1180">
        <f t="shared" si="45"/>
        <v>6883</v>
      </c>
      <c r="R63" s="1180">
        <f t="shared" si="46"/>
        <v>0</v>
      </c>
      <c r="S63" s="1876">
        <v>0</v>
      </c>
      <c r="T63" s="1175">
        <f t="shared" si="47"/>
        <v>0</v>
      </c>
      <c r="V63" s="1175">
        <f t="shared" si="48"/>
        <v>81748</v>
      </c>
    </row>
    <row r="64" spans="1:22" x14ac:dyDescent="0.15">
      <c r="A64" s="1186">
        <v>925</v>
      </c>
      <c r="B64" s="1187" t="s">
        <v>1587</v>
      </c>
      <c r="C64" s="1189"/>
      <c r="D64" s="1189"/>
      <c r="E64" s="1187">
        <f>'Input O&amp;M FERC 12-17'!O52</f>
        <v>1044557</v>
      </c>
      <c r="F64" s="1180">
        <f t="shared" si="34"/>
        <v>86255</v>
      </c>
      <c r="G64" s="1180">
        <f t="shared" si="35"/>
        <v>86348</v>
      </c>
      <c r="H64" s="1180">
        <f t="shared" si="36"/>
        <v>86375</v>
      </c>
      <c r="I64" s="1180">
        <f t="shared" si="37"/>
        <v>86296</v>
      </c>
      <c r="J64" s="1180">
        <f t="shared" si="38"/>
        <v>86329</v>
      </c>
      <c r="K64" s="1180">
        <f t="shared" si="39"/>
        <v>86520</v>
      </c>
      <c r="L64" s="1180">
        <f t="shared" si="40"/>
        <v>87603</v>
      </c>
      <c r="M64" s="1180">
        <f t="shared" si="41"/>
        <v>87604</v>
      </c>
      <c r="N64" s="1180">
        <f t="shared" si="42"/>
        <v>87746</v>
      </c>
      <c r="O64" s="1180">
        <f t="shared" si="43"/>
        <v>87641</v>
      </c>
      <c r="P64" s="1180">
        <f t="shared" si="44"/>
        <v>87895</v>
      </c>
      <c r="Q64" s="1180">
        <f t="shared" si="45"/>
        <v>87945</v>
      </c>
      <c r="R64" s="1180">
        <f t="shared" si="46"/>
        <v>-362</v>
      </c>
      <c r="S64" s="1876">
        <v>0</v>
      </c>
      <c r="T64" s="1175">
        <f t="shared" si="47"/>
        <v>-362</v>
      </c>
      <c r="V64" s="1175">
        <f t="shared" si="48"/>
        <v>1044195</v>
      </c>
    </row>
    <row r="65" spans="1:23" x14ac:dyDescent="0.15">
      <c r="A65" s="1186">
        <v>926</v>
      </c>
      <c r="B65" s="1187" t="s">
        <v>1689</v>
      </c>
      <c r="C65" s="1189"/>
      <c r="D65" s="1189"/>
      <c r="E65" s="1187">
        <f>'Input O&amp;M FERC 12-17'!O53</f>
        <v>3543380</v>
      </c>
      <c r="F65" s="1180">
        <f t="shared" si="34"/>
        <v>338714</v>
      </c>
      <c r="G65" s="1180">
        <f t="shared" si="35"/>
        <v>355318</v>
      </c>
      <c r="H65" s="1180">
        <f t="shared" si="36"/>
        <v>253603</v>
      </c>
      <c r="I65" s="1180">
        <f t="shared" si="37"/>
        <v>258848</v>
      </c>
      <c r="J65" s="1180">
        <f t="shared" si="38"/>
        <v>257836</v>
      </c>
      <c r="K65" s="1180">
        <f t="shared" si="39"/>
        <v>283691</v>
      </c>
      <c r="L65" s="1180">
        <f t="shared" si="40"/>
        <v>283136</v>
      </c>
      <c r="M65" s="1180">
        <f t="shared" si="41"/>
        <v>273357</v>
      </c>
      <c r="N65" s="1180">
        <f t="shared" si="42"/>
        <v>270374</v>
      </c>
      <c r="O65" s="1180">
        <f t="shared" si="43"/>
        <v>272671</v>
      </c>
      <c r="P65" s="1180">
        <f t="shared" si="44"/>
        <v>347071</v>
      </c>
      <c r="Q65" s="1180">
        <f t="shared" si="45"/>
        <v>348761</v>
      </c>
      <c r="R65" s="1180">
        <f t="shared" si="46"/>
        <v>-12230</v>
      </c>
      <c r="S65" s="1876">
        <v>-181969</v>
      </c>
      <c r="T65" s="1175">
        <f t="shared" si="47"/>
        <v>-194199</v>
      </c>
      <c r="V65" s="1175">
        <f t="shared" si="48"/>
        <v>3349181</v>
      </c>
    </row>
    <row r="66" spans="1:23" x14ac:dyDescent="0.15">
      <c r="A66" s="1186">
        <v>928</v>
      </c>
      <c r="B66" s="1187" t="s">
        <v>1690</v>
      </c>
      <c r="C66" s="1189"/>
      <c r="D66" s="1189"/>
      <c r="E66" s="1187">
        <f>'Input O&amp;M FERC 12-17'!O54</f>
        <v>239863</v>
      </c>
      <c r="F66" s="1180">
        <f t="shared" si="34"/>
        <v>20088</v>
      </c>
      <c r="G66" s="1180">
        <f t="shared" si="35"/>
        <v>18971</v>
      </c>
      <c r="H66" s="1180">
        <f t="shared" si="36"/>
        <v>19785</v>
      </c>
      <c r="I66" s="1180">
        <f t="shared" si="37"/>
        <v>19177</v>
      </c>
      <c r="J66" s="1180">
        <f t="shared" si="38"/>
        <v>20771</v>
      </c>
      <c r="K66" s="1180">
        <f t="shared" si="39"/>
        <v>20350</v>
      </c>
      <c r="L66" s="1180">
        <f t="shared" si="40"/>
        <v>20068</v>
      </c>
      <c r="M66" s="1180">
        <f t="shared" si="41"/>
        <v>20068</v>
      </c>
      <c r="N66" s="1180">
        <f t="shared" si="42"/>
        <v>19703</v>
      </c>
      <c r="O66" s="1180">
        <f t="shared" si="43"/>
        <v>20316</v>
      </c>
      <c r="P66" s="1180">
        <f t="shared" si="44"/>
        <v>19510</v>
      </c>
      <c r="Q66" s="1180">
        <f t="shared" si="45"/>
        <v>21056</v>
      </c>
      <c r="R66" s="1180">
        <f t="shared" si="46"/>
        <v>-5512</v>
      </c>
      <c r="S66" s="1876">
        <f>-77448+219333</f>
        <v>141885</v>
      </c>
      <c r="T66" s="1175">
        <f t="shared" si="47"/>
        <v>136373</v>
      </c>
      <c r="V66" s="1175">
        <f t="shared" si="48"/>
        <v>376236</v>
      </c>
    </row>
    <row r="67" spans="1:23" x14ac:dyDescent="0.15">
      <c r="A67" s="1186">
        <v>930</v>
      </c>
      <c r="B67" s="1187" t="s">
        <v>1592</v>
      </c>
      <c r="C67" s="1189"/>
      <c r="D67" s="1189"/>
      <c r="E67" s="1187">
        <f>'Input O&amp;M FERC 12-17'!O55</f>
        <v>-61662</v>
      </c>
      <c r="F67" s="1180">
        <f t="shared" si="34"/>
        <v>-5968</v>
      </c>
      <c r="G67" s="1180">
        <f t="shared" si="35"/>
        <v>-4844</v>
      </c>
      <c r="H67" s="1180">
        <f t="shared" si="36"/>
        <v>-6583</v>
      </c>
      <c r="I67" s="1180">
        <f t="shared" si="37"/>
        <v>-7994</v>
      </c>
      <c r="J67" s="1180">
        <f t="shared" si="38"/>
        <v>-659</v>
      </c>
      <c r="K67" s="1180">
        <f t="shared" si="39"/>
        <v>-4931</v>
      </c>
      <c r="L67" s="1180">
        <f t="shared" si="40"/>
        <v>-3468</v>
      </c>
      <c r="M67" s="1180">
        <f t="shared" si="41"/>
        <v>-7064</v>
      </c>
      <c r="N67" s="1180">
        <f t="shared" si="42"/>
        <v>-3282</v>
      </c>
      <c r="O67" s="1180">
        <f t="shared" si="43"/>
        <v>-2876</v>
      </c>
      <c r="P67" s="1180">
        <f t="shared" si="44"/>
        <v>-8318</v>
      </c>
      <c r="Q67" s="1180">
        <f t="shared" si="45"/>
        <v>-5675</v>
      </c>
      <c r="R67" s="1180">
        <f t="shared" si="46"/>
        <v>-490</v>
      </c>
      <c r="S67" s="1876">
        <f>-820</f>
        <v>-820</v>
      </c>
      <c r="T67" s="1175">
        <f t="shared" si="47"/>
        <v>-1310</v>
      </c>
      <c r="V67" s="1175">
        <f t="shared" si="48"/>
        <v>-62972</v>
      </c>
    </row>
    <row r="68" spans="1:23" x14ac:dyDescent="0.15">
      <c r="A68" s="1186">
        <v>931</v>
      </c>
      <c r="B68" s="1187" t="s">
        <v>1691</v>
      </c>
      <c r="C68" s="1189"/>
      <c r="D68" s="1189"/>
      <c r="E68" s="1187">
        <f>'Input O&amp;M FERC 12-17'!O56</f>
        <v>646910</v>
      </c>
      <c r="F68" s="1180">
        <f t="shared" si="34"/>
        <v>52031</v>
      </c>
      <c r="G68" s="1180">
        <f t="shared" si="35"/>
        <v>53421</v>
      </c>
      <c r="H68" s="1180">
        <f t="shared" si="36"/>
        <v>53647</v>
      </c>
      <c r="I68" s="1180">
        <f t="shared" si="37"/>
        <v>52719</v>
      </c>
      <c r="J68" s="1180">
        <f t="shared" si="38"/>
        <v>52889</v>
      </c>
      <c r="K68" s="1180">
        <f t="shared" si="39"/>
        <v>55461</v>
      </c>
      <c r="L68" s="1180">
        <f t="shared" si="40"/>
        <v>53474</v>
      </c>
      <c r="M68" s="1180">
        <f t="shared" si="41"/>
        <v>53485</v>
      </c>
      <c r="N68" s="1180">
        <f t="shared" si="42"/>
        <v>55409</v>
      </c>
      <c r="O68" s="1180">
        <f t="shared" si="43"/>
        <v>53918</v>
      </c>
      <c r="P68" s="1180">
        <f t="shared" si="44"/>
        <v>54992</v>
      </c>
      <c r="Q68" s="1180">
        <f t="shared" si="45"/>
        <v>55464</v>
      </c>
      <c r="R68" s="1180">
        <f t="shared" si="46"/>
        <v>-4735</v>
      </c>
      <c r="S68" s="1876">
        <v>0</v>
      </c>
      <c r="T68" s="1175">
        <f t="shared" si="47"/>
        <v>-4735</v>
      </c>
      <c r="V68" s="1175">
        <f t="shared" si="48"/>
        <v>642175</v>
      </c>
    </row>
    <row r="69" spans="1:23" x14ac:dyDescent="0.15">
      <c r="A69" s="1186">
        <v>932</v>
      </c>
      <c r="B69" s="1187" t="s">
        <v>2102</v>
      </c>
      <c r="C69" s="1189"/>
      <c r="D69" s="1189"/>
      <c r="E69" s="1187">
        <f>'Input O&amp;M FERC 12-17'!O57</f>
        <v>249393</v>
      </c>
      <c r="F69" s="1180">
        <f t="shared" si="34"/>
        <v>19973</v>
      </c>
      <c r="G69" s="1180">
        <f t="shared" si="35"/>
        <v>20432</v>
      </c>
      <c r="H69" s="1180">
        <f t="shared" si="36"/>
        <v>20586</v>
      </c>
      <c r="I69" s="1180">
        <f t="shared" si="37"/>
        <v>20258</v>
      </c>
      <c r="J69" s="1180">
        <f t="shared" si="38"/>
        <v>20520</v>
      </c>
      <c r="K69" s="1180">
        <f t="shared" si="39"/>
        <v>21461</v>
      </c>
      <c r="L69" s="1180">
        <f t="shared" si="40"/>
        <v>20632</v>
      </c>
      <c r="M69" s="1180">
        <f t="shared" si="41"/>
        <v>20756</v>
      </c>
      <c r="N69" s="1180">
        <f t="shared" si="42"/>
        <v>21408</v>
      </c>
      <c r="O69" s="1180">
        <f t="shared" si="43"/>
        <v>20819</v>
      </c>
      <c r="P69" s="1180">
        <f t="shared" si="44"/>
        <v>21148</v>
      </c>
      <c r="Q69" s="1180">
        <f t="shared" si="45"/>
        <v>21400</v>
      </c>
      <c r="R69" s="1180">
        <f t="shared" si="46"/>
        <v>-1800</v>
      </c>
      <c r="S69" s="1876">
        <v>11528</v>
      </c>
      <c r="T69" s="1175">
        <f t="shared" si="47"/>
        <v>9728</v>
      </c>
      <c r="V69" s="1175">
        <f t="shared" si="48"/>
        <v>259121</v>
      </c>
    </row>
    <row r="70" spans="1:23" x14ac:dyDescent="0.15">
      <c r="A70" s="1186">
        <v>935</v>
      </c>
      <c r="B70" s="1187" t="s">
        <v>425</v>
      </c>
      <c r="C70" s="1189"/>
      <c r="D70" s="1189"/>
      <c r="E70" s="1187">
        <f>'Input O&amp;M FERC 12-17'!O36+'Input O&amp;M FERC 12-17'!O46+'Input O&amp;M FERC 12-17'!O58</f>
        <v>130</v>
      </c>
      <c r="F70" s="1180">
        <f t="shared" si="34"/>
        <v>10</v>
      </c>
      <c r="G70" s="1180">
        <f t="shared" si="35"/>
        <v>8</v>
      </c>
      <c r="H70" s="1180">
        <f t="shared" si="36"/>
        <v>7</v>
      </c>
      <c r="I70" s="1180">
        <f t="shared" si="37"/>
        <v>9</v>
      </c>
      <c r="J70" s="1180">
        <f t="shared" si="38"/>
        <v>12</v>
      </c>
      <c r="K70" s="1180">
        <f t="shared" si="39"/>
        <v>13</v>
      </c>
      <c r="L70" s="1180">
        <f t="shared" si="40"/>
        <v>10</v>
      </c>
      <c r="M70" s="1180">
        <f t="shared" si="41"/>
        <v>14</v>
      </c>
      <c r="N70" s="1180">
        <f t="shared" si="42"/>
        <v>13</v>
      </c>
      <c r="O70" s="1180">
        <f t="shared" si="43"/>
        <v>11</v>
      </c>
      <c r="P70" s="1180">
        <f t="shared" si="44"/>
        <v>12</v>
      </c>
      <c r="Q70" s="1180">
        <f t="shared" si="45"/>
        <v>11</v>
      </c>
      <c r="R70" s="1180">
        <f t="shared" si="46"/>
        <v>0</v>
      </c>
      <c r="S70" s="1876">
        <v>0</v>
      </c>
      <c r="T70" s="1175">
        <f t="shared" si="47"/>
        <v>0</v>
      </c>
      <c r="V70" s="1175">
        <f t="shared" si="48"/>
        <v>130</v>
      </c>
    </row>
    <row r="71" spans="1:23" x14ac:dyDescent="0.15">
      <c r="A71" s="1186"/>
      <c r="B71" s="1187"/>
      <c r="C71" s="1189"/>
      <c r="D71" s="1189"/>
      <c r="E71" s="1198"/>
      <c r="F71" s="1180"/>
      <c r="G71" s="1180"/>
      <c r="H71" s="1180"/>
      <c r="I71" s="1180"/>
      <c r="J71" s="1180"/>
      <c r="K71" s="1180"/>
      <c r="L71" s="1180"/>
      <c r="M71" s="1180"/>
      <c r="N71" s="1180"/>
      <c r="O71" s="1180"/>
      <c r="P71" s="1180"/>
      <c r="Q71" s="1180"/>
      <c r="S71" s="1178"/>
    </row>
    <row r="72" spans="1:23" x14ac:dyDescent="0.15">
      <c r="B72" s="1175" t="s">
        <v>670</v>
      </c>
      <c r="E72" s="1180">
        <f>SUM(E9:E70)</f>
        <v>44170009.439960003</v>
      </c>
      <c r="F72" s="1174">
        <f t="shared" ref="F72:Q72" si="49">SUM(F9:F70)</f>
        <v>3679114.5833299998</v>
      </c>
      <c r="G72" s="1174">
        <f t="shared" si="49"/>
        <v>3516885.9833300002</v>
      </c>
      <c r="H72" s="1174">
        <f t="shared" si="49"/>
        <v>3590308.0033300002</v>
      </c>
      <c r="I72" s="1174">
        <f t="shared" si="49"/>
        <v>3530309.3333299998</v>
      </c>
      <c r="J72" s="1174">
        <f t="shared" si="49"/>
        <v>3684270.1633299999</v>
      </c>
      <c r="K72" s="1174">
        <f t="shared" si="49"/>
        <v>3772825.53333</v>
      </c>
      <c r="L72" s="1174">
        <f t="shared" si="49"/>
        <v>3689638.4533299999</v>
      </c>
      <c r="M72" s="1174">
        <f t="shared" si="49"/>
        <v>3721179.7733300002</v>
      </c>
      <c r="N72" s="1174">
        <f t="shared" si="49"/>
        <v>3727607.4433300002</v>
      </c>
      <c r="O72" s="1174">
        <f t="shared" si="49"/>
        <v>3728632.4233300001</v>
      </c>
      <c r="P72" s="1174">
        <f t="shared" si="49"/>
        <v>3675289.3333299998</v>
      </c>
      <c r="Q72" s="1174">
        <f t="shared" si="49"/>
        <v>3853948.4133299999</v>
      </c>
      <c r="R72" s="1180">
        <f>SUM(R9:R70)</f>
        <v>818356</v>
      </c>
      <c r="S72" s="1187">
        <f>SUM(S9:S70)</f>
        <v>106666</v>
      </c>
      <c r="T72" s="1180">
        <f>SUM(T9:T70)</f>
        <v>925022</v>
      </c>
      <c r="V72" s="1180">
        <f>SUM(V9:V70)</f>
        <v>45095031.439960003</v>
      </c>
    </row>
    <row r="73" spans="1:23" x14ac:dyDescent="0.15">
      <c r="E73" s="1175">
        <f>E72-E135</f>
        <v>0</v>
      </c>
      <c r="F73" s="1175">
        <f t="shared" ref="F73:Q73" si="50">F72-F135</f>
        <v>0</v>
      </c>
      <c r="G73" s="1175">
        <f t="shared" si="50"/>
        <v>0</v>
      </c>
      <c r="H73" s="1175">
        <f t="shared" si="50"/>
        <v>0</v>
      </c>
      <c r="I73" s="1175">
        <f t="shared" si="50"/>
        <v>0</v>
      </c>
      <c r="J73" s="1175">
        <f t="shared" si="50"/>
        <v>0</v>
      </c>
      <c r="K73" s="1175">
        <f t="shared" si="50"/>
        <v>0</v>
      </c>
      <c r="L73" s="1175">
        <f t="shared" si="50"/>
        <v>0</v>
      </c>
      <c r="M73" s="1175">
        <f t="shared" si="50"/>
        <v>0</v>
      </c>
      <c r="N73" s="1175">
        <f t="shared" si="50"/>
        <v>0</v>
      </c>
      <c r="O73" s="1175">
        <f t="shared" si="50"/>
        <v>0</v>
      </c>
      <c r="P73" s="1175">
        <f t="shared" si="50"/>
        <v>0</v>
      </c>
      <c r="Q73" s="1175">
        <f t="shared" si="50"/>
        <v>0</v>
      </c>
      <c r="R73" s="1175">
        <f>R72-R135</f>
        <v>0</v>
      </c>
    </row>
    <row r="75" spans="1:23" x14ac:dyDescent="0.2">
      <c r="A75" s="2153" t="s">
        <v>1692</v>
      </c>
      <c r="B75" s="2153"/>
      <c r="C75" s="2153"/>
      <c r="D75" s="2153"/>
      <c r="E75" s="2153"/>
      <c r="F75" s="2153"/>
      <c r="G75" s="2153"/>
      <c r="H75" s="2153"/>
      <c r="I75" s="2153"/>
      <c r="J75" s="2153"/>
      <c r="K75" s="2153"/>
      <c r="L75" s="2153"/>
      <c r="M75" s="2153"/>
      <c r="N75" s="2153"/>
      <c r="O75" s="2153"/>
      <c r="P75" s="2153"/>
      <c r="Q75" s="2153"/>
      <c r="R75" s="2153"/>
    </row>
    <row r="76" spans="1:23" ht="11.25" customHeight="1" x14ac:dyDescent="0.2">
      <c r="A76" s="1200"/>
      <c r="B76" s="2153"/>
      <c r="C76" s="2153"/>
      <c r="D76" s="2153"/>
      <c r="E76" s="2153"/>
      <c r="F76" s="2153"/>
      <c r="G76" s="2153"/>
      <c r="H76" s="2153"/>
      <c r="I76" s="2153"/>
      <c r="J76" s="2153"/>
      <c r="K76" s="2153"/>
      <c r="L76" s="2153"/>
      <c r="M76" s="1201"/>
      <c r="P76" s="1202"/>
      <c r="Q76" s="1202"/>
      <c r="R76" s="1201"/>
    </row>
    <row r="77" spans="1:23" ht="11.25" customHeight="1" x14ac:dyDescent="0.2">
      <c r="A77" s="1200"/>
      <c r="B77" s="1203"/>
      <c r="C77" s="1228" t="s">
        <v>2105</v>
      </c>
      <c r="D77" s="1579"/>
      <c r="E77" s="1228" t="s">
        <v>1700</v>
      </c>
      <c r="F77" s="2147" t="s">
        <v>1112</v>
      </c>
      <c r="G77" s="2148"/>
      <c r="H77" s="2148"/>
      <c r="I77" s="2148"/>
      <c r="J77" s="2148"/>
      <c r="K77" s="2148"/>
      <c r="L77" s="2148"/>
      <c r="M77" s="2148"/>
      <c r="N77" s="2148"/>
      <c r="O77" s="2148"/>
      <c r="P77" s="2148"/>
      <c r="Q77" s="2149"/>
      <c r="R77" s="1566" t="s">
        <v>1703</v>
      </c>
      <c r="S77" s="1193"/>
      <c r="T77" s="1193"/>
    </row>
    <row r="78" spans="1:23" ht="13.5" x14ac:dyDescent="0.35">
      <c r="A78" s="1200"/>
      <c r="C78" s="1204" t="s">
        <v>1648</v>
      </c>
      <c r="D78" s="1761"/>
      <c r="E78" s="1185" t="s">
        <v>1194</v>
      </c>
      <c r="F78" s="1185" t="s">
        <v>1652</v>
      </c>
      <c r="G78" s="1185" t="s">
        <v>1653</v>
      </c>
      <c r="H78" s="1185" t="s">
        <v>1654</v>
      </c>
      <c r="I78" s="1185" t="s">
        <v>1655</v>
      </c>
      <c r="J78" s="1185" t="s">
        <v>371</v>
      </c>
      <c r="K78" s="1185" t="s">
        <v>1656</v>
      </c>
      <c r="L78" s="1185" t="s">
        <v>1657</v>
      </c>
      <c r="M78" s="1185" t="s">
        <v>1658</v>
      </c>
      <c r="N78" s="1185" t="s">
        <v>1659</v>
      </c>
      <c r="O78" s="1185" t="s">
        <v>1660</v>
      </c>
      <c r="P78" s="1185" t="s">
        <v>1661</v>
      </c>
      <c r="Q78" s="1185" t="s">
        <v>1662</v>
      </c>
      <c r="R78" s="1185" t="s">
        <v>1194</v>
      </c>
      <c r="S78" s="1185"/>
      <c r="T78" s="2146"/>
      <c r="U78" s="2146"/>
      <c r="V78" s="2146"/>
      <c r="W78" s="2146"/>
    </row>
    <row r="79" spans="1:23" ht="11.25" customHeight="1" x14ac:dyDescent="0.2">
      <c r="A79" s="1205" t="s">
        <v>316</v>
      </c>
      <c r="B79" s="1175" t="s">
        <v>2052</v>
      </c>
      <c r="C79" s="2022" t="s">
        <v>2266</v>
      </c>
      <c r="D79" s="1598"/>
      <c r="E79" s="1388">
        <f>SUM(F79:Q79)</f>
        <v>9358726.4399999995</v>
      </c>
      <c r="F79" s="1878">
        <v>787625.25</v>
      </c>
      <c r="G79" s="1878">
        <v>645094.65</v>
      </c>
      <c r="H79" s="1878">
        <v>823153.67</v>
      </c>
      <c r="I79" s="1878">
        <v>767234</v>
      </c>
      <c r="J79" s="1878">
        <v>772610.83</v>
      </c>
      <c r="K79" s="1878">
        <v>805993.2</v>
      </c>
      <c r="L79" s="1878">
        <v>806172.12</v>
      </c>
      <c r="M79" s="1878">
        <v>743720.44</v>
      </c>
      <c r="N79" s="1878">
        <v>783648.11</v>
      </c>
      <c r="O79" s="1878">
        <v>783397.09</v>
      </c>
      <c r="P79" s="1878">
        <v>783159</v>
      </c>
      <c r="Q79" s="1878">
        <v>856918.08</v>
      </c>
      <c r="R79" s="1878">
        <f>76802+215000+181459+467936</f>
        <v>941197</v>
      </c>
      <c r="S79" s="1175">
        <f>E79+R79</f>
        <v>10299923.439999999</v>
      </c>
      <c r="T79" s="2146"/>
      <c r="U79" s="2146"/>
      <c r="V79" s="2146"/>
      <c r="W79" s="2146"/>
    </row>
    <row r="80" spans="1:23" ht="11.25" customHeight="1" x14ac:dyDescent="0.2">
      <c r="A80" s="1205"/>
      <c r="C80" s="1206"/>
      <c r="D80" s="1598"/>
      <c r="E80" s="1226"/>
      <c r="F80" s="1878"/>
      <c r="G80" s="1878"/>
      <c r="H80" s="1878"/>
      <c r="I80" s="1878"/>
      <c r="J80" s="1878"/>
      <c r="K80" s="1878"/>
      <c r="L80" s="1878"/>
      <c r="M80" s="1878"/>
      <c r="N80" s="1878"/>
      <c r="O80" s="1878"/>
      <c r="P80" s="1878"/>
      <c r="Q80" s="1878"/>
      <c r="R80" s="1878"/>
      <c r="T80" s="2146"/>
      <c r="U80" s="2146"/>
      <c r="V80" s="2146"/>
      <c r="W80" s="2146"/>
    </row>
    <row r="81" spans="1:23" x14ac:dyDescent="0.2">
      <c r="A81" s="1205"/>
      <c r="C81" s="1206"/>
      <c r="D81" s="1598"/>
      <c r="E81" s="1226"/>
      <c r="F81" s="1878"/>
      <c r="G81" s="1878"/>
      <c r="H81" s="1878"/>
      <c r="I81" s="1878"/>
      <c r="J81" s="1878"/>
      <c r="K81" s="1878"/>
      <c r="L81" s="1878"/>
      <c r="M81" s="1878"/>
      <c r="N81" s="1878"/>
      <c r="O81" s="1878"/>
      <c r="P81" s="1878"/>
      <c r="Q81" s="1878"/>
      <c r="R81" s="1878"/>
    </row>
    <row r="82" spans="1:23" x14ac:dyDescent="0.2">
      <c r="A82" s="1205" t="s">
        <v>2098</v>
      </c>
      <c r="C82" s="1206"/>
      <c r="D82" s="1598"/>
      <c r="E82" s="1226"/>
      <c r="F82" s="1878"/>
      <c r="G82" s="1878"/>
      <c r="H82" s="1878"/>
      <c r="I82" s="1878"/>
      <c r="J82" s="1878"/>
      <c r="K82" s="1878"/>
      <c r="L82" s="1878"/>
      <c r="M82" s="1878"/>
      <c r="N82" s="1878"/>
      <c r="O82" s="1878"/>
      <c r="P82" s="1878"/>
      <c r="Q82" s="1878"/>
      <c r="R82" s="1878"/>
    </row>
    <row r="83" spans="1:23" x14ac:dyDescent="0.2">
      <c r="A83" s="1200"/>
      <c r="B83" s="1175" t="s">
        <v>2054</v>
      </c>
      <c r="C83" s="1598" t="s">
        <v>2000</v>
      </c>
      <c r="D83" s="1598"/>
      <c r="E83" s="1388">
        <f t="shared" ref="E83:E99" si="51">SUM(F83:Q83)</f>
        <v>258996</v>
      </c>
      <c r="F83" s="1878">
        <v>21583</v>
      </c>
      <c r="G83" s="1878">
        <v>21583</v>
      </c>
      <c r="H83" s="1878">
        <v>21583</v>
      </c>
      <c r="I83" s="1878">
        <v>21583</v>
      </c>
      <c r="J83" s="1878">
        <v>21583</v>
      </c>
      <c r="K83" s="1878">
        <v>21583</v>
      </c>
      <c r="L83" s="1878">
        <v>21583</v>
      </c>
      <c r="M83" s="1878">
        <v>21583</v>
      </c>
      <c r="N83" s="1878">
        <v>21583</v>
      </c>
      <c r="O83" s="1878">
        <v>21583</v>
      </c>
      <c r="P83" s="1878">
        <v>21583</v>
      </c>
      <c r="Q83" s="1878">
        <v>21583</v>
      </c>
      <c r="R83" s="1878">
        <v>0</v>
      </c>
      <c r="S83" s="1175">
        <f t="shared" ref="S83:S99" si="52">E83+R83</f>
        <v>258996</v>
      </c>
    </row>
    <row r="84" spans="1:23" x14ac:dyDescent="0.2">
      <c r="B84" s="1175" t="s">
        <v>1693</v>
      </c>
      <c r="C84" s="1598" t="s">
        <v>1986</v>
      </c>
      <c r="D84" s="1598"/>
      <c r="E84" s="1388">
        <f t="shared" si="51"/>
        <v>1691001</v>
      </c>
      <c r="F84" s="1878">
        <v>216341</v>
      </c>
      <c r="G84" s="1878">
        <v>210205</v>
      </c>
      <c r="H84" s="1878">
        <v>80683</v>
      </c>
      <c r="I84" s="1878">
        <v>92711</v>
      </c>
      <c r="J84" s="1878">
        <v>89470</v>
      </c>
      <c r="K84" s="1878">
        <v>119020</v>
      </c>
      <c r="L84" s="1878">
        <v>126459</v>
      </c>
      <c r="M84" s="1878">
        <v>111535</v>
      </c>
      <c r="N84" s="1878">
        <v>99676</v>
      </c>
      <c r="O84" s="1878">
        <v>108629</v>
      </c>
      <c r="P84" s="1878">
        <v>218136</v>
      </c>
      <c r="Q84" s="1878">
        <v>218136</v>
      </c>
      <c r="R84" s="1879">
        <v>0</v>
      </c>
      <c r="S84" s="1175">
        <f t="shared" si="52"/>
        <v>1691001</v>
      </c>
    </row>
    <row r="85" spans="1:23" x14ac:dyDescent="0.2">
      <c r="A85" s="1200"/>
      <c r="B85" s="1175" t="s">
        <v>1694</v>
      </c>
      <c r="C85" s="1598" t="s">
        <v>1989</v>
      </c>
      <c r="D85" s="1598"/>
      <c r="E85" s="1388">
        <f t="shared" si="51"/>
        <v>99996</v>
      </c>
      <c r="F85" s="1878">
        <v>8333</v>
      </c>
      <c r="G85" s="1878">
        <v>8333</v>
      </c>
      <c r="H85" s="1878">
        <v>8333</v>
      </c>
      <c r="I85" s="1878">
        <v>8333</v>
      </c>
      <c r="J85" s="1878">
        <v>8333</v>
      </c>
      <c r="K85" s="1878">
        <v>8333</v>
      </c>
      <c r="L85" s="1878">
        <v>8333</v>
      </c>
      <c r="M85" s="1878">
        <v>8333</v>
      </c>
      <c r="N85" s="1878">
        <v>8333</v>
      </c>
      <c r="O85" s="1878">
        <v>8333</v>
      </c>
      <c r="P85" s="1878">
        <v>8333</v>
      </c>
      <c r="Q85" s="1878">
        <v>8333</v>
      </c>
      <c r="R85" s="1879">
        <v>0</v>
      </c>
      <c r="S85" s="1175">
        <f t="shared" si="52"/>
        <v>99996</v>
      </c>
    </row>
    <row r="86" spans="1:23" x14ac:dyDescent="0.2">
      <c r="A86" s="1200"/>
      <c r="B86" s="1175" t="s">
        <v>1988</v>
      </c>
      <c r="C86" s="1598" t="s">
        <v>1987</v>
      </c>
      <c r="D86" s="1598"/>
      <c r="E86" s="1388">
        <f t="shared" si="51"/>
        <v>36000</v>
      </c>
      <c r="F86" s="1878">
        <v>3000</v>
      </c>
      <c r="G86" s="1878">
        <v>3000</v>
      </c>
      <c r="H86" s="1878">
        <v>3000</v>
      </c>
      <c r="I86" s="1878">
        <v>3000</v>
      </c>
      <c r="J86" s="1878">
        <v>3000</v>
      </c>
      <c r="K86" s="1878">
        <v>3000</v>
      </c>
      <c r="L86" s="1878">
        <v>3000</v>
      </c>
      <c r="M86" s="1878">
        <v>3000</v>
      </c>
      <c r="N86" s="1878">
        <v>3000</v>
      </c>
      <c r="O86" s="1878">
        <v>3000</v>
      </c>
      <c r="P86" s="1878">
        <v>3000</v>
      </c>
      <c r="Q86" s="1878">
        <v>3000</v>
      </c>
      <c r="R86" s="1879">
        <v>0</v>
      </c>
      <c r="S86" s="1175">
        <f t="shared" si="52"/>
        <v>36000</v>
      </c>
    </row>
    <row r="87" spans="1:23" x14ac:dyDescent="0.2">
      <c r="A87" s="1200"/>
      <c r="B87" s="1175" t="s">
        <v>2055</v>
      </c>
      <c r="C87" s="1598" t="s">
        <v>1990</v>
      </c>
      <c r="D87" s="1598"/>
      <c r="E87" s="1388">
        <f t="shared" si="51"/>
        <v>92004</v>
      </c>
      <c r="F87" s="1878">
        <v>7667</v>
      </c>
      <c r="G87" s="1878">
        <v>7667</v>
      </c>
      <c r="H87" s="1878">
        <v>7667</v>
      </c>
      <c r="I87" s="1878">
        <v>7667</v>
      </c>
      <c r="J87" s="1878">
        <v>7667</v>
      </c>
      <c r="K87" s="1878">
        <v>7667</v>
      </c>
      <c r="L87" s="1878">
        <v>7667</v>
      </c>
      <c r="M87" s="1878">
        <v>7667</v>
      </c>
      <c r="N87" s="1878">
        <v>7667</v>
      </c>
      <c r="O87" s="1878">
        <v>7667</v>
      </c>
      <c r="P87" s="1878">
        <v>7667</v>
      </c>
      <c r="Q87" s="1878">
        <v>7667</v>
      </c>
      <c r="R87" s="1879">
        <v>0</v>
      </c>
      <c r="S87" s="1175">
        <f t="shared" si="52"/>
        <v>92004</v>
      </c>
    </row>
    <row r="88" spans="1:23" x14ac:dyDescent="0.2">
      <c r="A88" s="1200"/>
      <c r="B88" s="1175" t="s">
        <v>2056</v>
      </c>
      <c r="C88" s="1598" t="s">
        <v>1991</v>
      </c>
      <c r="D88" s="1598"/>
      <c r="E88" s="1388">
        <f t="shared" si="51"/>
        <v>-92004</v>
      </c>
      <c r="F88" s="1878">
        <v>-7667</v>
      </c>
      <c r="G88" s="1878">
        <v>-7667</v>
      </c>
      <c r="H88" s="1878">
        <v>-7667</v>
      </c>
      <c r="I88" s="1878">
        <v>-7667</v>
      </c>
      <c r="J88" s="1878">
        <v>-7667</v>
      </c>
      <c r="K88" s="1878">
        <v>-7667</v>
      </c>
      <c r="L88" s="1878">
        <v>-7667</v>
      </c>
      <c r="M88" s="1878">
        <v>-7667</v>
      </c>
      <c r="N88" s="1878">
        <v>-7667</v>
      </c>
      <c r="O88" s="1878">
        <v>-7667</v>
      </c>
      <c r="P88" s="1878">
        <v>-7667</v>
      </c>
      <c r="Q88" s="1878">
        <v>-7667</v>
      </c>
      <c r="R88" s="1878">
        <v>0</v>
      </c>
      <c r="S88" s="1175">
        <f t="shared" si="52"/>
        <v>-92004</v>
      </c>
    </row>
    <row r="89" spans="1:23" x14ac:dyDescent="0.2">
      <c r="A89" s="1200"/>
      <c r="B89" s="1175" t="s">
        <v>2057</v>
      </c>
      <c r="C89" s="1598" t="s">
        <v>1999</v>
      </c>
      <c r="D89" s="1598"/>
      <c r="E89" s="1388">
        <f t="shared" si="51"/>
        <v>23004</v>
      </c>
      <c r="F89" s="1878">
        <v>1917</v>
      </c>
      <c r="G89" s="1878">
        <v>1917</v>
      </c>
      <c r="H89" s="1878">
        <v>1917</v>
      </c>
      <c r="I89" s="1878">
        <v>1917</v>
      </c>
      <c r="J89" s="1878">
        <v>1917</v>
      </c>
      <c r="K89" s="1878">
        <v>1917</v>
      </c>
      <c r="L89" s="1878">
        <v>1917</v>
      </c>
      <c r="M89" s="1878">
        <v>1917</v>
      </c>
      <c r="N89" s="1878">
        <v>1917</v>
      </c>
      <c r="O89" s="1878">
        <v>1917</v>
      </c>
      <c r="P89" s="1878">
        <v>1917</v>
      </c>
      <c r="Q89" s="1878">
        <v>1917</v>
      </c>
      <c r="R89" s="1879">
        <v>0</v>
      </c>
      <c r="S89" s="1175">
        <f t="shared" si="52"/>
        <v>23004</v>
      </c>
    </row>
    <row r="90" spans="1:23" x14ac:dyDescent="0.2">
      <c r="A90" s="1200"/>
      <c r="B90" s="1175" t="s">
        <v>2058</v>
      </c>
      <c r="C90" s="1598" t="s">
        <v>1992</v>
      </c>
      <c r="D90" s="1598"/>
      <c r="E90" s="1388">
        <f t="shared" si="51"/>
        <v>0</v>
      </c>
      <c r="F90" s="1878">
        <v>0</v>
      </c>
      <c r="G90" s="1878">
        <v>0</v>
      </c>
      <c r="H90" s="1878">
        <v>0</v>
      </c>
      <c r="I90" s="1878">
        <v>0</v>
      </c>
      <c r="J90" s="1878">
        <v>0</v>
      </c>
      <c r="K90" s="1878">
        <v>0</v>
      </c>
      <c r="L90" s="1878">
        <v>0</v>
      </c>
      <c r="M90" s="1878">
        <v>0</v>
      </c>
      <c r="N90" s="1878">
        <v>0</v>
      </c>
      <c r="O90" s="1878">
        <v>0</v>
      </c>
      <c r="P90" s="1878">
        <v>0</v>
      </c>
      <c r="Q90" s="1878">
        <v>0</v>
      </c>
      <c r="R90" s="1878">
        <v>0</v>
      </c>
      <c r="S90" s="1175">
        <f t="shared" si="52"/>
        <v>0</v>
      </c>
    </row>
    <row r="91" spans="1:23" x14ac:dyDescent="0.2">
      <c r="A91" s="1200"/>
      <c r="B91" s="1175" t="s">
        <v>2059</v>
      </c>
      <c r="C91" s="1598" t="s">
        <v>1993</v>
      </c>
      <c r="D91" s="1598"/>
      <c r="E91" s="1388">
        <f t="shared" si="51"/>
        <v>0</v>
      </c>
      <c r="F91" s="1878">
        <v>0</v>
      </c>
      <c r="G91" s="1878">
        <v>0</v>
      </c>
      <c r="H91" s="1878">
        <v>0</v>
      </c>
      <c r="I91" s="1878">
        <v>0</v>
      </c>
      <c r="J91" s="1878">
        <v>0</v>
      </c>
      <c r="K91" s="1878">
        <v>0</v>
      </c>
      <c r="L91" s="1878">
        <v>0</v>
      </c>
      <c r="M91" s="1878">
        <v>0</v>
      </c>
      <c r="N91" s="1878">
        <v>0</v>
      </c>
      <c r="O91" s="1878">
        <v>0</v>
      </c>
      <c r="P91" s="1878">
        <v>0</v>
      </c>
      <c r="Q91" s="1878">
        <v>0</v>
      </c>
      <c r="R91" s="1878">
        <v>0</v>
      </c>
      <c r="S91" s="1175">
        <f t="shared" si="52"/>
        <v>0</v>
      </c>
    </row>
    <row r="92" spans="1:23" ht="11.25" customHeight="1" x14ac:dyDescent="0.2">
      <c r="A92" s="1205"/>
      <c r="B92" s="1175" t="s">
        <v>2053</v>
      </c>
      <c r="C92" s="1598" t="s">
        <v>1994</v>
      </c>
      <c r="D92" s="1598"/>
      <c r="E92" s="1388">
        <f>SUM(F92:Q92)</f>
        <v>74928</v>
      </c>
      <c r="F92" s="1878">
        <v>6244</v>
      </c>
      <c r="G92" s="1878">
        <v>6244</v>
      </c>
      <c r="H92" s="1878">
        <v>6244</v>
      </c>
      <c r="I92" s="1878">
        <v>6244</v>
      </c>
      <c r="J92" s="1878">
        <v>6244</v>
      </c>
      <c r="K92" s="1878">
        <v>6244</v>
      </c>
      <c r="L92" s="1878">
        <v>6244</v>
      </c>
      <c r="M92" s="1878">
        <v>6244</v>
      </c>
      <c r="N92" s="1878">
        <v>6244</v>
      </c>
      <c r="O92" s="1878">
        <v>6244</v>
      </c>
      <c r="P92" s="1878">
        <v>6244</v>
      </c>
      <c r="Q92" s="1878">
        <v>6244</v>
      </c>
      <c r="R92" s="1879">
        <v>0</v>
      </c>
      <c r="S92" s="1175">
        <f>E92+R92</f>
        <v>74928</v>
      </c>
      <c r="T92" s="1600"/>
      <c r="U92" s="1600"/>
      <c r="V92" s="1600"/>
      <c r="W92" s="1600"/>
    </row>
    <row r="93" spans="1:23" x14ac:dyDescent="0.2">
      <c r="A93" s="1200"/>
      <c r="B93" s="1175" t="s">
        <v>2060</v>
      </c>
      <c r="C93" s="1598" t="s">
        <v>1995</v>
      </c>
      <c r="D93" s="1598"/>
      <c r="E93" s="1388">
        <f t="shared" si="51"/>
        <v>-93000</v>
      </c>
      <c r="F93" s="1878">
        <v>-7750</v>
      </c>
      <c r="G93" s="1878">
        <v>-7750</v>
      </c>
      <c r="H93" s="1878">
        <v>-7750</v>
      </c>
      <c r="I93" s="1878">
        <v>-7750</v>
      </c>
      <c r="J93" s="1878">
        <v>-7750</v>
      </c>
      <c r="K93" s="1878">
        <v>-7750</v>
      </c>
      <c r="L93" s="1878">
        <v>-7750</v>
      </c>
      <c r="M93" s="1878">
        <v>-7750</v>
      </c>
      <c r="N93" s="1878">
        <v>-7750</v>
      </c>
      <c r="O93" s="1878">
        <v>-7750</v>
      </c>
      <c r="P93" s="1878">
        <v>-7750</v>
      </c>
      <c r="Q93" s="1878">
        <v>-7750</v>
      </c>
      <c r="R93" s="1878">
        <v>0</v>
      </c>
      <c r="S93" s="1175">
        <f t="shared" si="52"/>
        <v>-93000</v>
      </c>
    </row>
    <row r="94" spans="1:23" x14ac:dyDescent="0.2">
      <c r="A94" s="1200"/>
      <c r="B94" s="1175" t="s">
        <v>2061</v>
      </c>
      <c r="C94" s="1598" t="s">
        <v>1996</v>
      </c>
      <c r="D94" s="1598"/>
      <c r="E94" s="1388">
        <f t="shared" si="51"/>
        <v>581160</v>
      </c>
      <c r="F94" s="1878">
        <v>48430</v>
      </c>
      <c r="G94" s="1878">
        <v>48430</v>
      </c>
      <c r="H94" s="1878">
        <v>48430</v>
      </c>
      <c r="I94" s="1878">
        <v>48430</v>
      </c>
      <c r="J94" s="1878">
        <v>48430</v>
      </c>
      <c r="K94" s="1878">
        <v>48430</v>
      </c>
      <c r="L94" s="1878">
        <v>48430</v>
      </c>
      <c r="M94" s="1878">
        <v>48430</v>
      </c>
      <c r="N94" s="1878">
        <v>48430</v>
      </c>
      <c r="O94" s="1878">
        <v>48430</v>
      </c>
      <c r="P94" s="1878">
        <v>48430</v>
      </c>
      <c r="Q94" s="1878">
        <v>48430</v>
      </c>
      <c r="R94" s="1879">
        <v>0</v>
      </c>
      <c r="S94" s="1175">
        <f t="shared" si="52"/>
        <v>581160</v>
      </c>
    </row>
    <row r="95" spans="1:23" x14ac:dyDescent="0.2">
      <c r="A95" s="1200"/>
      <c r="B95" s="1175" t="s">
        <v>2062</v>
      </c>
      <c r="C95" s="1598" t="s">
        <v>226</v>
      </c>
      <c r="D95" s="1598"/>
      <c r="E95" s="1388">
        <f t="shared" si="51"/>
        <v>-665717</v>
      </c>
      <c r="F95" s="1878">
        <v>-82792</v>
      </c>
      <c r="G95" s="1878">
        <v>-63171</v>
      </c>
      <c r="H95" s="1878">
        <v>-36288</v>
      </c>
      <c r="I95" s="1878">
        <v>-40411</v>
      </c>
      <c r="J95" s="1878">
        <v>-39300</v>
      </c>
      <c r="K95" s="1878">
        <v>-49430</v>
      </c>
      <c r="L95" s="1878">
        <v>-51980</v>
      </c>
      <c r="M95" s="1878">
        <v>-46864</v>
      </c>
      <c r="N95" s="1878">
        <v>-42799</v>
      </c>
      <c r="O95" s="1878">
        <v>-45868</v>
      </c>
      <c r="P95" s="1878">
        <v>-83407</v>
      </c>
      <c r="Q95" s="1878">
        <v>-83407</v>
      </c>
      <c r="R95" s="1878">
        <v>0</v>
      </c>
      <c r="S95" s="1175">
        <f t="shared" si="52"/>
        <v>-665717</v>
      </c>
    </row>
    <row r="96" spans="1:23" x14ac:dyDescent="0.2">
      <c r="A96" s="1200"/>
      <c r="B96" s="1175" t="s">
        <v>2124</v>
      </c>
      <c r="C96" s="1598" t="s">
        <v>2126</v>
      </c>
      <c r="D96" s="1598"/>
      <c r="E96" s="1388">
        <f t="shared" si="51"/>
        <v>31536</v>
      </c>
      <c r="F96" s="1878">
        <v>2628</v>
      </c>
      <c r="G96" s="1878">
        <v>2628</v>
      </c>
      <c r="H96" s="1878">
        <v>2628</v>
      </c>
      <c r="I96" s="1878">
        <v>2628</v>
      </c>
      <c r="J96" s="1878">
        <v>2628</v>
      </c>
      <c r="K96" s="1878">
        <v>2628</v>
      </c>
      <c r="L96" s="1878">
        <v>2628</v>
      </c>
      <c r="M96" s="1878">
        <v>2628</v>
      </c>
      <c r="N96" s="1878">
        <v>2628</v>
      </c>
      <c r="O96" s="1878">
        <v>2628</v>
      </c>
      <c r="P96" s="1878">
        <v>2628</v>
      </c>
      <c r="Q96" s="1878">
        <v>2628</v>
      </c>
      <c r="R96" s="1878">
        <v>0</v>
      </c>
      <c r="S96" s="1175">
        <f t="shared" si="52"/>
        <v>31536</v>
      </c>
    </row>
    <row r="97" spans="1:19" x14ac:dyDescent="0.2">
      <c r="A97" s="1200"/>
      <c r="B97" s="1175" t="s">
        <v>2125</v>
      </c>
      <c r="C97" s="1598" t="s">
        <v>2127</v>
      </c>
      <c r="D97" s="1598"/>
      <c r="E97" s="1388">
        <f t="shared" si="51"/>
        <v>31884</v>
      </c>
      <c r="F97" s="1878">
        <v>2657</v>
      </c>
      <c r="G97" s="1878">
        <v>2657</v>
      </c>
      <c r="H97" s="1878">
        <v>2657</v>
      </c>
      <c r="I97" s="1878">
        <v>2657</v>
      </c>
      <c r="J97" s="1878">
        <v>2657</v>
      </c>
      <c r="K97" s="1878">
        <v>2657</v>
      </c>
      <c r="L97" s="1878">
        <v>2657</v>
      </c>
      <c r="M97" s="1878">
        <v>2657</v>
      </c>
      <c r="N97" s="1878">
        <v>2657</v>
      </c>
      <c r="O97" s="1878">
        <v>2657</v>
      </c>
      <c r="P97" s="1878">
        <v>2657</v>
      </c>
      <c r="Q97" s="1878">
        <v>2657</v>
      </c>
      <c r="R97" s="1878">
        <v>0</v>
      </c>
      <c r="S97" s="1175">
        <f t="shared" si="52"/>
        <v>31884</v>
      </c>
    </row>
    <row r="98" spans="1:19" ht="10.5" customHeight="1" x14ac:dyDescent="0.2">
      <c r="A98" s="1200"/>
      <c r="B98" s="1175" t="s">
        <v>2063</v>
      </c>
      <c r="C98" s="1598" t="s">
        <v>1997</v>
      </c>
      <c r="D98" s="1598"/>
      <c r="E98" s="1388">
        <f t="shared" si="51"/>
        <v>-88788</v>
      </c>
      <c r="F98" s="1878">
        <v>-7399</v>
      </c>
      <c r="G98" s="1878">
        <v>-7399</v>
      </c>
      <c r="H98" s="1878">
        <v>-7399</v>
      </c>
      <c r="I98" s="1878">
        <v>-7399</v>
      </c>
      <c r="J98" s="1878">
        <v>-7399</v>
      </c>
      <c r="K98" s="1878">
        <v>-7399</v>
      </c>
      <c r="L98" s="1878">
        <v>-7399</v>
      </c>
      <c r="M98" s="1878">
        <v>-7399</v>
      </c>
      <c r="N98" s="1878">
        <v>-7399</v>
      </c>
      <c r="O98" s="1878">
        <v>-7399</v>
      </c>
      <c r="P98" s="1878">
        <v>-7399</v>
      </c>
      <c r="Q98" s="1878">
        <v>-7399</v>
      </c>
      <c r="R98" s="1878">
        <v>0</v>
      </c>
      <c r="S98" s="1175">
        <f t="shared" si="52"/>
        <v>-88788</v>
      </c>
    </row>
    <row r="99" spans="1:19" x14ac:dyDescent="0.2">
      <c r="A99" s="1200"/>
      <c r="B99" s="1175" t="s">
        <v>2064</v>
      </c>
      <c r="C99" s="1598" t="s">
        <v>1998</v>
      </c>
      <c r="D99" s="1598"/>
      <c r="E99" s="1388">
        <f t="shared" si="51"/>
        <v>-199224</v>
      </c>
      <c r="F99" s="1878">
        <v>-16602</v>
      </c>
      <c r="G99" s="1878">
        <v>-16602</v>
      </c>
      <c r="H99" s="1878">
        <v>-16602</v>
      </c>
      <c r="I99" s="1878">
        <v>-16602</v>
      </c>
      <c r="J99" s="1878">
        <v>-16602</v>
      </c>
      <c r="K99" s="1878">
        <v>-16602</v>
      </c>
      <c r="L99" s="1878">
        <v>-16602</v>
      </c>
      <c r="M99" s="1878">
        <v>-16602</v>
      </c>
      <c r="N99" s="1878">
        <v>-16602</v>
      </c>
      <c r="O99" s="1878">
        <v>-16602</v>
      </c>
      <c r="P99" s="1878">
        <v>-16602</v>
      </c>
      <c r="Q99" s="1878">
        <v>-16602</v>
      </c>
      <c r="R99" s="1878">
        <v>0</v>
      </c>
      <c r="S99" s="1175">
        <f t="shared" si="52"/>
        <v>-199224</v>
      </c>
    </row>
    <row r="100" spans="1:19" x14ac:dyDescent="0.15">
      <c r="A100" s="1200"/>
      <c r="B100" s="1194"/>
      <c r="C100" s="1574"/>
      <c r="D100" s="1574"/>
      <c r="E100" s="1197"/>
      <c r="F100" s="1564"/>
      <c r="G100" s="1564"/>
      <c r="H100" s="1564"/>
      <c r="I100" s="1564"/>
      <c r="J100" s="1564"/>
      <c r="K100" s="1564"/>
      <c r="L100" s="1564"/>
      <c r="M100" s="1564"/>
      <c r="N100" s="1564"/>
      <c r="O100" s="1564"/>
      <c r="P100" s="1564"/>
      <c r="Q100" s="1564"/>
      <c r="R100" s="1564"/>
    </row>
    <row r="101" spans="1:19" x14ac:dyDescent="0.2">
      <c r="A101" s="1194" t="s">
        <v>2099</v>
      </c>
      <c r="B101" s="1194"/>
      <c r="C101" s="1599"/>
      <c r="D101" s="1599"/>
      <c r="E101" s="1227"/>
      <c r="F101" s="1880"/>
      <c r="G101" s="1880"/>
      <c r="H101" s="1880"/>
      <c r="I101" s="1880"/>
      <c r="J101" s="1880"/>
      <c r="K101" s="1880"/>
      <c r="L101" s="1880"/>
      <c r="M101" s="1880"/>
      <c r="N101" s="1880"/>
      <c r="O101" s="1880"/>
      <c r="P101" s="1880"/>
      <c r="Q101" s="1880"/>
      <c r="R101" s="1880"/>
    </row>
    <row r="102" spans="1:19" x14ac:dyDescent="0.2">
      <c r="A102" s="1200"/>
      <c r="B102" s="1194" t="s">
        <v>2065</v>
      </c>
      <c r="C102" s="1599" t="s">
        <v>2001</v>
      </c>
      <c r="D102" s="1599"/>
      <c r="E102" s="1388">
        <f>SUM(F102:Q102)</f>
        <v>17441586</v>
      </c>
      <c r="F102" s="1878">
        <v>1403743</v>
      </c>
      <c r="G102" s="1878">
        <v>1436906</v>
      </c>
      <c r="H102" s="1878">
        <v>1446732</v>
      </c>
      <c r="I102" s="1878">
        <v>1418452</v>
      </c>
      <c r="J102" s="1878">
        <v>1430336</v>
      </c>
      <c r="K102" s="1878">
        <v>1498760</v>
      </c>
      <c r="L102" s="1878">
        <v>1440874</v>
      </c>
      <c r="M102" s="1878">
        <v>1441181</v>
      </c>
      <c r="N102" s="1878">
        <v>1492332</v>
      </c>
      <c r="O102" s="1878">
        <v>1454193</v>
      </c>
      <c r="P102" s="1878">
        <v>1480054</v>
      </c>
      <c r="Q102" s="1878">
        <v>1498023</v>
      </c>
      <c r="R102" s="1878">
        <f>-130039</f>
        <v>-130039</v>
      </c>
      <c r="S102" s="1175">
        <f>E102+R102</f>
        <v>17311547</v>
      </c>
    </row>
    <row r="103" spans="1:19" x14ac:dyDescent="0.2">
      <c r="A103" s="1200"/>
      <c r="B103" s="1194" t="s">
        <v>2066</v>
      </c>
      <c r="C103" s="1599" t="s">
        <v>2002</v>
      </c>
      <c r="D103" s="1599"/>
      <c r="E103" s="1388">
        <f>SUM(F103:Q103)</f>
        <v>0</v>
      </c>
      <c r="F103" s="1878">
        <v>0</v>
      </c>
      <c r="G103" s="1878">
        <v>0</v>
      </c>
      <c r="H103" s="1878">
        <v>0</v>
      </c>
      <c r="I103" s="1878">
        <v>0</v>
      </c>
      <c r="J103" s="1878">
        <v>0</v>
      </c>
      <c r="K103" s="1878">
        <v>0</v>
      </c>
      <c r="L103" s="1878">
        <v>0</v>
      </c>
      <c r="M103" s="1878">
        <v>0</v>
      </c>
      <c r="N103" s="1878">
        <v>0</v>
      </c>
      <c r="O103" s="1878">
        <v>0</v>
      </c>
      <c r="P103" s="1878">
        <v>0</v>
      </c>
      <c r="Q103" s="1878">
        <v>0</v>
      </c>
      <c r="R103" s="1878">
        <v>0</v>
      </c>
      <c r="S103" s="1175">
        <f>E103+R103</f>
        <v>0</v>
      </c>
    </row>
    <row r="104" spans="1:19" x14ac:dyDescent="0.15">
      <c r="A104" s="1200"/>
      <c r="B104" s="1194"/>
      <c r="C104" s="1574"/>
      <c r="D104" s="1574"/>
      <c r="E104" s="1197"/>
      <c r="F104" s="1564"/>
      <c r="G104" s="1564"/>
      <c r="H104" s="1564"/>
      <c r="I104" s="1564"/>
      <c r="J104" s="1564"/>
      <c r="K104" s="1564"/>
      <c r="L104" s="1564"/>
      <c r="M104" s="1564"/>
      <c r="N104" s="1564"/>
      <c r="O104" s="1564"/>
      <c r="P104" s="1564"/>
      <c r="Q104" s="1564"/>
      <c r="R104" s="1564"/>
    </row>
    <row r="105" spans="1:19" x14ac:dyDescent="0.2">
      <c r="A105" s="1200"/>
      <c r="B105" s="1194" t="s">
        <v>2067</v>
      </c>
      <c r="C105" s="1599" t="s">
        <v>2003</v>
      </c>
      <c r="D105" s="1599"/>
      <c r="E105" s="1388">
        <f t="shared" ref="E105:E134" si="53">SUM(F105:Q105)</f>
        <v>1929978</v>
      </c>
      <c r="F105" s="1878">
        <v>184783</v>
      </c>
      <c r="G105" s="1878">
        <v>168733</v>
      </c>
      <c r="H105" s="1878">
        <v>152881</v>
      </c>
      <c r="I105" s="1878">
        <v>168072</v>
      </c>
      <c r="J105" s="1878">
        <v>162923</v>
      </c>
      <c r="K105" s="1878">
        <v>177946</v>
      </c>
      <c r="L105" s="1878">
        <v>175256</v>
      </c>
      <c r="M105" s="1878">
        <v>157602</v>
      </c>
      <c r="N105" s="1878">
        <v>152418</v>
      </c>
      <c r="O105" s="1878">
        <v>160302</v>
      </c>
      <c r="P105" s="1878">
        <v>134594</v>
      </c>
      <c r="Q105" s="1878">
        <v>134468</v>
      </c>
      <c r="R105" s="1878">
        <v>-187</v>
      </c>
      <c r="S105" s="1175">
        <f t="shared" ref="S105:S134" si="54">E105+R105</f>
        <v>1929791</v>
      </c>
    </row>
    <row r="106" spans="1:19" x14ac:dyDescent="0.2">
      <c r="A106" s="1200"/>
      <c r="B106" s="1194" t="s">
        <v>2068</v>
      </c>
      <c r="C106" s="1599" t="s">
        <v>2004</v>
      </c>
      <c r="D106" s="1599"/>
      <c r="E106" s="1388">
        <f t="shared" si="53"/>
        <v>253426</v>
      </c>
      <c r="F106" s="1878">
        <v>21119</v>
      </c>
      <c r="G106" s="1878">
        <v>21119</v>
      </c>
      <c r="H106" s="1878">
        <v>21119</v>
      </c>
      <c r="I106" s="1878">
        <v>21119</v>
      </c>
      <c r="J106" s="1878">
        <v>21119</v>
      </c>
      <c r="K106" s="1878">
        <v>21119</v>
      </c>
      <c r="L106" s="1878">
        <v>21119</v>
      </c>
      <c r="M106" s="1878">
        <v>21119</v>
      </c>
      <c r="N106" s="1878">
        <v>21119</v>
      </c>
      <c r="O106" s="1878">
        <v>21119</v>
      </c>
      <c r="P106" s="1878">
        <v>21117</v>
      </c>
      <c r="Q106" s="1878">
        <v>21119</v>
      </c>
      <c r="R106" s="1878">
        <v>0</v>
      </c>
      <c r="S106" s="1175">
        <f t="shared" si="54"/>
        <v>253426</v>
      </c>
    </row>
    <row r="107" spans="1:19" x14ac:dyDescent="0.2">
      <c r="A107" s="1200"/>
      <c r="B107" s="1194" t="s">
        <v>205</v>
      </c>
      <c r="C107" s="1599" t="s">
        <v>2005</v>
      </c>
      <c r="D107" s="1599"/>
      <c r="E107" s="1388">
        <f t="shared" si="53"/>
        <v>189996</v>
      </c>
      <c r="F107" s="1878">
        <v>14583</v>
      </c>
      <c r="G107" s="1878">
        <v>14583</v>
      </c>
      <c r="H107" s="1878">
        <v>19583</v>
      </c>
      <c r="I107" s="1878">
        <v>14583</v>
      </c>
      <c r="J107" s="1878">
        <v>14583</v>
      </c>
      <c r="K107" s="1878">
        <v>14583</v>
      </c>
      <c r="L107" s="1878">
        <v>19583</v>
      </c>
      <c r="M107" s="1878">
        <v>19583</v>
      </c>
      <c r="N107" s="1878">
        <v>14583</v>
      </c>
      <c r="O107" s="1878">
        <v>14583</v>
      </c>
      <c r="P107" s="1878">
        <v>14583</v>
      </c>
      <c r="Q107" s="1878">
        <v>14583</v>
      </c>
      <c r="R107" s="1878">
        <v>0</v>
      </c>
      <c r="S107" s="1175">
        <f t="shared" si="54"/>
        <v>189996</v>
      </c>
    </row>
    <row r="108" spans="1:19" x14ac:dyDescent="0.2">
      <c r="A108" s="1200"/>
      <c r="B108" s="1194" t="s">
        <v>2069</v>
      </c>
      <c r="C108" s="1599" t="s">
        <v>2006</v>
      </c>
      <c r="D108" s="1599"/>
      <c r="E108" s="1388">
        <f t="shared" si="53"/>
        <v>0</v>
      </c>
      <c r="F108" s="1878">
        <v>0</v>
      </c>
      <c r="G108" s="1878">
        <v>0</v>
      </c>
      <c r="H108" s="1878">
        <v>0</v>
      </c>
      <c r="I108" s="1878">
        <v>0</v>
      </c>
      <c r="J108" s="1878">
        <v>0</v>
      </c>
      <c r="K108" s="1878">
        <v>0</v>
      </c>
      <c r="L108" s="1878">
        <v>0</v>
      </c>
      <c r="M108" s="1878">
        <v>0</v>
      </c>
      <c r="N108" s="1878">
        <v>0</v>
      </c>
      <c r="O108" s="1878">
        <v>0</v>
      </c>
      <c r="P108" s="1878">
        <v>0</v>
      </c>
      <c r="Q108" s="1878">
        <v>0</v>
      </c>
      <c r="R108" s="1878">
        <v>0</v>
      </c>
      <c r="S108" s="1175">
        <f t="shared" si="54"/>
        <v>0</v>
      </c>
    </row>
    <row r="109" spans="1:19" x14ac:dyDescent="0.2">
      <c r="A109" s="1200"/>
      <c r="B109" s="1194" t="s">
        <v>2070</v>
      </c>
      <c r="C109" s="1599" t="s">
        <v>2007</v>
      </c>
      <c r="D109" s="1599"/>
      <c r="E109" s="1388">
        <f t="shared" si="53"/>
        <v>163308</v>
      </c>
      <c r="F109" s="1878">
        <v>13609</v>
      </c>
      <c r="G109" s="1878">
        <v>13609</v>
      </c>
      <c r="H109" s="1878">
        <v>13609</v>
      </c>
      <c r="I109" s="1878">
        <v>13609</v>
      </c>
      <c r="J109" s="1878">
        <v>13609</v>
      </c>
      <c r="K109" s="1878">
        <v>13609</v>
      </c>
      <c r="L109" s="1878">
        <v>13609</v>
      </c>
      <c r="M109" s="1878">
        <v>13609</v>
      </c>
      <c r="N109" s="1878">
        <v>13609</v>
      </c>
      <c r="O109" s="1878">
        <v>13609</v>
      </c>
      <c r="P109" s="1878">
        <v>13609</v>
      </c>
      <c r="Q109" s="1878">
        <v>13609</v>
      </c>
      <c r="R109" s="1878">
        <v>0</v>
      </c>
      <c r="S109" s="1175">
        <f t="shared" si="54"/>
        <v>163308</v>
      </c>
    </row>
    <row r="110" spans="1:19" x14ac:dyDescent="0.2">
      <c r="A110" s="1200"/>
      <c r="B110" s="1194" t="s">
        <v>2071</v>
      </c>
      <c r="C110" s="1599" t="s">
        <v>2008</v>
      </c>
      <c r="D110" s="1599"/>
      <c r="E110" s="1388">
        <f t="shared" si="53"/>
        <v>6298298</v>
      </c>
      <c r="F110" s="1878">
        <v>396871</v>
      </c>
      <c r="G110" s="1878">
        <v>388456</v>
      </c>
      <c r="H110" s="1878">
        <v>406875</v>
      </c>
      <c r="I110" s="1878">
        <v>485005</v>
      </c>
      <c r="J110" s="1878">
        <v>590180</v>
      </c>
      <c r="K110" s="1878">
        <v>579894</v>
      </c>
      <c r="L110" s="1878">
        <v>553891</v>
      </c>
      <c r="M110" s="1878">
        <v>690389</v>
      </c>
      <c r="N110" s="1878">
        <v>620188</v>
      </c>
      <c r="O110" s="1878">
        <v>554295</v>
      </c>
      <c r="P110" s="1878">
        <v>517302</v>
      </c>
      <c r="Q110" s="1878">
        <v>514952</v>
      </c>
      <c r="R110" s="1878">
        <f>19201</f>
        <v>19201</v>
      </c>
      <c r="S110" s="1175">
        <f t="shared" si="54"/>
        <v>6317499</v>
      </c>
    </row>
    <row r="111" spans="1:19" x14ac:dyDescent="0.2">
      <c r="A111" s="1200"/>
      <c r="B111" s="1194" t="s">
        <v>2128</v>
      </c>
      <c r="C111" s="1599" t="s">
        <v>2129</v>
      </c>
      <c r="D111" s="1599"/>
      <c r="E111" s="1388">
        <f t="shared" si="53"/>
        <v>121224</v>
      </c>
      <c r="F111" s="1878">
        <v>10102</v>
      </c>
      <c r="G111" s="1878">
        <v>10102</v>
      </c>
      <c r="H111" s="1878">
        <v>10102</v>
      </c>
      <c r="I111" s="1878">
        <v>10102</v>
      </c>
      <c r="J111" s="1878">
        <v>10102</v>
      </c>
      <c r="K111" s="1878">
        <v>10102</v>
      </c>
      <c r="L111" s="1878">
        <v>10102</v>
      </c>
      <c r="M111" s="1878">
        <v>10102</v>
      </c>
      <c r="N111" s="1878">
        <v>10102</v>
      </c>
      <c r="O111" s="1878">
        <v>10102</v>
      </c>
      <c r="P111" s="1878">
        <v>10102</v>
      </c>
      <c r="Q111" s="1878">
        <v>10102</v>
      </c>
      <c r="R111" s="1878">
        <v>0</v>
      </c>
      <c r="S111" s="1175">
        <f t="shared" si="54"/>
        <v>121224</v>
      </c>
    </row>
    <row r="112" spans="1:19" x14ac:dyDescent="0.2">
      <c r="A112" s="1200"/>
      <c r="B112" s="1194" t="s">
        <v>2072</v>
      </c>
      <c r="C112" s="1599" t="s">
        <v>2009</v>
      </c>
      <c r="D112" s="1599"/>
      <c r="E112" s="1388">
        <f t="shared" si="53"/>
        <v>514241.99995999999</v>
      </c>
      <c r="F112" s="1878">
        <v>54813.333330000001</v>
      </c>
      <c r="G112" s="1878">
        <v>39986.333330000001</v>
      </c>
      <c r="H112" s="1878">
        <v>40989.333330000001</v>
      </c>
      <c r="I112" s="1878">
        <v>37946.333330000001</v>
      </c>
      <c r="J112" s="1878">
        <v>43501.333330000001</v>
      </c>
      <c r="K112" s="1878">
        <v>44677.333330000001</v>
      </c>
      <c r="L112" s="1878">
        <v>39897.333330000001</v>
      </c>
      <c r="M112" s="1878">
        <v>39238.333330000001</v>
      </c>
      <c r="N112" s="1878">
        <v>38979.333330000001</v>
      </c>
      <c r="O112" s="1878">
        <v>40839.333330000001</v>
      </c>
      <c r="P112" s="1878">
        <v>40530.333330000001</v>
      </c>
      <c r="Q112" s="1878">
        <v>52843.333330000001</v>
      </c>
      <c r="R112" s="1878">
        <f>-354-904</f>
        <v>-1258</v>
      </c>
      <c r="S112" s="1175">
        <f t="shared" si="54"/>
        <v>512983.99995999999</v>
      </c>
    </row>
    <row r="113" spans="1:19" x14ac:dyDescent="0.2">
      <c r="A113" s="1200"/>
      <c r="B113" s="1194" t="s">
        <v>196</v>
      </c>
      <c r="C113" s="1599" t="s">
        <v>2010</v>
      </c>
      <c r="D113" s="1599"/>
      <c r="E113" s="1388">
        <f t="shared" si="53"/>
        <v>807000</v>
      </c>
      <c r="F113" s="1878">
        <v>114000</v>
      </c>
      <c r="G113" s="1878">
        <v>112000</v>
      </c>
      <c r="H113" s="1878">
        <v>93000</v>
      </c>
      <c r="I113" s="1878">
        <v>72000</v>
      </c>
      <c r="J113" s="1878">
        <v>56000</v>
      </c>
      <c r="K113" s="1878">
        <v>44000</v>
      </c>
      <c r="L113" s="1878">
        <v>42000</v>
      </c>
      <c r="M113" s="1878">
        <v>42000</v>
      </c>
      <c r="N113" s="1878">
        <v>42000</v>
      </c>
      <c r="O113" s="1878">
        <v>41000</v>
      </c>
      <c r="P113" s="1878">
        <v>61000</v>
      </c>
      <c r="Q113" s="1878">
        <v>88000</v>
      </c>
      <c r="R113" s="1878">
        <v>0</v>
      </c>
      <c r="S113" s="1175">
        <f t="shared" si="54"/>
        <v>807000</v>
      </c>
    </row>
    <row r="114" spans="1:19" x14ac:dyDescent="0.2">
      <c r="A114" s="1200"/>
      <c r="B114" s="1194" t="s">
        <v>2073</v>
      </c>
      <c r="C114" s="1599" t="s">
        <v>2011</v>
      </c>
      <c r="D114" s="1599"/>
      <c r="E114" s="1388">
        <f t="shared" si="53"/>
        <v>411467</v>
      </c>
      <c r="F114" s="1878">
        <v>90251</v>
      </c>
      <c r="G114" s="1878">
        <v>71885</v>
      </c>
      <c r="H114" s="1878">
        <v>51856</v>
      </c>
      <c r="I114" s="1878">
        <v>25468</v>
      </c>
      <c r="J114" s="1878">
        <v>11167</v>
      </c>
      <c r="K114" s="1878">
        <v>5772</v>
      </c>
      <c r="L114" s="1878">
        <v>4819</v>
      </c>
      <c r="M114" s="1878">
        <v>5297</v>
      </c>
      <c r="N114" s="1878">
        <v>7485</v>
      </c>
      <c r="O114" s="1878">
        <v>18586</v>
      </c>
      <c r="P114" s="1878">
        <v>44335</v>
      </c>
      <c r="Q114" s="1878">
        <v>74546</v>
      </c>
      <c r="R114" s="1878">
        <v>0</v>
      </c>
      <c r="S114" s="1175">
        <f t="shared" si="54"/>
        <v>411467</v>
      </c>
    </row>
    <row r="115" spans="1:19" x14ac:dyDescent="0.2">
      <c r="A115" s="1200"/>
      <c r="B115" s="1194" t="s">
        <v>2074</v>
      </c>
      <c r="C115" s="1599" t="s">
        <v>2012</v>
      </c>
      <c r="D115" s="1599"/>
      <c r="E115" s="1388">
        <f t="shared" si="53"/>
        <v>25000</v>
      </c>
      <c r="F115" s="1878">
        <v>0</v>
      </c>
      <c r="G115" s="1878">
        <v>6250</v>
      </c>
      <c r="H115" s="1878">
        <v>0</v>
      </c>
      <c r="I115" s="1878">
        <v>0</v>
      </c>
      <c r="J115" s="1878">
        <v>6250</v>
      </c>
      <c r="K115" s="1878">
        <v>0</v>
      </c>
      <c r="L115" s="1878">
        <v>0</v>
      </c>
      <c r="M115" s="1878">
        <v>6250</v>
      </c>
      <c r="N115" s="1878">
        <v>0</v>
      </c>
      <c r="O115" s="1878">
        <v>0</v>
      </c>
      <c r="P115" s="1878">
        <v>6250</v>
      </c>
      <c r="Q115" s="1878">
        <v>0</v>
      </c>
      <c r="R115" s="1878">
        <v>0</v>
      </c>
      <c r="S115" s="1175">
        <f t="shared" si="54"/>
        <v>25000</v>
      </c>
    </row>
    <row r="116" spans="1:19" x14ac:dyDescent="0.2">
      <c r="A116" s="1200"/>
      <c r="B116" s="1194" t="s">
        <v>2077</v>
      </c>
      <c r="C116" s="1599" t="s">
        <v>2020</v>
      </c>
      <c r="D116" s="1599"/>
      <c r="E116" s="1388">
        <f t="shared" si="53"/>
        <v>58944</v>
      </c>
      <c r="F116" s="1878">
        <v>4912</v>
      </c>
      <c r="G116" s="1878">
        <v>4912</v>
      </c>
      <c r="H116" s="1878">
        <v>4912</v>
      </c>
      <c r="I116" s="1878">
        <v>4912</v>
      </c>
      <c r="J116" s="1878">
        <v>4912</v>
      </c>
      <c r="K116" s="1878">
        <v>4912</v>
      </c>
      <c r="L116" s="1878">
        <v>4912</v>
      </c>
      <c r="M116" s="1878">
        <v>4912</v>
      </c>
      <c r="N116" s="1878">
        <v>4912</v>
      </c>
      <c r="O116" s="1878">
        <v>4912</v>
      </c>
      <c r="P116" s="1878">
        <v>4912</v>
      </c>
      <c r="Q116" s="1878">
        <v>4912</v>
      </c>
      <c r="R116" s="1878">
        <v>0</v>
      </c>
      <c r="S116" s="1175">
        <f t="shared" si="54"/>
        <v>58944</v>
      </c>
    </row>
    <row r="117" spans="1:19" x14ac:dyDescent="0.2">
      <c r="A117" s="1200"/>
      <c r="B117" s="1194" t="s">
        <v>2078</v>
      </c>
      <c r="C117" s="1599" t="s">
        <v>2075</v>
      </c>
      <c r="D117" s="1599"/>
      <c r="E117" s="1388">
        <f t="shared" si="53"/>
        <v>0</v>
      </c>
      <c r="F117" s="1878">
        <v>0</v>
      </c>
      <c r="G117" s="1878">
        <v>0</v>
      </c>
      <c r="H117" s="1878">
        <v>0</v>
      </c>
      <c r="I117" s="1878">
        <v>0</v>
      </c>
      <c r="J117" s="1878">
        <v>0</v>
      </c>
      <c r="K117" s="1878">
        <v>0</v>
      </c>
      <c r="L117" s="1878">
        <v>0</v>
      </c>
      <c r="M117" s="1878">
        <v>0</v>
      </c>
      <c r="N117" s="1878">
        <v>0</v>
      </c>
      <c r="O117" s="1878">
        <v>0</v>
      </c>
      <c r="P117" s="1878">
        <v>0</v>
      </c>
      <c r="Q117" s="1878">
        <v>0</v>
      </c>
      <c r="R117" s="1878">
        <v>0</v>
      </c>
      <c r="S117" s="1175">
        <f t="shared" si="54"/>
        <v>0</v>
      </c>
    </row>
    <row r="118" spans="1:19" x14ac:dyDescent="0.2">
      <c r="A118" s="1200"/>
      <c r="B118" s="1194" t="s">
        <v>2079</v>
      </c>
      <c r="C118" s="1599" t="s">
        <v>2076</v>
      </c>
      <c r="D118" s="1599"/>
      <c r="E118" s="1388">
        <f t="shared" si="53"/>
        <v>221797</v>
      </c>
      <c r="F118" s="1878">
        <v>19962</v>
      </c>
      <c r="G118" s="1878">
        <v>15969</v>
      </c>
      <c r="H118" s="1878">
        <v>18852</v>
      </c>
      <c r="I118" s="1878">
        <v>16635</v>
      </c>
      <c r="J118" s="1878">
        <v>22401</v>
      </c>
      <c r="K118" s="1878">
        <v>20627</v>
      </c>
      <c r="L118" s="1878">
        <v>17966</v>
      </c>
      <c r="M118" s="1878">
        <v>17966</v>
      </c>
      <c r="N118" s="1878">
        <v>16635</v>
      </c>
      <c r="O118" s="1878">
        <v>18852</v>
      </c>
      <c r="P118" s="1878">
        <v>15969</v>
      </c>
      <c r="Q118" s="1878">
        <v>19963</v>
      </c>
      <c r="R118" s="1878">
        <v>0</v>
      </c>
      <c r="S118" s="1175">
        <f t="shared" si="54"/>
        <v>221797</v>
      </c>
    </row>
    <row r="119" spans="1:19" x14ac:dyDescent="0.2">
      <c r="A119" s="1200"/>
      <c r="B119" s="1194" t="s">
        <v>2080</v>
      </c>
      <c r="C119" s="1599" t="s">
        <v>2051</v>
      </c>
      <c r="D119" s="1599"/>
      <c r="E119" s="1388">
        <f t="shared" si="53"/>
        <v>1039645</v>
      </c>
      <c r="F119" s="1878">
        <v>92889</v>
      </c>
      <c r="G119" s="1878">
        <v>75191</v>
      </c>
      <c r="H119" s="1878">
        <v>88364</v>
      </c>
      <c r="I119" s="1878">
        <v>78101</v>
      </c>
      <c r="J119" s="1878">
        <v>104044</v>
      </c>
      <c r="K119" s="1878">
        <v>96232</v>
      </c>
      <c r="L119" s="1878">
        <v>84034</v>
      </c>
      <c r="M119" s="1878">
        <v>84589</v>
      </c>
      <c r="N119" s="1878">
        <v>78433</v>
      </c>
      <c r="O119" s="1878">
        <v>88827</v>
      </c>
      <c r="P119" s="1878">
        <v>75650</v>
      </c>
      <c r="Q119" s="1878">
        <v>93291</v>
      </c>
      <c r="R119" s="1878">
        <v>0</v>
      </c>
      <c r="S119" s="1175">
        <f t="shared" si="54"/>
        <v>1039645</v>
      </c>
    </row>
    <row r="120" spans="1:19" x14ac:dyDescent="0.2">
      <c r="A120" s="1200"/>
      <c r="B120" s="1194" t="s">
        <v>2082</v>
      </c>
      <c r="C120" s="1599" t="s">
        <v>2081</v>
      </c>
      <c r="D120" s="1599"/>
      <c r="E120" s="1388">
        <f t="shared" si="53"/>
        <v>0</v>
      </c>
      <c r="F120" s="1878">
        <v>0</v>
      </c>
      <c r="G120" s="1878">
        <v>0</v>
      </c>
      <c r="H120" s="1878">
        <v>0</v>
      </c>
      <c r="I120" s="1878">
        <v>0</v>
      </c>
      <c r="J120" s="1878">
        <v>0</v>
      </c>
      <c r="K120" s="1878">
        <v>0</v>
      </c>
      <c r="L120" s="1878">
        <v>0</v>
      </c>
      <c r="M120" s="1878">
        <v>0</v>
      </c>
      <c r="N120" s="1878">
        <v>0</v>
      </c>
      <c r="O120" s="1878">
        <v>0</v>
      </c>
      <c r="P120" s="1878">
        <v>0</v>
      </c>
      <c r="Q120" s="1878">
        <v>0</v>
      </c>
      <c r="R120" s="1878">
        <v>0</v>
      </c>
      <c r="S120" s="1175">
        <f t="shared" si="54"/>
        <v>0</v>
      </c>
    </row>
    <row r="121" spans="1:19" x14ac:dyDescent="0.2">
      <c r="A121" s="1200"/>
      <c r="B121" s="1194" t="s">
        <v>2083</v>
      </c>
      <c r="C121" s="1599" t="s">
        <v>2019</v>
      </c>
      <c r="D121" s="1599"/>
      <c r="E121" s="1388">
        <f t="shared" si="53"/>
        <v>83416</v>
      </c>
      <c r="F121" s="1878">
        <v>2967</v>
      </c>
      <c r="G121" s="1878">
        <v>11958</v>
      </c>
      <c r="H121" s="1878">
        <v>2965</v>
      </c>
      <c r="I121" s="1878">
        <v>3132</v>
      </c>
      <c r="J121" s="1878">
        <v>11973</v>
      </c>
      <c r="K121" s="1878">
        <v>3469</v>
      </c>
      <c r="L121" s="1878">
        <v>11960</v>
      </c>
      <c r="M121" s="1878">
        <v>2963</v>
      </c>
      <c r="N121" s="1878">
        <v>14143</v>
      </c>
      <c r="O121" s="1878">
        <v>11965</v>
      </c>
      <c r="P121" s="1878">
        <v>2958</v>
      </c>
      <c r="Q121" s="1878">
        <v>2963</v>
      </c>
      <c r="R121" s="1878">
        <v>0</v>
      </c>
      <c r="S121" s="1175">
        <f t="shared" si="54"/>
        <v>83416</v>
      </c>
    </row>
    <row r="122" spans="1:19" x14ac:dyDescent="0.2">
      <c r="A122" s="1200"/>
      <c r="B122" s="1194" t="s">
        <v>2084</v>
      </c>
      <c r="C122" s="1599" t="s">
        <v>2022</v>
      </c>
      <c r="D122" s="1599"/>
      <c r="E122" s="1388">
        <f t="shared" si="53"/>
        <v>-98655</v>
      </c>
      <c r="F122" s="1878">
        <v>-8879</v>
      </c>
      <c r="G122" s="1878">
        <v>-7103</v>
      </c>
      <c r="H122" s="1878">
        <v>-8386</v>
      </c>
      <c r="I122" s="1878">
        <v>-7399</v>
      </c>
      <c r="J122" s="1878">
        <v>-9964</v>
      </c>
      <c r="K122" s="1878">
        <v>-9175</v>
      </c>
      <c r="L122" s="1878">
        <v>-7991</v>
      </c>
      <c r="M122" s="1878">
        <v>-7991</v>
      </c>
      <c r="N122" s="1878">
        <v>-7399</v>
      </c>
      <c r="O122" s="1878">
        <v>-8386</v>
      </c>
      <c r="P122" s="1878">
        <v>-7103</v>
      </c>
      <c r="Q122" s="1878">
        <v>-8879</v>
      </c>
      <c r="R122" s="1878">
        <v>0</v>
      </c>
      <c r="S122" s="1175">
        <f t="shared" si="54"/>
        <v>-98655</v>
      </c>
    </row>
    <row r="123" spans="1:19" x14ac:dyDescent="0.2">
      <c r="A123" s="1200"/>
      <c r="B123" s="1194" t="s">
        <v>197</v>
      </c>
      <c r="C123" s="1599" t="s">
        <v>2023</v>
      </c>
      <c r="D123" s="1599"/>
      <c r="E123" s="1388">
        <f t="shared" si="53"/>
        <v>408879</v>
      </c>
      <c r="F123" s="1878">
        <v>34264</v>
      </c>
      <c r="G123" s="1878">
        <v>32124</v>
      </c>
      <c r="H123" s="1878">
        <v>33683</v>
      </c>
      <c r="I123" s="1878">
        <v>32518</v>
      </c>
      <c r="J123" s="1878">
        <v>35572</v>
      </c>
      <c r="K123" s="1878">
        <v>34766</v>
      </c>
      <c r="L123" s="1878">
        <v>34226</v>
      </c>
      <c r="M123" s="1878">
        <v>34226</v>
      </c>
      <c r="N123" s="1878">
        <v>33526</v>
      </c>
      <c r="O123" s="1878">
        <v>34701</v>
      </c>
      <c r="P123" s="1878">
        <v>33156</v>
      </c>
      <c r="Q123" s="1878">
        <v>36117</v>
      </c>
      <c r="R123" s="1878">
        <f>-10558</f>
        <v>-10558</v>
      </c>
      <c r="S123" s="1175">
        <f t="shared" si="54"/>
        <v>398321</v>
      </c>
    </row>
    <row r="124" spans="1:19" x14ac:dyDescent="0.2">
      <c r="A124" s="1200"/>
      <c r="B124" s="1194" t="s">
        <v>2085</v>
      </c>
      <c r="C124" s="1599" t="s">
        <v>2021</v>
      </c>
      <c r="D124" s="1599"/>
      <c r="E124" s="1388">
        <f t="shared" si="53"/>
        <v>0</v>
      </c>
      <c r="F124" s="1878">
        <v>0</v>
      </c>
      <c r="G124" s="1878">
        <v>0</v>
      </c>
      <c r="H124" s="1878">
        <v>0</v>
      </c>
      <c r="I124" s="1878">
        <v>0</v>
      </c>
      <c r="J124" s="1878">
        <v>0</v>
      </c>
      <c r="K124" s="1878">
        <v>0</v>
      </c>
      <c r="L124" s="1878">
        <v>0</v>
      </c>
      <c r="M124" s="1878">
        <v>0</v>
      </c>
      <c r="N124" s="1878">
        <v>0</v>
      </c>
      <c r="O124" s="1878">
        <v>0</v>
      </c>
      <c r="P124" s="1878">
        <v>0</v>
      </c>
      <c r="Q124" s="1878">
        <v>0</v>
      </c>
      <c r="R124" s="1878">
        <v>0</v>
      </c>
      <c r="S124" s="1175">
        <f t="shared" si="54"/>
        <v>0</v>
      </c>
    </row>
    <row r="125" spans="1:19" x14ac:dyDescent="0.2">
      <c r="A125" s="1200"/>
      <c r="B125" s="1194" t="s">
        <v>2086</v>
      </c>
      <c r="C125" s="1599" t="s">
        <v>2013</v>
      </c>
      <c r="D125" s="1599"/>
      <c r="E125" s="1388">
        <f t="shared" si="53"/>
        <v>572871</v>
      </c>
      <c r="F125" s="1878">
        <v>47322</v>
      </c>
      <c r="G125" s="1878">
        <v>47322</v>
      </c>
      <c r="H125" s="1878">
        <v>47322</v>
      </c>
      <c r="I125" s="1878">
        <v>47322</v>
      </c>
      <c r="J125" s="1878">
        <v>47322</v>
      </c>
      <c r="K125" s="1878">
        <v>47322</v>
      </c>
      <c r="L125" s="1878">
        <v>48117</v>
      </c>
      <c r="M125" s="1878">
        <v>48117</v>
      </c>
      <c r="N125" s="1878">
        <v>48117</v>
      </c>
      <c r="O125" s="1878">
        <v>48118</v>
      </c>
      <c r="P125" s="1878">
        <v>48235</v>
      </c>
      <c r="Q125" s="1878">
        <v>48235</v>
      </c>
      <c r="R125" s="1878">
        <v>0</v>
      </c>
      <c r="S125" s="1175">
        <f t="shared" si="54"/>
        <v>572871</v>
      </c>
    </row>
    <row r="126" spans="1:19" x14ac:dyDescent="0.2">
      <c r="A126" s="1200"/>
      <c r="B126" s="1194" t="s">
        <v>2087</v>
      </c>
      <c r="C126" s="1599" t="s">
        <v>2024</v>
      </c>
      <c r="D126" s="1599"/>
      <c r="E126" s="1388">
        <f t="shared" si="53"/>
        <v>99996</v>
      </c>
      <c r="F126" s="1878">
        <v>8333</v>
      </c>
      <c r="G126" s="1878">
        <v>8333</v>
      </c>
      <c r="H126" s="1878">
        <v>8333</v>
      </c>
      <c r="I126" s="1878">
        <v>8333</v>
      </c>
      <c r="J126" s="1878">
        <v>8333</v>
      </c>
      <c r="K126" s="1878">
        <v>8333</v>
      </c>
      <c r="L126" s="1878">
        <v>8333</v>
      </c>
      <c r="M126" s="1878">
        <v>8333</v>
      </c>
      <c r="N126" s="1878">
        <v>8333</v>
      </c>
      <c r="O126" s="1878">
        <v>8333</v>
      </c>
      <c r="P126" s="1878">
        <v>8333</v>
      </c>
      <c r="Q126" s="1878">
        <v>8333</v>
      </c>
      <c r="R126" s="1878">
        <v>0</v>
      </c>
      <c r="S126" s="1175">
        <f t="shared" si="54"/>
        <v>99996</v>
      </c>
    </row>
    <row r="127" spans="1:19" x14ac:dyDescent="0.2">
      <c r="A127" s="1200"/>
      <c r="B127" s="1194" t="s">
        <v>2088</v>
      </c>
      <c r="C127" s="1599" t="s">
        <v>2014</v>
      </c>
      <c r="D127" s="1599"/>
      <c r="E127" s="1388">
        <f t="shared" si="53"/>
        <v>404108</v>
      </c>
      <c r="F127" s="1878">
        <v>33381</v>
      </c>
      <c r="G127" s="1878">
        <v>33381</v>
      </c>
      <c r="H127" s="1878">
        <v>33381</v>
      </c>
      <c r="I127" s="1878">
        <v>33381</v>
      </c>
      <c r="J127" s="1878">
        <v>33381</v>
      </c>
      <c r="K127" s="1878">
        <v>33381</v>
      </c>
      <c r="L127" s="1878">
        <v>33943</v>
      </c>
      <c r="M127" s="1878">
        <v>33943</v>
      </c>
      <c r="N127" s="1878">
        <v>33943</v>
      </c>
      <c r="O127" s="1878">
        <v>33943</v>
      </c>
      <c r="P127" s="1878">
        <v>34025</v>
      </c>
      <c r="Q127" s="1878">
        <v>34025</v>
      </c>
      <c r="R127" s="1878">
        <v>0</v>
      </c>
      <c r="S127" s="1175">
        <f t="shared" si="54"/>
        <v>404108</v>
      </c>
    </row>
    <row r="128" spans="1:19" x14ac:dyDescent="0.2">
      <c r="A128" s="1200"/>
      <c r="B128" s="1194" t="s">
        <v>2089</v>
      </c>
      <c r="C128" s="1599" t="s">
        <v>225</v>
      </c>
      <c r="D128" s="1599"/>
      <c r="E128" s="1388">
        <f t="shared" si="53"/>
        <v>411996</v>
      </c>
      <c r="F128" s="1878">
        <v>34333</v>
      </c>
      <c r="G128" s="1878">
        <v>34333</v>
      </c>
      <c r="H128" s="1878">
        <v>34333</v>
      </c>
      <c r="I128" s="1878">
        <v>34333</v>
      </c>
      <c r="J128" s="1878">
        <v>34333</v>
      </c>
      <c r="K128" s="1878">
        <v>34333</v>
      </c>
      <c r="L128" s="1878">
        <v>34333</v>
      </c>
      <c r="M128" s="1878">
        <v>34333</v>
      </c>
      <c r="N128" s="1878">
        <v>34333</v>
      </c>
      <c r="O128" s="1878">
        <v>34333</v>
      </c>
      <c r="P128" s="1878">
        <v>34333</v>
      </c>
      <c r="Q128" s="1878">
        <v>34333</v>
      </c>
      <c r="R128" s="1878">
        <v>0</v>
      </c>
      <c r="S128" s="1175">
        <f t="shared" si="54"/>
        <v>411996</v>
      </c>
    </row>
    <row r="129" spans="1:19" x14ac:dyDescent="0.2">
      <c r="A129" s="1200"/>
      <c r="B129" s="1194" t="s">
        <v>2090</v>
      </c>
      <c r="C129" s="1599" t="s">
        <v>2016</v>
      </c>
      <c r="D129" s="1599"/>
      <c r="E129" s="1388">
        <f t="shared" si="53"/>
        <v>1123000</v>
      </c>
      <c r="F129" s="1878">
        <v>74000</v>
      </c>
      <c r="G129" s="1878">
        <v>82000</v>
      </c>
      <c r="H129" s="1878">
        <v>90000</v>
      </c>
      <c r="I129" s="1878">
        <v>90000</v>
      </c>
      <c r="J129" s="1878">
        <v>95000</v>
      </c>
      <c r="K129" s="1878">
        <v>99000</v>
      </c>
      <c r="L129" s="1878">
        <v>110000</v>
      </c>
      <c r="M129" s="1878">
        <v>97000</v>
      </c>
      <c r="N129" s="1878">
        <v>103000</v>
      </c>
      <c r="O129" s="1878">
        <v>169000</v>
      </c>
      <c r="P129" s="1878">
        <v>58000</v>
      </c>
      <c r="Q129" s="1878">
        <v>56000</v>
      </c>
      <c r="R129" s="1878">
        <v>0</v>
      </c>
      <c r="S129" s="1175">
        <f t="shared" si="54"/>
        <v>1123000</v>
      </c>
    </row>
    <row r="130" spans="1:19" x14ac:dyDescent="0.2">
      <c r="A130" s="1200"/>
      <c r="B130" s="1194" t="s">
        <v>2091</v>
      </c>
      <c r="C130" s="1599" t="s">
        <v>2015</v>
      </c>
      <c r="D130" s="1599"/>
      <c r="E130" s="1388">
        <f t="shared" si="53"/>
        <v>439260</v>
      </c>
      <c r="F130" s="1878">
        <v>37950</v>
      </c>
      <c r="G130" s="1878">
        <v>33189</v>
      </c>
      <c r="H130" s="1878">
        <v>38179</v>
      </c>
      <c r="I130" s="1878">
        <v>33633</v>
      </c>
      <c r="J130" s="1878">
        <v>40463</v>
      </c>
      <c r="K130" s="1878">
        <v>39421</v>
      </c>
      <c r="L130" s="1878">
        <v>36116</v>
      </c>
      <c r="M130" s="1878">
        <v>36125</v>
      </c>
      <c r="N130" s="1878">
        <v>34896</v>
      </c>
      <c r="O130" s="1878">
        <v>36970</v>
      </c>
      <c r="P130" s="1878">
        <v>34295</v>
      </c>
      <c r="Q130" s="1878">
        <v>38023</v>
      </c>
      <c r="R130" s="1878">
        <v>0</v>
      </c>
      <c r="S130" s="1175">
        <f t="shared" si="54"/>
        <v>439260</v>
      </c>
    </row>
    <row r="131" spans="1:19" x14ac:dyDescent="0.2">
      <c r="A131" s="1200"/>
      <c r="B131" s="1194" t="s">
        <v>2096</v>
      </c>
      <c r="C131" s="1599" t="s">
        <v>2094</v>
      </c>
      <c r="D131" s="1599"/>
      <c r="E131" s="1388">
        <f t="shared" si="53"/>
        <v>0</v>
      </c>
      <c r="F131" s="1878">
        <v>0</v>
      </c>
      <c r="G131" s="1878">
        <v>0</v>
      </c>
      <c r="H131" s="1878">
        <v>0</v>
      </c>
      <c r="I131" s="1878">
        <v>0</v>
      </c>
      <c r="J131" s="1878">
        <v>0</v>
      </c>
      <c r="K131" s="1878">
        <v>0</v>
      </c>
      <c r="L131" s="1878">
        <v>0</v>
      </c>
      <c r="M131" s="1878">
        <v>0</v>
      </c>
      <c r="N131" s="1878">
        <v>0</v>
      </c>
      <c r="O131" s="1878">
        <v>0</v>
      </c>
      <c r="P131" s="1878">
        <v>0</v>
      </c>
      <c r="Q131" s="1878">
        <v>0</v>
      </c>
      <c r="R131" s="1878">
        <v>0</v>
      </c>
      <c r="S131" s="1175">
        <f t="shared" si="54"/>
        <v>0</v>
      </c>
    </row>
    <row r="132" spans="1:19" x14ac:dyDescent="0.2">
      <c r="A132" s="1200"/>
      <c r="B132" s="1194" t="s">
        <v>2097</v>
      </c>
      <c r="C132" s="1599" t="s">
        <v>2095</v>
      </c>
      <c r="D132" s="1599"/>
      <c r="E132" s="1388">
        <f t="shared" si="53"/>
        <v>0</v>
      </c>
      <c r="F132" s="1878">
        <v>0</v>
      </c>
      <c r="G132" s="1878">
        <v>0</v>
      </c>
      <c r="H132" s="1878">
        <v>0</v>
      </c>
      <c r="I132" s="1878">
        <v>0</v>
      </c>
      <c r="J132" s="1878">
        <v>0</v>
      </c>
      <c r="K132" s="1878">
        <v>0</v>
      </c>
      <c r="L132" s="1878">
        <v>0</v>
      </c>
      <c r="M132" s="1878">
        <v>0</v>
      </c>
      <c r="N132" s="1878">
        <v>0</v>
      </c>
      <c r="O132" s="1878">
        <v>0</v>
      </c>
      <c r="P132" s="1878">
        <v>0</v>
      </c>
      <c r="Q132" s="1878">
        <v>0</v>
      </c>
      <c r="R132" s="1878">
        <v>0</v>
      </c>
      <c r="S132" s="1175">
        <f t="shared" si="54"/>
        <v>0</v>
      </c>
    </row>
    <row r="133" spans="1:19" x14ac:dyDescent="0.2">
      <c r="A133" s="1200"/>
      <c r="B133" s="1194" t="s">
        <v>2092</v>
      </c>
      <c r="C133" s="1599" t="s">
        <v>2017</v>
      </c>
      <c r="D133" s="1599"/>
      <c r="E133" s="1388">
        <f t="shared" si="53"/>
        <v>-85060</v>
      </c>
      <c r="F133" s="1878">
        <v>-6604</v>
      </c>
      <c r="G133" s="1878">
        <v>-7912</v>
      </c>
      <c r="H133" s="1878">
        <v>-6967</v>
      </c>
      <c r="I133" s="1878">
        <v>-7694</v>
      </c>
      <c r="J133" s="1878">
        <v>-5804</v>
      </c>
      <c r="K133" s="1878">
        <v>-6386</v>
      </c>
      <c r="L133" s="1878">
        <v>-7258</v>
      </c>
      <c r="M133" s="1878">
        <v>-7258</v>
      </c>
      <c r="N133" s="1878">
        <v>-7694</v>
      </c>
      <c r="O133" s="1878">
        <v>-6967</v>
      </c>
      <c r="P133" s="1878">
        <v>-7912</v>
      </c>
      <c r="Q133" s="1878">
        <v>-6604</v>
      </c>
      <c r="R133" s="1878">
        <v>0</v>
      </c>
      <c r="S133" s="1175">
        <f t="shared" si="54"/>
        <v>-85060</v>
      </c>
    </row>
    <row r="134" spans="1:19" ht="13.5" x14ac:dyDescent="0.35">
      <c r="A134" s="1200"/>
      <c r="B134" s="1194" t="s">
        <v>2093</v>
      </c>
      <c r="C134" s="1599" t="s">
        <v>2018</v>
      </c>
      <c r="D134" s="1599"/>
      <c r="E134" s="1568">
        <f t="shared" si="53"/>
        <v>193785</v>
      </c>
      <c r="F134" s="1881">
        <v>16195</v>
      </c>
      <c r="G134" s="1881">
        <v>14390</v>
      </c>
      <c r="H134" s="1881">
        <v>18001</v>
      </c>
      <c r="I134" s="1881">
        <v>14171</v>
      </c>
      <c r="J134" s="1881">
        <v>16712</v>
      </c>
      <c r="K134" s="1881">
        <v>17504</v>
      </c>
      <c r="L134" s="1881">
        <v>16105</v>
      </c>
      <c r="M134" s="1881">
        <v>16119</v>
      </c>
      <c r="N134" s="1881">
        <v>16048</v>
      </c>
      <c r="O134" s="1881">
        <v>16204</v>
      </c>
      <c r="P134" s="1881">
        <v>16033</v>
      </c>
      <c r="Q134" s="1881">
        <v>16303</v>
      </c>
      <c r="R134" s="1881">
        <v>0</v>
      </c>
      <c r="S134" s="1175">
        <f t="shared" si="54"/>
        <v>193785</v>
      </c>
    </row>
    <row r="135" spans="1:19" x14ac:dyDescent="0.15">
      <c r="A135" s="1194"/>
      <c r="B135" s="1194" t="s">
        <v>1194</v>
      </c>
      <c r="C135" s="1194"/>
      <c r="D135" s="1574"/>
      <c r="E135" s="1194">
        <f t="shared" ref="E135:R135" si="55">SUM(E79:E134)</f>
        <v>44170009.439959995</v>
      </c>
      <c r="F135" s="1194">
        <f t="shared" si="55"/>
        <v>3679114.5833299998</v>
      </c>
      <c r="G135" s="1194">
        <f t="shared" si="55"/>
        <v>3516885.9833299997</v>
      </c>
      <c r="H135" s="1194">
        <f t="shared" si="55"/>
        <v>3590308.0033299997</v>
      </c>
      <c r="I135" s="1194">
        <f t="shared" si="55"/>
        <v>3530309.3333299998</v>
      </c>
      <c r="J135" s="1194">
        <f t="shared" si="55"/>
        <v>3684270.1633299999</v>
      </c>
      <c r="K135" s="1194">
        <f t="shared" si="55"/>
        <v>3772825.53333</v>
      </c>
      <c r="L135" s="1194">
        <f t="shared" si="55"/>
        <v>3689638.4533299999</v>
      </c>
      <c r="M135" s="1194">
        <f t="shared" si="55"/>
        <v>3721179.7733299998</v>
      </c>
      <c r="N135" s="1194">
        <f t="shared" si="55"/>
        <v>3727607.4433299997</v>
      </c>
      <c r="O135" s="1194">
        <f t="shared" si="55"/>
        <v>3728632.4233299997</v>
      </c>
      <c r="P135" s="1194">
        <f t="shared" si="55"/>
        <v>3675289.3333299998</v>
      </c>
      <c r="Q135" s="1194">
        <f t="shared" si="55"/>
        <v>3853948.4133299999</v>
      </c>
      <c r="R135" s="1207">
        <f t="shared" si="55"/>
        <v>818356</v>
      </c>
      <c r="S135" s="1207">
        <f>SUM(S79:S134)</f>
        <v>44988365.439959995</v>
      </c>
    </row>
    <row r="136" spans="1:19" x14ac:dyDescent="0.15">
      <c r="A136" s="1194"/>
      <c r="B136" s="1194"/>
      <c r="C136" s="1194"/>
      <c r="D136" s="1574"/>
      <c r="E136" s="1194"/>
      <c r="F136" s="1194"/>
      <c r="G136" s="1194"/>
      <c r="H136" s="1194"/>
      <c r="I136" s="1194"/>
      <c r="J136" s="1194"/>
      <c r="K136" s="1194"/>
      <c r="L136" s="1194"/>
      <c r="M136" s="1194"/>
      <c r="N136" s="1194"/>
      <c r="P136" s="1202"/>
      <c r="Q136" s="1202"/>
      <c r="R136" s="1201"/>
    </row>
    <row r="137" spans="1:19" x14ac:dyDescent="0.15">
      <c r="A137" s="1208" t="s">
        <v>1695</v>
      </c>
      <c r="B137" s="1194"/>
      <c r="C137" s="1194"/>
      <c r="D137" s="1194"/>
      <c r="E137" s="1194"/>
      <c r="F137" s="1194"/>
      <c r="G137" s="1194"/>
      <c r="H137" s="1194"/>
      <c r="I137" s="1194"/>
      <c r="J137" s="1194"/>
      <c r="K137" s="1194"/>
      <c r="L137" s="1194"/>
      <c r="M137" s="1194"/>
      <c r="N137" s="1194"/>
      <c r="P137" s="1202"/>
      <c r="Q137" s="1202"/>
      <c r="R137" s="1201"/>
    </row>
    <row r="138" spans="1:19" x14ac:dyDescent="0.15">
      <c r="A138" s="1631" t="s">
        <v>2118</v>
      </c>
      <c r="B138" s="1194"/>
      <c r="C138" s="1194"/>
      <c r="D138" s="1194"/>
      <c r="E138" s="1194"/>
      <c r="F138" s="1194"/>
      <c r="G138" s="1194"/>
      <c r="H138" s="1194"/>
      <c r="I138" s="1194"/>
      <c r="J138" s="1194"/>
      <c r="K138" s="1194"/>
      <c r="L138" s="1194"/>
      <c r="M138" s="1194"/>
      <c r="N138" s="1194"/>
      <c r="P138" s="1202"/>
      <c r="Q138" s="1202"/>
      <c r="R138" s="1201"/>
    </row>
    <row r="139" spans="1:19" x14ac:dyDescent="0.15">
      <c r="A139" s="1194"/>
      <c r="B139" s="1194"/>
      <c r="C139" s="1194"/>
      <c r="D139" s="1194"/>
      <c r="E139" s="1194"/>
      <c r="F139" s="1194"/>
      <c r="G139" s="1194"/>
      <c r="H139" s="1194"/>
      <c r="I139" s="1194"/>
      <c r="J139" s="1194"/>
      <c r="K139" s="1194"/>
      <c r="L139" s="1194"/>
      <c r="M139" s="1194"/>
      <c r="N139" s="1194"/>
      <c r="P139" s="1202"/>
      <c r="Q139" s="1202"/>
    </row>
    <row r="140" spans="1:19" x14ac:dyDescent="0.15">
      <c r="A140" s="1209" t="s">
        <v>1696</v>
      </c>
      <c r="B140" s="1209"/>
      <c r="C140" s="1209" t="s">
        <v>1697</v>
      </c>
      <c r="D140" s="1209" t="s">
        <v>1697</v>
      </c>
      <c r="E140" s="1585" t="s">
        <v>2105</v>
      </c>
      <c r="F140" s="2147" t="s">
        <v>1112</v>
      </c>
      <c r="G140" s="2148"/>
      <c r="H140" s="2148"/>
      <c r="I140" s="2148"/>
      <c r="J140" s="2148"/>
      <c r="K140" s="2148"/>
      <c r="L140" s="2148"/>
      <c r="M140" s="2148"/>
      <c r="N140" s="2148"/>
      <c r="O140" s="2148"/>
      <c r="P140" s="2148"/>
      <c r="Q140" s="2149"/>
      <c r="R140" s="1193" t="s">
        <v>1706</v>
      </c>
    </row>
    <row r="141" spans="1:19" ht="13.5" x14ac:dyDescent="0.35">
      <c r="A141" s="1210" t="s">
        <v>2100</v>
      </c>
      <c r="B141" s="1210" t="s">
        <v>1698</v>
      </c>
      <c r="C141" s="1210" t="s">
        <v>137</v>
      </c>
      <c r="D141" s="1211" t="s">
        <v>1699</v>
      </c>
      <c r="E141" s="1586" t="s">
        <v>1194</v>
      </c>
      <c r="F141" s="1185" t="s">
        <v>1652</v>
      </c>
      <c r="G141" s="1185" t="s">
        <v>1653</v>
      </c>
      <c r="H141" s="1185" t="s">
        <v>1654</v>
      </c>
      <c r="I141" s="1185" t="s">
        <v>1655</v>
      </c>
      <c r="J141" s="1185" t="s">
        <v>371</v>
      </c>
      <c r="K141" s="1185" t="s">
        <v>1656</v>
      </c>
      <c r="L141" s="1185" t="s">
        <v>1657</v>
      </c>
      <c r="M141" s="1185" t="s">
        <v>1658</v>
      </c>
      <c r="N141" s="1185" t="s">
        <v>1659</v>
      </c>
      <c r="O141" s="1185" t="s">
        <v>1660</v>
      </c>
      <c r="P141" s="1185" t="s">
        <v>1661</v>
      </c>
      <c r="Q141" s="1185" t="s">
        <v>1662</v>
      </c>
      <c r="R141" s="1185" t="s">
        <v>1194</v>
      </c>
    </row>
    <row r="142" spans="1:19" x14ac:dyDescent="0.15">
      <c r="A142" s="1194"/>
      <c r="B142" s="1194"/>
      <c r="C142" s="1194"/>
      <c r="D142" s="1194"/>
      <c r="E142" s="1574"/>
      <c r="F142" s="1194"/>
      <c r="G142" s="1194"/>
      <c r="H142" s="1194"/>
      <c r="I142" s="1194"/>
      <c r="J142" s="1194"/>
      <c r="K142" s="1194"/>
      <c r="L142" s="1194"/>
      <c r="M142" s="1194"/>
      <c r="N142" s="1194"/>
      <c r="R142" s="1212"/>
    </row>
    <row r="143" spans="1:19" x14ac:dyDescent="0.2">
      <c r="A143" s="1569" t="str">
        <f>B$79</f>
        <v>Net Labor</v>
      </c>
      <c r="B143" s="1110" t="s">
        <v>1404</v>
      </c>
      <c r="C143" s="1571">
        <v>84194.3</v>
      </c>
      <c r="D143" s="1216">
        <f t="shared" ref="D143:D163" si="56">ROUND(C143/$C$164,6)</f>
        <v>1.0414E-2</v>
      </c>
      <c r="E143" s="1582">
        <f>SUM(F143:Q143)</f>
        <v>97461</v>
      </c>
      <c r="F143" s="1194">
        <f t="shared" ref="F143:F162" si="57">ROUND(D143*$F$164,0)</f>
        <v>8202</v>
      </c>
      <c r="G143" s="1194">
        <f t="shared" ref="G143:G162" si="58">ROUND(D143*$G$164,0)</f>
        <v>6718</v>
      </c>
      <c r="H143" s="1194">
        <f t="shared" ref="H143:H162" si="59">ROUND(D143*$H$164,0)</f>
        <v>8572</v>
      </c>
      <c r="I143" s="1194">
        <f t="shared" ref="I143:I162" si="60">ROUND(D143*$I$164,0)</f>
        <v>7990</v>
      </c>
      <c r="J143" s="1194">
        <f t="shared" ref="J143:J162" si="61">ROUND(D143*$J$164,0)</f>
        <v>8046</v>
      </c>
      <c r="K143" s="1194">
        <f t="shared" ref="K143:K162" si="62">ROUND(D143*$K$164,0)</f>
        <v>8394</v>
      </c>
      <c r="L143" s="1194">
        <f t="shared" ref="L143:L162" si="63">ROUND(D143*$L$164,0)</f>
        <v>8395</v>
      </c>
      <c r="M143" s="1194">
        <f t="shared" ref="M143:M162" si="64">ROUND(D143*$M$164,0)</f>
        <v>7745</v>
      </c>
      <c r="N143" s="1194">
        <f t="shared" ref="N143:N162" si="65">ROUND(D143*$N$164,0)</f>
        <v>8161</v>
      </c>
      <c r="O143" s="1194">
        <f t="shared" ref="O143:O162" si="66">ROUND(D143*$O$164,0)</f>
        <v>8158</v>
      </c>
      <c r="P143" s="1194">
        <f t="shared" ref="P143:P162" si="67">ROUND(D143*$P$164,0)</f>
        <v>8156</v>
      </c>
      <c r="Q143" s="1194">
        <f t="shared" ref="Q143:Q162" si="68">ROUND(D143*$Q$164,0)</f>
        <v>8924</v>
      </c>
      <c r="R143" s="1194">
        <f>ROUND(D143*$R$164,0)</f>
        <v>9802</v>
      </c>
    </row>
    <row r="144" spans="1:19" x14ac:dyDescent="0.2">
      <c r="A144" s="1569" t="str">
        <f t="shared" ref="A144:A163" si="69">B$79</f>
        <v>Net Labor</v>
      </c>
      <c r="B144" s="1110" t="s">
        <v>1406</v>
      </c>
      <c r="C144" s="1571">
        <v>57571.44</v>
      </c>
      <c r="D144" s="1216">
        <f t="shared" si="56"/>
        <v>7.1209999999999997E-3</v>
      </c>
      <c r="E144" s="1582">
        <f t="shared" ref="E144:E162" si="70">SUM(F144:Q144)</f>
        <v>66644</v>
      </c>
      <c r="F144" s="1194">
        <f t="shared" si="57"/>
        <v>5609</v>
      </c>
      <c r="G144" s="1194">
        <f t="shared" si="58"/>
        <v>4594</v>
      </c>
      <c r="H144" s="1194">
        <f t="shared" si="59"/>
        <v>5862</v>
      </c>
      <c r="I144" s="1194">
        <f t="shared" si="60"/>
        <v>5463</v>
      </c>
      <c r="J144" s="1194">
        <f t="shared" si="61"/>
        <v>5502</v>
      </c>
      <c r="K144" s="1194">
        <f t="shared" si="62"/>
        <v>5739</v>
      </c>
      <c r="L144" s="1194">
        <f t="shared" si="63"/>
        <v>5741</v>
      </c>
      <c r="M144" s="1194">
        <f t="shared" si="64"/>
        <v>5296</v>
      </c>
      <c r="N144" s="1194">
        <f t="shared" si="65"/>
        <v>5580</v>
      </c>
      <c r="O144" s="1194">
        <f t="shared" si="66"/>
        <v>5579</v>
      </c>
      <c r="P144" s="1194">
        <f t="shared" si="67"/>
        <v>5577</v>
      </c>
      <c r="Q144" s="1194">
        <f t="shared" si="68"/>
        <v>6102</v>
      </c>
      <c r="R144" s="1194">
        <f t="shared" ref="R144:R162" si="71">ROUND(D144*$R$164,0)</f>
        <v>6702</v>
      </c>
    </row>
    <row r="145" spans="1:18" x14ac:dyDescent="0.2">
      <c r="A145" s="1569" t="str">
        <f t="shared" si="69"/>
        <v>Net Labor</v>
      </c>
      <c r="B145" s="1110" t="s">
        <v>1408</v>
      </c>
      <c r="C145" s="1571">
        <v>1491523.0399999996</v>
      </c>
      <c r="D145" s="1216">
        <f t="shared" si="56"/>
        <v>0.18448400000000001</v>
      </c>
      <c r="E145" s="1582">
        <f t="shared" si="70"/>
        <v>1726536</v>
      </c>
      <c r="F145" s="1194">
        <f t="shared" si="57"/>
        <v>145304</v>
      </c>
      <c r="G145" s="1194">
        <f t="shared" si="58"/>
        <v>119010</v>
      </c>
      <c r="H145" s="1194">
        <f t="shared" si="59"/>
        <v>151859</v>
      </c>
      <c r="I145" s="1194">
        <f t="shared" si="60"/>
        <v>141542</v>
      </c>
      <c r="J145" s="1194">
        <f t="shared" si="61"/>
        <v>142534</v>
      </c>
      <c r="K145" s="1194">
        <f t="shared" si="62"/>
        <v>148693</v>
      </c>
      <c r="L145" s="1194">
        <f t="shared" si="63"/>
        <v>148726</v>
      </c>
      <c r="M145" s="1194">
        <f t="shared" si="64"/>
        <v>137205</v>
      </c>
      <c r="N145" s="1194">
        <f t="shared" si="65"/>
        <v>144571</v>
      </c>
      <c r="O145" s="1194">
        <f t="shared" si="66"/>
        <v>144524</v>
      </c>
      <c r="P145" s="1194">
        <f t="shared" si="67"/>
        <v>144480</v>
      </c>
      <c r="Q145" s="1194">
        <f t="shared" si="68"/>
        <v>158088</v>
      </c>
      <c r="R145" s="1194">
        <f t="shared" si="71"/>
        <v>173636</v>
      </c>
    </row>
    <row r="146" spans="1:18" x14ac:dyDescent="0.2">
      <c r="A146" s="1569" t="str">
        <f t="shared" si="69"/>
        <v>Net Labor</v>
      </c>
      <c r="B146" s="1110" t="s">
        <v>1410</v>
      </c>
      <c r="C146" s="1571">
        <v>71137.399999999994</v>
      </c>
      <c r="D146" s="1216">
        <f t="shared" si="56"/>
        <v>8.7989999999999995E-3</v>
      </c>
      <c r="E146" s="1582">
        <f t="shared" si="70"/>
        <v>82347</v>
      </c>
      <c r="F146" s="1194">
        <f t="shared" si="57"/>
        <v>6930</v>
      </c>
      <c r="G146" s="1194">
        <f t="shared" si="58"/>
        <v>5676</v>
      </c>
      <c r="H146" s="1194">
        <f t="shared" si="59"/>
        <v>7243</v>
      </c>
      <c r="I146" s="1194">
        <f t="shared" si="60"/>
        <v>6751</v>
      </c>
      <c r="J146" s="1194">
        <f t="shared" si="61"/>
        <v>6798</v>
      </c>
      <c r="K146" s="1194">
        <f t="shared" si="62"/>
        <v>7092</v>
      </c>
      <c r="L146" s="1194">
        <f t="shared" si="63"/>
        <v>7094</v>
      </c>
      <c r="M146" s="1194">
        <f t="shared" si="64"/>
        <v>6544</v>
      </c>
      <c r="N146" s="1194">
        <f t="shared" si="65"/>
        <v>6895</v>
      </c>
      <c r="O146" s="1194">
        <f t="shared" si="66"/>
        <v>6893</v>
      </c>
      <c r="P146" s="1194">
        <f t="shared" si="67"/>
        <v>6891</v>
      </c>
      <c r="Q146" s="1194">
        <f t="shared" si="68"/>
        <v>7540</v>
      </c>
      <c r="R146" s="1194">
        <f t="shared" si="71"/>
        <v>8282</v>
      </c>
    </row>
    <row r="147" spans="1:18" x14ac:dyDescent="0.2">
      <c r="A147" s="1569" t="str">
        <f t="shared" si="69"/>
        <v>Net Labor</v>
      </c>
      <c r="B147" s="1110" t="s">
        <v>1412</v>
      </c>
      <c r="C147" s="1571">
        <v>33460.659999999996</v>
      </c>
      <c r="D147" s="1216">
        <f t="shared" si="56"/>
        <v>4.1390000000000003E-3</v>
      </c>
      <c r="E147" s="1582">
        <f t="shared" si="70"/>
        <v>38736</v>
      </c>
      <c r="F147" s="1194">
        <f t="shared" si="57"/>
        <v>3260</v>
      </c>
      <c r="G147" s="1194">
        <f t="shared" si="58"/>
        <v>2670</v>
      </c>
      <c r="H147" s="1194">
        <f t="shared" si="59"/>
        <v>3407</v>
      </c>
      <c r="I147" s="1194">
        <f t="shared" si="60"/>
        <v>3176</v>
      </c>
      <c r="J147" s="1194">
        <f t="shared" si="61"/>
        <v>3198</v>
      </c>
      <c r="K147" s="1194">
        <f t="shared" si="62"/>
        <v>3336</v>
      </c>
      <c r="L147" s="1194">
        <f t="shared" si="63"/>
        <v>3337</v>
      </c>
      <c r="M147" s="1194">
        <f t="shared" si="64"/>
        <v>3078</v>
      </c>
      <c r="N147" s="1194">
        <f t="shared" si="65"/>
        <v>3244</v>
      </c>
      <c r="O147" s="1194">
        <f t="shared" si="66"/>
        <v>3242</v>
      </c>
      <c r="P147" s="1194">
        <f t="shared" si="67"/>
        <v>3241</v>
      </c>
      <c r="Q147" s="1194">
        <f t="shared" si="68"/>
        <v>3547</v>
      </c>
      <c r="R147" s="1194">
        <f t="shared" si="71"/>
        <v>3896</v>
      </c>
    </row>
    <row r="148" spans="1:18" x14ac:dyDescent="0.2">
      <c r="A148" s="1569" t="str">
        <f t="shared" si="69"/>
        <v>Net Labor</v>
      </c>
      <c r="B148" s="1110" t="s">
        <v>1414</v>
      </c>
      <c r="C148" s="1571">
        <v>1105455.53</v>
      </c>
      <c r="D148" s="1216">
        <f t="shared" si="56"/>
        <v>0.13673199999999999</v>
      </c>
      <c r="E148" s="1582">
        <f t="shared" si="70"/>
        <v>1279637</v>
      </c>
      <c r="F148" s="1194">
        <f t="shared" si="57"/>
        <v>107694</v>
      </c>
      <c r="G148" s="1194">
        <f t="shared" si="58"/>
        <v>88205</v>
      </c>
      <c r="H148" s="1194">
        <f t="shared" si="59"/>
        <v>112551</v>
      </c>
      <c r="I148" s="1194">
        <f t="shared" si="60"/>
        <v>104905</v>
      </c>
      <c r="J148" s="1194">
        <f t="shared" si="61"/>
        <v>105641</v>
      </c>
      <c r="K148" s="1194">
        <f t="shared" si="62"/>
        <v>110205</v>
      </c>
      <c r="L148" s="1194">
        <f t="shared" si="63"/>
        <v>110230</v>
      </c>
      <c r="M148" s="1194">
        <f t="shared" si="64"/>
        <v>101690</v>
      </c>
      <c r="N148" s="1194">
        <f t="shared" si="65"/>
        <v>107150</v>
      </c>
      <c r="O148" s="1194">
        <f t="shared" si="66"/>
        <v>107115</v>
      </c>
      <c r="P148" s="1194">
        <f t="shared" si="67"/>
        <v>107083</v>
      </c>
      <c r="Q148" s="1194">
        <f t="shared" si="68"/>
        <v>117168</v>
      </c>
      <c r="R148" s="1194">
        <f t="shared" si="71"/>
        <v>128692</v>
      </c>
    </row>
    <row r="149" spans="1:18" x14ac:dyDescent="0.2">
      <c r="A149" s="1569" t="str">
        <f t="shared" si="69"/>
        <v>Net Labor</v>
      </c>
      <c r="B149" s="1110" t="s">
        <v>1416</v>
      </c>
      <c r="C149" s="1571">
        <v>1296419.0099999998</v>
      </c>
      <c r="D149" s="1216">
        <f t="shared" si="56"/>
        <v>0.16035199999999999</v>
      </c>
      <c r="E149" s="1582">
        <f t="shared" si="70"/>
        <v>1500691</v>
      </c>
      <c r="F149" s="1194">
        <f t="shared" si="57"/>
        <v>126297</v>
      </c>
      <c r="G149" s="1194">
        <f t="shared" si="58"/>
        <v>103442</v>
      </c>
      <c r="H149" s="1194">
        <f t="shared" si="59"/>
        <v>131994</v>
      </c>
      <c r="I149" s="1194">
        <f t="shared" si="60"/>
        <v>123028</v>
      </c>
      <c r="J149" s="1194">
        <f t="shared" si="61"/>
        <v>123890</v>
      </c>
      <c r="K149" s="1194">
        <f t="shared" si="62"/>
        <v>129243</v>
      </c>
      <c r="L149" s="1194">
        <f t="shared" si="63"/>
        <v>129271</v>
      </c>
      <c r="M149" s="1194">
        <f t="shared" si="64"/>
        <v>119257</v>
      </c>
      <c r="N149" s="1194">
        <f t="shared" si="65"/>
        <v>125660</v>
      </c>
      <c r="O149" s="1194">
        <f t="shared" si="66"/>
        <v>125619</v>
      </c>
      <c r="P149" s="1194">
        <f t="shared" si="67"/>
        <v>125581</v>
      </c>
      <c r="Q149" s="1194">
        <f t="shared" si="68"/>
        <v>137409</v>
      </c>
      <c r="R149" s="1194">
        <f t="shared" si="71"/>
        <v>150923</v>
      </c>
    </row>
    <row r="150" spans="1:18" x14ac:dyDescent="0.2">
      <c r="A150" s="1569" t="str">
        <f t="shared" si="69"/>
        <v>Net Labor</v>
      </c>
      <c r="B150" s="1110" t="s">
        <v>1418</v>
      </c>
      <c r="C150" s="1571">
        <v>473382.86</v>
      </c>
      <c r="D150" s="1216">
        <f t="shared" si="56"/>
        <v>5.8552E-2</v>
      </c>
      <c r="E150" s="1582">
        <f t="shared" si="70"/>
        <v>547972</v>
      </c>
      <c r="F150" s="1194">
        <f t="shared" si="57"/>
        <v>46117</v>
      </c>
      <c r="G150" s="1194">
        <f t="shared" si="58"/>
        <v>37772</v>
      </c>
      <c r="H150" s="1194">
        <f t="shared" si="59"/>
        <v>48197</v>
      </c>
      <c r="I150" s="1194">
        <f t="shared" si="60"/>
        <v>44923</v>
      </c>
      <c r="J150" s="1194">
        <f t="shared" si="61"/>
        <v>45238</v>
      </c>
      <c r="K150" s="1194">
        <f t="shared" si="62"/>
        <v>47193</v>
      </c>
      <c r="L150" s="1194">
        <f t="shared" si="63"/>
        <v>47203</v>
      </c>
      <c r="M150" s="1194">
        <f t="shared" si="64"/>
        <v>43546</v>
      </c>
      <c r="N150" s="1194">
        <f t="shared" si="65"/>
        <v>45884</v>
      </c>
      <c r="O150" s="1194">
        <f t="shared" si="66"/>
        <v>45869</v>
      </c>
      <c r="P150" s="1194">
        <f t="shared" si="67"/>
        <v>45856</v>
      </c>
      <c r="Q150" s="1194">
        <f t="shared" si="68"/>
        <v>50174</v>
      </c>
      <c r="R150" s="1194">
        <f t="shared" si="71"/>
        <v>55109</v>
      </c>
    </row>
    <row r="151" spans="1:18" x14ac:dyDescent="0.2">
      <c r="A151" s="1569" t="str">
        <f t="shared" si="69"/>
        <v>Net Labor</v>
      </c>
      <c r="B151" s="1110" t="s">
        <v>1424</v>
      </c>
      <c r="C151" s="1571">
        <v>7469.93</v>
      </c>
      <c r="D151" s="1216">
        <f t="shared" si="56"/>
        <v>9.2400000000000002E-4</v>
      </c>
      <c r="E151" s="1582">
        <f t="shared" si="70"/>
        <v>8649</v>
      </c>
      <c r="F151" s="1194">
        <f t="shared" si="57"/>
        <v>728</v>
      </c>
      <c r="G151" s="1194">
        <f t="shared" si="58"/>
        <v>596</v>
      </c>
      <c r="H151" s="1194">
        <f t="shared" si="59"/>
        <v>761</v>
      </c>
      <c r="I151" s="1194">
        <f t="shared" si="60"/>
        <v>709</v>
      </c>
      <c r="J151" s="1194">
        <f t="shared" si="61"/>
        <v>714</v>
      </c>
      <c r="K151" s="1194">
        <f t="shared" si="62"/>
        <v>745</v>
      </c>
      <c r="L151" s="1194">
        <f t="shared" si="63"/>
        <v>745</v>
      </c>
      <c r="M151" s="1194">
        <f t="shared" si="64"/>
        <v>687</v>
      </c>
      <c r="N151" s="1194">
        <f t="shared" si="65"/>
        <v>724</v>
      </c>
      <c r="O151" s="1194">
        <f t="shared" si="66"/>
        <v>724</v>
      </c>
      <c r="P151" s="1194">
        <f t="shared" si="67"/>
        <v>724</v>
      </c>
      <c r="Q151" s="1194">
        <f t="shared" si="68"/>
        <v>792</v>
      </c>
      <c r="R151" s="1194">
        <f t="shared" si="71"/>
        <v>870</v>
      </c>
    </row>
    <row r="152" spans="1:18" x14ac:dyDescent="0.2">
      <c r="A152" s="1569" t="str">
        <f t="shared" si="69"/>
        <v>Net Labor</v>
      </c>
      <c r="B152" s="1110" t="s">
        <v>1425</v>
      </c>
      <c r="C152" s="1571">
        <v>2166.92</v>
      </c>
      <c r="D152" s="1216">
        <f t="shared" si="56"/>
        <v>2.6800000000000001E-4</v>
      </c>
      <c r="E152" s="1582">
        <f t="shared" si="70"/>
        <v>2509</v>
      </c>
      <c r="F152" s="1194">
        <f t="shared" si="57"/>
        <v>211</v>
      </c>
      <c r="G152" s="1194">
        <f t="shared" si="58"/>
        <v>173</v>
      </c>
      <c r="H152" s="1194">
        <f t="shared" si="59"/>
        <v>221</v>
      </c>
      <c r="I152" s="1194">
        <f t="shared" si="60"/>
        <v>206</v>
      </c>
      <c r="J152" s="1194">
        <f t="shared" si="61"/>
        <v>207</v>
      </c>
      <c r="K152" s="1194">
        <f t="shared" si="62"/>
        <v>216</v>
      </c>
      <c r="L152" s="1194">
        <f t="shared" si="63"/>
        <v>216</v>
      </c>
      <c r="M152" s="1194">
        <f t="shared" si="64"/>
        <v>199</v>
      </c>
      <c r="N152" s="1194">
        <f t="shared" si="65"/>
        <v>210</v>
      </c>
      <c r="O152" s="1194">
        <f t="shared" si="66"/>
        <v>210</v>
      </c>
      <c r="P152" s="1194">
        <f t="shared" si="67"/>
        <v>210</v>
      </c>
      <c r="Q152" s="1194">
        <f t="shared" si="68"/>
        <v>230</v>
      </c>
      <c r="R152" s="1194">
        <f t="shared" si="71"/>
        <v>252</v>
      </c>
    </row>
    <row r="153" spans="1:18" x14ac:dyDescent="0.2">
      <c r="A153" s="1569" t="str">
        <f t="shared" si="69"/>
        <v>Net Labor</v>
      </c>
      <c r="B153" s="1110" t="s">
        <v>1427</v>
      </c>
      <c r="C153" s="1571">
        <v>800263.32999999914</v>
      </c>
      <c r="D153" s="1216">
        <f t="shared" si="56"/>
        <v>9.8983000000000002E-2</v>
      </c>
      <c r="E153" s="1582">
        <f t="shared" si="70"/>
        <v>926354</v>
      </c>
      <c r="F153" s="1194">
        <f t="shared" si="57"/>
        <v>77962</v>
      </c>
      <c r="G153" s="1194">
        <f t="shared" si="58"/>
        <v>63853</v>
      </c>
      <c r="H153" s="1194">
        <f t="shared" si="59"/>
        <v>81478</v>
      </c>
      <c r="I153" s="1194">
        <f t="shared" si="60"/>
        <v>75943</v>
      </c>
      <c r="J153" s="1194">
        <f t="shared" si="61"/>
        <v>76475</v>
      </c>
      <c r="K153" s="1194">
        <f t="shared" si="62"/>
        <v>79780</v>
      </c>
      <c r="L153" s="1194">
        <f t="shared" si="63"/>
        <v>79797</v>
      </c>
      <c r="M153" s="1194">
        <f t="shared" si="64"/>
        <v>73616</v>
      </c>
      <c r="N153" s="1194">
        <f t="shared" si="65"/>
        <v>77568</v>
      </c>
      <c r="O153" s="1194">
        <f t="shared" si="66"/>
        <v>77543</v>
      </c>
      <c r="P153" s="1194">
        <f t="shared" si="67"/>
        <v>77519</v>
      </c>
      <c r="Q153" s="1194">
        <f t="shared" si="68"/>
        <v>84820</v>
      </c>
      <c r="R153" s="1194">
        <f t="shared" si="71"/>
        <v>93163</v>
      </c>
    </row>
    <row r="154" spans="1:18" x14ac:dyDescent="0.2">
      <c r="A154" s="1569" t="str">
        <f t="shared" si="69"/>
        <v>Net Labor</v>
      </c>
      <c r="B154" s="1110" t="s">
        <v>1429</v>
      </c>
      <c r="C154" s="1571">
        <v>119729.34999999999</v>
      </c>
      <c r="D154" s="1216">
        <f t="shared" si="56"/>
        <v>1.4808999999999999E-2</v>
      </c>
      <c r="E154" s="1582">
        <f t="shared" si="70"/>
        <v>138594</v>
      </c>
      <c r="F154" s="1194">
        <f t="shared" si="57"/>
        <v>11664</v>
      </c>
      <c r="G154" s="1194">
        <f t="shared" si="58"/>
        <v>9553</v>
      </c>
      <c r="H154" s="1194">
        <f t="shared" si="59"/>
        <v>12190</v>
      </c>
      <c r="I154" s="1194">
        <f t="shared" si="60"/>
        <v>11362</v>
      </c>
      <c r="J154" s="1194">
        <f t="shared" si="61"/>
        <v>11442</v>
      </c>
      <c r="K154" s="1194">
        <f t="shared" si="62"/>
        <v>11936</v>
      </c>
      <c r="L154" s="1194">
        <f t="shared" si="63"/>
        <v>11939</v>
      </c>
      <c r="M154" s="1194">
        <f t="shared" si="64"/>
        <v>11014</v>
      </c>
      <c r="N154" s="1194">
        <f t="shared" si="65"/>
        <v>11605</v>
      </c>
      <c r="O154" s="1194">
        <f t="shared" si="66"/>
        <v>11601</v>
      </c>
      <c r="P154" s="1194">
        <f t="shared" si="67"/>
        <v>11598</v>
      </c>
      <c r="Q154" s="1194">
        <f t="shared" si="68"/>
        <v>12690</v>
      </c>
      <c r="R154" s="1194">
        <f t="shared" si="71"/>
        <v>13938</v>
      </c>
    </row>
    <row r="155" spans="1:18" x14ac:dyDescent="0.2">
      <c r="A155" s="1569" t="str">
        <f t="shared" si="69"/>
        <v>Net Labor</v>
      </c>
      <c r="B155" s="1110" t="s">
        <v>1430</v>
      </c>
      <c r="C155" s="1571">
        <v>16772.05</v>
      </c>
      <c r="D155" s="1216">
        <f t="shared" si="56"/>
        <v>2.075E-3</v>
      </c>
      <c r="E155" s="1582">
        <f t="shared" si="70"/>
        <v>19419</v>
      </c>
      <c r="F155" s="1194">
        <f t="shared" si="57"/>
        <v>1634</v>
      </c>
      <c r="G155" s="1194">
        <f t="shared" si="58"/>
        <v>1339</v>
      </c>
      <c r="H155" s="1194">
        <f t="shared" si="59"/>
        <v>1708</v>
      </c>
      <c r="I155" s="1194">
        <f t="shared" si="60"/>
        <v>1592</v>
      </c>
      <c r="J155" s="1194">
        <f t="shared" si="61"/>
        <v>1603</v>
      </c>
      <c r="K155" s="1194">
        <f t="shared" si="62"/>
        <v>1672</v>
      </c>
      <c r="L155" s="1194">
        <f t="shared" si="63"/>
        <v>1673</v>
      </c>
      <c r="M155" s="1194">
        <f t="shared" si="64"/>
        <v>1543</v>
      </c>
      <c r="N155" s="1194">
        <f t="shared" si="65"/>
        <v>1626</v>
      </c>
      <c r="O155" s="1194">
        <f t="shared" si="66"/>
        <v>1626</v>
      </c>
      <c r="P155" s="1194">
        <f t="shared" si="67"/>
        <v>1625</v>
      </c>
      <c r="Q155" s="1194">
        <f t="shared" si="68"/>
        <v>1778</v>
      </c>
      <c r="R155" s="1194">
        <f t="shared" si="71"/>
        <v>1953</v>
      </c>
    </row>
    <row r="156" spans="1:18" x14ac:dyDescent="0.2">
      <c r="A156" s="1569" t="str">
        <f t="shared" si="69"/>
        <v>Net Labor</v>
      </c>
      <c r="B156" s="1110" t="s">
        <v>1431</v>
      </c>
      <c r="C156" s="1571">
        <v>258003.12</v>
      </c>
      <c r="D156" s="1216">
        <f t="shared" si="56"/>
        <v>3.1912000000000003E-2</v>
      </c>
      <c r="E156" s="1582">
        <f t="shared" si="70"/>
        <v>298657</v>
      </c>
      <c r="F156" s="1194">
        <f t="shared" si="57"/>
        <v>25135</v>
      </c>
      <c r="G156" s="1194">
        <f t="shared" si="58"/>
        <v>20586</v>
      </c>
      <c r="H156" s="1194">
        <f t="shared" si="59"/>
        <v>26268</v>
      </c>
      <c r="I156" s="1194">
        <f t="shared" si="60"/>
        <v>24484</v>
      </c>
      <c r="J156" s="1194">
        <f t="shared" si="61"/>
        <v>24656</v>
      </c>
      <c r="K156" s="1194">
        <f t="shared" si="62"/>
        <v>25721</v>
      </c>
      <c r="L156" s="1194">
        <f t="shared" si="63"/>
        <v>25727</v>
      </c>
      <c r="M156" s="1194">
        <f t="shared" si="64"/>
        <v>23734</v>
      </c>
      <c r="N156" s="1194">
        <f t="shared" si="65"/>
        <v>25008</v>
      </c>
      <c r="O156" s="1194">
        <f t="shared" si="66"/>
        <v>25000</v>
      </c>
      <c r="P156" s="1194">
        <f t="shared" si="67"/>
        <v>24992</v>
      </c>
      <c r="Q156" s="1194">
        <f t="shared" si="68"/>
        <v>27346</v>
      </c>
      <c r="R156" s="1194">
        <f t="shared" si="71"/>
        <v>30035</v>
      </c>
    </row>
    <row r="157" spans="1:18" x14ac:dyDescent="0.2">
      <c r="A157" s="1569" t="str">
        <f t="shared" si="69"/>
        <v>Net Labor</v>
      </c>
      <c r="B157" s="1110" t="s">
        <v>1433</v>
      </c>
      <c r="C157" s="1571">
        <v>23199.120000000003</v>
      </c>
      <c r="D157" s="1216">
        <f t="shared" si="56"/>
        <v>2.869E-3</v>
      </c>
      <c r="E157" s="1582">
        <f t="shared" si="70"/>
        <v>26851</v>
      </c>
      <c r="F157" s="1194">
        <f t="shared" si="57"/>
        <v>2260</v>
      </c>
      <c r="G157" s="1194">
        <f t="shared" si="58"/>
        <v>1851</v>
      </c>
      <c r="H157" s="1194">
        <f t="shared" si="59"/>
        <v>2362</v>
      </c>
      <c r="I157" s="1194">
        <f t="shared" si="60"/>
        <v>2201</v>
      </c>
      <c r="J157" s="1194">
        <f t="shared" si="61"/>
        <v>2217</v>
      </c>
      <c r="K157" s="1194">
        <f t="shared" si="62"/>
        <v>2312</v>
      </c>
      <c r="L157" s="1194">
        <f t="shared" si="63"/>
        <v>2313</v>
      </c>
      <c r="M157" s="1194">
        <f t="shared" si="64"/>
        <v>2134</v>
      </c>
      <c r="N157" s="1194">
        <f t="shared" si="65"/>
        <v>2248</v>
      </c>
      <c r="O157" s="1194">
        <f t="shared" si="66"/>
        <v>2248</v>
      </c>
      <c r="P157" s="1194">
        <f t="shared" si="67"/>
        <v>2247</v>
      </c>
      <c r="Q157" s="1194">
        <f t="shared" si="68"/>
        <v>2458</v>
      </c>
      <c r="R157" s="1194">
        <f t="shared" si="71"/>
        <v>2700</v>
      </c>
    </row>
    <row r="158" spans="1:18" x14ac:dyDescent="0.2">
      <c r="A158" s="1569" t="str">
        <f t="shared" si="69"/>
        <v>Net Labor</v>
      </c>
      <c r="B158" s="1110" t="s">
        <v>1435</v>
      </c>
      <c r="C158" s="1571">
        <v>107278.9699999999</v>
      </c>
      <c r="D158" s="1216">
        <f t="shared" si="56"/>
        <v>1.3269E-2</v>
      </c>
      <c r="E158" s="1582">
        <f t="shared" si="70"/>
        <v>124180</v>
      </c>
      <c r="F158" s="1194">
        <f t="shared" si="57"/>
        <v>10451</v>
      </c>
      <c r="G158" s="1194">
        <f t="shared" si="58"/>
        <v>8560</v>
      </c>
      <c r="H158" s="1194">
        <f t="shared" si="59"/>
        <v>10922</v>
      </c>
      <c r="I158" s="1194">
        <f t="shared" si="60"/>
        <v>10180</v>
      </c>
      <c r="J158" s="1194">
        <f t="shared" si="61"/>
        <v>10252</v>
      </c>
      <c r="K158" s="1194">
        <f t="shared" si="62"/>
        <v>10695</v>
      </c>
      <c r="L158" s="1194">
        <f t="shared" si="63"/>
        <v>10697</v>
      </c>
      <c r="M158" s="1194">
        <f t="shared" si="64"/>
        <v>9868</v>
      </c>
      <c r="N158" s="1194">
        <f t="shared" si="65"/>
        <v>10398</v>
      </c>
      <c r="O158" s="1194">
        <f t="shared" si="66"/>
        <v>10395</v>
      </c>
      <c r="P158" s="1194">
        <f t="shared" si="67"/>
        <v>10392</v>
      </c>
      <c r="Q158" s="1194">
        <f t="shared" si="68"/>
        <v>11370</v>
      </c>
      <c r="R158" s="1194">
        <f t="shared" si="71"/>
        <v>12489</v>
      </c>
    </row>
    <row r="159" spans="1:18" x14ac:dyDescent="0.2">
      <c r="A159" s="1569" t="str">
        <f t="shared" si="69"/>
        <v>Net Labor</v>
      </c>
      <c r="B159" s="1110" t="s">
        <v>1442</v>
      </c>
      <c r="C159" s="1571">
        <v>142829.91999999998</v>
      </c>
      <c r="D159" s="1216">
        <f t="shared" si="56"/>
        <v>1.7666000000000001E-2</v>
      </c>
      <c r="E159" s="1582">
        <f t="shared" si="70"/>
        <v>165331</v>
      </c>
      <c r="F159" s="1194">
        <f t="shared" si="57"/>
        <v>13914</v>
      </c>
      <c r="G159" s="1194">
        <f t="shared" si="58"/>
        <v>11396</v>
      </c>
      <c r="H159" s="1194">
        <f t="shared" si="59"/>
        <v>14542</v>
      </c>
      <c r="I159" s="1194">
        <f t="shared" si="60"/>
        <v>13554</v>
      </c>
      <c r="J159" s="1194">
        <f t="shared" si="61"/>
        <v>13649</v>
      </c>
      <c r="K159" s="1194">
        <f t="shared" si="62"/>
        <v>14239</v>
      </c>
      <c r="L159" s="1194">
        <f t="shared" si="63"/>
        <v>14242</v>
      </c>
      <c r="M159" s="1194">
        <f t="shared" si="64"/>
        <v>13139</v>
      </c>
      <c r="N159" s="1194">
        <f t="shared" si="65"/>
        <v>13844</v>
      </c>
      <c r="O159" s="1194">
        <f t="shared" si="66"/>
        <v>13839</v>
      </c>
      <c r="P159" s="1194">
        <f t="shared" si="67"/>
        <v>13835</v>
      </c>
      <c r="Q159" s="1194">
        <f t="shared" si="68"/>
        <v>15138</v>
      </c>
      <c r="R159" s="1194">
        <f t="shared" si="71"/>
        <v>16627</v>
      </c>
    </row>
    <row r="160" spans="1:18" x14ac:dyDescent="0.2">
      <c r="A160" s="1569" t="str">
        <f t="shared" si="69"/>
        <v>Net Labor</v>
      </c>
      <c r="B160" s="1111" t="s">
        <v>1444</v>
      </c>
      <c r="C160" s="1571">
        <v>598286.1399999999</v>
      </c>
      <c r="D160" s="1216">
        <f t="shared" si="56"/>
        <v>7.4000999999999997E-2</v>
      </c>
      <c r="E160" s="1582">
        <f t="shared" si="70"/>
        <v>692556</v>
      </c>
      <c r="F160" s="1194">
        <f t="shared" si="57"/>
        <v>58285</v>
      </c>
      <c r="G160" s="1194">
        <f t="shared" si="58"/>
        <v>47738</v>
      </c>
      <c r="H160" s="1194">
        <f t="shared" si="59"/>
        <v>60914</v>
      </c>
      <c r="I160" s="1194">
        <f t="shared" si="60"/>
        <v>56776</v>
      </c>
      <c r="J160" s="1194">
        <f t="shared" si="61"/>
        <v>57174</v>
      </c>
      <c r="K160" s="1194">
        <f t="shared" si="62"/>
        <v>59644</v>
      </c>
      <c r="L160" s="1194">
        <f t="shared" si="63"/>
        <v>59658</v>
      </c>
      <c r="M160" s="1194">
        <f t="shared" si="64"/>
        <v>55036</v>
      </c>
      <c r="N160" s="1194">
        <f t="shared" si="65"/>
        <v>57991</v>
      </c>
      <c r="O160" s="1194">
        <f t="shared" si="66"/>
        <v>57972</v>
      </c>
      <c r="P160" s="1194">
        <f t="shared" si="67"/>
        <v>57955</v>
      </c>
      <c r="Q160" s="1194">
        <f t="shared" si="68"/>
        <v>63413</v>
      </c>
      <c r="R160" s="1194">
        <f t="shared" si="71"/>
        <v>69650</v>
      </c>
    </row>
    <row r="161" spans="1:18" x14ac:dyDescent="0.2">
      <c r="A161" s="1569" t="str">
        <f t="shared" si="69"/>
        <v>Net Labor</v>
      </c>
      <c r="B161" s="1110" t="s">
        <v>1455</v>
      </c>
      <c r="C161" s="1571">
        <v>11216.48</v>
      </c>
      <c r="D161" s="1216">
        <f t="shared" si="56"/>
        <v>1.387E-3</v>
      </c>
      <c r="E161" s="1582">
        <f t="shared" si="70"/>
        <v>12982</v>
      </c>
      <c r="F161" s="1194">
        <f t="shared" si="57"/>
        <v>1092</v>
      </c>
      <c r="G161" s="1194">
        <f t="shared" si="58"/>
        <v>895</v>
      </c>
      <c r="H161" s="1194">
        <f t="shared" si="59"/>
        <v>1142</v>
      </c>
      <c r="I161" s="1194">
        <f t="shared" si="60"/>
        <v>1064</v>
      </c>
      <c r="J161" s="1194">
        <f t="shared" si="61"/>
        <v>1072</v>
      </c>
      <c r="K161" s="1194">
        <f t="shared" si="62"/>
        <v>1118</v>
      </c>
      <c r="L161" s="1194">
        <f t="shared" si="63"/>
        <v>1118</v>
      </c>
      <c r="M161" s="1194">
        <f t="shared" si="64"/>
        <v>1032</v>
      </c>
      <c r="N161" s="1194">
        <f t="shared" si="65"/>
        <v>1087</v>
      </c>
      <c r="O161" s="1194">
        <f t="shared" si="66"/>
        <v>1087</v>
      </c>
      <c r="P161" s="1194">
        <f t="shared" si="67"/>
        <v>1086</v>
      </c>
      <c r="Q161" s="1194">
        <f t="shared" si="68"/>
        <v>1189</v>
      </c>
      <c r="R161" s="1194">
        <f t="shared" si="71"/>
        <v>1305</v>
      </c>
    </row>
    <row r="162" spans="1:18" x14ac:dyDescent="0.2">
      <c r="A162" s="1569" t="str">
        <f t="shared" si="69"/>
        <v>Net Labor</v>
      </c>
      <c r="B162" s="1110" t="s">
        <v>1472</v>
      </c>
      <c r="C162" s="1571">
        <v>1380473.0199999998</v>
      </c>
      <c r="D162" s="1216">
        <f t="shared" si="56"/>
        <v>0.17074800000000001</v>
      </c>
      <c r="E162" s="1582">
        <f t="shared" si="70"/>
        <v>1597984</v>
      </c>
      <c r="F162" s="1194">
        <f t="shared" si="57"/>
        <v>134485</v>
      </c>
      <c r="G162" s="1194">
        <f t="shared" si="58"/>
        <v>110149</v>
      </c>
      <c r="H162" s="1194">
        <f t="shared" si="59"/>
        <v>140552</v>
      </c>
      <c r="I162" s="1194">
        <f t="shared" si="60"/>
        <v>131004</v>
      </c>
      <c r="J162" s="1194">
        <f t="shared" si="61"/>
        <v>131922</v>
      </c>
      <c r="K162" s="1194">
        <f t="shared" si="62"/>
        <v>137622</v>
      </c>
      <c r="L162" s="1194">
        <f t="shared" si="63"/>
        <v>137652</v>
      </c>
      <c r="M162" s="1194">
        <f t="shared" si="64"/>
        <v>126989</v>
      </c>
      <c r="N162" s="1194">
        <f t="shared" si="65"/>
        <v>133806</v>
      </c>
      <c r="O162" s="1194">
        <f t="shared" si="66"/>
        <v>133763</v>
      </c>
      <c r="P162" s="1194">
        <f t="shared" si="67"/>
        <v>133723</v>
      </c>
      <c r="Q162" s="1194">
        <f t="shared" si="68"/>
        <v>146317</v>
      </c>
      <c r="R162" s="1194">
        <f t="shared" si="71"/>
        <v>160708</v>
      </c>
    </row>
    <row r="163" spans="1:18" ht="13.5" x14ac:dyDescent="0.35">
      <c r="A163" s="1569" t="str">
        <f t="shared" si="69"/>
        <v>Net Labor</v>
      </c>
      <c r="B163" s="1111" t="s">
        <v>1475</v>
      </c>
      <c r="C163" s="1623">
        <v>4011.53</v>
      </c>
      <c r="D163" s="1570">
        <f t="shared" si="56"/>
        <v>4.9600000000000002E-4</v>
      </c>
      <c r="E163" s="1587">
        <f>SUM(F163:Q163)</f>
        <v>4636.4399999998277</v>
      </c>
      <c r="F163" s="1221">
        <f t="shared" ref="F163:R163" si="72">F164-SUM(F143:F162)</f>
        <v>391.25</v>
      </c>
      <c r="G163" s="1221">
        <f t="shared" si="72"/>
        <v>318.65000000002328</v>
      </c>
      <c r="H163" s="1221">
        <f t="shared" si="72"/>
        <v>408.67000000004191</v>
      </c>
      <c r="I163" s="1221">
        <f t="shared" si="72"/>
        <v>381</v>
      </c>
      <c r="J163" s="1221">
        <f t="shared" si="72"/>
        <v>380.82999999995809</v>
      </c>
      <c r="K163" s="1221">
        <f t="shared" si="72"/>
        <v>398.19999999995343</v>
      </c>
      <c r="L163" s="1221">
        <f t="shared" si="72"/>
        <v>398.11999999999534</v>
      </c>
      <c r="M163" s="1221">
        <f t="shared" si="72"/>
        <v>368.43999999994412</v>
      </c>
      <c r="N163" s="1221">
        <f t="shared" si="72"/>
        <v>388.10999999998603</v>
      </c>
      <c r="O163" s="1221">
        <f t="shared" si="72"/>
        <v>390.0899999999674</v>
      </c>
      <c r="P163" s="1221">
        <f t="shared" si="72"/>
        <v>388</v>
      </c>
      <c r="Q163" s="1221">
        <f t="shared" si="72"/>
        <v>425.07999999995809</v>
      </c>
      <c r="R163" s="1221">
        <f t="shared" si="72"/>
        <v>465</v>
      </c>
    </row>
    <row r="164" spans="1:18" x14ac:dyDescent="0.2">
      <c r="A164" s="1213"/>
      <c r="B164" s="1626"/>
      <c r="C164" s="1582">
        <f>SUM(C143:C163)</f>
        <v>8084844.1199999973</v>
      </c>
      <c r="D164" s="1216">
        <f>SUM(D143:D163)</f>
        <v>1.0000000000000002</v>
      </c>
      <c r="E164" s="1582">
        <f>SUM(E143:E163)</f>
        <v>9358726.4399999995</v>
      </c>
      <c r="F164" s="1194">
        <f t="shared" ref="F164:R164" si="73">F79</f>
        <v>787625.25</v>
      </c>
      <c r="G164" s="1194">
        <f t="shared" si="73"/>
        <v>645094.65</v>
      </c>
      <c r="H164" s="1194">
        <f t="shared" si="73"/>
        <v>823153.67</v>
      </c>
      <c r="I164" s="1194">
        <f t="shared" si="73"/>
        <v>767234</v>
      </c>
      <c r="J164" s="1194">
        <f t="shared" si="73"/>
        <v>772610.83</v>
      </c>
      <c r="K164" s="1194">
        <f t="shared" si="73"/>
        <v>805993.2</v>
      </c>
      <c r="L164" s="1194">
        <f t="shared" si="73"/>
        <v>806172.12</v>
      </c>
      <c r="M164" s="1194">
        <f t="shared" si="73"/>
        <v>743720.44</v>
      </c>
      <c r="N164" s="1194">
        <f t="shared" si="73"/>
        <v>783648.11</v>
      </c>
      <c r="O164" s="1194">
        <f t="shared" si="73"/>
        <v>783397.09</v>
      </c>
      <c r="P164" s="1194">
        <f t="shared" si="73"/>
        <v>783159</v>
      </c>
      <c r="Q164" s="1194">
        <f t="shared" si="73"/>
        <v>856918.08</v>
      </c>
      <c r="R164" s="1194">
        <f t="shared" si="73"/>
        <v>941197</v>
      </c>
    </row>
    <row r="165" spans="1:18" x14ac:dyDescent="0.2">
      <c r="A165" s="1213"/>
      <c r="B165" s="1626"/>
      <c r="C165" s="1582"/>
      <c r="D165" s="1216"/>
      <c r="E165" s="1582"/>
      <c r="F165" s="1194"/>
      <c r="G165" s="1194"/>
      <c r="H165" s="1194"/>
      <c r="I165" s="1194"/>
      <c r="J165" s="1194"/>
      <c r="K165" s="1194"/>
      <c r="L165" s="1194"/>
      <c r="M165" s="1194"/>
      <c r="N165" s="1194"/>
      <c r="O165" s="1194"/>
      <c r="P165" s="1194"/>
      <c r="Q165" s="1194"/>
      <c r="R165" s="1194"/>
    </row>
    <row r="166" spans="1:18" x14ac:dyDescent="0.2">
      <c r="A166" s="1214" t="str">
        <f>$B$105</f>
        <v>Materials &amp; Supplies</v>
      </c>
      <c r="B166" s="1110" t="s">
        <v>1404</v>
      </c>
      <c r="C166" s="1571">
        <v>6702.62</v>
      </c>
      <c r="D166" s="1216">
        <f t="shared" ref="D166:D184" si="74">ROUND(C166/$C$185,6)</f>
        <v>3.8839999999999999E-3</v>
      </c>
      <c r="E166" s="1582">
        <f>SUM(F166:Q166)</f>
        <v>7497</v>
      </c>
      <c r="F166" s="1194">
        <f>ROUND($D166*F$185,0)</f>
        <v>718</v>
      </c>
      <c r="G166" s="1194">
        <f t="shared" ref="G166:Q166" si="75">ROUND($D166*G$185,0)</f>
        <v>655</v>
      </c>
      <c r="H166" s="1194">
        <f t="shared" si="75"/>
        <v>594</v>
      </c>
      <c r="I166" s="1194">
        <f t="shared" si="75"/>
        <v>653</v>
      </c>
      <c r="J166" s="1194">
        <f t="shared" si="75"/>
        <v>633</v>
      </c>
      <c r="K166" s="1194">
        <f t="shared" si="75"/>
        <v>691</v>
      </c>
      <c r="L166" s="1194">
        <f t="shared" si="75"/>
        <v>681</v>
      </c>
      <c r="M166" s="1194">
        <f t="shared" si="75"/>
        <v>612</v>
      </c>
      <c r="N166" s="1194">
        <f t="shared" si="75"/>
        <v>592</v>
      </c>
      <c r="O166" s="1194">
        <f t="shared" si="75"/>
        <v>623</v>
      </c>
      <c r="P166" s="1194">
        <f t="shared" si="75"/>
        <v>523</v>
      </c>
      <c r="Q166" s="1194">
        <f t="shared" si="75"/>
        <v>522</v>
      </c>
      <c r="R166" s="1194">
        <f>ROUND(D166*$R$185,0)</f>
        <v>-1</v>
      </c>
    </row>
    <row r="167" spans="1:18" x14ac:dyDescent="0.2">
      <c r="A167" s="1214" t="str">
        <f t="shared" ref="A167:A184" si="76">$B$105</f>
        <v>Materials &amp; Supplies</v>
      </c>
      <c r="B167" s="1110" t="s">
        <v>1408</v>
      </c>
      <c r="C167" s="1571">
        <v>243079.33</v>
      </c>
      <c r="D167" s="1216">
        <f t="shared" si="74"/>
        <v>0.14086599999999999</v>
      </c>
      <c r="E167" s="1582">
        <f t="shared" ref="E167:E184" si="77">SUM(F167:Q167)</f>
        <v>271871</v>
      </c>
      <c r="F167" s="1194">
        <f t="shared" ref="F167:Q183" si="78">ROUND($D167*F$185,0)</f>
        <v>26030</v>
      </c>
      <c r="G167" s="1194">
        <f t="shared" si="78"/>
        <v>23769</v>
      </c>
      <c r="H167" s="1194">
        <f t="shared" si="78"/>
        <v>21536</v>
      </c>
      <c r="I167" s="1194">
        <f t="shared" si="78"/>
        <v>23676</v>
      </c>
      <c r="J167" s="1194">
        <f t="shared" si="78"/>
        <v>22950</v>
      </c>
      <c r="K167" s="1194">
        <f t="shared" si="78"/>
        <v>25067</v>
      </c>
      <c r="L167" s="1194">
        <f t="shared" si="78"/>
        <v>24688</v>
      </c>
      <c r="M167" s="1194">
        <f t="shared" si="78"/>
        <v>22201</v>
      </c>
      <c r="N167" s="1194">
        <f t="shared" si="78"/>
        <v>21471</v>
      </c>
      <c r="O167" s="1194">
        <f t="shared" si="78"/>
        <v>22581</v>
      </c>
      <c r="P167" s="1194">
        <f t="shared" si="78"/>
        <v>18960</v>
      </c>
      <c r="Q167" s="1194">
        <f t="shared" si="78"/>
        <v>18942</v>
      </c>
      <c r="R167" s="1194">
        <f t="shared" ref="R167:R183" si="79">ROUND(D167*$R$185,0)</f>
        <v>-26</v>
      </c>
    </row>
    <row r="168" spans="1:18" x14ac:dyDescent="0.2">
      <c r="A168" s="1214" t="str">
        <f t="shared" si="76"/>
        <v>Materials &amp; Supplies</v>
      </c>
      <c r="B168" s="1110" t="s">
        <v>1410</v>
      </c>
      <c r="C168" s="1571">
        <v>3308.36</v>
      </c>
      <c r="D168" s="1216">
        <f t="shared" si="74"/>
        <v>1.9170000000000001E-3</v>
      </c>
      <c r="E168" s="1582">
        <f t="shared" si="77"/>
        <v>3698</v>
      </c>
      <c r="F168" s="1194">
        <f t="shared" si="78"/>
        <v>354</v>
      </c>
      <c r="G168" s="1194">
        <f t="shared" si="78"/>
        <v>323</v>
      </c>
      <c r="H168" s="1194">
        <f t="shared" si="78"/>
        <v>293</v>
      </c>
      <c r="I168" s="1194">
        <f t="shared" si="78"/>
        <v>322</v>
      </c>
      <c r="J168" s="1194">
        <f t="shared" si="78"/>
        <v>312</v>
      </c>
      <c r="K168" s="1194">
        <f t="shared" si="78"/>
        <v>341</v>
      </c>
      <c r="L168" s="1194">
        <f t="shared" si="78"/>
        <v>336</v>
      </c>
      <c r="M168" s="1194">
        <f t="shared" si="78"/>
        <v>302</v>
      </c>
      <c r="N168" s="1194">
        <f t="shared" si="78"/>
        <v>292</v>
      </c>
      <c r="O168" s="1194">
        <f t="shared" si="78"/>
        <v>307</v>
      </c>
      <c r="P168" s="1194">
        <f t="shared" si="78"/>
        <v>258</v>
      </c>
      <c r="Q168" s="1194">
        <f t="shared" si="78"/>
        <v>258</v>
      </c>
      <c r="R168" s="1194">
        <f t="shared" si="79"/>
        <v>0</v>
      </c>
    </row>
    <row r="169" spans="1:18" x14ac:dyDescent="0.2">
      <c r="A169" s="1214" t="str">
        <f t="shared" si="76"/>
        <v>Materials &amp; Supplies</v>
      </c>
      <c r="B169" s="1110" t="s">
        <v>1412</v>
      </c>
      <c r="C169" s="1571">
        <v>455.91</v>
      </c>
      <c r="D169" s="1216">
        <f t="shared" si="74"/>
        <v>2.6400000000000002E-4</v>
      </c>
      <c r="E169" s="1582">
        <f t="shared" si="77"/>
        <v>509</v>
      </c>
      <c r="F169" s="1194">
        <f t="shared" si="78"/>
        <v>49</v>
      </c>
      <c r="G169" s="1194">
        <f t="shared" si="78"/>
        <v>45</v>
      </c>
      <c r="H169" s="1194">
        <f t="shared" si="78"/>
        <v>40</v>
      </c>
      <c r="I169" s="1194">
        <f t="shared" si="78"/>
        <v>44</v>
      </c>
      <c r="J169" s="1194">
        <f t="shared" si="78"/>
        <v>43</v>
      </c>
      <c r="K169" s="1194">
        <f t="shared" si="78"/>
        <v>47</v>
      </c>
      <c r="L169" s="1194">
        <f t="shared" si="78"/>
        <v>46</v>
      </c>
      <c r="M169" s="1194">
        <f t="shared" si="78"/>
        <v>42</v>
      </c>
      <c r="N169" s="1194">
        <f t="shared" si="78"/>
        <v>40</v>
      </c>
      <c r="O169" s="1194">
        <f t="shared" si="78"/>
        <v>42</v>
      </c>
      <c r="P169" s="1194">
        <f t="shared" si="78"/>
        <v>36</v>
      </c>
      <c r="Q169" s="1194">
        <f t="shared" si="78"/>
        <v>35</v>
      </c>
      <c r="R169" s="1194">
        <f t="shared" si="79"/>
        <v>0</v>
      </c>
    </row>
    <row r="170" spans="1:18" x14ac:dyDescent="0.2">
      <c r="A170" s="1214" t="str">
        <f t="shared" si="76"/>
        <v>Materials &amp; Supplies</v>
      </c>
      <c r="B170" s="1110" t="s">
        <v>1414</v>
      </c>
      <c r="C170" s="1571">
        <v>57666.74</v>
      </c>
      <c r="D170" s="1216">
        <f t="shared" si="74"/>
        <v>3.3418000000000003E-2</v>
      </c>
      <c r="E170" s="1582">
        <f t="shared" si="77"/>
        <v>64499</v>
      </c>
      <c r="F170" s="1194">
        <f t="shared" si="78"/>
        <v>6175</v>
      </c>
      <c r="G170" s="1194">
        <f t="shared" si="78"/>
        <v>5639</v>
      </c>
      <c r="H170" s="1194">
        <f t="shared" si="78"/>
        <v>5109</v>
      </c>
      <c r="I170" s="1194">
        <f t="shared" si="78"/>
        <v>5617</v>
      </c>
      <c r="J170" s="1194">
        <f t="shared" si="78"/>
        <v>5445</v>
      </c>
      <c r="K170" s="1194">
        <f t="shared" si="78"/>
        <v>5947</v>
      </c>
      <c r="L170" s="1194">
        <f t="shared" si="78"/>
        <v>5857</v>
      </c>
      <c r="M170" s="1194">
        <f t="shared" si="78"/>
        <v>5267</v>
      </c>
      <c r="N170" s="1194">
        <f t="shared" si="78"/>
        <v>5094</v>
      </c>
      <c r="O170" s="1194">
        <f t="shared" si="78"/>
        <v>5357</v>
      </c>
      <c r="P170" s="1194">
        <f t="shared" si="78"/>
        <v>4498</v>
      </c>
      <c r="Q170" s="1194">
        <f t="shared" si="78"/>
        <v>4494</v>
      </c>
      <c r="R170" s="1194">
        <f t="shared" si="79"/>
        <v>-6</v>
      </c>
    </row>
    <row r="171" spans="1:18" x14ac:dyDescent="0.2">
      <c r="A171" s="1214" t="str">
        <f t="shared" si="76"/>
        <v>Materials &amp; Supplies</v>
      </c>
      <c r="B171" s="1110" t="s">
        <v>1416</v>
      </c>
      <c r="C171" s="1571">
        <v>28755.100000000002</v>
      </c>
      <c r="D171" s="1216">
        <f t="shared" si="74"/>
        <v>1.6664000000000002E-2</v>
      </c>
      <c r="E171" s="1582">
        <f t="shared" si="77"/>
        <v>32161</v>
      </c>
      <c r="F171" s="1194">
        <f t="shared" si="78"/>
        <v>3079</v>
      </c>
      <c r="G171" s="1194">
        <f t="shared" si="78"/>
        <v>2812</v>
      </c>
      <c r="H171" s="1194">
        <f t="shared" si="78"/>
        <v>2548</v>
      </c>
      <c r="I171" s="1194">
        <f t="shared" si="78"/>
        <v>2801</v>
      </c>
      <c r="J171" s="1194">
        <f t="shared" si="78"/>
        <v>2715</v>
      </c>
      <c r="K171" s="1194">
        <f t="shared" si="78"/>
        <v>2965</v>
      </c>
      <c r="L171" s="1194">
        <f t="shared" si="78"/>
        <v>2920</v>
      </c>
      <c r="M171" s="1194">
        <f t="shared" si="78"/>
        <v>2626</v>
      </c>
      <c r="N171" s="1194">
        <f t="shared" si="78"/>
        <v>2540</v>
      </c>
      <c r="O171" s="1194">
        <f t="shared" si="78"/>
        <v>2671</v>
      </c>
      <c r="P171" s="1194">
        <f t="shared" si="78"/>
        <v>2243</v>
      </c>
      <c r="Q171" s="1194">
        <f t="shared" si="78"/>
        <v>2241</v>
      </c>
      <c r="R171" s="1194">
        <f t="shared" si="79"/>
        <v>-3</v>
      </c>
    </row>
    <row r="172" spans="1:18" x14ac:dyDescent="0.2">
      <c r="A172" s="1214" t="str">
        <f t="shared" si="76"/>
        <v>Materials &amp; Supplies</v>
      </c>
      <c r="B172" s="1110" t="s">
        <v>1418</v>
      </c>
      <c r="C172" s="1571">
        <v>187775.75</v>
      </c>
      <c r="D172" s="1216">
        <f t="shared" si="74"/>
        <v>0.108817</v>
      </c>
      <c r="E172" s="1582">
        <f t="shared" si="77"/>
        <v>210016</v>
      </c>
      <c r="F172" s="1194">
        <f t="shared" si="78"/>
        <v>20108</v>
      </c>
      <c r="G172" s="1194">
        <f t="shared" si="78"/>
        <v>18361</v>
      </c>
      <c r="H172" s="1194">
        <f t="shared" si="78"/>
        <v>16636</v>
      </c>
      <c r="I172" s="1194">
        <f t="shared" si="78"/>
        <v>18289</v>
      </c>
      <c r="J172" s="1194">
        <f t="shared" si="78"/>
        <v>17729</v>
      </c>
      <c r="K172" s="1194">
        <f t="shared" si="78"/>
        <v>19364</v>
      </c>
      <c r="L172" s="1194">
        <f t="shared" si="78"/>
        <v>19071</v>
      </c>
      <c r="M172" s="1194">
        <f t="shared" si="78"/>
        <v>17150</v>
      </c>
      <c r="N172" s="1194">
        <f t="shared" si="78"/>
        <v>16586</v>
      </c>
      <c r="O172" s="1194">
        <f t="shared" si="78"/>
        <v>17444</v>
      </c>
      <c r="P172" s="1194">
        <f t="shared" si="78"/>
        <v>14646</v>
      </c>
      <c r="Q172" s="1194">
        <f t="shared" si="78"/>
        <v>14632</v>
      </c>
      <c r="R172" s="1194">
        <f t="shared" si="79"/>
        <v>-20</v>
      </c>
    </row>
    <row r="173" spans="1:18" x14ac:dyDescent="0.2">
      <c r="A173" s="1214" t="str">
        <f t="shared" si="76"/>
        <v>Materials &amp; Supplies</v>
      </c>
      <c r="B173" s="1110" t="s">
        <v>1424</v>
      </c>
      <c r="C173" s="1571">
        <v>238.30999999999997</v>
      </c>
      <c r="D173" s="1216">
        <f t="shared" si="74"/>
        <v>1.3799999999999999E-4</v>
      </c>
      <c r="E173" s="1582">
        <f t="shared" si="77"/>
        <v>267</v>
      </c>
      <c r="F173" s="1194">
        <f t="shared" si="78"/>
        <v>26</v>
      </c>
      <c r="G173" s="1194">
        <f t="shared" si="78"/>
        <v>23</v>
      </c>
      <c r="H173" s="1194">
        <f t="shared" si="78"/>
        <v>21</v>
      </c>
      <c r="I173" s="1194">
        <f t="shared" si="78"/>
        <v>23</v>
      </c>
      <c r="J173" s="1194">
        <f t="shared" si="78"/>
        <v>22</v>
      </c>
      <c r="K173" s="1194">
        <f t="shared" si="78"/>
        <v>25</v>
      </c>
      <c r="L173" s="1194">
        <f t="shared" si="78"/>
        <v>24</v>
      </c>
      <c r="M173" s="1194">
        <f t="shared" si="78"/>
        <v>22</v>
      </c>
      <c r="N173" s="1194">
        <f t="shared" si="78"/>
        <v>21</v>
      </c>
      <c r="O173" s="1194">
        <f t="shared" si="78"/>
        <v>22</v>
      </c>
      <c r="P173" s="1194">
        <f t="shared" si="78"/>
        <v>19</v>
      </c>
      <c r="Q173" s="1194">
        <f t="shared" si="78"/>
        <v>19</v>
      </c>
      <c r="R173" s="1194">
        <f t="shared" si="79"/>
        <v>0</v>
      </c>
    </row>
    <row r="174" spans="1:18" x14ac:dyDescent="0.2">
      <c r="A174" s="1214" t="str">
        <f t="shared" si="76"/>
        <v>Materials &amp; Supplies</v>
      </c>
      <c r="B174" s="1110" t="s">
        <v>1425</v>
      </c>
      <c r="C174" s="1571">
        <v>22522.69</v>
      </c>
      <c r="D174" s="1216">
        <f t="shared" si="74"/>
        <v>1.3051999999999999E-2</v>
      </c>
      <c r="E174" s="1582">
        <f t="shared" si="77"/>
        <v>25189</v>
      </c>
      <c r="F174" s="1194">
        <f t="shared" si="78"/>
        <v>2412</v>
      </c>
      <c r="G174" s="1194">
        <f t="shared" si="78"/>
        <v>2202</v>
      </c>
      <c r="H174" s="1194">
        <f t="shared" si="78"/>
        <v>1995</v>
      </c>
      <c r="I174" s="1194">
        <f t="shared" si="78"/>
        <v>2194</v>
      </c>
      <c r="J174" s="1194">
        <f t="shared" si="78"/>
        <v>2126</v>
      </c>
      <c r="K174" s="1194">
        <f t="shared" si="78"/>
        <v>2323</v>
      </c>
      <c r="L174" s="1194">
        <f t="shared" si="78"/>
        <v>2287</v>
      </c>
      <c r="M174" s="1194">
        <f t="shared" si="78"/>
        <v>2057</v>
      </c>
      <c r="N174" s="1194">
        <f t="shared" si="78"/>
        <v>1989</v>
      </c>
      <c r="O174" s="1194">
        <f t="shared" si="78"/>
        <v>2092</v>
      </c>
      <c r="P174" s="1194">
        <f t="shared" si="78"/>
        <v>1757</v>
      </c>
      <c r="Q174" s="1194">
        <f t="shared" si="78"/>
        <v>1755</v>
      </c>
      <c r="R174" s="1194">
        <f t="shared" si="79"/>
        <v>-2</v>
      </c>
    </row>
    <row r="175" spans="1:18" x14ac:dyDescent="0.2">
      <c r="A175" s="1214" t="str">
        <f t="shared" si="76"/>
        <v>Materials &amp; Supplies</v>
      </c>
      <c r="B175" s="1110" t="s">
        <v>1427</v>
      </c>
      <c r="C175" s="1571">
        <v>290883.15000000002</v>
      </c>
      <c r="D175" s="1216">
        <f t="shared" si="74"/>
        <v>0.168569</v>
      </c>
      <c r="E175" s="1582">
        <f t="shared" si="77"/>
        <v>325335</v>
      </c>
      <c r="F175" s="1194">
        <f t="shared" si="78"/>
        <v>31149</v>
      </c>
      <c r="G175" s="1194">
        <f t="shared" si="78"/>
        <v>28443</v>
      </c>
      <c r="H175" s="1194">
        <f t="shared" si="78"/>
        <v>25771</v>
      </c>
      <c r="I175" s="1194">
        <f t="shared" si="78"/>
        <v>28332</v>
      </c>
      <c r="J175" s="1194">
        <f t="shared" si="78"/>
        <v>27464</v>
      </c>
      <c r="K175" s="1194">
        <f t="shared" si="78"/>
        <v>29996</v>
      </c>
      <c r="L175" s="1194">
        <f t="shared" si="78"/>
        <v>29543</v>
      </c>
      <c r="M175" s="1194">
        <f t="shared" si="78"/>
        <v>26567</v>
      </c>
      <c r="N175" s="1194">
        <f t="shared" si="78"/>
        <v>25693</v>
      </c>
      <c r="O175" s="1194">
        <f t="shared" si="78"/>
        <v>27022</v>
      </c>
      <c r="P175" s="1194">
        <f t="shared" si="78"/>
        <v>22688</v>
      </c>
      <c r="Q175" s="1194">
        <f t="shared" si="78"/>
        <v>22667</v>
      </c>
      <c r="R175" s="1194">
        <f t="shared" si="79"/>
        <v>-32</v>
      </c>
    </row>
    <row r="176" spans="1:18" x14ac:dyDescent="0.2">
      <c r="A176" s="1214" t="str">
        <f t="shared" si="76"/>
        <v>Materials &amp; Supplies</v>
      </c>
      <c r="B176" s="1110" t="s">
        <v>1429</v>
      </c>
      <c r="C176" s="1571">
        <v>73436.460000000006</v>
      </c>
      <c r="D176" s="1216">
        <f t="shared" si="74"/>
        <v>4.2556999999999998E-2</v>
      </c>
      <c r="E176" s="1582">
        <f t="shared" si="77"/>
        <v>82135</v>
      </c>
      <c r="F176" s="1194">
        <f t="shared" si="78"/>
        <v>7864</v>
      </c>
      <c r="G176" s="1194">
        <f t="shared" si="78"/>
        <v>7181</v>
      </c>
      <c r="H176" s="1194">
        <f t="shared" si="78"/>
        <v>6506</v>
      </c>
      <c r="I176" s="1194">
        <f t="shared" si="78"/>
        <v>7153</v>
      </c>
      <c r="J176" s="1194">
        <f t="shared" si="78"/>
        <v>6934</v>
      </c>
      <c r="K176" s="1194">
        <f t="shared" si="78"/>
        <v>7573</v>
      </c>
      <c r="L176" s="1194">
        <f t="shared" si="78"/>
        <v>7458</v>
      </c>
      <c r="M176" s="1194">
        <f t="shared" si="78"/>
        <v>6707</v>
      </c>
      <c r="N176" s="1194">
        <f t="shared" si="78"/>
        <v>6486</v>
      </c>
      <c r="O176" s="1194">
        <f t="shared" si="78"/>
        <v>6822</v>
      </c>
      <c r="P176" s="1194">
        <f t="shared" si="78"/>
        <v>5728</v>
      </c>
      <c r="Q176" s="1194">
        <f t="shared" si="78"/>
        <v>5723</v>
      </c>
      <c r="R176" s="1194">
        <f t="shared" si="79"/>
        <v>-8</v>
      </c>
    </row>
    <row r="177" spans="1:18" x14ac:dyDescent="0.2">
      <c r="A177" s="1214" t="str">
        <f t="shared" si="76"/>
        <v>Materials &amp; Supplies</v>
      </c>
      <c r="B177" s="1110" t="s">
        <v>1430</v>
      </c>
      <c r="C177" s="1571">
        <v>3.89</v>
      </c>
      <c r="D177" s="1216">
        <f t="shared" si="74"/>
        <v>1.9999999999999999E-6</v>
      </c>
      <c r="E177" s="1582">
        <f t="shared" si="77"/>
        <v>0</v>
      </c>
      <c r="F177" s="1194">
        <f t="shared" si="78"/>
        <v>0</v>
      </c>
      <c r="G177" s="1194">
        <f t="shared" si="78"/>
        <v>0</v>
      </c>
      <c r="H177" s="1194">
        <f t="shared" si="78"/>
        <v>0</v>
      </c>
      <c r="I177" s="1194">
        <f t="shared" si="78"/>
        <v>0</v>
      </c>
      <c r="J177" s="1194">
        <f t="shared" si="78"/>
        <v>0</v>
      </c>
      <c r="K177" s="1194">
        <f t="shared" si="78"/>
        <v>0</v>
      </c>
      <c r="L177" s="1194">
        <f t="shared" si="78"/>
        <v>0</v>
      </c>
      <c r="M177" s="1194">
        <f t="shared" si="78"/>
        <v>0</v>
      </c>
      <c r="N177" s="1194">
        <f t="shared" si="78"/>
        <v>0</v>
      </c>
      <c r="O177" s="1194">
        <f t="shared" si="78"/>
        <v>0</v>
      </c>
      <c r="P177" s="1194">
        <f t="shared" si="78"/>
        <v>0</v>
      </c>
      <c r="Q177" s="1194">
        <f t="shared" si="78"/>
        <v>0</v>
      </c>
      <c r="R177" s="1194">
        <f t="shared" si="79"/>
        <v>0</v>
      </c>
    </row>
    <row r="178" spans="1:18" x14ac:dyDescent="0.2">
      <c r="A178" s="1214" t="str">
        <f t="shared" si="76"/>
        <v>Materials &amp; Supplies</v>
      </c>
      <c r="B178" s="1110" t="s">
        <v>1431</v>
      </c>
      <c r="C178" s="1571">
        <v>39501.919999999998</v>
      </c>
      <c r="D178" s="1216">
        <f t="shared" si="74"/>
        <v>2.2891999999999999E-2</v>
      </c>
      <c r="E178" s="1582">
        <f t="shared" si="77"/>
        <v>44183</v>
      </c>
      <c r="F178" s="1194">
        <f t="shared" si="78"/>
        <v>4230</v>
      </c>
      <c r="G178" s="1194">
        <f t="shared" si="78"/>
        <v>3863</v>
      </c>
      <c r="H178" s="1194">
        <f t="shared" si="78"/>
        <v>3500</v>
      </c>
      <c r="I178" s="1194">
        <f t="shared" si="78"/>
        <v>3848</v>
      </c>
      <c r="J178" s="1194">
        <f t="shared" si="78"/>
        <v>3730</v>
      </c>
      <c r="K178" s="1194">
        <f t="shared" si="78"/>
        <v>4074</v>
      </c>
      <c r="L178" s="1194">
        <f t="shared" si="78"/>
        <v>4012</v>
      </c>
      <c r="M178" s="1194">
        <f t="shared" si="78"/>
        <v>3608</v>
      </c>
      <c r="N178" s="1194">
        <f t="shared" si="78"/>
        <v>3489</v>
      </c>
      <c r="O178" s="1194">
        <f t="shared" si="78"/>
        <v>3670</v>
      </c>
      <c r="P178" s="1194">
        <f t="shared" si="78"/>
        <v>3081</v>
      </c>
      <c r="Q178" s="1194">
        <f t="shared" si="78"/>
        <v>3078</v>
      </c>
      <c r="R178" s="1194">
        <f t="shared" si="79"/>
        <v>-4</v>
      </c>
    </row>
    <row r="179" spans="1:18" x14ac:dyDescent="0.2">
      <c r="A179" s="1214" t="str">
        <f t="shared" si="76"/>
        <v>Materials &amp; Supplies</v>
      </c>
      <c r="B179" s="1110" t="s">
        <v>1433</v>
      </c>
      <c r="C179" s="1571">
        <v>60362.71</v>
      </c>
      <c r="D179" s="1216">
        <f t="shared" si="74"/>
        <v>3.4980999999999998E-2</v>
      </c>
      <c r="E179" s="1582">
        <f t="shared" si="77"/>
        <v>67513</v>
      </c>
      <c r="F179" s="1194">
        <f t="shared" si="78"/>
        <v>6464</v>
      </c>
      <c r="G179" s="1194">
        <f t="shared" si="78"/>
        <v>5902</v>
      </c>
      <c r="H179" s="1194">
        <f t="shared" si="78"/>
        <v>5348</v>
      </c>
      <c r="I179" s="1194">
        <f t="shared" si="78"/>
        <v>5879</v>
      </c>
      <c r="J179" s="1194">
        <f t="shared" si="78"/>
        <v>5699</v>
      </c>
      <c r="K179" s="1194">
        <f t="shared" si="78"/>
        <v>6225</v>
      </c>
      <c r="L179" s="1194">
        <f t="shared" si="78"/>
        <v>6131</v>
      </c>
      <c r="M179" s="1194">
        <f t="shared" si="78"/>
        <v>5513</v>
      </c>
      <c r="N179" s="1194">
        <f t="shared" si="78"/>
        <v>5332</v>
      </c>
      <c r="O179" s="1194">
        <f t="shared" si="78"/>
        <v>5608</v>
      </c>
      <c r="P179" s="1194">
        <f t="shared" si="78"/>
        <v>4708</v>
      </c>
      <c r="Q179" s="1194">
        <f t="shared" si="78"/>
        <v>4704</v>
      </c>
      <c r="R179" s="1194">
        <f t="shared" si="79"/>
        <v>-7</v>
      </c>
    </row>
    <row r="180" spans="1:18" x14ac:dyDescent="0.2">
      <c r="A180" s="1214" t="str">
        <f t="shared" si="76"/>
        <v>Materials &amp; Supplies</v>
      </c>
      <c r="B180" s="1110" t="s">
        <v>1435</v>
      </c>
      <c r="C180" s="1571">
        <v>51130.400000000001</v>
      </c>
      <c r="D180" s="1216">
        <f t="shared" si="74"/>
        <v>2.963E-2</v>
      </c>
      <c r="E180" s="1582">
        <f t="shared" si="77"/>
        <v>57186</v>
      </c>
      <c r="F180" s="1194">
        <f t="shared" si="78"/>
        <v>5475</v>
      </c>
      <c r="G180" s="1194">
        <f t="shared" si="78"/>
        <v>5000</v>
      </c>
      <c r="H180" s="1194">
        <f t="shared" si="78"/>
        <v>4530</v>
      </c>
      <c r="I180" s="1194">
        <f t="shared" si="78"/>
        <v>4980</v>
      </c>
      <c r="J180" s="1194">
        <f t="shared" si="78"/>
        <v>4827</v>
      </c>
      <c r="K180" s="1194">
        <f t="shared" si="78"/>
        <v>5273</v>
      </c>
      <c r="L180" s="1194">
        <f t="shared" si="78"/>
        <v>5193</v>
      </c>
      <c r="M180" s="1194">
        <f t="shared" si="78"/>
        <v>4670</v>
      </c>
      <c r="N180" s="1194">
        <f t="shared" si="78"/>
        <v>4516</v>
      </c>
      <c r="O180" s="1194">
        <f t="shared" si="78"/>
        <v>4750</v>
      </c>
      <c r="P180" s="1194">
        <f t="shared" si="78"/>
        <v>3988</v>
      </c>
      <c r="Q180" s="1194">
        <f t="shared" si="78"/>
        <v>3984</v>
      </c>
      <c r="R180" s="1194">
        <f t="shared" si="79"/>
        <v>-6</v>
      </c>
    </row>
    <row r="181" spans="1:18" x14ac:dyDescent="0.2">
      <c r="A181" s="1214" t="str">
        <f t="shared" si="76"/>
        <v>Materials &amp; Supplies</v>
      </c>
      <c r="B181" s="1110" t="s">
        <v>1444</v>
      </c>
      <c r="C181" s="1571">
        <v>639507.92000000004</v>
      </c>
      <c r="D181" s="1216">
        <f t="shared" si="74"/>
        <v>0.37059999999999998</v>
      </c>
      <c r="E181" s="1582">
        <f t="shared" si="77"/>
        <v>715250</v>
      </c>
      <c r="F181" s="1194">
        <f t="shared" si="78"/>
        <v>68481</v>
      </c>
      <c r="G181" s="1194">
        <f t="shared" si="78"/>
        <v>62532</v>
      </c>
      <c r="H181" s="1194">
        <f t="shared" si="78"/>
        <v>56658</v>
      </c>
      <c r="I181" s="1194">
        <f t="shared" si="78"/>
        <v>62287</v>
      </c>
      <c r="J181" s="1194">
        <f t="shared" si="78"/>
        <v>60379</v>
      </c>
      <c r="K181" s="1194">
        <f t="shared" si="78"/>
        <v>65947</v>
      </c>
      <c r="L181" s="1194">
        <f t="shared" si="78"/>
        <v>64950</v>
      </c>
      <c r="M181" s="1194">
        <f t="shared" si="78"/>
        <v>58407</v>
      </c>
      <c r="N181" s="1194">
        <f t="shared" si="78"/>
        <v>56486</v>
      </c>
      <c r="O181" s="1194">
        <f t="shared" si="78"/>
        <v>59408</v>
      </c>
      <c r="P181" s="1194">
        <f t="shared" si="78"/>
        <v>49881</v>
      </c>
      <c r="Q181" s="1194">
        <f t="shared" si="78"/>
        <v>49834</v>
      </c>
      <c r="R181" s="1194">
        <f t="shared" si="79"/>
        <v>-69</v>
      </c>
    </row>
    <row r="182" spans="1:18" x14ac:dyDescent="0.2">
      <c r="A182" s="1214" t="str">
        <f t="shared" si="76"/>
        <v>Materials &amp; Supplies</v>
      </c>
      <c r="B182" s="1110" t="s">
        <v>1474</v>
      </c>
      <c r="C182" s="1571">
        <v>16598.18</v>
      </c>
      <c r="D182" s="1216">
        <f t="shared" si="74"/>
        <v>9.6190000000000008E-3</v>
      </c>
      <c r="E182" s="1582">
        <f t="shared" si="77"/>
        <v>18565</v>
      </c>
      <c r="F182" s="1194">
        <f t="shared" si="78"/>
        <v>1777</v>
      </c>
      <c r="G182" s="1194">
        <f t="shared" si="78"/>
        <v>1623</v>
      </c>
      <c r="H182" s="1194">
        <f t="shared" si="78"/>
        <v>1471</v>
      </c>
      <c r="I182" s="1194">
        <f t="shared" si="78"/>
        <v>1617</v>
      </c>
      <c r="J182" s="1194">
        <f t="shared" si="78"/>
        <v>1567</v>
      </c>
      <c r="K182" s="1194">
        <f t="shared" si="78"/>
        <v>1712</v>
      </c>
      <c r="L182" s="1194">
        <f t="shared" si="78"/>
        <v>1686</v>
      </c>
      <c r="M182" s="1194">
        <f t="shared" si="78"/>
        <v>1516</v>
      </c>
      <c r="N182" s="1194">
        <f t="shared" si="78"/>
        <v>1466</v>
      </c>
      <c r="O182" s="1194">
        <f t="shared" si="78"/>
        <v>1542</v>
      </c>
      <c r="P182" s="1194">
        <f t="shared" si="78"/>
        <v>1295</v>
      </c>
      <c r="Q182" s="1194">
        <f t="shared" si="78"/>
        <v>1293</v>
      </c>
      <c r="R182" s="1194">
        <f t="shared" si="79"/>
        <v>-2</v>
      </c>
    </row>
    <row r="183" spans="1:18" x14ac:dyDescent="0.2">
      <c r="A183" s="1214" t="str">
        <f t="shared" si="76"/>
        <v>Materials &amp; Supplies</v>
      </c>
      <c r="B183" s="1110" t="s">
        <v>1475</v>
      </c>
      <c r="C183" s="1571">
        <v>37.95999999999993</v>
      </c>
      <c r="D183" s="1216">
        <f t="shared" si="74"/>
        <v>2.1999999999999999E-5</v>
      </c>
      <c r="E183" s="1582">
        <f t="shared" si="77"/>
        <v>43</v>
      </c>
      <c r="F183" s="1194">
        <f t="shared" si="78"/>
        <v>4</v>
      </c>
      <c r="G183" s="1194">
        <f t="shared" si="78"/>
        <v>4</v>
      </c>
      <c r="H183" s="1194">
        <f t="shared" si="78"/>
        <v>3</v>
      </c>
      <c r="I183" s="1194">
        <f t="shared" si="78"/>
        <v>4</v>
      </c>
      <c r="J183" s="1194">
        <f t="shared" si="78"/>
        <v>4</v>
      </c>
      <c r="K183" s="1194">
        <f t="shared" si="78"/>
        <v>4</v>
      </c>
      <c r="L183" s="1194">
        <f t="shared" si="78"/>
        <v>4</v>
      </c>
      <c r="M183" s="1194">
        <f t="shared" si="78"/>
        <v>3</v>
      </c>
      <c r="N183" s="1194">
        <f t="shared" si="78"/>
        <v>3</v>
      </c>
      <c r="O183" s="1194">
        <f t="shared" si="78"/>
        <v>4</v>
      </c>
      <c r="P183" s="1194">
        <f t="shared" si="78"/>
        <v>3</v>
      </c>
      <c r="Q183" s="1194">
        <f t="shared" si="78"/>
        <v>3</v>
      </c>
      <c r="R183" s="1194">
        <f t="shared" si="79"/>
        <v>0</v>
      </c>
    </row>
    <row r="184" spans="1:18" ht="13.5" x14ac:dyDescent="0.35">
      <c r="A184" s="1214" t="str">
        <f t="shared" si="76"/>
        <v>Materials &amp; Supplies</v>
      </c>
      <c r="B184" s="1110" t="s">
        <v>1489</v>
      </c>
      <c r="C184" s="1624">
        <v>3635.92</v>
      </c>
      <c r="D184" s="1217">
        <f t="shared" si="74"/>
        <v>2.1069999999999999E-3</v>
      </c>
      <c r="E184" s="1587">
        <f t="shared" si="77"/>
        <v>4061</v>
      </c>
      <c r="F184" s="1221">
        <f>F185-SUM(F166:F183)</f>
        <v>388</v>
      </c>
      <c r="G184" s="1221">
        <f t="shared" ref="G184:Q184" si="80">G185-SUM(G166:G183)</f>
        <v>356</v>
      </c>
      <c r="H184" s="1221">
        <f t="shared" si="80"/>
        <v>322</v>
      </c>
      <c r="I184" s="1221">
        <f t="shared" si="80"/>
        <v>353</v>
      </c>
      <c r="J184" s="1221">
        <f t="shared" si="80"/>
        <v>344</v>
      </c>
      <c r="K184" s="1221">
        <f t="shared" si="80"/>
        <v>372</v>
      </c>
      <c r="L184" s="1221">
        <f t="shared" si="80"/>
        <v>369</v>
      </c>
      <c r="M184" s="1221">
        <f t="shared" si="80"/>
        <v>332</v>
      </c>
      <c r="N184" s="1221">
        <f t="shared" si="80"/>
        <v>322</v>
      </c>
      <c r="O184" s="1221">
        <f t="shared" si="80"/>
        <v>337</v>
      </c>
      <c r="P184" s="1221">
        <f t="shared" si="80"/>
        <v>282</v>
      </c>
      <c r="Q184" s="1221">
        <f t="shared" si="80"/>
        <v>284</v>
      </c>
      <c r="R184" s="1218">
        <f>R185-SUM(R166:R183)</f>
        <v>-1</v>
      </c>
    </row>
    <row r="185" spans="1:18" x14ac:dyDescent="0.2">
      <c r="A185" s="1213"/>
      <c r="B185" s="1110"/>
      <c r="C185" s="1582">
        <f>SUM(C166:C184)</f>
        <v>1725603.3199999996</v>
      </c>
      <c r="D185" s="1216">
        <f>SUM(D166:D184)</f>
        <v>0.99999899999999997</v>
      </c>
      <c r="E185" s="1582">
        <f>SUM(E166:E184)</f>
        <v>1929978</v>
      </c>
      <c r="F185" s="1215">
        <f t="shared" ref="F185:R185" si="81">F105</f>
        <v>184783</v>
      </c>
      <c r="G185" s="1215">
        <f t="shared" si="81"/>
        <v>168733</v>
      </c>
      <c r="H185" s="1215">
        <f t="shared" si="81"/>
        <v>152881</v>
      </c>
      <c r="I185" s="1215">
        <f t="shared" si="81"/>
        <v>168072</v>
      </c>
      <c r="J185" s="1215">
        <f t="shared" si="81"/>
        <v>162923</v>
      </c>
      <c r="K185" s="1215">
        <f t="shared" si="81"/>
        <v>177946</v>
      </c>
      <c r="L185" s="1215">
        <f t="shared" si="81"/>
        <v>175256</v>
      </c>
      <c r="M185" s="1215">
        <f t="shared" si="81"/>
        <v>157602</v>
      </c>
      <c r="N185" s="1215">
        <f t="shared" si="81"/>
        <v>152418</v>
      </c>
      <c r="O185" s="1215">
        <f t="shared" si="81"/>
        <v>160302</v>
      </c>
      <c r="P185" s="1215">
        <f t="shared" si="81"/>
        <v>134594</v>
      </c>
      <c r="Q185" s="1215">
        <f t="shared" si="81"/>
        <v>134468</v>
      </c>
      <c r="R185" s="1194">
        <f t="shared" si="81"/>
        <v>-187</v>
      </c>
    </row>
    <row r="186" spans="1:18" x14ac:dyDescent="0.2">
      <c r="A186" s="1213"/>
      <c r="B186" s="1110"/>
      <c r="C186" s="1582"/>
      <c r="D186" s="1216"/>
      <c r="E186" s="1582"/>
      <c r="F186" s="1215"/>
      <c r="G186" s="1215"/>
      <c r="H186" s="1215"/>
      <c r="I186" s="1215"/>
      <c r="J186" s="1215"/>
      <c r="K186" s="1215"/>
      <c r="L186" s="1215"/>
      <c r="M186" s="1215"/>
      <c r="N186" s="1215"/>
      <c r="O186" s="1215"/>
      <c r="P186" s="1215"/>
      <c r="Q186" s="1215"/>
      <c r="R186" s="1194"/>
    </row>
    <row r="187" spans="1:18" x14ac:dyDescent="0.2">
      <c r="A187" s="1214" t="str">
        <f t="shared" ref="A187:A209" si="82">$B$110</f>
        <v>Other Outside Services</v>
      </c>
      <c r="B187" s="1111" t="s">
        <v>1404</v>
      </c>
      <c r="C187" s="1571">
        <v>5602.95</v>
      </c>
      <c r="D187" s="1216">
        <f t="shared" ref="D187:D209" si="83">ROUND(C187/$C$210,6)</f>
        <v>1.351E-3</v>
      </c>
      <c r="E187" s="1582">
        <f t="shared" ref="E187:E209" si="84">SUM(F187:Q187)</f>
        <v>8509</v>
      </c>
      <c r="F187" s="1194">
        <f t="shared" ref="F187:Q196" si="85">ROUND($D187*F$210,0)</f>
        <v>536</v>
      </c>
      <c r="G187" s="1194">
        <f t="shared" si="85"/>
        <v>525</v>
      </c>
      <c r="H187" s="1194">
        <f t="shared" si="85"/>
        <v>550</v>
      </c>
      <c r="I187" s="1194">
        <f t="shared" si="85"/>
        <v>655</v>
      </c>
      <c r="J187" s="1194">
        <f t="shared" si="85"/>
        <v>797</v>
      </c>
      <c r="K187" s="1194">
        <f t="shared" si="85"/>
        <v>783</v>
      </c>
      <c r="L187" s="1194">
        <f t="shared" si="85"/>
        <v>748</v>
      </c>
      <c r="M187" s="1194">
        <f t="shared" si="85"/>
        <v>933</v>
      </c>
      <c r="N187" s="1194">
        <f t="shared" si="85"/>
        <v>838</v>
      </c>
      <c r="O187" s="1194">
        <f t="shared" si="85"/>
        <v>749</v>
      </c>
      <c r="P187" s="1194">
        <f t="shared" si="85"/>
        <v>699</v>
      </c>
      <c r="Q187" s="1194">
        <f t="shared" si="85"/>
        <v>696</v>
      </c>
      <c r="R187" s="1194">
        <f t="shared" ref="R187:R208" si="86">ROUND(D187*$R$210,0)</f>
        <v>26</v>
      </c>
    </row>
    <row r="188" spans="1:18" x14ac:dyDescent="0.2">
      <c r="A188" s="1214" t="str">
        <f t="shared" si="82"/>
        <v>Other Outside Services</v>
      </c>
      <c r="B188" s="1111" t="s">
        <v>1408</v>
      </c>
      <c r="C188" s="1571">
        <v>1861126.5</v>
      </c>
      <c r="D188" s="1216">
        <f t="shared" si="83"/>
        <v>0.44892500000000002</v>
      </c>
      <c r="E188" s="1582">
        <f t="shared" si="84"/>
        <v>2827465</v>
      </c>
      <c r="F188" s="1194">
        <f t="shared" si="85"/>
        <v>178165</v>
      </c>
      <c r="G188" s="1194">
        <f t="shared" si="85"/>
        <v>174388</v>
      </c>
      <c r="H188" s="1194">
        <f t="shared" si="85"/>
        <v>182656</v>
      </c>
      <c r="I188" s="1194">
        <f t="shared" si="85"/>
        <v>217731</v>
      </c>
      <c r="J188" s="1194">
        <f t="shared" si="85"/>
        <v>264947</v>
      </c>
      <c r="K188" s="1194">
        <f t="shared" si="85"/>
        <v>260329</v>
      </c>
      <c r="L188" s="1194">
        <f t="shared" si="85"/>
        <v>248656</v>
      </c>
      <c r="M188" s="1194">
        <f t="shared" si="85"/>
        <v>309933</v>
      </c>
      <c r="N188" s="1194">
        <f t="shared" si="85"/>
        <v>278418</v>
      </c>
      <c r="O188" s="1194">
        <f t="shared" si="85"/>
        <v>248837</v>
      </c>
      <c r="P188" s="1194">
        <f t="shared" si="85"/>
        <v>232230</v>
      </c>
      <c r="Q188" s="1194">
        <f t="shared" si="85"/>
        <v>231175</v>
      </c>
      <c r="R188" s="1194">
        <f t="shared" si="86"/>
        <v>8620</v>
      </c>
    </row>
    <row r="189" spans="1:18" x14ac:dyDescent="0.2">
      <c r="A189" s="1214" t="str">
        <f t="shared" si="82"/>
        <v>Other Outside Services</v>
      </c>
      <c r="B189" s="1111" t="s">
        <v>1410</v>
      </c>
      <c r="C189" s="1571">
        <v>33419.4</v>
      </c>
      <c r="D189" s="1216">
        <f t="shared" si="83"/>
        <v>8.0610000000000005E-3</v>
      </c>
      <c r="E189" s="1582">
        <f t="shared" si="84"/>
        <v>50770</v>
      </c>
      <c r="F189" s="1194">
        <f t="shared" si="85"/>
        <v>3199</v>
      </c>
      <c r="G189" s="1194">
        <f t="shared" si="85"/>
        <v>3131</v>
      </c>
      <c r="H189" s="1194">
        <f t="shared" si="85"/>
        <v>3280</v>
      </c>
      <c r="I189" s="1194">
        <f t="shared" si="85"/>
        <v>3910</v>
      </c>
      <c r="J189" s="1194">
        <f t="shared" si="85"/>
        <v>4757</v>
      </c>
      <c r="K189" s="1194">
        <f t="shared" si="85"/>
        <v>4675</v>
      </c>
      <c r="L189" s="1194">
        <f t="shared" si="85"/>
        <v>4465</v>
      </c>
      <c r="M189" s="1194">
        <f t="shared" si="85"/>
        <v>5565</v>
      </c>
      <c r="N189" s="1194">
        <f t="shared" si="85"/>
        <v>4999</v>
      </c>
      <c r="O189" s="1194">
        <f t="shared" si="85"/>
        <v>4468</v>
      </c>
      <c r="P189" s="1194">
        <f t="shared" si="85"/>
        <v>4170</v>
      </c>
      <c r="Q189" s="1194">
        <f t="shared" si="85"/>
        <v>4151</v>
      </c>
      <c r="R189" s="1194">
        <f t="shared" si="86"/>
        <v>155</v>
      </c>
    </row>
    <row r="190" spans="1:18" ht="10.5" customHeight="1" x14ac:dyDescent="0.2">
      <c r="A190" s="1214" t="str">
        <f t="shared" si="82"/>
        <v>Other Outside Services</v>
      </c>
      <c r="B190" s="1111" t="s">
        <v>1412</v>
      </c>
      <c r="C190" s="1571">
        <v>73.37</v>
      </c>
      <c r="D190" s="1216">
        <f t="shared" si="83"/>
        <v>1.8E-5</v>
      </c>
      <c r="E190" s="1582">
        <f t="shared" si="84"/>
        <v>112</v>
      </c>
      <c r="F190" s="1194">
        <f t="shared" si="85"/>
        <v>7</v>
      </c>
      <c r="G190" s="1194">
        <f t="shared" si="85"/>
        <v>7</v>
      </c>
      <c r="H190" s="1194">
        <f t="shared" si="85"/>
        <v>7</v>
      </c>
      <c r="I190" s="1194">
        <f t="shared" si="85"/>
        <v>9</v>
      </c>
      <c r="J190" s="1194">
        <f t="shared" si="85"/>
        <v>11</v>
      </c>
      <c r="K190" s="1194">
        <f t="shared" si="85"/>
        <v>10</v>
      </c>
      <c r="L190" s="1194">
        <f t="shared" si="85"/>
        <v>10</v>
      </c>
      <c r="M190" s="1194">
        <f t="shared" si="85"/>
        <v>12</v>
      </c>
      <c r="N190" s="1194">
        <f t="shared" si="85"/>
        <v>11</v>
      </c>
      <c r="O190" s="1194">
        <f t="shared" si="85"/>
        <v>10</v>
      </c>
      <c r="P190" s="1194">
        <f t="shared" si="85"/>
        <v>9</v>
      </c>
      <c r="Q190" s="1194">
        <f t="shared" si="85"/>
        <v>9</v>
      </c>
      <c r="R190" s="1194">
        <f t="shared" si="86"/>
        <v>0</v>
      </c>
    </row>
    <row r="191" spans="1:18" x14ac:dyDescent="0.2">
      <c r="A191" s="1214" t="str">
        <f t="shared" si="82"/>
        <v>Other Outside Services</v>
      </c>
      <c r="B191" s="1111" t="s">
        <v>1414</v>
      </c>
      <c r="C191" s="1571">
        <v>5986.85</v>
      </c>
      <c r="D191" s="1216">
        <f t="shared" si="83"/>
        <v>1.444E-3</v>
      </c>
      <c r="E191" s="1582">
        <f t="shared" si="84"/>
        <v>9095</v>
      </c>
      <c r="F191" s="1194">
        <f t="shared" si="85"/>
        <v>573</v>
      </c>
      <c r="G191" s="1194">
        <f t="shared" si="85"/>
        <v>561</v>
      </c>
      <c r="H191" s="1194">
        <f t="shared" si="85"/>
        <v>588</v>
      </c>
      <c r="I191" s="1194">
        <f t="shared" si="85"/>
        <v>700</v>
      </c>
      <c r="J191" s="1194">
        <f t="shared" si="85"/>
        <v>852</v>
      </c>
      <c r="K191" s="1194">
        <f t="shared" si="85"/>
        <v>837</v>
      </c>
      <c r="L191" s="1194">
        <f t="shared" si="85"/>
        <v>800</v>
      </c>
      <c r="M191" s="1194">
        <f t="shared" si="85"/>
        <v>997</v>
      </c>
      <c r="N191" s="1194">
        <f t="shared" si="85"/>
        <v>896</v>
      </c>
      <c r="O191" s="1194">
        <f t="shared" si="85"/>
        <v>800</v>
      </c>
      <c r="P191" s="1194">
        <f t="shared" si="85"/>
        <v>747</v>
      </c>
      <c r="Q191" s="1194">
        <f t="shared" si="85"/>
        <v>744</v>
      </c>
      <c r="R191" s="1194">
        <f t="shared" si="86"/>
        <v>28</v>
      </c>
    </row>
    <row r="192" spans="1:18" x14ac:dyDescent="0.2">
      <c r="A192" s="1214" t="str">
        <f t="shared" si="82"/>
        <v>Other Outside Services</v>
      </c>
      <c r="B192" s="1111" t="s">
        <v>1416</v>
      </c>
      <c r="C192" s="1571">
        <v>95580.75999999998</v>
      </c>
      <c r="D192" s="1216">
        <f t="shared" si="83"/>
        <v>2.3054999999999999E-2</v>
      </c>
      <c r="E192" s="1582">
        <f t="shared" si="84"/>
        <v>145207</v>
      </c>
      <c r="F192" s="1194">
        <f t="shared" si="85"/>
        <v>9150</v>
      </c>
      <c r="G192" s="1194">
        <f t="shared" si="85"/>
        <v>8956</v>
      </c>
      <c r="H192" s="1194">
        <f t="shared" si="85"/>
        <v>9381</v>
      </c>
      <c r="I192" s="1194">
        <f t="shared" si="85"/>
        <v>11182</v>
      </c>
      <c r="J192" s="1194">
        <f t="shared" si="85"/>
        <v>13607</v>
      </c>
      <c r="K192" s="1194">
        <f t="shared" si="85"/>
        <v>13369</v>
      </c>
      <c r="L192" s="1194">
        <f t="shared" si="85"/>
        <v>12770</v>
      </c>
      <c r="M192" s="1194">
        <f t="shared" si="85"/>
        <v>15917</v>
      </c>
      <c r="N192" s="1194">
        <f t="shared" si="85"/>
        <v>14298</v>
      </c>
      <c r="O192" s="1194">
        <f t="shared" si="85"/>
        <v>12779</v>
      </c>
      <c r="P192" s="1194">
        <f t="shared" si="85"/>
        <v>11926</v>
      </c>
      <c r="Q192" s="1194">
        <f t="shared" si="85"/>
        <v>11872</v>
      </c>
      <c r="R192" s="1194">
        <f t="shared" si="86"/>
        <v>443</v>
      </c>
    </row>
    <row r="193" spans="1:18" x14ac:dyDescent="0.2">
      <c r="A193" s="1214" t="str">
        <f t="shared" si="82"/>
        <v>Other Outside Services</v>
      </c>
      <c r="B193" s="1111" t="s">
        <v>1418</v>
      </c>
      <c r="C193" s="1571">
        <v>299427.78000000003</v>
      </c>
      <c r="D193" s="1216">
        <f t="shared" si="83"/>
        <v>7.2224999999999998E-2</v>
      </c>
      <c r="E193" s="1582">
        <f t="shared" si="84"/>
        <v>454894</v>
      </c>
      <c r="F193" s="1194">
        <f t="shared" si="85"/>
        <v>28664</v>
      </c>
      <c r="G193" s="1194">
        <f t="shared" si="85"/>
        <v>28056</v>
      </c>
      <c r="H193" s="1194">
        <f t="shared" si="85"/>
        <v>29387</v>
      </c>
      <c r="I193" s="1194">
        <f t="shared" si="85"/>
        <v>35029</v>
      </c>
      <c r="J193" s="1194">
        <f t="shared" si="85"/>
        <v>42626</v>
      </c>
      <c r="K193" s="1194">
        <f t="shared" si="85"/>
        <v>41883</v>
      </c>
      <c r="L193" s="1194">
        <f t="shared" si="85"/>
        <v>40005</v>
      </c>
      <c r="M193" s="1194">
        <f t="shared" si="85"/>
        <v>49863</v>
      </c>
      <c r="N193" s="1194">
        <f t="shared" si="85"/>
        <v>44793</v>
      </c>
      <c r="O193" s="1194">
        <f t="shared" si="85"/>
        <v>40034</v>
      </c>
      <c r="P193" s="1194">
        <f t="shared" si="85"/>
        <v>37362</v>
      </c>
      <c r="Q193" s="1194">
        <f t="shared" si="85"/>
        <v>37192</v>
      </c>
      <c r="R193" s="1194">
        <f t="shared" si="86"/>
        <v>1387</v>
      </c>
    </row>
    <row r="194" spans="1:18" x14ac:dyDescent="0.2">
      <c r="A194" s="1214" t="str">
        <f t="shared" si="82"/>
        <v>Other Outside Services</v>
      </c>
      <c r="B194" s="1111" t="s">
        <v>1424</v>
      </c>
      <c r="C194" s="1571">
        <v>0.08</v>
      </c>
      <c r="D194" s="1216">
        <f t="shared" si="83"/>
        <v>0</v>
      </c>
      <c r="E194" s="1582">
        <f t="shared" si="84"/>
        <v>0</v>
      </c>
      <c r="F194" s="1194">
        <f t="shared" si="85"/>
        <v>0</v>
      </c>
      <c r="G194" s="1194">
        <f t="shared" si="85"/>
        <v>0</v>
      </c>
      <c r="H194" s="1194">
        <f t="shared" si="85"/>
        <v>0</v>
      </c>
      <c r="I194" s="1194">
        <f t="shared" si="85"/>
        <v>0</v>
      </c>
      <c r="J194" s="1194">
        <f t="shared" si="85"/>
        <v>0</v>
      </c>
      <c r="K194" s="1194">
        <f t="shared" si="85"/>
        <v>0</v>
      </c>
      <c r="L194" s="1194">
        <f t="shared" si="85"/>
        <v>0</v>
      </c>
      <c r="M194" s="1194">
        <f t="shared" si="85"/>
        <v>0</v>
      </c>
      <c r="N194" s="1194">
        <f t="shared" si="85"/>
        <v>0</v>
      </c>
      <c r="O194" s="1194">
        <f t="shared" si="85"/>
        <v>0</v>
      </c>
      <c r="P194" s="1194">
        <f t="shared" si="85"/>
        <v>0</v>
      </c>
      <c r="Q194" s="1194">
        <f t="shared" si="85"/>
        <v>0</v>
      </c>
      <c r="R194" s="1194">
        <f t="shared" si="86"/>
        <v>0</v>
      </c>
    </row>
    <row r="195" spans="1:18" x14ac:dyDescent="0.2">
      <c r="A195" s="1214" t="str">
        <f t="shared" si="82"/>
        <v>Other Outside Services</v>
      </c>
      <c r="B195" s="1111" t="s">
        <v>1425</v>
      </c>
      <c r="C195" s="1571">
        <v>134895.34999999998</v>
      </c>
      <c r="D195" s="1216">
        <f t="shared" si="83"/>
        <v>3.2537999999999997E-2</v>
      </c>
      <c r="E195" s="1582">
        <f t="shared" si="84"/>
        <v>204936</v>
      </c>
      <c r="F195" s="1194">
        <f t="shared" si="85"/>
        <v>12913</v>
      </c>
      <c r="G195" s="1194">
        <f t="shared" si="85"/>
        <v>12640</v>
      </c>
      <c r="H195" s="1194">
        <f t="shared" si="85"/>
        <v>13239</v>
      </c>
      <c r="I195" s="1194">
        <f t="shared" si="85"/>
        <v>15781</v>
      </c>
      <c r="J195" s="1194">
        <f t="shared" si="85"/>
        <v>19203</v>
      </c>
      <c r="K195" s="1194">
        <f t="shared" si="85"/>
        <v>18869</v>
      </c>
      <c r="L195" s="1194">
        <f t="shared" si="85"/>
        <v>18023</v>
      </c>
      <c r="M195" s="1194">
        <f t="shared" si="85"/>
        <v>22464</v>
      </c>
      <c r="N195" s="1194">
        <f t="shared" si="85"/>
        <v>20180</v>
      </c>
      <c r="O195" s="1194">
        <f t="shared" si="85"/>
        <v>18036</v>
      </c>
      <c r="P195" s="1194">
        <f t="shared" si="85"/>
        <v>16832</v>
      </c>
      <c r="Q195" s="1194">
        <f t="shared" si="85"/>
        <v>16756</v>
      </c>
      <c r="R195" s="1194">
        <f t="shared" si="86"/>
        <v>625</v>
      </c>
    </row>
    <row r="196" spans="1:18" x14ac:dyDescent="0.2">
      <c r="A196" s="1214" t="str">
        <f t="shared" si="82"/>
        <v>Other Outside Services</v>
      </c>
      <c r="B196" s="1111" t="s">
        <v>1427</v>
      </c>
      <c r="C196" s="1571">
        <v>1020030.0100000001</v>
      </c>
      <c r="D196" s="1216">
        <f t="shared" si="83"/>
        <v>0.24604300000000001</v>
      </c>
      <c r="E196" s="1582">
        <f t="shared" si="84"/>
        <v>1549652</v>
      </c>
      <c r="F196" s="1194">
        <f t="shared" si="85"/>
        <v>97647</v>
      </c>
      <c r="G196" s="1194">
        <f t="shared" si="85"/>
        <v>95577</v>
      </c>
      <c r="H196" s="1194">
        <f t="shared" si="85"/>
        <v>100109</v>
      </c>
      <c r="I196" s="1194">
        <f t="shared" si="85"/>
        <v>119332</v>
      </c>
      <c r="J196" s="1194">
        <f t="shared" si="85"/>
        <v>145210</v>
      </c>
      <c r="K196" s="1194">
        <f t="shared" si="85"/>
        <v>142679</v>
      </c>
      <c r="L196" s="1194">
        <f t="shared" si="85"/>
        <v>136281</v>
      </c>
      <c r="M196" s="1194">
        <f t="shared" si="85"/>
        <v>169865</v>
      </c>
      <c r="N196" s="1194">
        <f t="shared" si="85"/>
        <v>152593</v>
      </c>
      <c r="O196" s="1194">
        <f t="shared" si="85"/>
        <v>136380</v>
      </c>
      <c r="P196" s="1194">
        <f t="shared" si="85"/>
        <v>127279</v>
      </c>
      <c r="Q196" s="1194">
        <f t="shared" si="85"/>
        <v>126700</v>
      </c>
      <c r="R196" s="1194">
        <f t="shared" si="86"/>
        <v>4724</v>
      </c>
    </row>
    <row r="197" spans="1:18" x14ac:dyDescent="0.2">
      <c r="A197" s="1214" t="str">
        <f t="shared" si="82"/>
        <v>Other Outside Services</v>
      </c>
      <c r="B197" s="1111" t="s">
        <v>1429</v>
      </c>
      <c r="C197" s="1571">
        <v>539.15</v>
      </c>
      <c r="D197" s="1216">
        <f t="shared" si="83"/>
        <v>1.2999999999999999E-4</v>
      </c>
      <c r="E197" s="1582">
        <f t="shared" si="84"/>
        <v>819</v>
      </c>
      <c r="F197" s="1194">
        <f t="shared" ref="F197:Q207" si="87">ROUND($D197*F$210,0)</f>
        <v>52</v>
      </c>
      <c r="G197" s="1194">
        <f t="shared" si="87"/>
        <v>50</v>
      </c>
      <c r="H197" s="1194">
        <f t="shared" si="87"/>
        <v>53</v>
      </c>
      <c r="I197" s="1194">
        <f t="shared" si="87"/>
        <v>63</v>
      </c>
      <c r="J197" s="1194">
        <f t="shared" si="87"/>
        <v>77</v>
      </c>
      <c r="K197" s="1194">
        <f t="shared" si="87"/>
        <v>75</v>
      </c>
      <c r="L197" s="1194">
        <f t="shared" si="87"/>
        <v>72</v>
      </c>
      <c r="M197" s="1194">
        <f t="shared" si="87"/>
        <v>90</v>
      </c>
      <c r="N197" s="1194">
        <f t="shared" si="87"/>
        <v>81</v>
      </c>
      <c r="O197" s="1194">
        <f t="shared" si="87"/>
        <v>72</v>
      </c>
      <c r="P197" s="1194">
        <f t="shared" si="87"/>
        <v>67</v>
      </c>
      <c r="Q197" s="1194">
        <f t="shared" si="87"/>
        <v>67</v>
      </c>
      <c r="R197" s="1194">
        <f t="shared" si="86"/>
        <v>2</v>
      </c>
    </row>
    <row r="198" spans="1:18" x14ac:dyDescent="0.2">
      <c r="A198" s="1214" t="str">
        <f t="shared" si="82"/>
        <v>Other Outside Services</v>
      </c>
      <c r="B198" s="1111" t="s">
        <v>1430</v>
      </c>
      <c r="C198" s="1571">
        <v>73.37</v>
      </c>
      <c r="D198" s="1216">
        <f t="shared" si="83"/>
        <v>1.8E-5</v>
      </c>
      <c r="E198" s="1582">
        <f t="shared" si="84"/>
        <v>112</v>
      </c>
      <c r="F198" s="1194">
        <f t="shared" si="87"/>
        <v>7</v>
      </c>
      <c r="G198" s="1194">
        <f t="shared" si="87"/>
        <v>7</v>
      </c>
      <c r="H198" s="1194">
        <f t="shared" si="87"/>
        <v>7</v>
      </c>
      <c r="I198" s="1194">
        <f t="shared" si="87"/>
        <v>9</v>
      </c>
      <c r="J198" s="1194">
        <f t="shared" si="87"/>
        <v>11</v>
      </c>
      <c r="K198" s="1194">
        <f t="shared" si="87"/>
        <v>10</v>
      </c>
      <c r="L198" s="1194">
        <f t="shared" si="87"/>
        <v>10</v>
      </c>
      <c r="M198" s="1194">
        <f t="shared" si="87"/>
        <v>12</v>
      </c>
      <c r="N198" s="1194">
        <f t="shared" si="87"/>
        <v>11</v>
      </c>
      <c r="O198" s="1194">
        <f t="shared" si="87"/>
        <v>10</v>
      </c>
      <c r="P198" s="1194">
        <f t="shared" si="87"/>
        <v>9</v>
      </c>
      <c r="Q198" s="1194">
        <f t="shared" si="87"/>
        <v>9</v>
      </c>
      <c r="R198" s="1194">
        <f t="shared" si="86"/>
        <v>0</v>
      </c>
    </row>
    <row r="199" spans="1:18" x14ac:dyDescent="0.2">
      <c r="A199" s="1214" t="str">
        <f t="shared" si="82"/>
        <v>Other Outside Services</v>
      </c>
      <c r="B199" s="1111" t="s">
        <v>1431</v>
      </c>
      <c r="C199" s="1571">
        <v>213686.77</v>
      </c>
      <c r="D199" s="1216">
        <f t="shared" si="83"/>
        <v>5.1544E-2</v>
      </c>
      <c r="E199" s="1582">
        <f t="shared" si="84"/>
        <v>324640</v>
      </c>
      <c r="F199" s="1194">
        <f t="shared" si="87"/>
        <v>20456</v>
      </c>
      <c r="G199" s="1194">
        <f t="shared" si="87"/>
        <v>20023</v>
      </c>
      <c r="H199" s="1194">
        <f t="shared" si="87"/>
        <v>20972</v>
      </c>
      <c r="I199" s="1194">
        <f t="shared" si="87"/>
        <v>24999</v>
      </c>
      <c r="J199" s="1194">
        <f t="shared" si="87"/>
        <v>30420</v>
      </c>
      <c r="K199" s="1194">
        <f t="shared" si="87"/>
        <v>29890</v>
      </c>
      <c r="L199" s="1194">
        <f t="shared" si="87"/>
        <v>28550</v>
      </c>
      <c r="M199" s="1194">
        <f t="shared" si="87"/>
        <v>35585</v>
      </c>
      <c r="N199" s="1194">
        <f t="shared" si="87"/>
        <v>31967</v>
      </c>
      <c r="O199" s="1194">
        <f t="shared" si="87"/>
        <v>28571</v>
      </c>
      <c r="P199" s="1194">
        <f t="shared" si="87"/>
        <v>26664</v>
      </c>
      <c r="Q199" s="1194">
        <f t="shared" si="87"/>
        <v>26543</v>
      </c>
      <c r="R199" s="1194">
        <f t="shared" si="86"/>
        <v>990</v>
      </c>
    </row>
    <row r="200" spans="1:18" x14ac:dyDescent="0.2">
      <c r="A200" s="1214" t="str">
        <f t="shared" si="82"/>
        <v>Other Outside Services</v>
      </c>
      <c r="B200" s="1111" t="s">
        <v>1435</v>
      </c>
      <c r="C200" s="1571">
        <v>10983.939999999999</v>
      </c>
      <c r="D200" s="1216">
        <f t="shared" si="83"/>
        <v>2.6489999999999999E-3</v>
      </c>
      <c r="E200" s="1582">
        <f t="shared" si="84"/>
        <v>16683</v>
      </c>
      <c r="F200" s="1194">
        <f t="shared" si="87"/>
        <v>1051</v>
      </c>
      <c r="G200" s="1194">
        <f t="shared" si="87"/>
        <v>1029</v>
      </c>
      <c r="H200" s="1194">
        <f t="shared" si="87"/>
        <v>1078</v>
      </c>
      <c r="I200" s="1194">
        <f t="shared" si="87"/>
        <v>1285</v>
      </c>
      <c r="J200" s="1194">
        <f t="shared" si="87"/>
        <v>1563</v>
      </c>
      <c r="K200" s="1194">
        <f t="shared" si="87"/>
        <v>1536</v>
      </c>
      <c r="L200" s="1194">
        <f t="shared" si="87"/>
        <v>1467</v>
      </c>
      <c r="M200" s="1194">
        <f t="shared" si="87"/>
        <v>1829</v>
      </c>
      <c r="N200" s="1194">
        <f t="shared" si="87"/>
        <v>1643</v>
      </c>
      <c r="O200" s="1194">
        <f t="shared" si="87"/>
        <v>1468</v>
      </c>
      <c r="P200" s="1194">
        <f t="shared" si="87"/>
        <v>1370</v>
      </c>
      <c r="Q200" s="1194">
        <f t="shared" si="87"/>
        <v>1364</v>
      </c>
      <c r="R200" s="1194">
        <f t="shared" si="86"/>
        <v>51</v>
      </c>
    </row>
    <row r="201" spans="1:18" x14ac:dyDescent="0.2">
      <c r="A201" s="1214" t="str">
        <f t="shared" si="82"/>
        <v>Other Outside Services</v>
      </c>
      <c r="B201" s="1111" t="s">
        <v>1442</v>
      </c>
      <c r="C201" s="1571">
        <v>238431.65999999997</v>
      </c>
      <c r="D201" s="1216">
        <f t="shared" si="83"/>
        <v>5.7512000000000001E-2</v>
      </c>
      <c r="E201" s="1582">
        <f t="shared" si="84"/>
        <v>362228</v>
      </c>
      <c r="F201" s="1194">
        <f t="shared" si="87"/>
        <v>22825</v>
      </c>
      <c r="G201" s="1194">
        <f t="shared" si="87"/>
        <v>22341</v>
      </c>
      <c r="H201" s="1194">
        <f t="shared" si="87"/>
        <v>23400</v>
      </c>
      <c r="I201" s="1194">
        <f t="shared" si="87"/>
        <v>27894</v>
      </c>
      <c r="J201" s="1194">
        <f t="shared" si="87"/>
        <v>33942</v>
      </c>
      <c r="K201" s="1194">
        <f t="shared" si="87"/>
        <v>33351</v>
      </c>
      <c r="L201" s="1194">
        <f t="shared" si="87"/>
        <v>31855</v>
      </c>
      <c r="M201" s="1194">
        <f t="shared" si="87"/>
        <v>39706</v>
      </c>
      <c r="N201" s="1194">
        <f t="shared" si="87"/>
        <v>35668</v>
      </c>
      <c r="O201" s="1194">
        <f t="shared" si="87"/>
        <v>31879</v>
      </c>
      <c r="P201" s="1194">
        <f t="shared" si="87"/>
        <v>29751</v>
      </c>
      <c r="Q201" s="1194">
        <f t="shared" si="87"/>
        <v>29616</v>
      </c>
      <c r="R201" s="1194">
        <f t="shared" si="86"/>
        <v>1104</v>
      </c>
    </row>
    <row r="202" spans="1:18" x14ac:dyDescent="0.2">
      <c r="A202" s="1214" t="str">
        <f t="shared" si="82"/>
        <v>Other Outside Services</v>
      </c>
      <c r="B202" s="1111" t="s">
        <v>1444</v>
      </c>
      <c r="C202" s="1571">
        <v>107809.94</v>
      </c>
      <c r="D202" s="1216">
        <f t="shared" si="83"/>
        <v>2.6005E-2</v>
      </c>
      <c r="E202" s="1582">
        <f t="shared" si="84"/>
        <v>163788</v>
      </c>
      <c r="F202" s="1194">
        <f t="shared" si="87"/>
        <v>10321</v>
      </c>
      <c r="G202" s="1194">
        <f t="shared" si="87"/>
        <v>10102</v>
      </c>
      <c r="H202" s="1194">
        <f t="shared" si="87"/>
        <v>10581</v>
      </c>
      <c r="I202" s="1194">
        <f t="shared" si="87"/>
        <v>12613</v>
      </c>
      <c r="J202" s="1194">
        <f t="shared" si="87"/>
        <v>15348</v>
      </c>
      <c r="K202" s="1194">
        <f t="shared" si="87"/>
        <v>15080</v>
      </c>
      <c r="L202" s="1194">
        <f t="shared" si="87"/>
        <v>14404</v>
      </c>
      <c r="M202" s="1194">
        <f t="shared" si="87"/>
        <v>17954</v>
      </c>
      <c r="N202" s="1194">
        <f t="shared" si="87"/>
        <v>16128</v>
      </c>
      <c r="O202" s="1194">
        <f t="shared" si="87"/>
        <v>14414</v>
      </c>
      <c r="P202" s="1194">
        <f t="shared" si="87"/>
        <v>13452</v>
      </c>
      <c r="Q202" s="1194">
        <f t="shared" si="87"/>
        <v>13391</v>
      </c>
      <c r="R202" s="1194">
        <f t="shared" si="86"/>
        <v>499</v>
      </c>
    </row>
    <row r="203" spans="1:18" x14ac:dyDescent="0.2">
      <c r="A203" s="1214" t="str">
        <f t="shared" si="82"/>
        <v>Other Outside Services</v>
      </c>
      <c r="B203" s="1111" t="s">
        <v>1455</v>
      </c>
      <c r="C203" s="1571">
        <v>70647</v>
      </c>
      <c r="D203" s="1216">
        <f t="shared" si="83"/>
        <v>1.7041000000000001E-2</v>
      </c>
      <c r="E203" s="1582">
        <f t="shared" si="84"/>
        <v>107330</v>
      </c>
      <c r="F203" s="1194">
        <f t="shared" si="87"/>
        <v>6763</v>
      </c>
      <c r="G203" s="1194">
        <f t="shared" si="87"/>
        <v>6620</v>
      </c>
      <c r="H203" s="1194">
        <f t="shared" si="87"/>
        <v>6934</v>
      </c>
      <c r="I203" s="1194">
        <f t="shared" si="87"/>
        <v>8265</v>
      </c>
      <c r="J203" s="1194">
        <f t="shared" si="87"/>
        <v>10057</v>
      </c>
      <c r="K203" s="1194">
        <f t="shared" si="87"/>
        <v>9882</v>
      </c>
      <c r="L203" s="1194">
        <f t="shared" si="87"/>
        <v>9439</v>
      </c>
      <c r="M203" s="1194">
        <f t="shared" si="87"/>
        <v>11765</v>
      </c>
      <c r="N203" s="1194">
        <f t="shared" si="87"/>
        <v>10569</v>
      </c>
      <c r="O203" s="1194">
        <f t="shared" si="87"/>
        <v>9446</v>
      </c>
      <c r="P203" s="1194">
        <f t="shared" si="87"/>
        <v>8815</v>
      </c>
      <c r="Q203" s="1194">
        <f t="shared" si="87"/>
        <v>8775</v>
      </c>
      <c r="R203" s="1194">
        <f t="shared" si="86"/>
        <v>327</v>
      </c>
    </row>
    <row r="204" spans="1:18" x14ac:dyDescent="0.2">
      <c r="A204" s="1214" t="str">
        <f t="shared" si="82"/>
        <v>Other Outside Services</v>
      </c>
      <c r="B204" s="1111" t="s">
        <v>1472</v>
      </c>
      <c r="C204" s="1571">
        <v>3611.5</v>
      </c>
      <c r="D204" s="1216">
        <f t="shared" si="83"/>
        <v>8.7100000000000003E-4</v>
      </c>
      <c r="E204" s="1582">
        <f t="shared" si="84"/>
        <v>5485</v>
      </c>
      <c r="F204" s="1194">
        <f t="shared" si="87"/>
        <v>346</v>
      </c>
      <c r="G204" s="1194">
        <f t="shared" si="87"/>
        <v>338</v>
      </c>
      <c r="H204" s="1194">
        <f t="shared" si="87"/>
        <v>354</v>
      </c>
      <c r="I204" s="1194">
        <f t="shared" si="87"/>
        <v>422</v>
      </c>
      <c r="J204" s="1194">
        <f t="shared" si="87"/>
        <v>514</v>
      </c>
      <c r="K204" s="1194">
        <f t="shared" si="87"/>
        <v>505</v>
      </c>
      <c r="L204" s="1194">
        <f t="shared" si="87"/>
        <v>482</v>
      </c>
      <c r="M204" s="1194">
        <f t="shared" si="87"/>
        <v>601</v>
      </c>
      <c r="N204" s="1194">
        <f t="shared" si="87"/>
        <v>540</v>
      </c>
      <c r="O204" s="1194">
        <f t="shared" si="87"/>
        <v>483</v>
      </c>
      <c r="P204" s="1194">
        <f t="shared" si="87"/>
        <v>451</v>
      </c>
      <c r="Q204" s="1194">
        <f t="shared" si="87"/>
        <v>449</v>
      </c>
      <c r="R204" s="1194">
        <f t="shared" si="86"/>
        <v>17</v>
      </c>
    </row>
    <row r="205" spans="1:18" x14ac:dyDescent="0.2">
      <c r="A205" s="1214" t="str">
        <f t="shared" si="82"/>
        <v>Other Outside Services</v>
      </c>
      <c r="B205" s="1111" t="s">
        <v>1474</v>
      </c>
      <c r="C205" s="1571">
        <v>6374.2999999999993</v>
      </c>
      <c r="D205" s="1216">
        <f t="shared" si="83"/>
        <v>1.5380000000000001E-3</v>
      </c>
      <c r="E205" s="1582">
        <f t="shared" si="84"/>
        <v>9688</v>
      </c>
      <c r="F205" s="1194">
        <f t="shared" si="87"/>
        <v>610</v>
      </c>
      <c r="G205" s="1194">
        <f t="shared" si="87"/>
        <v>597</v>
      </c>
      <c r="H205" s="1194">
        <f t="shared" si="87"/>
        <v>626</v>
      </c>
      <c r="I205" s="1194">
        <f t="shared" si="87"/>
        <v>746</v>
      </c>
      <c r="J205" s="1194">
        <f t="shared" si="87"/>
        <v>908</v>
      </c>
      <c r="K205" s="1194">
        <f t="shared" si="87"/>
        <v>892</v>
      </c>
      <c r="L205" s="1194">
        <f t="shared" si="87"/>
        <v>852</v>
      </c>
      <c r="M205" s="1194">
        <f t="shared" si="87"/>
        <v>1062</v>
      </c>
      <c r="N205" s="1194">
        <f t="shared" si="87"/>
        <v>954</v>
      </c>
      <c r="O205" s="1194">
        <f t="shared" si="87"/>
        <v>853</v>
      </c>
      <c r="P205" s="1194">
        <f t="shared" si="87"/>
        <v>796</v>
      </c>
      <c r="Q205" s="1194">
        <f t="shared" si="87"/>
        <v>792</v>
      </c>
      <c r="R205" s="1194">
        <f t="shared" si="86"/>
        <v>30</v>
      </c>
    </row>
    <row r="206" spans="1:18" x14ac:dyDescent="0.2">
      <c r="A206" s="1214" t="str">
        <f t="shared" si="82"/>
        <v>Other Outside Services</v>
      </c>
      <c r="B206" s="1111" t="s">
        <v>1475</v>
      </c>
      <c r="C206" s="1571">
        <v>32248.25</v>
      </c>
      <c r="D206" s="1216">
        <f t="shared" si="83"/>
        <v>7.7790000000000003E-3</v>
      </c>
      <c r="E206" s="1582">
        <f t="shared" si="84"/>
        <v>48995</v>
      </c>
      <c r="F206" s="1194">
        <f t="shared" si="87"/>
        <v>3087</v>
      </c>
      <c r="G206" s="1194">
        <f t="shared" si="87"/>
        <v>3022</v>
      </c>
      <c r="H206" s="1194">
        <f t="shared" si="87"/>
        <v>3165</v>
      </c>
      <c r="I206" s="1194">
        <f t="shared" si="87"/>
        <v>3773</v>
      </c>
      <c r="J206" s="1194">
        <f t="shared" si="87"/>
        <v>4591</v>
      </c>
      <c r="K206" s="1194">
        <f t="shared" si="87"/>
        <v>4511</v>
      </c>
      <c r="L206" s="1194">
        <f t="shared" si="87"/>
        <v>4309</v>
      </c>
      <c r="M206" s="1194">
        <f t="shared" si="87"/>
        <v>5371</v>
      </c>
      <c r="N206" s="1194">
        <f t="shared" si="87"/>
        <v>4824</v>
      </c>
      <c r="O206" s="1194">
        <f t="shared" si="87"/>
        <v>4312</v>
      </c>
      <c r="P206" s="1194">
        <f t="shared" si="87"/>
        <v>4024</v>
      </c>
      <c r="Q206" s="1194">
        <f t="shared" si="87"/>
        <v>4006</v>
      </c>
      <c r="R206" s="1194">
        <f t="shared" si="86"/>
        <v>149</v>
      </c>
    </row>
    <row r="207" spans="1:18" x14ac:dyDescent="0.2">
      <c r="A207" s="1214" t="str">
        <f t="shared" si="82"/>
        <v>Other Outside Services</v>
      </c>
      <c r="B207" s="1111" t="s">
        <v>1489</v>
      </c>
      <c r="C207" s="1571">
        <v>1436.24</v>
      </c>
      <c r="D207" s="1216">
        <f t="shared" si="83"/>
        <v>3.4600000000000001E-4</v>
      </c>
      <c r="E207" s="1582">
        <f t="shared" si="84"/>
        <v>2180</v>
      </c>
      <c r="F207" s="1194">
        <f t="shared" si="87"/>
        <v>137</v>
      </c>
      <c r="G207" s="1194">
        <f t="shared" si="87"/>
        <v>134</v>
      </c>
      <c r="H207" s="1194">
        <f t="shared" si="87"/>
        <v>141</v>
      </c>
      <c r="I207" s="1194">
        <f t="shared" si="87"/>
        <v>168</v>
      </c>
      <c r="J207" s="1194">
        <f t="shared" si="87"/>
        <v>204</v>
      </c>
      <c r="K207" s="1194">
        <f t="shared" si="87"/>
        <v>201</v>
      </c>
      <c r="L207" s="1194">
        <f t="shared" si="87"/>
        <v>192</v>
      </c>
      <c r="M207" s="1194">
        <f t="shared" si="87"/>
        <v>239</v>
      </c>
      <c r="N207" s="1194">
        <f t="shared" si="87"/>
        <v>215</v>
      </c>
      <c r="O207" s="1194">
        <f t="shared" si="87"/>
        <v>192</v>
      </c>
      <c r="P207" s="1194">
        <f t="shared" si="87"/>
        <v>179</v>
      </c>
      <c r="Q207" s="1194">
        <f t="shared" si="87"/>
        <v>178</v>
      </c>
      <c r="R207" s="1194">
        <f t="shared" si="86"/>
        <v>7</v>
      </c>
    </row>
    <row r="208" spans="1:18" x14ac:dyDescent="0.2">
      <c r="A208" s="1214" t="str">
        <f t="shared" si="82"/>
        <v>Other Outside Services</v>
      </c>
      <c r="B208" s="1111" t="s">
        <v>2101</v>
      </c>
      <c r="C208" s="1571">
        <v>3674.66</v>
      </c>
      <c r="D208" s="1216">
        <f t="shared" si="83"/>
        <v>8.8599999999999996E-4</v>
      </c>
      <c r="E208" s="1582">
        <f t="shared" si="84"/>
        <v>5580</v>
      </c>
      <c r="F208" s="1194">
        <f>ROUND($D208*F$210,0)</f>
        <v>352</v>
      </c>
      <c r="G208" s="1194">
        <f>ROUND($D208*G$210,0)</f>
        <v>344</v>
      </c>
      <c r="H208" s="1194">
        <f>ROUND($D208*H$210,0)</f>
        <v>360</v>
      </c>
      <c r="I208" s="1194">
        <f t="shared" ref="I208:Q208" si="88">ROUND($D208*I$210,0)</f>
        <v>430</v>
      </c>
      <c r="J208" s="1194">
        <f t="shared" si="88"/>
        <v>523</v>
      </c>
      <c r="K208" s="1194">
        <f t="shared" si="88"/>
        <v>514</v>
      </c>
      <c r="L208" s="1194">
        <f t="shared" si="88"/>
        <v>491</v>
      </c>
      <c r="M208" s="1194">
        <f t="shared" si="88"/>
        <v>612</v>
      </c>
      <c r="N208" s="1194">
        <f t="shared" si="88"/>
        <v>549</v>
      </c>
      <c r="O208" s="1194">
        <f t="shared" si="88"/>
        <v>491</v>
      </c>
      <c r="P208" s="1194">
        <f t="shared" si="88"/>
        <v>458</v>
      </c>
      <c r="Q208" s="1194">
        <f t="shared" si="88"/>
        <v>456</v>
      </c>
      <c r="R208" s="1194">
        <f t="shared" si="86"/>
        <v>17</v>
      </c>
    </row>
    <row r="209" spans="1:18" ht="13.5" x14ac:dyDescent="0.35">
      <c r="A209" s="1214" t="str">
        <f t="shared" si="82"/>
        <v>Other Outside Services</v>
      </c>
      <c r="B209" s="1111" t="s">
        <v>1495</v>
      </c>
      <c r="C209" s="1623">
        <v>80</v>
      </c>
      <c r="D209" s="1570">
        <f t="shared" si="83"/>
        <v>1.9000000000000001E-5</v>
      </c>
      <c r="E209" s="1587">
        <f t="shared" si="84"/>
        <v>130</v>
      </c>
      <c r="F209" s="1221">
        <f t="shared" ref="F209:R209" si="89">F210-SUM(F187:F208)</f>
        <v>10</v>
      </c>
      <c r="G209" s="1221">
        <f t="shared" si="89"/>
        <v>8</v>
      </c>
      <c r="H209" s="1221">
        <f t="shared" si="89"/>
        <v>7</v>
      </c>
      <c r="I209" s="1221">
        <f t="shared" si="89"/>
        <v>9</v>
      </c>
      <c r="J209" s="1221">
        <f t="shared" si="89"/>
        <v>12</v>
      </c>
      <c r="K209" s="1221">
        <f t="shared" si="89"/>
        <v>13</v>
      </c>
      <c r="L209" s="1221">
        <f t="shared" si="89"/>
        <v>10</v>
      </c>
      <c r="M209" s="1221">
        <f t="shared" si="89"/>
        <v>14</v>
      </c>
      <c r="N209" s="1221">
        <f t="shared" si="89"/>
        <v>13</v>
      </c>
      <c r="O209" s="1221">
        <f t="shared" si="89"/>
        <v>11</v>
      </c>
      <c r="P209" s="1221">
        <f t="shared" si="89"/>
        <v>12</v>
      </c>
      <c r="Q209" s="1221">
        <f t="shared" si="89"/>
        <v>11</v>
      </c>
      <c r="R209" s="1221">
        <f t="shared" si="89"/>
        <v>0</v>
      </c>
    </row>
    <row r="210" spans="1:18" x14ac:dyDescent="0.2">
      <c r="A210" s="1213"/>
      <c r="B210" s="1110"/>
      <c r="C210" s="1582">
        <f>SUM(C187:C209)</f>
        <v>4145739.830000001</v>
      </c>
      <c r="D210" s="1216">
        <f>SUM(D187:D209)</f>
        <v>0.99999799999999983</v>
      </c>
      <c r="E210" s="1582">
        <f>SUM(E187:E209)</f>
        <v>6298298</v>
      </c>
      <c r="F210" s="1194">
        <f t="shared" ref="F210:R210" si="90">F110</f>
        <v>396871</v>
      </c>
      <c r="G210" s="1194">
        <f t="shared" si="90"/>
        <v>388456</v>
      </c>
      <c r="H210" s="1194">
        <f t="shared" si="90"/>
        <v>406875</v>
      </c>
      <c r="I210" s="1194">
        <f t="shared" si="90"/>
        <v>485005</v>
      </c>
      <c r="J210" s="1194">
        <f t="shared" si="90"/>
        <v>590180</v>
      </c>
      <c r="K210" s="1194">
        <f t="shared" si="90"/>
        <v>579894</v>
      </c>
      <c r="L210" s="1194">
        <f t="shared" si="90"/>
        <v>553891</v>
      </c>
      <c r="M210" s="1194">
        <f t="shared" si="90"/>
        <v>690389</v>
      </c>
      <c r="N210" s="1194">
        <f t="shared" si="90"/>
        <v>620188</v>
      </c>
      <c r="O210" s="1194">
        <f t="shared" si="90"/>
        <v>554295</v>
      </c>
      <c r="P210" s="1194">
        <f t="shared" si="90"/>
        <v>517302</v>
      </c>
      <c r="Q210" s="1194">
        <f t="shared" si="90"/>
        <v>514952</v>
      </c>
      <c r="R210" s="1194">
        <f t="shared" si="90"/>
        <v>19201</v>
      </c>
    </row>
    <row r="211" spans="1:18" x14ac:dyDescent="0.2">
      <c r="A211" s="1213"/>
      <c r="B211" s="1110"/>
      <c r="C211" s="1582"/>
      <c r="D211" s="1216"/>
      <c r="E211" s="1582"/>
      <c r="F211" s="1194"/>
      <c r="G211" s="1194"/>
      <c r="H211" s="1194"/>
      <c r="I211" s="1194"/>
      <c r="J211" s="1194"/>
      <c r="K211" s="1194"/>
      <c r="L211" s="1194"/>
      <c r="M211" s="1194"/>
      <c r="N211" s="1194"/>
      <c r="O211" s="1194"/>
      <c r="P211" s="1194"/>
      <c r="Q211" s="1194"/>
      <c r="R211" s="1194"/>
    </row>
    <row r="212" spans="1:18" x14ac:dyDescent="0.2">
      <c r="A212" s="1214" t="s">
        <v>2128</v>
      </c>
      <c r="B212" s="1111" t="s">
        <v>1481</v>
      </c>
      <c r="C212" s="1571">
        <v>90431</v>
      </c>
      <c r="D212" s="1216">
        <v>1</v>
      </c>
      <c r="E212" s="1582">
        <f t="shared" ref="E212" si="91">SUM(F212:Q212)</f>
        <v>121224</v>
      </c>
      <c r="F212" s="1194">
        <f>F111</f>
        <v>10102</v>
      </c>
      <c r="G212" s="1194">
        <f t="shared" ref="G212:Q212" si="92">G111</f>
        <v>10102</v>
      </c>
      <c r="H212" s="1194">
        <f t="shared" si="92"/>
        <v>10102</v>
      </c>
      <c r="I212" s="1194">
        <f t="shared" si="92"/>
        <v>10102</v>
      </c>
      <c r="J212" s="1194">
        <f t="shared" si="92"/>
        <v>10102</v>
      </c>
      <c r="K212" s="1194">
        <f t="shared" si="92"/>
        <v>10102</v>
      </c>
      <c r="L212" s="1194">
        <f t="shared" si="92"/>
        <v>10102</v>
      </c>
      <c r="M212" s="1194">
        <f t="shared" si="92"/>
        <v>10102</v>
      </c>
      <c r="N212" s="1194">
        <f t="shared" si="92"/>
        <v>10102</v>
      </c>
      <c r="O212" s="1194">
        <f t="shared" si="92"/>
        <v>10102</v>
      </c>
      <c r="P212" s="1194">
        <f t="shared" si="92"/>
        <v>10102</v>
      </c>
      <c r="Q212" s="1194">
        <f t="shared" si="92"/>
        <v>10102</v>
      </c>
      <c r="R212" s="1194">
        <f>R111</f>
        <v>0</v>
      </c>
    </row>
    <row r="213" spans="1:18" x14ac:dyDescent="0.2">
      <c r="A213" s="1213"/>
      <c r="B213" s="1110"/>
      <c r="C213" s="1582"/>
      <c r="D213" s="1216"/>
      <c r="E213" s="1582"/>
      <c r="F213" s="1194"/>
      <c r="G213" s="1194"/>
      <c r="H213" s="1194"/>
      <c r="I213" s="1194"/>
      <c r="J213" s="1194"/>
      <c r="K213" s="1194"/>
      <c r="L213" s="1194"/>
      <c r="M213" s="1194"/>
      <c r="N213" s="1194"/>
      <c r="O213" s="1194"/>
      <c r="P213" s="1194"/>
      <c r="Q213" s="1194"/>
      <c r="R213" s="1194"/>
    </row>
    <row r="214" spans="1:18" ht="13.5" x14ac:dyDescent="0.35">
      <c r="A214" s="1214" t="str">
        <f>$B$109</f>
        <v>Auditing Services</v>
      </c>
      <c r="B214" s="1110" t="s">
        <v>1475</v>
      </c>
      <c r="C214" s="1624">
        <v>131834</v>
      </c>
      <c r="D214" s="1217">
        <f>ROUND(C214/$C$215,6)</f>
        <v>1</v>
      </c>
      <c r="E214" s="1587">
        <f>SUM(F214:Q214)</f>
        <v>163308</v>
      </c>
      <c r="F214" s="1218">
        <f>ROUND($D214*F$215,0)</f>
        <v>13609</v>
      </c>
      <c r="G214" s="1218">
        <f t="shared" ref="G214:Q214" si="93">ROUND($D214*G$215,0)</f>
        <v>13609</v>
      </c>
      <c r="H214" s="1218">
        <f t="shared" si="93"/>
        <v>13609</v>
      </c>
      <c r="I214" s="1218">
        <f t="shared" si="93"/>
        <v>13609</v>
      </c>
      <c r="J214" s="1218">
        <f t="shared" si="93"/>
        <v>13609</v>
      </c>
      <c r="K214" s="1218">
        <f t="shared" si="93"/>
        <v>13609</v>
      </c>
      <c r="L214" s="1218">
        <f t="shared" si="93"/>
        <v>13609</v>
      </c>
      <c r="M214" s="1218">
        <f t="shared" si="93"/>
        <v>13609</v>
      </c>
      <c r="N214" s="1218">
        <f t="shared" si="93"/>
        <v>13609</v>
      </c>
      <c r="O214" s="1218">
        <f t="shared" si="93"/>
        <v>13609</v>
      </c>
      <c r="P214" s="1218">
        <f t="shared" si="93"/>
        <v>13609</v>
      </c>
      <c r="Q214" s="1218">
        <f t="shared" si="93"/>
        <v>13609</v>
      </c>
      <c r="R214" s="1218">
        <f>ROUND(D214*$R$215,0)</f>
        <v>0</v>
      </c>
    </row>
    <row r="215" spans="1:18" x14ac:dyDescent="0.2">
      <c r="A215" s="1213"/>
      <c r="B215" s="1110"/>
      <c r="C215" s="1582">
        <f>SUM(C214:C214)</f>
        <v>131834</v>
      </c>
      <c r="D215" s="1216">
        <f>SUM(D214:D214)</f>
        <v>1</v>
      </c>
      <c r="E215" s="1572">
        <f>SUM(E214)</f>
        <v>163308</v>
      </c>
      <c r="F215" s="1194">
        <f t="shared" ref="F215:R215" si="94">F109</f>
        <v>13609</v>
      </c>
      <c r="G215" s="1194">
        <f t="shared" si="94"/>
        <v>13609</v>
      </c>
      <c r="H215" s="1194">
        <f t="shared" si="94"/>
        <v>13609</v>
      </c>
      <c r="I215" s="1194">
        <f t="shared" si="94"/>
        <v>13609</v>
      </c>
      <c r="J215" s="1194">
        <f t="shared" si="94"/>
        <v>13609</v>
      </c>
      <c r="K215" s="1194">
        <f t="shared" si="94"/>
        <v>13609</v>
      </c>
      <c r="L215" s="1194">
        <f t="shared" si="94"/>
        <v>13609</v>
      </c>
      <c r="M215" s="1194">
        <f t="shared" si="94"/>
        <v>13609</v>
      </c>
      <c r="N215" s="1194">
        <f t="shared" si="94"/>
        <v>13609</v>
      </c>
      <c r="O215" s="1194">
        <f t="shared" si="94"/>
        <v>13609</v>
      </c>
      <c r="P215" s="1194">
        <f t="shared" si="94"/>
        <v>13609</v>
      </c>
      <c r="Q215" s="1194">
        <f t="shared" si="94"/>
        <v>13609</v>
      </c>
      <c r="R215" s="1194">
        <f t="shared" si="94"/>
        <v>0</v>
      </c>
    </row>
    <row r="216" spans="1:18" x14ac:dyDescent="0.2">
      <c r="A216" s="1213"/>
      <c r="B216" s="1110"/>
      <c r="C216" s="1582"/>
      <c r="D216" s="1216"/>
      <c r="E216" s="1572"/>
      <c r="F216" s="1194"/>
      <c r="G216" s="1194"/>
      <c r="H216" s="1194"/>
      <c r="I216" s="1194"/>
      <c r="J216" s="1194"/>
      <c r="K216" s="1194"/>
      <c r="L216" s="1194"/>
      <c r="M216" s="1194"/>
      <c r="N216" s="1194"/>
      <c r="O216" s="1194"/>
      <c r="P216" s="1194"/>
      <c r="Q216" s="1194"/>
      <c r="R216" s="1194"/>
    </row>
    <row r="217" spans="1:18" x14ac:dyDescent="0.2">
      <c r="A217" s="1214" t="str">
        <f t="shared" ref="A217:A221" si="95">$B$106</f>
        <v>Consulting Services</v>
      </c>
      <c r="B217" s="1111" t="s">
        <v>1404</v>
      </c>
      <c r="C217" s="1571">
        <v>826.8</v>
      </c>
      <c r="D217" s="1216">
        <f>ROUND(C217/$C$222,6)</f>
        <v>8.7639999999999992E-3</v>
      </c>
      <c r="E217" s="1582">
        <f t="shared" ref="E217:E221" si="96">SUM(F217:Q217)</f>
        <v>2220</v>
      </c>
      <c r="F217" s="1194">
        <f>ROUND($D217*F$106,0)</f>
        <v>185</v>
      </c>
      <c r="G217" s="1194">
        <f t="shared" ref="G217:Q217" si="97">ROUND($D217*G$106,0)</f>
        <v>185</v>
      </c>
      <c r="H217" s="1194">
        <f t="shared" si="97"/>
        <v>185</v>
      </c>
      <c r="I217" s="1194">
        <f t="shared" si="97"/>
        <v>185</v>
      </c>
      <c r="J217" s="1194">
        <f t="shared" si="97"/>
        <v>185</v>
      </c>
      <c r="K217" s="1194">
        <f t="shared" si="97"/>
        <v>185</v>
      </c>
      <c r="L217" s="1194">
        <f t="shared" si="97"/>
        <v>185</v>
      </c>
      <c r="M217" s="1194">
        <f t="shared" si="97"/>
        <v>185</v>
      </c>
      <c r="N217" s="1194">
        <f t="shared" si="97"/>
        <v>185</v>
      </c>
      <c r="O217" s="1194">
        <f t="shared" si="97"/>
        <v>185</v>
      </c>
      <c r="P217" s="1194">
        <f t="shared" si="97"/>
        <v>185</v>
      </c>
      <c r="Q217" s="1194">
        <f t="shared" si="97"/>
        <v>185</v>
      </c>
      <c r="R217" s="1194">
        <f>ROUND(D217*$R$222,0)</f>
        <v>0</v>
      </c>
    </row>
    <row r="218" spans="1:18" x14ac:dyDescent="0.2">
      <c r="A218" s="1214" t="str">
        <f t="shared" si="95"/>
        <v>Consulting Services</v>
      </c>
      <c r="B218" s="1110" t="s">
        <v>1408</v>
      </c>
      <c r="C218" s="1571">
        <v>988</v>
      </c>
      <c r="D218" s="1216">
        <f>ROUND(C218/$C$222,6)</f>
        <v>1.0472E-2</v>
      </c>
      <c r="E218" s="1582">
        <f t="shared" si="96"/>
        <v>2652</v>
      </c>
      <c r="F218" s="1194">
        <f t="shared" ref="F218:Q220" si="98">ROUND($D218*F$106,0)</f>
        <v>221</v>
      </c>
      <c r="G218" s="1194">
        <f t="shared" si="98"/>
        <v>221</v>
      </c>
      <c r="H218" s="1194">
        <f t="shared" si="98"/>
        <v>221</v>
      </c>
      <c r="I218" s="1194">
        <f t="shared" si="98"/>
        <v>221</v>
      </c>
      <c r="J218" s="1194">
        <f t="shared" si="98"/>
        <v>221</v>
      </c>
      <c r="K218" s="1194">
        <f t="shared" si="98"/>
        <v>221</v>
      </c>
      <c r="L218" s="1194">
        <f t="shared" si="98"/>
        <v>221</v>
      </c>
      <c r="M218" s="1194">
        <f t="shared" si="98"/>
        <v>221</v>
      </c>
      <c r="N218" s="1194">
        <f t="shared" si="98"/>
        <v>221</v>
      </c>
      <c r="O218" s="1194">
        <f t="shared" si="98"/>
        <v>221</v>
      </c>
      <c r="P218" s="1194">
        <f t="shared" si="98"/>
        <v>221</v>
      </c>
      <c r="Q218" s="1194">
        <f t="shared" si="98"/>
        <v>221</v>
      </c>
      <c r="R218" s="1194">
        <f t="shared" ref="R218:R220" si="99">ROUND(D218*$R$222,0)</f>
        <v>0</v>
      </c>
    </row>
    <row r="219" spans="1:18" x14ac:dyDescent="0.2">
      <c r="A219" s="1214" t="str">
        <f t="shared" si="95"/>
        <v>Consulting Services</v>
      </c>
      <c r="B219" s="1110" t="s">
        <v>1418</v>
      </c>
      <c r="C219" s="1571">
        <v>1232.74</v>
      </c>
      <c r="D219" s="1216">
        <f>ROUND(C219/$C$222,6)</f>
        <v>1.3065999999999999E-2</v>
      </c>
      <c r="E219" s="1582">
        <f t="shared" si="96"/>
        <v>3312</v>
      </c>
      <c r="F219" s="1194">
        <f t="shared" si="98"/>
        <v>276</v>
      </c>
      <c r="G219" s="1194">
        <f t="shared" si="98"/>
        <v>276</v>
      </c>
      <c r="H219" s="1194">
        <f t="shared" si="98"/>
        <v>276</v>
      </c>
      <c r="I219" s="1194">
        <f t="shared" si="98"/>
        <v>276</v>
      </c>
      <c r="J219" s="1194">
        <f t="shared" si="98"/>
        <v>276</v>
      </c>
      <c r="K219" s="1194">
        <f t="shared" si="98"/>
        <v>276</v>
      </c>
      <c r="L219" s="1194">
        <f t="shared" si="98"/>
        <v>276</v>
      </c>
      <c r="M219" s="1194">
        <f t="shared" si="98"/>
        <v>276</v>
      </c>
      <c r="N219" s="1194">
        <f t="shared" si="98"/>
        <v>276</v>
      </c>
      <c r="O219" s="1194">
        <f t="shared" si="98"/>
        <v>276</v>
      </c>
      <c r="P219" s="1194">
        <f t="shared" si="98"/>
        <v>276</v>
      </c>
      <c r="Q219" s="1194">
        <f t="shared" si="98"/>
        <v>276</v>
      </c>
      <c r="R219" s="1194">
        <f t="shared" si="99"/>
        <v>0</v>
      </c>
    </row>
    <row r="220" spans="1:18" x14ac:dyDescent="0.2">
      <c r="A220" s="1214" t="str">
        <f t="shared" si="95"/>
        <v>Consulting Services</v>
      </c>
      <c r="B220" s="1111" t="s">
        <v>1475</v>
      </c>
      <c r="C220" s="1571">
        <v>91026.61</v>
      </c>
      <c r="D220" s="1216">
        <f>ROUND(C220/$C$222,6)</f>
        <v>0.96482599999999996</v>
      </c>
      <c r="E220" s="1582">
        <f t="shared" si="96"/>
        <v>244510</v>
      </c>
      <c r="F220" s="1194">
        <f t="shared" si="98"/>
        <v>20376</v>
      </c>
      <c r="G220" s="1194">
        <f t="shared" si="98"/>
        <v>20376</v>
      </c>
      <c r="H220" s="1194">
        <f t="shared" si="98"/>
        <v>20376</v>
      </c>
      <c r="I220" s="1194">
        <f t="shared" si="98"/>
        <v>20376</v>
      </c>
      <c r="J220" s="1194">
        <f t="shared" si="98"/>
        <v>20376</v>
      </c>
      <c r="K220" s="1194">
        <f t="shared" si="98"/>
        <v>20376</v>
      </c>
      <c r="L220" s="1194">
        <f t="shared" si="98"/>
        <v>20376</v>
      </c>
      <c r="M220" s="1194">
        <f t="shared" si="98"/>
        <v>20376</v>
      </c>
      <c r="N220" s="1194">
        <f t="shared" si="98"/>
        <v>20376</v>
      </c>
      <c r="O220" s="1194">
        <f t="shared" si="98"/>
        <v>20376</v>
      </c>
      <c r="P220" s="1194">
        <f t="shared" si="98"/>
        <v>20374</v>
      </c>
      <c r="Q220" s="1194">
        <f t="shared" si="98"/>
        <v>20376</v>
      </c>
      <c r="R220" s="1194">
        <f t="shared" si="99"/>
        <v>0</v>
      </c>
    </row>
    <row r="221" spans="1:18" ht="13.5" x14ac:dyDescent="0.35">
      <c r="A221" s="1214" t="str">
        <f t="shared" si="95"/>
        <v>Consulting Services</v>
      </c>
      <c r="B221" s="1110" t="s">
        <v>1477</v>
      </c>
      <c r="C221" s="1623">
        <v>271</v>
      </c>
      <c r="D221" s="1217">
        <f>ROUND(C221/$C$222,6)</f>
        <v>2.872E-3</v>
      </c>
      <c r="E221" s="1587">
        <f t="shared" si="96"/>
        <v>732</v>
      </c>
      <c r="F221" s="1221">
        <f t="shared" ref="F221:Q221" si="100">F222-SUM(F217:F220)</f>
        <v>61</v>
      </c>
      <c r="G221" s="1221">
        <f t="shared" si="100"/>
        <v>61</v>
      </c>
      <c r="H221" s="1221">
        <f t="shared" si="100"/>
        <v>61</v>
      </c>
      <c r="I221" s="1221">
        <f t="shared" si="100"/>
        <v>61</v>
      </c>
      <c r="J221" s="1221">
        <f t="shared" si="100"/>
        <v>61</v>
      </c>
      <c r="K221" s="1221">
        <f t="shared" si="100"/>
        <v>61</v>
      </c>
      <c r="L221" s="1221">
        <f t="shared" si="100"/>
        <v>61</v>
      </c>
      <c r="M221" s="1221">
        <f t="shared" si="100"/>
        <v>61</v>
      </c>
      <c r="N221" s="1221">
        <f t="shared" si="100"/>
        <v>61</v>
      </c>
      <c r="O221" s="1221">
        <f t="shared" si="100"/>
        <v>61</v>
      </c>
      <c r="P221" s="1221">
        <f t="shared" si="100"/>
        <v>61</v>
      </c>
      <c r="Q221" s="1221">
        <f t="shared" si="100"/>
        <v>61</v>
      </c>
      <c r="R221" s="1218">
        <f>R222-SUM(R217:R220)</f>
        <v>0</v>
      </c>
    </row>
    <row r="222" spans="1:18" x14ac:dyDescent="0.2">
      <c r="A222" s="1214"/>
      <c r="B222" s="1110"/>
      <c r="C222" s="1582">
        <f>SUM(C217:C221)</f>
        <v>94345.15</v>
      </c>
      <c r="D222" s="1216">
        <f>SUM(D217:D221)</f>
        <v>1</v>
      </c>
      <c r="E222" s="1572">
        <f>SUM(E217:E221)</f>
        <v>253426</v>
      </c>
      <c r="F222" s="1194">
        <f t="shared" ref="F222:R222" si="101">F106</f>
        <v>21119</v>
      </c>
      <c r="G222" s="1194">
        <f t="shared" si="101"/>
        <v>21119</v>
      </c>
      <c r="H222" s="1194">
        <f t="shared" si="101"/>
        <v>21119</v>
      </c>
      <c r="I222" s="1194">
        <f t="shared" si="101"/>
        <v>21119</v>
      </c>
      <c r="J222" s="1194">
        <f t="shared" si="101"/>
        <v>21119</v>
      </c>
      <c r="K222" s="1194">
        <f t="shared" si="101"/>
        <v>21119</v>
      </c>
      <c r="L222" s="1194">
        <f t="shared" si="101"/>
        <v>21119</v>
      </c>
      <c r="M222" s="1194">
        <f t="shared" si="101"/>
        <v>21119</v>
      </c>
      <c r="N222" s="1194">
        <f t="shared" si="101"/>
        <v>21119</v>
      </c>
      <c r="O222" s="1194">
        <f t="shared" si="101"/>
        <v>21119</v>
      </c>
      <c r="P222" s="1194">
        <f t="shared" si="101"/>
        <v>21117</v>
      </c>
      <c r="Q222" s="1194">
        <f t="shared" si="101"/>
        <v>21119</v>
      </c>
      <c r="R222" s="1194">
        <f t="shared" si="101"/>
        <v>0</v>
      </c>
    </row>
    <row r="223" spans="1:18" x14ac:dyDescent="0.2">
      <c r="A223" s="1213"/>
      <c r="B223" s="1110"/>
      <c r="C223" s="1582"/>
      <c r="D223" s="1216"/>
      <c r="E223" s="1582"/>
      <c r="F223" s="1194"/>
      <c r="G223" s="1194"/>
      <c r="H223" s="1194"/>
      <c r="I223" s="1194"/>
      <c r="J223" s="1194"/>
      <c r="K223" s="1194"/>
      <c r="L223" s="1194"/>
      <c r="M223" s="1194"/>
      <c r="N223" s="1194"/>
      <c r="O223" s="1194"/>
      <c r="P223" s="1194"/>
      <c r="Q223" s="1194"/>
      <c r="R223" s="1194"/>
    </row>
    <row r="224" spans="1:18" x14ac:dyDescent="0.2">
      <c r="A224" s="1214" t="str">
        <f>B$108</f>
        <v>Legal Services</v>
      </c>
      <c r="B224" s="1111" t="s">
        <v>1408</v>
      </c>
      <c r="C224" s="1571">
        <v>0</v>
      </c>
      <c r="D224" s="1216">
        <v>1</v>
      </c>
      <c r="E224" s="1582">
        <f t="shared" ref="E224" si="102">SUM(F224:Q224)</f>
        <v>0</v>
      </c>
      <c r="F224" s="1194">
        <f t="shared" ref="F224:R224" si="103">F108</f>
        <v>0</v>
      </c>
      <c r="G224" s="1194">
        <f t="shared" si="103"/>
        <v>0</v>
      </c>
      <c r="H224" s="1194">
        <f t="shared" si="103"/>
        <v>0</v>
      </c>
      <c r="I224" s="1194">
        <f t="shared" si="103"/>
        <v>0</v>
      </c>
      <c r="J224" s="1194">
        <f t="shared" si="103"/>
        <v>0</v>
      </c>
      <c r="K224" s="1194">
        <f t="shared" si="103"/>
        <v>0</v>
      </c>
      <c r="L224" s="1194">
        <f t="shared" si="103"/>
        <v>0</v>
      </c>
      <c r="M224" s="1194">
        <f t="shared" si="103"/>
        <v>0</v>
      </c>
      <c r="N224" s="1194">
        <f t="shared" si="103"/>
        <v>0</v>
      </c>
      <c r="O224" s="1194">
        <f t="shared" si="103"/>
        <v>0</v>
      </c>
      <c r="P224" s="1194">
        <f t="shared" si="103"/>
        <v>0</v>
      </c>
      <c r="Q224" s="1194">
        <f t="shared" si="103"/>
        <v>0</v>
      </c>
      <c r="R224" s="1194">
        <f t="shared" si="103"/>
        <v>0</v>
      </c>
    </row>
    <row r="225" spans="1:18" x14ac:dyDescent="0.2">
      <c r="A225" s="1213"/>
      <c r="B225" s="1110"/>
      <c r="C225" s="1582"/>
      <c r="D225" s="1216"/>
      <c r="E225" s="1582"/>
      <c r="F225" s="1194"/>
      <c r="G225" s="1194"/>
      <c r="H225" s="1194"/>
      <c r="I225" s="1194"/>
      <c r="J225" s="1194"/>
      <c r="K225" s="1194"/>
      <c r="L225" s="1194"/>
      <c r="M225" s="1194"/>
      <c r="N225" s="1194"/>
      <c r="O225" s="1194"/>
      <c r="P225" s="1194"/>
      <c r="Q225" s="1194"/>
      <c r="R225" s="1194"/>
    </row>
    <row r="226" spans="1:18" x14ac:dyDescent="0.2">
      <c r="A226" s="1214" t="str">
        <f>$B$133</f>
        <v>Leases - Building/Land</v>
      </c>
      <c r="B226" s="1110" t="s">
        <v>1420</v>
      </c>
      <c r="C226" s="1571">
        <v>67885.539999999994</v>
      </c>
      <c r="D226" s="1216">
        <f>ROUND(C226/$C$229,6)</f>
        <v>-0.82570299999999996</v>
      </c>
      <c r="E226" s="1582">
        <f>SUM(F226:Q226)</f>
        <v>70235</v>
      </c>
      <c r="F226" s="1194">
        <f>ROUND($D226*F$229,0)</f>
        <v>5453</v>
      </c>
      <c r="G226" s="1194">
        <f t="shared" ref="G226:Q227" si="104">ROUND($D226*G$229,0)</f>
        <v>6533</v>
      </c>
      <c r="H226" s="1194">
        <f t="shared" si="104"/>
        <v>5753</v>
      </c>
      <c r="I226" s="1194">
        <f t="shared" si="104"/>
        <v>6353</v>
      </c>
      <c r="J226" s="1194">
        <f t="shared" si="104"/>
        <v>4792</v>
      </c>
      <c r="K226" s="1194">
        <f t="shared" si="104"/>
        <v>5273</v>
      </c>
      <c r="L226" s="1194">
        <f t="shared" si="104"/>
        <v>5993</v>
      </c>
      <c r="M226" s="1194">
        <f t="shared" si="104"/>
        <v>5993</v>
      </c>
      <c r="N226" s="1194">
        <f t="shared" si="104"/>
        <v>6353</v>
      </c>
      <c r="O226" s="1194">
        <f t="shared" si="104"/>
        <v>5753</v>
      </c>
      <c r="P226" s="1194">
        <f t="shared" si="104"/>
        <v>6533</v>
      </c>
      <c r="Q226" s="1194">
        <f t="shared" si="104"/>
        <v>5453</v>
      </c>
      <c r="R226" s="1194">
        <f>ROUND(D226*$R$229,0)</f>
        <v>0</v>
      </c>
    </row>
    <row r="227" spans="1:18" x14ac:dyDescent="0.2">
      <c r="A227" s="1214" t="str">
        <f>$B$133</f>
        <v>Leases - Building/Land</v>
      </c>
      <c r="B227" s="1110" t="s">
        <v>1489</v>
      </c>
      <c r="C227" s="1571">
        <v>-161568</v>
      </c>
      <c r="D227" s="1216">
        <f>ROUND(C227/$C$229,6)</f>
        <v>1.9651780000000001</v>
      </c>
      <c r="E227" s="1582">
        <f t="shared" ref="E227:E228" si="105">SUM(F227:Q227)</f>
        <v>-167156</v>
      </c>
      <c r="F227" s="1194">
        <f>ROUND($D227*F$229,0)</f>
        <v>-12978</v>
      </c>
      <c r="G227" s="1194">
        <f t="shared" si="104"/>
        <v>-15548</v>
      </c>
      <c r="H227" s="1194">
        <f t="shared" si="104"/>
        <v>-13691</v>
      </c>
      <c r="I227" s="1194">
        <f t="shared" si="104"/>
        <v>-15120</v>
      </c>
      <c r="J227" s="1194">
        <f t="shared" si="104"/>
        <v>-11406</v>
      </c>
      <c r="K227" s="1194">
        <f t="shared" si="104"/>
        <v>-12550</v>
      </c>
      <c r="L227" s="1194">
        <f t="shared" si="104"/>
        <v>-14263</v>
      </c>
      <c r="M227" s="1194">
        <f t="shared" si="104"/>
        <v>-14263</v>
      </c>
      <c r="N227" s="1194">
        <f t="shared" si="104"/>
        <v>-15120</v>
      </c>
      <c r="O227" s="1194">
        <f t="shared" si="104"/>
        <v>-13691</v>
      </c>
      <c r="P227" s="1194">
        <f t="shared" si="104"/>
        <v>-15548</v>
      </c>
      <c r="Q227" s="1194">
        <f t="shared" si="104"/>
        <v>-12978</v>
      </c>
      <c r="R227" s="1194">
        <f>ROUND(D227*$R$229,0)</f>
        <v>0</v>
      </c>
    </row>
    <row r="228" spans="1:18" ht="13.5" x14ac:dyDescent="0.35">
      <c r="A228" s="1214" t="str">
        <f>$B$133</f>
        <v>Leases - Building/Land</v>
      </c>
      <c r="B228" s="1110" t="s">
        <v>1491</v>
      </c>
      <c r="C228" s="1624">
        <v>11467</v>
      </c>
      <c r="D228" s="1217">
        <f>ROUND(C228/$C$229,6)</f>
        <v>-0.13947499999999999</v>
      </c>
      <c r="E228" s="1587">
        <f t="shared" si="105"/>
        <v>11861</v>
      </c>
      <c r="F228" s="1218">
        <f t="shared" ref="F228:Q228" si="106">F229-SUM(F226:F227)</f>
        <v>921</v>
      </c>
      <c r="G228" s="1218">
        <f t="shared" si="106"/>
        <v>1103</v>
      </c>
      <c r="H228" s="1218">
        <f t="shared" si="106"/>
        <v>971</v>
      </c>
      <c r="I228" s="1218">
        <f t="shared" si="106"/>
        <v>1073</v>
      </c>
      <c r="J228" s="1218">
        <f t="shared" si="106"/>
        <v>810</v>
      </c>
      <c r="K228" s="1218">
        <f t="shared" si="106"/>
        <v>891</v>
      </c>
      <c r="L228" s="1218">
        <f t="shared" si="106"/>
        <v>1012</v>
      </c>
      <c r="M228" s="1218">
        <f t="shared" si="106"/>
        <v>1012</v>
      </c>
      <c r="N228" s="1218">
        <f t="shared" si="106"/>
        <v>1073</v>
      </c>
      <c r="O228" s="1218">
        <f t="shared" si="106"/>
        <v>971</v>
      </c>
      <c r="P228" s="1218">
        <f t="shared" si="106"/>
        <v>1103</v>
      </c>
      <c r="Q228" s="1218">
        <f t="shared" si="106"/>
        <v>921</v>
      </c>
      <c r="R228" s="1218">
        <f>R229-SUM(R226:R227)</f>
        <v>0</v>
      </c>
    </row>
    <row r="229" spans="1:18" x14ac:dyDescent="0.2">
      <c r="A229" s="1213"/>
      <c r="B229" s="1110"/>
      <c r="C229" s="1582">
        <f>SUM(C226:C228)</f>
        <v>-82215.460000000006</v>
      </c>
      <c r="D229" s="1216">
        <f>SUM(D226:D228)</f>
        <v>1</v>
      </c>
      <c r="E229" s="1572">
        <f>SUM(E226:E228)</f>
        <v>-85060</v>
      </c>
      <c r="F229" s="1194">
        <f t="shared" ref="F229:R229" si="107">F133</f>
        <v>-6604</v>
      </c>
      <c r="G229" s="1194">
        <f t="shared" si="107"/>
        <v>-7912</v>
      </c>
      <c r="H229" s="1194">
        <f t="shared" si="107"/>
        <v>-6967</v>
      </c>
      <c r="I229" s="1194">
        <f t="shared" si="107"/>
        <v>-7694</v>
      </c>
      <c r="J229" s="1194">
        <f t="shared" si="107"/>
        <v>-5804</v>
      </c>
      <c r="K229" s="1194">
        <f t="shared" si="107"/>
        <v>-6386</v>
      </c>
      <c r="L229" s="1194">
        <f t="shared" si="107"/>
        <v>-7258</v>
      </c>
      <c r="M229" s="1194">
        <f t="shared" si="107"/>
        <v>-7258</v>
      </c>
      <c r="N229" s="1194">
        <f t="shared" si="107"/>
        <v>-7694</v>
      </c>
      <c r="O229" s="1194">
        <f t="shared" si="107"/>
        <v>-6967</v>
      </c>
      <c r="P229" s="1194">
        <f t="shared" si="107"/>
        <v>-7912</v>
      </c>
      <c r="Q229" s="1194">
        <f t="shared" si="107"/>
        <v>-6604</v>
      </c>
      <c r="R229" s="1194">
        <f t="shared" si="107"/>
        <v>0</v>
      </c>
    </row>
    <row r="230" spans="1:18" x14ac:dyDescent="0.2">
      <c r="A230" s="1213"/>
      <c r="B230" s="1110"/>
      <c r="C230" s="1582"/>
      <c r="D230" s="1216"/>
      <c r="E230" s="1582"/>
      <c r="F230" s="1194"/>
      <c r="G230" s="1194"/>
      <c r="H230" s="1194"/>
      <c r="K230" s="1194"/>
      <c r="L230" s="1194"/>
      <c r="M230" s="1194"/>
      <c r="N230" s="1194"/>
    </row>
    <row r="231" spans="1:18" x14ac:dyDescent="0.2">
      <c r="A231" s="1214" t="str">
        <f>$B$134</f>
        <v>Leases - Other</v>
      </c>
      <c r="B231" s="1110" t="s">
        <v>1408</v>
      </c>
      <c r="C231" s="1571">
        <v>706.37</v>
      </c>
      <c r="D231" s="1216">
        <f>ROUND(C231/$C$243,6)</f>
        <v>3.869E-3</v>
      </c>
      <c r="E231" s="1582">
        <f>SUM(F231:Q231)</f>
        <v>751</v>
      </c>
      <c r="F231" s="1194">
        <f>ROUND($D231*F$243,0)</f>
        <v>63</v>
      </c>
      <c r="G231" s="1194">
        <f t="shared" ref="G231:Q231" si="108">ROUND($D231*G$243,0)</f>
        <v>56</v>
      </c>
      <c r="H231" s="1194">
        <f t="shared" si="108"/>
        <v>70</v>
      </c>
      <c r="I231" s="1194">
        <f t="shared" si="108"/>
        <v>55</v>
      </c>
      <c r="J231" s="1194">
        <f t="shared" si="108"/>
        <v>65</v>
      </c>
      <c r="K231" s="1194">
        <f t="shared" si="108"/>
        <v>68</v>
      </c>
      <c r="L231" s="1194">
        <f t="shared" si="108"/>
        <v>62</v>
      </c>
      <c r="M231" s="1194">
        <f t="shared" si="108"/>
        <v>62</v>
      </c>
      <c r="N231" s="1194">
        <f t="shared" si="108"/>
        <v>62</v>
      </c>
      <c r="O231" s="1194">
        <f t="shared" si="108"/>
        <v>63</v>
      </c>
      <c r="P231" s="1194">
        <f t="shared" si="108"/>
        <v>62</v>
      </c>
      <c r="Q231" s="1194">
        <f t="shared" si="108"/>
        <v>63</v>
      </c>
      <c r="R231" s="1194">
        <f>ROUND(D231*$R$243,0)</f>
        <v>0</v>
      </c>
    </row>
    <row r="232" spans="1:18" x14ac:dyDescent="0.2">
      <c r="A232" s="1214" t="str">
        <f t="shared" ref="A232:A242" si="109">$B$134</f>
        <v>Leases - Other</v>
      </c>
      <c r="B232" s="1110" t="s">
        <v>1410</v>
      </c>
      <c r="C232" s="1571">
        <v>52.58</v>
      </c>
      <c r="D232" s="1216">
        <f t="shared" ref="D232:D238" si="110">ROUND(C232/$C$243,6)</f>
        <v>2.8800000000000001E-4</v>
      </c>
      <c r="E232" s="1582">
        <f t="shared" ref="E232:E242" si="111">SUM(F232:Q232)</f>
        <v>58</v>
      </c>
      <c r="F232" s="1194">
        <f t="shared" ref="F232:Q241" si="112">ROUND($D232*F$243,0)</f>
        <v>5</v>
      </c>
      <c r="G232" s="1194">
        <f t="shared" si="112"/>
        <v>4</v>
      </c>
      <c r="H232" s="1194">
        <f t="shared" si="112"/>
        <v>5</v>
      </c>
      <c r="I232" s="1194">
        <f t="shared" si="112"/>
        <v>4</v>
      </c>
      <c r="J232" s="1194">
        <f t="shared" si="112"/>
        <v>5</v>
      </c>
      <c r="K232" s="1194">
        <f t="shared" si="112"/>
        <v>5</v>
      </c>
      <c r="L232" s="1194">
        <f t="shared" si="112"/>
        <v>5</v>
      </c>
      <c r="M232" s="1194">
        <f t="shared" si="112"/>
        <v>5</v>
      </c>
      <c r="N232" s="1194">
        <f t="shared" si="112"/>
        <v>5</v>
      </c>
      <c r="O232" s="1194">
        <f t="shared" si="112"/>
        <v>5</v>
      </c>
      <c r="P232" s="1194">
        <f t="shared" si="112"/>
        <v>5</v>
      </c>
      <c r="Q232" s="1194">
        <f t="shared" si="112"/>
        <v>5</v>
      </c>
      <c r="R232" s="1194">
        <f t="shared" ref="R232:R241" si="113">ROUND(D232*$R$243,0)</f>
        <v>0</v>
      </c>
    </row>
    <row r="233" spans="1:18" x14ac:dyDescent="0.2">
      <c r="A233" s="1214" t="str">
        <f t="shared" si="109"/>
        <v>Leases - Other</v>
      </c>
      <c r="B233" s="1110" t="s">
        <v>1414</v>
      </c>
      <c r="C233" s="1571">
        <v>344.88</v>
      </c>
      <c r="D233" s="1216">
        <f t="shared" si="110"/>
        <v>1.8890000000000001E-3</v>
      </c>
      <c r="E233" s="1582">
        <f t="shared" si="111"/>
        <v>366</v>
      </c>
      <c r="F233" s="1194">
        <f t="shared" si="112"/>
        <v>31</v>
      </c>
      <c r="G233" s="1194">
        <f t="shared" si="112"/>
        <v>27</v>
      </c>
      <c r="H233" s="1194">
        <f t="shared" si="112"/>
        <v>34</v>
      </c>
      <c r="I233" s="1194">
        <f t="shared" si="112"/>
        <v>27</v>
      </c>
      <c r="J233" s="1194">
        <f t="shared" si="112"/>
        <v>32</v>
      </c>
      <c r="K233" s="1194">
        <f t="shared" si="112"/>
        <v>33</v>
      </c>
      <c r="L233" s="1194">
        <f t="shared" si="112"/>
        <v>30</v>
      </c>
      <c r="M233" s="1194">
        <f t="shared" si="112"/>
        <v>30</v>
      </c>
      <c r="N233" s="1194">
        <f t="shared" si="112"/>
        <v>30</v>
      </c>
      <c r="O233" s="1194">
        <f t="shared" si="112"/>
        <v>31</v>
      </c>
      <c r="P233" s="1194">
        <f t="shared" si="112"/>
        <v>30</v>
      </c>
      <c r="Q233" s="1194">
        <f t="shared" si="112"/>
        <v>31</v>
      </c>
      <c r="R233" s="1194">
        <f t="shared" si="113"/>
        <v>0</v>
      </c>
    </row>
    <row r="234" spans="1:18" x14ac:dyDescent="0.2">
      <c r="A234" s="1214" t="str">
        <f t="shared" si="109"/>
        <v>Leases - Other</v>
      </c>
      <c r="B234" s="1110" t="s">
        <v>1416</v>
      </c>
      <c r="C234" s="1571">
        <v>260.10000000000002</v>
      </c>
      <c r="D234" s="1216">
        <f t="shared" si="110"/>
        <v>1.4250000000000001E-3</v>
      </c>
      <c r="E234" s="1582">
        <f t="shared" si="111"/>
        <v>277</v>
      </c>
      <c r="F234" s="1194">
        <f t="shared" si="112"/>
        <v>23</v>
      </c>
      <c r="G234" s="1194">
        <f t="shared" si="112"/>
        <v>21</v>
      </c>
      <c r="H234" s="1194">
        <f t="shared" si="112"/>
        <v>26</v>
      </c>
      <c r="I234" s="1194">
        <f t="shared" si="112"/>
        <v>20</v>
      </c>
      <c r="J234" s="1194">
        <f t="shared" si="112"/>
        <v>24</v>
      </c>
      <c r="K234" s="1194">
        <f t="shared" si="112"/>
        <v>25</v>
      </c>
      <c r="L234" s="1194">
        <f t="shared" si="112"/>
        <v>23</v>
      </c>
      <c r="M234" s="1194">
        <f t="shared" si="112"/>
        <v>23</v>
      </c>
      <c r="N234" s="1194">
        <f t="shared" si="112"/>
        <v>23</v>
      </c>
      <c r="O234" s="1194">
        <f t="shared" si="112"/>
        <v>23</v>
      </c>
      <c r="P234" s="1194">
        <f t="shared" si="112"/>
        <v>23</v>
      </c>
      <c r="Q234" s="1194">
        <f t="shared" si="112"/>
        <v>23</v>
      </c>
      <c r="R234" s="1194">
        <f t="shared" si="113"/>
        <v>0</v>
      </c>
    </row>
    <row r="235" spans="1:18" x14ac:dyDescent="0.2">
      <c r="A235" s="1214" t="str">
        <f t="shared" si="109"/>
        <v>Leases - Other</v>
      </c>
      <c r="B235" s="1110" t="s">
        <v>1418</v>
      </c>
      <c r="C235" s="1571">
        <v>15744.62</v>
      </c>
      <c r="D235" s="1216">
        <f t="shared" si="110"/>
        <v>8.6233000000000004E-2</v>
      </c>
      <c r="E235" s="1582">
        <f t="shared" si="111"/>
        <v>16711</v>
      </c>
      <c r="F235" s="1194">
        <f t="shared" si="112"/>
        <v>1397</v>
      </c>
      <c r="G235" s="1194">
        <f t="shared" si="112"/>
        <v>1241</v>
      </c>
      <c r="H235" s="1194">
        <f t="shared" si="112"/>
        <v>1552</v>
      </c>
      <c r="I235" s="1194">
        <f t="shared" si="112"/>
        <v>1222</v>
      </c>
      <c r="J235" s="1194">
        <f t="shared" si="112"/>
        <v>1441</v>
      </c>
      <c r="K235" s="1194">
        <f t="shared" si="112"/>
        <v>1509</v>
      </c>
      <c r="L235" s="1194">
        <f t="shared" si="112"/>
        <v>1389</v>
      </c>
      <c r="M235" s="1194">
        <f t="shared" si="112"/>
        <v>1390</v>
      </c>
      <c r="N235" s="1194">
        <f t="shared" si="112"/>
        <v>1384</v>
      </c>
      <c r="O235" s="1194">
        <f t="shared" si="112"/>
        <v>1397</v>
      </c>
      <c r="P235" s="1194">
        <f t="shared" si="112"/>
        <v>1383</v>
      </c>
      <c r="Q235" s="1194">
        <f t="shared" si="112"/>
        <v>1406</v>
      </c>
      <c r="R235" s="1194">
        <f t="shared" si="113"/>
        <v>0</v>
      </c>
    </row>
    <row r="236" spans="1:18" x14ac:dyDescent="0.2">
      <c r="A236" s="1214" t="str">
        <f t="shared" si="109"/>
        <v>Leases - Other</v>
      </c>
      <c r="B236" s="1110" t="s">
        <v>1420</v>
      </c>
      <c r="C236" s="1571">
        <v>14624.8</v>
      </c>
      <c r="D236" s="1216">
        <f t="shared" si="110"/>
        <v>8.0100000000000005E-2</v>
      </c>
      <c r="E236" s="1582">
        <f t="shared" si="111"/>
        <v>15522</v>
      </c>
      <c r="F236" s="1194">
        <f t="shared" si="112"/>
        <v>1297</v>
      </c>
      <c r="G236" s="1194">
        <f t="shared" si="112"/>
        <v>1153</v>
      </c>
      <c r="H236" s="1194">
        <f t="shared" si="112"/>
        <v>1442</v>
      </c>
      <c r="I236" s="1194">
        <f t="shared" si="112"/>
        <v>1135</v>
      </c>
      <c r="J236" s="1194">
        <f t="shared" si="112"/>
        <v>1339</v>
      </c>
      <c r="K236" s="1194">
        <f t="shared" si="112"/>
        <v>1402</v>
      </c>
      <c r="L236" s="1194">
        <f t="shared" si="112"/>
        <v>1290</v>
      </c>
      <c r="M236" s="1194">
        <f t="shared" si="112"/>
        <v>1291</v>
      </c>
      <c r="N236" s="1194">
        <f t="shared" si="112"/>
        <v>1285</v>
      </c>
      <c r="O236" s="1194">
        <f t="shared" si="112"/>
        <v>1298</v>
      </c>
      <c r="P236" s="1194">
        <f t="shared" si="112"/>
        <v>1284</v>
      </c>
      <c r="Q236" s="1194">
        <f t="shared" si="112"/>
        <v>1306</v>
      </c>
      <c r="R236" s="1194">
        <f t="shared" si="113"/>
        <v>0</v>
      </c>
    </row>
    <row r="237" spans="1:18" x14ac:dyDescent="0.2">
      <c r="A237" s="1214" t="str">
        <f t="shared" si="109"/>
        <v>Leases - Other</v>
      </c>
      <c r="B237" s="1110" t="s">
        <v>1427</v>
      </c>
      <c r="C237" s="1571">
        <v>564.38</v>
      </c>
      <c r="D237" s="1216">
        <f t="shared" si="110"/>
        <v>3.091E-3</v>
      </c>
      <c r="E237" s="1582">
        <f t="shared" si="111"/>
        <v>600</v>
      </c>
      <c r="F237" s="1194">
        <f t="shared" si="112"/>
        <v>50</v>
      </c>
      <c r="G237" s="1194">
        <f t="shared" si="112"/>
        <v>44</v>
      </c>
      <c r="H237" s="1194">
        <f t="shared" si="112"/>
        <v>56</v>
      </c>
      <c r="I237" s="1194">
        <f t="shared" si="112"/>
        <v>44</v>
      </c>
      <c r="J237" s="1194">
        <f t="shared" si="112"/>
        <v>52</v>
      </c>
      <c r="K237" s="1194">
        <f t="shared" si="112"/>
        <v>54</v>
      </c>
      <c r="L237" s="1194">
        <f t="shared" si="112"/>
        <v>50</v>
      </c>
      <c r="M237" s="1194">
        <f t="shared" si="112"/>
        <v>50</v>
      </c>
      <c r="N237" s="1194">
        <f t="shared" si="112"/>
        <v>50</v>
      </c>
      <c r="O237" s="1194">
        <f t="shared" si="112"/>
        <v>50</v>
      </c>
      <c r="P237" s="1194">
        <f t="shared" si="112"/>
        <v>50</v>
      </c>
      <c r="Q237" s="1194">
        <f t="shared" si="112"/>
        <v>50</v>
      </c>
      <c r="R237" s="1194">
        <f t="shared" si="113"/>
        <v>0</v>
      </c>
    </row>
    <row r="238" spans="1:18" x14ac:dyDescent="0.2">
      <c r="A238" s="1214" t="str">
        <f t="shared" si="109"/>
        <v>Leases - Other</v>
      </c>
      <c r="B238" s="1110" t="s">
        <v>1431</v>
      </c>
      <c r="C238" s="1571">
        <v>103.32</v>
      </c>
      <c r="D238" s="1216">
        <f t="shared" si="110"/>
        <v>5.6599999999999999E-4</v>
      </c>
      <c r="E238" s="1582">
        <f t="shared" si="111"/>
        <v>108</v>
      </c>
      <c r="F238" s="1194">
        <f t="shared" si="112"/>
        <v>9</v>
      </c>
      <c r="G238" s="1194">
        <f t="shared" si="112"/>
        <v>8</v>
      </c>
      <c r="H238" s="1194">
        <f t="shared" si="112"/>
        <v>10</v>
      </c>
      <c r="I238" s="1194">
        <f t="shared" si="112"/>
        <v>8</v>
      </c>
      <c r="J238" s="1194">
        <f t="shared" si="112"/>
        <v>9</v>
      </c>
      <c r="K238" s="1194">
        <f t="shared" si="112"/>
        <v>10</v>
      </c>
      <c r="L238" s="1194">
        <f t="shared" si="112"/>
        <v>9</v>
      </c>
      <c r="M238" s="1194">
        <f t="shared" si="112"/>
        <v>9</v>
      </c>
      <c r="N238" s="1194">
        <f t="shared" si="112"/>
        <v>9</v>
      </c>
      <c r="O238" s="1194">
        <f t="shared" si="112"/>
        <v>9</v>
      </c>
      <c r="P238" s="1194">
        <f t="shared" si="112"/>
        <v>9</v>
      </c>
      <c r="Q238" s="1194">
        <f t="shared" si="112"/>
        <v>9</v>
      </c>
      <c r="R238" s="1194">
        <f t="shared" si="113"/>
        <v>0</v>
      </c>
    </row>
    <row r="239" spans="1:18" x14ac:dyDescent="0.2">
      <c r="A239" s="1214" t="str">
        <f t="shared" si="109"/>
        <v>Leases - Other</v>
      </c>
      <c r="B239" s="1111" t="s">
        <v>1444</v>
      </c>
      <c r="C239" s="1571">
        <v>93.24</v>
      </c>
      <c r="D239" s="1216">
        <f>ROUND(C239/$C$243,6)</f>
        <v>5.1099999999999995E-4</v>
      </c>
      <c r="E239" s="1582">
        <f t="shared" si="111"/>
        <v>97</v>
      </c>
      <c r="F239" s="1194">
        <f t="shared" si="112"/>
        <v>8</v>
      </c>
      <c r="G239" s="1194">
        <f t="shared" si="112"/>
        <v>7</v>
      </c>
      <c r="H239" s="1194">
        <f t="shared" si="112"/>
        <v>9</v>
      </c>
      <c r="I239" s="1194">
        <f t="shared" si="112"/>
        <v>7</v>
      </c>
      <c r="J239" s="1194">
        <f t="shared" si="112"/>
        <v>9</v>
      </c>
      <c r="K239" s="1194">
        <f t="shared" si="112"/>
        <v>9</v>
      </c>
      <c r="L239" s="1194">
        <f t="shared" si="112"/>
        <v>8</v>
      </c>
      <c r="M239" s="1194">
        <f t="shared" si="112"/>
        <v>8</v>
      </c>
      <c r="N239" s="1194">
        <f t="shared" si="112"/>
        <v>8</v>
      </c>
      <c r="O239" s="1194">
        <f t="shared" si="112"/>
        <v>8</v>
      </c>
      <c r="P239" s="1194">
        <f t="shared" si="112"/>
        <v>8</v>
      </c>
      <c r="Q239" s="1194">
        <f t="shared" si="112"/>
        <v>8</v>
      </c>
      <c r="R239" s="1194">
        <f t="shared" si="113"/>
        <v>0</v>
      </c>
    </row>
    <row r="240" spans="1:18" x14ac:dyDescent="0.2">
      <c r="A240" s="1214" t="str">
        <f t="shared" si="109"/>
        <v>Leases - Other</v>
      </c>
      <c r="B240" s="1111" t="s">
        <v>1474</v>
      </c>
      <c r="C240" s="1571">
        <v>134722.78</v>
      </c>
      <c r="D240" s="1216">
        <f>ROUND(C240/$C$243,6)</f>
        <v>0.73787199999999997</v>
      </c>
      <c r="E240" s="1582">
        <f t="shared" si="111"/>
        <v>142987</v>
      </c>
      <c r="F240" s="1194">
        <f t="shared" si="112"/>
        <v>11950</v>
      </c>
      <c r="G240" s="1194">
        <f t="shared" si="112"/>
        <v>10618</v>
      </c>
      <c r="H240" s="1194">
        <f t="shared" si="112"/>
        <v>13282</v>
      </c>
      <c r="I240" s="1194">
        <f t="shared" si="112"/>
        <v>10456</v>
      </c>
      <c r="J240" s="1194">
        <f t="shared" si="112"/>
        <v>12331</v>
      </c>
      <c r="K240" s="1194">
        <f t="shared" si="112"/>
        <v>12916</v>
      </c>
      <c r="L240" s="1194">
        <f t="shared" si="112"/>
        <v>11883</v>
      </c>
      <c r="M240" s="1194">
        <f t="shared" si="112"/>
        <v>11894</v>
      </c>
      <c r="N240" s="1194">
        <f t="shared" si="112"/>
        <v>11841</v>
      </c>
      <c r="O240" s="1194">
        <f t="shared" si="112"/>
        <v>11956</v>
      </c>
      <c r="P240" s="1194">
        <f t="shared" si="112"/>
        <v>11830</v>
      </c>
      <c r="Q240" s="1194">
        <f t="shared" si="112"/>
        <v>12030</v>
      </c>
      <c r="R240" s="1194">
        <f t="shared" si="113"/>
        <v>0</v>
      </c>
    </row>
    <row r="241" spans="1:18" x14ac:dyDescent="0.2">
      <c r="A241" s="1214" t="str">
        <f t="shared" si="109"/>
        <v>Leases - Other</v>
      </c>
      <c r="B241" s="1111" t="s">
        <v>1475</v>
      </c>
      <c r="C241" s="1571">
        <v>15302.37</v>
      </c>
      <c r="D241" s="1216">
        <f>ROUND(C241/$C$243,6)</f>
        <v>8.3810999999999997E-2</v>
      </c>
      <c r="E241" s="1582">
        <f t="shared" si="111"/>
        <v>16242</v>
      </c>
      <c r="F241" s="1194">
        <f t="shared" si="112"/>
        <v>1357</v>
      </c>
      <c r="G241" s="1194">
        <f t="shared" si="112"/>
        <v>1206</v>
      </c>
      <c r="H241" s="1194">
        <f t="shared" si="112"/>
        <v>1509</v>
      </c>
      <c r="I241" s="1194">
        <f t="shared" si="112"/>
        <v>1188</v>
      </c>
      <c r="J241" s="1194">
        <f t="shared" si="112"/>
        <v>1401</v>
      </c>
      <c r="K241" s="1194">
        <f t="shared" si="112"/>
        <v>1467</v>
      </c>
      <c r="L241" s="1194">
        <f t="shared" si="112"/>
        <v>1350</v>
      </c>
      <c r="M241" s="1194">
        <f t="shared" si="112"/>
        <v>1351</v>
      </c>
      <c r="N241" s="1194">
        <f t="shared" si="112"/>
        <v>1345</v>
      </c>
      <c r="O241" s="1194">
        <f t="shared" si="112"/>
        <v>1358</v>
      </c>
      <c r="P241" s="1194">
        <f t="shared" si="112"/>
        <v>1344</v>
      </c>
      <c r="Q241" s="1194">
        <f t="shared" si="112"/>
        <v>1366</v>
      </c>
      <c r="R241" s="1194">
        <f t="shared" si="113"/>
        <v>0</v>
      </c>
    </row>
    <row r="242" spans="1:18" ht="13.5" x14ac:dyDescent="0.35">
      <c r="A242" s="1214" t="str">
        <f t="shared" si="109"/>
        <v>Leases - Other</v>
      </c>
      <c r="B242" s="1110" t="s">
        <v>1489</v>
      </c>
      <c r="C242" s="1623">
        <v>63.42</v>
      </c>
      <c r="D242" s="1217">
        <f>ROUND(C242/$C$243,6)</f>
        <v>3.4699999999999998E-4</v>
      </c>
      <c r="E242" s="1587">
        <f t="shared" si="111"/>
        <v>66</v>
      </c>
      <c r="F242" s="1218">
        <f>F243-SUM(F231:F241)</f>
        <v>5</v>
      </c>
      <c r="G242" s="1218">
        <f t="shared" ref="G242:Q242" si="114">G243-SUM(G231:G241)</f>
        <v>5</v>
      </c>
      <c r="H242" s="1218">
        <f t="shared" si="114"/>
        <v>6</v>
      </c>
      <c r="I242" s="1218">
        <f t="shared" si="114"/>
        <v>5</v>
      </c>
      <c r="J242" s="1218">
        <f t="shared" si="114"/>
        <v>4</v>
      </c>
      <c r="K242" s="1218">
        <f t="shared" si="114"/>
        <v>6</v>
      </c>
      <c r="L242" s="1218">
        <f t="shared" si="114"/>
        <v>6</v>
      </c>
      <c r="M242" s="1218">
        <f t="shared" si="114"/>
        <v>6</v>
      </c>
      <c r="N242" s="1218">
        <f t="shared" si="114"/>
        <v>6</v>
      </c>
      <c r="O242" s="1218">
        <f t="shared" si="114"/>
        <v>6</v>
      </c>
      <c r="P242" s="1218">
        <f t="shared" si="114"/>
        <v>5</v>
      </c>
      <c r="Q242" s="1218">
        <f t="shared" si="114"/>
        <v>6</v>
      </c>
      <c r="R242" s="1218">
        <f>R243-SUM(R231:R241)</f>
        <v>0</v>
      </c>
    </row>
    <row r="243" spans="1:18" x14ac:dyDescent="0.2">
      <c r="A243" s="1213"/>
      <c r="B243" s="1110"/>
      <c r="C243" s="1582">
        <f>SUM(C231:C242)</f>
        <v>182582.86000000002</v>
      </c>
      <c r="D243" s="1216">
        <f>SUM(D231:D242)</f>
        <v>1.0000020000000001</v>
      </c>
      <c r="E243" s="1582">
        <f>SUM(E231:E242)</f>
        <v>193785</v>
      </c>
      <c r="F243" s="1194">
        <f t="shared" ref="F243:R243" si="115">F134</f>
        <v>16195</v>
      </c>
      <c r="G243" s="1194">
        <f t="shared" si="115"/>
        <v>14390</v>
      </c>
      <c r="H243" s="1194">
        <f t="shared" si="115"/>
        <v>18001</v>
      </c>
      <c r="I243" s="1194">
        <f t="shared" si="115"/>
        <v>14171</v>
      </c>
      <c r="J243" s="1194">
        <f t="shared" si="115"/>
        <v>16712</v>
      </c>
      <c r="K243" s="1194">
        <f t="shared" si="115"/>
        <v>17504</v>
      </c>
      <c r="L243" s="1194">
        <f t="shared" si="115"/>
        <v>16105</v>
      </c>
      <c r="M243" s="1194">
        <f t="shared" si="115"/>
        <v>16119</v>
      </c>
      <c r="N243" s="1194">
        <f t="shared" si="115"/>
        <v>16048</v>
      </c>
      <c r="O243" s="1194">
        <f t="shared" si="115"/>
        <v>16204</v>
      </c>
      <c r="P243" s="1194">
        <f t="shared" si="115"/>
        <v>16033</v>
      </c>
      <c r="Q243" s="1194">
        <f t="shared" si="115"/>
        <v>16303</v>
      </c>
      <c r="R243" s="1194">
        <f t="shared" si="115"/>
        <v>0</v>
      </c>
    </row>
    <row r="244" spans="1:18" x14ac:dyDescent="0.2">
      <c r="A244" s="1213"/>
      <c r="B244" s="1110"/>
      <c r="C244" s="1582"/>
      <c r="D244" s="1216"/>
      <c r="E244" s="1582"/>
      <c r="F244" s="1194"/>
      <c r="G244" s="1194"/>
      <c r="H244" s="1194"/>
      <c r="I244" s="1194"/>
      <c r="J244" s="1194"/>
      <c r="K244" s="1194"/>
      <c r="L244" s="1194"/>
      <c r="M244" s="1194"/>
      <c r="N244" s="1194"/>
      <c r="O244" s="1194"/>
      <c r="P244" s="1194"/>
      <c r="Q244" s="1194"/>
      <c r="R244" s="1194"/>
    </row>
    <row r="245" spans="1:18" x14ac:dyDescent="0.2">
      <c r="A245" s="1214" t="str">
        <f>$B$125</f>
        <v>Insurance</v>
      </c>
      <c r="B245" s="1110" t="s">
        <v>1418</v>
      </c>
      <c r="C245" s="1571">
        <v>3.52</v>
      </c>
      <c r="D245" s="1216">
        <f>ROUND(C245/$C$250,6)</f>
        <v>6.0000000000000002E-6</v>
      </c>
      <c r="E245" s="1582">
        <f>SUM(F245:Q245)</f>
        <v>0</v>
      </c>
      <c r="F245" s="1194">
        <f>ROUND($D245*F$250,0)</f>
        <v>0</v>
      </c>
      <c r="G245" s="1194">
        <f t="shared" ref="G245:Q245" si="116">ROUND($D245*G$250,0)</f>
        <v>0</v>
      </c>
      <c r="H245" s="1194">
        <f t="shared" si="116"/>
        <v>0</v>
      </c>
      <c r="I245" s="1194">
        <f t="shared" si="116"/>
        <v>0</v>
      </c>
      <c r="J245" s="1194">
        <f t="shared" si="116"/>
        <v>0</v>
      </c>
      <c r="K245" s="1194">
        <f t="shared" si="116"/>
        <v>0</v>
      </c>
      <c r="L245" s="1194">
        <f t="shared" si="116"/>
        <v>0</v>
      </c>
      <c r="M245" s="1194">
        <f t="shared" si="116"/>
        <v>0</v>
      </c>
      <c r="N245" s="1194">
        <f t="shared" si="116"/>
        <v>0</v>
      </c>
      <c r="O245" s="1194">
        <f t="shared" si="116"/>
        <v>0</v>
      </c>
      <c r="P245" s="1194">
        <f t="shared" si="116"/>
        <v>0</v>
      </c>
      <c r="Q245" s="1194">
        <f t="shared" si="116"/>
        <v>0</v>
      </c>
      <c r="R245" s="1194">
        <f>ROUND(D245*$R$250,0)</f>
        <v>0</v>
      </c>
    </row>
    <row r="246" spans="1:18" x14ac:dyDescent="0.2">
      <c r="A246" s="1214" t="str">
        <f t="shared" ref="A246:A248" si="117">$B$125</f>
        <v>Insurance</v>
      </c>
      <c r="B246" s="1110" t="s">
        <v>1427</v>
      </c>
      <c r="C246" s="1571">
        <v>8.74</v>
      </c>
      <c r="D246" s="1216">
        <f t="shared" ref="D246:D248" si="118">ROUND(C246/$C$250,6)</f>
        <v>1.5999999999999999E-5</v>
      </c>
      <c r="E246" s="1582">
        <f t="shared" ref="E246:E249" si="119">SUM(F246:Q246)</f>
        <v>12</v>
      </c>
      <c r="F246" s="1194">
        <f t="shared" ref="F246:Q248" si="120">ROUND($D246*F$250,0)</f>
        <v>1</v>
      </c>
      <c r="G246" s="1194">
        <f t="shared" si="120"/>
        <v>1</v>
      </c>
      <c r="H246" s="1194">
        <f t="shared" si="120"/>
        <v>1</v>
      </c>
      <c r="I246" s="1194">
        <f t="shared" si="120"/>
        <v>1</v>
      </c>
      <c r="J246" s="1194">
        <f t="shared" si="120"/>
        <v>1</v>
      </c>
      <c r="K246" s="1194">
        <f t="shared" si="120"/>
        <v>1</v>
      </c>
      <c r="L246" s="1194">
        <f t="shared" si="120"/>
        <v>1</v>
      </c>
      <c r="M246" s="1194">
        <f t="shared" si="120"/>
        <v>1</v>
      </c>
      <c r="N246" s="1194">
        <f t="shared" si="120"/>
        <v>1</v>
      </c>
      <c r="O246" s="1194">
        <f t="shared" si="120"/>
        <v>1</v>
      </c>
      <c r="P246" s="1194">
        <f t="shared" si="120"/>
        <v>1</v>
      </c>
      <c r="Q246" s="1194">
        <f t="shared" si="120"/>
        <v>1</v>
      </c>
      <c r="R246" s="1194">
        <f t="shared" ref="R246:R248" si="121">ROUND(D246*$R$250,0)</f>
        <v>0</v>
      </c>
    </row>
    <row r="247" spans="1:18" x14ac:dyDescent="0.2">
      <c r="A247" s="1214" t="str">
        <f t="shared" si="117"/>
        <v>Insurance</v>
      </c>
      <c r="B247" s="1110" t="s">
        <v>1431</v>
      </c>
      <c r="C247" s="1571">
        <v>3.07</v>
      </c>
      <c r="D247" s="1216">
        <f t="shared" si="118"/>
        <v>6.0000000000000002E-6</v>
      </c>
      <c r="E247" s="1582">
        <f t="shared" si="119"/>
        <v>0</v>
      </c>
      <c r="F247" s="1194">
        <f t="shared" si="120"/>
        <v>0</v>
      </c>
      <c r="G247" s="1194">
        <f t="shared" si="120"/>
        <v>0</v>
      </c>
      <c r="H247" s="1194">
        <f t="shared" si="120"/>
        <v>0</v>
      </c>
      <c r="I247" s="1194">
        <f t="shared" si="120"/>
        <v>0</v>
      </c>
      <c r="J247" s="1194">
        <f t="shared" si="120"/>
        <v>0</v>
      </c>
      <c r="K247" s="1194">
        <f t="shared" si="120"/>
        <v>0</v>
      </c>
      <c r="L247" s="1194">
        <f t="shared" si="120"/>
        <v>0</v>
      </c>
      <c r="M247" s="1194">
        <f t="shared" si="120"/>
        <v>0</v>
      </c>
      <c r="N247" s="1194">
        <f t="shared" si="120"/>
        <v>0</v>
      </c>
      <c r="O247" s="1194">
        <f t="shared" si="120"/>
        <v>0</v>
      </c>
      <c r="P247" s="1194">
        <f t="shared" si="120"/>
        <v>0</v>
      </c>
      <c r="Q247" s="1194">
        <f t="shared" si="120"/>
        <v>0</v>
      </c>
      <c r="R247" s="1194">
        <f t="shared" si="121"/>
        <v>0</v>
      </c>
    </row>
    <row r="248" spans="1:18" x14ac:dyDescent="0.2">
      <c r="A248" s="1214" t="str">
        <f t="shared" si="117"/>
        <v>Insurance</v>
      </c>
      <c r="B248" s="1110" t="s">
        <v>1477</v>
      </c>
      <c r="C248" s="1571">
        <v>45685.599999999999</v>
      </c>
      <c r="D248" s="1216">
        <f t="shared" si="118"/>
        <v>8.3523E-2</v>
      </c>
      <c r="E248" s="1582">
        <f t="shared" si="119"/>
        <v>47846</v>
      </c>
      <c r="F248" s="1194">
        <f t="shared" si="120"/>
        <v>3952</v>
      </c>
      <c r="G248" s="1194">
        <f t="shared" si="120"/>
        <v>3952</v>
      </c>
      <c r="H248" s="1194">
        <f t="shared" si="120"/>
        <v>3952</v>
      </c>
      <c r="I248" s="1194">
        <f t="shared" si="120"/>
        <v>3952</v>
      </c>
      <c r="J248" s="1194">
        <f t="shared" si="120"/>
        <v>3952</v>
      </c>
      <c r="K248" s="1194">
        <f t="shared" si="120"/>
        <v>3952</v>
      </c>
      <c r="L248" s="1194">
        <f t="shared" si="120"/>
        <v>4019</v>
      </c>
      <c r="M248" s="1194">
        <f t="shared" si="120"/>
        <v>4019</v>
      </c>
      <c r="N248" s="1194">
        <f t="shared" si="120"/>
        <v>4019</v>
      </c>
      <c r="O248" s="1194">
        <f t="shared" si="120"/>
        <v>4019</v>
      </c>
      <c r="P248" s="1194">
        <f t="shared" si="120"/>
        <v>4029</v>
      </c>
      <c r="Q248" s="1194">
        <f t="shared" si="120"/>
        <v>4029</v>
      </c>
      <c r="R248" s="1194">
        <f t="shared" si="121"/>
        <v>0</v>
      </c>
    </row>
    <row r="249" spans="1:18" ht="13.5" x14ac:dyDescent="0.35">
      <c r="A249" s="1214" t="str">
        <f>$B$125</f>
        <v>Insurance</v>
      </c>
      <c r="B249" s="1110" t="s">
        <v>1479</v>
      </c>
      <c r="C249" s="1624">
        <v>501281.08999999997</v>
      </c>
      <c r="D249" s="1217">
        <f>ROUND(C249/$C$250,6)</f>
        <v>0.91644899999999996</v>
      </c>
      <c r="E249" s="1587">
        <f t="shared" si="119"/>
        <v>525013</v>
      </c>
      <c r="F249" s="1218">
        <f>F250-SUM(F245:F248)</f>
        <v>43369</v>
      </c>
      <c r="G249" s="1218">
        <f t="shared" ref="G249:Q249" si="122">G250-SUM(G245:G248)</f>
        <v>43369</v>
      </c>
      <c r="H249" s="1218">
        <f t="shared" si="122"/>
        <v>43369</v>
      </c>
      <c r="I249" s="1218">
        <f t="shared" si="122"/>
        <v>43369</v>
      </c>
      <c r="J249" s="1218">
        <f t="shared" si="122"/>
        <v>43369</v>
      </c>
      <c r="K249" s="1218">
        <f t="shared" si="122"/>
        <v>43369</v>
      </c>
      <c r="L249" s="1218">
        <f t="shared" si="122"/>
        <v>44097</v>
      </c>
      <c r="M249" s="1218">
        <f t="shared" si="122"/>
        <v>44097</v>
      </c>
      <c r="N249" s="1218">
        <f t="shared" si="122"/>
        <v>44097</v>
      </c>
      <c r="O249" s="1218">
        <f t="shared" si="122"/>
        <v>44098</v>
      </c>
      <c r="P249" s="1218">
        <f t="shared" si="122"/>
        <v>44205</v>
      </c>
      <c r="Q249" s="1218">
        <f t="shared" si="122"/>
        <v>44205</v>
      </c>
      <c r="R249" s="1218">
        <f>R250-SUM(R245:R248)</f>
        <v>0</v>
      </c>
    </row>
    <row r="250" spans="1:18" x14ac:dyDescent="0.2">
      <c r="A250" s="1213"/>
      <c r="B250" s="1110"/>
      <c r="C250" s="1572">
        <f>SUM(C245:C249)</f>
        <v>546982.02</v>
      </c>
      <c r="D250" s="1216">
        <f>SUM(D245:D249)</f>
        <v>1</v>
      </c>
      <c r="E250" s="1572">
        <f>SUM(E245:E249)</f>
        <v>572871</v>
      </c>
      <c r="F250" s="1194">
        <f t="shared" ref="F250:R250" si="123">F125</f>
        <v>47322</v>
      </c>
      <c r="G250" s="1194">
        <f t="shared" si="123"/>
        <v>47322</v>
      </c>
      <c r="H250" s="1194">
        <f t="shared" si="123"/>
        <v>47322</v>
      </c>
      <c r="I250" s="1194">
        <f t="shared" si="123"/>
        <v>47322</v>
      </c>
      <c r="J250" s="1194">
        <f t="shared" si="123"/>
        <v>47322</v>
      </c>
      <c r="K250" s="1194">
        <f t="shared" si="123"/>
        <v>47322</v>
      </c>
      <c r="L250" s="1194">
        <f t="shared" si="123"/>
        <v>48117</v>
      </c>
      <c r="M250" s="1194">
        <f t="shared" si="123"/>
        <v>48117</v>
      </c>
      <c r="N250" s="1194">
        <f t="shared" si="123"/>
        <v>48117</v>
      </c>
      <c r="O250" s="1194">
        <f t="shared" si="123"/>
        <v>48118</v>
      </c>
      <c r="P250" s="1194">
        <f t="shared" si="123"/>
        <v>48235</v>
      </c>
      <c r="Q250" s="1194">
        <f t="shared" si="123"/>
        <v>48235</v>
      </c>
      <c r="R250" s="1194">
        <f t="shared" si="123"/>
        <v>0</v>
      </c>
    </row>
    <row r="251" spans="1:18" x14ac:dyDescent="0.2">
      <c r="A251" s="1213"/>
      <c r="B251" s="1110"/>
      <c r="C251" s="1572"/>
      <c r="D251" s="1216"/>
      <c r="E251" s="1572"/>
      <c r="F251" s="1194"/>
      <c r="G251" s="1194"/>
      <c r="H251" s="1194"/>
      <c r="I251" s="1194"/>
      <c r="J251" s="1194"/>
      <c r="K251" s="1194"/>
      <c r="L251" s="1194"/>
      <c r="M251" s="1194"/>
      <c r="N251" s="1194"/>
      <c r="O251" s="1194"/>
      <c r="P251" s="1194"/>
      <c r="Q251" s="1194"/>
      <c r="R251" s="1194"/>
    </row>
    <row r="252" spans="1:18" x14ac:dyDescent="0.2">
      <c r="A252" s="1214" t="str">
        <f>$B$127</f>
        <v>Insurance Affiliated</v>
      </c>
      <c r="B252" s="1110" t="s">
        <v>1477</v>
      </c>
      <c r="C252" s="1571">
        <v>13980.12</v>
      </c>
      <c r="D252" s="1216">
        <f>ROUND(C252/$C$254,6)</f>
        <v>5.7896000000000003E-2</v>
      </c>
      <c r="E252" s="1582">
        <f t="shared" ref="E252:E253" si="124">SUM(F252:Q252)</f>
        <v>33170</v>
      </c>
      <c r="F252" s="1194">
        <f t="shared" ref="F252:Q252" si="125">ROUND($D252*F$250,0)</f>
        <v>2740</v>
      </c>
      <c r="G252" s="1194">
        <f t="shared" si="125"/>
        <v>2740</v>
      </c>
      <c r="H252" s="1194">
        <f t="shared" si="125"/>
        <v>2740</v>
      </c>
      <c r="I252" s="1194">
        <f t="shared" si="125"/>
        <v>2740</v>
      </c>
      <c r="J252" s="1194">
        <f t="shared" si="125"/>
        <v>2740</v>
      </c>
      <c r="K252" s="1194">
        <f t="shared" si="125"/>
        <v>2740</v>
      </c>
      <c r="L252" s="1194">
        <f t="shared" si="125"/>
        <v>2786</v>
      </c>
      <c r="M252" s="1194">
        <f t="shared" si="125"/>
        <v>2786</v>
      </c>
      <c r="N252" s="1194">
        <f t="shared" si="125"/>
        <v>2786</v>
      </c>
      <c r="O252" s="1194">
        <f t="shared" si="125"/>
        <v>2786</v>
      </c>
      <c r="P252" s="1194">
        <f t="shared" si="125"/>
        <v>2793</v>
      </c>
      <c r="Q252" s="1194">
        <f t="shared" si="125"/>
        <v>2793</v>
      </c>
      <c r="R252" s="1194">
        <f>ROUND(D252*$R$254,0)</f>
        <v>0</v>
      </c>
    </row>
    <row r="253" spans="1:18" ht="13.5" x14ac:dyDescent="0.35">
      <c r="A253" s="1214" t="str">
        <f>$B$127</f>
        <v>Insurance Affiliated</v>
      </c>
      <c r="B253" s="1110" t="s">
        <v>1479</v>
      </c>
      <c r="C253" s="1624">
        <v>227489.94</v>
      </c>
      <c r="D253" s="1217">
        <f>ROUND(C253/$C$254,6)</f>
        <v>0.94210400000000005</v>
      </c>
      <c r="E253" s="1587">
        <f t="shared" si="124"/>
        <v>370938</v>
      </c>
      <c r="F253" s="1218">
        <f>F254-SUM(F252)</f>
        <v>30641</v>
      </c>
      <c r="G253" s="1218">
        <f t="shared" ref="G253:Q253" si="126">G254-SUM(G252)</f>
        <v>30641</v>
      </c>
      <c r="H253" s="1218">
        <f t="shared" si="126"/>
        <v>30641</v>
      </c>
      <c r="I253" s="1218">
        <f t="shared" si="126"/>
        <v>30641</v>
      </c>
      <c r="J253" s="1218">
        <f t="shared" si="126"/>
        <v>30641</v>
      </c>
      <c r="K253" s="1218">
        <f t="shared" si="126"/>
        <v>30641</v>
      </c>
      <c r="L253" s="1218">
        <f t="shared" si="126"/>
        <v>31157</v>
      </c>
      <c r="M253" s="1218">
        <f t="shared" si="126"/>
        <v>31157</v>
      </c>
      <c r="N253" s="1218">
        <f t="shared" si="126"/>
        <v>31157</v>
      </c>
      <c r="O253" s="1218">
        <f t="shared" si="126"/>
        <v>31157</v>
      </c>
      <c r="P253" s="1218">
        <f t="shared" si="126"/>
        <v>31232</v>
      </c>
      <c r="Q253" s="1218">
        <f t="shared" si="126"/>
        <v>31232</v>
      </c>
      <c r="R253" s="1218">
        <f>R254-R252</f>
        <v>0</v>
      </c>
    </row>
    <row r="254" spans="1:18" x14ac:dyDescent="0.2">
      <c r="A254" s="1213"/>
      <c r="B254" s="1110"/>
      <c r="C254" s="1572">
        <f>SUM(C252:C253)</f>
        <v>241470.06</v>
      </c>
      <c r="D254" s="1216">
        <f>SUM(D252:D253)</f>
        <v>1</v>
      </c>
      <c r="E254" s="1572">
        <f>SUM(E252:E253)</f>
        <v>404108</v>
      </c>
      <c r="F254" s="1194">
        <f t="shared" ref="F254:R254" si="127">F127</f>
        <v>33381</v>
      </c>
      <c r="G254" s="1194">
        <f t="shared" si="127"/>
        <v>33381</v>
      </c>
      <c r="H254" s="1194">
        <f t="shared" si="127"/>
        <v>33381</v>
      </c>
      <c r="I254" s="1194">
        <f t="shared" si="127"/>
        <v>33381</v>
      </c>
      <c r="J254" s="1194">
        <f t="shared" si="127"/>
        <v>33381</v>
      </c>
      <c r="K254" s="1194">
        <f t="shared" si="127"/>
        <v>33381</v>
      </c>
      <c r="L254" s="1194">
        <f t="shared" si="127"/>
        <v>33943</v>
      </c>
      <c r="M254" s="1194">
        <f t="shared" si="127"/>
        <v>33943</v>
      </c>
      <c r="N254" s="1194">
        <f t="shared" si="127"/>
        <v>33943</v>
      </c>
      <c r="O254" s="1194">
        <f t="shared" si="127"/>
        <v>33943</v>
      </c>
      <c r="P254" s="1194">
        <f t="shared" si="127"/>
        <v>34025</v>
      </c>
      <c r="Q254" s="1194">
        <f t="shared" si="127"/>
        <v>34025</v>
      </c>
      <c r="R254" s="1194">
        <f t="shared" si="127"/>
        <v>0</v>
      </c>
    </row>
    <row r="255" spans="1:18" x14ac:dyDescent="0.2">
      <c r="A255" s="1213"/>
      <c r="B255" s="1110"/>
      <c r="C255" s="1572"/>
      <c r="D255" s="1216"/>
      <c r="E255" s="1572"/>
      <c r="F255" s="1194"/>
      <c r="G255" s="1194"/>
      <c r="H255" s="1194"/>
      <c r="I255" s="1194"/>
      <c r="J255" s="1194"/>
      <c r="K255" s="1194"/>
      <c r="L255" s="1194"/>
      <c r="M255" s="1194"/>
      <c r="N255" s="1194"/>
      <c r="O255" s="1194"/>
      <c r="P255" s="1194"/>
      <c r="Q255" s="1194"/>
      <c r="R255" s="1194"/>
    </row>
    <row r="256" spans="1:18" x14ac:dyDescent="0.2">
      <c r="A256" s="1214" t="str">
        <f>$B$112</f>
        <v>Employee Expenses</v>
      </c>
      <c r="B256" s="1111" t="s">
        <v>1404</v>
      </c>
      <c r="C256" s="1571">
        <v>14064.07</v>
      </c>
      <c r="D256" s="1216">
        <f t="shared" ref="D256:D270" si="128">ROUND(C256/$C$271,6)</f>
        <v>3.9733999999999998E-2</v>
      </c>
      <c r="E256" s="1582">
        <f>SUM(F256:Q256)</f>
        <v>20433</v>
      </c>
      <c r="F256" s="1194">
        <f>ROUND($D256*F$271,0)</f>
        <v>2178</v>
      </c>
      <c r="G256" s="1194">
        <f t="shared" ref="G256:Q256" si="129">ROUND($D256*G$271,0)</f>
        <v>1589</v>
      </c>
      <c r="H256" s="1194">
        <f t="shared" si="129"/>
        <v>1629</v>
      </c>
      <c r="I256" s="1194">
        <f t="shared" si="129"/>
        <v>1508</v>
      </c>
      <c r="J256" s="1194">
        <f t="shared" si="129"/>
        <v>1728</v>
      </c>
      <c r="K256" s="1194">
        <f t="shared" si="129"/>
        <v>1775</v>
      </c>
      <c r="L256" s="1194">
        <f t="shared" si="129"/>
        <v>1585</v>
      </c>
      <c r="M256" s="1194">
        <f t="shared" si="129"/>
        <v>1559</v>
      </c>
      <c r="N256" s="1194">
        <f t="shared" si="129"/>
        <v>1549</v>
      </c>
      <c r="O256" s="1194">
        <f t="shared" si="129"/>
        <v>1623</v>
      </c>
      <c r="P256" s="1194">
        <f t="shared" si="129"/>
        <v>1610</v>
      </c>
      <c r="Q256" s="1194">
        <f t="shared" si="129"/>
        <v>2100</v>
      </c>
      <c r="R256" s="1194">
        <f>ROUND(D256*$R$271,0)</f>
        <v>-50</v>
      </c>
    </row>
    <row r="257" spans="1:18" x14ac:dyDescent="0.2">
      <c r="A257" s="1214" t="str">
        <f t="shared" ref="A257:A270" si="130">$B$112</f>
        <v>Employee Expenses</v>
      </c>
      <c r="B257" s="1111" t="s">
        <v>1408</v>
      </c>
      <c r="C257" s="1571">
        <v>124825.33</v>
      </c>
      <c r="D257" s="1216">
        <f t="shared" si="128"/>
        <v>0.35265999999999997</v>
      </c>
      <c r="E257" s="1582">
        <f t="shared" ref="E257:E270" si="131">SUM(F257:Q257)</f>
        <v>181351</v>
      </c>
      <c r="F257" s="1194">
        <f t="shared" ref="F257:Q269" si="132">ROUND($D257*F$271,0)</f>
        <v>19330</v>
      </c>
      <c r="G257" s="1194">
        <f t="shared" si="132"/>
        <v>14102</v>
      </c>
      <c r="H257" s="1194">
        <f t="shared" si="132"/>
        <v>14455</v>
      </c>
      <c r="I257" s="1194">
        <f t="shared" si="132"/>
        <v>13382</v>
      </c>
      <c r="J257" s="1194">
        <f t="shared" si="132"/>
        <v>15341</v>
      </c>
      <c r="K257" s="1194">
        <f t="shared" si="132"/>
        <v>15756</v>
      </c>
      <c r="L257" s="1194">
        <f t="shared" si="132"/>
        <v>14070</v>
      </c>
      <c r="M257" s="1194">
        <f t="shared" si="132"/>
        <v>13838</v>
      </c>
      <c r="N257" s="1194">
        <f t="shared" si="132"/>
        <v>13746</v>
      </c>
      <c r="O257" s="1194">
        <f t="shared" si="132"/>
        <v>14402</v>
      </c>
      <c r="P257" s="1194">
        <f t="shared" si="132"/>
        <v>14293</v>
      </c>
      <c r="Q257" s="1194">
        <f t="shared" si="132"/>
        <v>18636</v>
      </c>
      <c r="R257" s="1194">
        <f t="shared" ref="R257:R269" si="133">ROUND(D257*$R$271,0)</f>
        <v>-444</v>
      </c>
    </row>
    <row r="258" spans="1:18" x14ac:dyDescent="0.2">
      <c r="A258" s="1214" t="str">
        <f t="shared" si="130"/>
        <v>Employee Expenses</v>
      </c>
      <c r="B258" s="1111" t="s">
        <v>1410</v>
      </c>
      <c r="C258" s="1571">
        <v>9448.19</v>
      </c>
      <c r="D258" s="1216">
        <f t="shared" si="128"/>
        <v>2.6693000000000001E-2</v>
      </c>
      <c r="E258" s="1582">
        <f t="shared" si="131"/>
        <v>13726</v>
      </c>
      <c r="F258" s="1194">
        <f t="shared" si="132"/>
        <v>1463</v>
      </c>
      <c r="G258" s="1194">
        <f t="shared" si="132"/>
        <v>1067</v>
      </c>
      <c r="H258" s="1194">
        <f t="shared" si="132"/>
        <v>1094</v>
      </c>
      <c r="I258" s="1194">
        <f t="shared" si="132"/>
        <v>1013</v>
      </c>
      <c r="J258" s="1194">
        <f t="shared" si="132"/>
        <v>1161</v>
      </c>
      <c r="K258" s="1194">
        <f t="shared" si="132"/>
        <v>1193</v>
      </c>
      <c r="L258" s="1194">
        <f t="shared" si="132"/>
        <v>1065</v>
      </c>
      <c r="M258" s="1194">
        <f t="shared" si="132"/>
        <v>1047</v>
      </c>
      <c r="N258" s="1194">
        <f t="shared" si="132"/>
        <v>1040</v>
      </c>
      <c r="O258" s="1194">
        <f t="shared" si="132"/>
        <v>1090</v>
      </c>
      <c r="P258" s="1194">
        <f t="shared" si="132"/>
        <v>1082</v>
      </c>
      <c r="Q258" s="1194">
        <f t="shared" si="132"/>
        <v>1411</v>
      </c>
      <c r="R258" s="1194">
        <f t="shared" si="133"/>
        <v>-34</v>
      </c>
    </row>
    <row r="259" spans="1:18" x14ac:dyDescent="0.2">
      <c r="A259" s="1214" t="str">
        <f t="shared" si="130"/>
        <v>Employee Expenses</v>
      </c>
      <c r="B259" s="1111" t="s">
        <v>1412</v>
      </c>
      <c r="C259" s="1571">
        <v>2156.41</v>
      </c>
      <c r="D259" s="1216">
        <f t="shared" si="128"/>
        <v>6.0920000000000002E-3</v>
      </c>
      <c r="E259" s="1582">
        <f t="shared" si="131"/>
        <v>3133</v>
      </c>
      <c r="F259" s="1194">
        <f>ROUND($D259*F$271,0)</f>
        <v>334</v>
      </c>
      <c r="G259" s="1194">
        <f t="shared" si="132"/>
        <v>244</v>
      </c>
      <c r="H259" s="1194">
        <f t="shared" si="132"/>
        <v>250</v>
      </c>
      <c r="I259" s="1194">
        <f t="shared" si="132"/>
        <v>231</v>
      </c>
      <c r="J259" s="1194">
        <f t="shared" si="132"/>
        <v>265</v>
      </c>
      <c r="K259" s="1194">
        <f t="shared" si="132"/>
        <v>272</v>
      </c>
      <c r="L259" s="1194">
        <f t="shared" si="132"/>
        <v>243</v>
      </c>
      <c r="M259" s="1194">
        <f t="shared" si="132"/>
        <v>239</v>
      </c>
      <c r="N259" s="1194">
        <f t="shared" si="132"/>
        <v>237</v>
      </c>
      <c r="O259" s="1194">
        <f t="shared" si="132"/>
        <v>249</v>
      </c>
      <c r="P259" s="1194">
        <f t="shared" si="132"/>
        <v>247</v>
      </c>
      <c r="Q259" s="1194">
        <f t="shared" si="132"/>
        <v>322</v>
      </c>
      <c r="R259" s="1194">
        <f t="shared" si="133"/>
        <v>-8</v>
      </c>
    </row>
    <row r="260" spans="1:18" x14ac:dyDescent="0.2">
      <c r="A260" s="1214" t="str">
        <f t="shared" si="130"/>
        <v>Employee Expenses</v>
      </c>
      <c r="B260" s="1111" t="s">
        <v>1414</v>
      </c>
      <c r="C260" s="1571">
        <v>24889.81</v>
      </c>
      <c r="D260" s="1216">
        <f t="shared" si="128"/>
        <v>7.0319000000000007E-2</v>
      </c>
      <c r="E260" s="1582">
        <f t="shared" si="131"/>
        <v>36161</v>
      </c>
      <c r="F260" s="1194">
        <f t="shared" si="132"/>
        <v>3854</v>
      </c>
      <c r="G260" s="1194">
        <f t="shared" si="132"/>
        <v>2812</v>
      </c>
      <c r="H260" s="1194">
        <f t="shared" si="132"/>
        <v>2882</v>
      </c>
      <c r="I260" s="1194">
        <f t="shared" si="132"/>
        <v>2668</v>
      </c>
      <c r="J260" s="1194">
        <f t="shared" si="132"/>
        <v>3059</v>
      </c>
      <c r="K260" s="1194">
        <f t="shared" si="132"/>
        <v>3142</v>
      </c>
      <c r="L260" s="1194">
        <f t="shared" si="132"/>
        <v>2806</v>
      </c>
      <c r="M260" s="1194">
        <f t="shared" si="132"/>
        <v>2759</v>
      </c>
      <c r="N260" s="1194">
        <f t="shared" si="132"/>
        <v>2741</v>
      </c>
      <c r="O260" s="1194">
        <f t="shared" si="132"/>
        <v>2872</v>
      </c>
      <c r="P260" s="1194">
        <f t="shared" si="132"/>
        <v>2850</v>
      </c>
      <c r="Q260" s="1194">
        <f t="shared" si="132"/>
        <v>3716</v>
      </c>
      <c r="R260" s="1194">
        <f t="shared" si="133"/>
        <v>-88</v>
      </c>
    </row>
    <row r="261" spans="1:18" x14ac:dyDescent="0.2">
      <c r="A261" s="1214" t="str">
        <f t="shared" si="130"/>
        <v>Employee Expenses</v>
      </c>
      <c r="B261" s="1111" t="s">
        <v>1416</v>
      </c>
      <c r="C261" s="1571">
        <v>10581.42</v>
      </c>
      <c r="D261" s="1216">
        <f t="shared" si="128"/>
        <v>2.9895000000000001E-2</v>
      </c>
      <c r="E261" s="1582">
        <f t="shared" si="131"/>
        <v>15373</v>
      </c>
      <c r="F261" s="1194">
        <f t="shared" si="132"/>
        <v>1639</v>
      </c>
      <c r="G261" s="1194">
        <f t="shared" si="132"/>
        <v>1195</v>
      </c>
      <c r="H261" s="1194">
        <f t="shared" si="132"/>
        <v>1225</v>
      </c>
      <c r="I261" s="1194">
        <f t="shared" si="132"/>
        <v>1134</v>
      </c>
      <c r="J261" s="1194">
        <f t="shared" si="132"/>
        <v>1300</v>
      </c>
      <c r="K261" s="1194">
        <f t="shared" si="132"/>
        <v>1336</v>
      </c>
      <c r="L261" s="1194">
        <f t="shared" si="132"/>
        <v>1193</v>
      </c>
      <c r="M261" s="1194">
        <f t="shared" si="132"/>
        <v>1173</v>
      </c>
      <c r="N261" s="1194">
        <f t="shared" si="132"/>
        <v>1165</v>
      </c>
      <c r="O261" s="1194">
        <f t="shared" si="132"/>
        <v>1221</v>
      </c>
      <c r="P261" s="1194">
        <f t="shared" si="132"/>
        <v>1212</v>
      </c>
      <c r="Q261" s="1194">
        <f t="shared" si="132"/>
        <v>1580</v>
      </c>
      <c r="R261" s="1194">
        <f t="shared" si="133"/>
        <v>-38</v>
      </c>
    </row>
    <row r="262" spans="1:18" x14ac:dyDescent="0.2">
      <c r="A262" s="1214" t="str">
        <f t="shared" si="130"/>
        <v>Employee Expenses</v>
      </c>
      <c r="B262" s="1111" t="s">
        <v>1418</v>
      </c>
      <c r="C262" s="1571">
        <v>37158.620000000003</v>
      </c>
      <c r="D262" s="1216">
        <f t="shared" si="128"/>
        <v>0.104981</v>
      </c>
      <c r="E262" s="1582">
        <f t="shared" si="131"/>
        <v>53985</v>
      </c>
      <c r="F262" s="1194">
        <f t="shared" si="132"/>
        <v>5754</v>
      </c>
      <c r="G262" s="1194">
        <f t="shared" si="132"/>
        <v>4198</v>
      </c>
      <c r="H262" s="1194">
        <f t="shared" si="132"/>
        <v>4303</v>
      </c>
      <c r="I262" s="1194">
        <f t="shared" si="132"/>
        <v>3984</v>
      </c>
      <c r="J262" s="1194">
        <f t="shared" si="132"/>
        <v>4567</v>
      </c>
      <c r="K262" s="1194">
        <f t="shared" si="132"/>
        <v>4690</v>
      </c>
      <c r="L262" s="1194">
        <f t="shared" si="132"/>
        <v>4188</v>
      </c>
      <c r="M262" s="1194">
        <f t="shared" si="132"/>
        <v>4119</v>
      </c>
      <c r="N262" s="1194">
        <f t="shared" si="132"/>
        <v>4092</v>
      </c>
      <c r="O262" s="1194">
        <f t="shared" si="132"/>
        <v>4287</v>
      </c>
      <c r="P262" s="1194">
        <f t="shared" si="132"/>
        <v>4255</v>
      </c>
      <c r="Q262" s="1194">
        <f t="shared" si="132"/>
        <v>5548</v>
      </c>
      <c r="R262" s="1194">
        <f t="shared" si="133"/>
        <v>-132</v>
      </c>
    </row>
    <row r="263" spans="1:18" x14ac:dyDescent="0.2">
      <c r="A263" s="1214" t="str">
        <f t="shared" si="130"/>
        <v>Employee Expenses</v>
      </c>
      <c r="B263" s="1111" t="s">
        <v>1424</v>
      </c>
      <c r="C263" s="1571">
        <v>478.23999999999995</v>
      </c>
      <c r="D263" s="1216">
        <f t="shared" si="128"/>
        <v>1.351E-3</v>
      </c>
      <c r="E263" s="1582">
        <f t="shared" si="131"/>
        <v>694</v>
      </c>
      <c r="F263" s="1194">
        <f t="shared" si="132"/>
        <v>74</v>
      </c>
      <c r="G263" s="1194">
        <f t="shared" si="132"/>
        <v>54</v>
      </c>
      <c r="H263" s="1194">
        <f t="shared" si="132"/>
        <v>55</v>
      </c>
      <c r="I263" s="1194">
        <f t="shared" si="132"/>
        <v>51</v>
      </c>
      <c r="J263" s="1194">
        <f t="shared" si="132"/>
        <v>59</v>
      </c>
      <c r="K263" s="1194">
        <f t="shared" si="132"/>
        <v>60</v>
      </c>
      <c r="L263" s="1194">
        <f t="shared" si="132"/>
        <v>54</v>
      </c>
      <c r="M263" s="1194">
        <f t="shared" si="132"/>
        <v>53</v>
      </c>
      <c r="N263" s="1194">
        <f t="shared" si="132"/>
        <v>53</v>
      </c>
      <c r="O263" s="1194">
        <f t="shared" si="132"/>
        <v>55</v>
      </c>
      <c r="P263" s="1194">
        <f t="shared" si="132"/>
        <v>55</v>
      </c>
      <c r="Q263" s="1194">
        <f t="shared" si="132"/>
        <v>71</v>
      </c>
      <c r="R263" s="1194">
        <f t="shared" si="133"/>
        <v>-2</v>
      </c>
    </row>
    <row r="264" spans="1:18" x14ac:dyDescent="0.2">
      <c r="A264" s="1214" t="str">
        <f t="shared" si="130"/>
        <v>Employee Expenses</v>
      </c>
      <c r="B264" s="1111" t="s">
        <v>1427</v>
      </c>
      <c r="C264" s="1571">
        <v>15523.15</v>
      </c>
      <c r="D264" s="1216">
        <f t="shared" si="128"/>
        <v>4.3855999999999999E-2</v>
      </c>
      <c r="E264" s="1582">
        <f t="shared" si="131"/>
        <v>22552</v>
      </c>
      <c r="F264" s="1194">
        <f t="shared" si="132"/>
        <v>2404</v>
      </c>
      <c r="G264" s="1194">
        <f t="shared" si="132"/>
        <v>1754</v>
      </c>
      <c r="H264" s="1194">
        <f t="shared" si="132"/>
        <v>1798</v>
      </c>
      <c r="I264" s="1194">
        <f t="shared" si="132"/>
        <v>1664</v>
      </c>
      <c r="J264" s="1194">
        <f t="shared" si="132"/>
        <v>1908</v>
      </c>
      <c r="K264" s="1194">
        <f t="shared" si="132"/>
        <v>1959</v>
      </c>
      <c r="L264" s="1194">
        <f t="shared" si="132"/>
        <v>1750</v>
      </c>
      <c r="M264" s="1194">
        <f t="shared" si="132"/>
        <v>1721</v>
      </c>
      <c r="N264" s="1194">
        <f t="shared" si="132"/>
        <v>1709</v>
      </c>
      <c r="O264" s="1194">
        <f t="shared" si="132"/>
        <v>1791</v>
      </c>
      <c r="P264" s="1194">
        <f t="shared" si="132"/>
        <v>1777</v>
      </c>
      <c r="Q264" s="1194">
        <f t="shared" si="132"/>
        <v>2317</v>
      </c>
      <c r="R264" s="1194">
        <f t="shared" si="133"/>
        <v>-55</v>
      </c>
    </row>
    <row r="265" spans="1:18" x14ac:dyDescent="0.2">
      <c r="A265" s="1214" t="str">
        <f t="shared" si="130"/>
        <v>Employee Expenses</v>
      </c>
      <c r="B265" s="1111" t="s">
        <v>1429</v>
      </c>
      <c r="C265" s="1571">
        <v>4214.71</v>
      </c>
      <c r="D265" s="1216">
        <f t="shared" si="128"/>
        <v>1.1908E-2</v>
      </c>
      <c r="E265" s="1582">
        <f t="shared" si="131"/>
        <v>6123</v>
      </c>
      <c r="F265" s="1194">
        <f t="shared" si="132"/>
        <v>653</v>
      </c>
      <c r="G265" s="1194">
        <f t="shared" si="132"/>
        <v>476</v>
      </c>
      <c r="H265" s="1194">
        <f t="shared" si="132"/>
        <v>488</v>
      </c>
      <c r="I265" s="1194">
        <f t="shared" si="132"/>
        <v>452</v>
      </c>
      <c r="J265" s="1194">
        <f t="shared" si="132"/>
        <v>518</v>
      </c>
      <c r="K265" s="1194">
        <f t="shared" si="132"/>
        <v>532</v>
      </c>
      <c r="L265" s="1194">
        <f t="shared" si="132"/>
        <v>475</v>
      </c>
      <c r="M265" s="1194">
        <f t="shared" si="132"/>
        <v>467</v>
      </c>
      <c r="N265" s="1194">
        <f t="shared" si="132"/>
        <v>464</v>
      </c>
      <c r="O265" s="1194">
        <f t="shared" si="132"/>
        <v>486</v>
      </c>
      <c r="P265" s="1194">
        <f t="shared" si="132"/>
        <v>483</v>
      </c>
      <c r="Q265" s="1194">
        <f t="shared" si="132"/>
        <v>629</v>
      </c>
      <c r="R265" s="1194">
        <f t="shared" si="133"/>
        <v>-15</v>
      </c>
    </row>
    <row r="266" spans="1:18" x14ac:dyDescent="0.2">
      <c r="A266" s="1214" t="str">
        <f t="shared" si="130"/>
        <v>Employee Expenses</v>
      </c>
      <c r="B266" s="1111" t="s">
        <v>1430</v>
      </c>
      <c r="C266" s="1571">
        <v>2156.41</v>
      </c>
      <c r="D266" s="1216">
        <f t="shared" si="128"/>
        <v>6.0920000000000002E-3</v>
      </c>
      <c r="E266" s="1582">
        <f t="shared" si="131"/>
        <v>3133</v>
      </c>
      <c r="F266" s="1194">
        <f t="shared" si="132"/>
        <v>334</v>
      </c>
      <c r="G266" s="1194">
        <f t="shared" si="132"/>
        <v>244</v>
      </c>
      <c r="H266" s="1194">
        <f t="shared" si="132"/>
        <v>250</v>
      </c>
      <c r="I266" s="1194">
        <f t="shared" si="132"/>
        <v>231</v>
      </c>
      <c r="J266" s="1194">
        <f t="shared" si="132"/>
        <v>265</v>
      </c>
      <c r="K266" s="1194">
        <f t="shared" si="132"/>
        <v>272</v>
      </c>
      <c r="L266" s="1194">
        <f t="shared" si="132"/>
        <v>243</v>
      </c>
      <c r="M266" s="1194">
        <f t="shared" si="132"/>
        <v>239</v>
      </c>
      <c r="N266" s="1194">
        <f t="shared" si="132"/>
        <v>237</v>
      </c>
      <c r="O266" s="1194">
        <f t="shared" si="132"/>
        <v>249</v>
      </c>
      <c r="P266" s="1194">
        <f t="shared" si="132"/>
        <v>247</v>
      </c>
      <c r="Q266" s="1194">
        <f t="shared" si="132"/>
        <v>322</v>
      </c>
      <c r="R266" s="1194">
        <f t="shared" si="133"/>
        <v>-8</v>
      </c>
    </row>
    <row r="267" spans="1:18" x14ac:dyDescent="0.2">
      <c r="A267" s="1214" t="str">
        <f t="shared" si="130"/>
        <v>Employee Expenses</v>
      </c>
      <c r="B267" s="1111" t="s">
        <v>1431</v>
      </c>
      <c r="C267" s="1571">
        <v>4190.87</v>
      </c>
      <c r="D267" s="1216">
        <f t="shared" si="128"/>
        <v>1.184E-2</v>
      </c>
      <c r="E267" s="1582">
        <f t="shared" si="131"/>
        <v>6089</v>
      </c>
      <c r="F267" s="1194">
        <f t="shared" si="132"/>
        <v>649</v>
      </c>
      <c r="G267" s="1194">
        <f t="shared" si="132"/>
        <v>473</v>
      </c>
      <c r="H267" s="1194">
        <f t="shared" si="132"/>
        <v>485</v>
      </c>
      <c r="I267" s="1194">
        <f t="shared" si="132"/>
        <v>449</v>
      </c>
      <c r="J267" s="1194">
        <f t="shared" si="132"/>
        <v>515</v>
      </c>
      <c r="K267" s="1194">
        <f t="shared" si="132"/>
        <v>529</v>
      </c>
      <c r="L267" s="1194">
        <f t="shared" si="132"/>
        <v>472</v>
      </c>
      <c r="M267" s="1194">
        <f t="shared" si="132"/>
        <v>465</v>
      </c>
      <c r="N267" s="1194">
        <f t="shared" si="132"/>
        <v>462</v>
      </c>
      <c r="O267" s="1194">
        <f t="shared" si="132"/>
        <v>484</v>
      </c>
      <c r="P267" s="1194">
        <f t="shared" si="132"/>
        <v>480</v>
      </c>
      <c r="Q267" s="1194">
        <f t="shared" si="132"/>
        <v>626</v>
      </c>
      <c r="R267" s="1194">
        <f t="shared" si="133"/>
        <v>-15</v>
      </c>
    </row>
    <row r="268" spans="1:18" x14ac:dyDescent="0.2">
      <c r="A268" s="1214" t="str">
        <f t="shared" si="130"/>
        <v>Employee Expenses</v>
      </c>
      <c r="B268" s="1111" t="s">
        <v>1444</v>
      </c>
      <c r="C268" s="1571">
        <v>5622.66</v>
      </c>
      <c r="D268" s="1216">
        <f t="shared" si="128"/>
        <v>1.5885E-2</v>
      </c>
      <c r="E268" s="1582">
        <f t="shared" si="131"/>
        <v>8169</v>
      </c>
      <c r="F268" s="1194">
        <f t="shared" si="132"/>
        <v>871</v>
      </c>
      <c r="G268" s="1194">
        <f t="shared" si="132"/>
        <v>635</v>
      </c>
      <c r="H268" s="1194">
        <f t="shared" si="132"/>
        <v>651</v>
      </c>
      <c r="I268" s="1194">
        <f t="shared" si="132"/>
        <v>603</v>
      </c>
      <c r="J268" s="1194">
        <f t="shared" si="132"/>
        <v>691</v>
      </c>
      <c r="K268" s="1194">
        <f t="shared" si="132"/>
        <v>710</v>
      </c>
      <c r="L268" s="1194">
        <f t="shared" si="132"/>
        <v>634</v>
      </c>
      <c r="M268" s="1194">
        <f t="shared" si="132"/>
        <v>623</v>
      </c>
      <c r="N268" s="1194">
        <f t="shared" si="132"/>
        <v>619</v>
      </c>
      <c r="O268" s="1194">
        <f t="shared" si="132"/>
        <v>649</v>
      </c>
      <c r="P268" s="1194">
        <f t="shared" si="132"/>
        <v>644</v>
      </c>
      <c r="Q268" s="1194">
        <f t="shared" si="132"/>
        <v>839</v>
      </c>
      <c r="R268" s="1194">
        <f t="shared" si="133"/>
        <v>-20</v>
      </c>
    </row>
    <row r="269" spans="1:18" x14ac:dyDescent="0.2">
      <c r="A269" s="1214" t="str">
        <f t="shared" si="130"/>
        <v>Employee Expenses</v>
      </c>
      <c r="B269" s="1111" t="s">
        <v>1474</v>
      </c>
      <c r="C269" s="1571">
        <v>98431.86</v>
      </c>
      <c r="D269" s="1216">
        <f t="shared" si="128"/>
        <v>0.27809200000000001</v>
      </c>
      <c r="E269" s="1582">
        <f t="shared" si="131"/>
        <v>143006</v>
      </c>
      <c r="F269" s="1194">
        <f>ROUND($D269*F$271,0)</f>
        <v>15243</v>
      </c>
      <c r="G269" s="1194">
        <f t="shared" si="132"/>
        <v>11120</v>
      </c>
      <c r="H269" s="1194">
        <f t="shared" si="132"/>
        <v>11399</v>
      </c>
      <c r="I269" s="1194">
        <f t="shared" si="132"/>
        <v>10553</v>
      </c>
      <c r="J269" s="1194">
        <f t="shared" si="132"/>
        <v>12097</v>
      </c>
      <c r="K269" s="1194">
        <f t="shared" si="132"/>
        <v>12424</v>
      </c>
      <c r="L269" s="1194">
        <f t="shared" si="132"/>
        <v>11095</v>
      </c>
      <c r="M269" s="1194">
        <f t="shared" si="132"/>
        <v>10912</v>
      </c>
      <c r="N269" s="1194">
        <f t="shared" si="132"/>
        <v>10840</v>
      </c>
      <c r="O269" s="1194">
        <f t="shared" si="132"/>
        <v>11357</v>
      </c>
      <c r="P269" s="1194">
        <f t="shared" si="132"/>
        <v>11271</v>
      </c>
      <c r="Q269" s="1194">
        <f t="shared" si="132"/>
        <v>14695</v>
      </c>
      <c r="R269" s="1194">
        <f t="shared" si="133"/>
        <v>-350</v>
      </c>
    </row>
    <row r="270" spans="1:18" ht="13.5" x14ac:dyDescent="0.35">
      <c r="A270" s="1214" t="str">
        <f t="shared" si="130"/>
        <v>Employee Expenses</v>
      </c>
      <c r="B270" s="1111" t="s">
        <v>1475</v>
      </c>
      <c r="C270" s="1623">
        <v>212.43</v>
      </c>
      <c r="D270" s="1217">
        <f t="shared" si="128"/>
        <v>5.9999999999999995E-4</v>
      </c>
      <c r="E270" s="1587">
        <f t="shared" si="131"/>
        <v>313.99996000001556</v>
      </c>
      <c r="F270" s="1218">
        <f>F271-SUM(F256:F269)</f>
        <v>33.333330000001297</v>
      </c>
      <c r="G270" s="1218">
        <f t="shared" ref="G270:Q270" si="134">G271-SUM(G256:G269)</f>
        <v>23.333330000001297</v>
      </c>
      <c r="H270" s="1218">
        <f t="shared" si="134"/>
        <v>25.333330000001297</v>
      </c>
      <c r="I270" s="1218">
        <f t="shared" si="134"/>
        <v>23.333330000001297</v>
      </c>
      <c r="J270" s="1218">
        <f t="shared" si="134"/>
        <v>27.333330000001297</v>
      </c>
      <c r="K270" s="1218">
        <f t="shared" si="134"/>
        <v>27.333330000001297</v>
      </c>
      <c r="L270" s="1218">
        <f t="shared" si="134"/>
        <v>24.333330000001297</v>
      </c>
      <c r="M270" s="1218">
        <f t="shared" si="134"/>
        <v>24.333330000001297</v>
      </c>
      <c r="N270" s="1218">
        <f t="shared" si="134"/>
        <v>25.333330000001297</v>
      </c>
      <c r="O270" s="1218">
        <f t="shared" si="134"/>
        <v>24.333330000001297</v>
      </c>
      <c r="P270" s="1218">
        <f t="shared" si="134"/>
        <v>24.333330000001297</v>
      </c>
      <c r="Q270" s="1218">
        <f t="shared" si="134"/>
        <v>31.333330000001297</v>
      </c>
      <c r="R270" s="1218">
        <f>R271-SUM(R256:R269)</f>
        <v>1</v>
      </c>
    </row>
    <row r="271" spans="1:18" x14ac:dyDescent="0.2">
      <c r="A271" s="1213"/>
      <c r="B271" s="1110"/>
      <c r="C271" s="1572">
        <f>SUM(C256:C270)</f>
        <v>353954.18</v>
      </c>
      <c r="D271" s="1216">
        <f>SUM(D256:D270)</f>
        <v>0.99999800000000005</v>
      </c>
      <c r="E271" s="1572">
        <f>SUM(E256:E270)</f>
        <v>514241.99996000004</v>
      </c>
      <c r="F271" s="1194">
        <f t="shared" ref="F271:R271" si="135">F112</f>
        <v>54813.333330000001</v>
      </c>
      <c r="G271" s="1194">
        <f t="shared" si="135"/>
        <v>39986.333330000001</v>
      </c>
      <c r="H271" s="1194">
        <f t="shared" si="135"/>
        <v>40989.333330000001</v>
      </c>
      <c r="I271" s="1194">
        <f t="shared" si="135"/>
        <v>37946.333330000001</v>
      </c>
      <c r="J271" s="1194">
        <f t="shared" si="135"/>
        <v>43501.333330000001</v>
      </c>
      <c r="K271" s="1194">
        <f t="shared" si="135"/>
        <v>44677.333330000001</v>
      </c>
      <c r="L271" s="1194">
        <f t="shared" si="135"/>
        <v>39897.333330000001</v>
      </c>
      <c r="M271" s="1194">
        <f t="shared" si="135"/>
        <v>39238.333330000001</v>
      </c>
      <c r="N271" s="1194">
        <f t="shared" si="135"/>
        <v>38979.333330000001</v>
      </c>
      <c r="O271" s="1194">
        <f t="shared" si="135"/>
        <v>40839.333330000001</v>
      </c>
      <c r="P271" s="1194">
        <f t="shared" si="135"/>
        <v>40530.333330000001</v>
      </c>
      <c r="Q271" s="1194">
        <f t="shared" si="135"/>
        <v>52843.333330000001</v>
      </c>
      <c r="R271" s="1194">
        <f t="shared" si="135"/>
        <v>-1258</v>
      </c>
    </row>
    <row r="272" spans="1:18" x14ac:dyDescent="0.2">
      <c r="A272" s="1213"/>
      <c r="B272" s="1110"/>
      <c r="C272" s="1582"/>
      <c r="D272" s="1216"/>
      <c r="E272" s="1582"/>
      <c r="F272" s="1194"/>
      <c r="G272" s="1194"/>
      <c r="H272" s="1194"/>
      <c r="I272" s="1194"/>
      <c r="J272" s="1194"/>
      <c r="K272" s="1194"/>
      <c r="L272" s="1194"/>
      <c r="M272" s="1194"/>
      <c r="N272" s="1194"/>
      <c r="O272" s="1194"/>
      <c r="P272" s="1194"/>
      <c r="Q272" s="1194"/>
      <c r="R272" s="1194"/>
    </row>
    <row r="273" spans="1:18" x14ac:dyDescent="0.2">
      <c r="A273" s="1214" t="str">
        <f t="shared" ref="A273:A276" si="136">$B$121</f>
        <v>Co Dues/Mbrshps-Industry Assns</v>
      </c>
      <c r="B273" s="1111" t="s">
        <v>1418</v>
      </c>
      <c r="C273" s="1571">
        <v>11225</v>
      </c>
      <c r="D273" s="1216">
        <f>ROUND(C273/$C$277,6)</f>
        <v>0.110695</v>
      </c>
      <c r="E273" s="1582">
        <f t="shared" ref="E273:E276" si="137">SUM(F273:Q273)</f>
        <v>9233</v>
      </c>
      <c r="F273" s="1194">
        <f>ROUND($D273*F$277,0)</f>
        <v>328</v>
      </c>
      <c r="G273" s="1194">
        <f t="shared" ref="G273:Q273" si="138">ROUND($D273*G$277,0)</f>
        <v>1324</v>
      </c>
      <c r="H273" s="1194">
        <f t="shared" si="138"/>
        <v>328</v>
      </c>
      <c r="I273" s="1194">
        <f t="shared" si="138"/>
        <v>347</v>
      </c>
      <c r="J273" s="1194">
        <f t="shared" si="138"/>
        <v>1325</v>
      </c>
      <c r="K273" s="1194">
        <f t="shared" si="138"/>
        <v>384</v>
      </c>
      <c r="L273" s="1194">
        <f t="shared" si="138"/>
        <v>1324</v>
      </c>
      <c r="M273" s="1194">
        <f t="shared" si="138"/>
        <v>328</v>
      </c>
      <c r="N273" s="1194">
        <f t="shared" si="138"/>
        <v>1566</v>
      </c>
      <c r="O273" s="1194">
        <f t="shared" si="138"/>
        <v>1324</v>
      </c>
      <c r="P273" s="1194">
        <f t="shared" si="138"/>
        <v>327</v>
      </c>
      <c r="Q273" s="1194">
        <f t="shared" si="138"/>
        <v>328</v>
      </c>
      <c r="R273" s="1194">
        <f>ROUND($R$277*D273,0)</f>
        <v>0</v>
      </c>
    </row>
    <row r="274" spans="1:18" x14ac:dyDescent="0.2">
      <c r="A274" s="1214" t="str">
        <f t="shared" si="136"/>
        <v>Co Dues/Mbrshps-Industry Assns</v>
      </c>
      <c r="B274" s="1111" t="s">
        <v>1454</v>
      </c>
      <c r="C274" s="1571">
        <v>26915</v>
      </c>
      <c r="D274" s="1216">
        <f>ROUND(C274/$C$277,6)</f>
        <v>0.26542199999999999</v>
      </c>
      <c r="E274" s="1582">
        <f t="shared" si="137"/>
        <v>22140</v>
      </c>
      <c r="F274" s="1194">
        <f t="shared" ref="F274:Q275" si="139">ROUND($D274*F$277,0)</f>
        <v>788</v>
      </c>
      <c r="G274" s="1194">
        <f t="shared" si="139"/>
        <v>3174</v>
      </c>
      <c r="H274" s="1194">
        <f t="shared" si="139"/>
        <v>787</v>
      </c>
      <c r="I274" s="1194">
        <f t="shared" si="139"/>
        <v>831</v>
      </c>
      <c r="J274" s="1194">
        <f t="shared" si="139"/>
        <v>3178</v>
      </c>
      <c r="K274" s="1194">
        <f t="shared" si="139"/>
        <v>921</v>
      </c>
      <c r="L274" s="1194">
        <f t="shared" si="139"/>
        <v>3174</v>
      </c>
      <c r="M274" s="1194">
        <f t="shared" si="139"/>
        <v>786</v>
      </c>
      <c r="N274" s="1194">
        <f t="shared" si="139"/>
        <v>3754</v>
      </c>
      <c r="O274" s="1194">
        <f t="shared" si="139"/>
        <v>3176</v>
      </c>
      <c r="P274" s="1194">
        <f t="shared" si="139"/>
        <v>785</v>
      </c>
      <c r="Q274" s="1194">
        <f t="shared" si="139"/>
        <v>786</v>
      </c>
      <c r="R274" s="1194">
        <f t="shared" ref="R274:R275" si="140">ROUND($R$277*D274,0)</f>
        <v>0</v>
      </c>
    </row>
    <row r="275" spans="1:18" s="1112" customFormat="1" x14ac:dyDescent="0.2">
      <c r="A275" s="1214" t="str">
        <f t="shared" si="136"/>
        <v>Co Dues/Mbrshps-Industry Assns</v>
      </c>
      <c r="B275" s="1111" t="s">
        <v>1474</v>
      </c>
      <c r="C275" s="1571">
        <v>22593</v>
      </c>
      <c r="D275" s="1216">
        <f>ROUND(C275/$C$277,6)</f>
        <v>0.222801</v>
      </c>
      <c r="E275" s="1582">
        <f t="shared" si="137"/>
        <v>18586</v>
      </c>
      <c r="F275" s="1194">
        <f t="shared" si="139"/>
        <v>661</v>
      </c>
      <c r="G275" s="1194">
        <f t="shared" si="139"/>
        <v>2664</v>
      </c>
      <c r="H275" s="1194">
        <f t="shared" si="139"/>
        <v>661</v>
      </c>
      <c r="I275" s="1194">
        <f t="shared" si="139"/>
        <v>698</v>
      </c>
      <c r="J275" s="1194">
        <f t="shared" si="139"/>
        <v>2668</v>
      </c>
      <c r="K275" s="1194">
        <f t="shared" si="139"/>
        <v>773</v>
      </c>
      <c r="L275" s="1194">
        <f t="shared" si="139"/>
        <v>2665</v>
      </c>
      <c r="M275" s="1194">
        <f t="shared" si="139"/>
        <v>660</v>
      </c>
      <c r="N275" s="1194">
        <f t="shared" si="139"/>
        <v>3151</v>
      </c>
      <c r="O275" s="1194">
        <f t="shared" si="139"/>
        <v>2666</v>
      </c>
      <c r="P275" s="1194">
        <f t="shared" si="139"/>
        <v>659</v>
      </c>
      <c r="Q275" s="1194">
        <f t="shared" si="139"/>
        <v>660</v>
      </c>
      <c r="R275" s="1194">
        <f t="shared" si="140"/>
        <v>0</v>
      </c>
    </row>
    <row r="276" spans="1:18" s="1112" customFormat="1" ht="13.5" x14ac:dyDescent="0.35">
      <c r="A276" s="1214" t="str">
        <f t="shared" si="136"/>
        <v>Co Dues/Mbrshps-Industry Assns</v>
      </c>
      <c r="B276" s="1111" t="s">
        <v>1489</v>
      </c>
      <c r="C276" s="1623">
        <v>40671.56</v>
      </c>
      <c r="D276" s="1570">
        <f>ROUND(C276/$C$277,6)</f>
        <v>0.40108199999999999</v>
      </c>
      <c r="E276" s="1587">
        <f t="shared" si="137"/>
        <v>33457</v>
      </c>
      <c r="F276" s="1221">
        <f t="shared" ref="F276" si="141">F277-SUM(F273:F275)</f>
        <v>1190</v>
      </c>
      <c r="G276" s="1221">
        <f t="shared" ref="G276:Q276" si="142">G277-SUM(G273:G275)</f>
        <v>4796</v>
      </c>
      <c r="H276" s="1221">
        <f t="shared" si="142"/>
        <v>1189</v>
      </c>
      <c r="I276" s="1221">
        <f t="shared" si="142"/>
        <v>1256</v>
      </c>
      <c r="J276" s="1221">
        <f t="shared" si="142"/>
        <v>4802</v>
      </c>
      <c r="K276" s="1221">
        <f t="shared" si="142"/>
        <v>1391</v>
      </c>
      <c r="L276" s="1221">
        <f t="shared" si="142"/>
        <v>4797</v>
      </c>
      <c r="M276" s="1221">
        <f t="shared" si="142"/>
        <v>1189</v>
      </c>
      <c r="N276" s="1221">
        <f t="shared" si="142"/>
        <v>5672</v>
      </c>
      <c r="O276" s="1221">
        <f t="shared" si="142"/>
        <v>4799</v>
      </c>
      <c r="P276" s="1221">
        <f t="shared" si="142"/>
        <v>1187</v>
      </c>
      <c r="Q276" s="1221">
        <f t="shared" si="142"/>
        <v>1189</v>
      </c>
      <c r="R276" s="1218">
        <f>R277-SUM(R273:R275)</f>
        <v>0</v>
      </c>
    </row>
    <row r="277" spans="1:18" x14ac:dyDescent="0.2">
      <c r="A277" s="1113"/>
      <c r="B277" s="1110"/>
      <c r="C277" s="1572">
        <f>SUM(C273:C276)</f>
        <v>101404.56</v>
      </c>
      <c r="D277" s="1573">
        <f>SUM(D273:D276)</f>
        <v>1</v>
      </c>
      <c r="E277" s="1572">
        <f>SUM(E273:E276)</f>
        <v>83416</v>
      </c>
      <c r="F277" s="1574">
        <f t="shared" ref="F277:R277" si="143">F121</f>
        <v>2967</v>
      </c>
      <c r="G277" s="1574">
        <f t="shared" si="143"/>
        <v>11958</v>
      </c>
      <c r="H277" s="1574">
        <f t="shared" si="143"/>
        <v>2965</v>
      </c>
      <c r="I277" s="1574">
        <f t="shared" si="143"/>
        <v>3132</v>
      </c>
      <c r="J277" s="1574">
        <f t="shared" si="143"/>
        <v>11973</v>
      </c>
      <c r="K277" s="1574">
        <f t="shared" si="143"/>
        <v>3469</v>
      </c>
      <c r="L277" s="1574">
        <f t="shared" si="143"/>
        <v>11960</v>
      </c>
      <c r="M277" s="1574">
        <f t="shared" si="143"/>
        <v>2963</v>
      </c>
      <c r="N277" s="1574">
        <f t="shared" si="143"/>
        <v>14143</v>
      </c>
      <c r="O277" s="1574">
        <f t="shared" si="143"/>
        <v>11965</v>
      </c>
      <c r="P277" s="1574">
        <f t="shared" si="143"/>
        <v>2958</v>
      </c>
      <c r="Q277" s="1574">
        <f t="shared" si="143"/>
        <v>2963</v>
      </c>
      <c r="R277" s="1574">
        <f t="shared" si="143"/>
        <v>0</v>
      </c>
    </row>
    <row r="278" spans="1:18" x14ac:dyDescent="0.2">
      <c r="A278" s="1113"/>
      <c r="B278" s="1110"/>
      <c r="C278" s="1572"/>
      <c r="D278" s="1573"/>
      <c r="E278" s="1572"/>
      <c r="F278" s="1574"/>
      <c r="G278" s="1574"/>
      <c r="H278" s="1574"/>
      <c r="I278" s="1574"/>
      <c r="J278" s="1574"/>
      <c r="K278" s="1574"/>
      <c r="L278" s="1574"/>
      <c r="M278" s="1574"/>
      <c r="N278" s="1574"/>
      <c r="O278" s="1574"/>
      <c r="P278" s="1574"/>
      <c r="Q278" s="1574"/>
      <c r="R278" s="1574"/>
    </row>
    <row r="279" spans="1:18" x14ac:dyDescent="0.2">
      <c r="A279" s="1214" t="str">
        <f>$B$130</f>
        <v>Utilities</v>
      </c>
      <c r="B279" s="1110" t="s">
        <v>1376</v>
      </c>
      <c r="C279" s="1571">
        <v>2091.98</v>
      </c>
      <c r="D279" s="1216">
        <f>ROUND(C279/$C$293,6)</f>
        <v>4.8630000000000001E-3</v>
      </c>
      <c r="E279" s="1582">
        <f>SUM(F279:Q279)</f>
        <v>2139</v>
      </c>
      <c r="F279" s="1194">
        <f t="shared" ref="F279:Q291" si="144">ROUND($D279*F$293,0)</f>
        <v>185</v>
      </c>
      <c r="G279" s="1194">
        <f t="shared" si="144"/>
        <v>161</v>
      </c>
      <c r="H279" s="1194">
        <f t="shared" si="144"/>
        <v>186</v>
      </c>
      <c r="I279" s="1194">
        <f t="shared" si="144"/>
        <v>164</v>
      </c>
      <c r="J279" s="1194">
        <f t="shared" si="144"/>
        <v>197</v>
      </c>
      <c r="K279" s="1194">
        <f t="shared" si="144"/>
        <v>192</v>
      </c>
      <c r="L279" s="1194">
        <f t="shared" si="144"/>
        <v>176</v>
      </c>
      <c r="M279" s="1194">
        <f t="shared" si="144"/>
        <v>176</v>
      </c>
      <c r="N279" s="1194">
        <f t="shared" si="144"/>
        <v>170</v>
      </c>
      <c r="O279" s="1194">
        <f t="shared" si="144"/>
        <v>180</v>
      </c>
      <c r="P279" s="1194">
        <f t="shared" si="144"/>
        <v>167</v>
      </c>
      <c r="Q279" s="1194">
        <f t="shared" si="144"/>
        <v>185</v>
      </c>
      <c r="R279" s="1194">
        <f>ROUND(D279*$R$293,0)</f>
        <v>0</v>
      </c>
    </row>
    <row r="280" spans="1:18" x14ac:dyDescent="0.2">
      <c r="A280" s="1214" t="str">
        <f t="shared" ref="A280:A292" si="145">$B$130</f>
        <v>Utilities</v>
      </c>
      <c r="B280" s="1110" t="s">
        <v>1404</v>
      </c>
      <c r="C280" s="1571">
        <v>15.9</v>
      </c>
      <c r="D280" s="1216">
        <f>ROUND(C280/$C$293,6)</f>
        <v>3.6999999999999998E-5</v>
      </c>
      <c r="E280" s="1582">
        <f t="shared" ref="E280:E292" si="146">SUM(F280:Q280)</f>
        <v>12</v>
      </c>
      <c r="F280" s="1194">
        <f t="shared" si="144"/>
        <v>1</v>
      </c>
      <c r="G280" s="1194">
        <f t="shared" si="144"/>
        <v>1</v>
      </c>
      <c r="H280" s="1194">
        <f t="shared" si="144"/>
        <v>1</v>
      </c>
      <c r="I280" s="1194">
        <f t="shared" si="144"/>
        <v>1</v>
      </c>
      <c r="J280" s="1194">
        <f t="shared" si="144"/>
        <v>1</v>
      </c>
      <c r="K280" s="1194">
        <f t="shared" si="144"/>
        <v>1</v>
      </c>
      <c r="L280" s="1194">
        <f t="shared" si="144"/>
        <v>1</v>
      </c>
      <c r="M280" s="1194">
        <f t="shared" si="144"/>
        <v>1</v>
      </c>
      <c r="N280" s="1194">
        <f t="shared" si="144"/>
        <v>1</v>
      </c>
      <c r="O280" s="1194">
        <f t="shared" si="144"/>
        <v>1</v>
      </c>
      <c r="P280" s="1194">
        <f t="shared" si="144"/>
        <v>1</v>
      </c>
      <c r="Q280" s="1194">
        <f t="shared" si="144"/>
        <v>1</v>
      </c>
      <c r="R280" s="1194">
        <f t="shared" ref="R280:R291" si="147">ROUND(D280*$R$293,0)</f>
        <v>0</v>
      </c>
    </row>
    <row r="281" spans="1:18" x14ac:dyDescent="0.2">
      <c r="A281" s="1214" t="str">
        <f t="shared" si="145"/>
        <v>Utilities</v>
      </c>
      <c r="B281" s="1110" t="s">
        <v>1408</v>
      </c>
      <c r="C281" s="1571">
        <v>7484.079999999999</v>
      </c>
      <c r="D281" s="1216">
        <f>ROUND(C281/$C$293,6)</f>
        <v>1.7396999999999999E-2</v>
      </c>
      <c r="E281" s="1582">
        <f t="shared" si="146"/>
        <v>7640</v>
      </c>
      <c r="F281" s="1194">
        <f t="shared" si="144"/>
        <v>660</v>
      </c>
      <c r="G281" s="1194">
        <f t="shared" si="144"/>
        <v>577</v>
      </c>
      <c r="H281" s="1194">
        <f t="shared" si="144"/>
        <v>664</v>
      </c>
      <c r="I281" s="1194">
        <f t="shared" si="144"/>
        <v>585</v>
      </c>
      <c r="J281" s="1194">
        <f t="shared" si="144"/>
        <v>704</v>
      </c>
      <c r="K281" s="1194">
        <f t="shared" si="144"/>
        <v>686</v>
      </c>
      <c r="L281" s="1194">
        <f t="shared" si="144"/>
        <v>628</v>
      </c>
      <c r="M281" s="1194">
        <f t="shared" si="144"/>
        <v>628</v>
      </c>
      <c r="N281" s="1194">
        <f t="shared" si="144"/>
        <v>607</v>
      </c>
      <c r="O281" s="1194">
        <f t="shared" si="144"/>
        <v>643</v>
      </c>
      <c r="P281" s="1194">
        <f t="shared" si="144"/>
        <v>597</v>
      </c>
      <c r="Q281" s="1194">
        <f t="shared" si="144"/>
        <v>661</v>
      </c>
      <c r="R281" s="1194">
        <f t="shared" si="147"/>
        <v>0</v>
      </c>
    </row>
    <row r="282" spans="1:18" x14ac:dyDescent="0.2">
      <c r="A282" s="1214" t="str">
        <f t="shared" si="145"/>
        <v>Utilities</v>
      </c>
      <c r="B282" s="1110" t="s">
        <v>1410</v>
      </c>
      <c r="C282" s="1571">
        <v>8653.67</v>
      </c>
      <c r="D282" s="1216">
        <f t="shared" ref="D282:D288" si="148">ROUND(C282/$C$293,6)</f>
        <v>2.0115999999999998E-2</v>
      </c>
      <c r="E282" s="1582">
        <f t="shared" si="146"/>
        <v>8838</v>
      </c>
      <c r="F282" s="1194">
        <f t="shared" si="144"/>
        <v>763</v>
      </c>
      <c r="G282" s="1194">
        <f t="shared" si="144"/>
        <v>668</v>
      </c>
      <c r="H282" s="1194">
        <f t="shared" si="144"/>
        <v>768</v>
      </c>
      <c r="I282" s="1194">
        <f t="shared" si="144"/>
        <v>677</v>
      </c>
      <c r="J282" s="1194">
        <f t="shared" si="144"/>
        <v>814</v>
      </c>
      <c r="K282" s="1194">
        <f t="shared" si="144"/>
        <v>793</v>
      </c>
      <c r="L282" s="1194">
        <f t="shared" si="144"/>
        <v>727</v>
      </c>
      <c r="M282" s="1194">
        <f t="shared" si="144"/>
        <v>727</v>
      </c>
      <c r="N282" s="1194">
        <f t="shared" si="144"/>
        <v>702</v>
      </c>
      <c r="O282" s="1194">
        <f t="shared" si="144"/>
        <v>744</v>
      </c>
      <c r="P282" s="1194">
        <f t="shared" si="144"/>
        <v>690</v>
      </c>
      <c r="Q282" s="1194">
        <f t="shared" si="144"/>
        <v>765</v>
      </c>
      <c r="R282" s="1194">
        <f t="shared" si="147"/>
        <v>0</v>
      </c>
    </row>
    <row r="283" spans="1:18" x14ac:dyDescent="0.2">
      <c r="A283" s="1214" t="str">
        <f t="shared" si="145"/>
        <v>Utilities</v>
      </c>
      <c r="B283" s="1110" t="s">
        <v>1414</v>
      </c>
      <c r="C283" s="1571">
        <v>6.3</v>
      </c>
      <c r="D283" s="1216">
        <f t="shared" si="148"/>
        <v>1.5E-5</v>
      </c>
      <c r="E283" s="1582">
        <f t="shared" si="146"/>
        <v>11</v>
      </c>
      <c r="F283" s="1194">
        <f t="shared" si="144"/>
        <v>1</v>
      </c>
      <c r="G283" s="1194">
        <f t="shared" si="144"/>
        <v>0</v>
      </c>
      <c r="H283" s="1194">
        <f t="shared" si="144"/>
        <v>1</v>
      </c>
      <c r="I283" s="1194">
        <f t="shared" si="144"/>
        <v>1</v>
      </c>
      <c r="J283" s="1194">
        <f t="shared" si="144"/>
        <v>1</v>
      </c>
      <c r="K283" s="1194">
        <f t="shared" si="144"/>
        <v>1</v>
      </c>
      <c r="L283" s="1194">
        <f t="shared" si="144"/>
        <v>1</v>
      </c>
      <c r="M283" s="1194">
        <f t="shared" si="144"/>
        <v>1</v>
      </c>
      <c r="N283" s="1194">
        <f t="shared" si="144"/>
        <v>1</v>
      </c>
      <c r="O283" s="1194">
        <f t="shared" si="144"/>
        <v>1</v>
      </c>
      <c r="P283" s="1194">
        <f t="shared" si="144"/>
        <v>1</v>
      </c>
      <c r="Q283" s="1194">
        <f t="shared" si="144"/>
        <v>1</v>
      </c>
      <c r="R283" s="1194">
        <f t="shared" si="147"/>
        <v>0</v>
      </c>
    </row>
    <row r="284" spans="1:18" x14ac:dyDescent="0.2">
      <c r="A284" s="1214" t="str">
        <f t="shared" si="145"/>
        <v>Utilities</v>
      </c>
      <c r="B284" s="1110" t="s">
        <v>1416</v>
      </c>
      <c r="C284" s="1571">
        <v>5.46</v>
      </c>
      <c r="D284" s="1216">
        <f t="shared" si="148"/>
        <v>1.2999999999999999E-5</v>
      </c>
      <c r="E284" s="1582">
        <f t="shared" si="146"/>
        <v>2</v>
      </c>
      <c r="F284" s="1194">
        <f t="shared" si="144"/>
        <v>0</v>
      </c>
      <c r="G284" s="1194">
        <f t="shared" si="144"/>
        <v>0</v>
      </c>
      <c r="H284" s="1194">
        <f t="shared" si="144"/>
        <v>0</v>
      </c>
      <c r="I284" s="1194">
        <f t="shared" si="144"/>
        <v>0</v>
      </c>
      <c r="J284" s="1194">
        <f t="shared" si="144"/>
        <v>1</v>
      </c>
      <c r="K284" s="1194">
        <f t="shared" si="144"/>
        <v>1</v>
      </c>
      <c r="L284" s="1194">
        <f t="shared" si="144"/>
        <v>0</v>
      </c>
      <c r="M284" s="1194">
        <f t="shared" si="144"/>
        <v>0</v>
      </c>
      <c r="N284" s="1194">
        <f t="shared" si="144"/>
        <v>0</v>
      </c>
      <c r="O284" s="1194">
        <f t="shared" si="144"/>
        <v>0</v>
      </c>
      <c r="P284" s="1194">
        <f t="shared" si="144"/>
        <v>0</v>
      </c>
      <c r="Q284" s="1194">
        <f t="shared" si="144"/>
        <v>0</v>
      </c>
      <c r="R284" s="1194">
        <f t="shared" si="147"/>
        <v>0</v>
      </c>
    </row>
    <row r="285" spans="1:18" x14ac:dyDescent="0.2">
      <c r="A285" s="1214" t="str">
        <f t="shared" si="145"/>
        <v>Utilities</v>
      </c>
      <c r="B285" s="1110" t="s">
        <v>1418</v>
      </c>
      <c r="C285" s="1571">
        <v>193323.05000000002</v>
      </c>
      <c r="D285" s="1216">
        <f t="shared" si="148"/>
        <v>0.44939800000000002</v>
      </c>
      <c r="E285" s="1582">
        <f t="shared" si="146"/>
        <v>197403</v>
      </c>
      <c r="F285" s="1194">
        <f t="shared" si="144"/>
        <v>17055</v>
      </c>
      <c r="G285" s="1194">
        <f t="shared" si="144"/>
        <v>14915</v>
      </c>
      <c r="H285" s="1194">
        <f t="shared" si="144"/>
        <v>17158</v>
      </c>
      <c r="I285" s="1194">
        <f t="shared" si="144"/>
        <v>15115</v>
      </c>
      <c r="J285" s="1194">
        <f t="shared" si="144"/>
        <v>18184</v>
      </c>
      <c r="K285" s="1194">
        <f t="shared" si="144"/>
        <v>17716</v>
      </c>
      <c r="L285" s="1194">
        <f t="shared" si="144"/>
        <v>16230</v>
      </c>
      <c r="M285" s="1194">
        <f t="shared" si="144"/>
        <v>16235</v>
      </c>
      <c r="N285" s="1194">
        <f t="shared" si="144"/>
        <v>15682</v>
      </c>
      <c r="O285" s="1194">
        <f t="shared" si="144"/>
        <v>16614</v>
      </c>
      <c r="P285" s="1194">
        <f t="shared" si="144"/>
        <v>15412</v>
      </c>
      <c r="Q285" s="1194">
        <f t="shared" si="144"/>
        <v>17087</v>
      </c>
      <c r="R285" s="1194">
        <f t="shared" si="147"/>
        <v>0</v>
      </c>
    </row>
    <row r="286" spans="1:18" x14ac:dyDescent="0.2">
      <c r="A286" s="1214" t="str">
        <f t="shared" si="145"/>
        <v>Utilities</v>
      </c>
      <c r="B286" s="1111" t="s">
        <v>1425</v>
      </c>
      <c r="C286" s="1571">
        <v>19718.309999999998</v>
      </c>
      <c r="D286" s="1216">
        <f t="shared" si="148"/>
        <v>4.5837000000000003E-2</v>
      </c>
      <c r="E286" s="1582">
        <f t="shared" si="146"/>
        <v>20136</v>
      </c>
      <c r="F286" s="1194">
        <f t="shared" si="144"/>
        <v>1740</v>
      </c>
      <c r="G286" s="1194">
        <f t="shared" si="144"/>
        <v>1521</v>
      </c>
      <c r="H286" s="1194">
        <f t="shared" si="144"/>
        <v>1750</v>
      </c>
      <c r="I286" s="1194">
        <f t="shared" si="144"/>
        <v>1542</v>
      </c>
      <c r="J286" s="1194">
        <f t="shared" si="144"/>
        <v>1855</v>
      </c>
      <c r="K286" s="1194">
        <f t="shared" si="144"/>
        <v>1807</v>
      </c>
      <c r="L286" s="1194">
        <f t="shared" si="144"/>
        <v>1655</v>
      </c>
      <c r="M286" s="1194">
        <f t="shared" si="144"/>
        <v>1656</v>
      </c>
      <c r="N286" s="1194">
        <f t="shared" si="144"/>
        <v>1600</v>
      </c>
      <c r="O286" s="1194">
        <f t="shared" si="144"/>
        <v>1695</v>
      </c>
      <c r="P286" s="1194">
        <f t="shared" si="144"/>
        <v>1572</v>
      </c>
      <c r="Q286" s="1194">
        <f t="shared" si="144"/>
        <v>1743</v>
      </c>
      <c r="R286" s="1194">
        <f t="shared" si="147"/>
        <v>0</v>
      </c>
    </row>
    <row r="287" spans="1:18" x14ac:dyDescent="0.2">
      <c r="A287" s="1214" t="str">
        <f t="shared" si="145"/>
        <v>Utilities</v>
      </c>
      <c r="B287" s="1111" t="s">
        <v>1427</v>
      </c>
      <c r="C287" s="1571">
        <v>20031.249999999996</v>
      </c>
      <c r="D287" s="1216">
        <f t="shared" si="148"/>
        <v>4.6565000000000002E-2</v>
      </c>
      <c r="E287" s="1582">
        <f t="shared" si="146"/>
        <v>20455</v>
      </c>
      <c r="F287" s="1194">
        <f t="shared" si="144"/>
        <v>1767</v>
      </c>
      <c r="G287" s="1194">
        <f t="shared" si="144"/>
        <v>1545</v>
      </c>
      <c r="H287" s="1194">
        <f t="shared" si="144"/>
        <v>1778</v>
      </c>
      <c r="I287" s="1194">
        <f t="shared" si="144"/>
        <v>1566</v>
      </c>
      <c r="J287" s="1194">
        <f t="shared" si="144"/>
        <v>1884</v>
      </c>
      <c r="K287" s="1194">
        <f t="shared" si="144"/>
        <v>1836</v>
      </c>
      <c r="L287" s="1194">
        <f t="shared" si="144"/>
        <v>1682</v>
      </c>
      <c r="M287" s="1194">
        <f t="shared" si="144"/>
        <v>1682</v>
      </c>
      <c r="N287" s="1194">
        <f t="shared" si="144"/>
        <v>1625</v>
      </c>
      <c r="O287" s="1194">
        <f t="shared" si="144"/>
        <v>1722</v>
      </c>
      <c r="P287" s="1194">
        <f t="shared" si="144"/>
        <v>1597</v>
      </c>
      <c r="Q287" s="1194">
        <f t="shared" si="144"/>
        <v>1771</v>
      </c>
      <c r="R287" s="1194">
        <f t="shared" si="147"/>
        <v>0</v>
      </c>
    </row>
    <row r="288" spans="1:18" x14ac:dyDescent="0.2">
      <c r="A288" s="1214" t="str">
        <f t="shared" si="145"/>
        <v>Utilities</v>
      </c>
      <c r="B288" s="1111" t="s">
        <v>1431</v>
      </c>
      <c r="C288" s="1571">
        <v>1.26</v>
      </c>
      <c r="D288" s="1216">
        <f t="shared" si="148"/>
        <v>3.0000000000000001E-6</v>
      </c>
      <c r="E288" s="1582">
        <f t="shared" si="146"/>
        <v>0</v>
      </c>
      <c r="F288" s="1194">
        <f t="shared" si="144"/>
        <v>0</v>
      </c>
      <c r="G288" s="1194">
        <f t="shared" si="144"/>
        <v>0</v>
      </c>
      <c r="H288" s="1194">
        <f t="shared" si="144"/>
        <v>0</v>
      </c>
      <c r="I288" s="1194">
        <f t="shared" si="144"/>
        <v>0</v>
      </c>
      <c r="J288" s="1194">
        <f t="shared" si="144"/>
        <v>0</v>
      </c>
      <c r="K288" s="1194">
        <f t="shared" si="144"/>
        <v>0</v>
      </c>
      <c r="L288" s="1194">
        <f t="shared" si="144"/>
        <v>0</v>
      </c>
      <c r="M288" s="1194">
        <f t="shared" si="144"/>
        <v>0</v>
      </c>
      <c r="N288" s="1194">
        <f t="shared" si="144"/>
        <v>0</v>
      </c>
      <c r="O288" s="1194">
        <f t="shared" si="144"/>
        <v>0</v>
      </c>
      <c r="P288" s="1194">
        <f t="shared" si="144"/>
        <v>0</v>
      </c>
      <c r="Q288" s="1194">
        <f t="shared" si="144"/>
        <v>0</v>
      </c>
      <c r="R288" s="1194">
        <f t="shared" si="147"/>
        <v>0</v>
      </c>
    </row>
    <row r="289" spans="1:18" x14ac:dyDescent="0.2">
      <c r="A289" s="1214" t="str">
        <f t="shared" si="145"/>
        <v>Utilities</v>
      </c>
      <c r="B289" s="1111" t="s">
        <v>1435</v>
      </c>
      <c r="C289" s="1571">
        <v>10114.959999999999</v>
      </c>
      <c r="D289" s="1216">
        <f>ROUND(C289/$C$293,6)</f>
        <v>2.3512999999999999E-2</v>
      </c>
      <c r="E289" s="1582">
        <f t="shared" si="146"/>
        <v>10327</v>
      </c>
      <c r="F289" s="1194">
        <f t="shared" si="144"/>
        <v>892</v>
      </c>
      <c r="G289" s="1194">
        <f t="shared" si="144"/>
        <v>780</v>
      </c>
      <c r="H289" s="1194">
        <f t="shared" si="144"/>
        <v>898</v>
      </c>
      <c r="I289" s="1194">
        <f t="shared" si="144"/>
        <v>791</v>
      </c>
      <c r="J289" s="1194">
        <f t="shared" si="144"/>
        <v>951</v>
      </c>
      <c r="K289" s="1194">
        <f t="shared" si="144"/>
        <v>927</v>
      </c>
      <c r="L289" s="1194">
        <f t="shared" si="144"/>
        <v>849</v>
      </c>
      <c r="M289" s="1194">
        <f t="shared" si="144"/>
        <v>849</v>
      </c>
      <c r="N289" s="1194">
        <f t="shared" si="144"/>
        <v>821</v>
      </c>
      <c r="O289" s="1194">
        <f t="shared" si="144"/>
        <v>869</v>
      </c>
      <c r="P289" s="1194">
        <f t="shared" si="144"/>
        <v>806</v>
      </c>
      <c r="Q289" s="1194">
        <f t="shared" si="144"/>
        <v>894</v>
      </c>
      <c r="R289" s="1194">
        <f t="shared" si="147"/>
        <v>0</v>
      </c>
    </row>
    <row r="290" spans="1:18" x14ac:dyDescent="0.2">
      <c r="A290" s="1214" t="str">
        <f t="shared" si="145"/>
        <v>Utilities</v>
      </c>
      <c r="B290" s="1111" t="s">
        <v>1444</v>
      </c>
      <c r="C290" s="1571">
        <v>1.68</v>
      </c>
      <c r="D290" s="1216">
        <f>ROUND(C290/$C$293,6)</f>
        <v>3.9999999999999998E-6</v>
      </c>
      <c r="E290" s="1582">
        <f t="shared" si="146"/>
        <v>0</v>
      </c>
      <c r="F290" s="1194">
        <f t="shared" si="144"/>
        <v>0</v>
      </c>
      <c r="G290" s="1194">
        <f t="shared" si="144"/>
        <v>0</v>
      </c>
      <c r="H290" s="1194">
        <f t="shared" si="144"/>
        <v>0</v>
      </c>
      <c r="I290" s="1194">
        <f t="shared" si="144"/>
        <v>0</v>
      </c>
      <c r="J290" s="1194">
        <f t="shared" si="144"/>
        <v>0</v>
      </c>
      <c r="K290" s="1194">
        <f t="shared" si="144"/>
        <v>0</v>
      </c>
      <c r="L290" s="1194">
        <f t="shared" si="144"/>
        <v>0</v>
      </c>
      <c r="M290" s="1194">
        <f t="shared" si="144"/>
        <v>0</v>
      </c>
      <c r="N290" s="1194">
        <f t="shared" si="144"/>
        <v>0</v>
      </c>
      <c r="O290" s="1194">
        <f t="shared" si="144"/>
        <v>0</v>
      </c>
      <c r="P290" s="1194">
        <f t="shared" si="144"/>
        <v>0</v>
      </c>
      <c r="Q290" s="1194">
        <f t="shared" si="144"/>
        <v>0</v>
      </c>
      <c r="R290" s="1194">
        <f t="shared" si="147"/>
        <v>0</v>
      </c>
    </row>
    <row r="291" spans="1:18" x14ac:dyDescent="0.2">
      <c r="A291" s="1214" t="str">
        <f t="shared" si="145"/>
        <v>Utilities</v>
      </c>
      <c r="B291" s="1111" t="s">
        <v>1448</v>
      </c>
      <c r="C291" s="1571">
        <v>758.56999999999994</v>
      </c>
      <c r="D291" s="1216">
        <f>ROUND(C291/$C$293,6)</f>
        <v>1.763E-3</v>
      </c>
      <c r="E291" s="1582">
        <f t="shared" si="146"/>
        <v>774</v>
      </c>
      <c r="F291" s="1194">
        <f t="shared" si="144"/>
        <v>67</v>
      </c>
      <c r="G291" s="1194">
        <f t="shared" si="144"/>
        <v>59</v>
      </c>
      <c r="H291" s="1194">
        <f t="shared" si="144"/>
        <v>67</v>
      </c>
      <c r="I291" s="1194">
        <f t="shared" si="144"/>
        <v>59</v>
      </c>
      <c r="J291" s="1194">
        <f t="shared" si="144"/>
        <v>71</v>
      </c>
      <c r="K291" s="1194">
        <f t="shared" si="144"/>
        <v>69</v>
      </c>
      <c r="L291" s="1194">
        <f t="shared" si="144"/>
        <v>64</v>
      </c>
      <c r="M291" s="1194">
        <f t="shared" si="144"/>
        <v>64</v>
      </c>
      <c r="N291" s="1194">
        <f t="shared" si="144"/>
        <v>62</v>
      </c>
      <c r="O291" s="1194">
        <f t="shared" si="144"/>
        <v>65</v>
      </c>
      <c r="P291" s="1194">
        <f t="shared" si="144"/>
        <v>60</v>
      </c>
      <c r="Q291" s="1194">
        <f t="shared" si="144"/>
        <v>67</v>
      </c>
      <c r="R291" s="1194">
        <f t="shared" si="147"/>
        <v>0</v>
      </c>
    </row>
    <row r="292" spans="1:18" ht="13.5" x14ac:dyDescent="0.35">
      <c r="A292" s="1214" t="str">
        <f t="shared" si="145"/>
        <v>Utilities</v>
      </c>
      <c r="B292" s="1111" t="s">
        <v>1474</v>
      </c>
      <c r="C292" s="1624">
        <v>167975.37</v>
      </c>
      <c r="D292" s="1217">
        <f>ROUND(C292/$C$293,6)</f>
        <v>0.39047500000000002</v>
      </c>
      <c r="E292" s="1587">
        <f t="shared" si="146"/>
        <v>171523</v>
      </c>
      <c r="F292" s="1218">
        <f>F293-SUM(F279:F291)</f>
        <v>14819</v>
      </c>
      <c r="G292" s="1218">
        <f t="shared" ref="G292:Q292" si="149">G293-SUM(G279:G291)</f>
        <v>12962</v>
      </c>
      <c r="H292" s="1218">
        <f t="shared" si="149"/>
        <v>14908</v>
      </c>
      <c r="I292" s="1218">
        <f t="shared" si="149"/>
        <v>13132</v>
      </c>
      <c r="J292" s="1218">
        <f t="shared" si="149"/>
        <v>15800</v>
      </c>
      <c r="K292" s="1218">
        <f t="shared" si="149"/>
        <v>15392</v>
      </c>
      <c r="L292" s="1218">
        <f t="shared" si="149"/>
        <v>14103</v>
      </c>
      <c r="M292" s="1218">
        <f t="shared" si="149"/>
        <v>14106</v>
      </c>
      <c r="N292" s="1218">
        <f t="shared" si="149"/>
        <v>13625</v>
      </c>
      <c r="O292" s="1218">
        <f t="shared" si="149"/>
        <v>14436</v>
      </c>
      <c r="P292" s="1218">
        <f t="shared" si="149"/>
        <v>13392</v>
      </c>
      <c r="Q292" s="1218">
        <f t="shared" si="149"/>
        <v>14848</v>
      </c>
      <c r="R292" s="1218">
        <f>R293-SUM(R279:R291)</f>
        <v>0</v>
      </c>
    </row>
    <row r="293" spans="1:18" x14ac:dyDescent="0.2">
      <c r="A293" s="1213"/>
      <c r="B293" s="1110"/>
      <c r="C293" s="1572">
        <f>SUM(C279:C292)</f>
        <v>430181.83999999997</v>
      </c>
      <c r="D293" s="1216">
        <f>SUM(D279:D292)</f>
        <v>0.99999899999999997</v>
      </c>
      <c r="E293" s="1572">
        <f>SUM(E279:E292)</f>
        <v>439260</v>
      </c>
      <c r="F293" s="1194">
        <f t="shared" ref="F293:R293" si="150">F130</f>
        <v>37950</v>
      </c>
      <c r="G293" s="1194">
        <f t="shared" si="150"/>
        <v>33189</v>
      </c>
      <c r="H293" s="1194">
        <f t="shared" si="150"/>
        <v>38179</v>
      </c>
      <c r="I293" s="1194">
        <f t="shared" si="150"/>
        <v>33633</v>
      </c>
      <c r="J293" s="1194">
        <f t="shared" si="150"/>
        <v>40463</v>
      </c>
      <c r="K293" s="1194">
        <f t="shared" si="150"/>
        <v>39421</v>
      </c>
      <c r="L293" s="1194">
        <f t="shared" si="150"/>
        <v>36116</v>
      </c>
      <c r="M293" s="1194">
        <f t="shared" si="150"/>
        <v>36125</v>
      </c>
      <c r="N293" s="1194">
        <f t="shared" si="150"/>
        <v>34896</v>
      </c>
      <c r="O293" s="1194">
        <f t="shared" si="150"/>
        <v>36970</v>
      </c>
      <c r="P293" s="1194">
        <f t="shared" si="150"/>
        <v>34295</v>
      </c>
      <c r="Q293" s="1194">
        <f t="shared" si="150"/>
        <v>38023</v>
      </c>
      <c r="R293" s="1194">
        <f t="shared" si="150"/>
        <v>0</v>
      </c>
    </row>
    <row r="294" spans="1:18" x14ac:dyDescent="0.2">
      <c r="A294" s="1213"/>
      <c r="B294" s="1110"/>
      <c r="C294" s="1571"/>
      <c r="D294" s="1216"/>
      <c r="E294" s="1571"/>
      <c r="F294" s="1194"/>
      <c r="G294" s="1194"/>
      <c r="H294" s="1194"/>
      <c r="I294" s="1194"/>
      <c r="J294" s="1194"/>
      <c r="K294" s="1194"/>
      <c r="L294" s="1194"/>
      <c r="M294" s="1194"/>
      <c r="N294" s="1194"/>
      <c r="O294" s="1194"/>
      <c r="P294" s="1194"/>
      <c r="Q294" s="1194"/>
      <c r="R294" s="1194"/>
    </row>
    <row r="295" spans="1:18" x14ac:dyDescent="0.2">
      <c r="A295" s="1214" t="str">
        <f>$B$102</f>
        <v>Corporate Services - Bill</v>
      </c>
      <c r="B295" s="1111" t="s">
        <v>1396</v>
      </c>
      <c r="C295" s="1571">
        <v>284943.84000000003</v>
      </c>
      <c r="D295" s="1216">
        <f t="shared" ref="D295:D320" si="151">ROUND(C295/$C$327,6)</f>
        <v>1.9730000000000001E-2</v>
      </c>
      <c r="E295" s="1582">
        <f>SUM(F295:Q295)</f>
        <v>344123</v>
      </c>
      <c r="F295" s="1194">
        <f>ROUND($D295*F$327,0)</f>
        <v>27696</v>
      </c>
      <c r="G295" s="1194">
        <f t="shared" ref="G295:Q295" si="152">ROUND($D295*G$327,0)</f>
        <v>28350</v>
      </c>
      <c r="H295" s="1194">
        <f t="shared" si="152"/>
        <v>28544</v>
      </c>
      <c r="I295" s="1194">
        <f t="shared" si="152"/>
        <v>27986</v>
      </c>
      <c r="J295" s="1194">
        <f t="shared" si="152"/>
        <v>28221</v>
      </c>
      <c r="K295" s="1194">
        <f t="shared" si="152"/>
        <v>29571</v>
      </c>
      <c r="L295" s="1194">
        <f t="shared" si="152"/>
        <v>28428</v>
      </c>
      <c r="M295" s="1194">
        <f t="shared" si="152"/>
        <v>28435</v>
      </c>
      <c r="N295" s="1194">
        <f t="shared" si="152"/>
        <v>29444</v>
      </c>
      <c r="O295" s="1194">
        <f t="shared" si="152"/>
        <v>28691</v>
      </c>
      <c r="P295" s="1194">
        <f t="shared" si="152"/>
        <v>29201</v>
      </c>
      <c r="Q295" s="1194">
        <f t="shared" si="152"/>
        <v>29556</v>
      </c>
      <c r="R295" s="1194">
        <f>ROUND(D295*$R$327,0)</f>
        <v>-2566</v>
      </c>
    </row>
    <row r="296" spans="1:18" x14ac:dyDescent="0.2">
      <c r="A296" s="1214" t="str">
        <f t="shared" ref="A296:A326" si="153">$B$102</f>
        <v>Corporate Services - Bill</v>
      </c>
      <c r="B296" s="1111" t="s">
        <v>2117</v>
      </c>
      <c r="C296" s="1571">
        <v>0</v>
      </c>
      <c r="D296" s="1216">
        <f t="shared" si="151"/>
        <v>0</v>
      </c>
      <c r="E296" s="1582">
        <f t="shared" ref="E296:E326" si="154">SUM(F296:Q296)</f>
        <v>0</v>
      </c>
      <c r="F296" s="1194">
        <f t="shared" ref="F296:Q325" si="155">ROUND($D296*F$327,0)</f>
        <v>0</v>
      </c>
      <c r="G296" s="1194">
        <f t="shared" si="155"/>
        <v>0</v>
      </c>
      <c r="H296" s="1194">
        <f t="shared" si="155"/>
        <v>0</v>
      </c>
      <c r="I296" s="1194">
        <f t="shared" si="155"/>
        <v>0</v>
      </c>
      <c r="J296" s="1194">
        <f t="shared" si="155"/>
        <v>0</v>
      </c>
      <c r="K296" s="1194">
        <f t="shared" si="155"/>
        <v>0</v>
      </c>
      <c r="L296" s="1194">
        <f t="shared" si="155"/>
        <v>0</v>
      </c>
      <c r="M296" s="1194">
        <f t="shared" si="155"/>
        <v>0</v>
      </c>
      <c r="N296" s="1194">
        <f t="shared" si="155"/>
        <v>0</v>
      </c>
      <c r="O296" s="1194">
        <f t="shared" si="155"/>
        <v>0</v>
      </c>
      <c r="P296" s="1194">
        <f t="shared" si="155"/>
        <v>0</v>
      </c>
      <c r="Q296" s="1194">
        <f t="shared" si="155"/>
        <v>0</v>
      </c>
      <c r="R296" s="1194">
        <f t="shared" ref="R296:R325" si="156">ROUND(D296*$R$327,0)</f>
        <v>0</v>
      </c>
    </row>
    <row r="297" spans="1:18" x14ac:dyDescent="0.2">
      <c r="A297" s="1214" t="str">
        <f t="shared" si="153"/>
        <v>Corporate Services - Bill</v>
      </c>
      <c r="B297" s="1111" t="s">
        <v>1404</v>
      </c>
      <c r="C297" s="1571">
        <v>598635.86000000103</v>
      </c>
      <c r="D297" s="1216">
        <f t="shared" si="151"/>
        <v>4.1450000000000001E-2</v>
      </c>
      <c r="E297" s="1582">
        <f t="shared" si="154"/>
        <v>722953</v>
      </c>
      <c r="F297" s="1194">
        <f t="shared" si="155"/>
        <v>58185</v>
      </c>
      <c r="G297" s="1194">
        <f t="shared" si="155"/>
        <v>59560</v>
      </c>
      <c r="H297" s="1194">
        <f t="shared" si="155"/>
        <v>59967</v>
      </c>
      <c r="I297" s="1194">
        <f t="shared" si="155"/>
        <v>58795</v>
      </c>
      <c r="J297" s="1194">
        <f t="shared" si="155"/>
        <v>59287</v>
      </c>
      <c r="K297" s="1194">
        <f t="shared" si="155"/>
        <v>62124</v>
      </c>
      <c r="L297" s="1194">
        <f t="shared" si="155"/>
        <v>59724</v>
      </c>
      <c r="M297" s="1194">
        <f t="shared" si="155"/>
        <v>59737</v>
      </c>
      <c r="N297" s="1194">
        <f t="shared" si="155"/>
        <v>61857</v>
      </c>
      <c r="O297" s="1194">
        <f t="shared" si="155"/>
        <v>60276</v>
      </c>
      <c r="P297" s="1194">
        <f t="shared" si="155"/>
        <v>61348</v>
      </c>
      <c r="Q297" s="1194">
        <f t="shared" si="155"/>
        <v>62093</v>
      </c>
      <c r="R297" s="1194">
        <f t="shared" si="156"/>
        <v>-5390</v>
      </c>
    </row>
    <row r="298" spans="1:18" x14ac:dyDescent="0.2">
      <c r="A298" s="1214" t="str">
        <f t="shared" si="153"/>
        <v>Corporate Services - Bill</v>
      </c>
      <c r="B298" s="1111" t="s">
        <v>1408</v>
      </c>
      <c r="C298" s="1571">
        <v>148133.6</v>
      </c>
      <c r="D298" s="1216">
        <f t="shared" si="151"/>
        <v>1.0257E-2</v>
      </c>
      <c r="E298" s="1582">
        <f t="shared" si="154"/>
        <v>178898</v>
      </c>
      <c r="F298" s="1194">
        <f t="shared" si="155"/>
        <v>14398</v>
      </c>
      <c r="G298" s="1194">
        <f t="shared" si="155"/>
        <v>14738</v>
      </c>
      <c r="H298" s="1194">
        <f t="shared" si="155"/>
        <v>14839</v>
      </c>
      <c r="I298" s="1194">
        <f t="shared" si="155"/>
        <v>14549</v>
      </c>
      <c r="J298" s="1194">
        <f t="shared" si="155"/>
        <v>14671</v>
      </c>
      <c r="K298" s="1194">
        <f t="shared" si="155"/>
        <v>15373</v>
      </c>
      <c r="L298" s="1194">
        <f t="shared" si="155"/>
        <v>14779</v>
      </c>
      <c r="M298" s="1194">
        <f t="shared" si="155"/>
        <v>14782</v>
      </c>
      <c r="N298" s="1194">
        <f t="shared" si="155"/>
        <v>15307</v>
      </c>
      <c r="O298" s="1194">
        <f t="shared" si="155"/>
        <v>14916</v>
      </c>
      <c r="P298" s="1194">
        <f t="shared" si="155"/>
        <v>15181</v>
      </c>
      <c r="Q298" s="1194">
        <f t="shared" si="155"/>
        <v>15365</v>
      </c>
      <c r="R298" s="1194">
        <f t="shared" si="156"/>
        <v>-1334</v>
      </c>
    </row>
    <row r="299" spans="1:18" x14ac:dyDescent="0.2">
      <c r="A299" s="1214" t="str">
        <f t="shared" si="153"/>
        <v>Corporate Services - Bill</v>
      </c>
      <c r="B299" s="1111" t="s">
        <v>1410</v>
      </c>
      <c r="C299" s="1571">
        <v>15485.35</v>
      </c>
      <c r="D299" s="1216">
        <f t="shared" si="151"/>
        <v>1.072E-3</v>
      </c>
      <c r="E299" s="1582">
        <f t="shared" si="154"/>
        <v>18699</v>
      </c>
      <c r="F299" s="1194">
        <f t="shared" si="155"/>
        <v>1505</v>
      </c>
      <c r="G299" s="1194">
        <f t="shared" si="155"/>
        <v>1540</v>
      </c>
      <c r="H299" s="1194">
        <f t="shared" si="155"/>
        <v>1551</v>
      </c>
      <c r="I299" s="1194">
        <f t="shared" si="155"/>
        <v>1521</v>
      </c>
      <c r="J299" s="1194">
        <f t="shared" si="155"/>
        <v>1533</v>
      </c>
      <c r="K299" s="1194">
        <f t="shared" si="155"/>
        <v>1607</v>
      </c>
      <c r="L299" s="1194">
        <f t="shared" si="155"/>
        <v>1545</v>
      </c>
      <c r="M299" s="1194">
        <f t="shared" si="155"/>
        <v>1545</v>
      </c>
      <c r="N299" s="1194">
        <f t="shared" si="155"/>
        <v>1600</v>
      </c>
      <c r="O299" s="1194">
        <f t="shared" si="155"/>
        <v>1559</v>
      </c>
      <c r="P299" s="1194">
        <f t="shared" si="155"/>
        <v>1587</v>
      </c>
      <c r="Q299" s="1194">
        <f t="shared" si="155"/>
        <v>1606</v>
      </c>
      <c r="R299" s="1194">
        <f t="shared" si="156"/>
        <v>-139</v>
      </c>
    </row>
    <row r="300" spans="1:18" x14ac:dyDescent="0.2">
      <c r="A300" s="1214" t="str">
        <f t="shared" si="153"/>
        <v>Corporate Services - Bill</v>
      </c>
      <c r="B300" s="1111" t="s">
        <v>1412</v>
      </c>
      <c r="C300" s="1571">
        <v>12670.21</v>
      </c>
      <c r="D300" s="1216">
        <f t="shared" si="151"/>
        <v>8.7699999999999996E-4</v>
      </c>
      <c r="E300" s="1582">
        <f t="shared" si="154"/>
        <v>15296</v>
      </c>
      <c r="F300" s="1194">
        <f t="shared" si="155"/>
        <v>1231</v>
      </c>
      <c r="G300" s="1194">
        <f t="shared" si="155"/>
        <v>1260</v>
      </c>
      <c r="H300" s="1194">
        <f t="shared" si="155"/>
        <v>1269</v>
      </c>
      <c r="I300" s="1194">
        <f t="shared" si="155"/>
        <v>1244</v>
      </c>
      <c r="J300" s="1194">
        <f t="shared" si="155"/>
        <v>1254</v>
      </c>
      <c r="K300" s="1194">
        <f t="shared" si="155"/>
        <v>1314</v>
      </c>
      <c r="L300" s="1194">
        <f t="shared" si="155"/>
        <v>1264</v>
      </c>
      <c r="M300" s="1194">
        <f t="shared" si="155"/>
        <v>1264</v>
      </c>
      <c r="N300" s="1194">
        <f t="shared" si="155"/>
        <v>1309</v>
      </c>
      <c r="O300" s="1194">
        <f t="shared" si="155"/>
        <v>1275</v>
      </c>
      <c r="P300" s="1194">
        <f t="shared" si="155"/>
        <v>1298</v>
      </c>
      <c r="Q300" s="1194">
        <f t="shared" si="155"/>
        <v>1314</v>
      </c>
      <c r="R300" s="1194">
        <f t="shared" si="156"/>
        <v>-114</v>
      </c>
    </row>
    <row r="301" spans="1:18" x14ac:dyDescent="0.2">
      <c r="A301" s="1214" t="str">
        <f t="shared" si="153"/>
        <v>Corporate Services - Bill</v>
      </c>
      <c r="B301" s="1111" t="s">
        <v>1414</v>
      </c>
      <c r="C301" s="1571">
        <v>70312.289999999994</v>
      </c>
      <c r="D301" s="1216">
        <f t="shared" si="151"/>
        <v>4.8679999999999999E-3</v>
      </c>
      <c r="E301" s="1582">
        <f t="shared" si="154"/>
        <v>84906</v>
      </c>
      <c r="F301" s="1194">
        <f t="shared" si="155"/>
        <v>6833</v>
      </c>
      <c r="G301" s="1194">
        <f t="shared" si="155"/>
        <v>6995</v>
      </c>
      <c r="H301" s="1194">
        <f t="shared" si="155"/>
        <v>7043</v>
      </c>
      <c r="I301" s="1194">
        <f t="shared" si="155"/>
        <v>6905</v>
      </c>
      <c r="J301" s="1194">
        <f t="shared" si="155"/>
        <v>6963</v>
      </c>
      <c r="K301" s="1194">
        <f t="shared" si="155"/>
        <v>7296</v>
      </c>
      <c r="L301" s="1194">
        <f t="shared" si="155"/>
        <v>7014</v>
      </c>
      <c r="M301" s="1194">
        <f t="shared" si="155"/>
        <v>7016</v>
      </c>
      <c r="N301" s="1194">
        <f t="shared" si="155"/>
        <v>7265</v>
      </c>
      <c r="O301" s="1194">
        <f t="shared" si="155"/>
        <v>7079</v>
      </c>
      <c r="P301" s="1194">
        <f t="shared" si="155"/>
        <v>7205</v>
      </c>
      <c r="Q301" s="1194">
        <f t="shared" si="155"/>
        <v>7292</v>
      </c>
      <c r="R301" s="1194">
        <f t="shared" si="156"/>
        <v>-633</v>
      </c>
    </row>
    <row r="302" spans="1:18" x14ac:dyDescent="0.2">
      <c r="A302" s="1214" t="str">
        <f t="shared" si="153"/>
        <v>Corporate Services - Bill</v>
      </c>
      <c r="B302" s="1111" t="s">
        <v>1416</v>
      </c>
      <c r="C302" s="1571">
        <v>67808.92</v>
      </c>
      <c r="D302" s="1216">
        <f t="shared" si="151"/>
        <v>4.6950000000000004E-3</v>
      </c>
      <c r="E302" s="1582">
        <f t="shared" si="154"/>
        <v>81887</v>
      </c>
      <c r="F302" s="1194">
        <f t="shared" si="155"/>
        <v>6591</v>
      </c>
      <c r="G302" s="1194">
        <f t="shared" si="155"/>
        <v>6746</v>
      </c>
      <c r="H302" s="1194">
        <f t="shared" si="155"/>
        <v>6792</v>
      </c>
      <c r="I302" s="1194">
        <f t="shared" si="155"/>
        <v>6660</v>
      </c>
      <c r="J302" s="1194">
        <f t="shared" si="155"/>
        <v>6715</v>
      </c>
      <c r="K302" s="1194">
        <f t="shared" si="155"/>
        <v>7037</v>
      </c>
      <c r="L302" s="1194">
        <f t="shared" si="155"/>
        <v>6765</v>
      </c>
      <c r="M302" s="1194">
        <f t="shared" si="155"/>
        <v>6766</v>
      </c>
      <c r="N302" s="1194">
        <f t="shared" si="155"/>
        <v>7006</v>
      </c>
      <c r="O302" s="1194">
        <f t="shared" si="155"/>
        <v>6827</v>
      </c>
      <c r="P302" s="1194">
        <f t="shared" si="155"/>
        <v>6949</v>
      </c>
      <c r="Q302" s="1194">
        <f t="shared" si="155"/>
        <v>7033</v>
      </c>
      <c r="R302" s="1194">
        <f t="shared" si="156"/>
        <v>-611</v>
      </c>
    </row>
    <row r="303" spans="1:18" x14ac:dyDescent="0.2">
      <c r="A303" s="1214" t="str">
        <f t="shared" si="153"/>
        <v>Corporate Services - Bill</v>
      </c>
      <c r="B303" s="1111" t="s">
        <v>1418</v>
      </c>
      <c r="C303" s="1571">
        <v>16282.54</v>
      </c>
      <c r="D303" s="1216">
        <f t="shared" si="151"/>
        <v>1.127E-3</v>
      </c>
      <c r="E303" s="1582">
        <f t="shared" si="154"/>
        <v>19656</v>
      </c>
      <c r="F303" s="1194">
        <f t="shared" si="155"/>
        <v>1582</v>
      </c>
      <c r="G303" s="1194">
        <f t="shared" si="155"/>
        <v>1619</v>
      </c>
      <c r="H303" s="1194">
        <f t="shared" si="155"/>
        <v>1630</v>
      </c>
      <c r="I303" s="1194">
        <f t="shared" si="155"/>
        <v>1599</v>
      </c>
      <c r="J303" s="1194">
        <f t="shared" si="155"/>
        <v>1612</v>
      </c>
      <c r="K303" s="1194">
        <f t="shared" si="155"/>
        <v>1689</v>
      </c>
      <c r="L303" s="1194">
        <f t="shared" si="155"/>
        <v>1624</v>
      </c>
      <c r="M303" s="1194">
        <f t="shared" si="155"/>
        <v>1624</v>
      </c>
      <c r="N303" s="1194">
        <f t="shared" si="155"/>
        <v>1682</v>
      </c>
      <c r="O303" s="1194">
        <f t="shared" si="155"/>
        <v>1639</v>
      </c>
      <c r="P303" s="1194">
        <f t="shared" si="155"/>
        <v>1668</v>
      </c>
      <c r="Q303" s="1194">
        <f t="shared" si="155"/>
        <v>1688</v>
      </c>
      <c r="R303" s="1194">
        <f t="shared" si="156"/>
        <v>-147</v>
      </c>
    </row>
    <row r="304" spans="1:18" x14ac:dyDescent="0.2">
      <c r="A304" s="1214" t="str">
        <f t="shared" si="153"/>
        <v>Corporate Services - Bill</v>
      </c>
      <c r="B304" s="1111" t="s">
        <v>1427</v>
      </c>
      <c r="C304" s="1571">
        <v>43272.95</v>
      </c>
      <c r="D304" s="1216">
        <f t="shared" si="151"/>
        <v>2.996E-3</v>
      </c>
      <c r="E304" s="1582">
        <f t="shared" si="154"/>
        <v>52255</v>
      </c>
      <c r="F304" s="1194">
        <f t="shared" si="155"/>
        <v>4206</v>
      </c>
      <c r="G304" s="1194">
        <f t="shared" si="155"/>
        <v>4305</v>
      </c>
      <c r="H304" s="1194">
        <f t="shared" si="155"/>
        <v>4334</v>
      </c>
      <c r="I304" s="1194">
        <f t="shared" si="155"/>
        <v>4250</v>
      </c>
      <c r="J304" s="1194">
        <f t="shared" si="155"/>
        <v>4285</v>
      </c>
      <c r="K304" s="1194">
        <f t="shared" si="155"/>
        <v>4490</v>
      </c>
      <c r="L304" s="1194">
        <f t="shared" si="155"/>
        <v>4317</v>
      </c>
      <c r="M304" s="1194">
        <f t="shared" si="155"/>
        <v>4318</v>
      </c>
      <c r="N304" s="1194">
        <f t="shared" si="155"/>
        <v>4471</v>
      </c>
      <c r="O304" s="1194">
        <f t="shared" si="155"/>
        <v>4357</v>
      </c>
      <c r="P304" s="1194">
        <f t="shared" si="155"/>
        <v>4434</v>
      </c>
      <c r="Q304" s="1194">
        <f t="shared" si="155"/>
        <v>4488</v>
      </c>
      <c r="R304" s="1194">
        <f t="shared" si="156"/>
        <v>-390</v>
      </c>
    </row>
    <row r="305" spans="1:18" x14ac:dyDescent="0.2">
      <c r="A305" s="1214" t="str">
        <f t="shared" si="153"/>
        <v>Corporate Services - Bill</v>
      </c>
      <c r="B305" s="1111" t="s">
        <v>1429</v>
      </c>
      <c r="C305" s="1571">
        <v>15485.37</v>
      </c>
      <c r="D305" s="1216">
        <f t="shared" si="151"/>
        <v>1.072E-3</v>
      </c>
      <c r="E305" s="1582">
        <f t="shared" si="154"/>
        <v>18699</v>
      </c>
      <c r="F305" s="1194">
        <f t="shared" si="155"/>
        <v>1505</v>
      </c>
      <c r="G305" s="1194">
        <f t="shared" si="155"/>
        <v>1540</v>
      </c>
      <c r="H305" s="1194">
        <f t="shared" si="155"/>
        <v>1551</v>
      </c>
      <c r="I305" s="1194">
        <f t="shared" si="155"/>
        <v>1521</v>
      </c>
      <c r="J305" s="1194">
        <f t="shared" si="155"/>
        <v>1533</v>
      </c>
      <c r="K305" s="1194">
        <f t="shared" si="155"/>
        <v>1607</v>
      </c>
      <c r="L305" s="1194">
        <f t="shared" si="155"/>
        <v>1545</v>
      </c>
      <c r="M305" s="1194">
        <f t="shared" si="155"/>
        <v>1545</v>
      </c>
      <c r="N305" s="1194">
        <f t="shared" si="155"/>
        <v>1600</v>
      </c>
      <c r="O305" s="1194">
        <f t="shared" si="155"/>
        <v>1559</v>
      </c>
      <c r="P305" s="1194">
        <f t="shared" si="155"/>
        <v>1587</v>
      </c>
      <c r="Q305" s="1194">
        <f t="shared" si="155"/>
        <v>1606</v>
      </c>
      <c r="R305" s="1194">
        <f t="shared" si="156"/>
        <v>-139</v>
      </c>
    </row>
    <row r="306" spans="1:18" x14ac:dyDescent="0.2">
      <c r="A306" s="1214" t="str">
        <f t="shared" si="153"/>
        <v>Corporate Services - Bill</v>
      </c>
      <c r="B306" s="1111" t="s">
        <v>1430</v>
      </c>
      <c r="C306" s="1571">
        <v>34571.660000000003</v>
      </c>
      <c r="D306" s="1216">
        <f t="shared" si="151"/>
        <v>2.3939999999999999E-3</v>
      </c>
      <c r="E306" s="1582">
        <f t="shared" si="154"/>
        <v>41754</v>
      </c>
      <c r="F306" s="1194">
        <f t="shared" si="155"/>
        <v>3361</v>
      </c>
      <c r="G306" s="1194">
        <f t="shared" si="155"/>
        <v>3440</v>
      </c>
      <c r="H306" s="1194">
        <f t="shared" si="155"/>
        <v>3463</v>
      </c>
      <c r="I306" s="1194">
        <f t="shared" si="155"/>
        <v>3396</v>
      </c>
      <c r="J306" s="1194">
        <f t="shared" si="155"/>
        <v>3424</v>
      </c>
      <c r="K306" s="1194">
        <f t="shared" si="155"/>
        <v>3588</v>
      </c>
      <c r="L306" s="1194">
        <f t="shared" si="155"/>
        <v>3449</v>
      </c>
      <c r="M306" s="1194">
        <f t="shared" si="155"/>
        <v>3450</v>
      </c>
      <c r="N306" s="1194">
        <f t="shared" si="155"/>
        <v>3573</v>
      </c>
      <c r="O306" s="1194">
        <f t="shared" si="155"/>
        <v>3481</v>
      </c>
      <c r="P306" s="1194">
        <f t="shared" si="155"/>
        <v>3543</v>
      </c>
      <c r="Q306" s="1194">
        <f t="shared" si="155"/>
        <v>3586</v>
      </c>
      <c r="R306" s="1194">
        <f t="shared" si="156"/>
        <v>-311</v>
      </c>
    </row>
    <row r="307" spans="1:18" x14ac:dyDescent="0.2">
      <c r="A307" s="1214" t="str">
        <f t="shared" si="153"/>
        <v>Corporate Services - Bill</v>
      </c>
      <c r="B307" s="1111" t="s">
        <v>1431</v>
      </c>
      <c r="C307" s="1571">
        <v>22233.43</v>
      </c>
      <c r="D307" s="1216">
        <f t="shared" si="151"/>
        <v>1.539E-3</v>
      </c>
      <c r="E307" s="1582">
        <f t="shared" si="154"/>
        <v>26843</v>
      </c>
      <c r="F307" s="1194">
        <f t="shared" si="155"/>
        <v>2160</v>
      </c>
      <c r="G307" s="1194">
        <f t="shared" si="155"/>
        <v>2211</v>
      </c>
      <c r="H307" s="1194">
        <f t="shared" si="155"/>
        <v>2227</v>
      </c>
      <c r="I307" s="1194">
        <f t="shared" si="155"/>
        <v>2183</v>
      </c>
      <c r="J307" s="1194">
        <f t="shared" si="155"/>
        <v>2201</v>
      </c>
      <c r="K307" s="1194">
        <f t="shared" si="155"/>
        <v>2307</v>
      </c>
      <c r="L307" s="1194">
        <f t="shared" si="155"/>
        <v>2218</v>
      </c>
      <c r="M307" s="1194">
        <f t="shared" si="155"/>
        <v>2218</v>
      </c>
      <c r="N307" s="1194">
        <f t="shared" si="155"/>
        <v>2297</v>
      </c>
      <c r="O307" s="1194">
        <f t="shared" si="155"/>
        <v>2238</v>
      </c>
      <c r="P307" s="1194">
        <f t="shared" si="155"/>
        <v>2278</v>
      </c>
      <c r="Q307" s="1194">
        <f t="shared" si="155"/>
        <v>2305</v>
      </c>
      <c r="R307" s="1194">
        <f t="shared" si="156"/>
        <v>-200</v>
      </c>
    </row>
    <row r="308" spans="1:18" x14ac:dyDescent="0.2">
      <c r="A308" s="1214" t="str">
        <f t="shared" si="153"/>
        <v>Corporate Services - Bill</v>
      </c>
      <c r="B308" s="1111" t="s">
        <v>1433</v>
      </c>
      <c r="C308" s="1571">
        <v>34295.440000000002</v>
      </c>
      <c r="D308" s="1216">
        <f t="shared" si="151"/>
        <v>2.3749999999999999E-3</v>
      </c>
      <c r="E308" s="1582">
        <f t="shared" si="154"/>
        <v>41425</v>
      </c>
      <c r="F308" s="1194">
        <f t="shared" si="155"/>
        <v>3334</v>
      </c>
      <c r="G308" s="1194">
        <f t="shared" si="155"/>
        <v>3413</v>
      </c>
      <c r="H308" s="1194">
        <f t="shared" si="155"/>
        <v>3436</v>
      </c>
      <c r="I308" s="1194">
        <f t="shared" si="155"/>
        <v>3369</v>
      </c>
      <c r="J308" s="1194">
        <f t="shared" si="155"/>
        <v>3397</v>
      </c>
      <c r="K308" s="1194">
        <f t="shared" si="155"/>
        <v>3560</v>
      </c>
      <c r="L308" s="1194">
        <f t="shared" si="155"/>
        <v>3422</v>
      </c>
      <c r="M308" s="1194">
        <f t="shared" si="155"/>
        <v>3423</v>
      </c>
      <c r="N308" s="1194">
        <f t="shared" si="155"/>
        <v>3544</v>
      </c>
      <c r="O308" s="1194">
        <f t="shared" si="155"/>
        <v>3454</v>
      </c>
      <c r="P308" s="1194">
        <f t="shared" si="155"/>
        <v>3515</v>
      </c>
      <c r="Q308" s="1194">
        <f t="shared" si="155"/>
        <v>3558</v>
      </c>
      <c r="R308" s="1194">
        <f t="shared" si="156"/>
        <v>-309</v>
      </c>
    </row>
    <row r="309" spans="1:18" x14ac:dyDescent="0.2">
      <c r="A309" s="1214" t="str">
        <f t="shared" si="153"/>
        <v>Corporate Services - Bill</v>
      </c>
      <c r="B309" s="1111" t="s">
        <v>1435</v>
      </c>
      <c r="C309" s="1571">
        <v>63174.87</v>
      </c>
      <c r="D309" s="1216">
        <f t="shared" si="151"/>
        <v>4.3740000000000003E-3</v>
      </c>
      <c r="E309" s="1582">
        <f t="shared" si="154"/>
        <v>76289</v>
      </c>
      <c r="F309" s="1194">
        <f t="shared" si="155"/>
        <v>6140</v>
      </c>
      <c r="G309" s="1194">
        <f t="shared" si="155"/>
        <v>6285</v>
      </c>
      <c r="H309" s="1194">
        <f t="shared" si="155"/>
        <v>6328</v>
      </c>
      <c r="I309" s="1194">
        <f t="shared" si="155"/>
        <v>6204</v>
      </c>
      <c r="J309" s="1194">
        <f t="shared" si="155"/>
        <v>6256</v>
      </c>
      <c r="K309" s="1194">
        <f t="shared" si="155"/>
        <v>6556</v>
      </c>
      <c r="L309" s="1194">
        <f t="shared" si="155"/>
        <v>6302</v>
      </c>
      <c r="M309" s="1194">
        <f t="shared" si="155"/>
        <v>6304</v>
      </c>
      <c r="N309" s="1194">
        <f t="shared" si="155"/>
        <v>6527</v>
      </c>
      <c r="O309" s="1194">
        <f t="shared" si="155"/>
        <v>6361</v>
      </c>
      <c r="P309" s="1194">
        <f t="shared" si="155"/>
        <v>6474</v>
      </c>
      <c r="Q309" s="1194">
        <f t="shared" si="155"/>
        <v>6552</v>
      </c>
      <c r="R309" s="1194">
        <f t="shared" si="156"/>
        <v>-569</v>
      </c>
    </row>
    <row r="310" spans="1:18" x14ac:dyDescent="0.2">
      <c r="A310" s="1214" t="str">
        <f t="shared" si="153"/>
        <v>Corporate Services - Bill</v>
      </c>
      <c r="B310" s="1111" t="s">
        <v>1444</v>
      </c>
      <c r="C310" s="1571">
        <v>1670385.87</v>
      </c>
      <c r="D310" s="1216">
        <f t="shared" si="151"/>
        <v>0.115658</v>
      </c>
      <c r="E310" s="1582">
        <f t="shared" si="154"/>
        <v>2017259</v>
      </c>
      <c r="F310" s="1194">
        <f t="shared" si="155"/>
        <v>162354</v>
      </c>
      <c r="G310" s="1194">
        <f t="shared" si="155"/>
        <v>166190</v>
      </c>
      <c r="H310" s="1194">
        <f t="shared" si="155"/>
        <v>167326</v>
      </c>
      <c r="I310" s="1194">
        <f t="shared" si="155"/>
        <v>164055</v>
      </c>
      <c r="J310" s="1194">
        <f t="shared" si="155"/>
        <v>165430</v>
      </c>
      <c r="K310" s="1194">
        <f t="shared" si="155"/>
        <v>173344</v>
      </c>
      <c r="L310" s="1194">
        <f t="shared" si="155"/>
        <v>166649</v>
      </c>
      <c r="M310" s="1194">
        <f t="shared" si="155"/>
        <v>166684</v>
      </c>
      <c r="N310" s="1194">
        <f t="shared" si="155"/>
        <v>172600</v>
      </c>
      <c r="O310" s="1194">
        <f t="shared" si="155"/>
        <v>168189</v>
      </c>
      <c r="P310" s="1194">
        <f t="shared" si="155"/>
        <v>171180</v>
      </c>
      <c r="Q310" s="1194">
        <f t="shared" si="155"/>
        <v>173258</v>
      </c>
      <c r="R310" s="1194">
        <f t="shared" si="156"/>
        <v>-15040</v>
      </c>
    </row>
    <row r="311" spans="1:18" x14ac:dyDescent="0.2">
      <c r="A311" s="1214" t="str">
        <f t="shared" si="153"/>
        <v>Corporate Services - Bill</v>
      </c>
      <c r="B311" s="1111" t="s">
        <v>1454</v>
      </c>
      <c r="C311" s="1571">
        <v>63.67</v>
      </c>
      <c r="D311" s="1216">
        <f t="shared" si="151"/>
        <v>3.9999999999999998E-6</v>
      </c>
      <c r="E311" s="1582">
        <f t="shared" si="154"/>
        <v>72</v>
      </c>
      <c r="F311" s="1194">
        <f t="shared" si="155"/>
        <v>6</v>
      </c>
      <c r="G311" s="1194">
        <f t="shared" si="155"/>
        <v>6</v>
      </c>
      <c r="H311" s="1194">
        <f t="shared" si="155"/>
        <v>6</v>
      </c>
      <c r="I311" s="1194">
        <f t="shared" si="155"/>
        <v>6</v>
      </c>
      <c r="J311" s="1194">
        <f t="shared" si="155"/>
        <v>6</v>
      </c>
      <c r="K311" s="1194">
        <f t="shared" si="155"/>
        <v>6</v>
      </c>
      <c r="L311" s="1194">
        <f t="shared" si="155"/>
        <v>6</v>
      </c>
      <c r="M311" s="1194">
        <f t="shared" si="155"/>
        <v>6</v>
      </c>
      <c r="N311" s="1194">
        <f t="shared" si="155"/>
        <v>6</v>
      </c>
      <c r="O311" s="1194">
        <f t="shared" si="155"/>
        <v>6</v>
      </c>
      <c r="P311" s="1194">
        <f t="shared" si="155"/>
        <v>6</v>
      </c>
      <c r="Q311" s="1194">
        <f t="shared" si="155"/>
        <v>6</v>
      </c>
      <c r="R311" s="1194">
        <f t="shared" si="156"/>
        <v>-1</v>
      </c>
    </row>
    <row r="312" spans="1:18" x14ac:dyDescent="0.2">
      <c r="A312" s="1214" t="str">
        <f t="shared" si="153"/>
        <v>Corporate Services - Bill</v>
      </c>
      <c r="B312" s="1111" t="s">
        <v>1455</v>
      </c>
      <c r="C312" s="1571">
        <v>65375.49</v>
      </c>
      <c r="D312" s="1216">
        <f t="shared" si="151"/>
        <v>4.5269999999999998E-3</v>
      </c>
      <c r="E312" s="1582">
        <f t="shared" si="154"/>
        <v>78958</v>
      </c>
      <c r="F312" s="1194">
        <f t="shared" si="155"/>
        <v>6355</v>
      </c>
      <c r="G312" s="1194">
        <f t="shared" si="155"/>
        <v>6505</v>
      </c>
      <c r="H312" s="1194">
        <f t="shared" si="155"/>
        <v>6549</v>
      </c>
      <c r="I312" s="1194">
        <f t="shared" si="155"/>
        <v>6421</v>
      </c>
      <c r="J312" s="1194">
        <f t="shared" si="155"/>
        <v>6475</v>
      </c>
      <c r="K312" s="1194">
        <f t="shared" si="155"/>
        <v>6785</v>
      </c>
      <c r="L312" s="1194">
        <f t="shared" si="155"/>
        <v>6523</v>
      </c>
      <c r="M312" s="1194">
        <f t="shared" si="155"/>
        <v>6524</v>
      </c>
      <c r="N312" s="1194">
        <f t="shared" si="155"/>
        <v>6756</v>
      </c>
      <c r="O312" s="1194">
        <f t="shared" si="155"/>
        <v>6583</v>
      </c>
      <c r="P312" s="1194">
        <f t="shared" si="155"/>
        <v>6700</v>
      </c>
      <c r="Q312" s="1194">
        <f t="shared" si="155"/>
        <v>6782</v>
      </c>
      <c r="R312" s="1194">
        <f t="shared" si="156"/>
        <v>-589</v>
      </c>
    </row>
    <row r="313" spans="1:18" x14ac:dyDescent="0.2">
      <c r="A313" s="1214" t="str">
        <f t="shared" si="153"/>
        <v>Corporate Services - Bill</v>
      </c>
      <c r="B313" s="1111" t="s">
        <v>1457</v>
      </c>
      <c r="C313" s="1571">
        <v>52573.35</v>
      </c>
      <c r="D313" s="1216">
        <f t="shared" si="151"/>
        <v>3.64E-3</v>
      </c>
      <c r="E313" s="1582">
        <f t="shared" si="154"/>
        <v>63486</v>
      </c>
      <c r="F313" s="1194">
        <f t="shared" si="155"/>
        <v>5110</v>
      </c>
      <c r="G313" s="1194">
        <f t="shared" si="155"/>
        <v>5230</v>
      </c>
      <c r="H313" s="1194">
        <f t="shared" si="155"/>
        <v>5266</v>
      </c>
      <c r="I313" s="1194">
        <f t="shared" si="155"/>
        <v>5163</v>
      </c>
      <c r="J313" s="1194">
        <f t="shared" si="155"/>
        <v>5206</v>
      </c>
      <c r="K313" s="1194">
        <f t="shared" si="155"/>
        <v>5455</v>
      </c>
      <c r="L313" s="1194">
        <f t="shared" si="155"/>
        <v>5245</v>
      </c>
      <c r="M313" s="1194">
        <f t="shared" si="155"/>
        <v>5246</v>
      </c>
      <c r="N313" s="1194">
        <f t="shared" si="155"/>
        <v>5432</v>
      </c>
      <c r="O313" s="1194">
        <f t="shared" si="155"/>
        <v>5293</v>
      </c>
      <c r="P313" s="1194">
        <f t="shared" si="155"/>
        <v>5387</v>
      </c>
      <c r="Q313" s="1194">
        <f t="shared" si="155"/>
        <v>5453</v>
      </c>
      <c r="R313" s="1194">
        <f t="shared" si="156"/>
        <v>-473</v>
      </c>
    </row>
    <row r="314" spans="1:18" x14ac:dyDescent="0.2">
      <c r="A314" s="1214" t="str">
        <f t="shared" si="153"/>
        <v>Corporate Services - Bill</v>
      </c>
      <c r="B314" s="1111" t="s">
        <v>1459</v>
      </c>
      <c r="C314" s="1571">
        <v>219656.08</v>
      </c>
      <c r="D314" s="1216">
        <f t="shared" si="151"/>
        <v>1.5209E-2</v>
      </c>
      <c r="E314" s="1582">
        <f t="shared" si="154"/>
        <v>265269</v>
      </c>
      <c r="F314" s="1194">
        <f t="shared" si="155"/>
        <v>21350</v>
      </c>
      <c r="G314" s="1194">
        <f t="shared" si="155"/>
        <v>21854</v>
      </c>
      <c r="H314" s="1194">
        <f t="shared" si="155"/>
        <v>22003</v>
      </c>
      <c r="I314" s="1194">
        <f t="shared" si="155"/>
        <v>21573</v>
      </c>
      <c r="J314" s="1194">
        <f t="shared" si="155"/>
        <v>21754</v>
      </c>
      <c r="K314" s="1194">
        <f t="shared" si="155"/>
        <v>22795</v>
      </c>
      <c r="L314" s="1194">
        <f t="shared" si="155"/>
        <v>21914</v>
      </c>
      <c r="M314" s="1194">
        <f t="shared" si="155"/>
        <v>21919</v>
      </c>
      <c r="N314" s="1194">
        <f t="shared" si="155"/>
        <v>22697</v>
      </c>
      <c r="O314" s="1194">
        <f t="shared" si="155"/>
        <v>22117</v>
      </c>
      <c r="P314" s="1194">
        <f t="shared" si="155"/>
        <v>22510</v>
      </c>
      <c r="Q314" s="1194">
        <f t="shared" si="155"/>
        <v>22783</v>
      </c>
      <c r="R314" s="1194">
        <f t="shared" si="156"/>
        <v>-1978</v>
      </c>
    </row>
    <row r="315" spans="1:18" x14ac:dyDescent="0.2">
      <c r="A315" s="1214" t="str">
        <f t="shared" si="153"/>
        <v>Corporate Services - Bill</v>
      </c>
      <c r="B315" s="1111" t="s">
        <v>1464</v>
      </c>
      <c r="C315" s="1571">
        <v>45138.62</v>
      </c>
      <c r="D315" s="1216">
        <f t="shared" si="151"/>
        <v>3.1250000000000002E-3</v>
      </c>
      <c r="E315" s="1582">
        <f t="shared" si="154"/>
        <v>54506</v>
      </c>
      <c r="F315" s="1194">
        <f t="shared" si="155"/>
        <v>4387</v>
      </c>
      <c r="G315" s="1194">
        <f t="shared" si="155"/>
        <v>4490</v>
      </c>
      <c r="H315" s="1194">
        <f t="shared" si="155"/>
        <v>4521</v>
      </c>
      <c r="I315" s="1194">
        <f t="shared" si="155"/>
        <v>4433</v>
      </c>
      <c r="J315" s="1194">
        <f t="shared" si="155"/>
        <v>4470</v>
      </c>
      <c r="K315" s="1194">
        <f t="shared" si="155"/>
        <v>4684</v>
      </c>
      <c r="L315" s="1194">
        <f t="shared" si="155"/>
        <v>4503</v>
      </c>
      <c r="M315" s="1194">
        <f t="shared" si="155"/>
        <v>4504</v>
      </c>
      <c r="N315" s="1194">
        <f t="shared" si="155"/>
        <v>4664</v>
      </c>
      <c r="O315" s="1194">
        <f t="shared" si="155"/>
        <v>4544</v>
      </c>
      <c r="P315" s="1194">
        <f t="shared" si="155"/>
        <v>4625</v>
      </c>
      <c r="Q315" s="1194">
        <f t="shared" si="155"/>
        <v>4681</v>
      </c>
      <c r="R315" s="1194">
        <f t="shared" si="156"/>
        <v>-406</v>
      </c>
    </row>
    <row r="316" spans="1:18" x14ac:dyDescent="0.2">
      <c r="A316" s="1214" t="str">
        <f t="shared" si="153"/>
        <v>Corporate Services - Bill</v>
      </c>
      <c r="B316" s="1111" t="s">
        <v>1466</v>
      </c>
      <c r="C316" s="1571">
        <v>16009.67</v>
      </c>
      <c r="D316" s="1216">
        <f t="shared" si="151"/>
        <v>1.109E-3</v>
      </c>
      <c r="E316" s="1582">
        <f t="shared" si="154"/>
        <v>19342</v>
      </c>
      <c r="F316" s="1194">
        <f t="shared" si="155"/>
        <v>1557</v>
      </c>
      <c r="G316" s="1194">
        <f t="shared" si="155"/>
        <v>1594</v>
      </c>
      <c r="H316" s="1194">
        <f t="shared" si="155"/>
        <v>1604</v>
      </c>
      <c r="I316" s="1194">
        <f t="shared" si="155"/>
        <v>1573</v>
      </c>
      <c r="J316" s="1194">
        <f t="shared" si="155"/>
        <v>1586</v>
      </c>
      <c r="K316" s="1194">
        <f t="shared" si="155"/>
        <v>1662</v>
      </c>
      <c r="L316" s="1194">
        <f t="shared" ref="G316:Q325" si="157">ROUND($D316*L$327,0)</f>
        <v>1598</v>
      </c>
      <c r="M316" s="1194">
        <f t="shared" si="157"/>
        <v>1598</v>
      </c>
      <c r="N316" s="1194">
        <f t="shared" si="157"/>
        <v>1655</v>
      </c>
      <c r="O316" s="1194">
        <f t="shared" si="157"/>
        <v>1613</v>
      </c>
      <c r="P316" s="1194">
        <f t="shared" si="157"/>
        <v>1641</v>
      </c>
      <c r="Q316" s="1194">
        <f t="shared" si="157"/>
        <v>1661</v>
      </c>
      <c r="R316" s="1194">
        <f t="shared" si="156"/>
        <v>-144</v>
      </c>
    </row>
    <row r="317" spans="1:18" x14ac:dyDescent="0.2">
      <c r="A317" s="1214" t="str">
        <f t="shared" si="153"/>
        <v>Corporate Services - Bill</v>
      </c>
      <c r="B317" s="1111" t="s">
        <v>1468</v>
      </c>
      <c r="C317" s="1571">
        <v>9.9999999999909103E-3</v>
      </c>
      <c r="D317" s="1216">
        <f t="shared" si="151"/>
        <v>0</v>
      </c>
      <c r="E317" s="1582">
        <f t="shared" si="154"/>
        <v>0</v>
      </c>
      <c r="F317" s="1194">
        <f t="shared" si="155"/>
        <v>0</v>
      </c>
      <c r="G317" s="1194">
        <f t="shared" si="157"/>
        <v>0</v>
      </c>
      <c r="H317" s="1194">
        <f t="shared" si="157"/>
        <v>0</v>
      </c>
      <c r="I317" s="1194">
        <f t="shared" si="157"/>
        <v>0</v>
      </c>
      <c r="J317" s="1194">
        <f t="shared" si="157"/>
        <v>0</v>
      </c>
      <c r="K317" s="1194">
        <f t="shared" si="157"/>
        <v>0</v>
      </c>
      <c r="L317" s="1194">
        <f t="shared" si="157"/>
        <v>0</v>
      </c>
      <c r="M317" s="1194">
        <f t="shared" si="157"/>
        <v>0</v>
      </c>
      <c r="N317" s="1194">
        <f t="shared" si="157"/>
        <v>0</v>
      </c>
      <c r="O317" s="1194">
        <f t="shared" si="157"/>
        <v>0</v>
      </c>
      <c r="P317" s="1194">
        <f t="shared" si="157"/>
        <v>0</v>
      </c>
      <c r="Q317" s="1194">
        <f t="shared" si="157"/>
        <v>0</v>
      </c>
      <c r="R317" s="1194">
        <f t="shared" si="156"/>
        <v>0</v>
      </c>
    </row>
    <row r="318" spans="1:18" x14ac:dyDescent="0.2">
      <c r="A318" s="1214" t="str">
        <f t="shared" si="153"/>
        <v>Corporate Services - Bill</v>
      </c>
      <c r="B318" s="1111" t="s">
        <v>1472</v>
      </c>
      <c r="C318" s="1571">
        <v>2339246.7200000002</v>
      </c>
      <c r="D318" s="1216">
        <f t="shared" si="151"/>
        <v>0.161969</v>
      </c>
      <c r="E318" s="1582">
        <f t="shared" si="154"/>
        <v>2824997</v>
      </c>
      <c r="F318" s="1194">
        <f t="shared" si="155"/>
        <v>227363</v>
      </c>
      <c r="G318" s="1194">
        <f t="shared" si="157"/>
        <v>232734</v>
      </c>
      <c r="H318" s="1194">
        <f t="shared" si="157"/>
        <v>234326</v>
      </c>
      <c r="I318" s="1194">
        <f t="shared" si="157"/>
        <v>229745</v>
      </c>
      <c r="J318" s="1194">
        <f t="shared" si="157"/>
        <v>231670</v>
      </c>
      <c r="K318" s="1194">
        <f t="shared" si="157"/>
        <v>242753</v>
      </c>
      <c r="L318" s="1194">
        <f t="shared" si="157"/>
        <v>233377</v>
      </c>
      <c r="M318" s="1194">
        <f t="shared" si="157"/>
        <v>233427</v>
      </c>
      <c r="N318" s="1194">
        <f t="shared" si="157"/>
        <v>241712</v>
      </c>
      <c r="O318" s="1194">
        <f t="shared" si="157"/>
        <v>235534</v>
      </c>
      <c r="P318" s="1194">
        <f t="shared" si="157"/>
        <v>239723</v>
      </c>
      <c r="Q318" s="1194">
        <f t="shared" si="157"/>
        <v>242633</v>
      </c>
      <c r="R318" s="1194">
        <f t="shared" si="156"/>
        <v>-21062</v>
      </c>
    </row>
    <row r="319" spans="1:18" x14ac:dyDescent="0.2">
      <c r="A319" s="1214" t="str">
        <f t="shared" si="153"/>
        <v>Corporate Services - Bill</v>
      </c>
      <c r="B319" s="1111" t="s">
        <v>1474</v>
      </c>
      <c r="C319" s="1571">
        <v>319519.40000000002</v>
      </c>
      <c r="D319" s="1216">
        <f t="shared" si="151"/>
        <v>2.2124000000000001E-2</v>
      </c>
      <c r="E319" s="1582">
        <f t="shared" si="154"/>
        <v>385878</v>
      </c>
      <c r="F319" s="1194">
        <f t="shared" si="155"/>
        <v>31056</v>
      </c>
      <c r="G319" s="1194">
        <f t="shared" si="157"/>
        <v>31790</v>
      </c>
      <c r="H319" s="1194">
        <f t="shared" si="157"/>
        <v>32007</v>
      </c>
      <c r="I319" s="1194">
        <f t="shared" si="157"/>
        <v>31382</v>
      </c>
      <c r="J319" s="1194">
        <f t="shared" si="157"/>
        <v>31645</v>
      </c>
      <c r="K319" s="1194">
        <f t="shared" si="157"/>
        <v>33159</v>
      </c>
      <c r="L319" s="1194">
        <f t="shared" si="157"/>
        <v>31878</v>
      </c>
      <c r="M319" s="1194">
        <f t="shared" si="157"/>
        <v>31885</v>
      </c>
      <c r="N319" s="1194">
        <f t="shared" si="157"/>
        <v>33016</v>
      </c>
      <c r="O319" s="1194">
        <f t="shared" si="157"/>
        <v>32173</v>
      </c>
      <c r="P319" s="1194">
        <f t="shared" si="157"/>
        <v>32745</v>
      </c>
      <c r="Q319" s="1194">
        <f t="shared" si="157"/>
        <v>33142</v>
      </c>
      <c r="R319" s="1194">
        <f t="shared" si="156"/>
        <v>-2877</v>
      </c>
    </row>
    <row r="320" spans="1:18" x14ac:dyDescent="0.2">
      <c r="A320" s="1214" t="str">
        <f t="shared" si="153"/>
        <v>Corporate Services - Bill</v>
      </c>
      <c r="B320" s="1111" t="s">
        <v>1475</v>
      </c>
      <c r="C320" s="1571">
        <v>6106678.1700000297</v>
      </c>
      <c r="D320" s="1216">
        <f t="shared" si="151"/>
        <v>0.42282599999999998</v>
      </c>
      <c r="E320" s="1582">
        <f t="shared" si="154"/>
        <v>7374756</v>
      </c>
      <c r="F320" s="1194">
        <f t="shared" si="155"/>
        <v>593539</v>
      </c>
      <c r="G320" s="1194">
        <f t="shared" si="157"/>
        <v>607561</v>
      </c>
      <c r="H320" s="1194">
        <f t="shared" si="157"/>
        <v>611716</v>
      </c>
      <c r="I320" s="1194">
        <f t="shared" si="157"/>
        <v>599758</v>
      </c>
      <c r="J320" s="1194">
        <f t="shared" si="157"/>
        <v>604783</v>
      </c>
      <c r="K320" s="1194">
        <f t="shared" si="157"/>
        <v>633715</v>
      </c>
      <c r="L320" s="1194">
        <f t="shared" si="157"/>
        <v>609239</v>
      </c>
      <c r="M320" s="1194">
        <f t="shared" si="157"/>
        <v>609369</v>
      </c>
      <c r="N320" s="1194">
        <f t="shared" si="157"/>
        <v>630997</v>
      </c>
      <c r="O320" s="1194">
        <f t="shared" si="157"/>
        <v>614871</v>
      </c>
      <c r="P320" s="1194">
        <f t="shared" si="157"/>
        <v>625805</v>
      </c>
      <c r="Q320" s="1194">
        <f t="shared" si="157"/>
        <v>633403</v>
      </c>
      <c r="R320" s="1194">
        <f t="shared" si="156"/>
        <v>-54984</v>
      </c>
    </row>
    <row r="321" spans="1:18" x14ac:dyDescent="0.2">
      <c r="A321" s="1214" t="str">
        <f t="shared" si="153"/>
        <v>Corporate Services - Bill</v>
      </c>
      <c r="B321" s="1111" t="s">
        <v>1477</v>
      </c>
      <c r="C321" s="1571">
        <v>47.91</v>
      </c>
      <c r="D321" s="1216"/>
      <c r="E321" s="1582">
        <f t="shared" si="154"/>
        <v>0</v>
      </c>
      <c r="F321" s="1194">
        <f t="shared" si="155"/>
        <v>0</v>
      </c>
      <c r="G321" s="1194">
        <f t="shared" si="157"/>
        <v>0</v>
      </c>
      <c r="H321" s="1194">
        <f t="shared" si="157"/>
        <v>0</v>
      </c>
      <c r="I321" s="1194">
        <f t="shared" si="157"/>
        <v>0</v>
      </c>
      <c r="J321" s="1194">
        <f t="shared" si="157"/>
        <v>0</v>
      </c>
      <c r="K321" s="1194">
        <f t="shared" si="157"/>
        <v>0</v>
      </c>
      <c r="L321" s="1194">
        <f t="shared" si="157"/>
        <v>0</v>
      </c>
      <c r="M321" s="1194">
        <f t="shared" si="157"/>
        <v>0</v>
      </c>
      <c r="N321" s="1194">
        <f t="shared" si="157"/>
        <v>0</v>
      </c>
      <c r="O321" s="1194">
        <f t="shared" si="157"/>
        <v>0</v>
      </c>
      <c r="P321" s="1194">
        <f t="shared" si="157"/>
        <v>0</v>
      </c>
      <c r="Q321" s="1194">
        <f t="shared" si="157"/>
        <v>0</v>
      </c>
      <c r="R321" s="1194">
        <f t="shared" si="156"/>
        <v>0</v>
      </c>
    </row>
    <row r="322" spans="1:18" x14ac:dyDescent="0.2">
      <c r="A322" s="1214" t="str">
        <f t="shared" si="153"/>
        <v>Corporate Services - Bill</v>
      </c>
      <c r="B322" s="1111" t="s">
        <v>1479</v>
      </c>
      <c r="C322" s="1571">
        <v>40244.67</v>
      </c>
      <c r="D322" s="1216">
        <f>ROUND(C322/$C$327,6)</f>
        <v>2.787E-3</v>
      </c>
      <c r="E322" s="1582">
        <f t="shared" si="154"/>
        <v>48610</v>
      </c>
      <c r="F322" s="1194">
        <f t="shared" si="155"/>
        <v>3912</v>
      </c>
      <c r="G322" s="1194">
        <f t="shared" si="157"/>
        <v>4005</v>
      </c>
      <c r="H322" s="1194">
        <f t="shared" si="157"/>
        <v>4032</v>
      </c>
      <c r="I322" s="1194">
        <f t="shared" si="157"/>
        <v>3953</v>
      </c>
      <c r="J322" s="1194">
        <f t="shared" si="157"/>
        <v>3986</v>
      </c>
      <c r="K322" s="1194">
        <f t="shared" si="157"/>
        <v>4177</v>
      </c>
      <c r="L322" s="1194">
        <f t="shared" si="157"/>
        <v>4016</v>
      </c>
      <c r="M322" s="1194">
        <f t="shared" si="157"/>
        <v>4017</v>
      </c>
      <c r="N322" s="1194">
        <f t="shared" si="157"/>
        <v>4159</v>
      </c>
      <c r="O322" s="1194">
        <f t="shared" si="157"/>
        <v>4053</v>
      </c>
      <c r="P322" s="1194">
        <f t="shared" si="157"/>
        <v>4125</v>
      </c>
      <c r="Q322" s="1194">
        <f t="shared" si="157"/>
        <v>4175</v>
      </c>
      <c r="R322" s="1194">
        <f t="shared" si="156"/>
        <v>-362</v>
      </c>
    </row>
    <row r="323" spans="1:18" x14ac:dyDescent="0.2">
      <c r="A323" s="1214" t="str">
        <f t="shared" si="153"/>
        <v>Corporate Services - Bill</v>
      </c>
      <c r="B323" s="1111" t="s">
        <v>1481</v>
      </c>
      <c r="C323" s="1571">
        <v>1358312.57</v>
      </c>
      <c r="D323" s="1216">
        <f>ROUND(C323/$C$327,6)</f>
        <v>9.4049999999999995E-2</v>
      </c>
      <c r="E323" s="1582">
        <f t="shared" si="154"/>
        <v>1640380</v>
      </c>
      <c r="F323" s="1194">
        <f t="shared" si="155"/>
        <v>132022</v>
      </c>
      <c r="G323" s="1194">
        <f t="shared" si="157"/>
        <v>135141</v>
      </c>
      <c r="H323" s="1194">
        <f t="shared" si="157"/>
        <v>136065</v>
      </c>
      <c r="I323" s="1194">
        <f t="shared" si="157"/>
        <v>133405</v>
      </c>
      <c r="J323" s="1194">
        <f t="shared" si="157"/>
        <v>134523</v>
      </c>
      <c r="K323" s="1194">
        <f t="shared" si="157"/>
        <v>140958</v>
      </c>
      <c r="L323" s="1194">
        <f t="shared" si="157"/>
        <v>135514</v>
      </c>
      <c r="M323" s="1194">
        <f t="shared" si="157"/>
        <v>135543</v>
      </c>
      <c r="N323" s="1194">
        <f t="shared" si="157"/>
        <v>140354</v>
      </c>
      <c r="O323" s="1194">
        <f t="shared" si="157"/>
        <v>136767</v>
      </c>
      <c r="P323" s="1194">
        <f t="shared" si="157"/>
        <v>139199</v>
      </c>
      <c r="Q323" s="1194">
        <f t="shared" si="157"/>
        <v>140889</v>
      </c>
      <c r="R323" s="1194">
        <f t="shared" si="156"/>
        <v>-12230</v>
      </c>
    </row>
    <row r="324" spans="1:18" x14ac:dyDescent="0.2">
      <c r="A324" s="1214" t="str">
        <f t="shared" si="153"/>
        <v>Corporate Services - Bill</v>
      </c>
      <c r="B324" s="1111" t="s">
        <v>1489</v>
      </c>
      <c r="C324" s="1571">
        <v>54255.199999999903</v>
      </c>
      <c r="D324" s="1216">
        <f>ROUND(C324/$C$327,6)</f>
        <v>3.7569999999999999E-3</v>
      </c>
      <c r="E324" s="1582">
        <f t="shared" si="154"/>
        <v>65528</v>
      </c>
      <c r="F324" s="1194">
        <f t="shared" si="155"/>
        <v>5274</v>
      </c>
      <c r="G324" s="1194">
        <f t="shared" si="157"/>
        <v>5398</v>
      </c>
      <c r="H324" s="1194">
        <f t="shared" si="157"/>
        <v>5435</v>
      </c>
      <c r="I324" s="1194">
        <f t="shared" si="157"/>
        <v>5329</v>
      </c>
      <c r="J324" s="1194">
        <f t="shared" si="157"/>
        <v>5374</v>
      </c>
      <c r="K324" s="1194">
        <f t="shared" si="157"/>
        <v>5631</v>
      </c>
      <c r="L324" s="1194">
        <f t="shared" si="157"/>
        <v>5413</v>
      </c>
      <c r="M324" s="1194">
        <f t="shared" si="157"/>
        <v>5415</v>
      </c>
      <c r="N324" s="1194">
        <f t="shared" si="157"/>
        <v>5607</v>
      </c>
      <c r="O324" s="1194">
        <f t="shared" si="157"/>
        <v>5463</v>
      </c>
      <c r="P324" s="1194">
        <f t="shared" si="157"/>
        <v>5561</v>
      </c>
      <c r="Q324" s="1194">
        <f t="shared" si="157"/>
        <v>5628</v>
      </c>
      <c r="R324" s="1194">
        <f t="shared" si="156"/>
        <v>-489</v>
      </c>
    </row>
    <row r="325" spans="1:18" x14ac:dyDescent="0.2">
      <c r="A325" s="1214" t="str">
        <f t="shared" si="153"/>
        <v>Corporate Services - Bill</v>
      </c>
      <c r="B325" s="1111" t="s">
        <v>1491</v>
      </c>
      <c r="C325" s="1571">
        <v>525856.68999999901</v>
      </c>
      <c r="D325" s="1216">
        <f>ROUND(C325/$C$327,6)</f>
        <v>3.6409999999999998E-2</v>
      </c>
      <c r="E325" s="1582">
        <f t="shared" si="154"/>
        <v>635049</v>
      </c>
      <c r="F325" s="1194">
        <f t="shared" si="155"/>
        <v>51110</v>
      </c>
      <c r="G325" s="1194">
        <f t="shared" si="157"/>
        <v>52318</v>
      </c>
      <c r="H325" s="1194">
        <f t="shared" si="157"/>
        <v>52676</v>
      </c>
      <c r="I325" s="1194">
        <f t="shared" si="157"/>
        <v>51646</v>
      </c>
      <c r="J325" s="1194">
        <f t="shared" si="157"/>
        <v>52079</v>
      </c>
      <c r="K325" s="1194">
        <f t="shared" si="157"/>
        <v>54570</v>
      </c>
      <c r="L325" s="1194">
        <f t="shared" si="157"/>
        <v>52462</v>
      </c>
      <c r="M325" s="1194">
        <f t="shared" si="157"/>
        <v>52473</v>
      </c>
      <c r="N325" s="1194">
        <f t="shared" si="157"/>
        <v>54336</v>
      </c>
      <c r="O325" s="1194">
        <f t="shared" si="157"/>
        <v>52947</v>
      </c>
      <c r="P325" s="1194">
        <f t="shared" si="157"/>
        <v>53889</v>
      </c>
      <c r="Q325" s="1194">
        <f t="shared" si="157"/>
        <v>54543</v>
      </c>
      <c r="R325" s="1194">
        <f t="shared" si="156"/>
        <v>-4735</v>
      </c>
    </row>
    <row r="326" spans="1:18" ht="13.5" x14ac:dyDescent="0.35">
      <c r="A326" s="1214" t="str">
        <f t="shared" si="153"/>
        <v>Corporate Services - Bill</v>
      </c>
      <c r="B326" s="1111" t="s">
        <v>2101</v>
      </c>
      <c r="C326" s="1623">
        <v>201845.84</v>
      </c>
      <c r="D326" s="1217">
        <f>ROUND(C326/$C$327,6)</f>
        <v>1.3976000000000001E-2</v>
      </c>
      <c r="E326" s="1587">
        <f t="shared" si="154"/>
        <v>243813</v>
      </c>
      <c r="F326" s="1218">
        <f t="shared" ref="F326:R326" si="158">F327-SUM(F295:F325)</f>
        <v>19621</v>
      </c>
      <c r="G326" s="1218">
        <f t="shared" si="158"/>
        <v>20088</v>
      </c>
      <c r="H326" s="1218">
        <f t="shared" si="158"/>
        <v>20226</v>
      </c>
      <c r="I326" s="1218">
        <f t="shared" si="158"/>
        <v>19828</v>
      </c>
      <c r="J326" s="1218">
        <f t="shared" si="158"/>
        <v>19997</v>
      </c>
      <c r="K326" s="1218">
        <f t="shared" si="158"/>
        <v>20947</v>
      </c>
      <c r="L326" s="1218">
        <f t="shared" si="158"/>
        <v>20141</v>
      </c>
      <c r="M326" s="1218">
        <f t="shared" si="158"/>
        <v>20144</v>
      </c>
      <c r="N326" s="1218">
        <f t="shared" si="158"/>
        <v>20859</v>
      </c>
      <c r="O326" s="1218">
        <f t="shared" si="158"/>
        <v>20328</v>
      </c>
      <c r="P326" s="1218">
        <f t="shared" si="158"/>
        <v>20690</v>
      </c>
      <c r="Q326" s="1218">
        <f t="shared" si="158"/>
        <v>20944</v>
      </c>
      <c r="R326" s="1218">
        <f t="shared" si="158"/>
        <v>-1817</v>
      </c>
    </row>
    <row r="327" spans="1:18" x14ac:dyDescent="0.2">
      <c r="A327" s="1213"/>
      <c r="B327" s="1110"/>
      <c r="C327" s="1572">
        <f>SUM(C295:C326)</f>
        <v>14442516.260000031</v>
      </c>
      <c r="D327" s="1216">
        <f>SUM(D295:D326)</f>
        <v>0.9999969999999998</v>
      </c>
      <c r="E327" s="1572">
        <f>SUM(E295:E326)</f>
        <v>17441586</v>
      </c>
      <c r="F327" s="1194">
        <f t="shared" ref="F327:R327" si="159">F102</f>
        <v>1403743</v>
      </c>
      <c r="G327" s="1194">
        <f t="shared" si="159"/>
        <v>1436906</v>
      </c>
      <c r="H327" s="1194">
        <f t="shared" si="159"/>
        <v>1446732</v>
      </c>
      <c r="I327" s="1194">
        <f t="shared" si="159"/>
        <v>1418452</v>
      </c>
      <c r="J327" s="1194">
        <f t="shared" si="159"/>
        <v>1430336</v>
      </c>
      <c r="K327" s="1194">
        <f t="shared" si="159"/>
        <v>1498760</v>
      </c>
      <c r="L327" s="1194">
        <f t="shared" si="159"/>
        <v>1440874</v>
      </c>
      <c r="M327" s="1194">
        <f t="shared" si="159"/>
        <v>1441181</v>
      </c>
      <c r="N327" s="1194">
        <f t="shared" si="159"/>
        <v>1492332</v>
      </c>
      <c r="O327" s="1194">
        <f t="shared" si="159"/>
        <v>1454193</v>
      </c>
      <c r="P327" s="1194">
        <f t="shared" si="159"/>
        <v>1480054</v>
      </c>
      <c r="Q327" s="1194">
        <f t="shared" si="159"/>
        <v>1498023</v>
      </c>
      <c r="R327" s="1194">
        <f t="shared" si="159"/>
        <v>-130039</v>
      </c>
    </row>
    <row r="328" spans="1:18" x14ac:dyDescent="0.2">
      <c r="A328" s="1213"/>
      <c r="B328" s="1110"/>
      <c r="C328" s="1572"/>
      <c r="D328" s="1216"/>
      <c r="E328" s="1572"/>
      <c r="F328" s="1194"/>
      <c r="G328" s="1194"/>
      <c r="H328" s="1194"/>
      <c r="K328" s="1194"/>
      <c r="L328" s="1194"/>
      <c r="M328" s="1194"/>
      <c r="N328" s="1194"/>
    </row>
    <row r="329" spans="1:18" x14ac:dyDescent="0.2">
      <c r="A329" s="1214" t="str">
        <f>$B$103</f>
        <v>Mgmt Fee Transfers</v>
      </c>
      <c r="B329" s="1111" t="s">
        <v>1418</v>
      </c>
      <c r="C329" s="1571">
        <v>0</v>
      </c>
      <c r="D329" s="1216">
        <f>IF($C$331=0,0,ROUND(C329/$C$331,6))</f>
        <v>0</v>
      </c>
      <c r="E329" s="1582">
        <f>SUM(F329:Q329)</f>
        <v>0</v>
      </c>
      <c r="F329" s="1194">
        <f>ROUND($D329*$F$331,0)</f>
        <v>0</v>
      </c>
      <c r="G329" s="1194">
        <f t="shared" ref="G329:Q329" si="160">ROUND($D329*$F$331,0)</f>
        <v>0</v>
      </c>
      <c r="H329" s="1194">
        <f t="shared" si="160"/>
        <v>0</v>
      </c>
      <c r="I329" s="1194">
        <f t="shared" si="160"/>
        <v>0</v>
      </c>
      <c r="J329" s="1194">
        <f t="shared" si="160"/>
        <v>0</v>
      </c>
      <c r="K329" s="1194">
        <f t="shared" si="160"/>
        <v>0</v>
      </c>
      <c r="L329" s="1194">
        <f t="shared" si="160"/>
        <v>0</v>
      </c>
      <c r="M329" s="1194">
        <f t="shared" si="160"/>
        <v>0</v>
      </c>
      <c r="N329" s="1194">
        <f t="shared" si="160"/>
        <v>0</v>
      </c>
      <c r="O329" s="1194">
        <f t="shared" si="160"/>
        <v>0</v>
      </c>
      <c r="P329" s="1194">
        <f t="shared" si="160"/>
        <v>0</v>
      </c>
      <c r="Q329" s="1194">
        <f t="shared" si="160"/>
        <v>0</v>
      </c>
      <c r="R329" s="1194">
        <f>ROUND(D329*$R$331,0)</f>
        <v>0</v>
      </c>
    </row>
    <row r="330" spans="1:18" s="1112" customFormat="1" ht="13.5" x14ac:dyDescent="0.35">
      <c r="A330" s="1214" t="str">
        <f>$B$103</f>
        <v>Mgmt Fee Transfers</v>
      </c>
      <c r="B330" s="1110" t="s">
        <v>1475</v>
      </c>
      <c r="C330" s="1623">
        <v>0</v>
      </c>
      <c r="D330" s="1217">
        <f>IF($C$331=0,0,ROUND(C330/$C$331,6))</f>
        <v>0</v>
      </c>
      <c r="E330" s="1587">
        <f>SUM(F330:Q330)</f>
        <v>0</v>
      </c>
      <c r="F330" s="1219">
        <f t="shared" ref="F330" si="161">F331-F329</f>
        <v>0</v>
      </c>
      <c r="G330" s="1219">
        <f t="shared" ref="G330:Q330" si="162">G331-G329</f>
        <v>0</v>
      </c>
      <c r="H330" s="1219">
        <f t="shared" si="162"/>
        <v>0</v>
      </c>
      <c r="I330" s="1219">
        <f t="shared" si="162"/>
        <v>0</v>
      </c>
      <c r="J330" s="1219">
        <f t="shared" si="162"/>
        <v>0</v>
      </c>
      <c r="K330" s="1219">
        <f t="shared" si="162"/>
        <v>0</v>
      </c>
      <c r="L330" s="1219">
        <f t="shared" si="162"/>
        <v>0</v>
      </c>
      <c r="M330" s="1219">
        <f t="shared" si="162"/>
        <v>0</v>
      </c>
      <c r="N330" s="1219">
        <f t="shared" si="162"/>
        <v>0</v>
      </c>
      <c r="O330" s="1219">
        <f t="shared" si="162"/>
        <v>0</v>
      </c>
      <c r="P330" s="1219">
        <f t="shared" si="162"/>
        <v>0</v>
      </c>
      <c r="Q330" s="1219">
        <f t="shared" si="162"/>
        <v>0</v>
      </c>
      <c r="R330" s="1219">
        <f t="shared" ref="R330" si="163">R331-R329</f>
        <v>0</v>
      </c>
    </row>
    <row r="331" spans="1:18" x14ac:dyDescent="0.2">
      <c r="A331" s="1213"/>
      <c r="B331" s="1110"/>
      <c r="C331" s="1572">
        <f>SUM(C329:C330)</f>
        <v>0</v>
      </c>
      <c r="D331" s="1216">
        <f>SUM(D329:D330)</f>
        <v>0</v>
      </c>
      <c r="E331" s="1572">
        <f>SUM(E329:E330)</f>
        <v>0</v>
      </c>
      <c r="F331" s="1194">
        <f t="shared" ref="F331:R331" si="164">F103</f>
        <v>0</v>
      </c>
      <c r="G331" s="1194">
        <f t="shared" si="164"/>
        <v>0</v>
      </c>
      <c r="H331" s="1194">
        <f t="shared" si="164"/>
        <v>0</v>
      </c>
      <c r="I331" s="1194">
        <f t="shared" si="164"/>
        <v>0</v>
      </c>
      <c r="J331" s="1194">
        <f t="shared" si="164"/>
        <v>0</v>
      </c>
      <c r="K331" s="1194">
        <f t="shared" si="164"/>
        <v>0</v>
      </c>
      <c r="L331" s="1194">
        <f t="shared" si="164"/>
        <v>0</v>
      </c>
      <c r="M331" s="1194">
        <f t="shared" si="164"/>
        <v>0</v>
      </c>
      <c r="N331" s="1194">
        <f t="shared" si="164"/>
        <v>0</v>
      </c>
      <c r="O331" s="1194">
        <f t="shared" si="164"/>
        <v>0</v>
      </c>
      <c r="P331" s="1194">
        <f t="shared" si="164"/>
        <v>0</v>
      </c>
      <c r="Q331" s="1194">
        <f t="shared" si="164"/>
        <v>0</v>
      </c>
      <c r="R331" s="1194">
        <f t="shared" si="164"/>
        <v>0</v>
      </c>
    </row>
    <row r="332" spans="1:18" x14ac:dyDescent="0.2">
      <c r="A332" s="1213"/>
      <c r="B332" s="1110"/>
      <c r="C332" s="1572"/>
      <c r="D332" s="1216"/>
      <c r="E332" s="1572"/>
      <c r="F332" s="1194"/>
      <c r="G332" s="1194"/>
      <c r="H332" s="1194"/>
      <c r="K332" s="1194"/>
      <c r="L332" s="1194"/>
      <c r="M332" s="1194"/>
      <c r="N332" s="1194"/>
    </row>
    <row r="333" spans="1:18" x14ac:dyDescent="0.2">
      <c r="A333" s="1214" t="str">
        <f>$B113</f>
        <v>Uncollectible Accounts</v>
      </c>
      <c r="B333" s="1110" t="s">
        <v>1446</v>
      </c>
      <c r="C333" s="1571">
        <v>444906.84</v>
      </c>
      <c r="D333" s="1216">
        <v>1</v>
      </c>
      <c r="E333" s="1582">
        <f t="shared" ref="E333:E342" si="165">SUM(F333:Q333)</f>
        <v>807000</v>
      </c>
      <c r="F333" s="1194">
        <f t="shared" ref="F333:R333" si="166">F113</f>
        <v>114000</v>
      </c>
      <c r="G333" s="1194">
        <f t="shared" si="166"/>
        <v>112000</v>
      </c>
      <c r="H333" s="1194">
        <f t="shared" si="166"/>
        <v>93000</v>
      </c>
      <c r="I333" s="1194">
        <f t="shared" si="166"/>
        <v>72000</v>
      </c>
      <c r="J333" s="1194">
        <f t="shared" si="166"/>
        <v>56000</v>
      </c>
      <c r="K333" s="1194">
        <f t="shared" si="166"/>
        <v>44000</v>
      </c>
      <c r="L333" s="1194">
        <f t="shared" si="166"/>
        <v>42000</v>
      </c>
      <c r="M333" s="1194">
        <f t="shared" si="166"/>
        <v>42000</v>
      </c>
      <c r="N333" s="1194">
        <f t="shared" si="166"/>
        <v>42000</v>
      </c>
      <c r="O333" s="1194">
        <f t="shared" si="166"/>
        <v>41000</v>
      </c>
      <c r="P333" s="1194">
        <f t="shared" si="166"/>
        <v>61000</v>
      </c>
      <c r="Q333" s="1194">
        <f t="shared" si="166"/>
        <v>88000</v>
      </c>
      <c r="R333" s="1194">
        <f t="shared" si="166"/>
        <v>0</v>
      </c>
    </row>
    <row r="334" spans="1:18" x14ac:dyDescent="0.2">
      <c r="A334" s="1214" t="str">
        <f>$B115</f>
        <v>Uncollectible Accts High Press</v>
      </c>
      <c r="B334" s="1110" t="s">
        <v>1446</v>
      </c>
      <c r="C334" s="1571">
        <v>0</v>
      </c>
      <c r="D334" s="1216">
        <v>1</v>
      </c>
      <c r="E334" s="1582">
        <f t="shared" si="165"/>
        <v>25000</v>
      </c>
      <c r="F334" s="1194">
        <f t="shared" ref="F334:R334" si="167">F115</f>
        <v>0</v>
      </c>
      <c r="G334" s="1194">
        <f t="shared" si="167"/>
        <v>6250</v>
      </c>
      <c r="H334" s="1194">
        <f t="shared" si="167"/>
        <v>0</v>
      </c>
      <c r="I334" s="1194">
        <f t="shared" si="167"/>
        <v>0</v>
      </c>
      <c r="J334" s="1194">
        <f t="shared" si="167"/>
        <v>6250</v>
      </c>
      <c r="K334" s="1194">
        <f t="shared" si="167"/>
        <v>0</v>
      </c>
      <c r="L334" s="1194">
        <f t="shared" si="167"/>
        <v>0</v>
      </c>
      <c r="M334" s="1194">
        <f t="shared" si="167"/>
        <v>6250</v>
      </c>
      <c r="N334" s="1194">
        <f t="shared" si="167"/>
        <v>0</v>
      </c>
      <c r="O334" s="1194">
        <f t="shared" si="167"/>
        <v>0</v>
      </c>
      <c r="P334" s="1194">
        <f t="shared" si="167"/>
        <v>6250</v>
      </c>
      <c r="Q334" s="1194">
        <f t="shared" si="167"/>
        <v>0</v>
      </c>
      <c r="R334" s="1194">
        <f t="shared" si="167"/>
        <v>0</v>
      </c>
    </row>
    <row r="335" spans="1:18" x14ac:dyDescent="0.2">
      <c r="A335" s="1214" t="str">
        <f>$B114</f>
        <v>Uncollectible Accts Low Income</v>
      </c>
      <c r="B335" s="1110" t="s">
        <v>1446</v>
      </c>
      <c r="C335" s="1571">
        <v>406574.47</v>
      </c>
      <c r="D335" s="1216">
        <v>1</v>
      </c>
      <c r="E335" s="1582">
        <f t="shared" si="165"/>
        <v>411467</v>
      </c>
      <c r="F335" s="1194">
        <f t="shared" ref="F335:R335" si="168">F114</f>
        <v>90251</v>
      </c>
      <c r="G335" s="1194">
        <f t="shared" si="168"/>
        <v>71885</v>
      </c>
      <c r="H335" s="1194">
        <f t="shared" si="168"/>
        <v>51856</v>
      </c>
      <c r="I335" s="1194">
        <f t="shared" si="168"/>
        <v>25468</v>
      </c>
      <c r="J335" s="1194">
        <f t="shared" si="168"/>
        <v>11167</v>
      </c>
      <c r="K335" s="1194">
        <f t="shared" si="168"/>
        <v>5772</v>
      </c>
      <c r="L335" s="1194">
        <f t="shared" si="168"/>
        <v>4819</v>
      </c>
      <c r="M335" s="1194">
        <f t="shared" si="168"/>
        <v>5297</v>
      </c>
      <c r="N335" s="1194">
        <f t="shared" si="168"/>
        <v>7485</v>
      </c>
      <c r="O335" s="1194">
        <f t="shared" si="168"/>
        <v>18586</v>
      </c>
      <c r="P335" s="1194">
        <f t="shared" si="168"/>
        <v>44335</v>
      </c>
      <c r="Q335" s="1194">
        <f t="shared" si="168"/>
        <v>74546</v>
      </c>
      <c r="R335" s="1194">
        <f t="shared" si="168"/>
        <v>0</v>
      </c>
    </row>
    <row r="336" spans="1:18" x14ac:dyDescent="0.2">
      <c r="A336" s="1214" t="str">
        <f>B128</f>
        <v>Uncollectible Tracker</v>
      </c>
      <c r="B336" s="1110" t="s">
        <v>1446</v>
      </c>
      <c r="C336" s="1571">
        <v>179567.81</v>
      </c>
      <c r="D336" s="1216">
        <v>1</v>
      </c>
      <c r="E336" s="1582">
        <f t="shared" si="165"/>
        <v>411996</v>
      </c>
      <c r="F336" s="1194">
        <f t="shared" ref="F336:R336" si="169">F128</f>
        <v>34333</v>
      </c>
      <c r="G336" s="1194">
        <f t="shared" si="169"/>
        <v>34333</v>
      </c>
      <c r="H336" s="1194">
        <f t="shared" si="169"/>
        <v>34333</v>
      </c>
      <c r="I336" s="1194">
        <f t="shared" si="169"/>
        <v>34333</v>
      </c>
      <c r="J336" s="1194">
        <f t="shared" si="169"/>
        <v>34333</v>
      </c>
      <c r="K336" s="1194">
        <f t="shared" si="169"/>
        <v>34333</v>
      </c>
      <c r="L336" s="1194">
        <f t="shared" si="169"/>
        <v>34333</v>
      </c>
      <c r="M336" s="1194">
        <f t="shared" si="169"/>
        <v>34333</v>
      </c>
      <c r="N336" s="1194">
        <f t="shared" si="169"/>
        <v>34333</v>
      </c>
      <c r="O336" s="1194">
        <f t="shared" si="169"/>
        <v>34333</v>
      </c>
      <c r="P336" s="1194">
        <f t="shared" si="169"/>
        <v>34333</v>
      </c>
      <c r="Q336" s="1194">
        <f t="shared" si="169"/>
        <v>34333</v>
      </c>
      <c r="R336" s="1194">
        <f t="shared" si="169"/>
        <v>0</v>
      </c>
    </row>
    <row r="337" spans="1:18" x14ac:dyDescent="0.2">
      <c r="A337" s="1113"/>
      <c r="B337" s="1110"/>
      <c r="C337" s="1571"/>
      <c r="D337" s="1573"/>
      <c r="E337" s="1571"/>
      <c r="F337" s="1574"/>
      <c r="G337" s="1574"/>
      <c r="H337" s="1574"/>
      <c r="I337" s="1574"/>
      <c r="J337" s="1574"/>
      <c r="K337" s="1574"/>
      <c r="L337" s="1574"/>
      <c r="M337" s="1574"/>
      <c r="N337" s="1574"/>
      <c r="O337" s="1574"/>
      <c r="P337" s="1574"/>
      <c r="Q337" s="1574"/>
      <c r="R337" s="1574"/>
    </row>
    <row r="338" spans="1:18" x14ac:dyDescent="0.2">
      <c r="A338" s="1214" t="str">
        <f>$B$122</f>
        <v>Miscellaneous Revenue Billings</v>
      </c>
      <c r="B338" s="1110" t="s">
        <v>1414</v>
      </c>
      <c r="C338" s="1571">
        <v>-28464.81</v>
      </c>
      <c r="D338" s="1216">
        <f>ROUND(C338/$C$343,6)</f>
        <v>8.6856000000000003E-2</v>
      </c>
      <c r="E338" s="1582">
        <f t="shared" si="165"/>
        <v>-8568</v>
      </c>
      <c r="F338" s="1194">
        <f>ROUND($D338*F$343,0)</f>
        <v>-771</v>
      </c>
      <c r="G338" s="1194">
        <f t="shared" ref="G338:Q338" si="170">ROUND($D338*G$343,0)</f>
        <v>-617</v>
      </c>
      <c r="H338" s="1194">
        <f t="shared" si="170"/>
        <v>-728</v>
      </c>
      <c r="I338" s="1194">
        <f t="shared" si="170"/>
        <v>-643</v>
      </c>
      <c r="J338" s="1194">
        <f t="shared" si="170"/>
        <v>-865</v>
      </c>
      <c r="K338" s="1194">
        <f t="shared" si="170"/>
        <v>-797</v>
      </c>
      <c r="L338" s="1194">
        <f t="shared" si="170"/>
        <v>-694</v>
      </c>
      <c r="M338" s="1194">
        <f t="shared" si="170"/>
        <v>-694</v>
      </c>
      <c r="N338" s="1194">
        <f t="shared" si="170"/>
        <v>-643</v>
      </c>
      <c r="O338" s="1194">
        <f t="shared" si="170"/>
        <v>-728</v>
      </c>
      <c r="P338" s="1194">
        <f t="shared" si="170"/>
        <v>-617</v>
      </c>
      <c r="Q338" s="1194">
        <f t="shared" si="170"/>
        <v>-771</v>
      </c>
      <c r="R338" s="1194">
        <f>ROUND(D338*$R$343,5)</f>
        <v>0</v>
      </c>
    </row>
    <row r="339" spans="1:18" x14ac:dyDescent="0.2">
      <c r="A339" s="1214" t="str">
        <f t="shared" ref="A339:A342" si="171">$B$122</f>
        <v>Miscellaneous Revenue Billings</v>
      </c>
      <c r="B339" s="1110" t="s">
        <v>1416</v>
      </c>
      <c r="C339" s="1571">
        <v>-1966.5</v>
      </c>
      <c r="D339" s="1216">
        <f>ROUND(C339/$C$343,6)</f>
        <v>6.0000000000000001E-3</v>
      </c>
      <c r="E339" s="1582">
        <f t="shared" si="165"/>
        <v>-591</v>
      </c>
      <c r="F339" s="1194">
        <f t="shared" ref="F339:Q341" si="172">ROUND($D339*F$343,0)</f>
        <v>-53</v>
      </c>
      <c r="G339" s="1194">
        <f t="shared" si="172"/>
        <v>-43</v>
      </c>
      <c r="H339" s="1194">
        <f t="shared" si="172"/>
        <v>-50</v>
      </c>
      <c r="I339" s="1194">
        <f t="shared" si="172"/>
        <v>-44</v>
      </c>
      <c r="J339" s="1194">
        <f t="shared" si="172"/>
        <v>-60</v>
      </c>
      <c r="K339" s="1194">
        <f t="shared" si="172"/>
        <v>-55</v>
      </c>
      <c r="L339" s="1194">
        <f t="shared" si="172"/>
        <v>-48</v>
      </c>
      <c r="M339" s="1194">
        <f t="shared" si="172"/>
        <v>-48</v>
      </c>
      <c r="N339" s="1194">
        <f t="shared" si="172"/>
        <v>-44</v>
      </c>
      <c r="O339" s="1194">
        <f t="shared" si="172"/>
        <v>-50</v>
      </c>
      <c r="P339" s="1194">
        <f t="shared" si="172"/>
        <v>-43</v>
      </c>
      <c r="Q339" s="1194">
        <f t="shared" si="172"/>
        <v>-53</v>
      </c>
      <c r="R339" s="1194">
        <f t="shared" ref="R339:R341" si="173">ROUND(D339*$R$343,5)</f>
        <v>0</v>
      </c>
    </row>
    <row r="340" spans="1:18" x14ac:dyDescent="0.2">
      <c r="A340" s="1214" t="str">
        <f t="shared" si="171"/>
        <v>Miscellaneous Revenue Billings</v>
      </c>
      <c r="B340" s="1110" t="s">
        <v>1427</v>
      </c>
      <c r="C340" s="1571">
        <v>-124383.46</v>
      </c>
      <c r="D340" s="1216">
        <f>ROUND(C340/$C$343,6)</f>
        <v>0.37953700000000001</v>
      </c>
      <c r="E340" s="1582">
        <f t="shared" si="165"/>
        <v>-37444</v>
      </c>
      <c r="F340" s="1194">
        <f t="shared" si="172"/>
        <v>-3370</v>
      </c>
      <c r="G340" s="1194">
        <f t="shared" si="172"/>
        <v>-2696</v>
      </c>
      <c r="H340" s="1194">
        <f t="shared" si="172"/>
        <v>-3183</v>
      </c>
      <c r="I340" s="1194">
        <f t="shared" si="172"/>
        <v>-2808</v>
      </c>
      <c r="J340" s="1194">
        <f t="shared" si="172"/>
        <v>-3782</v>
      </c>
      <c r="K340" s="1194">
        <f t="shared" si="172"/>
        <v>-3482</v>
      </c>
      <c r="L340" s="1194">
        <f t="shared" si="172"/>
        <v>-3033</v>
      </c>
      <c r="M340" s="1194">
        <f t="shared" si="172"/>
        <v>-3033</v>
      </c>
      <c r="N340" s="1194">
        <f t="shared" si="172"/>
        <v>-2808</v>
      </c>
      <c r="O340" s="1194">
        <f t="shared" si="172"/>
        <v>-3183</v>
      </c>
      <c r="P340" s="1194">
        <f t="shared" si="172"/>
        <v>-2696</v>
      </c>
      <c r="Q340" s="1194">
        <f t="shared" si="172"/>
        <v>-3370</v>
      </c>
      <c r="R340" s="1194">
        <f t="shared" si="173"/>
        <v>0</v>
      </c>
    </row>
    <row r="341" spans="1:18" x14ac:dyDescent="0.2">
      <c r="A341" s="1214" t="str">
        <f t="shared" si="171"/>
        <v>Miscellaneous Revenue Billings</v>
      </c>
      <c r="B341" s="1110" t="s">
        <v>1431</v>
      </c>
      <c r="C341" s="1571">
        <v>-170945.57</v>
      </c>
      <c r="D341" s="1216">
        <f>ROUND(C341/$C$343,6)</f>
        <v>0.52161500000000005</v>
      </c>
      <c r="E341" s="1582">
        <f t="shared" si="165"/>
        <v>-51457</v>
      </c>
      <c r="F341" s="1194">
        <f t="shared" si="172"/>
        <v>-4631</v>
      </c>
      <c r="G341" s="1194">
        <f t="shared" si="172"/>
        <v>-3705</v>
      </c>
      <c r="H341" s="1194">
        <f t="shared" si="172"/>
        <v>-4374</v>
      </c>
      <c r="I341" s="1194">
        <f t="shared" si="172"/>
        <v>-3859</v>
      </c>
      <c r="J341" s="1194">
        <f t="shared" si="172"/>
        <v>-5197</v>
      </c>
      <c r="K341" s="1194">
        <f t="shared" si="172"/>
        <v>-4786</v>
      </c>
      <c r="L341" s="1194">
        <f t="shared" si="172"/>
        <v>-4168</v>
      </c>
      <c r="M341" s="1194">
        <f t="shared" si="172"/>
        <v>-4168</v>
      </c>
      <c r="N341" s="1194">
        <f t="shared" si="172"/>
        <v>-3859</v>
      </c>
      <c r="O341" s="1194">
        <f t="shared" si="172"/>
        <v>-4374</v>
      </c>
      <c r="P341" s="1194">
        <f t="shared" si="172"/>
        <v>-3705</v>
      </c>
      <c r="Q341" s="1194">
        <f t="shared" si="172"/>
        <v>-4631</v>
      </c>
      <c r="R341" s="1194">
        <f t="shared" si="173"/>
        <v>0</v>
      </c>
    </row>
    <row r="342" spans="1:18" ht="13.5" x14ac:dyDescent="0.35">
      <c r="A342" s="1214" t="str">
        <f t="shared" si="171"/>
        <v>Miscellaneous Revenue Billings</v>
      </c>
      <c r="B342" s="1110" t="s">
        <v>1444</v>
      </c>
      <c r="C342" s="1623">
        <v>-1963.5</v>
      </c>
      <c r="D342" s="1217">
        <f>ROUND(C342/$C$343,6)</f>
        <v>5.9909999999999998E-3</v>
      </c>
      <c r="E342" s="1587">
        <f t="shared" si="165"/>
        <v>-595</v>
      </c>
      <c r="F342" s="1218">
        <f t="shared" ref="F342" si="174">F343-SUM(F338:F341)</f>
        <v>-54</v>
      </c>
      <c r="G342" s="1218">
        <f t="shared" ref="G342:Q342" si="175">G343-SUM(G338:G341)</f>
        <v>-42</v>
      </c>
      <c r="H342" s="1218">
        <f t="shared" si="175"/>
        <v>-51</v>
      </c>
      <c r="I342" s="1218">
        <f t="shared" si="175"/>
        <v>-45</v>
      </c>
      <c r="J342" s="1218">
        <f t="shared" si="175"/>
        <v>-60</v>
      </c>
      <c r="K342" s="1218">
        <f t="shared" si="175"/>
        <v>-55</v>
      </c>
      <c r="L342" s="1218">
        <f t="shared" si="175"/>
        <v>-48</v>
      </c>
      <c r="M342" s="1218">
        <f t="shared" si="175"/>
        <v>-48</v>
      </c>
      <c r="N342" s="1218">
        <f t="shared" si="175"/>
        <v>-45</v>
      </c>
      <c r="O342" s="1218">
        <f t="shared" si="175"/>
        <v>-51</v>
      </c>
      <c r="P342" s="1218">
        <f t="shared" si="175"/>
        <v>-42</v>
      </c>
      <c r="Q342" s="1218">
        <f t="shared" si="175"/>
        <v>-54</v>
      </c>
      <c r="R342" s="1218">
        <f>R343-SUM(R338:R341)</f>
        <v>0</v>
      </c>
    </row>
    <row r="343" spans="1:18" x14ac:dyDescent="0.2">
      <c r="A343" s="1213"/>
      <c r="B343" s="1110"/>
      <c r="C343" s="1572">
        <f>SUM(C338:C342)</f>
        <v>-327723.84000000003</v>
      </c>
      <c r="D343" s="1216">
        <f>SUM(D338:D342)</f>
        <v>0.99999899999999997</v>
      </c>
      <c r="E343" s="1572">
        <f>SUM(E338:E342)</f>
        <v>-98655</v>
      </c>
      <c r="F343" s="1194">
        <f t="shared" ref="F343:R343" si="176">F122</f>
        <v>-8879</v>
      </c>
      <c r="G343" s="1194">
        <f t="shared" si="176"/>
        <v>-7103</v>
      </c>
      <c r="H343" s="1194">
        <f t="shared" si="176"/>
        <v>-8386</v>
      </c>
      <c r="I343" s="1194">
        <f t="shared" si="176"/>
        <v>-7399</v>
      </c>
      <c r="J343" s="1194">
        <f t="shared" si="176"/>
        <v>-9964</v>
      </c>
      <c r="K343" s="1194">
        <f t="shared" si="176"/>
        <v>-9175</v>
      </c>
      <c r="L343" s="1194">
        <f t="shared" si="176"/>
        <v>-7991</v>
      </c>
      <c r="M343" s="1194">
        <f t="shared" si="176"/>
        <v>-7991</v>
      </c>
      <c r="N343" s="1194">
        <f t="shared" si="176"/>
        <v>-7399</v>
      </c>
      <c r="O343" s="1194">
        <f t="shared" si="176"/>
        <v>-8386</v>
      </c>
      <c r="P343" s="1194">
        <f t="shared" si="176"/>
        <v>-7103</v>
      </c>
      <c r="Q343" s="1194">
        <f t="shared" si="176"/>
        <v>-8879</v>
      </c>
      <c r="R343" s="1194">
        <f t="shared" si="176"/>
        <v>0</v>
      </c>
    </row>
    <row r="344" spans="1:18" x14ac:dyDescent="0.2">
      <c r="A344" s="1213"/>
      <c r="B344" s="1110"/>
      <c r="C344" s="1572"/>
      <c r="D344" s="1216"/>
      <c r="E344" s="1572"/>
      <c r="F344" s="1194"/>
      <c r="G344" s="1194"/>
      <c r="H344" s="1194"/>
      <c r="I344" s="1194"/>
      <c r="J344" s="1194"/>
      <c r="K344" s="1194"/>
      <c r="L344" s="1194"/>
      <c r="M344" s="1194"/>
      <c r="N344" s="1194"/>
      <c r="O344" s="1194"/>
      <c r="P344" s="1194"/>
      <c r="Q344" s="1194"/>
      <c r="R344" s="1194"/>
    </row>
    <row r="345" spans="1:18" x14ac:dyDescent="0.2">
      <c r="A345" s="1214" t="str">
        <f t="shared" ref="A345:A365" si="177">$B$123</f>
        <v>Miscellaneous</v>
      </c>
      <c r="B345" s="1110" t="s">
        <v>1404</v>
      </c>
      <c r="C345" s="1571">
        <v>19992.04</v>
      </c>
      <c r="D345" s="1216">
        <f t="shared" ref="D345:D365" si="178">ROUND(C345/$C$366,6)</f>
        <v>4.0732999999999998E-2</v>
      </c>
      <c r="E345" s="1582">
        <f>SUM(F345:Q345)</f>
        <v>16656</v>
      </c>
      <c r="F345" s="1194">
        <f>ROUND($D345*F$366,0)</f>
        <v>1396</v>
      </c>
      <c r="G345" s="1194">
        <f t="shared" ref="G345:Q345" si="179">ROUND($D345*G$366,0)</f>
        <v>1309</v>
      </c>
      <c r="H345" s="1194">
        <f t="shared" si="179"/>
        <v>1372</v>
      </c>
      <c r="I345" s="1194">
        <f t="shared" si="179"/>
        <v>1325</v>
      </c>
      <c r="J345" s="1194">
        <f t="shared" si="179"/>
        <v>1449</v>
      </c>
      <c r="K345" s="1194">
        <f t="shared" si="179"/>
        <v>1416</v>
      </c>
      <c r="L345" s="1194">
        <f t="shared" si="179"/>
        <v>1394</v>
      </c>
      <c r="M345" s="1194">
        <f t="shared" si="179"/>
        <v>1394</v>
      </c>
      <c r="N345" s="1194">
        <f t="shared" si="179"/>
        <v>1366</v>
      </c>
      <c r="O345" s="1194">
        <f t="shared" si="179"/>
        <v>1413</v>
      </c>
      <c r="P345" s="1194">
        <f t="shared" si="179"/>
        <v>1351</v>
      </c>
      <c r="Q345" s="1194">
        <f t="shared" si="179"/>
        <v>1471</v>
      </c>
      <c r="R345" s="1194">
        <f>ROUND(D345*$R$366,0)</f>
        <v>-430</v>
      </c>
    </row>
    <row r="346" spans="1:18" x14ac:dyDescent="0.2">
      <c r="A346" s="1214" t="str">
        <f t="shared" si="177"/>
        <v>Miscellaneous</v>
      </c>
      <c r="B346" s="1111" t="s">
        <v>1408</v>
      </c>
      <c r="C346" s="1571">
        <v>104174.81</v>
      </c>
      <c r="D346" s="1216">
        <f t="shared" si="178"/>
        <v>0.21224999999999999</v>
      </c>
      <c r="E346" s="1582">
        <f t="shared" ref="E346:E365" si="180">SUM(F346:Q346)</f>
        <v>86783</v>
      </c>
      <c r="F346" s="1194">
        <f t="shared" ref="F346:Q364" si="181">ROUND($D346*F$366,0)</f>
        <v>7273</v>
      </c>
      <c r="G346" s="1194">
        <f t="shared" si="181"/>
        <v>6818</v>
      </c>
      <c r="H346" s="1194">
        <f t="shared" si="181"/>
        <v>7149</v>
      </c>
      <c r="I346" s="1194">
        <f t="shared" si="181"/>
        <v>6902</v>
      </c>
      <c r="J346" s="1194">
        <f t="shared" si="181"/>
        <v>7550</v>
      </c>
      <c r="K346" s="1194">
        <f t="shared" si="181"/>
        <v>7379</v>
      </c>
      <c r="L346" s="1194">
        <f t="shared" si="181"/>
        <v>7264</v>
      </c>
      <c r="M346" s="1194">
        <f t="shared" si="181"/>
        <v>7264</v>
      </c>
      <c r="N346" s="1194">
        <f t="shared" si="181"/>
        <v>7116</v>
      </c>
      <c r="O346" s="1194">
        <f t="shared" si="181"/>
        <v>7365</v>
      </c>
      <c r="P346" s="1194">
        <f t="shared" si="181"/>
        <v>7037</v>
      </c>
      <c r="Q346" s="1194">
        <f t="shared" si="181"/>
        <v>7666</v>
      </c>
      <c r="R346" s="1194">
        <f t="shared" ref="R346:R364" si="182">ROUND(D346*$R$366,0)</f>
        <v>-2241</v>
      </c>
    </row>
    <row r="347" spans="1:18" x14ac:dyDescent="0.2">
      <c r="A347" s="1214" t="str">
        <f t="shared" si="177"/>
        <v>Miscellaneous</v>
      </c>
      <c r="B347" s="1111" t="s">
        <v>1410</v>
      </c>
      <c r="C347" s="1571">
        <v>144.43</v>
      </c>
      <c r="D347" s="1216">
        <f t="shared" si="178"/>
        <v>2.9399999999999999E-4</v>
      </c>
      <c r="E347" s="1582">
        <f t="shared" si="180"/>
        <v>120</v>
      </c>
      <c r="F347" s="1194">
        <f t="shared" si="181"/>
        <v>10</v>
      </c>
      <c r="G347" s="1194">
        <f t="shared" si="181"/>
        <v>9</v>
      </c>
      <c r="H347" s="1194">
        <f t="shared" si="181"/>
        <v>10</v>
      </c>
      <c r="I347" s="1194">
        <f t="shared" si="181"/>
        <v>10</v>
      </c>
      <c r="J347" s="1194">
        <f t="shared" si="181"/>
        <v>10</v>
      </c>
      <c r="K347" s="1194">
        <f t="shared" si="181"/>
        <v>10</v>
      </c>
      <c r="L347" s="1194">
        <f t="shared" si="181"/>
        <v>10</v>
      </c>
      <c r="M347" s="1194">
        <f t="shared" si="181"/>
        <v>10</v>
      </c>
      <c r="N347" s="1194">
        <f t="shared" si="181"/>
        <v>10</v>
      </c>
      <c r="O347" s="1194">
        <f t="shared" si="181"/>
        <v>10</v>
      </c>
      <c r="P347" s="1194">
        <f t="shared" si="181"/>
        <v>10</v>
      </c>
      <c r="Q347" s="1194">
        <f t="shared" si="181"/>
        <v>11</v>
      </c>
      <c r="R347" s="1194">
        <f t="shared" si="182"/>
        <v>-3</v>
      </c>
    </row>
    <row r="348" spans="1:18" x14ac:dyDescent="0.2">
      <c r="A348" s="1214" t="str">
        <f t="shared" si="177"/>
        <v>Miscellaneous</v>
      </c>
      <c r="B348" s="1111" t="s">
        <v>1412</v>
      </c>
      <c r="C348" s="1571">
        <v>73.900000000000006</v>
      </c>
      <c r="D348" s="1216">
        <f t="shared" si="178"/>
        <v>1.5100000000000001E-4</v>
      </c>
      <c r="E348" s="1582">
        <f t="shared" si="180"/>
        <v>60</v>
      </c>
      <c r="F348" s="1194">
        <f t="shared" si="181"/>
        <v>5</v>
      </c>
      <c r="G348" s="1194">
        <f t="shared" si="181"/>
        <v>5</v>
      </c>
      <c r="H348" s="1194">
        <f t="shared" si="181"/>
        <v>5</v>
      </c>
      <c r="I348" s="1194">
        <f t="shared" si="181"/>
        <v>5</v>
      </c>
      <c r="J348" s="1194">
        <f t="shared" si="181"/>
        <v>5</v>
      </c>
      <c r="K348" s="1194">
        <f t="shared" si="181"/>
        <v>5</v>
      </c>
      <c r="L348" s="1194">
        <f t="shared" si="181"/>
        <v>5</v>
      </c>
      <c r="M348" s="1194">
        <f t="shared" si="181"/>
        <v>5</v>
      </c>
      <c r="N348" s="1194">
        <f t="shared" si="181"/>
        <v>5</v>
      </c>
      <c r="O348" s="1194">
        <f t="shared" si="181"/>
        <v>5</v>
      </c>
      <c r="P348" s="1194">
        <f t="shared" si="181"/>
        <v>5</v>
      </c>
      <c r="Q348" s="1194">
        <f t="shared" si="181"/>
        <v>5</v>
      </c>
      <c r="R348" s="1194">
        <f t="shared" si="182"/>
        <v>-2</v>
      </c>
    </row>
    <row r="349" spans="1:18" x14ac:dyDescent="0.2">
      <c r="A349" s="1214" t="str">
        <f t="shared" si="177"/>
        <v>Miscellaneous</v>
      </c>
      <c r="B349" s="1111" t="s">
        <v>1414</v>
      </c>
      <c r="C349" s="1571">
        <v>-37787.14</v>
      </c>
      <c r="D349" s="1216">
        <f t="shared" si="178"/>
        <v>-7.6989000000000002E-2</v>
      </c>
      <c r="E349" s="1582">
        <f t="shared" si="180"/>
        <v>-31481</v>
      </c>
      <c r="F349" s="1194">
        <f t="shared" si="181"/>
        <v>-2638</v>
      </c>
      <c r="G349" s="1194">
        <f t="shared" si="181"/>
        <v>-2473</v>
      </c>
      <c r="H349" s="1194">
        <f t="shared" si="181"/>
        <v>-2593</v>
      </c>
      <c r="I349" s="1194">
        <f t="shared" si="181"/>
        <v>-2504</v>
      </c>
      <c r="J349" s="1194">
        <f t="shared" si="181"/>
        <v>-2739</v>
      </c>
      <c r="K349" s="1194">
        <f t="shared" si="181"/>
        <v>-2677</v>
      </c>
      <c r="L349" s="1194">
        <f t="shared" si="181"/>
        <v>-2635</v>
      </c>
      <c r="M349" s="1194">
        <f t="shared" si="181"/>
        <v>-2635</v>
      </c>
      <c r="N349" s="1194">
        <f t="shared" si="181"/>
        <v>-2581</v>
      </c>
      <c r="O349" s="1194">
        <f t="shared" si="181"/>
        <v>-2672</v>
      </c>
      <c r="P349" s="1194">
        <f t="shared" si="181"/>
        <v>-2553</v>
      </c>
      <c r="Q349" s="1194">
        <f t="shared" si="181"/>
        <v>-2781</v>
      </c>
      <c r="R349" s="1194">
        <f t="shared" si="182"/>
        <v>813</v>
      </c>
    </row>
    <row r="350" spans="1:18" x14ac:dyDescent="0.2">
      <c r="A350" s="1214" t="str">
        <f t="shared" si="177"/>
        <v>Miscellaneous</v>
      </c>
      <c r="B350" s="1111" t="s">
        <v>1416</v>
      </c>
      <c r="C350" s="1571">
        <v>2944</v>
      </c>
      <c r="D350" s="1216">
        <f t="shared" si="178"/>
        <v>5.9979999999999999E-3</v>
      </c>
      <c r="E350" s="1582">
        <f t="shared" si="180"/>
        <v>2453</v>
      </c>
      <c r="F350" s="1194">
        <f t="shared" si="181"/>
        <v>206</v>
      </c>
      <c r="G350" s="1194">
        <f t="shared" si="181"/>
        <v>193</v>
      </c>
      <c r="H350" s="1194">
        <f t="shared" si="181"/>
        <v>202</v>
      </c>
      <c r="I350" s="1194">
        <f t="shared" si="181"/>
        <v>195</v>
      </c>
      <c r="J350" s="1194">
        <f t="shared" si="181"/>
        <v>213</v>
      </c>
      <c r="K350" s="1194">
        <f t="shared" si="181"/>
        <v>209</v>
      </c>
      <c r="L350" s="1194">
        <f t="shared" si="181"/>
        <v>205</v>
      </c>
      <c r="M350" s="1194">
        <f t="shared" si="181"/>
        <v>205</v>
      </c>
      <c r="N350" s="1194">
        <f t="shared" si="181"/>
        <v>201</v>
      </c>
      <c r="O350" s="1194">
        <f t="shared" si="181"/>
        <v>208</v>
      </c>
      <c r="P350" s="1194">
        <f t="shared" si="181"/>
        <v>199</v>
      </c>
      <c r="Q350" s="1194">
        <f t="shared" si="181"/>
        <v>217</v>
      </c>
      <c r="R350" s="1194">
        <f t="shared" si="182"/>
        <v>-63</v>
      </c>
    </row>
    <row r="351" spans="1:18" x14ac:dyDescent="0.2">
      <c r="A351" s="1214" t="str">
        <f t="shared" si="177"/>
        <v>Miscellaneous</v>
      </c>
      <c r="B351" s="1111" t="s">
        <v>1418</v>
      </c>
      <c r="C351" s="1571">
        <v>44078.270000000004</v>
      </c>
      <c r="D351" s="1216">
        <f t="shared" si="178"/>
        <v>8.9806999999999998E-2</v>
      </c>
      <c r="E351" s="1582">
        <f t="shared" si="180"/>
        <v>36721</v>
      </c>
      <c r="F351" s="1194">
        <f t="shared" si="181"/>
        <v>3077</v>
      </c>
      <c r="G351" s="1194">
        <f t="shared" si="181"/>
        <v>2885</v>
      </c>
      <c r="H351" s="1194">
        <f t="shared" si="181"/>
        <v>3025</v>
      </c>
      <c r="I351" s="1194">
        <f t="shared" si="181"/>
        <v>2920</v>
      </c>
      <c r="J351" s="1194">
        <f t="shared" si="181"/>
        <v>3195</v>
      </c>
      <c r="K351" s="1194">
        <f t="shared" si="181"/>
        <v>3122</v>
      </c>
      <c r="L351" s="1194">
        <f t="shared" si="181"/>
        <v>3074</v>
      </c>
      <c r="M351" s="1194">
        <f t="shared" si="181"/>
        <v>3074</v>
      </c>
      <c r="N351" s="1194">
        <f t="shared" si="181"/>
        <v>3011</v>
      </c>
      <c r="O351" s="1194">
        <f t="shared" si="181"/>
        <v>3116</v>
      </c>
      <c r="P351" s="1194">
        <f t="shared" si="181"/>
        <v>2978</v>
      </c>
      <c r="Q351" s="1194">
        <f t="shared" si="181"/>
        <v>3244</v>
      </c>
      <c r="R351" s="1194">
        <f t="shared" si="182"/>
        <v>-948</v>
      </c>
    </row>
    <row r="352" spans="1:18" x14ac:dyDescent="0.2">
      <c r="A352" s="1214" t="str">
        <f t="shared" si="177"/>
        <v>Miscellaneous</v>
      </c>
      <c r="B352" s="1111" t="s">
        <v>1424</v>
      </c>
      <c r="C352" s="1571">
        <v>28.380000000000003</v>
      </c>
      <c r="D352" s="1216">
        <f t="shared" si="178"/>
        <v>5.8E-5</v>
      </c>
      <c r="E352" s="1582">
        <f t="shared" si="180"/>
        <v>24</v>
      </c>
      <c r="F352" s="1194">
        <f t="shared" si="181"/>
        <v>2</v>
      </c>
      <c r="G352" s="1194">
        <f t="shared" si="181"/>
        <v>2</v>
      </c>
      <c r="H352" s="1194">
        <f t="shared" si="181"/>
        <v>2</v>
      </c>
      <c r="I352" s="1194">
        <f t="shared" si="181"/>
        <v>2</v>
      </c>
      <c r="J352" s="1194">
        <f t="shared" si="181"/>
        <v>2</v>
      </c>
      <c r="K352" s="1194">
        <f t="shared" si="181"/>
        <v>2</v>
      </c>
      <c r="L352" s="1194">
        <f t="shared" si="181"/>
        <v>2</v>
      </c>
      <c r="M352" s="1194">
        <f t="shared" si="181"/>
        <v>2</v>
      </c>
      <c r="N352" s="1194">
        <f t="shared" si="181"/>
        <v>2</v>
      </c>
      <c r="O352" s="1194">
        <f t="shared" si="181"/>
        <v>2</v>
      </c>
      <c r="P352" s="1194">
        <f t="shared" si="181"/>
        <v>2</v>
      </c>
      <c r="Q352" s="1194">
        <f t="shared" si="181"/>
        <v>2</v>
      </c>
      <c r="R352" s="1194">
        <f t="shared" si="182"/>
        <v>-1</v>
      </c>
    </row>
    <row r="353" spans="1:18" x14ac:dyDescent="0.2">
      <c r="A353" s="1214" t="str">
        <f t="shared" si="177"/>
        <v>Miscellaneous</v>
      </c>
      <c r="B353" s="1111" t="s">
        <v>1427</v>
      </c>
      <c r="C353" s="1571">
        <v>2491.67</v>
      </c>
      <c r="D353" s="1216">
        <f t="shared" si="178"/>
        <v>5.0769999999999999E-3</v>
      </c>
      <c r="E353" s="1582">
        <f t="shared" si="180"/>
        <v>2076</v>
      </c>
      <c r="F353" s="1194">
        <f t="shared" si="181"/>
        <v>174</v>
      </c>
      <c r="G353" s="1194">
        <f t="shared" si="181"/>
        <v>163</v>
      </c>
      <c r="H353" s="1194">
        <f t="shared" si="181"/>
        <v>171</v>
      </c>
      <c r="I353" s="1194">
        <f t="shared" si="181"/>
        <v>165</v>
      </c>
      <c r="J353" s="1194">
        <f t="shared" si="181"/>
        <v>181</v>
      </c>
      <c r="K353" s="1194">
        <f t="shared" si="181"/>
        <v>177</v>
      </c>
      <c r="L353" s="1194">
        <f t="shared" si="181"/>
        <v>174</v>
      </c>
      <c r="M353" s="1194">
        <f t="shared" si="181"/>
        <v>174</v>
      </c>
      <c r="N353" s="1194">
        <f t="shared" si="181"/>
        <v>170</v>
      </c>
      <c r="O353" s="1194">
        <f t="shared" si="181"/>
        <v>176</v>
      </c>
      <c r="P353" s="1194">
        <f t="shared" si="181"/>
        <v>168</v>
      </c>
      <c r="Q353" s="1194">
        <f t="shared" si="181"/>
        <v>183</v>
      </c>
      <c r="R353" s="1194">
        <f t="shared" si="182"/>
        <v>-54</v>
      </c>
    </row>
    <row r="354" spans="1:18" x14ac:dyDescent="0.2">
      <c r="A354" s="1214" t="str">
        <f t="shared" si="177"/>
        <v>Miscellaneous</v>
      </c>
      <c r="B354" s="1111" t="s">
        <v>1429</v>
      </c>
      <c r="C354" s="1571">
        <v>144.43</v>
      </c>
      <c r="D354" s="1216">
        <f t="shared" si="178"/>
        <v>2.9399999999999999E-4</v>
      </c>
      <c r="E354" s="1582">
        <f t="shared" si="180"/>
        <v>120</v>
      </c>
      <c r="F354" s="1194">
        <f t="shared" si="181"/>
        <v>10</v>
      </c>
      <c r="G354" s="1194">
        <f t="shared" si="181"/>
        <v>9</v>
      </c>
      <c r="H354" s="1194">
        <f t="shared" si="181"/>
        <v>10</v>
      </c>
      <c r="I354" s="1194">
        <f t="shared" si="181"/>
        <v>10</v>
      </c>
      <c r="J354" s="1194">
        <f t="shared" si="181"/>
        <v>10</v>
      </c>
      <c r="K354" s="1194">
        <f t="shared" si="181"/>
        <v>10</v>
      </c>
      <c r="L354" s="1194">
        <f t="shared" si="181"/>
        <v>10</v>
      </c>
      <c r="M354" s="1194">
        <f t="shared" si="181"/>
        <v>10</v>
      </c>
      <c r="N354" s="1194">
        <f t="shared" si="181"/>
        <v>10</v>
      </c>
      <c r="O354" s="1194">
        <f t="shared" si="181"/>
        <v>10</v>
      </c>
      <c r="P354" s="1194">
        <f t="shared" si="181"/>
        <v>10</v>
      </c>
      <c r="Q354" s="1194">
        <f t="shared" si="181"/>
        <v>11</v>
      </c>
      <c r="R354" s="1194">
        <f t="shared" si="182"/>
        <v>-3</v>
      </c>
    </row>
    <row r="355" spans="1:18" x14ac:dyDescent="0.2">
      <c r="A355" s="1214" t="str">
        <f t="shared" si="177"/>
        <v>Miscellaneous</v>
      </c>
      <c r="B355" s="1111" t="s">
        <v>1430</v>
      </c>
      <c r="C355" s="1571">
        <v>1867.72</v>
      </c>
      <c r="D355" s="1216">
        <f t="shared" si="178"/>
        <v>3.8049999999999998E-3</v>
      </c>
      <c r="E355" s="1582">
        <f t="shared" si="180"/>
        <v>1554</v>
      </c>
      <c r="F355" s="1194">
        <f t="shared" si="181"/>
        <v>130</v>
      </c>
      <c r="G355" s="1194">
        <f t="shared" si="181"/>
        <v>122</v>
      </c>
      <c r="H355" s="1194">
        <f t="shared" si="181"/>
        <v>128</v>
      </c>
      <c r="I355" s="1194">
        <f t="shared" si="181"/>
        <v>124</v>
      </c>
      <c r="J355" s="1194">
        <f t="shared" si="181"/>
        <v>135</v>
      </c>
      <c r="K355" s="1194">
        <f t="shared" si="181"/>
        <v>132</v>
      </c>
      <c r="L355" s="1194">
        <f t="shared" si="181"/>
        <v>130</v>
      </c>
      <c r="M355" s="1194">
        <f t="shared" si="181"/>
        <v>130</v>
      </c>
      <c r="N355" s="1194">
        <f t="shared" si="181"/>
        <v>128</v>
      </c>
      <c r="O355" s="1194">
        <f t="shared" si="181"/>
        <v>132</v>
      </c>
      <c r="P355" s="1194">
        <f t="shared" si="181"/>
        <v>126</v>
      </c>
      <c r="Q355" s="1194">
        <f t="shared" si="181"/>
        <v>137</v>
      </c>
      <c r="R355" s="1194">
        <f t="shared" si="182"/>
        <v>-40</v>
      </c>
    </row>
    <row r="356" spans="1:18" x14ac:dyDescent="0.2">
      <c r="A356" s="1214" t="str">
        <f t="shared" si="177"/>
        <v>Miscellaneous</v>
      </c>
      <c r="B356" s="1111" t="s">
        <v>1431</v>
      </c>
      <c r="C356" s="1571">
        <v>806.22</v>
      </c>
      <c r="D356" s="1216">
        <f t="shared" si="178"/>
        <v>1.6429999999999999E-3</v>
      </c>
      <c r="E356" s="1582">
        <f t="shared" si="180"/>
        <v>669</v>
      </c>
      <c r="F356" s="1194">
        <f t="shared" si="181"/>
        <v>56</v>
      </c>
      <c r="G356" s="1194">
        <f t="shared" si="181"/>
        <v>53</v>
      </c>
      <c r="H356" s="1194">
        <f t="shared" si="181"/>
        <v>55</v>
      </c>
      <c r="I356" s="1194">
        <f t="shared" si="181"/>
        <v>53</v>
      </c>
      <c r="J356" s="1194">
        <f t="shared" si="181"/>
        <v>58</v>
      </c>
      <c r="K356" s="1194">
        <f t="shared" si="181"/>
        <v>57</v>
      </c>
      <c r="L356" s="1194">
        <f t="shared" si="181"/>
        <v>56</v>
      </c>
      <c r="M356" s="1194">
        <f t="shared" si="181"/>
        <v>56</v>
      </c>
      <c r="N356" s="1194">
        <f t="shared" si="181"/>
        <v>55</v>
      </c>
      <c r="O356" s="1194">
        <f t="shared" si="181"/>
        <v>57</v>
      </c>
      <c r="P356" s="1194">
        <f t="shared" si="181"/>
        <v>54</v>
      </c>
      <c r="Q356" s="1194">
        <f t="shared" si="181"/>
        <v>59</v>
      </c>
      <c r="R356" s="1194">
        <f t="shared" si="182"/>
        <v>-17</v>
      </c>
    </row>
    <row r="357" spans="1:18" x14ac:dyDescent="0.2">
      <c r="A357" s="1214" t="str">
        <f t="shared" si="177"/>
        <v>Miscellaneous</v>
      </c>
      <c r="B357" s="1111" t="s">
        <v>1433</v>
      </c>
      <c r="C357" s="1571">
        <v>2839.33</v>
      </c>
      <c r="D357" s="1216">
        <f t="shared" si="178"/>
        <v>5.7850000000000002E-3</v>
      </c>
      <c r="E357" s="1582">
        <f t="shared" si="180"/>
        <v>2366</v>
      </c>
      <c r="F357" s="1194">
        <f t="shared" si="181"/>
        <v>198</v>
      </c>
      <c r="G357" s="1194">
        <f t="shared" si="181"/>
        <v>186</v>
      </c>
      <c r="H357" s="1194">
        <f t="shared" si="181"/>
        <v>195</v>
      </c>
      <c r="I357" s="1194">
        <f t="shared" si="181"/>
        <v>188</v>
      </c>
      <c r="J357" s="1194">
        <f t="shared" si="181"/>
        <v>206</v>
      </c>
      <c r="K357" s="1194">
        <f t="shared" si="181"/>
        <v>201</v>
      </c>
      <c r="L357" s="1194">
        <f t="shared" si="181"/>
        <v>198</v>
      </c>
      <c r="M357" s="1194">
        <f t="shared" si="181"/>
        <v>198</v>
      </c>
      <c r="N357" s="1194">
        <f t="shared" si="181"/>
        <v>194</v>
      </c>
      <c r="O357" s="1194">
        <f t="shared" si="181"/>
        <v>201</v>
      </c>
      <c r="P357" s="1194">
        <f t="shared" si="181"/>
        <v>192</v>
      </c>
      <c r="Q357" s="1194">
        <f t="shared" si="181"/>
        <v>209</v>
      </c>
      <c r="R357" s="1194">
        <f t="shared" si="182"/>
        <v>-61</v>
      </c>
    </row>
    <row r="358" spans="1:18" x14ac:dyDescent="0.2">
      <c r="A358" s="1214" t="str">
        <f t="shared" si="177"/>
        <v>Miscellaneous</v>
      </c>
      <c r="B358" s="1111" t="s">
        <v>1435</v>
      </c>
      <c r="C358" s="1571">
        <v>2485.92</v>
      </c>
      <c r="D358" s="1216">
        <f t="shared" si="178"/>
        <v>5.0650000000000001E-3</v>
      </c>
      <c r="E358" s="1582">
        <f t="shared" si="180"/>
        <v>2072</v>
      </c>
      <c r="F358" s="1194">
        <f t="shared" si="181"/>
        <v>174</v>
      </c>
      <c r="G358" s="1194">
        <f t="shared" si="181"/>
        <v>163</v>
      </c>
      <c r="H358" s="1194">
        <f t="shared" si="181"/>
        <v>171</v>
      </c>
      <c r="I358" s="1194">
        <f t="shared" si="181"/>
        <v>165</v>
      </c>
      <c r="J358" s="1194">
        <f t="shared" si="181"/>
        <v>180</v>
      </c>
      <c r="K358" s="1194">
        <f t="shared" si="181"/>
        <v>176</v>
      </c>
      <c r="L358" s="1194">
        <f t="shared" si="181"/>
        <v>173</v>
      </c>
      <c r="M358" s="1194">
        <f t="shared" si="181"/>
        <v>173</v>
      </c>
      <c r="N358" s="1194">
        <f t="shared" si="181"/>
        <v>170</v>
      </c>
      <c r="O358" s="1194">
        <f t="shared" si="181"/>
        <v>176</v>
      </c>
      <c r="P358" s="1194">
        <f t="shared" si="181"/>
        <v>168</v>
      </c>
      <c r="Q358" s="1194">
        <f t="shared" si="181"/>
        <v>183</v>
      </c>
      <c r="R358" s="1194">
        <f t="shared" si="182"/>
        <v>-53</v>
      </c>
    </row>
    <row r="359" spans="1:18" x14ac:dyDescent="0.2">
      <c r="A359" s="1214" t="str">
        <f t="shared" si="177"/>
        <v>Miscellaneous</v>
      </c>
      <c r="B359" s="1111" t="s">
        <v>1442</v>
      </c>
      <c r="C359" s="1571">
        <v>1323.08</v>
      </c>
      <c r="D359" s="1216">
        <f t="shared" si="178"/>
        <v>2.696E-3</v>
      </c>
      <c r="E359" s="1582">
        <f t="shared" si="180"/>
        <v>1102</v>
      </c>
      <c r="F359" s="1194">
        <f t="shared" si="181"/>
        <v>92</v>
      </c>
      <c r="G359" s="1194">
        <f t="shared" si="181"/>
        <v>87</v>
      </c>
      <c r="H359" s="1194">
        <f t="shared" si="181"/>
        <v>91</v>
      </c>
      <c r="I359" s="1194">
        <f t="shared" si="181"/>
        <v>88</v>
      </c>
      <c r="J359" s="1194">
        <f t="shared" si="181"/>
        <v>96</v>
      </c>
      <c r="K359" s="1194">
        <f t="shared" si="181"/>
        <v>94</v>
      </c>
      <c r="L359" s="1194">
        <f t="shared" si="181"/>
        <v>92</v>
      </c>
      <c r="M359" s="1194">
        <f t="shared" si="181"/>
        <v>92</v>
      </c>
      <c r="N359" s="1194">
        <f t="shared" si="181"/>
        <v>90</v>
      </c>
      <c r="O359" s="1194">
        <f t="shared" si="181"/>
        <v>94</v>
      </c>
      <c r="P359" s="1194">
        <f t="shared" si="181"/>
        <v>89</v>
      </c>
      <c r="Q359" s="1194">
        <f t="shared" si="181"/>
        <v>97</v>
      </c>
      <c r="R359" s="1194">
        <f t="shared" si="182"/>
        <v>-28</v>
      </c>
    </row>
    <row r="360" spans="1:18" x14ac:dyDescent="0.2">
      <c r="A360" s="1214" t="str">
        <f t="shared" si="177"/>
        <v>Miscellaneous</v>
      </c>
      <c r="B360" s="1111" t="s">
        <v>1444</v>
      </c>
      <c r="C360" s="1571">
        <v>2032.74</v>
      </c>
      <c r="D360" s="1216">
        <f t="shared" si="178"/>
        <v>4.1419999999999998E-3</v>
      </c>
      <c r="E360" s="1582">
        <f t="shared" si="180"/>
        <v>1695</v>
      </c>
      <c r="F360" s="1194">
        <f t="shared" si="181"/>
        <v>142</v>
      </c>
      <c r="G360" s="1194">
        <f t="shared" si="181"/>
        <v>133</v>
      </c>
      <c r="H360" s="1194">
        <f t="shared" si="181"/>
        <v>140</v>
      </c>
      <c r="I360" s="1194">
        <f t="shared" si="181"/>
        <v>135</v>
      </c>
      <c r="J360" s="1194">
        <f t="shared" si="181"/>
        <v>147</v>
      </c>
      <c r="K360" s="1194">
        <f t="shared" si="181"/>
        <v>144</v>
      </c>
      <c r="L360" s="1194">
        <f t="shared" si="181"/>
        <v>142</v>
      </c>
      <c r="M360" s="1194">
        <f t="shared" si="181"/>
        <v>142</v>
      </c>
      <c r="N360" s="1194">
        <f t="shared" si="181"/>
        <v>139</v>
      </c>
      <c r="O360" s="1194">
        <f t="shared" si="181"/>
        <v>144</v>
      </c>
      <c r="P360" s="1194">
        <f t="shared" si="181"/>
        <v>137</v>
      </c>
      <c r="Q360" s="1194">
        <f t="shared" si="181"/>
        <v>150</v>
      </c>
      <c r="R360" s="1194">
        <f t="shared" si="182"/>
        <v>-44</v>
      </c>
    </row>
    <row r="361" spans="1:18" x14ac:dyDescent="0.2">
      <c r="A361" s="1214" t="str">
        <f t="shared" si="177"/>
        <v>Miscellaneous</v>
      </c>
      <c r="B361" s="1111" t="s">
        <v>1448</v>
      </c>
      <c r="C361" s="1571">
        <v>369.36</v>
      </c>
      <c r="D361" s="1216">
        <f t="shared" si="178"/>
        <v>7.5299999999999998E-4</v>
      </c>
      <c r="E361" s="1582">
        <f t="shared" si="180"/>
        <v>307</v>
      </c>
      <c r="F361" s="1194">
        <f t="shared" si="181"/>
        <v>26</v>
      </c>
      <c r="G361" s="1194">
        <f t="shared" si="181"/>
        <v>24</v>
      </c>
      <c r="H361" s="1194">
        <f t="shared" si="181"/>
        <v>25</v>
      </c>
      <c r="I361" s="1194">
        <f t="shared" si="181"/>
        <v>24</v>
      </c>
      <c r="J361" s="1194">
        <f t="shared" si="181"/>
        <v>27</v>
      </c>
      <c r="K361" s="1194">
        <f t="shared" si="181"/>
        <v>26</v>
      </c>
      <c r="L361" s="1194">
        <f t="shared" si="181"/>
        <v>26</v>
      </c>
      <c r="M361" s="1194">
        <f t="shared" si="181"/>
        <v>26</v>
      </c>
      <c r="N361" s="1194">
        <f t="shared" si="181"/>
        <v>25</v>
      </c>
      <c r="O361" s="1194">
        <f t="shared" si="181"/>
        <v>26</v>
      </c>
      <c r="P361" s="1194">
        <f t="shared" si="181"/>
        <v>25</v>
      </c>
      <c r="Q361" s="1194">
        <f t="shared" si="181"/>
        <v>27</v>
      </c>
      <c r="R361" s="1194">
        <f t="shared" si="182"/>
        <v>-8</v>
      </c>
    </row>
    <row r="362" spans="1:18" x14ac:dyDescent="0.2">
      <c r="A362" s="1214" t="str">
        <f t="shared" si="177"/>
        <v>Miscellaneous</v>
      </c>
      <c r="B362" s="1111" t="s">
        <v>1474</v>
      </c>
      <c r="C362" s="1571">
        <v>32738.43</v>
      </c>
      <c r="D362" s="1216">
        <f t="shared" si="178"/>
        <v>6.6702999999999998E-2</v>
      </c>
      <c r="E362" s="1582">
        <f t="shared" si="180"/>
        <v>27275</v>
      </c>
      <c r="F362" s="1194">
        <f t="shared" si="181"/>
        <v>2286</v>
      </c>
      <c r="G362" s="1194">
        <f t="shared" si="181"/>
        <v>2143</v>
      </c>
      <c r="H362" s="1194">
        <f t="shared" si="181"/>
        <v>2247</v>
      </c>
      <c r="I362" s="1194">
        <f t="shared" si="181"/>
        <v>2169</v>
      </c>
      <c r="J362" s="1194">
        <f t="shared" si="181"/>
        <v>2373</v>
      </c>
      <c r="K362" s="1194">
        <f t="shared" si="181"/>
        <v>2319</v>
      </c>
      <c r="L362" s="1194">
        <f t="shared" si="181"/>
        <v>2283</v>
      </c>
      <c r="M362" s="1194">
        <f t="shared" si="181"/>
        <v>2283</v>
      </c>
      <c r="N362" s="1194">
        <f t="shared" si="181"/>
        <v>2236</v>
      </c>
      <c r="O362" s="1194">
        <f t="shared" si="181"/>
        <v>2315</v>
      </c>
      <c r="P362" s="1194">
        <f t="shared" si="181"/>
        <v>2212</v>
      </c>
      <c r="Q362" s="1194">
        <f t="shared" si="181"/>
        <v>2409</v>
      </c>
      <c r="R362" s="1194">
        <f t="shared" si="182"/>
        <v>-704</v>
      </c>
    </row>
    <row r="363" spans="1:18" x14ac:dyDescent="0.2">
      <c r="A363" s="1214" t="str">
        <f t="shared" si="177"/>
        <v>Miscellaneous</v>
      </c>
      <c r="B363" s="1111" t="s">
        <v>1475</v>
      </c>
      <c r="C363" s="1571">
        <v>53573.27</v>
      </c>
      <c r="D363" s="1216">
        <f t="shared" si="178"/>
        <v>0.109152</v>
      </c>
      <c r="E363" s="1582">
        <f t="shared" si="180"/>
        <v>44630</v>
      </c>
      <c r="F363" s="1194">
        <f t="shared" si="181"/>
        <v>3740</v>
      </c>
      <c r="G363" s="1194">
        <f t="shared" si="181"/>
        <v>3506</v>
      </c>
      <c r="H363" s="1194">
        <f t="shared" si="181"/>
        <v>3677</v>
      </c>
      <c r="I363" s="1194">
        <f t="shared" si="181"/>
        <v>3549</v>
      </c>
      <c r="J363" s="1194">
        <f t="shared" si="181"/>
        <v>3883</v>
      </c>
      <c r="K363" s="1194">
        <f t="shared" si="181"/>
        <v>3795</v>
      </c>
      <c r="L363" s="1194">
        <f t="shared" si="181"/>
        <v>3736</v>
      </c>
      <c r="M363" s="1194">
        <f t="shared" si="181"/>
        <v>3736</v>
      </c>
      <c r="N363" s="1194">
        <f t="shared" si="181"/>
        <v>3659</v>
      </c>
      <c r="O363" s="1194">
        <f t="shared" si="181"/>
        <v>3788</v>
      </c>
      <c r="P363" s="1194">
        <f t="shared" si="181"/>
        <v>3619</v>
      </c>
      <c r="Q363" s="1194">
        <f t="shared" si="181"/>
        <v>3942</v>
      </c>
      <c r="R363" s="1194">
        <f t="shared" si="182"/>
        <v>-1152</v>
      </c>
    </row>
    <row r="364" spans="1:18" x14ac:dyDescent="0.2">
      <c r="A364" s="1214" t="str">
        <f t="shared" si="177"/>
        <v>Miscellaneous</v>
      </c>
      <c r="B364" s="1111" t="s">
        <v>1485</v>
      </c>
      <c r="C364" s="1571">
        <v>256250.94</v>
      </c>
      <c r="D364" s="1216">
        <f t="shared" si="178"/>
        <v>0.522096</v>
      </c>
      <c r="E364" s="1582">
        <f t="shared" si="180"/>
        <v>213475</v>
      </c>
      <c r="F364" s="1194">
        <f t="shared" si="181"/>
        <v>17889</v>
      </c>
      <c r="G364" s="1194">
        <f t="shared" si="181"/>
        <v>16772</v>
      </c>
      <c r="H364" s="1194">
        <f t="shared" si="181"/>
        <v>17586</v>
      </c>
      <c r="I364" s="1194">
        <f t="shared" si="181"/>
        <v>16978</v>
      </c>
      <c r="J364" s="1194">
        <f t="shared" si="181"/>
        <v>18572</v>
      </c>
      <c r="K364" s="1194">
        <f t="shared" si="181"/>
        <v>18151</v>
      </c>
      <c r="L364" s="1194">
        <f t="shared" si="181"/>
        <v>17869</v>
      </c>
      <c r="M364" s="1194">
        <f t="shared" si="181"/>
        <v>17869</v>
      </c>
      <c r="N364" s="1194">
        <f t="shared" si="181"/>
        <v>17504</v>
      </c>
      <c r="O364" s="1194">
        <f t="shared" si="181"/>
        <v>18117</v>
      </c>
      <c r="P364" s="1194">
        <f t="shared" si="181"/>
        <v>17311</v>
      </c>
      <c r="Q364" s="1194">
        <f t="shared" si="181"/>
        <v>18857</v>
      </c>
      <c r="R364" s="1194">
        <f t="shared" si="182"/>
        <v>-5512</v>
      </c>
    </row>
    <row r="365" spans="1:18" ht="13.5" x14ac:dyDescent="0.35">
      <c r="A365" s="1214" t="str">
        <f t="shared" si="177"/>
        <v>Miscellaneous</v>
      </c>
      <c r="B365" s="1111" t="s">
        <v>1489</v>
      </c>
      <c r="C365" s="1623">
        <v>240.03999999997899</v>
      </c>
      <c r="D365" s="1217">
        <f t="shared" si="178"/>
        <v>4.8899999999999996E-4</v>
      </c>
      <c r="E365" s="1587">
        <f t="shared" si="180"/>
        <v>202</v>
      </c>
      <c r="F365" s="1218">
        <f t="shared" ref="F365:R365" si="183">F366-SUM(F345:F364)</f>
        <v>16</v>
      </c>
      <c r="G365" s="1218">
        <f t="shared" si="183"/>
        <v>15</v>
      </c>
      <c r="H365" s="1218">
        <f t="shared" si="183"/>
        <v>15</v>
      </c>
      <c r="I365" s="1218">
        <f t="shared" si="183"/>
        <v>15</v>
      </c>
      <c r="J365" s="1218">
        <f t="shared" si="183"/>
        <v>19</v>
      </c>
      <c r="K365" s="1218">
        <f t="shared" si="183"/>
        <v>18</v>
      </c>
      <c r="L365" s="1218">
        <f t="shared" si="183"/>
        <v>18</v>
      </c>
      <c r="M365" s="1218">
        <f t="shared" si="183"/>
        <v>18</v>
      </c>
      <c r="N365" s="1218">
        <f t="shared" si="183"/>
        <v>16</v>
      </c>
      <c r="O365" s="1218">
        <f t="shared" si="183"/>
        <v>18</v>
      </c>
      <c r="P365" s="1218">
        <f t="shared" si="183"/>
        <v>16</v>
      </c>
      <c r="Q365" s="1218">
        <f t="shared" si="183"/>
        <v>18</v>
      </c>
      <c r="R365" s="1218">
        <f t="shared" si="183"/>
        <v>-7</v>
      </c>
    </row>
    <row r="366" spans="1:18" ht="14.25" customHeight="1" x14ac:dyDescent="0.2">
      <c r="A366" s="1213"/>
      <c r="B366" s="1110"/>
      <c r="C366" s="1572">
        <f>SUM(C345:C365)</f>
        <v>490811.83999999991</v>
      </c>
      <c r="D366" s="1216">
        <f>SUM(D345:D365)</f>
        <v>1.0000020000000001</v>
      </c>
      <c r="E366" s="1572">
        <f>SUM(E345:E365)</f>
        <v>408879</v>
      </c>
      <c r="F366" s="1194">
        <f t="shared" ref="F366:R366" si="184">F123</f>
        <v>34264</v>
      </c>
      <c r="G366" s="1194">
        <f t="shared" si="184"/>
        <v>32124</v>
      </c>
      <c r="H366" s="1194">
        <f t="shared" si="184"/>
        <v>33683</v>
      </c>
      <c r="I366" s="1194">
        <f t="shared" si="184"/>
        <v>32518</v>
      </c>
      <c r="J366" s="1194">
        <f t="shared" si="184"/>
        <v>35572</v>
      </c>
      <c r="K366" s="1194">
        <f t="shared" si="184"/>
        <v>34766</v>
      </c>
      <c r="L366" s="1194">
        <f t="shared" si="184"/>
        <v>34226</v>
      </c>
      <c r="M366" s="1194">
        <f t="shared" si="184"/>
        <v>34226</v>
      </c>
      <c r="N366" s="1194">
        <f t="shared" si="184"/>
        <v>33526</v>
      </c>
      <c r="O366" s="1194">
        <f t="shared" si="184"/>
        <v>34701</v>
      </c>
      <c r="P366" s="1194">
        <f t="shared" si="184"/>
        <v>33156</v>
      </c>
      <c r="Q366" s="1194">
        <f t="shared" si="184"/>
        <v>36117</v>
      </c>
      <c r="R366" s="1194">
        <f t="shared" si="184"/>
        <v>-10558</v>
      </c>
    </row>
    <row r="367" spans="1:18" x14ac:dyDescent="0.2">
      <c r="A367" s="1213"/>
      <c r="B367" s="1110"/>
      <c r="C367" s="1572"/>
      <c r="D367" s="1216"/>
      <c r="E367" s="1572"/>
      <c r="F367" s="1194"/>
      <c r="G367" s="1194"/>
      <c r="H367" s="1194"/>
      <c r="I367" s="1194"/>
      <c r="J367" s="1194"/>
      <c r="K367" s="1194"/>
      <c r="L367" s="1194"/>
      <c r="M367" s="1194"/>
      <c r="N367" s="1194"/>
      <c r="O367" s="1194"/>
      <c r="P367" s="1194"/>
      <c r="Q367" s="1194"/>
      <c r="R367" s="1194"/>
    </row>
    <row r="368" spans="1:18" x14ac:dyDescent="0.2">
      <c r="A368" s="1214" t="str">
        <f>$B$116</f>
        <v>Amortization Charges</v>
      </c>
      <c r="B368" s="1111" t="s">
        <v>1475</v>
      </c>
      <c r="C368" s="1571">
        <v>260072.32000000001</v>
      </c>
      <c r="D368" s="1216">
        <f>ROUND(C368/$C$370,6)</f>
        <v>0.552315</v>
      </c>
      <c r="E368" s="1582">
        <f t="shared" ref="E368:E369" si="185">SUM(F368:Q368)</f>
        <v>32556</v>
      </c>
      <c r="F368" s="1194">
        <f>ROUND($D368*F$370,0)</f>
        <v>2713</v>
      </c>
      <c r="G368" s="1194">
        <f t="shared" ref="G368:Q368" si="186">ROUND($D368*G$370,0)</f>
        <v>2713</v>
      </c>
      <c r="H368" s="1194">
        <f t="shared" si="186"/>
        <v>2713</v>
      </c>
      <c r="I368" s="1194">
        <f t="shared" si="186"/>
        <v>2713</v>
      </c>
      <c r="J368" s="1194">
        <f t="shared" si="186"/>
        <v>2713</v>
      </c>
      <c r="K368" s="1194">
        <f t="shared" si="186"/>
        <v>2713</v>
      </c>
      <c r="L368" s="1194">
        <f t="shared" si="186"/>
        <v>2713</v>
      </c>
      <c r="M368" s="1194">
        <f t="shared" si="186"/>
        <v>2713</v>
      </c>
      <c r="N368" s="1194">
        <f t="shared" si="186"/>
        <v>2713</v>
      </c>
      <c r="O368" s="1194">
        <f t="shared" si="186"/>
        <v>2713</v>
      </c>
      <c r="P368" s="1194">
        <f t="shared" si="186"/>
        <v>2713</v>
      </c>
      <c r="Q368" s="1194">
        <f t="shared" si="186"/>
        <v>2713</v>
      </c>
      <c r="R368" s="1194">
        <f>ROUND(D368*$R$370,0)</f>
        <v>0</v>
      </c>
    </row>
    <row r="369" spans="1:18" ht="13.5" x14ac:dyDescent="0.35">
      <c r="A369" s="1214" t="str">
        <f>$B$116</f>
        <v>Amortization Charges</v>
      </c>
      <c r="B369" s="1111" t="s">
        <v>1485</v>
      </c>
      <c r="C369" s="1623">
        <v>210804.84</v>
      </c>
      <c r="D369" s="1217">
        <f>ROUND(C369/$C$370,6)</f>
        <v>0.447685</v>
      </c>
      <c r="E369" s="1587">
        <f t="shared" si="185"/>
        <v>26388</v>
      </c>
      <c r="F369" s="1218">
        <f t="shared" ref="F369" si="187">F370-SUM(F368:F368)</f>
        <v>2199</v>
      </c>
      <c r="G369" s="1218">
        <f t="shared" ref="G369:Q369" si="188">G370-SUM(G368:G368)</f>
        <v>2199</v>
      </c>
      <c r="H369" s="1218">
        <f t="shared" si="188"/>
        <v>2199</v>
      </c>
      <c r="I369" s="1218">
        <f t="shared" si="188"/>
        <v>2199</v>
      </c>
      <c r="J369" s="1218">
        <f t="shared" si="188"/>
        <v>2199</v>
      </c>
      <c r="K369" s="1218">
        <f t="shared" si="188"/>
        <v>2199</v>
      </c>
      <c r="L369" s="1218">
        <f t="shared" si="188"/>
        <v>2199</v>
      </c>
      <c r="M369" s="1218">
        <f t="shared" si="188"/>
        <v>2199</v>
      </c>
      <c r="N369" s="1218">
        <f t="shared" si="188"/>
        <v>2199</v>
      </c>
      <c r="O369" s="1218">
        <f t="shared" si="188"/>
        <v>2199</v>
      </c>
      <c r="P369" s="1218">
        <f t="shared" si="188"/>
        <v>2199</v>
      </c>
      <c r="Q369" s="1218">
        <f t="shared" si="188"/>
        <v>2199</v>
      </c>
      <c r="R369" s="1218">
        <f>R370-R368</f>
        <v>0</v>
      </c>
    </row>
    <row r="370" spans="1:18" x14ac:dyDescent="0.2">
      <c r="A370" s="1213"/>
      <c r="B370" s="1110"/>
      <c r="C370" s="1572">
        <f>SUM(C368:C369)</f>
        <v>470877.16000000003</v>
      </c>
      <c r="D370" s="1216">
        <f>SUM(D368:D369)</f>
        <v>1</v>
      </c>
      <c r="E370" s="1572">
        <f>SUM(E368:E369)</f>
        <v>58944</v>
      </c>
      <c r="F370" s="1194">
        <f t="shared" ref="F370:R370" si="189">F116</f>
        <v>4912</v>
      </c>
      <c r="G370" s="1194">
        <f t="shared" si="189"/>
        <v>4912</v>
      </c>
      <c r="H370" s="1194">
        <f t="shared" si="189"/>
        <v>4912</v>
      </c>
      <c r="I370" s="1194">
        <f t="shared" si="189"/>
        <v>4912</v>
      </c>
      <c r="J370" s="1194">
        <f t="shared" si="189"/>
        <v>4912</v>
      </c>
      <c r="K370" s="1194">
        <f t="shared" si="189"/>
        <v>4912</v>
      </c>
      <c r="L370" s="1194">
        <f t="shared" si="189"/>
        <v>4912</v>
      </c>
      <c r="M370" s="1194">
        <f t="shared" si="189"/>
        <v>4912</v>
      </c>
      <c r="N370" s="1194">
        <f t="shared" si="189"/>
        <v>4912</v>
      </c>
      <c r="O370" s="1194">
        <f t="shared" si="189"/>
        <v>4912</v>
      </c>
      <c r="P370" s="1194">
        <f t="shared" si="189"/>
        <v>4912</v>
      </c>
      <c r="Q370" s="1194">
        <f t="shared" si="189"/>
        <v>4912</v>
      </c>
      <c r="R370" s="1194">
        <f t="shared" si="189"/>
        <v>0</v>
      </c>
    </row>
    <row r="371" spans="1:18" x14ac:dyDescent="0.2">
      <c r="A371" s="1213"/>
      <c r="B371" s="1110"/>
      <c r="C371" s="1572"/>
      <c r="D371" s="1216"/>
      <c r="E371" s="1572"/>
      <c r="F371" s="1194"/>
      <c r="G371" s="1194"/>
      <c r="H371" s="1194"/>
      <c r="I371" s="1194"/>
      <c r="J371" s="1194"/>
      <c r="K371" s="1194"/>
      <c r="L371" s="1194"/>
      <c r="M371" s="1194"/>
      <c r="N371" s="1194"/>
      <c r="O371" s="1194"/>
      <c r="P371" s="1194"/>
      <c r="Q371" s="1194"/>
      <c r="R371" s="1194"/>
    </row>
    <row r="372" spans="1:18" x14ac:dyDescent="0.2">
      <c r="A372" s="1214" t="str">
        <f>B129</f>
        <v>Misc Revenue Trackers</v>
      </c>
      <c r="B372" s="1111" t="s">
        <v>1455</v>
      </c>
      <c r="C372" s="1571">
        <v>729911.9</v>
      </c>
      <c r="D372" s="1216">
        <v>1</v>
      </c>
      <c r="E372" s="1582">
        <f t="shared" ref="E372" si="190">SUM(F372:Q372)</f>
        <v>1123000</v>
      </c>
      <c r="F372" s="1194">
        <f t="shared" ref="F372:R372" si="191">F129</f>
        <v>74000</v>
      </c>
      <c r="G372" s="1194">
        <f t="shared" si="191"/>
        <v>82000</v>
      </c>
      <c r="H372" s="1194">
        <f t="shared" si="191"/>
        <v>90000</v>
      </c>
      <c r="I372" s="1194">
        <f t="shared" si="191"/>
        <v>90000</v>
      </c>
      <c r="J372" s="1194">
        <f t="shared" si="191"/>
        <v>95000</v>
      </c>
      <c r="K372" s="1194">
        <f t="shared" si="191"/>
        <v>99000</v>
      </c>
      <c r="L372" s="1194">
        <f t="shared" si="191"/>
        <v>110000</v>
      </c>
      <c r="M372" s="1194">
        <f t="shared" si="191"/>
        <v>97000</v>
      </c>
      <c r="N372" s="1194">
        <f t="shared" si="191"/>
        <v>103000</v>
      </c>
      <c r="O372" s="1194">
        <f t="shared" si="191"/>
        <v>169000</v>
      </c>
      <c r="P372" s="1194">
        <f t="shared" si="191"/>
        <v>58000</v>
      </c>
      <c r="Q372" s="1194">
        <f t="shared" si="191"/>
        <v>56000</v>
      </c>
      <c r="R372" s="1194">
        <f t="shared" si="191"/>
        <v>0</v>
      </c>
    </row>
    <row r="373" spans="1:18" x14ac:dyDescent="0.2">
      <c r="A373" s="1214"/>
      <c r="B373" s="1111"/>
      <c r="C373" s="1571"/>
      <c r="D373" s="1216"/>
      <c r="E373" s="1582"/>
      <c r="F373" s="1194"/>
      <c r="G373" s="1194"/>
      <c r="H373" s="1194"/>
      <c r="I373" s="1194"/>
      <c r="J373" s="1194"/>
      <c r="K373" s="1194"/>
      <c r="L373" s="1194"/>
      <c r="M373" s="1194"/>
      <c r="N373" s="1194"/>
      <c r="O373" s="1194"/>
      <c r="P373" s="1194"/>
      <c r="Q373" s="1194"/>
      <c r="R373" s="1194"/>
    </row>
    <row r="374" spans="1:18" x14ac:dyDescent="0.2">
      <c r="A374" s="1214" t="str">
        <f t="shared" ref="A374:A375" si="192">$B$124</f>
        <v>Deferrals</v>
      </c>
      <c r="B374" s="1111" t="s">
        <v>1444</v>
      </c>
      <c r="C374" s="1571">
        <v>12146.12</v>
      </c>
      <c r="D374" s="1216">
        <f>ROUND(C374/$C$376,6)</f>
        <v>-0.207623</v>
      </c>
      <c r="E374" s="1582">
        <f t="shared" ref="E374:E375" si="193">SUM(F374:Q374)</f>
        <v>0</v>
      </c>
      <c r="F374" s="1194">
        <f>ROUND($D374*F$376,0)</f>
        <v>0</v>
      </c>
      <c r="G374" s="1194">
        <f t="shared" ref="G374:Q374" si="194">ROUND($D374*G$376,0)</f>
        <v>0</v>
      </c>
      <c r="H374" s="1194">
        <f t="shared" si="194"/>
        <v>0</v>
      </c>
      <c r="I374" s="1194">
        <f t="shared" si="194"/>
        <v>0</v>
      </c>
      <c r="J374" s="1194">
        <f t="shared" si="194"/>
        <v>0</v>
      </c>
      <c r="K374" s="1194">
        <f t="shared" si="194"/>
        <v>0</v>
      </c>
      <c r="L374" s="1194">
        <f t="shared" si="194"/>
        <v>0</v>
      </c>
      <c r="M374" s="1194">
        <f t="shared" si="194"/>
        <v>0</v>
      </c>
      <c r="N374" s="1194">
        <f t="shared" si="194"/>
        <v>0</v>
      </c>
      <c r="O374" s="1194">
        <f t="shared" si="194"/>
        <v>0</v>
      </c>
      <c r="P374" s="1194">
        <f t="shared" si="194"/>
        <v>0</v>
      </c>
      <c r="Q374" s="1194">
        <f t="shared" si="194"/>
        <v>0</v>
      </c>
      <c r="R374" s="1194">
        <f>ROUND(D374*$R$376,5)</f>
        <v>0</v>
      </c>
    </row>
    <row r="375" spans="1:18" s="1112" customFormat="1" ht="13.5" x14ac:dyDescent="0.35">
      <c r="A375" s="1214" t="str">
        <f t="shared" si="192"/>
        <v>Deferrals</v>
      </c>
      <c r="B375" s="1111" t="s">
        <v>1455</v>
      </c>
      <c r="C375" s="1623">
        <v>-70647</v>
      </c>
      <c r="D375" s="1217">
        <f>ROUND(C375/$C$376,6)</f>
        <v>1.2076229999999999</v>
      </c>
      <c r="E375" s="1587">
        <f t="shared" si="193"/>
        <v>0</v>
      </c>
      <c r="F375" s="1218">
        <f>F376-SUM(F374:F374)</f>
        <v>0</v>
      </c>
      <c r="G375" s="1218">
        <f t="shared" ref="G375:Q375" si="195">G376-SUM(G374:G374)</f>
        <v>0</v>
      </c>
      <c r="H375" s="1218">
        <f t="shared" si="195"/>
        <v>0</v>
      </c>
      <c r="I375" s="1218">
        <f t="shared" si="195"/>
        <v>0</v>
      </c>
      <c r="J375" s="1218">
        <f t="shared" si="195"/>
        <v>0</v>
      </c>
      <c r="K375" s="1218">
        <f t="shared" si="195"/>
        <v>0</v>
      </c>
      <c r="L375" s="1218">
        <f t="shared" si="195"/>
        <v>0</v>
      </c>
      <c r="M375" s="1218">
        <f t="shared" si="195"/>
        <v>0</v>
      </c>
      <c r="N375" s="1218">
        <f t="shared" si="195"/>
        <v>0</v>
      </c>
      <c r="O375" s="1218">
        <f t="shared" si="195"/>
        <v>0</v>
      </c>
      <c r="P375" s="1218">
        <f t="shared" si="195"/>
        <v>0</v>
      </c>
      <c r="Q375" s="1218">
        <f t="shared" si="195"/>
        <v>0</v>
      </c>
      <c r="R375" s="1218">
        <f>R376-SUM(R374:R374)</f>
        <v>0</v>
      </c>
    </row>
    <row r="376" spans="1:18" ht="10.5" customHeight="1" x14ac:dyDescent="0.2">
      <c r="A376" s="1213"/>
      <c r="B376" s="1111"/>
      <c r="C376" s="1572">
        <f>SUM(C374:C375)</f>
        <v>-58500.88</v>
      </c>
      <c r="D376" s="1216">
        <f>SUM(D374:D375)</f>
        <v>0.99999999999999989</v>
      </c>
      <c r="E376" s="1572">
        <f>SUM(E374:E375)</f>
        <v>0</v>
      </c>
      <c r="F376" s="1194">
        <f t="shared" ref="F376:R376" si="196">F124</f>
        <v>0</v>
      </c>
      <c r="G376" s="1194">
        <f t="shared" si="196"/>
        <v>0</v>
      </c>
      <c r="H376" s="1194">
        <f t="shared" si="196"/>
        <v>0</v>
      </c>
      <c r="I376" s="1194">
        <f t="shared" si="196"/>
        <v>0</v>
      </c>
      <c r="J376" s="1194">
        <f t="shared" si="196"/>
        <v>0</v>
      </c>
      <c r="K376" s="1194">
        <f t="shared" si="196"/>
        <v>0</v>
      </c>
      <c r="L376" s="1194">
        <f t="shared" si="196"/>
        <v>0</v>
      </c>
      <c r="M376" s="1194">
        <f t="shared" si="196"/>
        <v>0</v>
      </c>
      <c r="N376" s="1194">
        <f t="shared" si="196"/>
        <v>0</v>
      </c>
      <c r="O376" s="1194">
        <f t="shared" si="196"/>
        <v>0</v>
      </c>
      <c r="P376" s="1194">
        <f t="shared" si="196"/>
        <v>0</v>
      </c>
      <c r="Q376" s="1194">
        <f t="shared" si="196"/>
        <v>0</v>
      </c>
      <c r="R376" s="1194">
        <f t="shared" si="196"/>
        <v>0</v>
      </c>
    </row>
    <row r="377" spans="1:18" x14ac:dyDescent="0.2">
      <c r="A377" s="1213"/>
      <c r="B377" s="1111"/>
      <c r="C377" s="1572"/>
      <c r="D377" s="1216"/>
      <c r="E377" s="1572"/>
      <c r="F377" s="1194"/>
      <c r="G377" s="1194"/>
      <c r="H377" s="1194"/>
      <c r="I377" s="1194"/>
      <c r="J377" s="1194"/>
      <c r="K377" s="1194"/>
      <c r="L377" s="1194"/>
      <c r="M377" s="1194"/>
      <c r="N377" s="1194"/>
      <c r="O377" s="1194"/>
      <c r="P377" s="1194"/>
      <c r="Q377" s="1194"/>
      <c r="R377" s="1194"/>
    </row>
    <row r="378" spans="1:18" x14ac:dyDescent="0.2">
      <c r="A378" s="1214" t="str">
        <f>$B$126</f>
        <v>Losses/Claims Expense</v>
      </c>
      <c r="B378" s="1111" t="s">
        <v>1479</v>
      </c>
      <c r="C378" s="1571">
        <v>77233.899999999994</v>
      </c>
      <c r="D378" s="1216">
        <v>1</v>
      </c>
      <c r="E378" s="1582">
        <f t="shared" ref="E378:E422" si="197">SUM(F378:Q378)</f>
        <v>99996</v>
      </c>
      <c r="F378" s="1194">
        <f t="shared" ref="F378:R378" si="198">F126</f>
        <v>8333</v>
      </c>
      <c r="G378" s="1194">
        <f t="shared" si="198"/>
        <v>8333</v>
      </c>
      <c r="H378" s="1194">
        <f t="shared" si="198"/>
        <v>8333</v>
      </c>
      <c r="I378" s="1194">
        <f t="shared" si="198"/>
        <v>8333</v>
      </c>
      <c r="J378" s="1194">
        <f t="shared" si="198"/>
        <v>8333</v>
      </c>
      <c r="K378" s="1194">
        <f t="shared" si="198"/>
        <v>8333</v>
      </c>
      <c r="L378" s="1194">
        <f t="shared" si="198"/>
        <v>8333</v>
      </c>
      <c r="M378" s="1194">
        <f t="shared" si="198"/>
        <v>8333</v>
      </c>
      <c r="N378" s="1194">
        <f t="shared" si="198"/>
        <v>8333</v>
      </c>
      <c r="O378" s="1194">
        <f t="shared" si="198"/>
        <v>8333</v>
      </c>
      <c r="P378" s="1194">
        <f t="shared" si="198"/>
        <v>8333</v>
      </c>
      <c r="Q378" s="1194">
        <f t="shared" si="198"/>
        <v>8333</v>
      </c>
      <c r="R378" s="1194">
        <f t="shared" si="198"/>
        <v>0</v>
      </c>
    </row>
    <row r="379" spans="1:18" x14ac:dyDescent="0.2">
      <c r="A379" s="1110"/>
      <c r="B379" s="1111"/>
      <c r="C379" s="1571"/>
      <c r="D379" s="1573"/>
      <c r="E379" s="1582"/>
      <c r="F379" s="1574"/>
      <c r="G379" s="1574"/>
      <c r="H379" s="1574"/>
      <c r="I379" s="1574"/>
      <c r="J379" s="1574"/>
      <c r="K379" s="1574"/>
      <c r="L379" s="1574"/>
      <c r="M379" s="1574"/>
      <c r="N379" s="1574"/>
      <c r="O379" s="1574"/>
      <c r="P379" s="1574"/>
      <c r="Q379" s="1574"/>
      <c r="R379" s="1574"/>
    </row>
    <row r="380" spans="1:18" x14ac:dyDescent="0.2">
      <c r="A380" s="1569" t="str">
        <f>B85</f>
        <v>Dental</v>
      </c>
      <c r="B380" s="1110" t="s">
        <v>1481</v>
      </c>
      <c r="C380" s="1571">
        <v>95598.89</v>
      </c>
      <c r="D380" s="1216">
        <v>1</v>
      </c>
      <c r="E380" s="1582">
        <f t="shared" si="197"/>
        <v>99996</v>
      </c>
      <c r="F380" s="1194">
        <f t="shared" ref="F380:R380" si="199">F85</f>
        <v>8333</v>
      </c>
      <c r="G380" s="1194">
        <f t="shared" si="199"/>
        <v>8333</v>
      </c>
      <c r="H380" s="1194">
        <f t="shared" si="199"/>
        <v>8333</v>
      </c>
      <c r="I380" s="1194">
        <f t="shared" si="199"/>
        <v>8333</v>
      </c>
      <c r="J380" s="1194">
        <f t="shared" si="199"/>
        <v>8333</v>
      </c>
      <c r="K380" s="1194">
        <f t="shared" si="199"/>
        <v>8333</v>
      </c>
      <c r="L380" s="1194">
        <f t="shared" si="199"/>
        <v>8333</v>
      </c>
      <c r="M380" s="1194">
        <f t="shared" si="199"/>
        <v>8333</v>
      </c>
      <c r="N380" s="1194">
        <f t="shared" si="199"/>
        <v>8333</v>
      </c>
      <c r="O380" s="1194">
        <f t="shared" si="199"/>
        <v>8333</v>
      </c>
      <c r="P380" s="1194">
        <f t="shared" si="199"/>
        <v>8333</v>
      </c>
      <c r="Q380" s="1194">
        <f t="shared" si="199"/>
        <v>8333</v>
      </c>
      <c r="R380" s="1194">
        <f t="shared" si="199"/>
        <v>0</v>
      </c>
    </row>
    <row r="381" spans="1:18" x14ac:dyDescent="0.2">
      <c r="A381" s="1569" t="str">
        <f>B86</f>
        <v>Group Life - Active</v>
      </c>
      <c r="B381" s="1110" t="s">
        <v>1481</v>
      </c>
      <c r="C381" s="1571">
        <v>31735.21</v>
      </c>
      <c r="D381" s="1216">
        <v>1</v>
      </c>
      <c r="E381" s="1582">
        <f t="shared" si="197"/>
        <v>36000</v>
      </c>
      <c r="F381" s="1194">
        <f t="shared" ref="F381:R381" si="200">F86</f>
        <v>3000</v>
      </c>
      <c r="G381" s="1194">
        <f t="shared" si="200"/>
        <v>3000</v>
      </c>
      <c r="H381" s="1194">
        <f t="shared" si="200"/>
        <v>3000</v>
      </c>
      <c r="I381" s="1194">
        <f t="shared" si="200"/>
        <v>3000</v>
      </c>
      <c r="J381" s="1194">
        <f t="shared" si="200"/>
        <v>3000</v>
      </c>
      <c r="K381" s="1194">
        <f t="shared" si="200"/>
        <v>3000</v>
      </c>
      <c r="L381" s="1194">
        <f t="shared" si="200"/>
        <v>3000</v>
      </c>
      <c r="M381" s="1194">
        <f t="shared" si="200"/>
        <v>3000</v>
      </c>
      <c r="N381" s="1194">
        <f t="shared" si="200"/>
        <v>3000</v>
      </c>
      <c r="O381" s="1194">
        <f t="shared" si="200"/>
        <v>3000</v>
      </c>
      <c r="P381" s="1194">
        <f t="shared" si="200"/>
        <v>3000</v>
      </c>
      <c r="Q381" s="1194">
        <f t="shared" si="200"/>
        <v>3000</v>
      </c>
      <c r="R381" s="1194">
        <f t="shared" si="200"/>
        <v>0</v>
      </c>
    </row>
    <row r="382" spans="1:18" x14ac:dyDescent="0.2">
      <c r="A382" s="1569" t="str">
        <f>B87</f>
        <v>Long Term Disability</v>
      </c>
      <c r="B382" s="1110" t="s">
        <v>1481</v>
      </c>
      <c r="C382" s="1571">
        <v>73280</v>
      </c>
      <c r="D382" s="1216">
        <v>1</v>
      </c>
      <c r="E382" s="1582">
        <f t="shared" si="197"/>
        <v>92004</v>
      </c>
      <c r="F382" s="1194">
        <f t="shared" ref="F382:R382" si="201">F87</f>
        <v>7667</v>
      </c>
      <c r="G382" s="1194">
        <f t="shared" si="201"/>
        <v>7667</v>
      </c>
      <c r="H382" s="1194">
        <f t="shared" si="201"/>
        <v>7667</v>
      </c>
      <c r="I382" s="1194">
        <f t="shared" si="201"/>
        <v>7667</v>
      </c>
      <c r="J382" s="1194">
        <f t="shared" si="201"/>
        <v>7667</v>
      </c>
      <c r="K382" s="1194">
        <f t="shared" si="201"/>
        <v>7667</v>
      </c>
      <c r="L382" s="1194">
        <f t="shared" si="201"/>
        <v>7667</v>
      </c>
      <c r="M382" s="1194">
        <f t="shared" si="201"/>
        <v>7667</v>
      </c>
      <c r="N382" s="1194">
        <f t="shared" si="201"/>
        <v>7667</v>
      </c>
      <c r="O382" s="1194">
        <f t="shared" si="201"/>
        <v>7667</v>
      </c>
      <c r="P382" s="1194">
        <f t="shared" si="201"/>
        <v>7667</v>
      </c>
      <c r="Q382" s="1194">
        <f t="shared" si="201"/>
        <v>7667</v>
      </c>
      <c r="R382" s="1194">
        <f t="shared" si="201"/>
        <v>0</v>
      </c>
    </row>
    <row r="383" spans="1:18" x14ac:dyDescent="0.2">
      <c r="A383" s="1569" t="str">
        <f>$B$84</f>
        <v>Medical</v>
      </c>
      <c r="B383" s="831">
        <v>926</v>
      </c>
      <c r="C383" s="1571">
        <v>1088248.02</v>
      </c>
      <c r="D383" s="1216">
        <v>1</v>
      </c>
      <c r="E383" s="1582">
        <f t="shared" si="197"/>
        <v>1691001</v>
      </c>
      <c r="F383" s="1194">
        <f t="shared" ref="F383:R383" si="202">F84</f>
        <v>216341</v>
      </c>
      <c r="G383" s="1194">
        <f t="shared" si="202"/>
        <v>210205</v>
      </c>
      <c r="H383" s="1194">
        <f t="shared" si="202"/>
        <v>80683</v>
      </c>
      <c r="I383" s="1194">
        <f t="shared" si="202"/>
        <v>92711</v>
      </c>
      <c r="J383" s="1194">
        <f t="shared" si="202"/>
        <v>89470</v>
      </c>
      <c r="K383" s="1194">
        <f t="shared" si="202"/>
        <v>119020</v>
      </c>
      <c r="L383" s="1194">
        <f t="shared" si="202"/>
        <v>126459</v>
      </c>
      <c r="M383" s="1194">
        <f t="shared" si="202"/>
        <v>111535</v>
      </c>
      <c r="N383" s="1194">
        <f t="shared" si="202"/>
        <v>99676</v>
      </c>
      <c r="O383" s="1194">
        <f t="shared" si="202"/>
        <v>108629</v>
      </c>
      <c r="P383" s="1194">
        <f t="shared" si="202"/>
        <v>218136</v>
      </c>
      <c r="Q383" s="1194">
        <f t="shared" si="202"/>
        <v>218136</v>
      </c>
      <c r="R383" s="1194">
        <f t="shared" si="202"/>
        <v>0</v>
      </c>
    </row>
    <row r="384" spans="1:18" x14ac:dyDescent="0.2">
      <c r="A384" s="1569" t="str">
        <f t="shared" ref="A384:A390" si="203">$B$84</f>
        <v>Medical</v>
      </c>
      <c r="B384" s="831">
        <v>875</v>
      </c>
      <c r="C384" s="1571">
        <v>21.72</v>
      </c>
      <c r="D384" s="1216">
        <v>0</v>
      </c>
      <c r="E384" s="1582"/>
      <c r="F384" s="1194"/>
      <c r="G384" s="1194"/>
      <c r="H384" s="1194"/>
      <c r="I384" s="1194"/>
      <c r="J384" s="1194"/>
      <c r="K384" s="1194"/>
      <c r="L384" s="1194"/>
      <c r="M384" s="1194"/>
      <c r="N384" s="1194"/>
      <c r="O384" s="1194"/>
      <c r="P384" s="1194"/>
      <c r="Q384" s="1194"/>
      <c r="R384" s="1194"/>
    </row>
    <row r="385" spans="1:18" x14ac:dyDescent="0.2">
      <c r="A385" s="1569" t="str">
        <f t="shared" si="203"/>
        <v>Medical</v>
      </c>
      <c r="B385" s="831">
        <v>876</v>
      </c>
      <c r="C385" s="1571">
        <v>11.11</v>
      </c>
      <c r="D385" s="1216">
        <v>0</v>
      </c>
      <c r="E385" s="1582"/>
      <c r="F385" s="1194"/>
      <c r="G385" s="1194"/>
      <c r="H385" s="1194"/>
      <c r="I385" s="1194"/>
      <c r="J385" s="1194"/>
      <c r="K385" s="1194"/>
      <c r="L385" s="1194"/>
      <c r="M385" s="1194"/>
      <c r="N385" s="1194"/>
      <c r="O385" s="1194"/>
      <c r="P385" s="1194"/>
      <c r="Q385" s="1194"/>
      <c r="R385" s="1194"/>
    </row>
    <row r="386" spans="1:18" x14ac:dyDescent="0.2">
      <c r="A386" s="1569" t="str">
        <f t="shared" si="203"/>
        <v>Medical</v>
      </c>
      <c r="B386" s="831">
        <v>880</v>
      </c>
      <c r="C386" s="1571">
        <v>34.56</v>
      </c>
      <c r="D386" s="1216">
        <v>0</v>
      </c>
      <c r="E386" s="1582"/>
      <c r="F386" s="1194"/>
      <c r="G386" s="1194"/>
      <c r="H386" s="1194"/>
      <c r="I386" s="1194"/>
      <c r="J386" s="1194"/>
      <c r="K386" s="1194"/>
      <c r="L386" s="1194"/>
      <c r="M386" s="1194"/>
      <c r="N386" s="1194"/>
      <c r="O386" s="1194"/>
      <c r="P386" s="1194"/>
      <c r="Q386" s="1194"/>
      <c r="R386" s="1194"/>
    </row>
    <row r="387" spans="1:18" x14ac:dyDescent="0.2">
      <c r="A387" s="1569" t="str">
        <f t="shared" si="203"/>
        <v>Medical</v>
      </c>
      <c r="B387" s="831">
        <v>887</v>
      </c>
      <c r="C387" s="1571">
        <v>26.09</v>
      </c>
      <c r="D387" s="1216">
        <v>0</v>
      </c>
      <c r="E387" s="1582"/>
      <c r="F387" s="1194"/>
      <c r="G387" s="1194"/>
      <c r="H387" s="1194"/>
      <c r="I387" s="1194"/>
      <c r="J387" s="1194"/>
      <c r="K387" s="1194"/>
      <c r="L387" s="1194"/>
      <c r="M387" s="1194"/>
      <c r="N387" s="1194"/>
      <c r="O387" s="1194"/>
      <c r="P387" s="1194"/>
      <c r="Q387" s="1194"/>
      <c r="R387" s="1194"/>
    </row>
    <row r="388" spans="1:18" x14ac:dyDescent="0.2">
      <c r="A388" s="1569" t="str">
        <f t="shared" si="203"/>
        <v>Medical</v>
      </c>
      <c r="B388" s="831">
        <v>889</v>
      </c>
      <c r="C388" s="1571">
        <v>21.72</v>
      </c>
      <c r="D388" s="1216">
        <v>0</v>
      </c>
      <c r="E388" s="1582"/>
      <c r="F388" s="1194"/>
      <c r="G388" s="1194"/>
      <c r="H388" s="1194"/>
      <c r="I388" s="1194"/>
      <c r="J388" s="1194"/>
      <c r="K388" s="1194"/>
      <c r="L388" s="1194"/>
      <c r="M388" s="1194"/>
      <c r="N388" s="1194"/>
      <c r="O388" s="1194"/>
      <c r="P388" s="1194"/>
      <c r="Q388" s="1194"/>
      <c r="R388" s="1194"/>
    </row>
    <row r="389" spans="1:18" x14ac:dyDescent="0.2">
      <c r="A389" s="1569" t="str">
        <f t="shared" si="203"/>
        <v>Medical</v>
      </c>
      <c r="B389" s="831">
        <v>890</v>
      </c>
      <c r="C389" s="1571">
        <v>11.11</v>
      </c>
      <c r="D389" s="1216">
        <v>0</v>
      </c>
      <c r="E389" s="1582"/>
      <c r="F389" s="1194"/>
      <c r="G389" s="1194"/>
      <c r="H389" s="1194"/>
      <c r="I389" s="1194"/>
      <c r="J389" s="1194"/>
      <c r="K389" s="1194"/>
      <c r="L389" s="1194"/>
      <c r="M389" s="1194"/>
      <c r="N389" s="1194"/>
      <c r="O389" s="1194"/>
      <c r="P389" s="1194"/>
      <c r="Q389" s="1194"/>
      <c r="R389" s="1194"/>
    </row>
    <row r="390" spans="1:18" x14ac:dyDescent="0.2">
      <c r="A390" s="1569" t="str">
        <f t="shared" si="203"/>
        <v>Medical</v>
      </c>
      <c r="B390" s="831">
        <v>892</v>
      </c>
      <c r="C390" s="1571">
        <v>29.33</v>
      </c>
      <c r="D390" s="1216">
        <v>0</v>
      </c>
      <c r="E390" s="1582"/>
      <c r="F390" s="1194"/>
      <c r="G390" s="1194"/>
      <c r="H390" s="1194"/>
      <c r="I390" s="1194"/>
      <c r="J390" s="1194"/>
      <c r="K390" s="1194"/>
      <c r="L390" s="1194"/>
      <c r="M390" s="1194"/>
      <c r="N390" s="1194"/>
      <c r="O390" s="1194"/>
      <c r="P390" s="1194"/>
      <c r="Q390" s="1194"/>
      <c r="R390" s="1194"/>
    </row>
    <row r="391" spans="1:18" x14ac:dyDescent="0.2">
      <c r="A391" s="1569" t="str">
        <f>$B$93</f>
        <v>OPEB - Life</v>
      </c>
      <c r="B391" s="831">
        <v>926</v>
      </c>
      <c r="C391" s="1571">
        <v>-73314</v>
      </c>
      <c r="D391" s="1216">
        <v>1</v>
      </c>
      <c r="E391" s="1582">
        <f t="shared" si="197"/>
        <v>-93000</v>
      </c>
      <c r="F391" s="1194">
        <f t="shared" ref="F391:R391" si="204">F93</f>
        <v>-7750</v>
      </c>
      <c r="G391" s="1194">
        <f t="shared" si="204"/>
        <v>-7750</v>
      </c>
      <c r="H391" s="1194">
        <f t="shared" si="204"/>
        <v>-7750</v>
      </c>
      <c r="I391" s="1194">
        <f t="shared" si="204"/>
        <v>-7750</v>
      </c>
      <c r="J391" s="1194">
        <f t="shared" si="204"/>
        <v>-7750</v>
      </c>
      <c r="K391" s="1194">
        <f t="shared" si="204"/>
        <v>-7750</v>
      </c>
      <c r="L391" s="1194">
        <f t="shared" si="204"/>
        <v>-7750</v>
      </c>
      <c r="M391" s="1194">
        <f t="shared" si="204"/>
        <v>-7750</v>
      </c>
      <c r="N391" s="1194">
        <f t="shared" si="204"/>
        <v>-7750</v>
      </c>
      <c r="O391" s="1194">
        <f t="shared" si="204"/>
        <v>-7750</v>
      </c>
      <c r="P391" s="1194">
        <f t="shared" si="204"/>
        <v>-7750</v>
      </c>
      <c r="Q391" s="1194">
        <f t="shared" si="204"/>
        <v>-7750</v>
      </c>
      <c r="R391" s="1194">
        <f t="shared" si="204"/>
        <v>0</v>
      </c>
    </row>
    <row r="392" spans="1:18" x14ac:dyDescent="0.2">
      <c r="A392" s="1569" t="str">
        <f t="shared" ref="A392:A393" si="205">$B$93</f>
        <v>OPEB - Life</v>
      </c>
      <c r="B392" s="831">
        <v>887</v>
      </c>
      <c r="C392" s="1571">
        <v>-3.82</v>
      </c>
      <c r="D392" s="1216">
        <v>0</v>
      </c>
      <c r="E392" s="1582"/>
      <c r="F392" s="1194"/>
      <c r="G392" s="1194"/>
      <c r="H392" s="1194"/>
      <c r="I392" s="1194"/>
      <c r="J392" s="1194"/>
      <c r="K392" s="1194"/>
      <c r="L392" s="1194"/>
      <c r="M392" s="1194"/>
      <c r="N392" s="1194"/>
      <c r="O392" s="1194"/>
      <c r="P392" s="1194"/>
      <c r="Q392" s="1194"/>
      <c r="R392" s="1194"/>
    </row>
    <row r="393" spans="1:18" x14ac:dyDescent="0.2">
      <c r="A393" s="1569" t="str">
        <f t="shared" si="205"/>
        <v>OPEB - Life</v>
      </c>
      <c r="B393" s="831">
        <v>892</v>
      </c>
      <c r="C393" s="1571">
        <v>-1.4</v>
      </c>
      <c r="D393" s="1216">
        <v>0</v>
      </c>
      <c r="E393" s="1582"/>
      <c r="F393" s="1194"/>
      <c r="G393" s="1194"/>
      <c r="H393" s="1194"/>
      <c r="I393" s="1194"/>
      <c r="J393" s="1194"/>
      <c r="K393" s="1194"/>
      <c r="L393" s="1194"/>
      <c r="M393" s="1194"/>
      <c r="N393" s="1194"/>
      <c r="O393" s="1194"/>
      <c r="P393" s="1194"/>
      <c r="Q393" s="1194"/>
      <c r="R393" s="1194"/>
    </row>
    <row r="394" spans="1:18" x14ac:dyDescent="0.2">
      <c r="A394" s="1569" t="str">
        <f>$B$88</f>
        <v>OPEB - Medical</v>
      </c>
      <c r="B394" s="831">
        <v>926</v>
      </c>
      <c r="C394" s="1571">
        <v>-102040.58</v>
      </c>
      <c r="D394" s="1216">
        <v>1</v>
      </c>
      <c r="E394" s="1582">
        <f t="shared" si="197"/>
        <v>-92004</v>
      </c>
      <c r="F394" s="1194">
        <f t="shared" ref="F394:R394" si="206">F88</f>
        <v>-7667</v>
      </c>
      <c r="G394" s="1194">
        <f t="shared" si="206"/>
        <v>-7667</v>
      </c>
      <c r="H394" s="1194">
        <f t="shared" si="206"/>
        <v>-7667</v>
      </c>
      <c r="I394" s="1194">
        <f t="shared" si="206"/>
        <v>-7667</v>
      </c>
      <c r="J394" s="1194">
        <f t="shared" si="206"/>
        <v>-7667</v>
      </c>
      <c r="K394" s="1194">
        <f t="shared" si="206"/>
        <v>-7667</v>
      </c>
      <c r="L394" s="1194">
        <f t="shared" si="206"/>
        <v>-7667</v>
      </c>
      <c r="M394" s="1194">
        <f t="shared" si="206"/>
        <v>-7667</v>
      </c>
      <c r="N394" s="1194">
        <f t="shared" si="206"/>
        <v>-7667</v>
      </c>
      <c r="O394" s="1194">
        <f t="shared" si="206"/>
        <v>-7667</v>
      </c>
      <c r="P394" s="1194">
        <f t="shared" si="206"/>
        <v>-7667</v>
      </c>
      <c r="Q394" s="1194">
        <f t="shared" si="206"/>
        <v>-7667</v>
      </c>
      <c r="R394" s="1194">
        <f t="shared" si="206"/>
        <v>0</v>
      </c>
    </row>
    <row r="395" spans="1:18" x14ac:dyDescent="0.2">
      <c r="A395" s="1569" t="str">
        <f t="shared" ref="A395:A397" si="207">$B$88</f>
        <v>OPEB - Medical</v>
      </c>
      <c r="B395" s="831">
        <v>880</v>
      </c>
      <c r="C395" s="1571">
        <v>-0.12</v>
      </c>
      <c r="D395" s="1216">
        <v>0</v>
      </c>
      <c r="E395" s="1582"/>
      <c r="F395" s="1194"/>
      <c r="G395" s="1194"/>
      <c r="H395" s="1194"/>
      <c r="I395" s="1194"/>
      <c r="J395" s="1194"/>
      <c r="K395" s="1194"/>
      <c r="L395" s="1194"/>
      <c r="M395" s="1194"/>
      <c r="N395" s="1194"/>
      <c r="O395" s="1194"/>
      <c r="P395" s="1194"/>
      <c r="Q395" s="1194"/>
      <c r="R395" s="1194"/>
    </row>
    <row r="396" spans="1:18" x14ac:dyDescent="0.2">
      <c r="A396" s="1569" t="str">
        <f t="shared" si="207"/>
        <v>OPEB - Medical</v>
      </c>
      <c r="B396" s="831">
        <v>887</v>
      </c>
      <c r="C396" s="1571">
        <v>-4.2699999999999996</v>
      </c>
      <c r="D396" s="1216">
        <v>0</v>
      </c>
      <c r="E396" s="1582"/>
      <c r="F396" s="1194"/>
      <c r="G396" s="1194"/>
      <c r="H396" s="1194"/>
      <c r="I396" s="1194"/>
      <c r="J396" s="1194"/>
      <c r="K396" s="1194"/>
      <c r="L396" s="1194"/>
      <c r="M396" s="1194"/>
      <c r="N396" s="1194"/>
      <c r="O396" s="1194"/>
      <c r="P396" s="1194"/>
      <c r="Q396" s="1194"/>
      <c r="R396" s="1194"/>
    </row>
    <row r="397" spans="1:18" x14ac:dyDescent="0.2">
      <c r="A397" s="1569" t="str">
        <f t="shared" si="207"/>
        <v>OPEB - Medical</v>
      </c>
      <c r="B397" s="831">
        <v>892</v>
      </c>
      <c r="C397" s="1571">
        <v>-1.3</v>
      </c>
      <c r="D397" s="1216">
        <v>0</v>
      </c>
      <c r="E397" s="1582"/>
      <c r="F397" s="1194"/>
      <c r="G397" s="1194"/>
      <c r="H397" s="1194"/>
      <c r="I397" s="1194"/>
      <c r="J397" s="1194"/>
      <c r="K397" s="1194"/>
      <c r="L397" s="1194"/>
      <c r="M397" s="1194"/>
      <c r="N397" s="1194"/>
      <c r="O397" s="1194"/>
      <c r="P397" s="1194"/>
      <c r="Q397" s="1194"/>
      <c r="R397" s="1194"/>
    </row>
    <row r="398" spans="1:18" x14ac:dyDescent="0.2">
      <c r="A398" s="1569" t="str">
        <f>$B$89</f>
        <v>Other Benefits</v>
      </c>
      <c r="B398" s="831">
        <v>926</v>
      </c>
      <c r="C398" s="1571">
        <v>872496.95</v>
      </c>
      <c r="D398" s="1216">
        <v>1</v>
      </c>
      <c r="E398" s="1582">
        <f t="shared" si="197"/>
        <v>23004</v>
      </c>
      <c r="F398" s="1194">
        <f t="shared" ref="F398:R398" si="208">F89</f>
        <v>1917</v>
      </c>
      <c r="G398" s="1194">
        <f t="shared" si="208"/>
        <v>1917</v>
      </c>
      <c r="H398" s="1194">
        <f t="shared" si="208"/>
        <v>1917</v>
      </c>
      <c r="I398" s="1194">
        <f t="shared" si="208"/>
        <v>1917</v>
      </c>
      <c r="J398" s="1194">
        <f t="shared" si="208"/>
        <v>1917</v>
      </c>
      <c r="K398" s="1194">
        <f t="shared" si="208"/>
        <v>1917</v>
      </c>
      <c r="L398" s="1194">
        <f t="shared" si="208"/>
        <v>1917</v>
      </c>
      <c r="M398" s="1194">
        <f t="shared" si="208"/>
        <v>1917</v>
      </c>
      <c r="N398" s="1194">
        <f t="shared" si="208"/>
        <v>1917</v>
      </c>
      <c r="O398" s="1194">
        <f t="shared" si="208"/>
        <v>1917</v>
      </c>
      <c r="P398" s="1194">
        <f t="shared" si="208"/>
        <v>1917</v>
      </c>
      <c r="Q398" s="1194">
        <f t="shared" si="208"/>
        <v>1917</v>
      </c>
      <c r="R398" s="1194">
        <f t="shared" si="208"/>
        <v>0</v>
      </c>
    </row>
    <row r="399" spans="1:18" x14ac:dyDescent="0.2">
      <c r="A399" s="1569" t="str">
        <f>$B$89</f>
        <v>Other Benefits</v>
      </c>
      <c r="B399" s="831">
        <v>880</v>
      </c>
      <c r="C399" s="1571">
        <v>7.92</v>
      </c>
      <c r="D399" s="1216">
        <v>0</v>
      </c>
      <c r="E399" s="1582"/>
      <c r="F399" s="1194"/>
      <c r="G399" s="1194"/>
      <c r="H399" s="1194"/>
      <c r="I399" s="1194"/>
      <c r="J399" s="1194"/>
      <c r="K399" s="1194"/>
      <c r="L399" s="1194"/>
      <c r="M399" s="1194"/>
      <c r="N399" s="1194"/>
      <c r="O399" s="1194"/>
      <c r="P399" s="1194"/>
      <c r="Q399" s="1194"/>
      <c r="R399" s="1194"/>
    </row>
    <row r="400" spans="1:18" x14ac:dyDescent="0.2">
      <c r="A400" s="1569" t="str">
        <f>$B$89</f>
        <v>Other Benefits</v>
      </c>
      <c r="B400" s="831">
        <v>887</v>
      </c>
      <c r="C400" s="1571">
        <v>21.24</v>
      </c>
      <c r="D400" s="1216">
        <v>0</v>
      </c>
      <c r="E400" s="1582"/>
      <c r="F400" s="1194"/>
      <c r="G400" s="1194"/>
      <c r="H400" s="1194"/>
      <c r="I400" s="1194"/>
      <c r="J400" s="1194"/>
      <c r="K400" s="1194"/>
      <c r="L400" s="1194"/>
      <c r="M400" s="1194"/>
      <c r="N400" s="1194"/>
      <c r="O400" s="1194"/>
      <c r="P400" s="1194"/>
      <c r="Q400" s="1194"/>
      <c r="R400" s="1194"/>
    </row>
    <row r="401" spans="1:18" x14ac:dyDescent="0.2">
      <c r="A401" s="1569" t="str">
        <f>$B$89</f>
        <v>Other Benefits</v>
      </c>
      <c r="B401" s="831">
        <v>892</v>
      </c>
      <c r="C401" s="1571">
        <v>7.89</v>
      </c>
      <c r="D401" s="1216">
        <v>0</v>
      </c>
      <c r="E401" s="1582"/>
      <c r="F401" s="1194"/>
      <c r="G401" s="1194"/>
      <c r="H401" s="1194"/>
      <c r="I401" s="1194"/>
      <c r="J401" s="1194"/>
      <c r="K401" s="1194"/>
      <c r="L401" s="1194"/>
      <c r="M401" s="1194"/>
      <c r="N401" s="1194"/>
      <c r="O401" s="1194"/>
      <c r="P401" s="1194"/>
      <c r="Q401" s="1194"/>
      <c r="R401" s="1194"/>
    </row>
    <row r="402" spans="1:18" x14ac:dyDescent="0.2">
      <c r="A402" s="1569" t="str">
        <f>$B$83</f>
        <v>Pension</v>
      </c>
      <c r="B402" s="831">
        <v>926</v>
      </c>
      <c r="C402" s="1571">
        <v>172236</v>
      </c>
      <c r="D402" s="1216">
        <v>1</v>
      </c>
      <c r="E402" s="1582">
        <f t="shared" si="197"/>
        <v>258996</v>
      </c>
      <c r="F402" s="1194">
        <f t="shared" ref="F402:R402" si="209">F83</f>
        <v>21583</v>
      </c>
      <c r="G402" s="1194">
        <f t="shared" si="209"/>
        <v>21583</v>
      </c>
      <c r="H402" s="1194">
        <f t="shared" si="209"/>
        <v>21583</v>
      </c>
      <c r="I402" s="1194">
        <f t="shared" si="209"/>
        <v>21583</v>
      </c>
      <c r="J402" s="1194">
        <f t="shared" si="209"/>
        <v>21583</v>
      </c>
      <c r="K402" s="1194">
        <f t="shared" si="209"/>
        <v>21583</v>
      </c>
      <c r="L402" s="1194">
        <f t="shared" si="209"/>
        <v>21583</v>
      </c>
      <c r="M402" s="1194">
        <f t="shared" si="209"/>
        <v>21583</v>
      </c>
      <c r="N402" s="1194">
        <f t="shared" si="209"/>
        <v>21583</v>
      </c>
      <c r="O402" s="1194">
        <f t="shared" si="209"/>
        <v>21583</v>
      </c>
      <c r="P402" s="1194">
        <f t="shared" si="209"/>
        <v>21583</v>
      </c>
      <c r="Q402" s="1194">
        <f t="shared" si="209"/>
        <v>21583</v>
      </c>
      <c r="R402" s="1194">
        <f t="shared" si="209"/>
        <v>0</v>
      </c>
    </row>
    <row r="403" spans="1:18" x14ac:dyDescent="0.2">
      <c r="A403" s="1569" t="str">
        <f>$B$83</f>
        <v>Pension</v>
      </c>
      <c r="B403" s="831">
        <v>880</v>
      </c>
      <c r="C403" s="1571">
        <v>0.38</v>
      </c>
      <c r="D403" s="1216">
        <v>0</v>
      </c>
      <c r="E403" s="1582"/>
      <c r="F403" s="1194"/>
      <c r="G403" s="1194"/>
      <c r="H403" s="1194"/>
      <c r="I403" s="1194"/>
      <c r="J403" s="1194"/>
      <c r="K403" s="1194"/>
      <c r="L403" s="1194"/>
      <c r="M403" s="1194"/>
      <c r="N403" s="1194"/>
      <c r="O403" s="1194"/>
      <c r="P403" s="1194"/>
      <c r="Q403" s="1194"/>
      <c r="R403" s="1194"/>
    </row>
    <row r="404" spans="1:18" x14ac:dyDescent="0.2">
      <c r="A404" s="1569" t="str">
        <f>$B$83</f>
        <v>Pension</v>
      </c>
      <c r="B404" s="831">
        <v>887</v>
      </c>
      <c r="C404" s="1571">
        <v>2.4700000000000002</v>
      </c>
      <c r="D404" s="1216">
        <v>0</v>
      </c>
      <c r="E404" s="1582"/>
      <c r="F404" s="1194"/>
      <c r="G404" s="1194"/>
      <c r="H404" s="1194"/>
      <c r="I404" s="1194"/>
      <c r="J404" s="1194"/>
      <c r="K404" s="1194"/>
      <c r="L404" s="1194"/>
      <c r="M404" s="1194"/>
      <c r="N404" s="1194"/>
      <c r="O404" s="1194"/>
      <c r="P404" s="1194"/>
      <c r="Q404" s="1194"/>
      <c r="R404" s="1194"/>
    </row>
    <row r="405" spans="1:18" x14ac:dyDescent="0.2">
      <c r="A405" s="1569" t="str">
        <f>$B$83</f>
        <v>Pension</v>
      </c>
      <c r="B405" s="831">
        <v>892</v>
      </c>
      <c r="C405" s="1571">
        <v>0.87</v>
      </c>
      <c r="D405" s="1216">
        <v>0</v>
      </c>
      <c r="E405" s="1582"/>
      <c r="F405" s="1194"/>
      <c r="G405" s="1194"/>
      <c r="H405" s="1194"/>
      <c r="I405" s="1194"/>
      <c r="J405" s="1194"/>
      <c r="K405" s="1194"/>
      <c r="L405" s="1194"/>
      <c r="M405" s="1194"/>
      <c r="N405" s="1194"/>
      <c r="O405" s="1194"/>
      <c r="P405" s="1194"/>
      <c r="Q405" s="1194"/>
      <c r="R405" s="1194"/>
    </row>
    <row r="406" spans="1:18" x14ac:dyDescent="0.2">
      <c r="A406" s="1569" t="str">
        <f>B90</f>
        <v>Post Empl Benefits (FAS112)</v>
      </c>
      <c r="B406" s="1110" t="s">
        <v>1481</v>
      </c>
      <c r="C406" s="1571">
        <v>-105144</v>
      </c>
      <c r="D406" s="1216">
        <v>1</v>
      </c>
      <c r="E406" s="1582">
        <f t="shared" si="197"/>
        <v>0</v>
      </c>
      <c r="F406" s="1194">
        <f t="shared" ref="F406:R406" si="210">F90</f>
        <v>0</v>
      </c>
      <c r="G406" s="1194">
        <f t="shared" si="210"/>
        <v>0</v>
      </c>
      <c r="H406" s="1194">
        <f t="shared" si="210"/>
        <v>0</v>
      </c>
      <c r="I406" s="1194">
        <f t="shared" si="210"/>
        <v>0</v>
      </c>
      <c r="J406" s="1194">
        <f t="shared" si="210"/>
        <v>0</v>
      </c>
      <c r="K406" s="1194">
        <f t="shared" si="210"/>
        <v>0</v>
      </c>
      <c r="L406" s="1194">
        <f t="shared" si="210"/>
        <v>0</v>
      </c>
      <c r="M406" s="1194">
        <f t="shared" si="210"/>
        <v>0</v>
      </c>
      <c r="N406" s="1194">
        <f t="shared" si="210"/>
        <v>0</v>
      </c>
      <c r="O406" s="1194">
        <f t="shared" si="210"/>
        <v>0</v>
      </c>
      <c r="P406" s="1194">
        <f t="shared" si="210"/>
        <v>0</v>
      </c>
      <c r="Q406" s="1194">
        <f t="shared" si="210"/>
        <v>0</v>
      </c>
      <c r="R406" s="1194">
        <f t="shared" si="210"/>
        <v>0</v>
      </c>
    </row>
    <row r="407" spans="1:18" x14ac:dyDescent="0.2">
      <c r="A407" s="1569" t="str">
        <f>B91</f>
        <v>Post Empl Ret Benefit (FAS106)</v>
      </c>
      <c r="B407" s="1110" t="s">
        <v>1481</v>
      </c>
      <c r="C407" s="1571">
        <v>0</v>
      </c>
      <c r="D407" s="1216">
        <v>1</v>
      </c>
      <c r="E407" s="1582">
        <f t="shared" si="197"/>
        <v>0</v>
      </c>
      <c r="F407" s="1194">
        <f t="shared" ref="F407:R407" si="211">F91</f>
        <v>0</v>
      </c>
      <c r="G407" s="1194">
        <f t="shared" si="211"/>
        <v>0</v>
      </c>
      <c r="H407" s="1194">
        <f t="shared" si="211"/>
        <v>0</v>
      </c>
      <c r="I407" s="1194">
        <f t="shared" si="211"/>
        <v>0</v>
      </c>
      <c r="J407" s="1194">
        <f t="shared" si="211"/>
        <v>0</v>
      </c>
      <c r="K407" s="1194">
        <f t="shared" si="211"/>
        <v>0</v>
      </c>
      <c r="L407" s="1194">
        <f t="shared" si="211"/>
        <v>0</v>
      </c>
      <c r="M407" s="1194">
        <f t="shared" si="211"/>
        <v>0</v>
      </c>
      <c r="N407" s="1194">
        <f t="shared" si="211"/>
        <v>0</v>
      </c>
      <c r="O407" s="1194">
        <f t="shared" si="211"/>
        <v>0</v>
      </c>
      <c r="P407" s="1194">
        <f t="shared" si="211"/>
        <v>0</v>
      </c>
      <c r="Q407" s="1194">
        <f t="shared" si="211"/>
        <v>0</v>
      </c>
      <c r="R407" s="1194">
        <f t="shared" si="211"/>
        <v>0</v>
      </c>
    </row>
    <row r="408" spans="1:18" x14ac:dyDescent="0.2">
      <c r="A408" s="1569" t="str">
        <f>B92</f>
        <v>Profit Sharing</v>
      </c>
      <c r="B408" s="1110" t="s">
        <v>1481</v>
      </c>
      <c r="C408" s="1571">
        <v>71861.41</v>
      </c>
      <c r="D408" s="1216">
        <v>1</v>
      </c>
      <c r="E408" s="1582">
        <f t="shared" si="197"/>
        <v>74928</v>
      </c>
      <c r="F408" s="1194">
        <f t="shared" ref="F408:R408" si="212">F92</f>
        <v>6244</v>
      </c>
      <c r="G408" s="1194">
        <f t="shared" si="212"/>
        <v>6244</v>
      </c>
      <c r="H408" s="1194">
        <f t="shared" si="212"/>
        <v>6244</v>
      </c>
      <c r="I408" s="1194">
        <f t="shared" si="212"/>
        <v>6244</v>
      </c>
      <c r="J408" s="1194">
        <f t="shared" si="212"/>
        <v>6244</v>
      </c>
      <c r="K408" s="1194">
        <f t="shared" si="212"/>
        <v>6244</v>
      </c>
      <c r="L408" s="1194">
        <f t="shared" si="212"/>
        <v>6244</v>
      </c>
      <c r="M408" s="1194">
        <f t="shared" si="212"/>
        <v>6244</v>
      </c>
      <c r="N408" s="1194">
        <f t="shared" si="212"/>
        <v>6244</v>
      </c>
      <c r="O408" s="1194">
        <f t="shared" si="212"/>
        <v>6244</v>
      </c>
      <c r="P408" s="1194">
        <f t="shared" si="212"/>
        <v>6244</v>
      </c>
      <c r="Q408" s="1194">
        <f t="shared" si="212"/>
        <v>6244</v>
      </c>
      <c r="R408" s="1194">
        <f t="shared" si="212"/>
        <v>0</v>
      </c>
    </row>
    <row r="409" spans="1:18" s="1112" customFormat="1" x14ac:dyDescent="0.2">
      <c r="A409" s="1569" t="str">
        <f>B94</f>
        <v>Thrift Plan - Employee / 401K</v>
      </c>
      <c r="B409" s="1110" t="s">
        <v>1481</v>
      </c>
      <c r="C409" s="1571">
        <v>2778.89</v>
      </c>
      <c r="D409" s="1216">
        <v>1</v>
      </c>
      <c r="E409" s="1582">
        <f t="shared" si="197"/>
        <v>581160</v>
      </c>
      <c r="F409" s="1194">
        <f t="shared" ref="F409:R409" si="213">F94</f>
        <v>48430</v>
      </c>
      <c r="G409" s="1194">
        <f t="shared" si="213"/>
        <v>48430</v>
      </c>
      <c r="H409" s="1194">
        <f t="shared" si="213"/>
        <v>48430</v>
      </c>
      <c r="I409" s="1194">
        <f t="shared" si="213"/>
        <v>48430</v>
      </c>
      <c r="J409" s="1194">
        <f t="shared" si="213"/>
        <v>48430</v>
      </c>
      <c r="K409" s="1194">
        <f t="shared" si="213"/>
        <v>48430</v>
      </c>
      <c r="L409" s="1194">
        <f t="shared" si="213"/>
        <v>48430</v>
      </c>
      <c r="M409" s="1194">
        <f t="shared" si="213"/>
        <v>48430</v>
      </c>
      <c r="N409" s="1194">
        <f t="shared" si="213"/>
        <v>48430</v>
      </c>
      <c r="O409" s="1194">
        <f t="shared" si="213"/>
        <v>48430</v>
      </c>
      <c r="P409" s="1194">
        <f t="shared" si="213"/>
        <v>48430</v>
      </c>
      <c r="Q409" s="1194">
        <f t="shared" si="213"/>
        <v>48430</v>
      </c>
      <c r="R409" s="1194">
        <f t="shared" si="213"/>
        <v>0</v>
      </c>
    </row>
    <row r="410" spans="1:18" x14ac:dyDescent="0.2">
      <c r="A410" s="1569" t="str">
        <f>B95</f>
        <v>Trans-Employee Med Health Ins</v>
      </c>
      <c r="B410" s="1110" t="s">
        <v>1481</v>
      </c>
      <c r="C410" s="1571">
        <v>-490145.45</v>
      </c>
      <c r="D410" s="1216">
        <v>1</v>
      </c>
      <c r="E410" s="1582">
        <f t="shared" si="197"/>
        <v>-665717</v>
      </c>
      <c r="F410" s="1194">
        <f t="shared" ref="F410:R410" si="214">F95</f>
        <v>-82792</v>
      </c>
      <c r="G410" s="1194">
        <f t="shared" si="214"/>
        <v>-63171</v>
      </c>
      <c r="H410" s="1194">
        <f t="shared" si="214"/>
        <v>-36288</v>
      </c>
      <c r="I410" s="1194">
        <f t="shared" si="214"/>
        <v>-40411</v>
      </c>
      <c r="J410" s="1194">
        <f t="shared" si="214"/>
        <v>-39300</v>
      </c>
      <c r="K410" s="1194">
        <f t="shared" si="214"/>
        <v>-49430</v>
      </c>
      <c r="L410" s="1194">
        <f t="shared" si="214"/>
        <v>-51980</v>
      </c>
      <c r="M410" s="1194">
        <f t="shared" si="214"/>
        <v>-46864</v>
      </c>
      <c r="N410" s="1194">
        <f t="shared" si="214"/>
        <v>-42799</v>
      </c>
      <c r="O410" s="1194">
        <f t="shared" si="214"/>
        <v>-45868</v>
      </c>
      <c r="P410" s="1194">
        <f t="shared" si="214"/>
        <v>-83407</v>
      </c>
      <c r="Q410" s="1194">
        <f t="shared" si="214"/>
        <v>-83407</v>
      </c>
      <c r="R410" s="1194">
        <f t="shared" si="214"/>
        <v>0</v>
      </c>
    </row>
    <row r="411" spans="1:18" x14ac:dyDescent="0.2">
      <c r="A411" s="1569" t="str">
        <f>B97</f>
        <v>Trans- OPEB Life</v>
      </c>
      <c r="B411" s="831">
        <v>926</v>
      </c>
      <c r="C411" s="1571">
        <v>0</v>
      </c>
      <c r="D411" s="1216">
        <v>1</v>
      </c>
      <c r="E411" s="1582">
        <f t="shared" si="197"/>
        <v>31536</v>
      </c>
      <c r="F411" s="1194">
        <f>F96</f>
        <v>2628</v>
      </c>
      <c r="G411" s="1194">
        <f t="shared" ref="G411:Q411" si="215">G96</f>
        <v>2628</v>
      </c>
      <c r="H411" s="1194">
        <f t="shared" si="215"/>
        <v>2628</v>
      </c>
      <c r="I411" s="1194">
        <f t="shared" si="215"/>
        <v>2628</v>
      </c>
      <c r="J411" s="1194">
        <f t="shared" si="215"/>
        <v>2628</v>
      </c>
      <c r="K411" s="1194">
        <f t="shared" si="215"/>
        <v>2628</v>
      </c>
      <c r="L411" s="1194">
        <f t="shared" si="215"/>
        <v>2628</v>
      </c>
      <c r="M411" s="1194">
        <f t="shared" si="215"/>
        <v>2628</v>
      </c>
      <c r="N411" s="1194">
        <f t="shared" si="215"/>
        <v>2628</v>
      </c>
      <c r="O411" s="1194">
        <f t="shared" si="215"/>
        <v>2628</v>
      </c>
      <c r="P411" s="1194">
        <f t="shared" si="215"/>
        <v>2628</v>
      </c>
      <c r="Q411" s="1194">
        <f t="shared" si="215"/>
        <v>2628</v>
      </c>
      <c r="R411" s="1194">
        <f>R96</f>
        <v>0</v>
      </c>
    </row>
    <row r="412" spans="1:18" x14ac:dyDescent="0.2">
      <c r="A412" s="1569" t="str">
        <f>B98</f>
        <v>Trans-Pension (Qualified)</v>
      </c>
      <c r="B412" s="831">
        <v>926</v>
      </c>
      <c r="C412" s="1571">
        <v>0</v>
      </c>
      <c r="D412" s="1216">
        <v>1</v>
      </c>
      <c r="E412" s="1582">
        <f t="shared" si="197"/>
        <v>31884</v>
      </c>
      <c r="F412" s="1194">
        <f>F97</f>
        <v>2657</v>
      </c>
      <c r="G412" s="1194">
        <f t="shared" ref="G412:Q412" si="216">G97</f>
        <v>2657</v>
      </c>
      <c r="H412" s="1194">
        <f t="shared" si="216"/>
        <v>2657</v>
      </c>
      <c r="I412" s="1194">
        <f t="shared" si="216"/>
        <v>2657</v>
      </c>
      <c r="J412" s="1194">
        <f t="shared" si="216"/>
        <v>2657</v>
      </c>
      <c r="K412" s="1194">
        <f t="shared" si="216"/>
        <v>2657</v>
      </c>
      <c r="L412" s="1194">
        <f t="shared" si="216"/>
        <v>2657</v>
      </c>
      <c r="M412" s="1194">
        <f t="shared" si="216"/>
        <v>2657</v>
      </c>
      <c r="N412" s="1194">
        <f t="shared" si="216"/>
        <v>2657</v>
      </c>
      <c r="O412" s="1194">
        <f t="shared" si="216"/>
        <v>2657</v>
      </c>
      <c r="P412" s="1194">
        <f t="shared" si="216"/>
        <v>2657</v>
      </c>
      <c r="Q412" s="1194">
        <f t="shared" si="216"/>
        <v>2657</v>
      </c>
      <c r="R412" s="1194">
        <f>R97</f>
        <v>0</v>
      </c>
    </row>
    <row r="413" spans="1:18" x14ac:dyDescent="0.2">
      <c r="A413" s="1569" t="str">
        <f>B99</f>
        <v>Trans-401K Plan</v>
      </c>
      <c r="B413" s="1110" t="s">
        <v>1481</v>
      </c>
      <c r="C413" s="1571">
        <v>-62437.86</v>
      </c>
      <c r="D413" s="1216">
        <v>1</v>
      </c>
      <c r="E413" s="1582">
        <f t="shared" si="197"/>
        <v>-88788</v>
      </c>
      <c r="F413" s="1194">
        <f>F98</f>
        <v>-7399</v>
      </c>
      <c r="G413" s="1194">
        <f t="shared" ref="G413:Q413" si="217">G98</f>
        <v>-7399</v>
      </c>
      <c r="H413" s="1194">
        <f t="shared" si="217"/>
        <v>-7399</v>
      </c>
      <c r="I413" s="1194">
        <f t="shared" si="217"/>
        <v>-7399</v>
      </c>
      <c r="J413" s="1194">
        <f t="shared" si="217"/>
        <v>-7399</v>
      </c>
      <c r="K413" s="1194">
        <f t="shared" si="217"/>
        <v>-7399</v>
      </c>
      <c r="L413" s="1194">
        <f t="shared" si="217"/>
        <v>-7399</v>
      </c>
      <c r="M413" s="1194">
        <f t="shared" si="217"/>
        <v>-7399</v>
      </c>
      <c r="N413" s="1194">
        <f t="shared" si="217"/>
        <v>-7399</v>
      </c>
      <c r="O413" s="1194">
        <f t="shared" si="217"/>
        <v>-7399</v>
      </c>
      <c r="P413" s="1194">
        <f t="shared" si="217"/>
        <v>-7399</v>
      </c>
      <c r="Q413" s="1194">
        <f t="shared" si="217"/>
        <v>-7399</v>
      </c>
      <c r="R413" s="1194">
        <f>R98</f>
        <v>0</v>
      </c>
    </row>
    <row r="414" spans="1:18" x14ac:dyDescent="0.2">
      <c r="A414" s="1569" t="str">
        <f>B99</f>
        <v>Trans-401K Plan</v>
      </c>
      <c r="B414" s="1110" t="s">
        <v>1481</v>
      </c>
      <c r="C414" s="1571">
        <v>-168044.24</v>
      </c>
      <c r="D414" s="1216">
        <v>1</v>
      </c>
      <c r="E414" s="1582">
        <f>SUM(F414:Q414)</f>
        <v>-199224</v>
      </c>
      <c r="F414" s="1194">
        <f>F99</f>
        <v>-16602</v>
      </c>
      <c r="G414" s="1194">
        <f t="shared" ref="G414:Q414" si="218">G99</f>
        <v>-16602</v>
      </c>
      <c r="H414" s="1194">
        <f t="shared" si="218"/>
        <v>-16602</v>
      </c>
      <c r="I414" s="1194">
        <f t="shared" si="218"/>
        <v>-16602</v>
      </c>
      <c r="J414" s="1194">
        <f t="shared" si="218"/>
        <v>-16602</v>
      </c>
      <c r="K414" s="1194">
        <f t="shared" si="218"/>
        <v>-16602</v>
      </c>
      <c r="L414" s="1194">
        <f t="shared" si="218"/>
        <v>-16602</v>
      </c>
      <c r="M414" s="1194">
        <f t="shared" si="218"/>
        <v>-16602</v>
      </c>
      <c r="N414" s="1194">
        <f t="shared" si="218"/>
        <v>-16602</v>
      </c>
      <c r="O414" s="1194">
        <f t="shared" si="218"/>
        <v>-16602</v>
      </c>
      <c r="P414" s="1194">
        <f t="shared" si="218"/>
        <v>-16602</v>
      </c>
      <c r="Q414" s="1194">
        <f t="shared" si="218"/>
        <v>-16602</v>
      </c>
      <c r="R414" s="1194">
        <f>R99</f>
        <v>0</v>
      </c>
    </row>
    <row r="415" spans="1:18" x14ac:dyDescent="0.2">
      <c r="A415" s="1581"/>
      <c r="B415" s="1110"/>
      <c r="C415" s="1571"/>
      <c r="D415" s="1573"/>
      <c r="E415" s="1571"/>
      <c r="F415" s="1574"/>
      <c r="G415" s="1574"/>
      <c r="H415" s="1574"/>
      <c r="I415" s="1574"/>
      <c r="J415" s="1574"/>
      <c r="K415" s="1574"/>
      <c r="L415" s="1574"/>
      <c r="M415" s="1574"/>
      <c r="N415" s="1574"/>
      <c r="O415" s="1574"/>
      <c r="P415" s="1574"/>
      <c r="Q415" s="1574"/>
      <c r="R415" s="1574"/>
    </row>
    <row r="416" spans="1:18" x14ac:dyDescent="0.2">
      <c r="A416" s="1214" t="str">
        <f>B$107</f>
        <v>Advertising</v>
      </c>
      <c r="B416" s="1111" t="s">
        <v>1408</v>
      </c>
      <c r="C416" s="1571">
        <v>5210.2299999999996</v>
      </c>
      <c r="D416" s="1216">
        <f t="shared" ref="D416:D422" si="219">ROUND(C416/$C$423,6)</f>
        <v>7.4182999999999999E-2</v>
      </c>
      <c r="E416" s="1582">
        <f t="shared" si="197"/>
        <v>14097</v>
      </c>
      <c r="F416" s="1194">
        <f>ROUND($D416*F$423,0)</f>
        <v>1082</v>
      </c>
      <c r="G416" s="1194">
        <f t="shared" ref="G416:Q416" si="220">ROUND($D416*G$423,0)</f>
        <v>1082</v>
      </c>
      <c r="H416" s="1194">
        <f t="shared" si="220"/>
        <v>1453</v>
      </c>
      <c r="I416" s="1194">
        <f t="shared" si="220"/>
        <v>1082</v>
      </c>
      <c r="J416" s="1194">
        <f t="shared" si="220"/>
        <v>1082</v>
      </c>
      <c r="K416" s="1194">
        <f t="shared" si="220"/>
        <v>1082</v>
      </c>
      <c r="L416" s="1194">
        <f t="shared" si="220"/>
        <v>1453</v>
      </c>
      <c r="M416" s="1194">
        <f t="shared" si="220"/>
        <v>1453</v>
      </c>
      <c r="N416" s="1194">
        <f t="shared" si="220"/>
        <v>1082</v>
      </c>
      <c r="O416" s="1194">
        <f t="shared" si="220"/>
        <v>1082</v>
      </c>
      <c r="P416" s="1194">
        <f t="shared" si="220"/>
        <v>1082</v>
      </c>
      <c r="Q416" s="1194">
        <f t="shared" si="220"/>
        <v>1082</v>
      </c>
      <c r="R416" s="1194">
        <f>ROUND(D416*$R$423,0)</f>
        <v>0</v>
      </c>
    </row>
    <row r="417" spans="1:18" x14ac:dyDescent="0.2">
      <c r="A417" s="1214" t="str">
        <f t="shared" ref="A417:A422" si="221">B$107</f>
        <v>Advertising</v>
      </c>
      <c r="B417" s="1111" t="s">
        <v>1418</v>
      </c>
      <c r="C417" s="1571">
        <v>913.25</v>
      </c>
      <c r="D417" s="1216">
        <f t="shared" si="219"/>
        <v>1.3003000000000001E-2</v>
      </c>
      <c r="E417" s="1582">
        <f t="shared" si="197"/>
        <v>2475</v>
      </c>
      <c r="F417" s="1194">
        <f t="shared" ref="F417:Q421" si="222">ROUND($D417*F$423,0)</f>
        <v>190</v>
      </c>
      <c r="G417" s="1194">
        <f t="shared" si="222"/>
        <v>190</v>
      </c>
      <c r="H417" s="1194">
        <f t="shared" si="222"/>
        <v>255</v>
      </c>
      <c r="I417" s="1194">
        <f t="shared" si="222"/>
        <v>190</v>
      </c>
      <c r="J417" s="1194">
        <f t="shared" si="222"/>
        <v>190</v>
      </c>
      <c r="K417" s="1194">
        <f t="shared" si="222"/>
        <v>190</v>
      </c>
      <c r="L417" s="1194">
        <f t="shared" si="222"/>
        <v>255</v>
      </c>
      <c r="M417" s="1194">
        <f t="shared" si="222"/>
        <v>255</v>
      </c>
      <c r="N417" s="1194">
        <f t="shared" si="222"/>
        <v>190</v>
      </c>
      <c r="O417" s="1194">
        <f t="shared" si="222"/>
        <v>190</v>
      </c>
      <c r="P417" s="1194">
        <f t="shared" si="222"/>
        <v>190</v>
      </c>
      <c r="Q417" s="1194">
        <f t="shared" si="222"/>
        <v>190</v>
      </c>
      <c r="R417" s="1194">
        <f t="shared" ref="R417:R421" si="223">ROUND(D417*$R$423,0)</f>
        <v>0</v>
      </c>
    </row>
    <row r="418" spans="1:18" x14ac:dyDescent="0.2">
      <c r="A418" s="1214" t="str">
        <f t="shared" si="221"/>
        <v>Advertising</v>
      </c>
      <c r="B418" s="1111" t="s">
        <v>1427</v>
      </c>
      <c r="C418" s="1571">
        <v>642.35</v>
      </c>
      <c r="D418" s="1216">
        <f t="shared" si="219"/>
        <v>9.1459999999999996E-3</v>
      </c>
      <c r="E418" s="1582">
        <f t="shared" si="197"/>
        <v>1734</v>
      </c>
      <c r="F418" s="1194">
        <f t="shared" si="222"/>
        <v>133</v>
      </c>
      <c r="G418" s="1194">
        <f t="shared" si="222"/>
        <v>133</v>
      </c>
      <c r="H418" s="1194">
        <f t="shared" si="222"/>
        <v>179</v>
      </c>
      <c r="I418" s="1194">
        <f t="shared" si="222"/>
        <v>133</v>
      </c>
      <c r="J418" s="1194">
        <f t="shared" si="222"/>
        <v>133</v>
      </c>
      <c r="K418" s="1194">
        <f t="shared" si="222"/>
        <v>133</v>
      </c>
      <c r="L418" s="1194">
        <f t="shared" si="222"/>
        <v>179</v>
      </c>
      <c r="M418" s="1194">
        <f t="shared" si="222"/>
        <v>179</v>
      </c>
      <c r="N418" s="1194">
        <f t="shared" si="222"/>
        <v>133</v>
      </c>
      <c r="O418" s="1194">
        <f t="shared" si="222"/>
        <v>133</v>
      </c>
      <c r="P418" s="1194">
        <f t="shared" si="222"/>
        <v>133</v>
      </c>
      <c r="Q418" s="1194">
        <f t="shared" si="222"/>
        <v>133</v>
      </c>
      <c r="R418" s="1194">
        <f t="shared" si="223"/>
        <v>0</v>
      </c>
    </row>
    <row r="419" spans="1:18" x14ac:dyDescent="0.2">
      <c r="A419" s="1214" t="str">
        <f t="shared" si="221"/>
        <v>Advertising</v>
      </c>
      <c r="B419" s="1111" t="s">
        <v>1431</v>
      </c>
      <c r="C419" s="1571">
        <v>642.35</v>
      </c>
      <c r="D419" s="1216">
        <f t="shared" si="219"/>
        <v>9.1459999999999996E-3</v>
      </c>
      <c r="E419" s="1582">
        <f t="shared" si="197"/>
        <v>1734</v>
      </c>
      <c r="F419" s="1194">
        <f t="shared" si="222"/>
        <v>133</v>
      </c>
      <c r="G419" s="1194">
        <f t="shared" si="222"/>
        <v>133</v>
      </c>
      <c r="H419" s="1194">
        <f t="shared" si="222"/>
        <v>179</v>
      </c>
      <c r="I419" s="1194">
        <f t="shared" si="222"/>
        <v>133</v>
      </c>
      <c r="J419" s="1194">
        <f t="shared" si="222"/>
        <v>133</v>
      </c>
      <c r="K419" s="1194">
        <f t="shared" si="222"/>
        <v>133</v>
      </c>
      <c r="L419" s="1194">
        <f t="shared" si="222"/>
        <v>179</v>
      </c>
      <c r="M419" s="1194">
        <f t="shared" si="222"/>
        <v>179</v>
      </c>
      <c r="N419" s="1194">
        <f t="shared" si="222"/>
        <v>133</v>
      </c>
      <c r="O419" s="1194">
        <f t="shared" si="222"/>
        <v>133</v>
      </c>
      <c r="P419" s="1194">
        <f t="shared" si="222"/>
        <v>133</v>
      </c>
      <c r="Q419" s="1194">
        <f t="shared" si="222"/>
        <v>133</v>
      </c>
      <c r="R419" s="1194">
        <f t="shared" si="223"/>
        <v>0</v>
      </c>
    </row>
    <row r="420" spans="1:18" x14ac:dyDescent="0.2">
      <c r="A420" s="1214" t="str">
        <f t="shared" si="221"/>
        <v>Advertising</v>
      </c>
      <c r="B420" s="1111" t="s">
        <v>1457</v>
      </c>
      <c r="C420" s="1571">
        <v>1081.1500000000001</v>
      </c>
      <c r="D420" s="1216">
        <f t="shared" si="219"/>
        <v>1.5393E-2</v>
      </c>
      <c r="E420" s="1582">
        <f t="shared" si="197"/>
        <v>2919</v>
      </c>
      <c r="F420" s="1194">
        <f t="shared" si="222"/>
        <v>224</v>
      </c>
      <c r="G420" s="1194">
        <f t="shared" si="222"/>
        <v>224</v>
      </c>
      <c r="H420" s="1194">
        <f t="shared" si="222"/>
        <v>301</v>
      </c>
      <c r="I420" s="1194">
        <f t="shared" si="222"/>
        <v>224</v>
      </c>
      <c r="J420" s="1194">
        <f t="shared" si="222"/>
        <v>224</v>
      </c>
      <c r="K420" s="1194">
        <f t="shared" si="222"/>
        <v>224</v>
      </c>
      <c r="L420" s="1194">
        <f t="shared" si="222"/>
        <v>301</v>
      </c>
      <c r="M420" s="1194">
        <f t="shared" si="222"/>
        <v>301</v>
      </c>
      <c r="N420" s="1194">
        <f t="shared" si="222"/>
        <v>224</v>
      </c>
      <c r="O420" s="1194">
        <f t="shared" si="222"/>
        <v>224</v>
      </c>
      <c r="P420" s="1194">
        <f t="shared" si="222"/>
        <v>224</v>
      </c>
      <c r="Q420" s="1194">
        <f t="shared" si="222"/>
        <v>224</v>
      </c>
      <c r="R420" s="1194">
        <f t="shared" si="223"/>
        <v>0</v>
      </c>
    </row>
    <row r="421" spans="1:18" x14ac:dyDescent="0.2">
      <c r="A421" s="1214" t="str">
        <f t="shared" si="221"/>
        <v>Advertising</v>
      </c>
      <c r="B421" s="1111" t="s">
        <v>1466</v>
      </c>
      <c r="C421" s="1571">
        <v>59695.37</v>
      </c>
      <c r="D421" s="1216">
        <f t="shared" si="219"/>
        <v>0.84994099999999995</v>
      </c>
      <c r="E421" s="1582">
        <f t="shared" si="197"/>
        <v>161487</v>
      </c>
      <c r="F421" s="1194">
        <f t="shared" si="222"/>
        <v>12395</v>
      </c>
      <c r="G421" s="1194">
        <f t="shared" si="222"/>
        <v>12395</v>
      </c>
      <c r="H421" s="1194">
        <f t="shared" si="222"/>
        <v>16644</v>
      </c>
      <c r="I421" s="1194">
        <f t="shared" si="222"/>
        <v>12395</v>
      </c>
      <c r="J421" s="1194">
        <f t="shared" si="222"/>
        <v>12395</v>
      </c>
      <c r="K421" s="1194">
        <f t="shared" si="222"/>
        <v>12395</v>
      </c>
      <c r="L421" s="1194">
        <f t="shared" si="222"/>
        <v>16644</v>
      </c>
      <c r="M421" s="1194">
        <f t="shared" si="222"/>
        <v>16644</v>
      </c>
      <c r="N421" s="1194">
        <f t="shared" si="222"/>
        <v>12395</v>
      </c>
      <c r="O421" s="1194">
        <f t="shared" si="222"/>
        <v>12395</v>
      </c>
      <c r="P421" s="1194">
        <f t="shared" si="222"/>
        <v>12395</v>
      </c>
      <c r="Q421" s="1194">
        <f t="shared" si="222"/>
        <v>12395</v>
      </c>
      <c r="R421" s="1194">
        <f t="shared" si="223"/>
        <v>0</v>
      </c>
    </row>
    <row r="422" spans="1:18" ht="15" customHeight="1" x14ac:dyDescent="0.35">
      <c r="A422" s="1214" t="str">
        <f t="shared" si="221"/>
        <v>Advertising</v>
      </c>
      <c r="B422" s="1111" t="s">
        <v>1474</v>
      </c>
      <c r="C422" s="1623">
        <v>2050.02</v>
      </c>
      <c r="D422" s="1217">
        <f t="shared" si="219"/>
        <v>2.9187999999999999E-2</v>
      </c>
      <c r="E422" s="1587">
        <f t="shared" si="197"/>
        <v>5550</v>
      </c>
      <c r="F422" s="1218">
        <f>F423-SUM(F416:F421)</f>
        <v>426</v>
      </c>
      <c r="G422" s="1218">
        <f t="shared" ref="G422:Q422" si="224">G423-SUM(G416:G421)</f>
        <v>426</v>
      </c>
      <c r="H422" s="1218">
        <f t="shared" si="224"/>
        <v>572</v>
      </c>
      <c r="I422" s="1218">
        <f t="shared" si="224"/>
        <v>426</v>
      </c>
      <c r="J422" s="1218">
        <f t="shared" si="224"/>
        <v>426</v>
      </c>
      <c r="K422" s="1218">
        <f t="shared" si="224"/>
        <v>426</v>
      </c>
      <c r="L422" s="1218">
        <f t="shared" si="224"/>
        <v>572</v>
      </c>
      <c r="M422" s="1218">
        <f t="shared" si="224"/>
        <v>572</v>
      </c>
      <c r="N422" s="1218">
        <f t="shared" si="224"/>
        <v>426</v>
      </c>
      <c r="O422" s="1218">
        <f t="shared" si="224"/>
        <v>426</v>
      </c>
      <c r="P422" s="1218">
        <f t="shared" si="224"/>
        <v>426</v>
      </c>
      <c r="Q422" s="1218">
        <f t="shared" si="224"/>
        <v>426</v>
      </c>
      <c r="R422" s="1218">
        <f>R423-SUM(R416:R421)</f>
        <v>0</v>
      </c>
    </row>
    <row r="423" spans="1:18" x14ac:dyDescent="0.2">
      <c r="A423" s="1213"/>
      <c r="B423" s="1110"/>
      <c r="C423" s="1572">
        <f>SUM(C416:C422)</f>
        <v>70234.720000000001</v>
      </c>
      <c r="D423" s="1216">
        <f>SUM(D416:D422)</f>
        <v>1</v>
      </c>
      <c r="E423" s="1572">
        <f>SUM(E416:E422)</f>
        <v>189996</v>
      </c>
      <c r="F423" s="1194">
        <f t="shared" ref="F423:R423" si="225">F107</f>
        <v>14583</v>
      </c>
      <c r="G423" s="1194">
        <f t="shared" si="225"/>
        <v>14583</v>
      </c>
      <c r="H423" s="1194">
        <f t="shared" si="225"/>
        <v>19583</v>
      </c>
      <c r="I423" s="1194">
        <f t="shared" si="225"/>
        <v>14583</v>
      </c>
      <c r="J423" s="1194">
        <f t="shared" si="225"/>
        <v>14583</v>
      </c>
      <c r="K423" s="1194">
        <f t="shared" si="225"/>
        <v>14583</v>
      </c>
      <c r="L423" s="1194">
        <f t="shared" si="225"/>
        <v>19583</v>
      </c>
      <c r="M423" s="1194">
        <f t="shared" si="225"/>
        <v>19583</v>
      </c>
      <c r="N423" s="1194">
        <f t="shared" si="225"/>
        <v>14583</v>
      </c>
      <c r="O423" s="1194">
        <f t="shared" si="225"/>
        <v>14583</v>
      </c>
      <c r="P423" s="1194">
        <f t="shared" si="225"/>
        <v>14583</v>
      </c>
      <c r="Q423" s="1194">
        <f t="shared" si="225"/>
        <v>14583</v>
      </c>
      <c r="R423" s="1194">
        <f t="shared" si="225"/>
        <v>0</v>
      </c>
    </row>
    <row r="424" spans="1:18" x14ac:dyDescent="0.2">
      <c r="A424" s="1213"/>
      <c r="B424" s="1110"/>
      <c r="C424" s="1572"/>
      <c r="D424" s="1216"/>
      <c r="E424" s="1572"/>
      <c r="F424" s="1194"/>
      <c r="G424" s="1194"/>
      <c r="H424" s="1194"/>
      <c r="I424" s="1194"/>
      <c r="J424" s="1194"/>
      <c r="K424" s="1194"/>
      <c r="L424" s="1194"/>
      <c r="M424" s="1194"/>
      <c r="N424" s="1194"/>
      <c r="O424" s="1194"/>
      <c r="P424" s="1194"/>
      <c r="Q424" s="1194"/>
      <c r="R424" s="1194"/>
    </row>
    <row r="425" spans="1:18" x14ac:dyDescent="0.2">
      <c r="A425" s="1214" t="str">
        <f>$B$119</f>
        <v>Vehicle Costs Cleared</v>
      </c>
      <c r="B425" s="1111" t="s">
        <v>1404</v>
      </c>
      <c r="C425" s="1571">
        <v>1284.29</v>
      </c>
      <c r="D425" s="1216">
        <f t="shared" ref="D425:D433" si="226">ROUND(C425/$C$445,6)</f>
        <v>1.186E-3</v>
      </c>
      <c r="E425" s="1582">
        <f t="shared" ref="E425:E444" si="227">SUM(F425:Q425)</f>
        <v>1233</v>
      </c>
      <c r="F425" s="1194">
        <f>ROUND($D425*F$445,0)</f>
        <v>110</v>
      </c>
      <c r="G425" s="1194">
        <f t="shared" ref="G425:Q425" si="228">ROUND($D425*G$445,0)</f>
        <v>89</v>
      </c>
      <c r="H425" s="1194">
        <f t="shared" si="228"/>
        <v>105</v>
      </c>
      <c r="I425" s="1194">
        <f t="shared" si="228"/>
        <v>93</v>
      </c>
      <c r="J425" s="1194">
        <f t="shared" si="228"/>
        <v>123</v>
      </c>
      <c r="K425" s="1194">
        <f t="shared" si="228"/>
        <v>114</v>
      </c>
      <c r="L425" s="1194">
        <f t="shared" si="228"/>
        <v>100</v>
      </c>
      <c r="M425" s="1194">
        <f t="shared" si="228"/>
        <v>100</v>
      </c>
      <c r="N425" s="1194">
        <f t="shared" si="228"/>
        <v>93</v>
      </c>
      <c r="O425" s="1194">
        <f t="shared" si="228"/>
        <v>105</v>
      </c>
      <c r="P425" s="1194">
        <f t="shared" si="228"/>
        <v>90</v>
      </c>
      <c r="Q425" s="1194">
        <f t="shared" si="228"/>
        <v>111</v>
      </c>
      <c r="R425" s="1194">
        <f>ROUND(D425*$R$445,0)</f>
        <v>0</v>
      </c>
    </row>
    <row r="426" spans="1:18" x14ac:dyDescent="0.2">
      <c r="A426" s="1214" t="str">
        <f t="shared" ref="A426:A444" si="229">$B$119</f>
        <v>Vehicle Costs Cleared</v>
      </c>
      <c r="B426" s="1111" t="s">
        <v>1406</v>
      </c>
      <c r="C426" s="1571">
        <v>9702.27</v>
      </c>
      <c r="D426" s="1216">
        <f t="shared" si="226"/>
        <v>8.9560000000000004E-3</v>
      </c>
      <c r="E426" s="1582">
        <f t="shared" si="227"/>
        <v>9312</v>
      </c>
      <c r="F426" s="1194">
        <f t="shared" ref="F426:Q443" si="230">ROUND($D426*F$445,0)</f>
        <v>832</v>
      </c>
      <c r="G426" s="1194">
        <f t="shared" si="230"/>
        <v>673</v>
      </c>
      <c r="H426" s="1194">
        <f t="shared" si="230"/>
        <v>791</v>
      </c>
      <c r="I426" s="1194">
        <f t="shared" si="230"/>
        <v>699</v>
      </c>
      <c r="J426" s="1194">
        <f t="shared" si="230"/>
        <v>932</v>
      </c>
      <c r="K426" s="1194">
        <f t="shared" si="230"/>
        <v>862</v>
      </c>
      <c r="L426" s="1194">
        <f t="shared" si="230"/>
        <v>753</v>
      </c>
      <c r="M426" s="1194">
        <f t="shared" si="230"/>
        <v>758</v>
      </c>
      <c r="N426" s="1194">
        <f t="shared" si="230"/>
        <v>702</v>
      </c>
      <c r="O426" s="1194">
        <f t="shared" si="230"/>
        <v>796</v>
      </c>
      <c r="P426" s="1194">
        <f t="shared" si="230"/>
        <v>678</v>
      </c>
      <c r="Q426" s="1194">
        <f t="shared" si="230"/>
        <v>836</v>
      </c>
      <c r="R426" s="1194">
        <f t="shared" ref="R426:R443" si="231">ROUND(D426*$R$445,0)</f>
        <v>0</v>
      </c>
    </row>
    <row r="427" spans="1:18" x14ac:dyDescent="0.2">
      <c r="A427" s="1214" t="str">
        <f t="shared" si="229"/>
        <v>Vehicle Costs Cleared</v>
      </c>
      <c r="B427" s="1111" t="s">
        <v>1408</v>
      </c>
      <c r="C427" s="1571">
        <v>249582.63999999998</v>
      </c>
      <c r="D427" s="1216">
        <f t="shared" si="226"/>
        <v>0.23039599999999999</v>
      </c>
      <c r="E427" s="1582">
        <f t="shared" si="227"/>
        <v>239529</v>
      </c>
      <c r="F427" s="1194">
        <f t="shared" si="230"/>
        <v>21401</v>
      </c>
      <c r="G427" s="1194">
        <f t="shared" si="230"/>
        <v>17324</v>
      </c>
      <c r="H427" s="1194">
        <f t="shared" si="230"/>
        <v>20359</v>
      </c>
      <c r="I427" s="1194">
        <f t="shared" si="230"/>
        <v>17994</v>
      </c>
      <c r="J427" s="1194">
        <f t="shared" si="230"/>
        <v>23971</v>
      </c>
      <c r="K427" s="1194">
        <f t="shared" si="230"/>
        <v>22171</v>
      </c>
      <c r="L427" s="1194">
        <f t="shared" si="230"/>
        <v>19361</v>
      </c>
      <c r="M427" s="1194">
        <f t="shared" si="230"/>
        <v>19489</v>
      </c>
      <c r="N427" s="1194">
        <f t="shared" si="230"/>
        <v>18071</v>
      </c>
      <c r="O427" s="1194">
        <f t="shared" si="230"/>
        <v>20465</v>
      </c>
      <c r="P427" s="1194">
        <f t="shared" si="230"/>
        <v>17429</v>
      </c>
      <c r="Q427" s="1194">
        <f t="shared" si="230"/>
        <v>21494</v>
      </c>
      <c r="R427" s="1194">
        <f t="shared" si="231"/>
        <v>0</v>
      </c>
    </row>
    <row r="428" spans="1:18" x14ac:dyDescent="0.2">
      <c r="A428" s="1214" t="str">
        <f t="shared" si="229"/>
        <v>Vehicle Costs Cleared</v>
      </c>
      <c r="B428" s="1111" t="s">
        <v>1410</v>
      </c>
      <c r="C428" s="1571">
        <v>14798.15</v>
      </c>
      <c r="D428" s="1216">
        <f t="shared" si="226"/>
        <v>1.3661E-2</v>
      </c>
      <c r="E428" s="1582">
        <f t="shared" si="227"/>
        <v>14201</v>
      </c>
      <c r="F428" s="1194">
        <f t="shared" si="230"/>
        <v>1269</v>
      </c>
      <c r="G428" s="1194">
        <f t="shared" si="230"/>
        <v>1027</v>
      </c>
      <c r="H428" s="1194">
        <f t="shared" si="230"/>
        <v>1207</v>
      </c>
      <c r="I428" s="1194">
        <f t="shared" si="230"/>
        <v>1067</v>
      </c>
      <c r="J428" s="1194">
        <f t="shared" si="230"/>
        <v>1421</v>
      </c>
      <c r="K428" s="1194">
        <f t="shared" si="230"/>
        <v>1315</v>
      </c>
      <c r="L428" s="1194">
        <f t="shared" si="230"/>
        <v>1148</v>
      </c>
      <c r="M428" s="1194">
        <f t="shared" si="230"/>
        <v>1156</v>
      </c>
      <c r="N428" s="1194">
        <f t="shared" si="230"/>
        <v>1071</v>
      </c>
      <c r="O428" s="1194">
        <f t="shared" si="230"/>
        <v>1213</v>
      </c>
      <c r="P428" s="1194">
        <f t="shared" si="230"/>
        <v>1033</v>
      </c>
      <c r="Q428" s="1194">
        <f t="shared" si="230"/>
        <v>1274</v>
      </c>
      <c r="R428" s="1194">
        <f t="shared" si="231"/>
        <v>0</v>
      </c>
    </row>
    <row r="429" spans="1:18" x14ac:dyDescent="0.2">
      <c r="A429" s="1214" t="str">
        <f t="shared" si="229"/>
        <v>Vehicle Costs Cleared</v>
      </c>
      <c r="B429" s="1111" t="s">
        <v>1412</v>
      </c>
      <c r="C429" s="1571">
        <v>6955.78</v>
      </c>
      <c r="D429" s="1216">
        <f t="shared" si="226"/>
        <v>6.4209999999999996E-3</v>
      </c>
      <c r="E429" s="1582">
        <f t="shared" si="227"/>
        <v>6675</v>
      </c>
      <c r="F429" s="1194">
        <f t="shared" si="230"/>
        <v>596</v>
      </c>
      <c r="G429" s="1194">
        <f t="shared" si="230"/>
        <v>483</v>
      </c>
      <c r="H429" s="1194">
        <f t="shared" si="230"/>
        <v>567</v>
      </c>
      <c r="I429" s="1194">
        <f t="shared" si="230"/>
        <v>501</v>
      </c>
      <c r="J429" s="1194">
        <f t="shared" si="230"/>
        <v>668</v>
      </c>
      <c r="K429" s="1194">
        <f t="shared" si="230"/>
        <v>618</v>
      </c>
      <c r="L429" s="1194">
        <f t="shared" si="230"/>
        <v>540</v>
      </c>
      <c r="M429" s="1194">
        <f t="shared" si="230"/>
        <v>543</v>
      </c>
      <c r="N429" s="1194">
        <f t="shared" si="230"/>
        <v>504</v>
      </c>
      <c r="O429" s="1194">
        <f t="shared" si="230"/>
        <v>570</v>
      </c>
      <c r="P429" s="1194">
        <f t="shared" si="230"/>
        <v>486</v>
      </c>
      <c r="Q429" s="1194">
        <f t="shared" si="230"/>
        <v>599</v>
      </c>
      <c r="R429" s="1194">
        <f t="shared" si="231"/>
        <v>0</v>
      </c>
    </row>
    <row r="430" spans="1:18" x14ac:dyDescent="0.2">
      <c r="A430" s="1214" t="str">
        <f t="shared" si="229"/>
        <v>Vehicle Costs Cleared</v>
      </c>
      <c r="B430" s="1111" t="s">
        <v>1414</v>
      </c>
      <c r="C430" s="1571">
        <v>203678.19</v>
      </c>
      <c r="D430" s="1216">
        <f t="shared" si="226"/>
        <v>0.18801999999999999</v>
      </c>
      <c r="E430" s="1582">
        <f t="shared" si="227"/>
        <v>195474</v>
      </c>
      <c r="F430" s="1194">
        <f t="shared" si="230"/>
        <v>17465</v>
      </c>
      <c r="G430" s="1194">
        <f t="shared" si="230"/>
        <v>14137</v>
      </c>
      <c r="H430" s="1194">
        <f t="shared" si="230"/>
        <v>16614</v>
      </c>
      <c r="I430" s="1194">
        <f t="shared" si="230"/>
        <v>14685</v>
      </c>
      <c r="J430" s="1194">
        <f t="shared" si="230"/>
        <v>19562</v>
      </c>
      <c r="K430" s="1194">
        <f t="shared" si="230"/>
        <v>18094</v>
      </c>
      <c r="L430" s="1194">
        <f t="shared" si="230"/>
        <v>15800</v>
      </c>
      <c r="M430" s="1194">
        <f t="shared" si="230"/>
        <v>15904</v>
      </c>
      <c r="N430" s="1194">
        <f t="shared" si="230"/>
        <v>14747</v>
      </c>
      <c r="O430" s="1194">
        <f t="shared" si="230"/>
        <v>16701</v>
      </c>
      <c r="P430" s="1194">
        <f t="shared" si="230"/>
        <v>14224</v>
      </c>
      <c r="Q430" s="1194">
        <f t="shared" si="230"/>
        <v>17541</v>
      </c>
      <c r="R430" s="1194">
        <f t="shared" si="231"/>
        <v>0</v>
      </c>
    </row>
    <row r="431" spans="1:18" x14ac:dyDescent="0.2">
      <c r="A431" s="1214" t="str">
        <f t="shared" si="229"/>
        <v>Vehicle Costs Cleared</v>
      </c>
      <c r="B431" s="1111" t="s">
        <v>1416</v>
      </c>
      <c r="C431" s="1571">
        <v>230504.95999999999</v>
      </c>
      <c r="D431" s="1216">
        <f t="shared" si="226"/>
        <v>0.212785</v>
      </c>
      <c r="E431" s="1582">
        <f t="shared" si="227"/>
        <v>221221</v>
      </c>
      <c r="F431" s="1194">
        <f t="shared" si="230"/>
        <v>19765</v>
      </c>
      <c r="G431" s="1194">
        <f t="shared" si="230"/>
        <v>16000</v>
      </c>
      <c r="H431" s="1194">
        <f t="shared" si="230"/>
        <v>18803</v>
      </c>
      <c r="I431" s="1194">
        <f t="shared" si="230"/>
        <v>16619</v>
      </c>
      <c r="J431" s="1194">
        <f t="shared" si="230"/>
        <v>22139</v>
      </c>
      <c r="K431" s="1194">
        <f t="shared" si="230"/>
        <v>20477</v>
      </c>
      <c r="L431" s="1194">
        <f t="shared" si="230"/>
        <v>17881</v>
      </c>
      <c r="M431" s="1194">
        <f t="shared" si="230"/>
        <v>17999</v>
      </c>
      <c r="N431" s="1194">
        <f t="shared" si="230"/>
        <v>16689</v>
      </c>
      <c r="O431" s="1194">
        <f t="shared" si="230"/>
        <v>18901</v>
      </c>
      <c r="P431" s="1194">
        <f t="shared" si="230"/>
        <v>16097</v>
      </c>
      <c r="Q431" s="1194">
        <f t="shared" si="230"/>
        <v>19851</v>
      </c>
      <c r="R431" s="1194">
        <f t="shared" si="231"/>
        <v>0</v>
      </c>
    </row>
    <row r="432" spans="1:18" x14ac:dyDescent="0.2">
      <c r="A432" s="1214" t="str">
        <f t="shared" si="229"/>
        <v>Vehicle Costs Cleared</v>
      </c>
      <c r="B432" s="1111" t="s">
        <v>1418</v>
      </c>
      <c r="C432" s="1571">
        <v>74974.27</v>
      </c>
      <c r="D432" s="1216">
        <f t="shared" si="226"/>
        <v>6.9210999999999995E-2</v>
      </c>
      <c r="E432" s="1582">
        <f t="shared" si="227"/>
        <v>71954</v>
      </c>
      <c r="F432" s="1194">
        <f t="shared" si="230"/>
        <v>6429</v>
      </c>
      <c r="G432" s="1194">
        <f t="shared" si="230"/>
        <v>5204</v>
      </c>
      <c r="H432" s="1194">
        <f t="shared" si="230"/>
        <v>6116</v>
      </c>
      <c r="I432" s="1194">
        <f t="shared" si="230"/>
        <v>5405</v>
      </c>
      <c r="J432" s="1194">
        <f t="shared" si="230"/>
        <v>7201</v>
      </c>
      <c r="K432" s="1194">
        <f t="shared" si="230"/>
        <v>6660</v>
      </c>
      <c r="L432" s="1194">
        <f t="shared" si="230"/>
        <v>5816</v>
      </c>
      <c r="M432" s="1194">
        <f t="shared" si="230"/>
        <v>5854</v>
      </c>
      <c r="N432" s="1194">
        <f t="shared" si="230"/>
        <v>5428</v>
      </c>
      <c r="O432" s="1194">
        <f t="shared" si="230"/>
        <v>6148</v>
      </c>
      <c r="P432" s="1194">
        <f t="shared" si="230"/>
        <v>5236</v>
      </c>
      <c r="Q432" s="1194">
        <f t="shared" si="230"/>
        <v>6457</v>
      </c>
      <c r="R432" s="1194">
        <f t="shared" si="231"/>
        <v>0</v>
      </c>
    </row>
    <row r="433" spans="1:18" x14ac:dyDescent="0.2">
      <c r="A433" s="1214" t="str">
        <f t="shared" si="229"/>
        <v>Vehicle Costs Cleared</v>
      </c>
      <c r="B433" s="1111" t="s">
        <v>1424</v>
      </c>
      <c r="C433" s="1571">
        <v>750.11</v>
      </c>
      <c r="D433" s="1216">
        <f t="shared" si="226"/>
        <v>6.9200000000000002E-4</v>
      </c>
      <c r="E433" s="1582">
        <f t="shared" si="227"/>
        <v>719</v>
      </c>
      <c r="F433" s="1194">
        <f t="shared" si="230"/>
        <v>64</v>
      </c>
      <c r="G433" s="1194">
        <f t="shared" si="230"/>
        <v>52</v>
      </c>
      <c r="H433" s="1194">
        <f t="shared" si="230"/>
        <v>61</v>
      </c>
      <c r="I433" s="1194">
        <f t="shared" si="230"/>
        <v>54</v>
      </c>
      <c r="J433" s="1194">
        <f t="shared" si="230"/>
        <v>72</v>
      </c>
      <c r="K433" s="1194">
        <f t="shared" si="230"/>
        <v>67</v>
      </c>
      <c r="L433" s="1194">
        <f t="shared" si="230"/>
        <v>58</v>
      </c>
      <c r="M433" s="1194">
        <f t="shared" si="230"/>
        <v>59</v>
      </c>
      <c r="N433" s="1194">
        <f t="shared" si="230"/>
        <v>54</v>
      </c>
      <c r="O433" s="1194">
        <f t="shared" si="230"/>
        <v>61</v>
      </c>
      <c r="P433" s="1194">
        <f t="shared" si="230"/>
        <v>52</v>
      </c>
      <c r="Q433" s="1194">
        <f t="shared" si="230"/>
        <v>65</v>
      </c>
      <c r="R433" s="1194">
        <f t="shared" si="231"/>
        <v>0</v>
      </c>
    </row>
    <row r="434" spans="1:18" x14ac:dyDescent="0.2">
      <c r="A434" s="1214" t="str">
        <f t="shared" si="229"/>
        <v>Vehicle Costs Cleared</v>
      </c>
      <c r="B434" s="1111" t="s">
        <v>1425</v>
      </c>
      <c r="C434" s="1571">
        <v>411.23</v>
      </c>
      <c r="D434" s="1216">
        <f t="shared" ref="D434:D439" si="232">ROUND(C434/$C$445,6)</f>
        <v>3.8000000000000002E-4</v>
      </c>
      <c r="E434" s="1582">
        <f t="shared" si="227"/>
        <v>397</v>
      </c>
      <c r="F434" s="1194">
        <f t="shared" si="230"/>
        <v>35</v>
      </c>
      <c r="G434" s="1194">
        <f t="shared" si="230"/>
        <v>29</v>
      </c>
      <c r="H434" s="1194">
        <f t="shared" si="230"/>
        <v>34</v>
      </c>
      <c r="I434" s="1194">
        <f t="shared" si="230"/>
        <v>30</v>
      </c>
      <c r="J434" s="1194">
        <f t="shared" si="230"/>
        <v>40</v>
      </c>
      <c r="K434" s="1194">
        <f t="shared" si="230"/>
        <v>37</v>
      </c>
      <c r="L434" s="1194">
        <f t="shared" si="230"/>
        <v>32</v>
      </c>
      <c r="M434" s="1194">
        <f t="shared" si="230"/>
        <v>32</v>
      </c>
      <c r="N434" s="1194">
        <f t="shared" si="230"/>
        <v>30</v>
      </c>
      <c r="O434" s="1194">
        <f t="shared" si="230"/>
        <v>34</v>
      </c>
      <c r="P434" s="1194">
        <f t="shared" si="230"/>
        <v>29</v>
      </c>
      <c r="Q434" s="1194">
        <f t="shared" si="230"/>
        <v>35</v>
      </c>
      <c r="R434" s="1194">
        <f t="shared" si="231"/>
        <v>0</v>
      </c>
    </row>
    <row r="435" spans="1:18" x14ac:dyDescent="0.2">
      <c r="A435" s="1214" t="str">
        <f t="shared" si="229"/>
        <v>Vehicle Costs Cleared</v>
      </c>
      <c r="B435" s="1111" t="s">
        <v>1427</v>
      </c>
      <c r="C435" s="1571">
        <v>124239.39</v>
      </c>
      <c r="D435" s="1216">
        <f t="shared" si="232"/>
        <v>0.114688</v>
      </c>
      <c r="E435" s="1582">
        <f t="shared" si="227"/>
        <v>119234</v>
      </c>
      <c r="F435" s="1194">
        <f t="shared" si="230"/>
        <v>10653</v>
      </c>
      <c r="G435" s="1194">
        <f t="shared" si="230"/>
        <v>8624</v>
      </c>
      <c r="H435" s="1194">
        <f t="shared" si="230"/>
        <v>10134</v>
      </c>
      <c r="I435" s="1194">
        <f t="shared" si="230"/>
        <v>8957</v>
      </c>
      <c r="J435" s="1194">
        <f t="shared" si="230"/>
        <v>11933</v>
      </c>
      <c r="K435" s="1194">
        <f t="shared" si="230"/>
        <v>11037</v>
      </c>
      <c r="L435" s="1194">
        <f t="shared" si="230"/>
        <v>9638</v>
      </c>
      <c r="M435" s="1194">
        <f t="shared" si="230"/>
        <v>9701</v>
      </c>
      <c r="N435" s="1194">
        <f t="shared" si="230"/>
        <v>8995</v>
      </c>
      <c r="O435" s="1194">
        <f t="shared" si="230"/>
        <v>10187</v>
      </c>
      <c r="P435" s="1194">
        <f t="shared" si="230"/>
        <v>8676</v>
      </c>
      <c r="Q435" s="1194">
        <f t="shared" si="230"/>
        <v>10699</v>
      </c>
      <c r="R435" s="1194">
        <f t="shared" si="231"/>
        <v>0</v>
      </c>
    </row>
    <row r="436" spans="1:18" x14ac:dyDescent="0.2">
      <c r="A436" s="1214" t="str">
        <f t="shared" si="229"/>
        <v>Vehicle Costs Cleared</v>
      </c>
      <c r="B436" s="1111" t="s">
        <v>1429</v>
      </c>
      <c r="C436" s="1571">
        <v>23763.38</v>
      </c>
      <c r="D436" s="1216">
        <f t="shared" si="232"/>
        <v>2.1937000000000002E-2</v>
      </c>
      <c r="E436" s="1582">
        <f t="shared" si="227"/>
        <v>22807</v>
      </c>
      <c r="F436" s="1194">
        <f t="shared" si="230"/>
        <v>2038</v>
      </c>
      <c r="G436" s="1194">
        <f t="shared" si="230"/>
        <v>1649</v>
      </c>
      <c r="H436" s="1194">
        <f t="shared" si="230"/>
        <v>1938</v>
      </c>
      <c r="I436" s="1194">
        <f t="shared" si="230"/>
        <v>1713</v>
      </c>
      <c r="J436" s="1194">
        <f t="shared" si="230"/>
        <v>2282</v>
      </c>
      <c r="K436" s="1194">
        <f t="shared" si="230"/>
        <v>2111</v>
      </c>
      <c r="L436" s="1194">
        <f t="shared" si="230"/>
        <v>1843</v>
      </c>
      <c r="M436" s="1194">
        <f t="shared" si="230"/>
        <v>1856</v>
      </c>
      <c r="N436" s="1194">
        <f t="shared" si="230"/>
        <v>1721</v>
      </c>
      <c r="O436" s="1194">
        <f t="shared" si="230"/>
        <v>1949</v>
      </c>
      <c r="P436" s="1194">
        <f t="shared" si="230"/>
        <v>1660</v>
      </c>
      <c r="Q436" s="1194">
        <f t="shared" si="230"/>
        <v>2047</v>
      </c>
      <c r="R436" s="1194">
        <f t="shared" si="231"/>
        <v>0</v>
      </c>
    </row>
    <row r="437" spans="1:18" x14ac:dyDescent="0.2">
      <c r="A437" s="1214" t="str">
        <f t="shared" si="229"/>
        <v>Vehicle Costs Cleared</v>
      </c>
      <c r="B437" s="1111" t="s">
        <v>1430</v>
      </c>
      <c r="C437" s="1571">
        <v>3889.03</v>
      </c>
      <c r="D437" s="1216">
        <f t="shared" si="232"/>
        <v>3.5899999999999999E-3</v>
      </c>
      <c r="E437" s="1582">
        <f t="shared" si="227"/>
        <v>3733</v>
      </c>
      <c r="F437" s="1194">
        <f t="shared" si="230"/>
        <v>333</v>
      </c>
      <c r="G437" s="1194">
        <f t="shared" si="230"/>
        <v>270</v>
      </c>
      <c r="H437" s="1194">
        <f t="shared" si="230"/>
        <v>317</v>
      </c>
      <c r="I437" s="1194">
        <f t="shared" si="230"/>
        <v>280</v>
      </c>
      <c r="J437" s="1194">
        <f t="shared" si="230"/>
        <v>374</v>
      </c>
      <c r="K437" s="1194">
        <f t="shared" si="230"/>
        <v>345</v>
      </c>
      <c r="L437" s="1194">
        <f t="shared" si="230"/>
        <v>302</v>
      </c>
      <c r="M437" s="1194">
        <f t="shared" si="230"/>
        <v>304</v>
      </c>
      <c r="N437" s="1194">
        <f t="shared" si="230"/>
        <v>282</v>
      </c>
      <c r="O437" s="1194">
        <f t="shared" si="230"/>
        <v>319</v>
      </c>
      <c r="P437" s="1194">
        <f t="shared" si="230"/>
        <v>272</v>
      </c>
      <c r="Q437" s="1194">
        <f t="shared" si="230"/>
        <v>335</v>
      </c>
      <c r="R437" s="1194">
        <f t="shared" si="231"/>
        <v>0</v>
      </c>
    </row>
    <row r="438" spans="1:18" x14ac:dyDescent="0.2">
      <c r="A438" s="1214" t="str">
        <f t="shared" si="229"/>
        <v>Vehicle Costs Cleared</v>
      </c>
      <c r="B438" s="1111" t="s">
        <v>1431</v>
      </c>
      <c r="C438" s="1571">
        <v>35141.769999999997</v>
      </c>
      <c r="D438" s="1216">
        <f t="shared" si="232"/>
        <v>3.2439999999999997E-2</v>
      </c>
      <c r="E438" s="1582">
        <f t="shared" si="227"/>
        <v>33726</v>
      </c>
      <c r="F438" s="1194">
        <f t="shared" si="230"/>
        <v>3013</v>
      </c>
      <c r="G438" s="1194">
        <f t="shared" si="230"/>
        <v>2439</v>
      </c>
      <c r="H438" s="1194">
        <f t="shared" si="230"/>
        <v>2867</v>
      </c>
      <c r="I438" s="1194">
        <f t="shared" si="230"/>
        <v>2534</v>
      </c>
      <c r="J438" s="1194">
        <f t="shared" si="230"/>
        <v>3375</v>
      </c>
      <c r="K438" s="1194">
        <f t="shared" si="230"/>
        <v>3122</v>
      </c>
      <c r="L438" s="1194">
        <f t="shared" si="230"/>
        <v>2726</v>
      </c>
      <c r="M438" s="1194">
        <f t="shared" si="230"/>
        <v>2744</v>
      </c>
      <c r="N438" s="1194">
        <f t="shared" si="230"/>
        <v>2544</v>
      </c>
      <c r="O438" s="1194">
        <f t="shared" si="230"/>
        <v>2882</v>
      </c>
      <c r="P438" s="1194">
        <f t="shared" si="230"/>
        <v>2454</v>
      </c>
      <c r="Q438" s="1194">
        <f t="shared" si="230"/>
        <v>3026</v>
      </c>
      <c r="R438" s="1194">
        <f t="shared" si="231"/>
        <v>0</v>
      </c>
    </row>
    <row r="439" spans="1:18" x14ac:dyDescent="0.2">
      <c r="A439" s="1214" t="str">
        <f t="shared" si="229"/>
        <v>Vehicle Costs Cleared</v>
      </c>
      <c r="B439" s="1111" t="s">
        <v>1433</v>
      </c>
      <c r="C439" s="1571">
        <v>4987.92</v>
      </c>
      <c r="D439" s="1216">
        <f t="shared" si="232"/>
        <v>4.6039999999999996E-3</v>
      </c>
      <c r="E439" s="1582">
        <f t="shared" si="227"/>
        <v>4787</v>
      </c>
      <c r="F439" s="1194">
        <f t="shared" si="230"/>
        <v>428</v>
      </c>
      <c r="G439" s="1194">
        <f t="shared" si="230"/>
        <v>346</v>
      </c>
      <c r="H439" s="1194">
        <f t="shared" si="230"/>
        <v>407</v>
      </c>
      <c r="I439" s="1194">
        <f t="shared" si="230"/>
        <v>360</v>
      </c>
      <c r="J439" s="1194">
        <f t="shared" si="230"/>
        <v>479</v>
      </c>
      <c r="K439" s="1194">
        <f t="shared" si="230"/>
        <v>443</v>
      </c>
      <c r="L439" s="1194">
        <f t="shared" si="230"/>
        <v>387</v>
      </c>
      <c r="M439" s="1194">
        <f t="shared" si="230"/>
        <v>389</v>
      </c>
      <c r="N439" s="1194">
        <f t="shared" si="230"/>
        <v>361</v>
      </c>
      <c r="O439" s="1194">
        <f t="shared" si="230"/>
        <v>409</v>
      </c>
      <c r="P439" s="1194">
        <f t="shared" si="230"/>
        <v>348</v>
      </c>
      <c r="Q439" s="1194">
        <f t="shared" si="230"/>
        <v>430</v>
      </c>
      <c r="R439" s="1194">
        <f t="shared" si="231"/>
        <v>0</v>
      </c>
    </row>
    <row r="440" spans="1:18" x14ac:dyDescent="0.2">
      <c r="A440" s="1214" t="str">
        <f t="shared" si="229"/>
        <v>Vehicle Costs Cleared</v>
      </c>
      <c r="B440" s="1111" t="s">
        <v>1435</v>
      </c>
      <c r="C440" s="1571">
        <v>23894.28</v>
      </c>
      <c r="D440" s="1216">
        <f>ROUND(C440/$C$445,6)</f>
        <v>2.2057E-2</v>
      </c>
      <c r="E440" s="1582">
        <f t="shared" si="227"/>
        <v>22933</v>
      </c>
      <c r="F440" s="1194">
        <f t="shared" si="230"/>
        <v>2049</v>
      </c>
      <c r="G440" s="1194">
        <f t="shared" si="230"/>
        <v>1658</v>
      </c>
      <c r="H440" s="1194">
        <f t="shared" si="230"/>
        <v>1949</v>
      </c>
      <c r="I440" s="1194">
        <f t="shared" si="230"/>
        <v>1723</v>
      </c>
      <c r="J440" s="1194">
        <f t="shared" si="230"/>
        <v>2295</v>
      </c>
      <c r="K440" s="1194">
        <f t="shared" si="230"/>
        <v>2123</v>
      </c>
      <c r="L440" s="1194">
        <f t="shared" si="230"/>
        <v>1854</v>
      </c>
      <c r="M440" s="1194">
        <f t="shared" si="230"/>
        <v>1866</v>
      </c>
      <c r="N440" s="1194">
        <f t="shared" si="230"/>
        <v>1730</v>
      </c>
      <c r="O440" s="1194">
        <f t="shared" si="230"/>
        <v>1959</v>
      </c>
      <c r="P440" s="1194">
        <f t="shared" si="230"/>
        <v>1669</v>
      </c>
      <c r="Q440" s="1194">
        <f t="shared" si="230"/>
        <v>2058</v>
      </c>
      <c r="R440" s="1194">
        <f t="shared" si="231"/>
        <v>0</v>
      </c>
    </row>
    <row r="441" spans="1:18" x14ac:dyDescent="0.2">
      <c r="A441" s="1214" t="str">
        <f t="shared" si="229"/>
        <v>Vehicle Costs Cleared</v>
      </c>
      <c r="B441" s="1111" t="s">
        <v>1442</v>
      </c>
      <c r="C441" s="1571">
        <v>19147.05</v>
      </c>
      <c r="D441" s="1216">
        <f>ROUND(C441/$C$445,6)</f>
        <v>1.7675E-2</v>
      </c>
      <c r="E441" s="1582">
        <f t="shared" si="227"/>
        <v>18375</v>
      </c>
      <c r="F441" s="1194">
        <f t="shared" si="230"/>
        <v>1642</v>
      </c>
      <c r="G441" s="1194">
        <f t="shared" si="230"/>
        <v>1329</v>
      </c>
      <c r="H441" s="1194">
        <f t="shared" si="230"/>
        <v>1562</v>
      </c>
      <c r="I441" s="1194">
        <f t="shared" si="230"/>
        <v>1380</v>
      </c>
      <c r="J441" s="1194">
        <f t="shared" si="230"/>
        <v>1839</v>
      </c>
      <c r="K441" s="1194">
        <f t="shared" si="230"/>
        <v>1701</v>
      </c>
      <c r="L441" s="1194">
        <f t="shared" si="230"/>
        <v>1485</v>
      </c>
      <c r="M441" s="1194">
        <f t="shared" si="230"/>
        <v>1495</v>
      </c>
      <c r="N441" s="1194">
        <f t="shared" si="230"/>
        <v>1386</v>
      </c>
      <c r="O441" s="1194">
        <f t="shared" si="230"/>
        <v>1570</v>
      </c>
      <c r="P441" s="1194">
        <f t="shared" si="230"/>
        <v>1337</v>
      </c>
      <c r="Q441" s="1194">
        <f t="shared" si="230"/>
        <v>1649</v>
      </c>
      <c r="R441" s="1194">
        <f t="shared" si="231"/>
        <v>0</v>
      </c>
    </row>
    <row r="442" spans="1:18" s="1112" customFormat="1" x14ac:dyDescent="0.2">
      <c r="A442" s="1214" t="str">
        <f t="shared" si="229"/>
        <v>Vehicle Costs Cleared</v>
      </c>
      <c r="B442" s="1111" t="s">
        <v>1444</v>
      </c>
      <c r="C442" s="1571">
        <v>52057.96</v>
      </c>
      <c r="D442" s="1216">
        <f>ROUND(C442/$C$445,6)</f>
        <v>4.8056000000000001E-2</v>
      </c>
      <c r="E442" s="1582">
        <f t="shared" si="227"/>
        <v>49960</v>
      </c>
      <c r="F442" s="1194">
        <f t="shared" si="230"/>
        <v>4464</v>
      </c>
      <c r="G442" s="1194">
        <f t="shared" si="230"/>
        <v>3613</v>
      </c>
      <c r="H442" s="1194">
        <f t="shared" si="230"/>
        <v>4246</v>
      </c>
      <c r="I442" s="1194">
        <f t="shared" si="230"/>
        <v>3753</v>
      </c>
      <c r="J442" s="1194">
        <f t="shared" si="230"/>
        <v>5000</v>
      </c>
      <c r="K442" s="1194">
        <f t="shared" si="230"/>
        <v>4625</v>
      </c>
      <c r="L442" s="1194">
        <f t="shared" si="230"/>
        <v>4038</v>
      </c>
      <c r="M442" s="1194">
        <f t="shared" si="230"/>
        <v>4065</v>
      </c>
      <c r="N442" s="1194">
        <f t="shared" si="230"/>
        <v>3769</v>
      </c>
      <c r="O442" s="1194">
        <f t="shared" si="230"/>
        <v>4269</v>
      </c>
      <c r="P442" s="1194">
        <f t="shared" si="230"/>
        <v>3635</v>
      </c>
      <c r="Q442" s="1194">
        <f t="shared" si="230"/>
        <v>4483</v>
      </c>
      <c r="R442" s="1194">
        <f t="shared" si="231"/>
        <v>0</v>
      </c>
    </row>
    <row r="443" spans="1:18" s="1112" customFormat="1" x14ac:dyDescent="0.2">
      <c r="A443" s="1214" t="str">
        <f t="shared" si="229"/>
        <v>Vehicle Costs Cleared</v>
      </c>
      <c r="B443" s="1111" t="s">
        <v>1455</v>
      </c>
      <c r="C443" s="1571">
        <v>2892.32</v>
      </c>
      <c r="D443" s="1216">
        <f>ROUND(C443/$C$445,6)</f>
        <v>2.6700000000000001E-3</v>
      </c>
      <c r="E443" s="1582">
        <f t="shared" si="227"/>
        <v>2776</v>
      </c>
      <c r="F443" s="1194">
        <f t="shared" si="230"/>
        <v>248</v>
      </c>
      <c r="G443" s="1194">
        <f t="shared" si="230"/>
        <v>201</v>
      </c>
      <c r="H443" s="1194">
        <f t="shared" si="230"/>
        <v>236</v>
      </c>
      <c r="I443" s="1194">
        <f t="shared" si="230"/>
        <v>209</v>
      </c>
      <c r="J443" s="1194">
        <f t="shared" si="230"/>
        <v>278</v>
      </c>
      <c r="K443" s="1194">
        <f t="shared" si="230"/>
        <v>257</v>
      </c>
      <c r="L443" s="1194">
        <f t="shared" si="230"/>
        <v>224</v>
      </c>
      <c r="M443" s="1194">
        <f t="shared" si="230"/>
        <v>226</v>
      </c>
      <c r="N443" s="1194">
        <f t="shared" si="230"/>
        <v>209</v>
      </c>
      <c r="O443" s="1194">
        <f t="shared" si="230"/>
        <v>237</v>
      </c>
      <c r="P443" s="1194">
        <f t="shared" si="230"/>
        <v>202</v>
      </c>
      <c r="Q443" s="1194">
        <f t="shared" si="230"/>
        <v>249</v>
      </c>
      <c r="R443" s="1194">
        <f t="shared" si="231"/>
        <v>0</v>
      </c>
    </row>
    <row r="444" spans="1:18" ht="13.5" x14ac:dyDescent="0.35">
      <c r="A444" s="1214" t="str">
        <f t="shared" si="229"/>
        <v>Vehicle Costs Cleared</v>
      </c>
      <c r="B444" s="1111" t="s">
        <v>1474</v>
      </c>
      <c r="C444" s="1623">
        <v>623.51</v>
      </c>
      <c r="D444" s="1570">
        <f>ROUND(C444/$C$445,6)</f>
        <v>5.7600000000000001E-4</v>
      </c>
      <c r="E444" s="1587">
        <f t="shared" si="227"/>
        <v>599</v>
      </c>
      <c r="F444" s="1221">
        <f t="shared" ref="F444:R444" si="233">F445-SUM(F425:F443)</f>
        <v>55</v>
      </c>
      <c r="G444" s="1221">
        <f t="shared" si="233"/>
        <v>44</v>
      </c>
      <c r="H444" s="1221">
        <f t="shared" si="233"/>
        <v>51</v>
      </c>
      <c r="I444" s="1221">
        <f t="shared" si="233"/>
        <v>45</v>
      </c>
      <c r="J444" s="1221">
        <f t="shared" si="233"/>
        <v>60</v>
      </c>
      <c r="K444" s="1221">
        <f t="shared" si="233"/>
        <v>53</v>
      </c>
      <c r="L444" s="1221">
        <f t="shared" si="233"/>
        <v>48</v>
      </c>
      <c r="M444" s="1221">
        <f t="shared" si="233"/>
        <v>49</v>
      </c>
      <c r="N444" s="1221">
        <f t="shared" si="233"/>
        <v>47</v>
      </c>
      <c r="O444" s="1221">
        <f t="shared" si="233"/>
        <v>52</v>
      </c>
      <c r="P444" s="1221">
        <f t="shared" si="233"/>
        <v>43</v>
      </c>
      <c r="Q444" s="1221">
        <f t="shared" si="233"/>
        <v>52</v>
      </c>
      <c r="R444" s="1218">
        <f t="shared" si="233"/>
        <v>0</v>
      </c>
    </row>
    <row r="445" spans="1:18" x14ac:dyDescent="0.2">
      <c r="A445" s="1112"/>
      <c r="B445" s="1112"/>
      <c r="C445" s="1575">
        <f>SUM(C425:C444)</f>
        <v>1083278.5000000002</v>
      </c>
      <c r="D445" s="1573">
        <f>SUM(D425:D444)</f>
        <v>1.0000010000000001</v>
      </c>
      <c r="E445" s="1575">
        <f>SUM(E425:E444)</f>
        <v>1039645</v>
      </c>
      <c r="F445" s="1576">
        <f t="shared" ref="F445:R445" si="234">F119</f>
        <v>92889</v>
      </c>
      <c r="G445" s="1576">
        <f t="shared" si="234"/>
        <v>75191</v>
      </c>
      <c r="H445" s="1576">
        <f t="shared" si="234"/>
        <v>88364</v>
      </c>
      <c r="I445" s="1576">
        <f t="shared" si="234"/>
        <v>78101</v>
      </c>
      <c r="J445" s="1576">
        <f t="shared" si="234"/>
        <v>104044</v>
      </c>
      <c r="K445" s="1576">
        <f t="shared" si="234"/>
        <v>96232</v>
      </c>
      <c r="L445" s="1576">
        <f t="shared" si="234"/>
        <v>84034</v>
      </c>
      <c r="M445" s="1576">
        <f t="shared" si="234"/>
        <v>84589</v>
      </c>
      <c r="N445" s="1576">
        <f t="shared" si="234"/>
        <v>78433</v>
      </c>
      <c r="O445" s="1576">
        <f t="shared" si="234"/>
        <v>88827</v>
      </c>
      <c r="P445" s="1576">
        <f t="shared" si="234"/>
        <v>75650</v>
      </c>
      <c r="Q445" s="1576">
        <f t="shared" si="234"/>
        <v>93291</v>
      </c>
      <c r="R445" s="1194">
        <f t="shared" si="234"/>
        <v>0</v>
      </c>
    </row>
    <row r="446" spans="1:18" x14ac:dyDescent="0.2">
      <c r="A446" s="1112"/>
      <c r="B446" s="1112"/>
      <c r="C446" s="1575"/>
      <c r="D446" s="1573"/>
      <c r="E446" s="1575"/>
      <c r="F446" s="1576"/>
      <c r="G446" s="1576"/>
      <c r="H446" s="1576"/>
      <c r="I446" s="1576"/>
      <c r="J446" s="1576"/>
      <c r="K446" s="1576"/>
      <c r="L446" s="1576"/>
      <c r="M446" s="1576"/>
      <c r="N446" s="1576"/>
      <c r="O446" s="1576"/>
      <c r="P446" s="1576"/>
      <c r="Q446" s="1576"/>
      <c r="R446" s="1194"/>
    </row>
    <row r="447" spans="1:18" x14ac:dyDescent="0.2">
      <c r="A447" s="1214" t="str">
        <f>$B$118</f>
        <v>General Tool Costs Clrd</v>
      </c>
      <c r="B447" s="1110" t="s">
        <v>1406</v>
      </c>
      <c r="C447" s="1571">
        <v>2602.25</v>
      </c>
      <c r="D447" s="1216">
        <f t="shared" ref="D447:D454" si="235">ROUND(C447/$C$464,6)</f>
        <v>8.4329999999999995E-3</v>
      </c>
      <c r="E447" s="1582">
        <f t="shared" ref="E447:E463" si="236">SUM(F447:Q447)</f>
        <v>1871</v>
      </c>
      <c r="F447" s="1194">
        <f>ROUND($D447*F$464,0)</f>
        <v>168</v>
      </c>
      <c r="G447" s="1194">
        <f t="shared" ref="G447:Q447" si="237">ROUND($D447*G$464,0)</f>
        <v>135</v>
      </c>
      <c r="H447" s="1194">
        <f t="shared" si="237"/>
        <v>159</v>
      </c>
      <c r="I447" s="1194">
        <f t="shared" si="237"/>
        <v>140</v>
      </c>
      <c r="J447" s="1194">
        <f t="shared" si="237"/>
        <v>189</v>
      </c>
      <c r="K447" s="1194">
        <f t="shared" si="237"/>
        <v>174</v>
      </c>
      <c r="L447" s="1194">
        <f t="shared" si="237"/>
        <v>152</v>
      </c>
      <c r="M447" s="1194">
        <f t="shared" si="237"/>
        <v>152</v>
      </c>
      <c r="N447" s="1194">
        <f t="shared" si="237"/>
        <v>140</v>
      </c>
      <c r="O447" s="1194">
        <f t="shared" si="237"/>
        <v>159</v>
      </c>
      <c r="P447" s="1194">
        <f t="shared" si="237"/>
        <v>135</v>
      </c>
      <c r="Q447" s="1194">
        <f t="shared" si="237"/>
        <v>168</v>
      </c>
      <c r="R447" s="1194">
        <f>ROUND($D447*R$464,0)</f>
        <v>0</v>
      </c>
    </row>
    <row r="448" spans="1:18" x14ac:dyDescent="0.2">
      <c r="A448" s="1214" t="str">
        <f t="shared" ref="A448:A463" si="238">$B$118</f>
        <v>General Tool Costs Clrd</v>
      </c>
      <c r="B448" s="1110" t="s">
        <v>1408</v>
      </c>
      <c r="C448" s="1571">
        <v>66397.039999999994</v>
      </c>
      <c r="D448" s="1216">
        <f t="shared" si="235"/>
        <v>0.21516199999999999</v>
      </c>
      <c r="E448" s="1582">
        <f t="shared" si="236"/>
        <v>47722</v>
      </c>
      <c r="F448" s="1194">
        <f t="shared" ref="F448:R462" si="239">ROUND($D448*F$464,0)</f>
        <v>4295</v>
      </c>
      <c r="G448" s="1194">
        <f t="shared" si="239"/>
        <v>3436</v>
      </c>
      <c r="H448" s="1194">
        <f t="shared" si="239"/>
        <v>4056</v>
      </c>
      <c r="I448" s="1194">
        <f t="shared" si="239"/>
        <v>3579</v>
      </c>
      <c r="J448" s="1194">
        <f t="shared" si="239"/>
        <v>4820</v>
      </c>
      <c r="K448" s="1194">
        <f t="shared" si="239"/>
        <v>4438</v>
      </c>
      <c r="L448" s="1194">
        <f t="shared" si="239"/>
        <v>3866</v>
      </c>
      <c r="M448" s="1194">
        <f t="shared" si="239"/>
        <v>3866</v>
      </c>
      <c r="N448" s="1194">
        <f t="shared" si="239"/>
        <v>3579</v>
      </c>
      <c r="O448" s="1194">
        <f t="shared" si="239"/>
        <v>4056</v>
      </c>
      <c r="P448" s="1194">
        <f t="shared" si="239"/>
        <v>3436</v>
      </c>
      <c r="Q448" s="1194">
        <f t="shared" si="239"/>
        <v>4295</v>
      </c>
      <c r="R448" s="1194">
        <f>ROUND($D448*R$464,0)</f>
        <v>0</v>
      </c>
    </row>
    <row r="449" spans="1:18" x14ac:dyDescent="0.2">
      <c r="A449" s="1214" t="str">
        <f t="shared" si="238"/>
        <v>General Tool Costs Clrd</v>
      </c>
      <c r="B449" s="1110" t="s">
        <v>1410</v>
      </c>
      <c r="C449" s="1571">
        <v>8.74</v>
      </c>
      <c r="D449" s="1216">
        <f t="shared" si="235"/>
        <v>2.8E-5</v>
      </c>
      <c r="E449" s="1582">
        <f t="shared" si="236"/>
        <v>8</v>
      </c>
      <c r="F449" s="1194">
        <f t="shared" si="239"/>
        <v>1</v>
      </c>
      <c r="G449" s="1194">
        <f t="shared" si="239"/>
        <v>0</v>
      </c>
      <c r="H449" s="1194">
        <f t="shared" si="239"/>
        <v>1</v>
      </c>
      <c r="I449" s="1194">
        <f t="shared" si="239"/>
        <v>0</v>
      </c>
      <c r="J449" s="1194">
        <f t="shared" si="239"/>
        <v>1</v>
      </c>
      <c r="K449" s="1194">
        <f t="shared" si="239"/>
        <v>1</v>
      </c>
      <c r="L449" s="1194">
        <f t="shared" si="239"/>
        <v>1</v>
      </c>
      <c r="M449" s="1194">
        <f t="shared" si="239"/>
        <v>1</v>
      </c>
      <c r="N449" s="1194">
        <f t="shared" si="239"/>
        <v>0</v>
      </c>
      <c r="O449" s="1194">
        <f t="shared" si="239"/>
        <v>1</v>
      </c>
      <c r="P449" s="1194">
        <f t="shared" si="239"/>
        <v>0</v>
      </c>
      <c r="Q449" s="1194">
        <f t="shared" si="239"/>
        <v>1</v>
      </c>
      <c r="R449" s="1194">
        <f t="shared" si="239"/>
        <v>0</v>
      </c>
    </row>
    <row r="450" spans="1:18" x14ac:dyDescent="0.2">
      <c r="A450" s="1214" t="str">
        <f t="shared" si="238"/>
        <v>General Tool Costs Clrd</v>
      </c>
      <c r="B450" s="1110" t="s">
        <v>1412</v>
      </c>
      <c r="C450" s="1571">
        <v>62.3</v>
      </c>
      <c r="D450" s="1216">
        <f t="shared" si="235"/>
        <v>2.02E-4</v>
      </c>
      <c r="E450" s="1582">
        <f t="shared" si="236"/>
        <v>45</v>
      </c>
      <c r="F450" s="1194">
        <f t="shared" si="239"/>
        <v>4</v>
      </c>
      <c r="G450" s="1194">
        <f t="shared" si="239"/>
        <v>3</v>
      </c>
      <c r="H450" s="1194">
        <f t="shared" si="239"/>
        <v>4</v>
      </c>
      <c r="I450" s="1194">
        <f t="shared" si="239"/>
        <v>3</v>
      </c>
      <c r="J450" s="1194">
        <f t="shared" si="239"/>
        <v>5</v>
      </c>
      <c r="K450" s="1194">
        <f t="shared" si="239"/>
        <v>4</v>
      </c>
      <c r="L450" s="1194">
        <f t="shared" si="239"/>
        <v>4</v>
      </c>
      <c r="M450" s="1194">
        <f t="shared" si="239"/>
        <v>4</v>
      </c>
      <c r="N450" s="1194">
        <f t="shared" si="239"/>
        <v>3</v>
      </c>
      <c r="O450" s="1194">
        <f t="shared" si="239"/>
        <v>4</v>
      </c>
      <c r="P450" s="1194">
        <f t="shared" si="239"/>
        <v>3</v>
      </c>
      <c r="Q450" s="1194">
        <f t="shared" si="239"/>
        <v>4</v>
      </c>
      <c r="R450" s="1194">
        <f t="shared" si="239"/>
        <v>0</v>
      </c>
    </row>
    <row r="451" spans="1:18" x14ac:dyDescent="0.2">
      <c r="A451" s="1214" t="str">
        <f t="shared" si="238"/>
        <v>General Tool Costs Clrd</v>
      </c>
      <c r="B451" s="1110" t="s">
        <v>1414</v>
      </c>
      <c r="C451" s="1571">
        <v>8049.7</v>
      </c>
      <c r="D451" s="1216">
        <f t="shared" si="235"/>
        <v>2.6085000000000001E-2</v>
      </c>
      <c r="E451" s="1582">
        <f t="shared" si="236"/>
        <v>5788</v>
      </c>
      <c r="F451" s="1194">
        <f t="shared" si="239"/>
        <v>521</v>
      </c>
      <c r="G451" s="1194">
        <f t="shared" si="239"/>
        <v>417</v>
      </c>
      <c r="H451" s="1194">
        <f t="shared" si="239"/>
        <v>492</v>
      </c>
      <c r="I451" s="1194">
        <f t="shared" si="239"/>
        <v>434</v>
      </c>
      <c r="J451" s="1194">
        <f t="shared" si="239"/>
        <v>584</v>
      </c>
      <c r="K451" s="1194">
        <f t="shared" si="239"/>
        <v>538</v>
      </c>
      <c r="L451" s="1194">
        <f t="shared" si="239"/>
        <v>469</v>
      </c>
      <c r="M451" s="1194">
        <f t="shared" si="239"/>
        <v>469</v>
      </c>
      <c r="N451" s="1194">
        <f t="shared" si="239"/>
        <v>434</v>
      </c>
      <c r="O451" s="1194">
        <f t="shared" si="239"/>
        <v>492</v>
      </c>
      <c r="P451" s="1194">
        <f t="shared" si="239"/>
        <v>417</v>
      </c>
      <c r="Q451" s="1194">
        <f t="shared" si="239"/>
        <v>521</v>
      </c>
      <c r="R451" s="1194">
        <f t="shared" si="239"/>
        <v>0</v>
      </c>
    </row>
    <row r="452" spans="1:18" x14ac:dyDescent="0.2">
      <c r="A452" s="1214" t="str">
        <f t="shared" si="238"/>
        <v>General Tool Costs Clrd</v>
      </c>
      <c r="B452" s="1110" t="s">
        <v>1416</v>
      </c>
      <c r="C452" s="1571">
        <v>10156.969999999999</v>
      </c>
      <c r="D452" s="1216">
        <f t="shared" si="235"/>
        <v>3.2913999999999999E-2</v>
      </c>
      <c r="E452" s="1582">
        <f t="shared" si="236"/>
        <v>7300</v>
      </c>
      <c r="F452" s="1194">
        <f t="shared" si="239"/>
        <v>657</v>
      </c>
      <c r="G452" s="1194">
        <f t="shared" si="239"/>
        <v>526</v>
      </c>
      <c r="H452" s="1194">
        <f t="shared" si="239"/>
        <v>620</v>
      </c>
      <c r="I452" s="1194">
        <f t="shared" si="239"/>
        <v>548</v>
      </c>
      <c r="J452" s="1194">
        <f t="shared" si="239"/>
        <v>737</v>
      </c>
      <c r="K452" s="1194">
        <f t="shared" si="239"/>
        <v>679</v>
      </c>
      <c r="L452" s="1194">
        <f t="shared" si="239"/>
        <v>591</v>
      </c>
      <c r="M452" s="1194">
        <f t="shared" si="239"/>
        <v>591</v>
      </c>
      <c r="N452" s="1194">
        <f t="shared" si="239"/>
        <v>548</v>
      </c>
      <c r="O452" s="1194">
        <f t="shared" si="239"/>
        <v>620</v>
      </c>
      <c r="P452" s="1194">
        <f t="shared" si="239"/>
        <v>526</v>
      </c>
      <c r="Q452" s="1194">
        <f t="shared" si="239"/>
        <v>657</v>
      </c>
      <c r="R452" s="1194">
        <f t="shared" si="239"/>
        <v>0</v>
      </c>
    </row>
    <row r="453" spans="1:18" x14ac:dyDescent="0.2">
      <c r="A453" s="1214" t="str">
        <f t="shared" si="238"/>
        <v>General Tool Costs Clrd</v>
      </c>
      <c r="B453" s="1110" t="s">
        <v>1418</v>
      </c>
      <c r="C453" s="1571">
        <v>126938.89</v>
      </c>
      <c r="D453" s="1216">
        <f t="shared" si="235"/>
        <v>0.41135100000000002</v>
      </c>
      <c r="E453" s="1582">
        <f t="shared" si="236"/>
        <v>91237</v>
      </c>
      <c r="F453" s="1194">
        <f t="shared" si="239"/>
        <v>8211</v>
      </c>
      <c r="G453" s="1194">
        <f t="shared" si="239"/>
        <v>6569</v>
      </c>
      <c r="H453" s="1194">
        <f t="shared" si="239"/>
        <v>7755</v>
      </c>
      <c r="I453" s="1194">
        <f t="shared" si="239"/>
        <v>6843</v>
      </c>
      <c r="J453" s="1194">
        <f t="shared" si="239"/>
        <v>9215</v>
      </c>
      <c r="K453" s="1194">
        <f t="shared" si="239"/>
        <v>8485</v>
      </c>
      <c r="L453" s="1194">
        <f t="shared" si="239"/>
        <v>7390</v>
      </c>
      <c r="M453" s="1194">
        <f t="shared" si="239"/>
        <v>7390</v>
      </c>
      <c r="N453" s="1194">
        <f t="shared" si="239"/>
        <v>6843</v>
      </c>
      <c r="O453" s="1194">
        <f t="shared" si="239"/>
        <v>7755</v>
      </c>
      <c r="P453" s="1194">
        <f t="shared" si="239"/>
        <v>6569</v>
      </c>
      <c r="Q453" s="1194">
        <f t="shared" si="239"/>
        <v>8212</v>
      </c>
      <c r="R453" s="1194">
        <f t="shared" si="239"/>
        <v>0</v>
      </c>
    </row>
    <row r="454" spans="1:18" x14ac:dyDescent="0.2">
      <c r="A454" s="1214" t="str">
        <f t="shared" si="238"/>
        <v>General Tool Costs Clrd</v>
      </c>
      <c r="B454" s="1110" t="s">
        <v>1425</v>
      </c>
      <c r="C454" s="1571">
        <v>420.94</v>
      </c>
      <c r="D454" s="1216">
        <f t="shared" si="235"/>
        <v>1.364E-3</v>
      </c>
      <c r="E454" s="1582">
        <f t="shared" si="236"/>
        <v>305</v>
      </c>
      <c r="F454" s="1194">
        <f t="shared" si="239"/>
        <v>27</v>
      </c>
      <c r="G454" s="1194">
        <f t="shared" si="239"/>
        <v>22</v>
      </c>
      <c r="H454" s="1194">
        <f t="shared" si="239"/>
        <v>26</v>
      </c>
      <c r="I454" s="1194">
        <f t="shared" si="239"/>
        <v>23</v>
      </c>
      <c r="J454" s="1194">
        <f t="shared" si="239"/>
        <v>31</v>
      </c>
      <c r="K454" s="1194">
        <f t="shared" si="239"/>
        <v>28</v>
      </c>
      <c r="L454" s="1194">
        <f t="shared" si="239"/>
        <v>25</v>
      </c>
      <c r="M454" s="1194">
        <f t="shared" si="239"/>
        <v>25</v>
      </c>
      <c r="N454" s="1194">
        <f t="shared" si="239"/>
        <v>23</v>
      </c>
      <c r="O454" s="1194">
        <f t="shared" si="239"/>
        <v>26</v>
      </c>
      <c r="P454" s="1194">
        <f t="shared" si="239"/>
        <v>22</v>
      </c>
      <c r="Q454" s="1194">
        <f t="shared" si="239"/>
        <v>27</v>
      </c>
      <c r="R454" s="1194">
        <f t="shared" si="239"/>
        <v>0</v>
      </c>
    </row>
    <row r="455" spans="1:18" x14ac:dyDescent="0.2">
      <c r="A455" s="1214" t="str">
        <f t="shared" si="238"/>
        <v>General Tool Costs Clrd</v>
      </c>
      <c r="B455" s="1110" t="s">
        <v>1427</v>
      </c>
      <c r="C455" s="1571">
        <v>68036.94</v>
      </c>
      <c r="D455" s="1216">
        <f t="shared" ref="D455:D457" si="240">ROUND(C455/$C$464,6)</f>
        <v>0.22047600000000001</v>
      </c>
      <c r="E455" s="1582">
        <f t="shared" si="236"/>
        <v>48901</v>
      </c>
      <c r="F455" s="1194">
        <f t="shared" si="239"/>
        <v>4401</v>
      </c>
      <c r="G455" s="1194">
        <f t="shared" si="239"/>
        <v>3521</v>
      </c>
      <c r="H455" s="1194">
        <f t="shared" si="239"/>
        <v>4156</v>
      </c>
      <c r="I455" s="1194">
        <f t="shared" si="239"/>
        <v>3668</v>
      </c>
      <c r="J455" s="1194">
        <f t="shared" si="239"/>
        <v>4939</v>
      </c>
      <c r="K455" s="1194">
        <f t="shared" si="239"/>
        <v>4548</v>
      </c>
      <c r="L455" s="1194">
        <f t="shared" si="239"/>
        <v>3961</v>
      </c>
      <c r="M455" s="1194">
        <f t="shared" si="239"/>
        <v>3961</v>
      </c>
      <c r="N455" s="1194">
        <f t="shared" si="239"/>
        <v>3668</v>
      </c>
      <c r="O455" s="1194">
        <f t="shared" si="239"/>
        <v>4156</v>
      </c>
      <c r="P455" s="1194">
        <f t="shared" si="239"/>
        <v>3521</v>
      </c>
      <c r="Q455" s="1194">
        <f t="shared" si="239"/>
        <v>4401</v>
      </c>
      <c r="R455" s="1194">
        <f t="shared" si="239"/>
        <v>0</v>
      </c>
    </row>
    <row r="456" spans="1:18" x14ac:dyDescent="0.2">
      <c r="A456" s="1214" t="str">
        <f t="shared" si="238"/>
        <v>General Tool Costs Clrd</v>
      </c>
      <c r="B456" s="1110" t="s">
        <v>1429</v>
      </c>
      <c r="C456" s="1571">
        <v>360.81</v>
      </c>
      <c r="D456" s="1216">
        <f t="shared" si="240"/>
        <v>1.1689999999999999E-3</v>
      </c>
      <c r="E456" s="1582">
        <f t="shared" si="236"/>
        <v>258</v>
      </c>
      <c r="F456" s="1194">
        <f t="shared" si="239"/>
        <v>23</v>
      </c>
      <c r="G456" s="1194">
        <f t="shared" si="239"/>
        <v>19</v>
      </c>
      <c r="H456" s="1194">
        <f t="shared" si="239"/>
        <v>22</v>
      </c>
      <c r="I456" s="1194">
        <f t="shared" si="239"/>
        <v>19</v>
      </c>
      <c r="J456" s="1194">
        <f t="shared" si="239"/>
        <v>26</v>
      </c>
      <c r="K456" s="1194">
        <f t="shared" si="239"/>
        <v>24</v>
      </c>
      <c r="L456" s="1194">
        <f t="shared" si="239"/>
        <v>21</v>
      </c>
      <c r="M456" s="1194">
        <f t="shared" si="239"/>
        <v>21</v>
      </c>
      <c r="N456" s="1194">
        <f t="shared" si="239"/>
        <v>19</v>
      </c>
      <c r="O456" s="1194">
        <f t="shared" si="239"/>
        <v>22</v>
      </c>
      <c r="P456" s="1194">
        <f t="shared" si="239"/>
        <v>19</v>
      </c>
      <c r="Q456" s="1194">
        <f t="shared" si="239"/>
        <v>23</v>
      </c>
      <c r="R456" s="1194">
        <f t="shared" si="239"/>
        <v>0</v>
      </c>
    </row>
    <row r="457" spans="1:18" x14ac:dyDescent="0.2">
      <c r="A457" s="1214" t="str">
        <f t="shared" si="238"/>
        <v>General Tool Costs Clrd</v>
      </c>
      <c r="B457" s="1110" t="s">
        <v>1430</v>
      </c>
      <c r="C457" s="1571">
        <v>4.47</v>
      </c>
      <c r="D457" s="1216">
        <f t="shared" si="240"/>
        <v>1.4E-5</v>
      </c>
      <c r="E457" s="1582">
        <f t="shared" si="236"/>
        <v>0</v>
      </c>
      <c r="F457" s="1194">
        <f t="shared" si="239"/>
        <v>0</v>
      </c>
      <c r="G457" s="1194">
        <f t="shared" si="239"/>
        <v>0</v>
      </c>
      <c r="H457" s="1194">
        <f t="shared" si="239"/>
        <v>0</v>
      </c>
      <c r="I457" s="1194">
        <f t="shared" si="239"/>
        <v>0</v>
      </c>
      <c r="J457" s="1194">
        <f t="shared" si="239"/>
        <v>0</v>
      </c>
      <c r="K457" s="1194">
        <f t="shared" si="239"/>
        <v>0</v>
      </c>
      <c r="L457" s="1194">
        <f t="shared" si="239"/>
        <v>0</v>
      </c>
      <c r="M457" s="1194">
        <f t="shared" si="239"/>
        <v>0</v>
      </c>
      <c r="N457" s="1194">
        <f t="shared" si="239"/>
        <v>0</v>
      </c>
      <c r="O457" s="1194">
        <f t="shared" si="239"/>
        <v>0</v>
      </c>
      <c r="P457" s="1194">
        <f t="shared" si="239"/>
        <v>0</v>
      </c>
      <c r="Q457" s="1194">
        <f t="shared" si="239"/>
        <v>0</v>
      </c>
      <c r="R457" s="1194">
        <f t="shared" si="239"/>
        <v>0</v>
      </c>
    </row>
    <row r="458" spans="1:18" x14ac:dyDescent="0.2">
      <c r="A458" s="1214" t="str">
        <f t="shared" si="238"/>
        <v>General Tool Costs Clrd</v>
      </c>
      <c r="B458" s="1110" t="s">
        <v>1431</v>
      </c>
      <c r="C458" s="1571">
        <v>20271.919999999998</v>
      </c>
      <c r="D458" s="1216">
        <f t="shared" ref="D458:D463" si="241">ROUND(C458/$C$464,6)</f>
        <v>6.5692E-2</v>
      </c>
      <c r="E458" s="1582">
        <f t="shared" si="236"/>
        <v>14569</v>
      </c>
      <c r="F458" s="1194">
        <f t="shared" si="239"/>
        <v>1311</v>
      </c>
      <c r="G458" s="1194">
        <f t="shared" si="239"/>
        <v>1049</v>
      </c>
      <c r="H458" s="1194">
        <f t="shared" si="239"/>
        <v>1238</v>
      </c>
      <c r="I458" s="1194">
        <f t="shared" si="239"/>
        <v>1093</v>
      </c>
      <c r="J458" s="1194">
        <f t="shared" si="239"/>
        <v>1472</v>
      </c>
      <c r="K458" s="1194">
        <f t="shared" si="239"/>
        <v>1355</v>
      </c>
      <c r="L458" s="1194">
        <f t="shared" si="239"/>
        <v>1180</v>
      </c>
      <c r="M458" s="1194">
        <f t="shared" si="239"/>
        <v>1180</v>
      </c>
      <c r="N458" s="1194">
        <f t="shared" si="239"/>
        <v>1093</v>
      </c>
      <c r="O458" s="1194">
        <f t="shared" si="239"/>
        <v>1238</v>
      </c>
      <c r="P458" s="1194">
        <f t="shared" si="239"/>
        <v>1049</v>
      </c>
      <c r="Q458" s="1194">
        <f t="shared" si="239"/>
        <v>1311</v>
      </c>
      <c r="R458" s="1194">
        <f t="shared" si="239"/>
        <v>0</v>
      </c>
    </row>
    <row r="459" spans="1:18" x14ac:dyDescent="0.2">
      <c r="A459" s="1214" t="str">
        <f t="shared" si="238"/>
        <v>General Tool Costs Clrd</v>
      </c>
      <c r="B459" s="1110" t="s">
        <v>1433</v>
      </c>
      <c r="C459" s="1571">
        <v>135.09</v>
      </c>
      <c r="D459" s="1216">
        <f t="shared" si="241"/>
        <v>4.3800000000000002E-4</v>
      </c>
      <c r="E459" s="1582">
        <f t="shared" si="236"/>
        <v>97</v>
      </c>
      <c r="F459" s="1194">
        <f t="shared" si="239"/>
        <v>9</v>
      </c>
      <c r="G459" s="1194">
        <f t="shared" si="239"/>
        <v>7</v>
      </c>
      <c r="H459" s="1194">
        <f t="shared" si="239"/>
        <v>8</v>
      </c>
      <c r="I459" s="1194">
        <f t="shared" si="239"/>
        <v>7</v>
      </c>
      <c r="J459" s="1194">
        <f t="shared" si="239"/>
        <v>10</v>
      </c>
      <c r="K459" s="1194">
        <f t="shared" si="239"/>
        <v>9</v>
      </c>
      <c r="L459" s="1194">
        <f t="shared" si="239"/>
        <v>8</v>
      </c>
      <c r="M459" s="1194">
        <f t="shared" si="239"/>
        <v>8</v>
      </c>
      <c r="N459" s="1194">
        <f t="shared" si="239"/>
        <v>7</v>
      </c>
      <c r="O459" s="1194">
        <f t="shared" si="239"/>
        <v>8</v>
      </c>
      <c r="P459" s="1194">
        <f t="shared" si="239"/>
        <v>7</v>
      </c>
      <c r="Q459" s="1194">
        <f t="shared" si="239"/>
        <v>9</v>
      </c>
      <c r="R459" s="1194">
        <f t="shared" si="239"/>
        <v>0</v>
      </c>
    </row>
    <row r="460" spans="1:18" x14ac:dyDescent="0.2">
      <c r="A460" s="1214" t="str">
        <f t="shared" si="238"/>
        <v>General Tool Costs Clrd</v>
      </c>
      <c r="B460" s="1110" t="s">
        <v>1435</v>
      </c>
      <c r="C460" s="1571">
        <v>3020.66</v>
      </c>
      <c r="D460" s="1216">
        <f t="shared" si="241"/>
        <v>9.7890000000000008E-3</v>
      </c>
      <c r="E460" s="1582">
        <f t="shared" si="236"/>
        <v>2171</v>
      </c>
      <c r="F460" s="1194">
        <f t="shared" si="239"/>
        <v>195</v>
      </c>
      <c r="G460" s="1194">
        <f t="shared" si="239"/>
        <v>156</v>
      </c>
      <c r="H460" s="1194">
        <f t="shared" si="239"/>
        <v>185</v>
      </c>
      <c r="I460" s="1194">
        <f t="shared" si="239"/>
        <v>163</v>
      </c>
      <c r="J460" s="1194">
        <f t="shared" si="239"/>
        <v>219</v>
      </c>
      <c r="K460" s="1194">
        <f t="shared" si="239"/>
        <v>202</v>
      </c>
      <c r="L460" s="1194">
        <f t="shared" si="239"/>
        <v>176</v>
      </c>
      <c r="M460" s="1194">
        <f t="shared" si="239"/>
        <v>176</v>
      </c>
      <c r="N460" s="1194">
        <f t="shared" si="239"/>
        <v>163</v>
      </c>
      <c r="O460" s="1194">
        <f t="shared" si="239"/>
        <v>185</v>
      </c>
      <c r="P460" s="1194">
        <f t="shared" si="239"/>
        <v>156</v>
      </c>
      <c r="Q460" s="1194">
        <f t="shared" si="239"/>
        <v>195</v>
      </c>
      <c r="R460" s="1194">
        <f t="shared" si="239"/>
        <v>0</v>
      </c>
    </row>
    <row r="461" spans="1:18" s="1112" customFormat="1" x14ac:dyDescent="0.2">
      <c r="A461" s="1214" t="str">
        <f t="shared" si="238"/>
        <v>General Tool Costs Clrd</v>
      </c>
      <c r="B461" s="1110" t="s">
        <v>1442</v>
      </c>
      <c r="C461" s="1571">
        <v>129.29</v>
      </c>
      <c r="D461" s="1216">
        <f t="shared" si="241"/>
        <v>4.1899999999999999E-4</v>
      </c>
      <c r="E461" s="1582">
        <f t="shared" si="236"/>
        <v>94</v>
      </c>
      <c r="F461" s="1194">
        <f t="shared" si="239"/>
        <v>8</v>
      </c>
      <c r="G461" s="1194">
        <f t="shared" si="239"/>
        <v>7</v>
      </c>
      <c r="H461" s="1194">
        <f t="shared" si="239"/>
        <v>8</v>
      </c>
      <c r="I461" s="1194">
        <f t="shared" si="239"/>
        <v>7</v>
      </c>
      <c r="J461" s="1194">
        <f t="shared" si="239"/>
        <v>9</v>
      </c>
      <c r="K461" s="1194">
        <f t="shared" si="239"/>
        <v>9</v>
      </c>
      <c r="L461" s="1194">
        <f t="shared" si="239"/>
        <v>8</v>
      </c>
      <c r="M461" s="1194">
        <f t="shared" si="239"/>
        <v>8</v>
      </c>
      <c r="N461" s="1194">
        <f t="shared" si="239"/>
        <v>7</v>
      </c>
      <c r="O461" s="1194">
        <f t="shared" si="239"/>
        <v>8</v>
      </c>
      <c r="P461" s="1194">
        <f t="shared" si="239"/>
        <v>7</v>
      </c>
      <c r="Q461" s="1194">
        <f t="shared" si="239"/>
        <v>8</v>
      </c>
      <c r="R461" s="1194">
        <f t="shared" si="239"/>
        <v>0</v>
      </c>
    </row>
    <row r="462" spans="1:18" ht="10.5" customHeight="1" x14ac:dyDescent="0.2">
      <c r="A462" s="1214" t="str">
        <f t="shared" si="238"/>
        <v>General Tool Costs Clrd</v>
      </c>
      <c r="B462" s="1110" t="s">
        <v>1444</v>
      </c>
      <c r="C462" s="1571">
        <v>1195.1600000000001</v>
      </c>
      <c r="D462" s="1216">
        <f t="shared" si="241"/>
        <v>3.8730000000000001E-3</v>
      </c>
      <c r="E462" s="1582">
        <f t="shared" si="236"/>
        <v>859</v>
      </c>
      <c r="F462" s="1194">
        <f t="shared" si="239"/>
        <v>77</v>
      </c>
      <c r="G462" s="1194">
        <f t="shared" si="239"/>
        <v>62</v>
      </c>
      <c r="H462" s="1194">
        <f t="shared" si="239"/>
        <v>73</v>
      </c>
      <c r="I462" s="1194">
        <f t="shared" si="239"/>
        <v>64</v>
      </c>
      <c r="J462" s="1194">
        <f t="shared" si="239"/>
        <v>87</v>
      </c>
      <c r="K462" s="1194">
        <f t="shared" si="239"/>
        <v>80</v>
      </c>
      <c r="L462" s="1194">
        <f t="shared" si="239"/>
        <v>70</v>
      </c>
      <c r="M462" s="1194">
        <f t="shared" si="239"/>
        <v>70</v>
      </c>
      <c r="N462" s="1194">
        <f t="shared" si="239"/>
        <v>64</v>
      </c>
      <c r="O462" s="1194">
        <f t="shared" si="239"/>
        <v>73</v>
      </c>
      <c r="P462" s="1194">
        <f t="shared" si="239"/>
        <v>62</v>
      </c>
      <c r="Q462" s="1194">
        <f t="shared" si="239"/>
        <v>77</v>
      </c>
      <c r="R462" s="1194">
        <f t="shared" si="239"/>
        <v>0</v>
      </c>
    </row>
    <row r="463" spans="1:18" s="1112" customFormat="1" ht="10.5" customHeight="1" x14ac:dyDescent="0.35">
      <c r="A463" s="1214" t="str">
        <f t="shared" si="238"/>
        <v>General Tool Costs Clrd</v>
      </c>
      <c r="B463" s="1110" t="s">
        <v>1474</v>
      </c>
      <c r="C463" s="1623">
        <v>799.31</v>
      </c>
      <c r="D463" s="1217">
        <f t="shared" si="241"/>
        <v>2.5899999999999999E-3</v>
      </c>
      <c r="E463" s="1587">
        <f t="shared" si="236"/>
        <v>572</v>
      </c>
      <c r="F463" s="1218">
        <f t="shared" ref="F463:R463" si="242">F464-SUM(F447:F462)</f>
        <v>54</v>
      </c>
      <c r="G463" s="1218">
        <f t="shared" si="242"/>
        <v>40</v>
      </c>
      <c r="H463" s="1218">
        <f t="shared" si="242"/>
        <v>49</v>
      </c>
      <c r="I463" s="1218">
        <f t="shared" si="242"/>
        <v>44</v>
      </c>
      <c r="J463" s="1218">
        <f t="shared" si="242"/>
        <v>57</v>
      </c>
      <c r="K463" s="1218">
        <f t="shared" si="242"/>
        <v>53</v>
      </c>
      <c r="L463" s="1218">
        <f t="shared" si="242"/>
        <v>44</v>
      </c>
      <c r="M463" s="1218">
        <f t="shared" si="242"/>
        <v>44</v>
      </c>
      <c r="N463" s="1218">
        <f t="shared" si="242"/>
        <v>44</v>
      </c>
      <c r="O463" s="1218">
        <f t="shared" si="242"/>
        <v>49</v>
      </c>
      <c r="P463" s="1218">
        <f t="shared" si="242"/>
        <v>40</v>
      </c>
      <c r="Q463" s="1218">
        <f t="shared" si="242"/>
        <v>54</v>
      </c>
      <c r="R463" s="1218">
        <f t="shared" si="242"/>
        <v>0</v>
      </c>
    </row>
    <row r="464" spans="1:18" ht="10.5" customHeight="1" x14ac:dyDescent="0.2">
      <c r="A464" s="1214"/>
      <c r="B464" s="1110"/>
      <c r="C464" s="1582">
        <f>SUM(C447:C463)</f>
        <v>308590.47999999992</v>
      </c>
      <c r="D464" s="1216">
        <f>SUM(D447:D463)</f>
        <v>0.99999899999999997</v>
      </c>
      <c r="E464" s="1582">
        <f>SUM(E447:E463)</f>
        <v>221797</v>
      </c>
      <c r="F464" s="1194">
        <f t="shared" ref="F464:R464" si="243">F118</f>
        <v>19962</v>
      </c>
      <c r="G464" s="1194">
        <f t="shared" si="243"/>
        <v>15969</v>
      </c>
      <c r="H464" s="1194">
        <f t="shared" si="243"/>
        <v>18852</v>
      </c>
      <c r="I464" s="1194">
        <f t="shared" si="243"/>
        <v>16635</v>
      </c>
      <c r="J464" s="1194">
        <f t="shared" si="243"/>
        <v>22401</v>
      </c>
      <c r="K464" s="1194">
        <f t="shared" si="243"/>
        <v>20627</v>
      </c>
      <c r="L464" s="1194">
        <f t="shared" si="243"/>
        <v>17966</v>
      </c>
      <c r="M464" s="1194">
        <f t="shared" si="243"/>
        <v>17966</v>
      </c>
      <c r="N464" s="1194">
        <f t="shared" si="243"/>
        <v>16635</v>
      </c>
      <c r="O464" s="1194">
        <f t="shared" si="243"/>
        <v>18852</v>
      </c>
      <c r="P464" s="1194">
        <f t="shared" si="243"/>
        <v>15969</v>
      </c>
      <c r="Q464" s="1194">
        <f t="shared" si="243"/>
        <v>19963</v>
      </c>
      <c r="R464" s="1194">
        <f t="shared" si="243"/>
        <v>0</v>
      </c>
    </row>
    <row r="465" spans="1:18" s="1112" customFormat="1" ht="10.5" customHeight="1" x14ac:dyDescent="0.2">
      <c r="A465" s="1110"/>
      <c r="B465" s="1110"/>
      <c r="C465" s="1571"/>
      <c r="D465" s="1573"/>
      <c r="E465" s="1571"/>
      <c r="F465" s="1574"/>
      <c r="G465" s="1574"/>
      <c r="H465" s="1574"/>
      <c r="I465" s="1574"/>
      <c r="J465" s="1574"/>
      <c r="K465" s="1574"/>
      <c r="L465" s="1574"/>
      <c r="M465" s="1574"/>
      <c r="N465" s="1574"/>
      <c r="O465" s="1574"/>
      <c r="P465" s="1574"/>
      <c r="Q465" s="1574"/>
      <c r="R465" s="1574"/>
    </row>
    <row r="466" spans="1:18" x14ac:dyDescent="0.2">
      <c r="A466" s="1214" t="str">
        <f>B117</f>
        <v>Meter Shop Costs Cleared</v>
      </c>
      <c r="B466" s="1110" t="s">
        <v>1446</v>
      </c>
      <c r="C466" s="1571">
        <v>0</v>
      </c>
      <c r="D466" s="1216">
        <v>1</v>
      </c>
      <c r="E466" s="1582">
        <f t="shared" ref="E466" si="244">SUM(F466:Q466)</f>
        <v>0</v>
      </c>
      <c r="F466" s="1194">
        <f t="shared" ref="F466:R466" si="245">F117</f>
        <v>0</v>
      </c>
      <c r="G466" s="1194">
        <f t="shared" si="245"/>
        <v>0</v>
      </c>
      <c r="H466" s="1194">
        <f t="shared" si="245"/>
        <v>0</v>
      </c>
      <c r="I466" s="1194">
        <f t="shared" si="245"/>
        <v>0</v>
      </c>
      <c r="J466" s="1194">
        <f t="shared" si="245"/>
        <v>0</v>
      </c>
      <c r="K466" s="1194">
        <f t="shared" si="245"/>
        <v>0</v>
      </c>
      <c r="L466" s="1194">
        <f t="shared" si="245"/>
        <v>0</v>
      </c>
      <c r="M466" s="1194">
        <f t="shared" si="245"/>
        <v>0</v>
      </c>
      <c r="N466" s="1194">
        <f t="shared" si="245"/>
        <v>0</v>
      </c>
      <c r="O466" s="1194">
        <f t="shared" si="245"/>
        <v>0</v>
      </c>
      <c r="P466" s="1194">
        <f t="shared" si="245"/>
        <v>0</v>
      </c>
      <c r="Q466" s="1194">
        <f t="shared" si="245"/>
        <v>0</v>
      </c>
      <c r="R466" s="1194">
        <f t="shared" si="245"/>
        <v>0</v>
      </c>
    </row>
    <row r="467" spans="1:18" s="1112" customFormat="1" x14ac:dyDescent="0.2">
      <c r="A467" s="1110"/>
      <c r="B467" s="1110"/>
      <c r="C467" s="1571"/>
      <c r="D467" s="1573"/>
      <c r="E467" s="1571"/>
      <c r="F467" s="1574"/>
      <c r="G467" s="1574"/>
      <c r="H467" s="1574"/>
      <c r="I467" s="1574"/>
      <c r="J467" s="1574"/>
      <c r="K467" s="1574"/>
      <c r="L467" s="1574"/>
      <c r="M467" s="1574"/>
      <c r="N467" s="1574"/>
      <c r="O467" s="1574"/>
      <c r="P467" s="1574"/>
      <c r="Q467" s="1574"/>
      <c r="R467" s="1574"/>
    </row>
    <row r="468" spans="1:18" x14ac:dyDescent="0.2">
      <c r="A468" s="1214" t="str">
        <f>B120</f>
        <v>Storeroom Costs Cleared</v>
      </c>
      <c r="B468" s="1110" t="s">
        <v>1446</v>
      </c>
      <c r="C468" s="1571">
        <v>0</v>
      </c>
      <c r="D468" s="1216">
        <v>1</v>
      </c>
      <c r="E468" s="1582">
        <f t="shared" ref="E468" si="246">SUM(F468:Q468)</f>
        <v>0</v>
      </c>
      <c r="F468" s="1194">
        <f t="shared" ref="F468:R468" si="247">F120</f>
        <v>0</v>
      </c>
      <c r="G468" s="1194">
        <f t="shared" si="247"/>
        <v>0</v>
      </c>
      <c r="H468" s="1194">
        <f t="shared" si="247"/>
        <v>0</v>
      </c>
      <c r="I468" s="1194">
        <f t="shared" si="247"/>
        <v>0</v>
      </c>
      <c r="J468" s="1194">
        <f t="shared" si="247"/>
        <v>0</v>
      </c>
      <c r="K468" s="1194">
        <f t="shared" si="247"/>
        <v>0</v>
      </c>
      <c r="L468" s="1194">
        <f t="shared" si="247"/>
        <v>0</v>
      </c>
      <c r="M468" s="1194">
        <f t="shared" si="247"/>
        <v>0</v>
      </c>
      <c r="N468" s="1194">
        <f t="shared" si="247"/>
        <v>0</v>
      </c>
      <c r="O468" s="1194">
        <f t="shared" si="247"/>
        <v>0</v>
      </c>
      <c r="P468" s="1194">
        <f t="shared" si="247"/>
        <v>0</v>
      </c>
      <c r="Q468" s="1194">
        <f t="shared" si="247"/>
        <v>0</v>
      </c>
      <c r="R468" s="1194">
        <f t="shared" si="247"/>
        <v>0</v>
      </c>
    </row>
    <row r="469" spans="1:18" x14ac:dyDescent="0.2">
      <c r="A469" s="1110"/>
      <c r="B469" s="1110"/>
      <c r="C469" s="1571"/>
      <c r="D469" s="1573"/>
      <c r="E469" s="1582"/>
      <c r="F469" s="1574"/>
      <c r="G469" s="1574"/>
      <c r="H469" s="1574"/>
      <c r="I469" s="1574"/>
      <c r="J469" s="1574"/>
      <c r="K469" s="1574"/>
      <c r="L469" s="1574"/>
      <c r="M469" s="1574"/>
      <c r="N469" s="1574"/>
      <c r="O469" s="1574"/>
      <c r="P469" s="1574"/>
      <c r="Q469" s="1574"/>
      <c r="R469" s="1574"/>
    </row>
    <row r="470" spans="1:18" x14ac:dyDescent="0.2">
      <c r="A470" s="1213"/>
      <c r="B470" s="1111"/>
      <c r="C470" s="1571"/>
      <c r="D470" s="1216"/>
      <c r="E470" s="1571"/>
      <c r="F470" s="1194"/>
      <c r="G470" s="1194"/>
      <c r="H470" s="1194"/>
      <c r="I470" s="1194"/>
      <c r="J470" s="1194"/>
      <c r="K470" s="1194"/>
      <c r="L470" s="1194"/>
      <c r="M470" s="1194"/>
      <c r="N470" s="1194"/>
      <c r="O470" s="1194"/>
      <c r="P470" s="1194"/>
      <c r="Q470" s="1194"/>
      <c r="R470" s="1194"/>
    </row>
    <row r="471" spans="1:18" x14ac:dyDescent="0.2">
      <c r="A471" s="1112"/>
      <c r="B471" s="1112"/>
      <c r="C471" s="1575"/>
      <c r="D471" s="1573"/>
      <c r="E471" s="1575"/>
      <c r="F471" s="1576"/>
      <c r="G471" s="1576"/>
      <c r="H471" s="1576"/>
      <c r="I471" s="1576"/>
      <c r="J471" s="1576"/>
      <c r="K471" s="1576"/>
      <c r="L471" s="1576"/>
      <c r="M471" s="1576"/>
      <c r="N471" s="1576"/>
      <c r="O471" s="1576"/>
      <c r="P471" s="1576"/>
      <c r="Q471" s="1576"/>
      <c r="R471" s="1576"/>
    </row>
    <row r="472" spans="1:18" x14ac:dyDescent="0.2">
      <c r="B472" s="1112"/>
      <c r="C472" s="1575"/>
      <c r="D472" s="1213"/>
      <c r="E472" s="1222">
        <f>SUM(E143:E163,E166:E184,E187:E209,E212,E214,E217:E221,E224,E226:E228,E231:E242,E245:E249,E252:E253,E256:E270,E273:E276,E279:E292,E295:E326,E329:E330,E333:E336,E338:E342,E345:E365,E368:E369,E372,E374:E375,E378,E380:E414,E416:E422,E425:E444,E447:E463,E466,E468)</f>
        <v>44170009.439960003</v>
      </c>
      <c r="F472" s="1222">
        <f t="shared" ref="F472:Q472" si="248">SUM(F143:F163,F166:F184,F187:F209,F212,F214,F217:F221,F224,F226:F228,F231:F242,F245:F249,F252:F253,F256:F270,F273:F276,F279:F292,F295:F326,F329:F330,F333:F336,F338:F342,F345:F365,F368:F369,F372,F374:F375,F378,F380:F414,F416:F422,F425:F444,F447:F463,F466,F468)</f>
        <v>3679114.5833299998</v>
      </c>
      <c r="G472" s="1222">
        <f t="shared" si="248"/>
        <v>3516885.9833300002</v>
      </c>
      <c r="H472" s="1222">
        <f t="shared" si="248"/>
        <v>3590308.0033299997</v>
      </c>
      <c r="I472" s="1222">
        <f t="shared" si="248"/>
        <v>3530309.3333299998</v>
      </c>
      <c r="J472" s="1222">
        <f t="shared" si="248"/>
        <v>3684270.1633299999</v>
      </c>
      <c r="K472" s="1222">
        <f t="shared" si="248"/>
        <v>3772825.53333</v>
      </c>
      <c r="L472" s="1222">
        <f t="shared" si="248"/>
        <v>3689638.4533299999</v>
      </c>
      <c r="M472" s="1222">
        <f t="shared" si="248"/>
        <v>3721179.7733300002</v>
      </c>
      <c r="N472" s="1222">
        <f t="shared" si="248"/>
        <v>3727607.4433300002</v>
      </c>
      <c r="O472" s="1222">
        <f t="shared" si="248"/>
        <v>3728632.4233299997</v>
      </c>
      <c r="P472" s="1222">
        <f t="shared" si="248"/>
        <v>3675289.3333299998</v>
      </c>
      <c r="Q472" s="1222">
        <f t="shared" si="248"/>
        <v>3853948.4133299999</v>
      </c>
      <c r="R472" s="1222">
        <f t="shared" ref="R472" si="249">SUM(R143:R163,R166:R184,R187:R209,R212,R214,R217:R221,R224,R226:R228,R231:R242,R245:R249,R252:R253,R256:R270,R273:R276,R279:R292,R295:R326,R329:R330,R333:R336,R338:R342,R345:R365,R368:R369,R372,R374:R375,R378,R380:R414,R416:R422,R425:R444,R447:R463,R466,R468)</f>
        <v>818356</v>
      </c>
    </row>
    <row r="473" spans="1:18" x14ac:dyDescent="0.15">
      <c r="A473" s="1174" t="s">
        <v>1194</v>
      </c>
      <c r="B473" s="1627"/>
      <c r="C473" s="1625">
        <f>C164+C185+C210+C212+C215+C222+C229+C243+C250+C254+C271+C277+C293+C327+C331+C333+C334+C335+C336+C343+C366+C370+C372+C376+C378+SUM(C380:C414)+C423+C445+C464+C466+C468</f>
        <v>35772731.380000025</v>
      </c>
      <c r="D473" s="1223"/>
      <c r="E473" s="1642">
        <f>E164+E185+E210+E212+E215+E222+E229+E243+E250+E254+E271+E277+E293+E327+E331+E333+E334+E335+E336+E343+E366+E370+E372+E376+E378+SUM(E380:E414)+E423+E445+E464+E466+E468</f>
        <v>44170009.439960003</v>
      </c>
      <c r="F473" s="1642">
        <f>F164+F185+F210+F212+F215+F222+F229+F243+F250+F254+F271+F277+F293+F327+F331+F333+F334+F335+F336+F343+F366+F370+F372+F376+F378+SUM(F380:F414)+F423+F445+F464+F466+F468</f>
        <v>3679114.5833299998</v>
      </c>
      <c r="G473" s="1642">
        <f t="shared" ref="G473:P473" si="250">G164+G185+G210+G212+G215+G222+G229+G243+G250+G254+G271+G277+G293+G327+G331+G333+G334+G335+G336+G343+G366+G370+G372+G376+G378+SUM(G380:G414)+G423+G445+G464+G466+G468</f>
        <v>3516885.9833300002</v>
      </c>
      <c r="H473" s="1642">
        <f t="shared" si="250"/>
        <v>3590308.0033299997</v>
      </c>
      <c r="I473" s="1642">
        <f t="shared" si="250"/>
        <v>3530309.3333299998</v>
      </c>
      <c r="J473" s="1642">
        <f t="shared" si="250"/>
        <v>3684270.1633299999</v>
      </c>
      <c r="K473" s="1642">
        <f t="shared" si="250"/>
        <v>3772825.53333</v>
      </c>
      <c r="L473" s="1642">
        <f t="shared" si="250"/>
        <v>3689638.4533299999</v>
      </c>
      <c r="M473" s="1642">
        <f t="shared" si="250"/>
        <v>3721179.7733300002</v>
      </c>
      <c r="N473" s="1642">
        <f t="shared" si="250"/>
        <v>3727607.4433300002</v>
      </c>
      <c r="O473" s="1642">
        <f t="shared" si="250"/>
        <v>3728632.4233299997</v>
      </c>
      <c r="P473" s="1642">
        <f t="shared" si="250"/>
        <v>3675289.3333299998</v>
      </c>
      <c r="Q473" s="1642">
        <f>Q164+Q185+Q210+Q212+Q215+Q222+Q229+Q243+Q250+Q254+Q271+Q277+Q293+Q327+Q331+Q333+Q334+Q335+Q336+Q343+Q366+Q370+Q372+Q376+Q378+SUM(Q380:Q414)+Q423+Q445+Q464+Q466+Q468</f>
        <v>3853948.4133299999</v>
      </c>
      <c r="R473" s="1642">
        <f>R164+R185+R210+R212+R215+R222+R229+R243+R250+R254+R271+R277+R293+R327+R331+R333+R334+R335+R336+R343+R366+R370+R372+R376+R378+SUM(R380:R414)+R423+R445+R464+R466+R468</f>
        <v>818356</v>
      </c>
    </row>
    <row r="474" spans="1:18" x14ac:dyDescent="0.15">
      <c r="B474" s="1112"/>
      <c r="C474" s="1628"/>
      <c r="E474" s="1224"/>
      <c r="F474" s="1220"/>
      <c r="G474" s="1194"/>
      <c r="L474" s="1220"/>
      <c r="M474" s="1194"/>
    </row>
    <row r="475" spans="1:18" x14ac:dyDescent="0.15">
      <c r="A475" s="1175" t="s">
        <v>218</v>
      </c>
      <c r="B475" s="1112"/>
      <c r="C475" s="1628"/>
      <c r="E475" s="1175">
        <f t="shared" ref="E475:Q475" si="251">E473-E135</f>
        <v>0</v>
      </c>
      <c r="F475" s="1175">
        <f t="shared" si="251"/>
        <v>0</v>
      </c>
      <c r="G475" s="1175">
        <f t="shared" si="251"/>
        <v>0</v>
      </c>
      <c r="H475" s="1175">
        <f t="shared" si="251"/>
        <v>0</v>
      </c>
      <c r="I475" s="1175">
        <f t="shared" si="251"/>
        <v>0</v>
      </c>
      <c r="J475" s="1175">
        <f t="shared" si="251"/>
        <v>0</v>
      </c>
      <c r="K475" s="1175">
        <f t="shared" si="251"/>
        <v>0</v>
      </c>
      <c r="L475" s="1175">
        <f t="shared" si="251"/>
        <v>0</v>
      </c>
      <c r="M475" s="1175">
        <f t="shared" si="251"/>
        <v>0</v>
      </c>
      <c r="N475" s="1175">
        <f t="shared" si="251"/>
        <v>0</v>
      </c>
      <c r="O475" s="1175">
        <f t="shared" si="251"/>
        <v>0</v>
      </c>
      <c r="P475" s="1175">
        <f t="shared" si="251"/>
        <v>0</v>
      </c>
      <c r="Q475" s="1175">
        <f t="shared" si="251"/>
        <v>0</v>
      </c>
      <c r="R475" s="1175">
        <f>R473-R135</f>
        <v>0</v>
      </c>
    </row>
    <row r="476" spans="1:18" x14ac:dyDescent="0.15">
      <c r="B476" s="1112"/>
      <c r="C476" s="1628"/>
      <c r="E476" s="1175">
        <f>E472-E473</f>
        <v>0</v>
      </c>
      <c r="F476" s="1175">
        <f>F472-F473</f>
        <v>0</v>
      </c>
      <c r="G476" s="1175">
        <f t="shared" ref="G476:Q476" si="252">G472-G473</f>
        <v>0</v>
      </c>
      <c r="H476" s="1175">
        <f t="shared" si="252"/>
        <v>0</v>
      </c>
      <c r="I476" s="1175">
        <f t="shared" si="252"/>
        <v>0</v>
      </c>
      <c r="J476" s="1175">
        <f t="shared" si="252"/>
        <v>0</v>
      </c>
      <c r="K476" s="1175">
        <f t="shared" si="252"/>
        <v>0</v>
      </c>
      <c r="L476" s="1175">
        <f t="shared" si="252"/>
        <v>0</v>
      </c>
      <c r="M476" s="1175">
        <f t="shared" si="252"/>
        <v>0</v>
      </c>
      <c r="N476" s="1175">
        <f t="shared" si="252"/>
        <v>0</v>
      </c>
      <c r="O476" s="1175">
        <f t="shared" si="252"/>
        <v>0</v>
      </c>
      <c r="P476" s="1175">
        <f t="shared" si="252"/>
        <v>0</v>
      </c>
      <c r="Q476" s="1175">
        <f t="shared" si="252"/>
        <v>0</v>
      </c>
      <c r="R476" s="1175">
        <f t="shared" ref="R476" si="253">R472-R473</f>
        <v>0</v>
      </c>
    </row>
    <row r="477" spans="1:18" x14ac:dyDescent="0.15">
      <c r="C477" s="1224"/>
      <c r="D477" s="1224"/>
      <c r="L477" s="1220"/>
      <c r="M477" s="1194"/>
    </row>
    <row r="478" spans="1:18" x14ac:dyDescent="0.15">
      <c r="C478" s="1224"/>
      <c r="D478" s="1224"/>
      <c r="L478" s="1220"/>
      <c r="M478" s="1194"/>
    </row>
    <row r="479" spans="1:18" x14ac:dyDescent="0.15">
      <c r="C479" s="1224"/>
      <c r="D479" s="1224"/>
      <c r="L479" s="1220"/>
      <c r="M479" s="1194"/>
    </row>
    <row r="480" spans="1:18" x14ac:dyDescent="0.15">
      <c r="C480" s="1224"/>
      <c r="D480" s="1224"/>
      <c r="L480" s="1220"/>
      <c r="M480" s="1194"/>
    </row>
    <row r="481" spans="3:13" x14ac:dyDescent="0.15">
      <c r="C481" s="1224"/>
      <c r="D481" s="1224"/>
      <c r="L481" s="1220"/>
      <c r="M481" s="1194"/>
    </row>
    <row r="482" spans="3:13" x14ac:dyDescent="0.15">
      <c r="C482" s="1224"/>
      <c r="D482" s="1224"/>
      <c r="L482" s="1220"/>
      <c r="M482" s="1194"/>
    </row>
    <row r="483" spans="3:13" x14ac:dyDescent="0.15">
      <c r="C483" s="1224"/>
      <c r="D483" s="1224"/>
      <c r="L483" s="1220"/>
      <c r="M483" s="1194"/>
    </row>
    <row r="484" spans="3:13" x14ac:dyDescent="0.15">
      <c r="C484" s="1224"/>
      <c r="D484" s="1224"/>
      <c r="L484" s="1220"/>
      <c r="M484" s="1194"/>
    </row>
    <row r="485" spans="3:13" x14ac:dyDescent="0.15">
      <c r="C485" s="1224"/>
      <c r="D485" s="1224"/>
      <c r="L485" s="1220"/>
      <c r="M485" s="1194"/>
    </row>
    <row r="486" spans="3:13" x14ac:dyDescent="0.15">
      <c r="C486" s="1224"/>
      <c r="D486" s="1224"/>
      <c r="L486" s="1220"/>
      <c r="M486" s="1194"/>
    </row>
    <row r="487" spans="3:13" x14ac:dyDescent="0.15">
      <c r="C487" s="1224"/>
      <c r="D487" s="1224"/>
      <c r="L487" s="1220"/>
      <c r="M487" s="1194"/>
    </row>
    <row r="488" spans="3:13" x14ac:dyDescent="0.15">
      <c r="C488" s="1224"/>
      <c r="D488" s="1224"/>
      <c r="L488" s="1220"/>
      <c r="M488" s="1194"/>
    </row>
    <row r="489" spans="3:13" x14ac:dyDescent="0.15">
      <c r="C489" s="1224"/>
      <c r="D489" s="1224"/>
      <c r="L489" s="1220"/>
      <c r="M489" s="1194"/>
    </row>
    <row r="490" spans="3:13" x14ac:dyDescent="0.15">
      <c r="C490" s="1224"/>
      <c r="D490" s="1224"/>
      <c r="L490" s="1220"/>
      <c r="M490" s="1194"/>
    </row>
    <row r="491" spans="3:13" x14ac:dyDescent="0.15">
      <c r="C491" s="1224"/>
      <c r="D491" s="1224"/>
      <c r="L491" s="1220"/>
      <c r="M491" s="1194"/>
    </row>
    <row r="492" spans="3:13" x14ac:dyDescent="0.15">
      <c r="C492" s="1224"/>
      <c r="D492" s="1224"/>
      <c r="L492" s="1220"/>
      <c r="M492" s="1194"/>
    </row>
    <row r="493" spans="3:13" x14ac:dyDescent="0.15">
      <c r="C493" s="1224"/>
      <c r="D493" s="1224"/>
      <c r="L493" s="1220"/>
      <c r="M493" s="1194"/>
    </row>
    <row r="494" spans="3:13" x14ac:dyDescent="0.15">
      <c r="C494" s="1224"/>
      <c r="D494" s="1224"/>
      <c r="L494" s="1220"/>
      <c r="M494" s="1194"/>
    </row>
    <row r="495" spans="3:13" ht="9.75" customHeight="1" x14ac:dyDescent="0.15">
      <c r="C495" s="1224"/>
      <c r="D495" s="1224"/>
      <c r="L495" s="1225"/>
    </row>
    <row r="496" spans="3:13" x14ac:dyDescent="0.15">
      <c r="C496" s="1224"/>
      <c r="D496" s="1224"/>
    </row>
    <row r="497" spans="3:4" x14ac:dyDescent="0.15">
      <c r="C497" s="1224"/>
      <c r="D497" s="1224"/>
    </row>
    <row r="498" spans="3:4" x14ac:dyDescent="0.15">
      <c r="C498" s="1224"/>
      <c r="D498" s="1224"/>
    </row>
    <row r="499" spans="3:4" x14ac:dyDescent="0.15">
      <c r="C499" s="1224"/>
      <c r="D499" s="1224"/>
    </row>
    <row r="500" spans="3:4" x14ac:dyDescent="0.15">
      <c r="C500" s="1224"/>
      <c r="D500" s="1224"/>
    </row>
    <row r="501" spans="3:4" x14ac:dyDescent="0.15">
      <c r="C501" s="1224"/>
      <c r="D501" s="1224"/>
    </row>
    <row r="502" spans="3:4" x14ac:dyDescent="0.15">
      <c r="C502" s="1224"/>
      <c r="D502" s="1224"/>
    </row>
    <row r="503" spans="3:4" x14ac:dyDescent="0.15">
      <c r="C503" s="1224"/>
      <c r="D503" s="1224"/>
    </row>
    <row r="504" spans="3:4" x14ac:dyDescent="0.15">
      <c r="C504" s="1224"/>
      <c r="D504" s="1224"/>
    </row>
    <row r="505" spans="3:4" x14ac:dyDescent="0.15">
      <c r="C505" s="1224"/>
      <c r="D505" s="1224"/>
    </row>
    <row r="506" spans="3:4" x14ac:dyDescent="0.15">
      <c r="C506" s="1224"/>
      <c r="D506" s="1224"/>
    </row>
    <row r="507" spans="3:4" x14ac:dyDescent="0.15">
      <c r="C507" s="1224"/>
      <c r="D507" s="1224"/>
    </row>
    <row r="508" spans="3:4" x14ac:dyDescent="0.15">
      <c r="C508" s="1224"/>
      <c r="D508" s="1224"/>
    </row>
    <row r="509" spans="3:4" x14ac:dyDescent="0.15">
      <c r="C509" s="1224"/>
      <c r="D509" s="1224"/>
    </row>
    <row r="510" spans="3:4" x14ac:dyDescent="0.15">
      <c r="C510" s="1224"/>
      <c r="D510" s="1224"/>
    </row>
    <row r="511" spans="3:4" x14ac:dyDescent="0.15">
      <c r="C511" s="1224"/>
      <c r="D511" s="1224"/>
    </row>
    <row r="512" spans="3:4" x14ac:dyDescent="0.15">
      <c r="C512" s="1224"/>
      <c r="D512" s="1224"/>
    </row>
    <row r="513" spans="3:4" x14ac:dyDescent="0.15">
      <c r="C513" s="1224"/>
      <c r="D513" s="1224"/>
    </row>
    <row r="514" spans="3:4" x14ac:dyDescent="0.15">
      <c r="C514" s="1224"/>
      <c r="D514" s="1224"/>
    </row>
    <row r="515" spans="3:4" x14ac:dyDescent="0.15">
      <c r="C515" s="1224"/>
      <c r="D515" s="1224"/>
    </row>
    <row r="516" spans="3:4" x14ac:dyDescent="0.15">
      <c r="C516" s="1224"/>
      <c r="D516" s="1224"/>
    </row>
    <row r="517" spans="3:4" x14ac:dyDescent="0.15">
      <c r="C517" s="1224"/>
      <c r="D517" s="1224"/>
    </row>
    <row r="518" spans="3:4" x14ac:dyDescent="0.15">
      <c r="C518" s="1224"/>
      <c r="D518" s="1224"/>
    </row>
    <row r="519" spans="3:4" x14ac:dyDescent="0.15">
      <c r="C519" s="1224"/>
      <c r="D519" s="1224"/>
    </row>
    <row r="520" spans="3:4" x14ac:dyDescent="0.15">
      <c r="C520" s="1224"/>
      <c r="D520" s="1224"/>
    </row>
    <row r="521" spans="3:4" x14ac:dyDescent="0.15">
      <c r="C521" s="1224"/>
      <c r="D521" s="1224"/>
    </row>
    <row r="522" spans="3:4" x14ac:dyDescent="0.15">
      <c r="C522" s="1224"/>
      <c r="D522" s="1224"/>
    </row>
    <row r="523" spans="3:4" x14ac:dyDescent="0.15">
      <c r="C523" s="1224"/>
      <c r="D523" s="1224"/>
    </row>
    <row r="524" spans="3:4" x14ac:dyDescent="0.15">
      <c r="C524" s="1224"/>
      <c r="D524" s="1224"/>
    </row>
    <row r="525" spans="3:4" x14ac:dyDescent="0.15">
      <c r="C525" s="1224"/>
      <c r="D525" s="1224"/>
    </row>
    <row r="526" spans="3:4" x14ac:dyDescent="0.15">
      <c r="C526" s="1224"/>
      <c r="D526" s="1224"/>
    </row>
    <row r="527" spans="3:4" x14ac:dyDescent="0.15">
      <c r="C527" s="1224"/>
      <c r="D527" s="1224"/>
    </row>
    <row r="528" spans="3:4" x14ac:dyDescent="0.15">
      <c r="C528" s="1224"/>
      <c r="D528" s="1224"/>
    </row>
    <row r="529" spans="3:4" x14ac:dyDescent="0.15">
      <c r="C529" s="1224"/>
      <c r="D529" s="1224"/>
    </row>
    <row r="530" spans="3:4" x14ac:dyDescent="0.15">
      <c r="C530" s="1224"/>
      <c r="D530" s="1224"/>
    </row>
    <row r="531" spans="3:4" x14ac:dyDescent="0.15">
      <c r="C531" s="1224"/>
      <c r="D531" s="1224"/>
    </row>
    <row r="532" spans="3:4" x14ac:dyDescent="0.15">
      <c r="C532" s="1224"/>
      <c r="D532" s="1224"/>
    </row>
    <row r="533" spans="3:4" x14ac:dyDescent="0.15">
      <c r="C533" s="1224"/>
      <c r="D533" s="1224"/>
    </row>
    <row r="534" spans="3:4" x14ac:dyDescent="0.15">
      <c r="C534" s="1224"/>
      <c r="D534" s="1224"/>
    </row>
    <row r="535" spans="3:4" x14ac:dyDescent="0.15">
      <c r="C535" s="1224"/>
      <c r="D535" s="1224"/>
    </row>
    <row r="536" spans="3:4" x14ac:dyDescent="0.15">
      <c r="C536" s="1224"/>
      <c r="D536" s="1224"/>
    </row>
    <row r="537" spans="3:4" x14ac:dyDescent="0.15">
      <c r="C537" s="1224"/>
      <c r="D537" s="1224"/>
    </row>
    <row r="538" spans="3:4" x14ac:dyDescent="0.15">
      <c r="C538" s="1224"/>
      <c r="D538" s="1224"/>
    </row>
    <row r="539" spans="3:4" x14ac:dyDescent="0.15">
      <c r="C539" s="1224"/>
      <c r="D539" s="1224"/>
    </row>
    <row r="540" spans="3:4" x14ac:dyDescent="0.15">
      <c r="C540" s="1224"/>
      <c r="D540" s="1224"/>
    </row>
    <row r="541" spans="3:4" x14ac:dyDescent="0.15">
      <c r="C541" s="1224"/>
      <c r="D541" s="1224"/>
    </row>
    <row r="542" spans="3:4" x14ac:dyDescent="0.15">
      <c r="C542" s="1224"/>
      <c r="D542" s="1224"/>
    </row>
    <row r="543" spans="3:4" x14ac:dyDescent="0.15">
      <c r="C543" s="1224"/>
      <c r="D543" s="1224"/>
    </row>
    <row r="544" spans="3:4" x14ac:dyDescent="0.15">
      <c r="C544" s="1224"/>
      <c r="D544" s="1224"/>
    </row>
    <row r="545" spans="3:4" x14ac:dyDescent="0.15">
      <c r="C545" s="1224"/>
      <c r="D545" s="1224"/>
    </row>
    <row r="546" spans="3:4" x14ac:dyDescent="0.15">
      <c r="C546" s="1224"/>
      <c r="D546" s="1224"/>
    </row>
    <row r="547" spans="3:4" x14ac:dyDescent="0.15">
      <c r="C547" s="1224"/>
      <c r="D547" s="1224"/>
    </row>
    <row r="548" spans="3:4" x14ac:dyDescent="0.15">
      <c r="C548" s="1224"/>
      <c r="D548" s="1224"/>
    </row>
    <row r="549" spans="3:4" x14ac:dyDescent="0.15">
      <c r="C549" s="1224"/>
      <c r="D549" s="1224"/>
    </row>
    <row r="550" spans="3:4" x14ac:dyDescent="0.15">
      <c r="C550" s="1224"/>
      <c r="D550" s="1224"/>
    </row>
    <row r="551" spans="3:4" x14ac:dyDescent="0.15">
      <c r="C551" s="1224"/>
      <c r="D551" s="1224"/>
    </row>
    <row r="552" spans="3:4" x14ac:dyDescent="0.15">
      <c r="C552" s="1224"/>
      <c r="D552" s="1224"/>
    </row>
    <row r="553" spans="3:4" x14ac:dyDescent="0.15">
      <c r="C553" s="1224"/>
      <c r="D553" s="1224"/>
    </row>
    <row r="554" spans="3:4" x14ac:dyDescent="0.15">
      <c r="C554" s="1224"/>
      <c r="D554" s="1224"/>
    </row>
    <row r="555" spans="3:4" x14ac:dyDescent="0.15">
      <c r="C555" s="1224"/>
      <c r="D555" s="1224"/>
    </row>
    <row r="556" spans="3:4" x14ac:dyDescent="0.15">
      <c r="C556" s="1224"/>
      <c r="D556" s="1224"/>
    </row>
    <row r="557" spans="3:4" x14ac:dyDescent="0.15">
      <c r="C557" s="1224"/>
      <c r="D557" s="1224"/>
    </row>
    <row r="558" spans="3:4" x14ac:dyDescent="0.15">
      <c r="C558" s="1224"/>
      <c r="D558" s="1224"/>
    </row>
    <row r="559" spans="3:4" x14ac:dyDescent="0.15">
      <c r="C559" s="1224"/>
      <c r="D559" s="1224"/>
    </row>
    <row r="560" spans="3:4" x14ac:dyDescent="0.15">
      <c r="C560" s="1224"/>
      <c r="D560" s="1224"/>
    </row>
    <row r="561" spans="3:4" x14ac:dyDescent="0.15">
      <c r="C561" s="1224"/>
      <c r="D561" s="1224"/>
    </row>
    <row r="562" spans="3:4" x14ac:dyDescent="0.15">
      <c r="C562" s="1224"/>
      <c r="D562" s="1224"/>
    </row>
    <row r="563" spans="3:4" x14ac:dyDescent="0.15">
      <c r="C563" s="1224"/>
      <c r="D563" s="1224"/>
    </row>
    <row r="564" spans="3:4" x14ac:dyDescent="0.15">
      <c r="C564" s="1224"/>
      <c r="D564" s="1224"/>
    </row>
    <row r="565" spans="3:4" x14ac:dyDescent="0.15">
      <c r="C565" s="1224"/>
      <c r="D565" s="1224"/>
    </row>
    <row r="566" spans="3:4" x14ac:dyDescent="0.15">
      <c r="C566" s="1224"/>
      <c r="D566" s="1224"/>
    </row>
    <row r="567" spans="3:4" x14ac:dyDescent="0.15">
      <c r="C567" s="1224"/>
      <c r="D567" s="1224"/>
    </row>
    <row r="568" spans="3:4" x14ac:dyDescent="0.15">
      <c r="C568" s="1224"/>
      <c r="D568" s="1224"/>
    </row>
    <row r="569" spans="3:4" x14ac:dyDescent="0.15">
      <c r="C569" s="1224"/>
      <c r="D569" s="1224"/>
    </row>
    <row r="570" spans="3:4" x14ac:dyDescent="0.15">
      <c r="C570" s="1224"/>
      <c r="D570" s="1224"/>
    </row>
    <row r="571" spans="3:4" x14ac:dyDescent="0.15">
      <c r="C571" s="1224"/>
      <c r="D571" s="1224"/>
    </row>
    <row r="572" spans="3:4" x14ac:dyDescent="0.15">
      <c r="C572" s="1224"/>
      <c r="D572" s="1224"/>
    </row>
    <row r="573" spans="3:4" x14ac:dyDescent="0.15">
      <c r="C573" s="1224"/>
      <c r="D573" s="1224"/>
    </row>
    <row r="574" spans="3:4" x14ac:dyDescent="0.15">
      <c r="C574" s="1224"/>
      <c r="D574" s="1224"/>
    </row>
    <row r="575" spans="3:4" x14ac:dyDescent="0.15">
      <c r="C575" s="1224"/>
      <c r="D575" s="1224"/>
    </row>
    <row r="576" spans="3:4" x14ac:dyDescent="0.15">
      <c r="C576" s="1224"/>
      <c r="D576" s="1224"/>
    </row>
    <row r="577" spans="3:4" x14ac:dyDescent="0.15">
      <c r="C577" s="1224"/>
      <c r="D577" s="1224"/>
    </row>
    <row r="578" spans="3:4" x14ac:dyDescent="0.15">
      <c r="C578" s="1224"/>
      <c r="D578" s="1224"/>
    </row>
    <row r="579" spans="3:4" x14ac:dyDescent="0.15">
      <c r="C579" s="1224"/>
      <c r="D579" s="1224"/>
    </row>
    <row r="580" spans="3:4" x14ac:dyDescent="0.15">
      <c r="C580" s="1224"/>
      <c r="D580" s="1224"/>
    </row>
    <row r="581" spans="3:4" x14ac:dyDescent="0.15">
      <c r="C581" s="1224"/>
      <c r="D581" s="1224"/>
    </row>
    <row r="582" spans="3:4" x14ac:dyDescent="0.15">
      <c r="C582" s="1224"/>
      <c r="D582" s="1224"/>
    </row>
    <row r="583" spans="3:4" x14ac:dyDescent="0.15">
      <c r="C583" s="1224"/>
      <c r="D583" s="1224"/>
    </row>
    <row r="584" spans="3:4" x14ac:dyDescent="0.15">
      <c r="C584" s="1224"/>
      <c r="D584" s="1224"/>
    </row>
    <row r="585" spans="3:4" x14ac:dyDescent="0.15">
      <c r="C585" s="1224"/>
      <c r="D585" s="1224"/>
    </row>
    <row r="586" spans="3:4" x14ac:dyDescent="0.15">
      <c r="C586" s="1224"/>
      <c r="D586" s="1224"/>
    </row>
    <row r="587" spans="3:4" x14ac:dyDescent="0.15">
      <c r="C587" s="1224"/>
      <c r="D587" s="1224"/>
    </row>
    <row r="588" spans="3:4" x14ac:dyDescent="0.15">
      <c r="C588" s="1224"/>
      <c r="D588" s="1224"/>
    </row>
    <row r="589" spans="3:4" x14ac:dyDescent="0.15">
      <c r="C589" s="1224"/>
      <c r="D589" s="1224"/>
    </row>
    <row r="590" spans="3:4" x14ac:dyDescent="0.15">
      <c r="C590" s="1224"/>
      <c r="D590" s="1224"/>
    </row>
    <row r="591" spans="3:4" x14ac:dyDescent="0.15">
      <c r="C591" s="1224"/>
      <c r="D591" s="1224"/>
    </row>
    <row r="592" spans="3:4" x14ac:dyDescent="0.15">
      <c r="C592" s="1224"/>
      <c r="D592" s="1224"/>
    </row>
    <row r="593" spans="3:4" x14ac:dyDescent="0.15">
      <c r="C593" s="1224"/>
      <c r="D593" s="1224"/>
    </row>
    <row r="594" spans="3:4" x14ac:dyDescent="0.15">
      <c r="C594" s="1224"/>
      <c r="D594" s="1224"/>
    </row>
    <row r="595" spans="3:4" x14ac:dyDescent="0.15">
      <c r="C595" s="1224"/>
      <c r="D595" s="1224"/>
    </row>
    <row r="596" spans="3:4" x14ac:dyDescent="0.15">
      <c r="C596" s="1224"/>
      <c r="D596" s="1224"/>
    </row>
    <row r="597" spans="3:4" x14ac:dyDescent="0.15">
      <c r="C597" s="1224"/>
      <c r="D597" s="1224"/>
    </row>
    <row r="598" spans="3:4" x14ac:dyDescent="0.15">
      <c r="C598" s="1224"/>
      <c r="D598" s="1224"/>
    </row>
    <row r="599" spans="3:4" x14ac:dyDescent="0.15">
      <c r="C599" s="1224"/>
      <c r="D599" s="1224"/>
    </row>
    <row r="600" spans="3:4" x14ac:dyDescent="0.15">
      <c r="C600" s="1224"/>
      <c r="D600" s="1224"/>
    </row>
    <row r="601" spans="3:4" x14ac:dyDescent="0.15">
      <c r="C601" s="1224"/>
      <c r="D601" s="1224"/>
    </row>
    <row r="602" spans="3:4" x14ac:dyDescent="0.15">
      <c r="C602" s="1224"/>
      <c r="D602" s="1224"/>
    </row>
    <row r="603" spans="3:4" x14ac:dyDescent="0.15">
      <c r="C603" s="1224"/>
      <c r="D603" s="1224"/>
    </row>
    <row r="604" spans="3:4" x14ac:dyDescent="0.15">
      <c r="C604" s="1224"/>
      <c r="D604" s="1224"/>
    </row>
    <row r="605" spans="3:4" x14ac:dyDescent="0.15">
      <c r="C605" s="1224"/>
      <c r="D605" s="1224"/>
    </row>
    <row r="606" spans="3:4" x14ac:dyDescent="0.15">
      <c r="C606" s="1224"/>
      <c r="D606" s="1224"/>
    </row>
    <row r="607" spans="3:4" x14ac:dyDescent="0.15">
      <c r="C607" s="1224"/>
      <c r="D607" s="1224"/>
    </row>
    <row r="608" spans="3:4" x14ac:dyDescent="0.15">
      <c r="C608" s="1224"/>
      <c r="D608" s="1224"/>
    </row>
    <row r="609" spans="3:4" x14ac:dyDescent="0.15">
      <c r="C609" s="1224"/>
      <c r="D609" s="1224"/>
    </row>
    <row r="610" spans="3:4" x14ac:dyDescent="0.15">
      <c r="C610" s="1224"/>
      <c r="D610" s="1224"/>
    </row>
    <row r="611" spans="3:4" x14ac:dyDescent="0.15">
      <c r="C611" s="1224"/>
      <c r="D611" s="1224"/>
    </row>
    <row r="612" spans="3:4" x14ac:dyDescent="0.15">
      <c r="C612" s="1224"/>
      <c r="D612" s="1224"/>
    </row>
    <row r="613" spans="3:4" x14ac:dyDescent="0.15">
      <c r="C613" s="1224"/>
      <c r="D613" s="1224"/>
    </row>
    <row r="614" spans="3:4" x14ac:dyDescent="0.15">
      <c r="C614" s="1224"/>
      <c r="D614" s="1224"/>
    </row>
    <row r="615" spans="3:4" x14ac:dyDescent="0.15">
      <c r="C615" s="1224"/>
      <c r="D615" s="1224"/>
    </row>
    <row r="616" spans="3:4" x14ac:dyDescent="0.15">
      <c r="C616" s="1224"/>
      <c r="D616" s="1224"/>
    </row>
    <row r="617" spans="3:4" x14ac:dyDescent="0.15">
      <c r="C617" s="1224"/>
      <c r="D617" s="1224"/>
    </row>
    <row r="618" spans="3:4" x14ac:dyDescent="0.15">
      <c r="C618" s="1224"/>
      <c r="D618" s="1224"/>
    </row>
    <row r="619" spans="3:4" x14ac:dyDescent="0.15">
      <c r="C619" s="1224"/>
      <c r="D619" s="1224"/>
    </row>
    <row r="620" spans="3:4" x14ac:dyDescent="0.15">
      <c r="C620" s="1224"/>
      <c r="D620" s="1224"/>
    </row>
    <row r="621" spans="3:4" x14ac:dyDescent="0.15">
      <c r="C621" s="1224"/>
      <c r="D621" s="1224"/>
    </row>
    <row r="622" spans="3:4" x14ac:dyDescent="0.15">
      <c r="C622" s="1224"/>
      <c r="D622" s="1224"/>
    </row>
    <row r="623" spans="3:4" x14ac:dyDescent="0.15">
      <c r="C623" s="1224"/>
      <c r="D623" s="1224"/>
    </row>
    <row r="624" spans="3:4" x14ac:dyDescent="0.15">
      <c r="C624" s="1224"/>
      <c r="D624" s="1224"/>
    </row>
    <row r="625" spans="3:4" x14ac:dyDescent="0.15">
      <c r="C625" s="1224"/>
      <c r="D625" s="1224"/>
    </row>
    <row r="626" spans="3:4" x14ac:dyDescent="0.15">
      <c r="C626" s="1224"/>
      <c r="D626" s="1224"/>
    </row>
    <row r="627" spans="3:4" x14ac:dyDescent="0.15">
      <c r="C627" s="1224"/>
      <c r="D627" s="1224"/>
    </row>
    <row r="628" spans="3:4" x14ac:dyDescent="0.15">
      <c r="C628" s="1224"/>
      <c r="D628" s="1224"/>
    </row>
    <row r="629" spans="3:4" x14ac:dyDescent="0.15">
      <c r="C629" s="1224"/>
      <c r="D629" s="1224"/>
    </row>
    <row r="630" spans="3:4" x14ac:dyDescent="0.15">
      <c r="C630" s="1224"/>
      <c r="D630" s="1224"/>
    </row>
    <row r="631" spans="3:4" x14ac:dyDescent="0.15">
      <c r="C631" s="1224"/>
      <c r="D631" s="1224"/>
    </row>
    <row r="632" spans="3:4" x14ac:dyDescent="0.15">
      <c r="C632" s="1224"/>
      <c r="D632" s="1224"/>
    </row>
    <row r="633" spans="3:4" x14ac:dyDescent="0.15">
      <c r="C633" s="1224"/>
      <c r="D633" s="1224"/>
    </row>
    <row r="634" spans="3:4" x14ac:dyDescent="0.15">
      <c r="C634" s="1224"/>
      <c r="D634" s="1224"/>
    </row>
    <row r="635" spans="3:4" x14ac:dyDescent="0.15">
      <c r="C635" s="1224"/>
      <c r="D635" s="1224"/>
    </row>
    <row r="636" spans="3:4" x14ac:dyDescent="0.15">
      <c r="C636" s="1224"/>
      <c r="D636" s="1224"/>
    </row>
    <row r="637" spans="3:4" x14ac:dyDescent="0.15">
      <c r="C637" s="1224"/>
      <c r="D637" s="1224"/>
    </row>
    <row r="638" spans="3:4" x14ac:dyDescent="0.15">
      <c r="C638" s="1224"/>
      <c r="D638" s="1224"/>
    </row>
    <row r="639" spans="3:4" x14ac:dyDescent="0.15">
      <c r="C639" s="1224"/>
      <c r="D639" s="1224"/>
    </row>
    <row r="640" spans="3:4" x14ac:dyDescent="0.15">
      <c r="C640" s="1224"/>
      <c r="D640" s="1224"/>
    </row>
    <row r="641" spans="3:4" x14ac:dyDescent="0.15">
      <c r="C641" s="1224"/>
      <c r="D641" s="1224"/>
    </row>
    <row r="642" spans="3:4" x14ac:dyDescent="0.15">
      <c r="C642" s="1224"/>
      <c r="D642" s="1224"/>
    </row>
    <row r="643" spans="3:4" x14ac:dyDescent="0.15">
      <c r="C643" s="1224"/>
      <c r="D643" s="1224"/>
    </row>
    <row r="644" spans="3:4" x14ac:dyDescent="0.15">
      <c r="C644" s="1224"/>
      <c r="D644" s="1224"/>
    </row>
    <row r="645" spans="3:4" x14ac:dyDescent="0.15">
      <c r="C645" s="1224"/>
      <c r="D645" s="1224"/>
    </row>
    <row r="646" spans="3:4" x14ac:dyDescent="0.15">
      <c r="C646" s="1224"/>
      <c r="D646" s="1224"/>
    </row>
    <row r="647" spans="3:4" x14ac:dyDescent="0.15">
      <c r="C647" s="1224"/>
      <c r="D647" s="1224"/>
    </row>
    <row r="648" spans="3:4" x14ac:dyDescent="0.15">
      <c r="C648" s="1224"/>
      <c r="D648" s="1224"/>
    </row>
    <row r="649" spans="3:4" x14ac:dyDescent="0.15">
      <c r="C649" s="1224"/>
      <c r="D649" s="1224"/>
    </row>
    <row r="650" spans="3:4" x14ac:dyDescent="0.15">
      <c r="C650" s="1224"/>
      <c r="D650" s="1224"/>
    </row>
    <row r="651" spans="3:4" x14ac:dyDescent="0.15">
      <c r="C651" s="1224"/>
      <c r="D651" s="1224"/>
    </row>
    <row r="652" spans="3:4" x14ac:dyDescent="0.15">
      <c r="C652" s="1224"/>
      <c r="D652" s="1224"/>
    </row>
    <row r="653" spans="3:4" x14ac:dyDescent="0.15">
      <c r="C653" s="1224"/>
      <c r="D653" s="1224"/>
    </row>
    <row r="654" spans="3:4" x14ac:dyDescent="0.15">
      <c r="C654" s="1224"/>
      <c r="D654" s="1224"/>
    </row>
    <row r="655" spans="3:4" x14ac:dyDescent="0.15">
      <c r="C655" s="1224"/>
      <c r="D655" s="1224"/>
    </row>
    <row r="656" spans="3:4" x14ac:dyDescent="0.15">
      <c r="C656" s="1224"/>
      <c r="D656" s="1224"/>
    </row>
    <row r="657" spans="3:4" x14ac:dyDescent="0.15">
      <c r="C657" s="1224"/>
      <c r="D657" s="1224"/>
    </row>
    <row r="658" spans="3:4" x14ac:dyDescent="0.15">
      <c r="C658" s="1224"/>
      <c r="D658" s="1224"/>
    </row>
    <row r="659" spans="3:4" x14ac:dyDescent="0.15">
      <c r="C659" s="1224"/>
      <c r="D659" s="1224"/>
    </row>
    <row r="660" spans="3:4" x14ac:dyDescent="0.15">
      <c r="C660" s="1224"/>
      <c r="D660" s="1224"/>
    </row>
    <row r="661" spans="3:4" x14ac:dyDescent="0.15">
      <c r="C661" s="1224"/>
      <c r="D661" s="1224"/>
    </row>
    <row r="662" spans="3:4" x14ac:dyDescent="0.15">
      <c r="C662" s="1224"/>
      <c r="D662" s="1224"/>
    </row>
    <row r="663" spans="3:4" x14ac:dyDescent="0.15">
      <c r="C663" s="1224"/>
      <c r="D663" s="1224"/>
    </row>
    <row r="664" spans="3:4" x14ac:dyDescent="0.15">
      <c r="C664" s="1224"/>
      <c r="D664" s="1224"/>
    </row>
    <row r="665" spans="3:4" x14ac:dyDescent="0.15">
      <c r="C665" s="1224"/>
      <c r="D665" s="1224"/>
    </row>
    <row r="666" spans="3:4" x14ac:dyDescent="0.15">
      <c r="C666" s="1224"/>
      <c r="D666" s="1224"/>
    </row>
    <row r="667" spans="3:4" x14ac:dyDescent="0.15">
      <c r="C667" s="1224"/>
      <c r="D667" s="1224"/>
    </row>
    <row r="668" spans="3:4" x14ac:dyDescent="0.15">
      <c r="C668" s="1224"/>
      <c r="D668" s="1224"/>
    </row>
    <row r="669" spans="3:4" x14ac:dyDescent="0.15">
      <c r="C669" s="1224"/>
      <c r="D669" s="1224"/>
    </row>
    <row r="670" spans="3:4" x14ac:dyDescent="0.15">
      <c r="C670" s="1224"/>
      <c r="D670" s="1224"/>
    </row>
    <row r="671" spans="3:4" x14ac:dyDescent="0.15">
      <c r="C671" s="1224"/>
      <c r="D671" s="1224"/>
    </row>
    <row r="672" spans="3:4" x14ac:dyDescent="0.15">
      <c r="C672" s="1224"/>
      <c r="D672" s="1224"/>
    </row>
    <row r="673" spans="3:4" x14ac:dyDescent="0.15">
      <c r="C673" s="1224"/>
      <c r="D673" s="1224"/>
    </row>
    <row r="674" spans="3:4" x14ac:dyDescent="0.15">
      <c r="C674" s="1224"/>
      <c r="D674" s="1224"/>
    </row>
    <row r="675" spans="3:4" x14ac:dyDescent="0.15">
      <c r="C675" s="1224"/>
      <c r="D675" s="1224"/>
    </row>
    <row r="676" spans="3:4" x14ac:dyDescent="0.15">
      <c r="C676" s="1224"/>
      <c r="D676" s="1224"/>
    </row>
    <row r="677" spans="3:4" x14ac:dyDescent="0.15">
      <c r="C677" s="1224"/>
      <c r="D677" s="1224"/>
    </row>
    <row r="678" spans="3:4" x14ac:dyDescent="0.15">
      <c r="C678" s="1224"/>
      <c r="D678" s="1224"/>
    </row>
    <row r="679" spans="3:4" x14ac:dyDescent="0.15">
      <c r="C679" s="1224"/>
      <c r="D679" s="1224"/>
    </row>
    <row r="680" spans="3:4" x14ac:dyDescent="0.15">
      <c r="C680" s="1224"/>
      <c r="D680" s="1224"/>
    </row>
    <row r="681" spans="3:4" x14ac:dyDescent="0.15">
      <c r="C681" s="1224"/>
      <c r="D681" s="1224"/>
    </row>
    <row r="682" spans="3:4" x14ac:dyDescent="0.15">
      <c r="C682" s="1224"/>
      <c r="D682" s="1224"/>
    </row>
    <row r="683" spans="3:4" x14ac:dyDescent="0.15">
      <c r="C683" s="1224"/>
      <c r="D683" s="1224"/>
    </row>
    <row r="684" spans="3:4" x14ac:dyDescent="0.15">
      <c r="C684" s="1224"/>
      <c r="D684" s="1224"/>
    </row>
    <row r="685" spans="3:4" x14ac:dyDescent="0.15">
      <c r="C685" s="1224"/>
      <c r="D685" s="1224"/>
    </row>
    <row r="686" spans="3:4" x14ac:dyDescent="0.15">
      <c r="C686" s="1224"/>
      <c r="D686" s="1224"/>
    </row>
    <row r="687" spans="3:4" x14ac:dyDescent="0.15">
      <c r="C687" s="1224"/>
      <c r="D687" s="1224"/>
    </row>
    <row r="688" spans="3:4" x14ac:dyDescent="0.15">
      <c r="C688" s="1224"/>
      <c r="D688" s="1224"/>
    </row>
    <row r="689" spans="3:4" x14ac:dyDescent="0.15">
      <c r="C689" s="1224"/>
      <c r="D689" s="1224"/>
    </row>
    <row r="690" spans="3:4" x14ac:dyDescent="0.15">
      <c r="C690" s="1224"/>
      <c r="D690" s="1224"/>
    </row>
    <row r="691" spans="3:4" x14ac:dyDescent="0.15">
      <c r="C691" s="1224"/>
      <c r="D691" s="1224"/>
    </row>
    <row r="692" spans="3:4" x14ac:dyDescent="0.15">
      <c r="C692" s="1224"/>
      <c r="D692" s="1224"/>
    </row>
    <row r="693" spans="3:4" x14ac:dyDescent="0.15">
      <c r="C693" s="1224"/>
      <c r="D693" s="1224"/>
    </row>
    <row r="694" spans="3:4" x14ac:dyDescent="0.15">
      <c r="C694" s="1224"/>
      <c r="D694" s="1224"/>
    </row>
    <row r="695" spans="3:4" x14ac:dyDescent="0.15">
      <c r="C695" s="1224"/>
      <c r="D695" s="1224"/>
    </row>
    <row r="696" spans="3:4" x14ac:dyDescent="0.15">
      <c r="C696" s="1224"/>
      <c r="D696" s="1224"/>
    </row>
    <row r="697" spans="3:4" x14ac:dyDescent="0.15">
      <c r="C697" s="1224"/>
      <c r="D697" s="1224"/>
    </row>
    <row r="698" spans="3:4" x14ac:dyDescent="0.15">
      <c r="C698" s="1224"/>
      <c r="D698" s="1224"/>
    </row>
    <row r="699" spans="3:4" x14ac:dyDescent="0.15">
      <c r="C699" s="1224"/>
      <c r="D699" s="1224"/>
    </row>
    <row r="700" spans="3:4" x14ac:dyDescent="0.15">
      <c r="C700" s="1224"/>
      <c r="D700" s="1224"/>
    </row>
    <row r="701" spans="3:4" x14ac:dyDescent="0.15">
      <c r="C701" s="1224"/>
      <c r="D701" s="1224"/>
    </row>
    <row r="702" spans="3:4" x14ac:dyDescent="0.15">
      <c r="C702" s="1224"/>
      <c r="D702" s="1224"/>
    </row>
    <row r="703" spans="3:4" x14ac:dyDescent="0.15">
      <c r="C703" s="1224"/>
      <c r="D703" s="1224"/>
    </row>
    <row r="704" spans="3:4" x14ac:dyDescent="0.15">
      <c r="C704" s="1224"/>
      <c r="D704" s="1224"/>
    </row>
    <row r="705" spans="3:4" x14ac:dyDescent="0.15">
      <c r="C705" s="1224"/>
      <c r="D705" s="1224"/>
    </row>
    <row r="706" spans="3:4" x14ac:dyDescent="0.15">
      <c r="C706" s="1224"/>
      <c r="D706" s="1224"/>
    </row>
    <row r="707" spans="3:4" x14ac:dyDescent="0.15">
      <c r="C707" s="1224"/>
      <c r="D707" s="1224"/>
    </row>
    <row r="708" spans="3:4" x14ac:dyDescent="0.15">
      <c r="C708" s="1224"/>
      <c r="D708" s="1224"/>
    </row>
    <row r="709" spans="3:4" x14ac:dyDescent="0.15">
      <c r="C709" s="1224"/>
      <c r="D709" s="1224"/>
    </row>
    <row r="710" spans="3:4" x14ac:dyDescent="0.15">
      <c r="C710" s="1224"/>
      <c r="D710" s="1224"/>
    </row>
    <row r="711" spans="3:4" x14ac:dyDescent="0.15">
      <c r="C711" s="1224"/>
      <c r="D711" s="1224"/>
    </row>
    <row r="712" spans="3:4" x14ac:dyDescent="0.15">
      <c r="C712" s="1224"/>
      <c r="D712" s="1224"/>
    </row>
    <row r="713" spans="3:4" x14ac:dyDescent="0.15">
      <c r="C713" s="1224"/>
      <c r="D713" s="1224"/>
    </row>
    <row r="714" spans="3:4" x14ac:dyDescent="0.15">
      <c r="C714" s="1224"/>
      <c r="D714" s="1224"/>
    </row>
    <row r="715" spans="3:4" x14ac:dyDescent="0.15">
      <c r="C715" s="1224"/>
      <c r="D715" s="1224"/>
    </row>
    <row r="716" spans="3:4" x14ac:dyDescent="0.15">
      <c r="C716" s="1224"/>
      <c r="D716" s="1224"/>
    </row>
    <row r="717" spans="3:4" x14ac:dyDescent="0.15">
      <c r="C717" s="1224"/>
      <c r="D717" s="1224"/>
    </row>
    <row r="718" spans="3:4" x14ac:dyDescent="0.15">
      <c r="C718" s="1224"/>
      <c r="D718" s="1224"/>
    </row>
    <row r="719" spans="3:4" x14ac:dyDescent="0.15">
      <c r="C719" s="1224"/>
      <c r="D719" s="1224"/>
    </row>
    <row r="720" spans="3:4" x14ac:dyDescent="0.15">
      <c r="C720" s="1224"/>
      <c r="D720" s="1224"/>
    </row>
    <row r="721" spans="3:4" x14ac:dyDescent="0.15">
      <c r="C721" s="1224"/>
      <c r="D721" s="1224"/>
    </row>
    <row r="722" spans="3:4" x14ac:dyDescent="0.15">
      <c r="C722" s="1224"/>
      <c r="D722" s="1224"/>
    </row>
    <row r="723" spans="3:4" x14ac:dyDescent="0.15">
      <c r="C723" s="1224"/>
      <c r="D723" s="1224"/>
    </row>
    <row r="724" spans="3:4" x14ac:dyDescent="0.15">
      <c r="C724" s="1224"/>
      <c r="D724" s="1224"/>
    </row>
    <row r="725" spans="3:4" x14ac:dyDescent="0.15">
      <c r="C725" s="1224"/>
      <c r="D725" s="1224"/>
    </row>
    <row r="726" spans="3:4" x14ac:dyDescent="0.15">
      <c r="C726" s="1224"/>
      <c r="D726" s="1224"/>
    </row>
    <row r="727" spans="3:4" x14ac:dyDescent="0.15">
      <c r="C727" s="1224"/>
      <c r="D727" s="1224"/>
    </row>
    <row r="728" spans="3:4" x14ac:dyDescent="0.15">
      <c r="C728" s="1224"/>
      <c r="D728" s="1224"/>
    </row>
    <row r="729" spans="3:4" x14ac:dyDescent="0.15">
      <c r="C729" s="1224"/>
      <c r="D729" s="1224"/>
    </row>
    <row r="730" spans="3:4" x14ac:dyDescent="0.15">
      <c r="C730" s="1224"/>
      <c r="D730" s="1224"/>
    </row>
    <row r="731" spans="3:4" x14ac:dyDescent="0.15">
      <c r="C731" s="1224"/>
      <c r="D731" s="1224"/>
    </row>
    <row r="732" spans="3:4" x14ac:dyDescent="0.15">
      <c r="C732" s="1224"/>
      <c r="D732" s="1224"/>
    </row>
    <row r="733" spans="3:4" x14ac:dyDescent="0.15">
      <c r="C733" s="1224"/>
      <c r="D733" s="1224"/>
    </row>
    <row r="734" spans="3:4" x14ac:dyDescent="0.15">
      <c r="C734" s="1224"/>
      <c r="D734" s="1224"/>
    </row>
    <row r="735" spans="3:4" x14ac:dyDescent="0.15">
      <c r="C735" s="1224"/>
      <c r="D735" s="1224"/>
    </row>
    <row r="736" spans="3:4" x14ac:dyDescent="0.15">
      <c r="C736" s="1224"/>
      <c r="D736" s="1224"/>
    </row>
    <row r="737" spans="3:4" x14ac:dyDescent="0.15">
      <c r="C737" s="1224"/>
      <c r="D737" s="1224"/>
    </row>
    <row r="738" spans="3:4" x14ac:dyDescent="0.15">
      <c r="C738" s="1224"/>
      <c r="D738" s="1224"/>
    </row>
    <row r="739" spans="3:4" x14ac:dyDescent="0.15">
      <c r="C739" s="1224"/>
      <c r="D739" s="1224"/>
    </row>
    <row r="740" spans="3:4" x14ac:dyDescent="0.15">
      <c r="C740" s="1224"/>
      <c r="D740" s="1224"/>
    </row>
    <row r="741" spans="3:4" x14ac:dyDescent="0.15">
      <c r="C741" s="1224"/>
      <c r="D741" s="1224"/>
    </row>
    <row r="742" spans="3:4" x14ac:dyDescent="0.15">
      <c r="C742" s="1224"/>
      <c r="D742" s="1224"/>
    </row>
    <row r="743" spans="3:4" x14ac:dyDescent="0.15">
      <c r="C743" s="1224"/>
      <c r="D743" s="1224"/>
    </row>
    <row r="744" spans="3:4" x14ac:dyDescent="0.15">
      <c r="C744" s="1224"/>
      <c r="D744" s="1224"/>
    </row>
    <row r="745" spans="3:4" x14ac:dyDescent="0.15">
      <c r="C745" s="1224"/>
      <c r="D745" s="1224"/>
    </row>
    <row r="746" spans="3:4" x14ac:dyDescent="0.15">
      <c r="C746" s="1224"/>
      <c r="D746" s="1224"/>
    </row>
    <row r="747" spans="3:4" x14ac:dyDescent="0.15">
      <c r="C747" s="1224"/>
      <c r="D747" s="1224"/>
    </row>
    <row r="748" spans="3:4" x14ac:dyDescent="0.15">
      <c r="C748" s="1224"/>
      <c r="D748" s="1224"/>
    </row>
    <row r="749" spans="3:4" x14ac:dyDescent="0.15">
      <c r="C749" s="1224"/>
      <c r="D749" s="1224"/>
    </row>
    <row r="750" spans="3:4" x14ac:dyDescent="0.15">
      <c r="C750" s="1224"/>
      <c r="D750" s="1224"/>
    </row>
    <row r="751" spans="3:4" x14ac:dyDescent="0.15">
      <c r="C751" s="1224"/>
      <c r="D751" s="1224"/>
    </row>
    <row r="752" spans="3:4" x14ac:dyDescent="0.15">
      <c r="C752" s="1224"/>
      <c r="D752" s="1224"/>
    </row>
    <row r="753" spans="3:4" x14ac:dyDescent="0.15">
      <c r="C753" s="1224"/>
      <c r="D753" s="1224"/>
    </row>
    <row r="754" spans="3:4" x14ac:dyDescent="0.15">
      <c r="C754" s="1224"/>
      <c r="D754" s="1224"/>
    </row>
    <row r="755" spans="3:4" x14ac:dyDescent="0.15">
      <c r="C755" s="1224"/>
      <c r="D755" s="1224"/>
    </row>
    <row r="756" spans="3:4" x14ac:dyDescent="0.15">
      <c r="C756" s="1224"/>
      <c r="D756" s="1224"/>
    </row>
    <row r="757" spans="3:4" x14ac:dyDescent="0.15">
      <c r="C757" s="1224"/>
      <c r="D757" s="1224"/>
    </row>
    <row r="758" spans="3:4" x14ac:dyDescent="0.15">
      <c r="C758" s="1224"/>
      <c r="D758" s="1224"/>
    </row>
    <row r="759" spans="3:4" x14ac:dyDescent="0.15">
      <c r="C759" s="1224"/>
      <c r="D759" s="1224"/>
    </row>
    <row r="760" spans="3:4" x14ac:dyDescent="0.15">
      <c r="C760" s="1224"/>
      <c r="D760" s="1224"/>
    </row>
    <row r="761" spans="3:4" x14ac:dyDescent="0.15">
      <c r="C761" s="1224"/>
      <c r="D761" s="1224"/>
    </row>
    <row r="762" spans="3:4" x14ac:dyDescent="0.15">
      <c r="C762" s="1224"/>
      <c r="D762" s="1224"/>
    </row>
    <row r="763" spans="3:4" x14ac:dyDescent="0.15">
      <c r="C763" s="1224"/>
      <c r="D763" s="1224"/>
    </row>
    <row r="764" spans="3:4" x14ac:dyDescent="0.15">
      <c r="C764" s="1224"/>
      <c r="D764" s="1224"/>
    </row>
    <row r="765" spans="3:4" x14ac:dyDescent="0.15">
      <c r="C765" s="1224"/>
      <c r="D765" s="1224"/>
    </row>
    <row r="766" spans="3:4" x14ac:dyDescent="0.15">
      <c r="C766" s="1224"/>
      <c r="D766" s="1224"/>
    </row>
    <row r="767" spans="3:4" x14ac:dyDescent="0.15">
      <c r="C767" s="1224"/>
      <c r="D767" s="1224"/>
    </row>
    <row r="768" spans="3:4" x14ac:dyDescent="0.15">
      <c r="C768" s="1224"/>
      <c r="D768" s="1224"/>
    </row>
    <row r="769" spans="3:4" x14ac:dyDescent="0.15">
      <c r="C769" s="1224"/>
      <c r="D769" s="1224"/>
    </row>
    <row r="770" spans="3:4" x14ac:dyDescent="0.15">
      <c r="C770" s="1224"/>
      <c r="D770" s="1224"/>
    </row>
    <row r="771" spans="3:4" x14ac:dyDescent="0.15">
      <c r="C771" s="1224"/>
      <c r="D771" s="1224"/>
    </row>
    <row r="772" spans="3:4" x14ac:dyDescent="0.15">
      <c r="C772" s="1224"/>
      <c r="D772" s="1224"/>
    </row>
    <row r="773" spans="3:4" x14ac:dyDescent="0.15">
      <c r="C773" s="1224"/>
      <c r="D773" s="1224"/>
    </row>
    <row r="774" spans="3:4" x14ac:dyDescent="0.15">
      <c r="C774" s="1224"/>
      <c r="D774" s="1224"/>
    </row>
    <row r="775" spans="3:4" x14ac:dyDescent="0.15">
      <c r="C775" s="1224"/>
      <c r="D775" s="1224"/>
    </row>
    <row r="776" spans="3:4" x14ac:dyDescent="0.15">
      <c r="C776" s="1224"/>
      <c r="D776" s="1224"/>
    </row>
    <row r="777" spans="3:4" x14ac:dyDescent="0.15">
      <c r="C777" s="1224"/>
      <c r="D777" s="1224"/>
    </row>
    <row r="778" spans="3:4" x14ac:dyDescent="0.15">
      <c r="C778" s="1224"/>
      <c r="D778" s="1224"/>
    </row>
    <row r="779" spans="3:4" x14ac:dyDescent="0.15">
      <c r="C779" s="1224"/>
      <c r="D779" s="1224"/>
    </row>
    <row r="780" spans="3:4" x14ac:dyDescent="0.15">
      <c r="C780" s="1224"/>
      <c r="D780" s="1224"/>
    </row>
    <row r="781" spans="3:4" x14ac:dyDescent="0.15">
      <c r="C781" s="1224"/>
      <c r="D781" s="1224"/>
    </row>
    <row r="782" spans="3:4" x14ac:dyDescent="0.15">
      <c r="C782" s="1224"/>
      <c r="D782" s="1224"/>
    </row>
    <row r="783" spans="3:4" x14ac:dyDescent="0.15">
      <c r="C783" s="1224"/>
      <c r="D783" s="1224"/>
    </row>
    <row r="784" spans="3:4" x14ac:dyDescent="0.15">
      <c r="C784" s="1224"/>
      <c r="D784" s="1224"/>
    </row>
    <row r="785" spans="3:4" x14ac:dyDescent="0.15">
      <c r="C785" s="1224"/>
      <c r="D785" s="1224"/>
    </row>
    <row r="786" spans="3:4" x14ac:dyDescent="0.15">
      <c r="C786" s="1224"/>
      <c r="D786" s="1224"/>
    </row>
    <row r="787" spans="3:4" x14ac:dyDescent="0.15">
      <c r="C787" s="1224"/>
      <c r="D787" s="1224"/>
    </row>
    <row r="788" spans="3:4" x14ac:dyDescent="0.15">
      <c r="C788" s="1224"/>
      <c r="D788" s="1224"/>
    </row>
    <row r="789" spans="3:4" x14ac:dyDescent="0.15">
      <c r="C789" s="1224"/>
      <c r="D789" s="1224"/>
    </row>
    <row r="790" spans="3:4" x14ac:dyDescent="0.15">
      <c r="C790" s="1224"/>
      <c r="D790" s="1224"/>
    </row>
    <row r="791" spans="3:4" x14ac:dyDescent="0.15">
      <c r="C791" s="1224"/>
      <c r="D791" s="1224"/>
    </row>
    <row r="792" spans="3:4" x14ac:dyDescent="0.15">
      <c r="C792" s="1224"/>
      <c r="D792" s="1224"/>
    </row>
    <row r="793" spans="3:4" x14ac:dyDescent="0.15">
      <c r="C793" s="1224"/>
      <c r="D793" s="1224"/>
    </row>
    <row r="794" spans="3:4" x14ac:dyDescent="0.15">
      <c r="C794" s="1224"/>
      <c r="D794" s="1224"/>
    </row>
    <row r="795" spans="3:4" x14ac:dyDescent="0.15">
      <c r="C795" s="1224"/>
      <c r="D795" s="1224"/>
    </row>
    <row r="796" spans="3:4" x14ac:dyDescent="0.15">
      <c r="C796" s="1224"/>
      <c r="D796" s="1224"/>
    </row>
    <row r="797" spans="3:4" x14ac:dyDescent="0.15">
      <c r="C797" s="1224"/>
      <c r="D797" s="1224"/>
    </row>
    <row r="798" spans="3:4" x14ac:dyDescent="0.15">
      <c r="C798" s="1224"/>
      <c r="D798" s="1224"/>
    </row>
    <row r="799" spans="3:4" x14ac:dyDescent="0.15">
      <c r="C799" s="1224"/>
      <c r="D799" s="1224"/>
    </row>
    <row r="800" spans="3:4" x14ac:dyDescent="0.15">
      <c r="C800" s="1224"/>
      <c r="D800" s="1224"/>
    </row>
    <row r="801" spans="3:4" x14ac:dyDescent="0.15">
      <c r="C801" s="1224"/>
      <c r="D801" s="1224"/>
    </row>
    <row r="802" spans="3:4" x14ac:dyDescent="0.15">
      <c r="C802" s="1224"/>
      <c r="D802" s="1224"/>
    </row>
    <row r="803" spans="3:4" x14ac:dyDescent="0.15">
      <c r="C803" s="1224"/>
      <c r="D803" s="1224"/>
    </row>
    <row r="804" spans="3:4" x14ac:dyDescent="0.15">
      <c r="C804" s="1224"/>
      <c r="D804" s="1224"/>
    </row>
    <row r="805" spans="3:4" x14ac:dyDescent="0.15">
      <c r="C805" s="1224"/>
      <c r="D805" s="1224"/>
    </row>
    <row r="806" spans="3:4" x14ac:dyDescent="0.15">
      <c r="C806" s="1224"/>
      <c r="D806" s="1224"/>
    </row>
    <row r="807" spans="3:4" x14ac:dyDescent="0.15">
      <c r="C807" s="1224"/>
      <c r="D807" s="1224"/>
    </row>
    <row r="808" spans="3:4" x14ac:dyDescent="0.15">
      <c r="C808" s="1224"/>
      <c r="D808" s="1224"/>
    </row>
    <row r="809" spans="3:4" x14ac:dyDescent="0.15">
      <c r="C809" s="1224"/>
      <c r="D809" s="1224"/>
    </row>
    <row r="810" spans="3:4" x14ac:dyDescent="0.15">
      <c r="C810" s="1224"/>
      <c r="D810" s="1224"/>
    </row>
    <row r="811" spans="3:4" x14ac:dyDescent="0.15">
      <c r="C811" s="1224"/>
      <c r="D811" s="1224"/>
    </row>
    <row r="812" spans="3:4" x14ac:dyDescent="0.15">
      <c r="C812" s="1224"/>
      <c r="D812" s="1224"/>
    </row>
    <row r="813" spans="3:4" x14ac:dyDescent="0.15">
      <c r="C813" s="1224"/>
      <c r="D813" s="1224"/>
    </row>
    <row r="814" spans="3:4" x14ac:dyDescent="0.15">
      <c r="C814" s="1224"/>
      <c r="D814" s="1224"/>
    </row>
    <row r="815" spans="3:4" x14ac:dyDescent="0.15">
      <c r="C815" s="1224"/>
      <c r="D815" s="1224"/>
    </row>
    <row r="816" spans="3:4" x14ac:dyDescent="0.15">
      <c r="C816" s="1224"/>
      <c r="D816" s="1224"/>
    </row>
    <row r="817" spans="3:4" x14ac:dyDescent="0.15">
      <c r="C817" s="1224"/>
      <c r="D817" s="1224"/>
    </row>
    <row r="818" spans="3:4" x14ac:dyDescent="0.15">
      <c r="C818" s="1224"/>
      <c r="D818" s="1224"/>
    </row>
    <row r="819" spans="3:4" x14ac:dyDescent="0.15">
      <c r="C819" s="1224"/>
      <c r="D819" s="1224"/>
    </row>
    <row r="820" spans="3:4" x14ac:dyDescent="0.15">
      <c r="C820" s="1224"/>
      <c r="D820" s="1224"/>
    </row>
    <row r="821" spans="3:4" x14ac:dyDescent="0.15">
      <c r="C821" s="1224"/>
      <c r="D821" s="1224"/>
    </row>
    <row r="822" spans="3:4" x14ac:dyDescent="0.15">
      <c r="C822" s="1224"/>
      <c r="D822" s="1224"/>
    </row>
    <row r="823" spans="3:4" x14ac:dyDescent="0.15">
      <c r="C823" s="1224"/>
      <c r="D823" s="1224"/>
    </row>
    <row r="824" spans="3:4" x14ac:dyDescent="0.15">
      <c r="C824" s="1224"/>
      <c r="D824" s="1224"/>
    </row>
    <row r="825" spans="3:4" x14ac:dyDescent="0.15">
      <c r="C825" s="1224"/>
      <c r="D825" s="1224"/>
    </row>
    <row r="826" spans="3:4" x14ac:dyDescent="0.15">
      <c r="C826" s="1224"/>
      <c r="D826" s="1224"/>
    </row>
    <row r="827" spans="3:4" x14ac:dyDescent="0.15">
      <c r="C827" s="1224"/>
      <c r="D827" s="1224"/>
    </row>
    <row r="828" spans="3:4" x14ac:dyDescent="0.15">
      <c r="C828" s="1224"/>
      <c r="D828" s="1224"/>
    </row>
    <row r="829" spans="3:4" x14ac:dyDescent="0.15">
      <c r="C829" s="1224"/>
      <c r="D829" s="1224"/>
    </row>
    <row r="830" spans="3:4" x14ac:dyDescent="0.15">
      <c r="C830" s="1224"/>
      <c r="D830" s="1224"/>
    </row>
    <row r="831" spans="3:4" x14ac:dyDescent="0.15">
      <c r="C831" s="1224"/>
      <c r="D831" s="1224"/>
    </row>
    <row r="832" spans="3:4" x14ac:dyDescent="0.15">
      <c r="C832" s="1224"/>
      <c r="D832" s="1224"/>
    </row>
    <row r="833" spans="3:4" x14ac:dyDescent="0.15">
      <c r="C833" s="1224"/>
      <c r="D833" s="1224"/>
    </row>
    <row r="834" spans="3:4" x14ac:dyDescent="0.15">
      <c r="C834" s="1224"/>
      <c r="D834" s="1224"/>
    </row>
    <row r="835" spans="3:4" x14ac:dyDescent="0.15">
      <c r="C835" s="1224"/>
      <c r="D835" s="1224"/>
    </row>
    <row r="836" spans="3:4" x14ac:dyDescent="0.15">
      <c r="C836" s="1224"/>
      <c r="D836" s="1224"/>
    </row>
    <row r="837" spans="3:4" x14ac:dyDescent="0.15">
      <c r="C837" s="1224"/>
      <c r="D837" s="1224"/>
    </row>
    <row r="838" spans="3:4" x14ac:dyDescent="0.15">
      <c r="C838" s="1224"/>
      <c r="D838" s="1224"/>
    </row>
    <row r="839" spans="3:4" x14ac:dyDescent="0.15">
      <c r="C839" s="1224"/>
      <c r="D839" s="1224"/>
    </row>
    <row r="840" spans="3:4" x14ac:dyDescent="0.15">
      <c r="C840" s="1224"/>
      <c r="D840" s="1224"/>
    </row>
    <row r="841" spans="3:4" x14ac:dyDescent="0.15">
      <c r="C841" s="1224"/>
      <c r="D841" s="1224"/>
    </row>
    <row r="842" spans="3:4" x14ac:dyDescent="0.15">
      <c r="C842" s="1224"/>
      <c r="D842" s="1224"/>
    </row>
    <row r="843" spans="3:4" x14ac:dyDescent="0.15">
      <c r="C843" s="1224"/>
      <c r="D843" s="1224"/>
    </row>
    <row r="844" spans="3:4" x14ac:dyDescent="0.15">
      <c r="C844" s="1224"/>
      <c r="D844" s="1224"/>
    </row>
    <row r="845" spans="3:4" x14ac:dyDescent="0.15">
      <c r="C845" s="1224"/>
      <c r="D845" s="1224"/>
    </row>
    <row r="846" spans="3:4" x14ac:dyDescent="0.15">
      <c r="C846" s="1224"/>
      <c r="D846" s="1224"/>
    </row>
    <row r="847" spans="3:4" x14ac:dyDescent="0.15">
      <c r="C847" s="1224"/>
      <c r="D847" s="1224"/>
    </row>
    <row r="848" spans="3:4" x14ac:dyDescent="0.15">
      <c r="C848" s="1224"/>
      <c r="D848" s="1224"/>
    </row>
    <row r="849" spans="3:4" x14ac:dyDescent="0.15">
      <c r="C849" s="1224"/>
      <c r="D849" s="1224"/>
    </row>
    <row r="850" spans="3:4" x14ac:dyDescent="0.15">
      <c r="C850" s="1224"/>
      <c r="D850" s="1224"/>
    </row>
    <row r="851" spans="3:4" x14ac:dyDescent="0.15">
      <c r="C851" s="1224"/>
      <c r="D851" s="1224"/>
    </row>
    <row r="852" spans="3:4" x14ac:dyDescent="0.15">
      <c r="C852" s="1224"/>
      <c r="D852" s="1224"/>
    </row>
    <row r="853" spans="3:4" x14ac:dyDescent="0.15">
      <c r="C853" s="1224"/>
      <c r="D853" s="1224"/>
    </row>
    <row r="854" spans="3:4" x14ac:dyDescent="0.15">
      <c r="C854" s="1224"/>
      <c r="D854" s="1224"/>
    </row>
    <row r="855" spans="3:4" x14ac:dyDescent="0.15">
      <c r="C855" s="1224"/>
      <c r="D855" s="1224"/>
    </row>
    <row r="856" spans="3:4" x14ac:dyDescent="0.15">
      <c r="C856" s="1224"/>
      <c r="D856" s="1224"/>
    </row>
    <row r="857" spans="3:4" x14ac:dyDescent="0.15">
      <c r="C857" s="1224"/>
      <c r="D857" s="1224"/>
    </row>
    <row r="858" spans="3:4" x14ac:dyDescent="0.15">
      <c r="C858" s="1224"/>
      <c r="D858" s="1224"/>
    </row>
    <row r="859" spans="3:4" x14ac:dyDescent="0.15">
      <c r="C859" s="1224"/>
      <c r="D859" s="1224"/>
    </row>
    <row r="860" spans="3:4" x14ac:dyDescent="0.15">
      <c r="C860" s="1224"/>
      <c r="D860" s="1224"/>
    </row>
    <row r="861" spans="3:4" x14ac:dyDescent="0.15">
      <c r="C861" s="1224"/>
      <c r="D861" s="1224"/>
    </row>
  </sheetData>
  <mergeCells count="7">
    <mergeCell ref="F140:Q140"/>
    <mergeCell ref="X8:AA12"/>
    <mergeCell ref="F6:Q6"/>
    <mergeCell ref="A75:R75"/>
    <mergeCell ref="B76:L76"/>
    <mergeCell ref="F77:Q77"/>
    <mergeCell ref="T78:W80"/>
  </mergeCells>
  <pageMargins left="0.7" right="0.7" top="0.75" bottom="0.75" header="0.3" footer="0.3"/>
  <pageSetup scale="77" orientation="portrait" r:id="rId1"/>
  <ignoredErrors>
    <ignoredError sqref="R60:R70 R72 R48:R51 R31:R45 R21:R28 R53:R57 E9:Q73 S72:V72 R10:R19 R9 R20" unlockedFormula="1"/>
    <ignoredError sqref="C83:C134 B143:B468" numberStoredAsText="1"/>
    <ignoredError sqref="E83:E134" formulaRange="1"/>
  </ignoredErrors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J338"/>
  <sheetViews>
    <sheetView zoomScaleNormal="100" workbookViewId="0">
      <pane xSplit="2" ySplit="7" topLeftCell="C319" activePane="bottomRight" state="frozen"/>
      <selection activeCell="C27" sqref="C27"/>
      <selection pane="topRight" activeCell="C27" sqref="C27"/>
      <selection pane="bottomLeft" activeCell="C27" sqref="C27"/>
      <selection pane="bottomRight" activeCell="K348" sqref="K348"/>
    </sheetView>
  </sheetViews>
  <sheetFormatPr defaultColWidth="9.33203125" defaultRowHeight="11.25" x14ac:dyDescent="0.2"/>
  <cols>
    <col min="1" max="1" width="28.6640625" style="1591" customWidth="1"/>
    <col min="2" max="2" width="8" style="826" bestFit="1" customWidth="1"/>
    <col min="3" max="3" width="14.33203125" style="495" bestFit="1" customWidth="1"/>
    <col min="4" max="4" width="15" style="495" bestFit="1" customWidth="1"/>
    <col min="5" max="5" width="13.1640625" style="493" bestFit="1" customWidth="1"/>
    <col min="6" max="6" width="9.33203125" style="458"/>
    <col min="7" max="7" width="11.5" style="458" bestFit="1" customWidth="1"/>
    <col min="8" max="16384" width="9.33203125" style="458"/>
  </cols>
  <sheetData>
    <row r="1" spans="1:10" x14ac:dyDescent="0.2">
      <c r="A1" s="1591" t="s">
        <v>1123</v>
      </c>
      <c r="H1" s="1601"/>
    </row>
    <row r="2" spans="1:10" x14ac:dyDescent="0.2">
      <c r="A2" s="1591" t="s">
        <v>219</v>
      </c>
    </row>
    <row r="3" spans="1:10" s="802" customFormat="1" x14ac:dyDescent="0.2">
      <c r="A3" s="1633" t="s">
        <v>2041</v>
      </c>
      <c r="B3" s="826"/>
      <c r="C3" s="1236"/>
      <c r="D3" s="1236"/>
      <c r="E3" s="1588"/>
    </row>
    <row r="4" spans="1:10" x14ac:dyDescent="0.2">
      <c r="A4" s="1592"/>
    </row>
    <row r="5" spans="1:10" x14ac:dyDescent="0.2">
      <c r="A5" s="825" t="s">
        <v>220</v>
      </c>
      <c r="C5" s="827"/>
    </row>
    <row r="6" spans="1:10" x14ac:dyDescent="0.2">
      <c r="A6" s="828" t="s">
        <v>221</v>
      </c>
      <c r="B6" s="829" t="s">
        <v>1124</v>
      </c>
      <c r="C6" s="1589" t="s">
        <v>1194</v>
      </c>
      <c r="D6" s="1589" t="s">
        <v>1194</v>
      </c>
      <c r="E6" s="830" t="s">
        <v>222</v>
      </c>
    </row>
    <row r="7" spans="1:10" ht="13.5" x14ac:dyDescent="0.35">
      <c r="C7" s="1590" t="s">
        <v>223</v>
      </c>
      <c r="D7" s="1590" t="s">
        <v>224</v>
      </c>
    </row>
    <row r="8" spans="1:10" s="802" customFormat="1" x14ac:dyDescent="0.2">
      <c r="A8" s="1593" t="s">
        <v>2052</v>
      </c>
      <c r="B8" s="1111">
        <f>'Base TY Budget'!B$143</f>
        <v>870</v>
      </c>
      <c r="C8" s="1634">
        <f>'Base TY Budget'!E143</f>
        <v>59190.69</v>
      </c>
      <c r="D8" s="1634">
        <f>'Forecast TY Budget &amp; D-2.4 Adj'!E143</f>
        <v>97461</v>
      </c>
      <c r="E8" s="1588">
        <f>D8-C8</f>
        <v>38270.31</v>
      </c>
      <c r="G8" s="1236">
        <f>SUMIF($B$8:$B$333,870,$E$8:$E$333)</f>
        <v>194603.52000000005</v>
      </c>
      <c r="I8" s="802">
        <v>195549.52000000002</v>
      </c>
      <c r="J8" s="1637">
        <f>G8-I8</f>
        <v>-945.9999999999709</v>
      </c>
    </row>
    <row r="9" spans="1:10" s="802" customFormat="1" x14ac:dyDescent="0.2">
      <c r="A9" s="1593" t="s">
        <v>2052</v>
      </c>
      <c r="B9" s="1111">
        <f>'Base TY Budget'!B144</f>
        <v>871</v>
      </c>
      <c r="C9" s="1634">
        <f>'Base TY Budget'!E144</f>
        <v>55521.96</v>
      </c>
      <c r="D9" s="1634">
        <f>'Forecast TY Budget &amp; D-2.4 Adj'!E144</f>
        <v>66644</v>
      </c>
      <c r="E9" s="1588">
        <f t="shared" ref="E9:E71" si="0">D9-C9</f>
        <v>11122.04</v>
      </c>
      <c r="G9" s="1236">
        <f>SUMIF($B$8:$B$333,871,$E$8:$E$333)</f>
        <v>-101452.48</v>
      </c>
      <c r="I9" s="802">
        <v>8814.5200000000041</v>
      </c>
      <c r="J9" s="1637">
        <f t="shared" ref="J9:J24" si="1">G9-I9</f>
        <v>-110267</v>
      </c>
    </row>
    <row r="10" spans="1:10" s="802" customFormat="1" x14ac:dyDescent="0.2">
      <c r="A10" s="1593" t="s">
        <v>2052</v>
      </c>
      <c r="B10" s="1111">
        <f>'Base TY Budget'!B145</f>
        <v>874</v>
      </c>
      <c r="C10" s="1634">
        <f>'Base TY Budget'!E145</f>
        <v>1527399.9100000001</v>
      </c>
      <c r="D10" s="1634">
        <f>'Forecast TY Budget &amp; D-2.4 Adj'!E145</f>
        <v>1726536</v>
      </c>
      <c r="E10" s="1588">
        <f t="shared" si="0"/>
        <v>199136.08999999985</v>
      </c>
      <c r="G10" s="1236">
        <f>SUMIF($B$8:$B$333,874,$E$8:$E$333)</f>
        <v>556050.0199999999</v>
      </c>
      <c r="I10" s="802">
        <v>-353879.98000000045</v>
      </c>
      <c r="J10" s="1637">
        <f t="shared" si="1"/>
        <v>909930.00000000035</v>
      </c>
    </row>
    <row r="11" spans="1:10" s="802" customFormat="1" x14ac:dyDescent="0.2">
      <c r="A11" s="1593" t="s">
        <v>2052</v>
      </c>
      <c r="B11" s="1111">
        <f>'Base TY Budget'!B146</f>
        <v>875</v>
      </c>
      <c r="C11" s="1634">
        <f>'Base TY Budget'!E146</f>
        <v>75792.600000000006</v>
      </c>
      <c r="D11" s="1634">
        <f>'Forecast TY Budget &amp; D-2.4 Adj'!E146</f>
        <v>82347</v>
      </c>
      <c r="E11" s="1588">
        <f t="shared" si="0"/>
        <v>6554.3999999999942</v>
      </c>
      <c r="G11" s="1236">
        <f>SUMIF($B$8:$B$333,875,$E$8:$E$333)</f>
        <v>34051.179999999993</v>
      </c>
      <c r="I11" s="802">
        <v>16006.080000000016</v>
      </c>
      <c r="J11" s="1637">
        <f t="shared" si="1"/>
        <v>18045.099999999977</v>
      </c>
    </row>
    <row r="12" spans="1:10" s="802" customFormat="1" ht="12" customHeight="1" x14ac:dyDescent="0.2">
      <c r="A12" s="1593" t="s">
        <v>2052</v>
      </c>
      <c r="B12" s="1111">
        <f>'Base TY Budget'!B147</f>
        <v>876</v>
      </c>
      <c r="C12" s="1634">
        <f>'Base TY Budget'!E147</f>
        <v>41798.86</v>
      </c>
      <c r="D12" s="1634">
        <f>'Forecast TY Budget &amp; D-2.4 Adj'!E147</f>
        <v>38736</v>
      </c>
      <c r="E12" s="1588">
        <f t="shared" si="0"/>
        <v>-3062.8600000000006</v>
      </c>
      <c r="G12" s="1236">
        <f>SUMIF($B$8:$B$333,876,$E$8:$E$333)</f>
        <v>-1549.0300000000011</v>
      </c>
      <c r="I12" s="802">
        <v>-2932.0299999999988</v>
      </c>
      <c r="J12" s="1637">
        <f t="shared" si="1"/>
        <v>1382.9999999999977</v>
      </c>
    </row>
    <row r="13" spans="1:10" s="802" customFormat="1" x14ac:dyDescent="0.2">
      <c r="A13" s="1593" t="s">
        <v>2052</v>
      </c>
      <c r="B13" s="1111">
        <f>'Base TY Budget'!B148</f>
        <v>878</v>
      </c>
      <c r="C13" s="1634">
        <f>'Base TY Budget'!E148</f>
        <v>1196946.23</v>
      </c>
      <c r="D13" s="1634">
        <f>'Forecast TY Budget &amp; D-2.4 Adj'!E148</f>
        <v>1279637</v>
      </c>
      <c r="E13" s="1588">
        <f t="shared" si="0"/>
        <v>82690.770000000019</v>
      </c>
      <c r="G13" s="1236">
        <f>SUMIF($B$8:$B$333,878,$E$8:$E$333)</f>
        <v>107101.19154</v>
      </c>
      <c r="I13" s="802">
        <v>55350.929080000147</v>
      </c>
      <c r="J13" s="1637">
        <f t="shared" si="1"/>
        <v>51750.262459999853</v>
      </c>
    </row>
    <row r="14" spans="1:10" s="802" customFormat="1" x14ac:dyDescent="0.2">
      <c r="A14" s="1593" t="s">
        <v>2052</v>
      </c>
      <c r="B14" s="1111">
        <f>'Base TY Budget'!B149</f>
        <v>879</v>
      </c>
      <c r="C14" s="1634">
        <f>'Base TY Budget'!E149</f>
        <v>1382843.71</v>
      </c>
      <c r="D14" s="1634">
        <f>'Forecast TY Budget &amp; D-2.4 Adj'!E149</f>
        <v>1500691</v>
      </c>
      <c r="E14" s="1588">
        <f t="shared" si="0"/>
        <v>117847.29000000004</v>
      </c>
      <c r="G14" s="1236">
        <f>SUMIF($B$8:$B$333,879,$E$8:$E$333)</f>
        <v>165221.42600000001</v>
      </c>
      <c r="I14" s="802">
        <v>69016.975999999791</v>
      </c>
      <c r="J14" s="1637">
        <f t="shared" si="1"/>
        <v>96204.450000000215</v>
      </c>
    </row>
    <row r="15" spans="1:10" s="802" customFormat="1" x14ac:dyDescent="0.2">
      <c r="A15" s="1593" t="s">
        <v>2052</v>
      </c>
      <c r="B15" s="1111">
        <f>'Base TY Budget'!B150</f>
        <v>880</v>
      </c>
      <c r="C15" s="1634">
        <f>'Base TY Budget'!E150</f>
        <v>527380.49</v>
      </c>
      <c r="D15" s="1634">
        <f>'Forecast TY Budget &amp; D-2.4 Adj'!E150</f>
        <v>547972</v>
      </c>
      <c r="E15" s="1588">
        <f t="shared" si="0"/>
        <v>20591.510000000009</v>
      </c>
      <c r="G15" s="1236">
        <f>SUMIF($B$8:$B$333,880,$E$8:$E$333)</f>
        <v>166432.33000000002</v>
      </c>
      <c r="I15" s="802">
        <v>-49761.669999999925</v>
      </c>
      <c r="J15" s="1637">
        <f t="shared" si="1"/>
        <v>216193.99999999994</v>
      </c>
    </row>
    <row r="16" spans="1:10" s="802" customFormat="1" x14ac:dyDescent="0.2">
      <c r="A16" s="1593" t="s">
        <v>2052</v>
      </c>
      <c r="B16" s="1111">
        <f>'Base TY Budget'!B151</f>
        <v>885</v>
      </c>
      <c r="C16" s="1634">
        <f>'Base TY Budget'!E151</f>
        <v>8237.1500000000015</v>
      </c>
      <c r="D16" s="1634">
        <f>'Forecast TY Budget &amp; D-2.4 Adj'!E151</f>
        <v>8649</v>
      </c>
      <c r="E16" s="1588">
        <f t="shared" si="0"/>
        <v>411.84999999999854</v>
      </c>
      <c r="G16" s="1236">
        <f>SUMIF($B$8:$B$333,881,$E$8:$E$333)</f>
        <v>-785.36000000000058</v>
      </c>
      <c r="I16" s="802">
        <v>-14190.36</v>
      </c>
      <c r="J16" s="1637">
        <f t="shared" si="1"/>
        <v>13405</v>
      </c>
    </row>
    <row r="17" spans="1:10" s="802" customFormat="1" x14ac:dyDescent="0.2">
      <c r="A17" s="1593" t="s">
        <v>2052</v>
      </c>
      <c r="B17" s="1111">
        <f>'Base TY Budget'!B152</f>
        <v>886</v>
      </c>
      <c r="C17" s="1634">
        <f>'Base TY Budget'!E152</f>
        <v>1968.6799999999998</v>
      </c>
      <c r="D17" s="1634">
        <f>'Forecast TY Budget &amp; D-2.4 Adj'!E152</f>
        <v>2509</v>
      </c>
      <c r="E17" s="1588">
        <f t="shared" si="0"/>
        <v>540.32000000000016</v>
      </c>
      <c r="G17" s="1236">
        <f>SUMIF($B$8:$B$333,885,$E$8:$E$333)</f>
        <v>558.42999999999847</v>
      </c>
      <c r="I17" s="802">
        <v>69.430000000000291</v>
      </c>
      <c r="J17" s="1637">
        <f t="shared" si="1"/>
        <v>488.99999999999818</v>
      </c>
    </row>
    <row r="18" spans="1:10" s="802" customFormat="1" x14ac:dyDescent="0.2">
      <c r="A18" s="1593" t="s">
        <v>2052</v>
      </c>
      <c r="B18" s="1111">
        <f>'Base TY Budget'!B153</f>
        <v>887</v>
      </c>
      <c r="C18" s="1634">
        <f>'Base TY Budget'!E153</f>
        <v>841927.32</v>
      </c>
      <c r="D18" s="1634">
        <f>'Forecast TY Budget &amp; D-2.4 Adj'!E153</f>
        <v>926354</v>
      </c>
      <c r="E18" s="1588">
        <f t="shared" si="0"/>
        <v>84426.680000000051</v>
      </c>
      <c r="G18" s="1236">
        <f>SUMIF($B$8:$B$333,886,$E$8:$E$333)</f>
        <v>-2449.7299999999923</v>
      </c>
      <c r="I18" s="802">
        <v>-59827.81</v>
      </c>
      <c r="J18" s="1637">
        <f t="shared" si="1"/>
        <v>57378.080000000002</v>
      </c>
    </row>
    <row r="19" spans="1:10" s="802" customFormat="1" x14ac:dyDescent="0.2">
      <c r="A19" s="1593" t="s">
        <v>2052</v>
      </c>
      <c r="B19" s="1111">
        <f>'Base TY Budget'!B154</f>
        <v>889</v>
      </c>
      <c r="C19" s="1634">
        <f>'Base TY Budget'!E154</f>
        <v>129612.97</v>
      </c>
      <c r="D19" s="1634">
        <f>'Forecast TY Budget &amp; D-2.4 Adj'!E154</f>
        <v>138594</v>
      </c>
      <c r="E19" s="1588">
        <f t="shared" si="0"/>
        <v>8981.0299999999988</v>
      </c>
      <c r="G19" s="1236">
        <f>SUMIF($B$8:$B$333,887,$E$8:$E$333)</f>
        <v>245042.79053000017</v>
      </c>
      <c r="I19" s="802">
        <v>-258752.87791999988</v>
      </c>
      <c r="J19" s="1637">
        <f t="shared" si="1"/>
        <v>503795.66845000006</v>
      </c>
    </row>
    <row r="20" spans="1:10" s="802" customFormat="1" x14ac:dyDescent="0.2">
      <c r="A20" s="1593" t="s">
        <v>2052</v>
      </c>
      <c r="B20" s="1111">
        <f>'Base TY Budget'!B155</f>
        <v>890</v>
      </c>
      <c r="C20" s="1634">
        <f>'Base TY Budget'!E155</f>
        <v>18872.45</v>
      </c>
      <c r="D20" s="1634">
        <f>'Forecast TY Budget &amp; D-2.4 Adj'!E155</f>
        <v>19419</v>
      </c>
      <c r="E20" s="1588">
        <f t="shared" si="0"/>
        <v>546.54999999999927</v>
      </c>
      <c r="G20" s="1236">
        <f>SUMIF($B$8:$B$333,889,$E$8:$E$333)</f>
        <v>127.02999999999724</v>
      </c>
      <c r="I20" s="802">
        <v>-10782.959999999992</v>
      </c>
      <c r="J20" s="1637">
        <f t="shared" si="1"/>
        <v>10909.989999999989</v>
      </c>
    </row>
    <row r="21" spans="1:10" s="802" customFormat="1" x14ac:dyDescent="0.2">
      <c r="A21" s="1593" t="s">
        <v>2052</v>
      </c>
      <c r="B21" s="1111">
        <f>'Base TY Budget'!B156</f>
        <v>892</v>
      </c>
      <c r="C21" s="1634">
        <f>'Base TY Budget'!E156</f>
        <v>270728.53999999998</v>
      </c>
      <c r="D21" s="1634">
        <f>'Forecast TY Budget &amp; D-2.4 Adj'!E156</f>
        <v>298657</v>
      </c>
      <c r="E21" s="1588">
        <f t="shared" si="0"/>
        <v>27928.460000000021</v>
      </c>
      <c r="G21" s="1236">
        <f>SUMIF($B$8:$B$333,890,$E$8:$E$333)</f>
        <v>9129.1300000000028</v>
      </c>
      <c r="I21" s="802">
        <v>8849.1299999999974</v>
      </c>
      <c r="J21" s="1637">
        <f t="shared" si="1"/>
        <v>280.00000000000546</v>
      </c>
    </row>
    <row r="22" spans="1:10" s="802" customFormat="1" x14ac:dyDescent="0.2">
      <c r="A22" s="1593" t="s">
        <v>2052</v>
      </c>
      <c r="B22" s="1111">
        <f>'Base TY Budget'!B157</f>
        <v>893</v>
      </c>
      <c r="C22" s="1634">
        <f>'Base TY Budget'!E157</f>
        <v>33249.520000000004</v>
      </c>
      <c r="D22" s="1634">
        <f>'Forecast TY Budget &amp; D-2.4 Adj'!E157</f>
        <v>26851</v>
      </c>
      <c r="E22" s="1588">
        <f t="shared" si="0"/>
        <v>-6398.5200000000041</v>
      </c>
      <c r="G22" s="1236">
        <f>SUMIF($B$8:$B$333,892,$E$8:$E$333)</f>
        <v>183727.92321000004</v>
      </c>
      <c r="I22" s="802">
        <v>72173.771520000068</v>
      </c>
      <c r="J22" s="1637">
        <f t="shared" si="1"/>
        <v>111554.15168999997</v>
      </c>
    </row>
    <row r="23" spans="1:10" s="802" customFormat="1" x14ac:dyDescent="0.2">
      <c r="A23" s="1593" t="s">
        <v>2052</v>
      </c>
      <c r="B23" s="1111">
        <f>'Base TY Budget'!B158</f>
        <v>894</v>
      </c>
      <c r="C23" s="1634">
        <f>'Base TY Budget'!E158</f>
        <v>133196.82</v>
      </c>
      <c r="D23" s="1634">
        <f>'Forecast TY Budget &amp; D-2.4 Adj'!E158</f>
        <v>124180</v>
      </c>
      <c r="E23" s="1588">
        <f t="shared" si="0"/>
        <v>-9016.820000000007</v>
      </c>
      <c r="G23" s="1236">
        <f>SUMIF($B$8:$B$333,893,$E$8:$E$333)</f>
        <v>-8589.130000000001</v>
      </c>
      <c r="I23" s="802">
        <v>-13487.130000000005</v>
      </c>
      <c r="J23" s="1637">
        <f t="shared" si="1"/>
        <v>4898.0000000000036</v>
      </c>
    </row>
    <row r="24" spans="1:10" s="802" customFormat="1" x14ac:dyDescent="0.2">
      <c r="A24" s="1593" t="s">
        <v>2052</v>
      </c>
      <c r="B24" s="1111">
        <f>'Base TY Budget'!B159</f>
        <v>902</v>
      </c>
      <c r="C24" s="1634">
        <f>'Base TY Budget'!E159</f>
        <v>151928.39000000001</v>
      </c>
      <c r="D24" s="1634">
        <f>'Forecast TY Budget &amp; D-2.4 Adj'!E159</f>
        <v>165331</v>
      </c>
      <c r="E24" s="1588">
        <f t="shared" si="0"/>
        <v>13402.609999999986</v>
      </c>
      <c r="G24" s="1236">
        <f>SUMIF($B$8:$B$333,894,$E$8:$E$333)</f>
        <v>16571.819999999989</v>
      </c>
      <c r="I24" s="802">
        <v>5038.820000000007</v>
      </c>
      <c r="J24" s="1637">
        <f t="shared" si="1"/>
        <v>11532.999999999982</v>
      </c>
    </row>
    <row r="25" spans="1:10" s="802" customFormat="1" x14ac:dyDescent="0.2">
      <c r="A25" s="1593" t="s">
        <v>2052</v>
      </c>
      <c r="B25" s="1111">
        <f>'Base TY Budget'!B160</f>
        <v>903</v>
      </c>
      <c r="C25" s="1634">
        <f>'Base TY Budget'!E160</f>
        <v>643066.32000000007</v>
      </c>
      <c r="D25" s="1634">
        <f>'Forecast TY Budget &amp; D-2.4 Adj'!E160</f>
        <v>692556</v>
      </c>
      <c r="E25" s="1588">
        <f t="shared" si="0"/>
        <v>49489.679999999935</v>
      </c>
    </row>
    <row r="26" spans="1:10" s="802" customFormat="1" x14ac:dyDescent="0.2">
      <c r="A26" s="1593" t="s">
        <v>2052</v>
      </c>
      <c r="B26" s="1111">
        <f>'Base TY Budget'!B161</f>
        <v>908</v>
      </c>
      <c r="C26" s="1634">
        <f>'Base TY Budget'!E161</f>
        <v>9425.34</v>
      </c>
      <c r="D26" s="1634">
        <f>'Forecast TY Budget &amp; D-2.4 Adj'!E161</f>
        <v>12982</v>
      </c>
      <c r="E26" s="1588">
        <f t="shared" si="0"/>
        <v>3556.66</v>
      </c>
    </row>
    <row r="27" spans="1:10" s="802" customFormat="1" x14ac:dyDescent="0.2">
      <c r="A27" s="1593" t="s">
        <v>2052</v>
      </c>
      <c r="B27" s="1111">
        <f>'Base TY Budget'!B162</f>
        <v>920</v>
      </c>
      <c r="C27" s="1634">
        <f>'Base TY Budget'!E162</f>
        <v>1529965.02</v>
      </c>
      <c r="D27" s="1634">
        <f>'Forecast TY Budget &amp; D-2.4 Adj'!E162</f>
        <v>1597984</v>
      </c>
      <c r="E27" s="1588">
        <f t="shared" si="0"/>
        <v>68018.979999999981</v>
      </c>
    </row>
    <row r="28" spans="1:10" s="802" customFormat="1" x14ac:dyDescent="0.2">
      <c r="A28" s="1593" t="s">
        <v>2052</v>
      </c>
      <c r="B28" s="1111">
        <f>'Base TY Budget'!B163</f>
        <v>923</v>
      </c>
      <c r="C28" s="1634">
        <f>'Base TY Budget'!E163</f>
        <v>2227</v>
      </c>
      <c r="D28" s="1634">
        <f>'Forecast TY Budget &amp; D-2.4 Adj'!E163</f>
        <v>4636.4399999998277</v>
      </c>
      <c r="E28" s="1588">
        <f t="shared" si="0"/>
        <v>2409.4399999998277</v>
      </c>
    </row>
    <row r="29" spans="1:10" s="802" customFormat="1" x14ac:dyDescent="0.2">
      <c r="A29" s="1593"/>
      <c r="B29" s="1111"/>
      <c r="C29" s="1634"/>
      <c r="D29" s="1634"/>
      <c r="E29" s="1588"/>
    </row>
    <row r="30" spans="1:10" s="802" customFormat="1" x14ac:dyDescent="0.2">
      <c r="A30" s="1593"/>
      <c r="B30" s="1111"/>
      <c r="C30" s="1634"/>
      <c r="D30" s="1634"/>
      <c r="E30" s="1588"/>
    </row>
    <row r="31" spans="1:10" s="802" customFormat="1" x14ac:dyDescent="0.2">
      <c r="A31" s="1593" t="s">
        <v>2067</v>
      </c>
      <c r="B31" s="1111">
        <f>'Base TY Budget'!B166</f>
        <v>870</v>
      </c>
      <c r="C31" s="1634">
        <f>'Base TY Budget'!E166</f>
        <v>8773.9500000000007</v>
      </c>
      <c r="D31" s="1634">
        <f>'Forecast TY Budget &amp; D-2.4 Adj'!E166</f>
        <v>7497</v>
      </c>
      <c r="E31" s="1588">
        <f t="shared" si="0"/>
        <v>-1276.9500000000007</v>
      </c>
    </row>
    <row r="32" spans="1:10" s="802" customFormat="1" x14ac:dyDescent="0.2">
      <c r="A32" s="1593" t="s">
        <v>2067</v>
      </c>
      <c r="B32" s="1111">
        <f>'Base TY Budget'!B167</f>
        <v>874</v>
      </c>
      <c r="C32" s="1634">
        <f>'Base TY Budget'!E167</f>
        <v>295415.90000000002</v>
      </c>
      <c r="D32" s="1634">
        <f>'Forecast TY Budget &amp; D-2.4 Adj'!E167</f>
        <v>271871</v>
      </c>
      <c r="E32" s="1588">
        <f t="shared" si="0"/>
        <v>-23544.900000000023</v>
      </c>
    </row>
    <row r="33" spans="1:5" s="802" customFormat="1" x14ac:dyDescent="0.2">
      <c r="A33" s="1593" t="s">
        <v>2067</v>
      </c>
      <c r="B33" s="1111">
        <f>'Base TY Budget'!B168</f>
        <v>875</v>
      </c>
      <c r="C33" s="1634">
        <f>'Base TY Budget'!E168</f>
        <v>2645.2200000000003</v>
      </c>
      <c r="D33" s="1634">
        <f>'Forecast TY Budget &amp; D-2.4 Adj'!E168</f>
        <v>3698</v>
      </c>
      <c r="E33" s="1588">
        <f t="shared" si="0"/>
        <v>1052.7799999999997</v>
      </c>
    </row>
    <row r="34" spans="1:5" s="802" customFormat="1" x14ac:dyDescent="0.2">
      <c r="A34" s="1593" t="s">
        <v>2067</v>
      </c>
      <c r="B34" s="1111">
        <f>'Base TY Budget'!B169</f>
        <v>876</v>
      </c>
      <c r="C34" s="1634">
        <f>'Base TY Budget'!E169</f>
        <v>428.19</v>
      </c>
      <c r="D34" s="1634">
        <f>'Forecast TY Budget &amp; D-2.4 Adj'!E169</f>
        <v>509</v>
      </c>
      <c r="E34" s="1588">
        <f t="shared" si="0"/>
        <v>80.81</v>
      </c>
    </row>
    <row r="35" spans="1:5" s="802" customFormat="1" x14ac:dyDescent="0.2">
      <c r="A35" s="1593" t="s">
        <v>2067</v>
      </c>
      <c r="B35" s="1111">
        <f>'Base TY Budget'!B170</f>
        <v>878</v>
      </c>
      <c r="C35" s="1634">
        <f>'Base TY Budget'!E170</f>
        <v>58723.06</v>
      </c>
      <c r="D35" s="1634">
        <f>'Forecast TY Budget &amp; D-2.4 Adj'!E170</f>
        <v>64499</v>
      </c>
      <c r="E35" s="1588">
        <f t="shared" si="0"/>
        <v>5775.9400000000023</v>
      </c>
    </row>
    <row r="36" spans="1:5" s="802" customFormat="1" x14ac:dyDescent="0.2">
      <c r="A36" s="1593" t="s">
        <v>2067</v>
      </c>
      <c r="B36" s="1111">
        <f>'Base TY Budget'!B171</f>
        <v>879</v>
      </c>
      <c r="C36" s="1634">
        <f>'Base TY Budget'!E171</f>
        <v>31487.280000000002</v>
      </c>
      <c r="D36" s="1634">
        <f>'Forecast TY Budget &amp; D-2.4 Adj'!E171</f>
        <v>32161</v>
      </c>
      <c r="E36" s="1588">
        <f t="shared" si="0"/>
        <v>673.71999999999753</v>
      </c>
    </row>
    <row r="37" spans="1:5" s="802" customFormat="1" x14ac:dyDescent="0.2">
      <c r="A37" s="1593" t="s">
        <v>2067</v>
      </c>
      <c r="B37" s="1111">
        <f>'Base TY Budget'!B172</f>
        <v>880</v>
      </c>
      <c r="C37" s="1634">
        <f>'Base TY Budget'!E172</f>
        <v>203964.81</v>
      </c>
      <c r="D37" s="1634">
        <f>'Forecast TY Budget &amp; D-2.4 Adj'!E172</f>
        <v>210016</v>
      </c>
      <c r="E37" s="1588">
        <f t="shared" si="0"/>
        <v>6051.1900000000023</v>
      </c>
    </row>
    <row r="38" spans="1:5" s="802" customFormat="1" x14ac:dyDescent="0.2">
      <c r="A38" s="1593" t="s">
        <v>2067</v>
      </c>
      <c r="B38" s="1111">
        <f>'Base TY Budget'!B173</f>
        <v>885</v>
      </c>
      <c r="C38" s="1634">
        <f>'Base TY Budget'!E173</f>
        <v>255.65</v>
      </c>
      <c r="D38" s="1634">
        <f>'Forecast TY Budget &amp; D-2.4 Adj'!E173</f>
        <v>267</v>
      </c>
      <c r="E38" s="1588">
        <f t="shared" si="0"/>
        <v>11.349999999999994</v>
      </c>
    </row>
    <row r="39" spans="1:5" s="802" customFormat="1" x14ac:dyDescent="0.2">
      <c r="A39" s="1593" t="s">
        <v>2067</v>
      </c>
      <c r="B39" s="1111">
        <f>'Base TY Budget'!B174</f>
        <v>886</v>
      </c>
      <c r="C39" s="1634">
        <f>'Base TY Budget'!E174</f>
        <v>33484.54</v>
      </c>
      <c r="D39" s="1634">
        <f>'Forecast TY Budget &amp; D-2.4 Adj'!E174</f>
        <v>25189</v>
      </c>
      <c r="E39" s="1588">
        <f t="shared" si="0"/>
        <v>-8295.5400000000009</v>
      </c>
    </row>
    <row r="40" spans="1:5" s="802" customFormat="1" x14ac:dyDescent="0.2">
      <c r="A40" s="1593" t="s">
        <v>2067</v>
      </c>
      <c r="B40" s="1111">
        <f>'Base TY Budget'!B175</f>
        <v>887</v>
      </c>
      <c r="C40" s="1634">
        <f>'Base TY Budget'!E175</f>
        <v>320976.08999999997</v>
      </c>
      <c r="D40" s="1634">
        <f>'Forecast TY Budget &amp; D-2.4 Adj'!E175</f>
        <v>325335</v>
      </c>
      <c r="E40" s="1588">
        <f t="shared" si="0"/>
        <v>4358.9100000000326</v>
      </c>
    </row>
    <row r="41" spans="1:5" s="802" customFormat="1" x14ac:dyDescent="0.2">
      <c r="A41" s="1593" t="s">
        <v>2067</v>
      </c>
      <c r="B41" s="1111">
        <f>'Base TY Budget'!B176</f>
        <v>889</v>
      </c>
      <c r="C41" s="1634">
        <f>'Base TY Budget'!E176</f>
        <v>93306.19</v>
      </c>
      <c r="D41" s="1634">
        <f>'Forecast TY Budget &amp; D-2.4 Adj'!E176</f>
        <v>82135</v>
      </c>
      <c r="E41" s="1588">
        <f t="shared" si="0"/>
        <v>-11171.190000000002</v>
      </c>
    </row>
    <row r="42" spans="1:5" s="802" customFormat="1" x14ac:dyDescent="0.2">
      <c r="A42" s="1593" t="s">
        <v>2067</v>
      </c>
      <c r="B42" s="1111">
        <f>'Base TY Budget'!B177</f>
        <v>890</v>
      </c>
      <c r="C42" s="1634">
        <f>'Base TY Budget'!E177</f>
        <v>0</v>
      </c>
      <c r="D42" s="1634">
        <f>'Forecast TY Budget &amp; D-2.4 Adj'!E177</f>
        <v>0</v>
      </c>
      <c r="E42" s="1588">
        <f t="shared" si="0"/>
        <v>0</v>
      </c>
    </row>
    <row r="43" spans="1:5" s="802" customFormat="1" x14ac:dyDescent="0.2">
      <c r="A43" s="1593" t="s">
        <v>2067</v>
      </c>
      <c r="B43" s="1111">
        <f>'Base TY Budget'!B178</f>
        <v>892</v>
      </c>
      <c r="C43" s="1634">
        <f>'Base TY Budget'!E178</f>
        <v>40903.74</v>
      </c>
      <c r="D43" s="1634">
        <f>'Forecast TY Budget &amp; D-2.4 Adj'!E178</f>
        <v>44183</v>
      </c>
      <c r="E43" s="1588">
        <f t="shared" si="0"/>
        <v>3279.260000000002</v>
      </c>
    </row>
    <row r="44" spans="1:5" s="802" customFormat="1" x14ac:dyDescent="0.2">
      <c r="A44" s="1593" t="s">
        <v>2067</v>
      </c>
      <c r="B44" s="1111">
        <f>'Base TY Budget'!B179</f>
        <v>893</v>
      </c>
      <c r="C44" s="1634">
        <f>'Base TY Budget'!E179</f>
        <v>75656.22</v>
      </c>
      <c r="D44" s="1634">
        <f>'Forecast TY Budget &amp; D-2.4 Adj'!E179</f>
        <v>67513</v>
      </c>
      <c r="E44" s="1588">
        <f t="shared" si="0"/>
        <v>-8143.2200000000012</v>
      </c>
    </row>
    <row r="45" spans="1:5" s="802" customFormat="1" x14ac:dyDescent="0.2">
      <c r="A45" s="1593" t="s">
        <v>2067</v>
      </c>
      <c r="B45" s="1111">
        <f>'Base TY Budget'!B180</f>
        <v>894</v>
      </c>
      <c r="C45" s="1634">
        <f>'Base TY Budget'!E180</f>
        <v>43766.92</v>
      </c>
      <c r="D45" s="1634">
        <f>'Forecast TY Budget &amp; D-2.4 Adj'!E180</f>
        <v>57186</v>
      </c>
      <c r="E45" s="1588">
        <f t="shared" si="0"/>
        <v>13419.080000000002</v>
      </c>
    </row>
    <row r="46" spans="1:5" s="802" customFormat="1" x14ac:dyDescent="0.2">
      <c r="A46" s="1593" t="s">
        <v>2067</v>
      </c>
      <c r="B46" s="1111">
        <f>'Base TY Budget'!B181</f>
        <v>903</v>
      </c>
      <c r="C46" s="1634">
        <f>'Base TY Budget'!E181</f>
        <v>664199.55000000005</v>
      </c>
      <c r="D46" s="1634">
        <f>'Forecast TY Budget &amp; D-2.4 Adj'!E181</f>
        <v>715250</v>
      </c>
      <c r="E46" s="1588">
        <f t="shared" si="0"/>
        <v>51050.449999999953</v>
      </c>
    </row>
    <row r="47" spans="1:5" s="802" customFormat="1" x14ac:dyDescent="0.2">
      <c r="A47" s="1593" t="s">
        <v>2067</v>
      </c>
      <c r="B47" s="1111">
        <f>'Base TY Budget'!B182</f>
        <v>921</v>
      </c>
      <c r="C47" s="1634">
        <f>'Base TY Budget'!E182</f>
        <v>18114.330000000002</v>
      </c>
      <c r="D47" s="1634">
        <f>'Forecast TY Budget &amp; D-2.4 Adj'!E182</f>
        <v>18565</v>
      </c>
      <c r="E47" s="1588">
        <f t="shared" si="0"/>
        <v>450.66999999999825</v>
      </c>
    </row>
    <row r="48" spans="1:5" s="802" customFormat="1" x14ac:dyDescent="0.2">
      <c r="A48" s="1593" t="s">
        <v>2067</v>
      </c>
      <c r="B48" s="1111">
        <f>'Base TY Budget'!B183</f>
        <v>923</v>
      </c>
      <c r="C48" s="1634">
        <f>'Base TY Budget'!E183</f>
        <v>59.790000000000006</v>
      </c>
      <c r="D48" s="1634">
        <f>'Forecast TY Budget &amp; D-2.4 Adj'!E183</f>
        <v>43</v>
      </c>
      <c r="E48" s="1588">
        <f t="shared" si="0"/>
        <v>-16.790000000000006</v>
      </c>
    </row>
    <row r="49" spans="1:5" s="802" customFormat="1" x14ac:dyDescent="0.2">
      <c r="A49" s="1593" t="s">
        <v>2067</v>
      </c>
      <c r="B49" s="1111">
        <f>'Base TY Budget'!B184</f>
        <v>930</v>
      </c>
      <c r="C49" s="1634">
        <f>'Base TY Budget'!E184</f>
        <v>3043.34</v>
      </c>
      <c r="D49" s="1634">
        <f>'Forecast TY Budget &amp; D-2.4 Adj'!E184</f>
        <v>4061</v>
      </c>
      <c r="E49" s="1588">
        <f t="shared" si="0"/>
        <v>1017.6599999999999</v>
      </c>
    </row>
    <row r="50" spans="1:5" s="802" customFormat="1" x14ac:dyDescent="0.2">
      <c r="A50" s="1594"/>
      <c r="B50" s="1111"/>
      <c r="C50" s="1634"/>
      <c r="D50" s="1634"/>
      <c r="E50" s="1588"/>
    </row>
    <row r="51" spans="1:5" s="802" customFormat="1" x14ac:dyDescent="0.2">
      <c r="A51" s="1594"/>
      <c r="B51" s="1111"/>
      <c r="C51" s="1634"/>
      <c r="D51" s="1634"/>
      <c r="E51" s="1588"/>
    </row>
    <row r="52" spans="1:5" s="802" customFormat="1" x14ac:dyDescent="0.2">
      <c r="A52" s="1594" t="s">
        <v>2071</v>
      </c>
      <c r="B52" s="1111">
        <f>'Base TY Budget'!B187</f>
        <v>870</v>
      </c>
      <c r="C52" s="1634">
        <f>'Base TY Budget'!E187</f>
        <v>4985</v>
      </c>
      <c r="D52" s="1634">
        <f>'Forecast TY Budget &amp; D-2.4 Adj'!E187</f>
        <v>8509</v>
      </c>
      <c r="E52" s="1588">
        <f t="shared" si="0"/>
        <v>3524</v>
      </c>
    </row>
    <row r="53" spans="1:5" s="802" customFormat="1" x14ac:dyDescent="0.2">
      <c r="A53" s="1594" t="s">
        <v>2071</v>
      </c>
      <c r="B53" s="1111">
        <f>'Base TY Budget'!B188</f>
        <v>874</v>
      </c>
      <c r="C53" s="1634">
        <f>'Base TY Budget'!E188</f>
        <v>2520606.09</v>
      </c>
      <c r="D53" s="1634">
        <f>'Forecast TY Budget &amp; D-2.4 Adj'!E188</f>
        <v>2827465</v>
      </c>
      <c r="E53" s="1588">
        <f t="shared" si="0"/>
        <v>306858.91000000015</v>
      </c>
    </row>
    <row r="54" spans="1:5" s="802" customFormat="1" x14ac:dyDescent="0.2">
      <c r="A54" s="1594" t="s">
        <v>2071</v>
      </c>
      <c r="B54" s="1111">
        <f>'Base TY Budget'!B189</f>
        <v>875</v>
      </c>
      <c r="C54" s="1634">
        <f>'Base TY Budget'!E189</f>
        <v>27107.25</v>
      </c>
      <c r="D54" s="1634">
        <f>'Forecast TY Budget &amp; D-2.4 Adj'!E189</f>
        <v>50770</v>
      </c>
      <c r="E54" s="1588">
        <f t="shared" si="0"/>
        <v>23662.75</v>
      </c>
    </row>
    <row r="55" spans="1:5" s="802" customFormat="1" x14ac:dyDescent="0.2">
      <c r="A55" s="1594" t="s">
        <v>2071</v>
      </c>
      <c r="B55" s="1111">
        <f>'Base TY Budget'!B190</f>
        <v>876</v>
      </c>
      <c r="C55" s="1634">
        <f>'Base TY Budget'!E190</f>
        <v>54</v>
      </c>
      <c r="D55" s="1634">
        <f>'Forecast TY Budget &amp; D-2.4 Adj'!E190</f>
        <v>112</v>
      </c>
      <c r="E55" s="1588">
        <f t="shared" si="0"/>
        <v>58</v>
      </c>
    </row>
    <row r="56" spans="1:5" s="802" customFormat="1" x14ac:dyDescent="0.2">
      <c r="A56" s="1594" t="s">
        <v>2071</v>
      </c>
      <c r="B56" s="1111">
        <f>'Base TY Budget'!B191</f>
        <v>878</v>
      </c>
      <c r="C56" s="1634">
        <f>'Base TY Budget'!E191</f>
        <v>8300.73</v>
      </c>
      <c r="D56" s="1634">
        <f>'Forecast TY Budget &amp; D-2.4 Adj'!E191</f>
        <v>9095</v>
      </c>
      <c r="E56" s="1588">
        <f t="shared" si="0"/>
        <v>794.27000000000044</v>
      </c>
    </row>
    <row r="57" spans="1:5" s="802" customFormat="1" x14ac:dyDescent="0.2">
      <c r="A57" s="1594" t="s">
        <v>2071</v>
      </c>
      <c r="B57" s="1111">
        <f>'Base TY Budget'!B192</f>
        <v>879</v>
      </c>
      <c r="C57" s="1634">
        <f>'Base TY Budget'!E192</f>
        <v>103454.85</v>
      </c>
      <c r="D57" s="1634">
        <f>'Forecast TY Budget &amp; D-2.4 Adj'!E192</f>
        <v>145207</v>
      </c>
      <c r="E57" s="1588">
        <f t="shared" si="0"/>
        <v>41752.149999999994</v>
      </c>
    </row>
    <row r="58" spans="1:5" s="802" customFormat="1" x14ac:dyDescent="0.2">
      <c r="A58" s="1594" t="s">
        <v>2071</v>
      </c>
      <c r="B58" s="1111">
        <f>'Base TY Budget'!B193</f>
        <v>880</v>
      </c>
      <c r="C58" s="1634">
        <f>'Base TY Budget'!E193</f>
        <v>306226.02</v>
      </c>
      <c r="D58" s="1634">
        <f>'Forecast TY Budget &amp; D-2.4 Adj'!E193</f>
        <v>454894</v>
      </c>
      <c r="E58" s="1588">
        <f t="shared" si="0"/>
        <v>148667.97999999998</v>
      </c>
    </row>
    <row r="59" spans="1:5" s="802" customFormat="1" x14ac:dyDescent="0.2">
      <c r="A59" s="1594" t="s">
        <v>2071</v>
      </c>
      <c r="B59" s="1111">
        <f>'Base TY Budget'!B194</f>
        <v>885</v>
      </c>
      <c r="C59" s="1634">
        <f>'Base TY Budget'!E194</f>
        <v>0</v>
      </c>
      <c r="D59" s="1634">
        <f>'Forecast TY Budget &amp; D-2.4 Adj'!E194</f>
        <v>0</v>
      </c>
      <c r="E59" s="1588">
        <f t="shared" si="0"/>
        <v>0</v>
      </c>
    </row>
    <row r="60" spans="1:5" s="802" customFormat="1" x14ac:dyDescent="0.2">
      <c r="A60" s="1594" t="s">
        <v>2071</v>
      </c>
      <c r="B60" s="1111">
        <f>'Base TY Budget'!B195</f>
        <v>886</v>
      </c>
      <c r="C60" s="1634">
        <f>'Base TY Budget'!E195</f>
        <v>197966.9</v>
      </c>
      <c r="D60" s="1634">
        <f>'Forecast TY Budget &amp; D-2.4 Adj'!E195</f>
        <v>204936</v>
      </c>
      <c r="E60" s="1588">
        <f t="shared" si="0"/>
        <v>6969.1000000000058</v>
      </c>
    </row>
    <row r="61" spans="1:5" s="802" customFormat="1" x14ac:dyDescent="0.2">
      <c r="A61" s="1594" t="s">
        <v>2071</v>
      </c>
      <c r="B61" s="1111">
        <f>'Base TY Budget'!B196</f>
        <v>887</v>
      </c>
      <c r="C61" s="1634">
        <f>'Base TY Budget'!E196</f>
        <v>1396658.18</v>
      </c>
      <c r="D61" s="1634">
        <f>'Forecast TY Budget &amp; D-2.4 Adj'!E196</f>
        <v>1549652</v>
      </c>
      <c r="E61" s="1588">
        <f t="shared" si="0"/>
        <v>152993.82000000007</v>
      </c>
    </row>
    <row r="62" spans="1:5" s="802" customFormat="1" x14ac:dyDescent="0.2">
      <c r="A62" s="1594" t="s">
        <v>2071</v>
      </c>
      <c r="B62" s="1111">
        <f>'Base TY Budget'!B197</f>
        <v>889</v>
      </c>
      <c r="C62" s="1634">
        <f>'Base TY Budget'!E197</f>
        <v>394</v>
      </c>
      <c r="D62" s="1634">
        <f>'Forecast TY Budget &amp; D-2.4 Adj'!E197</f>
        <v>819</v>
      </c>
      <c r="E62" s="1588">
        <f t="shared" si="0"/>
        <v>425</v>
      </c>
    </row>
    <row r="63" spans="1:5" s="802" customFormat="1" x14ac:dyDescent="0.2">
      <c r="A63" s="1594" t="s">
        <v>2071</v>
      </c>
      <c r="B63" s="1111">
        <f>'Base TY Budget'!B198</f>
        <v>890</v>
      </c>
      <c r="C63" s="1634">
        <f>'Base TY Budget'!E198</f>
        <v>54</v>
      </c>
      <c r="D63" s="1634">
        <f>'Forecast TY Budget &amp; D-2.4 Adj'!E198</f>
        <v>112</v>
      </c>
      <c r="E63" s="1588">
        <f t="shared" si="0"/>
        <v>58</v>
      </c>
    </row>
    <row r="64" spans="1:5" s="802" customFormat="1" x14ac:dyDescent="0.2">
      <c r="A64" s="1594" t="s">
        <v>2071</v>
      </c>
      <c r="B64" s="1111">
        <f>'Base TY Budget'!B199</f>
        <v>892</v>
      </c>
      <c r="C64" s="1634">
        <f>'Base TY Budget'!E199</f>
        <v>227725.11000000002</v>
      </c>
      <c r="D64" s="1634">
        <f>'Forecast TY Budget &amp; D-2.4 Adj'!E199</f>
        <v>324640</v>
      </c>
      <c r="E64" s="1588">
        <f t="shared" si="0"/>
        <v>96914.889999999985</v>
      </c>
    </row>
    <row r="65" spans="1:5" s="802" customFormat="1" x14ac:dyDescent="0.2">
      <c r="A65" s="1594" t="s">
        <v>2071</v>
      </c>
      <c r="B65" s="1111">
        <f>'Base TY Budget'!B200</f>
        <v>894</v>
      </c>
      <c r="C65" s="1634">
        <f>'Base TY Budget'!E200</f>
        <v>10330.15</v>
      </c>
      <c r="D65" s="1634">
        <f>'Forecast TY Budget &amp; D-2.4 Adj'!E200</f>
        <v>16683</v>
      </c>
      <c r="E65" s="1588">
        <f t="shared" si="0"/>
        <v>6352.85</v>
      </c>
    </row>
    <row r="66" spans="1:5" s="802" customFormat="1" x14ac:dyDescent="0.2">
      <c r="A66" s="1594" t="s">
        <v>2071</v>
      </c>
      <c r="B66" s="1111">
        <f>'Base TY Budget'!B201</f>
        <v>902</v>
      </c>
      <c r="C66" s="1634">
        <f>'Base TY Budget'!E201</f>
        <v>186619.31</v>
      </c>
      <c r="D66" s="1634">
        <f>'Forecast TY Budget &amp; D-2.4 Adj'!E201</f>
        <v>362228</v>
      </c>
      <c r="E66" s="1588">
        <f t="shared" si="0"/>
        <v>175608.69</v>
      </c>
    </row>
    <row r="67" spans="1:5" s="802" customFormat="1" x14ac:dyDescent="0.2">
      <c r="A67" s="1594" t="s">
        <v>2071</v>
      </c>
      <c r="B67" s="1111">
        <f>'Base TY Budget'!B202</f>
        <v>903</v>
      </c>
      <c r="C67" s="1634">
        <f>'Base TY Budget'!E202</f>
        <v>125380.24</v>
      </c>
      <c r="D67" s="1634">
        <f>'Forecast TY Budget &amp; D-2.4 Adj'!E202</f>
        <v>163788</v>
      </c>
      <c r="E67" s="1588">
        <f t="shared" si="0"/>
        <v>38407.759999999995</v>
      </c>
    </row>
    <row r="68" spans="1:5" s="802" customFormat="1" x14ac:dyDescent="0.2">
      <c r="A68" s="1594" t="s">
        <v>2071</v>
      </c>
      <c r="B68" s="1111">
        <f>'Base TY Budget'!B203</f>
        <v>908</v>
      </c>
      <c r="C68" s="1634">
        <f>'Base TY Budget'!E203</f>
        <v>51641</v>
      </c>
      <c r="D68" s="1634">
        <f>'Forecast TY Budget &amp; D-2.4 Adj'!E203</f>
        <v>107330</v>
      </c>
      <c r="E68" s="1588">
        <f t="shared" si="0"/>
        <v>55689</v>
      </c>
    </row>
    <row r="69" spans="1:5" s="802" customFormat="1" x14ac:dyDescent="0.2">
      <c r="A69" s="1594" t="s">
        <v>2071</v>
      </c>
      <c r="B69" s="1111">
        <f>'Base TY Budget'!B204</f>
        <v>920</v>
      </c>
      <c r="C69" s="1634">
        <f>'Base TY Budget'!E204</f>
        <v>2639</v>
      </c>
      <c r="D69" s="1634">
        <f>'Forecast TY Budget &amp; D-2.4 Adj'!E204</f>
        <v>5485</v>
      </c>
      <c r="E69" s="1588">
        <f t="shared" si="0"/>
        <v>2846</v>
      </c>
    </row>
    <row r="70" spans="1:5" s="802" customFormat="1" x14ac:dyDescent="0.2">
      <c r="A70" s="1594" t="s">
        <v>2071</v>
      </c>
      <c r="B70" s="1111">
        <f>'Base TY Budget'!B205</f>
        <v>921</v>
      </c>
      <c r="C70" s="1634">
        <f>'Base TY Budget'!E205</f>
        <v>6706</v>
      </c>
      <c r="D70" s="1634">
        <f>'Forecast TY Budget &amp; D-2.4 Adj'!E205</f>
        <v>9688</v>
      </c>
      <c r="E70" s="1588">
        <f t="shared" si="0"/>
        <v>2982</v>
      </c>
    </row>
    <row r="71" spans="1:5" s="802" customFormat="1" x14ac:dyDescent="0.2">
      <c r="A71" s="1594" t="s">
        <v>2071</v>
      </c>
      <c r="B71" s="1111">
        <f>'Base TY Budget'!B206</f>
        <v>923</v>
      </c>
      <c r="C71" s="1634">
        <f>'Base TY Budget'!E206</f>
        <v>59683.409999999996</v>
      </c>
      <c r="D71" s="1634">
        <f>'Forecast TY Budget &amp; D-2.4 Adj'!E206</f>
        <v>48995</v>
      </c>
      <c r="E71" s="1588">
        <f t="shared" si="0"/>
        <v>-10688.409999999996</v>
      </c>
    </row>
    <row r="72" spans="1:5" s="802" customFormat="1" x14ac:dyDescent="0.2">
      <c r="A72" s="1594" t="s">
        <v>2071</v>
      </c>
      <c r="B72" s="1111">
        <f>'Base TY Budget'!B207</f>
        <v>930</v>
      </c>
      <c r="C72" s="1634">
        <f>'Base TY Budget'!E207</f>
        <v>1049</v>
      </c>
      <c r="D72" s="1634">
        <f>'Forecast TY Budget &amp; D-2.4 Adj'!E207</f>
        <v>2180</v>
      </c>
      <c r="E72" s="1588">
        <f t="shared" ref="E72:E74" si="2">D72-C72</f>
        <v>1131</v>
      </c>
    </row>
    <row r="73" spans="1:5" s="802" customFormat="1" x14ac:dyDescent="0.2">
      <c r="A73" s="1594" t="s">
        <v>2071</v>
      </c>
      <c r="B73" s="1111">
        <f>'Base TY Budget'!B208</f>
        <v>932</v>
      </c>
      <c r="C73" s="1634">
        <f>'Base TY Budget'!E208</f>
        <v>2685</v>
      </c>
      <c r="D73" s="1634">
        <f>'Forecast TY Budget &amp; D-2.4 Adj'!E208</f>
        <v>5580</v>
      </c>
      <c r="E73" s="1588">
        <f t="shared" si="2"/>
        <v>2895</v>
      </c>
    </row>
    <row r="74" spans="1:5" s="802" customFormat="1" x14ac:dyDescent="0.2">
      <c r="A74" s="1595" t="s">
        <v>2071</v>
      </c>
      <c r="B74" s="1111">
        <f>'Base TY Budget'!B209</f>
        <v>935</v>
      </c>
      <c r="C74" s="1634">
        <f>'Base TY Budget'!E209</f>
        <v>139</v>
      </c>
      <c r="D74" s="1634">
        <f>'Forecast TY Budget &amp; D-2.4 Adj'!E209</f>
        <v>130</v>
      </c>
      <c r="E74" s="1588">
        <f t="shared" si="2"/>
        <v>-9</v>
      </c>
    </row>
    <row r="75" spans="1:5" s="802" customFormat="1" x14ac:dyDescent="0.2">
      <c r="A75" s="1594"/>
      <c r="B75" s="1111"/>
      <c r="C75" s="1634"/>
      <c r="D75" s="1634"/>
      <c r="E75" s="1588"/>
    </row>
    <row r="76" spans="1:5" s="802" customFormat="1" x14ac:dyDescent="0.2">
      <c r="A76" s="1594"/>
      <c r="B76" s="1111"/>
      <c r="C76" s="1634"/>
      <c r="D76" s="1634"/>
      <c r="E76" s="1588"/>
    </row>
    <row r="77" spans="1:5" s="802" customFormat="1" x14ac:dyDescent="0.2">
      <c r="A77" s="1643" t="s">
        <v>2128</v>
      </c>
      <c r="B77" s="1111">
        <f>'Base TY Budget'!B212</f>
        <v>926</v>
      </c>
      <c r="C77" s="1634">
        <f>'Base TY Budget'!E212</f>
        <v>85893</v>
      </c>
      <c r="D77" s="1634">
        <f>'Forecast TY Budget &amp; D-2.4 Adj'!E212</f>
        <v>121224</v>
      </c>
      <c r="E77" s="1588">
        <f t="shared" ref="E77" si="3">D77-C77</f>
        <v>35331</v>
      </c>
    </row>
    <row r="78" spans="1:5" s="802" customFormat="1" x14ac:dyDescent="0.2">
      <c r="A78" s="1594"/>
      <c r="B78" s="1111"/>
      <c r="C78" s="1634"/>
      <c r="D78" s="1634"/>
      <c r="E78" s="1588"/>
    </row>
    <row r="79" spans="1:5" s="802" customFormat="1" x14ac:dyDescent="0.2">
      <c r="A79" s="1594" t="s">
        <v>2070</v>
      </c>
      <c r="B79" s="1111">
        <f>'Base TY Budget'!B214</f>
        <v>923</v>
      </c>
      <c r="C79" s="1634">
        <f>'Base TY Budget'!E214</f>
        <v>142906</v>
      </c>
      <c r="D79" s="1634">
        <f>'Forecast TY Budget &amp; D-2.4 Adj'!E214</f>
        <v>163308</v>
      </c>
      <c r="E79" s="1588">
        <f t="shared" ref="E79:E140" si="4">D79-C79</f>
        <v>20402</v>
      </c>
    </row>
    <row r="80" spans="1:5" s="802" customFormat="1" x14ac:dyDescent="0.2">
      <c r="A80" s="1594"/>
      <c r="B80" s="1111"/>
      <c r="C80" s="1634"/>
      <c r="D80" s="1634"/>
      <c r="E80" s="1588"/>
    </row>
    <row r="81" spans="1:5" s="802" customFormat="1" x14ac:dyDescent="0.2">
      <c r="A81" s="1594"/>
      <c r="B81" s="1111"/>
      <c r="C81" s="1634"/>
      <c r="D81" s="1634"/>
      <c r="E81" s="1588"/>
    </row>
    <row r="82" spans="1:5" s="802" customFormat="1" x14ac:dyDescent="0.2">
      <c r="A82" s="1594" t="s">
        <v>2068</v>
      </c>
      <c r="B82" s="1111">
        <f>'Base TY Budget'!B217</f>
        <v>870</v>
      </c>
      <c r="C82" s="1634">
        <f>'Base TY Budget'!E217</f>
        <v>30</v>
      </c>
      <c r="D82" s="1634">
        <f>'Forecast TY Budget &amp; D-2.4 Adj'!E217</f>
        <v>2220</v>
      </c>
      <c r="E82" s="1588">
        <f t="shared" si="4"/>
        <v>2190</v>
      </c>
    </row>
    <row r="83" spans="1:5" s="802" customFormat="1" x14ac:dyDescent="0.2">
      <c r="A83" s="1594" t="s">
        <v>2068</v>
      </c>
      <c r="B83" s="1111">
        <f>'Base TY Budget'!B218</f>
        <v>874</v>
      </c>
      <c r="C83" s="1634">
        <f>'Base TY Budget'!E218</f>
        <v>36</v>
      </c>
      <c r="D83" s="1634">
        <f>'Forecast TY Budget &amp; D-2.4 Adj'!E218</f>
        <v>2652</v>
      </c>
      <c r="E83" s="1588">
        <f t="shared" si="4"/>
        <v>2616</v>
      </c>
    </row>
    <row r="84" spans="1:5" s="802" customFormat="1" x14ac:dyDescent="0.2">
      <c r="A84" s="1594" t="s">
        <v>2068</v>
      </c>
      <c r="B84" s="1111">
        <f>'Base TY Budget'!B219</f>
        <v>880</v>
      </c>
      <c r="C84" s="1634">
        <f>'Base TY Budget'!E219</f>
        <v>42</v>
      </c>
      <c r="D84" s="1634">
        <f>'Forecast TY Budget &amp; D-2.4 Adj'!E219</f>
        <v>3312</v>
      </c>
      <c r="E84" s="1588">
        <f t="shared" si="4"/>
        <v>3270</v>
      </c>
    </row>
    <row r="85" spans="1:5" s="802" customFormat="1" x14ac:dyDescent="0.2">
      <c r="A85" s="1594" t="s">
        <v>2068</v>
      </c>
      <c r="B85" s="1111">
        <f>'Base TY Budget'!B220</f>
        <v>923</v>
      </c>
      <c r="C85" s="1634">
        <f>'Base TY Budget'!E220</f>
        <v>31494.06</v>
      </c>
      <c r="D85" s="1634">
        <f>'Forecast TY Budget &amp; D-2.4 Adj'!E220</f>
        <v>244510</v>
      </c>
      <c r="E85" s="1588">
        <f t="shared" si="4"/>
        <v>213015.94</v>
      </c>
    </row>
    <row r="86" spans="1:5" s="802" customFormat="1" ht="13.5" x14ac:dyDescent="0.35">
      <c r="A86" s="1594" t="s">
        <v>2068</v>
      </c>
      <c r="B86" s="1111">
        <f>'Base TY Budget'!B221</f>
        <v>924</v>
      </c>
      <c r="C86" s="1634">
        <f>'Base TY Budget'!E221</f>
        <v>12</v>
      </c>
      <c r="D86" s="1634">
        <f>'Forecast TY Budget &amp; D-2.4 Adj'!E221</f>
        <v>732</v>
      </c>
      <c r="E86" s="1603">
        <f t="shared" si="4"/>
        <v>720</v>
      </c>
    </row>
    <row r="87" spans="1:5" s="802" customFormat="1" x14ac:dyDescent="0.2">
      <c r="A87" s="1594"/>
      <c r="B87" s="1111"/>
      <c r="C87" s="1634"/>
      <c r="D87" s="1634"/>
      <c r="E87" s="1588"/>
    </row>
    <row r="88" spans="1:5" s="802" customFormat="1" x14ac:dyDescent="0.2">
      <c r="A88" s="1594"/>
      <c r="B88" s="1111"/>
      <c r="C88" s="1634"/>
      <c r="D88" s="1634"/>
      <c r="E88" s="1588"/>
    </row>
    <row r="89" spans="1:5" s="802" customFormat="1" x14ac:dyDescent="0.2">
      <c r="A89" s="1594" t="s">
        <v>2069</v>
      </c>
      <c r="B89" s="1111">
        <f>'Base TY Budget'!B224</f>
        <v>874</v>
      </c>
      <c r="C89" s="1634">
        <f>'Base TY Budget'!E224</f>
        <v>0</v>
      </c>
      <c r="D89" s="1634">
        <f>'Forecast TY Budget &amp; D-2.4 Adj'!E224</f>
        <v>0</v>
      </c>
      <c r="E89" s="1588">
        <f t="shared" si="4"/>
        <v>0</v>
      </c>
    </row>
    <row r="90" spans="1:5" s="802" customFormat="1" x14ac:dyDescent="0.2">
      <c r="A90" s="1594"/>
      <c r="B90" s="1111"/>
      <c r="C90" s="1634"/>
      <c r="D90" s="1634"/>
      <c r="E90" s="1588"/>
    </row>
    <row r="91" spans="1:5" s="802" customFormat="1" x14ac:dyDescent="0.2">
      <c r="A91" s="1594" t="s">
        <v>2092</v>
      </c>
      <c r="B91" s="1111">
        <f>'Base TY Budget'!B226</f>
        <v>881</v>
      </c>
      <c r="C91" s="1634">
        <f>'Base TY Budget'!E226</f>
        <v>70260.36</v>
      </c>
      <c r="D91" s="1634">
        <f>'Forecast TY Budget &amp; D-2.4 Adj'!E226</f>
        <v>70235</v>
      </c>
      <c r="E91" s="1588">
        <f t="shared" si="4"/>
        <v>-25.360000000000582</v>
      </c>
    </row>
    <row r="92" spans="1:5" s="802" customFormat="1" x14ac:dyDescent="0.2">
      <c r="A92" s="1594" t="s">
        <v>2092</v>
      </c>
      <c r="B92" s="1111">
        <f>'Base TY Budget'!B227</f>
        <v>930</v>
      </c>
      <c r="C92" s="1634">
        <f>'Base TY Budget'!E227</f>
        <v>-158685</v>
      </c>
      <c r="D92" s="1634">
        <f>'Forecast TY Budget &amp; D-2.4 Adj'!E227</f>
        <v>-167156</v>
      </c>
      <c r="E92" s="1588">
        <f t="shared" si="4"/>
        <v>-8471</v>
      </c>
    </row>
    <row r="93" spans="1:5" s="802" customFormat="1" ht="13.5" x14ac:dyDescent="0.35">
      <c r="A93" s="1594" t="s">
        <v>2092</v>
      </c>
      <c r="B93" s="1111">
        <f>'Base TY Budget'!B228</f>
        <v>931</v>
      </c>
      <c r="C93" s="1634">
        <f>'Base TY Budget'!E228</f>
        <v>11749</v>
      </c>
      <c r="D93" s="1634">
        <f>'Forecast TY Budget &amp; D-2.4 Adj'!E228</f>
        <v>11861</v>
      </c>
      <c r="E93" s="1603">
        <f t="shared" si="4"/>
        <v>112</v>
      </c>
    </row>
    <row r="94" spans="1:5" s="802" customFormat="1" x14ac:dyDescent="0.2">
      <c r="A94" s="1594"/>
      <c r="B94" s="1111"/>
      <c r="C94" s="1634"/>
      <c r="D94" s="1634"/>
      <c r="E94" s="1588"/>
    </row>
    <row r="95" spans="1:5" s="802" customFormat="1" x14ac:dyDescent="0.2">
      <c r="A95" s="1594"/>
      <c r="B95" s="1111"/>
      <c r="C95" s="1634"/>
      <c r="D95" s="1634"/>
      <c r="E95" s="1588"/>
    </row>
    <row r="96" spans="1:5" s="802" customFormat="1" x14ac:dyDescent="0.2">
      <c r="A96" s="1594" t="s">
        <v>2093</v>
      </c>
      <c r="B96" s="1111">
        <f>'Base TY Budget'!B231</f>
        <v>874</v>
      </c>
      <c r="C96" s="1634">
        <f>'Base TY Budget'!E231</f>
        <v>799.74</v>
      </c>
      <c r="D96" s="1634">
        <f>'Forecast TY Budget &amp; D-2.4 Adj'!E231</f>
        <v>751</v>
      </c>
      <c r="E96" s="1588">
        <f t="shared" si="4"/>
        <v>-48.740000000000009</v>
      </c>
    </row>
    <row r="97" spans="1:5" s="802" customFormat="1" x14ac:dyDescent="0.2">
      <c r="A97" s="1594" t="s">
        <v>2093</v>
      </c>
      <c r="B97" s="1111">
        <f>'Base TY Budget'!B232</f>
        <v>875</v>
      </c>
      <c r="C97" s="1634">
        <f>'Base TY Budget'!E232</f>
        <v>81.58</v>
      </c>
      <c r="D97" s="1634">
        <f>'Forecast TY Budget &amp; D-2.4 Adj'!E232</f>
        <v>58</v>
      </c>
      <c r="E97" s="1588">
        <f t="shared" si="4"/>
        <v>-23.58</v>
      </c>
    </row>
    <row r="98" spans="1:5" s="802" customFormat="1" x14ac:dyDescent="0.2">
      <c r="A98" s="1594" t="s">
        <v>2093</v>
      </c>
      <c r="B98" s="1111">
        <f>'Base TY Budget'!B233</f>
        <v>878</v>
      </c>
      <c r="C98" s="1634">
        <f>'Base TY Budget'!E233</f>
        <v>529.88</v>
      </c>
      <c r="D98" s="1634">
        <f>'Forecast TY Budget &amp; D-2.4 Adj'!E233</f>
        <v>366</v>
      </c>
      <c r="E98" s="1588">
        <f t="shared" si="4"/>
        <v>-163.88</v>
      </c>
    </row>
    <row r="99" spans="1:5" s="802" customFormat="1" x14ac:dyDescent="0.2">
      <c r="A99" s="1594" t="s">
        <v>2093</v>
      </c>
      <c r="B99" s="1111">
        <f>'Base TY Budget'!B234</f>
        <v>879</v>
      </c>
      <c r="C99" s="1634">
        <f>'Base TY Budget'!E234</f>
        <v>400.1</v>
      </c>
      <c r="D99" s="1634">
        <f>'Forecast TY Budget &amp; D-2.4 Adj'!E234</f>
        <v>277</v>
      </c>
      <c r="E99" s="1588">
        <f t="shared" si="4"/>
        <v>-123.10000000000002</v>
      </c>
    </row>
    <row r="100" spans="1:5" s="802" customFormat="1" x14ac:dyDescent="0.2">
      <c r="A100" s="1594" t="s">
        <v>2093</v>
      </c>
      <c r="B100" s="1111">
        <f>'Base TY Budget'!B235</f>
        <v>880</v>
      </c>
      <c r="C100" s="1634">
        <f>'Base TY Budget'!E235</f>
        <v>16426.16</v>
      </c>
      <c r="D100" s="1634">
        <f>'Forecast TY Budget &amp; D-2.4 Adj'!E235</f>
        <v>16711</v>
      </c>
      <c r="E100" s="1588">
        <f t="shared" si="4"/>
        <v>284.84000000000015</v>
      </c>
    </row>
    <row r="101" spans="1:5" s="802" customFormat="1" x14ac:dyDescent="0.2">
      <c r="A101" s="1594" t="s">
        <v>2093</v>
      </c>
      <c r="B101" s="1111">
        <f>'Base TY Budget'!B236</f>
        <v>881</v>
      </c>
      <c r="C101" s="1634">
        <f>'Base TY Budget'!E236</f>
        <v>16282</v>
      </c>
      <c r="D101" s="1634">
        <f>'Forecast TY Budget &amp; D-2.4 Adj'!E236</f>
        <v>15522</v>
      </c>
      <c r="E101" s="1588">
        <f t="shared" si="4"/>
        <v>-760</v>
      </c>
    </row>
    <row r="102" spans="1:5" s="802" customFormat="1" x14ac:dyDescent="0.2">
      <c r="A102" s="1594" t="s">
        <v>2093</v>
      </c>
      <c r="B102" s="1111">
        <f>'Base TY Budget'!B237</f>
        <v>887</v>
      </c>
      <c r="C102" s="1634">
        <f>'Base TY Budget'!E237</f>
        <v>865.38</v>
      </c>
      <c r="D102" s="1634">
        <f>'Forecast TY Budget &amp; D-2.4 Adj'!E237</f>
        <v>600</v>
      </c>
      <c r="E102" s="1588">
        <f t="shared" si="4"/>
        <v>-265.38</v>
      </c>
    </row>
    <row r="103" spans="1:5" s="802" customFormat="1" x14ac:dyDescent="0.2">
      <c r="A103" s="1594" t="s">
        <v>2093</v>
      </c>
      <c r="B103" s="1111">
        <f>'Base TY Budget'!B238</f>
        <v>892</v>
      </c>
      <c r="C103" s="1634">
        <f>'Base TY Budget'!E238</f>
        <v>158.32</v>
      </c>
      <c r="D103" s="1634">
        <f>'Forecast TY Budget &amp; D-2.4 Adj'!E238</f>
        <v>108</v>
      </c>
      <c r="E103" s="1588">
        <f t="shared" si="4"/>
        <v>-50.319999999999993</v>
      </c>
    </row>
    <row r="104" spans="1:5" s="802" customFormat="1" x14ac:dyDescent="0.2">
      <c r="A104" s="1594" t="s">
        <v>2093</v>
      </c>
      <c r="B104" s="1111">
        <f>'Base TY Budget'!B239</f>
        <v>903</v>
      </c>
      <c r="C104" s="1634">
        <f>'Base TY Budget'!E239</f>
        <v>142.24</v>
      </c>
      <c r="D104" s="1634">
        <f>'Forecast TY Budget &amp; D-2.4 Adj'!E239</f>
        <v>97</v>
      </c>
      <c r="E104" s="1588">
        <f t="shared" si="4"/>
        <v>-45.240000000000009</v>
      </c>
    </row>
    <row r="105" spans="1:5" s="802" customFormat="1" x14ac:dyDescent="0.2">
      <c r="A105" s="1594" t="s">
        <v>2093</v>
      </c>
      <c r="B105" s="1111">
        <f>'Base TY Budget'!B240</f>
        <v>921</v>
      </c>
      <c r="C105" s="1634">
        <f>'Base TY Budget'!E240</f>
        <v>145149.10999999999</v>
      </c>
      <c r="D105" s="1634">
        <f>'Forecast TY Budget &amp; D-2.4 Adj'!E240</f>
        <v>142987</v>
      </c>
      <c r="E105" s="1588">
        <f t="shared" si="4"/>
        <v>-2162.109999999986</v>
      </c>
    </row>
    <row r="106" spans="1:5" s="802" customFormat="1" x14ac:dyDescent="0.2">
      <c r="A106" s="1594" t="s">
        <v>2093</v>
      </c>
      <c r="B106" s="1111">
        <f>'Base TY Budget'!B241</f>
        <v>923</v>
      </c>
      <c r="C106" s="1634">
        <f>'Base TY Budget'!E241</f>
        <v>16365.11</v>
      </c>
      <c r="D106" s="1634">
        <f>'Forecast TY Budget &amp; D-2.4 Adj'!E241</f>
        <v>16242</v>
      </c>
      <c r="E106" s="1588">
        <f t="shared" si="4"/>
        <v>-123.11000000000058</v>
      </c>
    </row>
    <row r="107" spans="1:5" s="802" customFormat="1" ht="13.5" x14ac:dyDescent="0.35">
      <c r="A107" s="1594" t="s">
        <v>2093</v>
      </c>
      <c r="B107" s="1111">
        <f>'Base TY Budget'!B242</f>
        <v>930</v>
      </c>
      <c r="C107" s="1634">
        <f>'Base TY Budget'!E242</f>
        <v>34</v>
      </c>
      <c r="D107" s="1634">
        <f>'Forecast TY Budget &amp; D-2.4 Adj'!E242</f>
        <v>66</v>
      </c>
      <c r="E107" s="1603">
        <f t="shared" si="4"/>
        <v>32</v>
      </c>
    </row>
    <row r="108" spans="1:5" s="802" customFormat="1" x14ac:dyDescent="0.2">
      <c r="A108" s="1594"/>
      <c r="B108" s="1111"/>
      <c r="C108" s="1634"/>
      <c r="D108" s="1634"/>
      <c r="E108" s="1588"/>
    </row>
    <row r="109" spans="1:5" s="802" customFormat="1" x14ac:dyDescent="0.2">
      <c r="A109" s="1594"/>
      <c r="B109" s="1111"/>
      <c r="C109" s="1634"/>
      <c r="D109" s="1634"/>
      <c r="E109" s="1588"/>
    </row>
    <row r="110" spans="1:5" s="802" customFormat="1" x14ac:dyDescent="0.2">
      <c r="A110" s="1594" t="s">
        <v>2086</v>
      </c>
      <c r="B110" s="1111">
        <f>'Base TY Budget'!B245</f>
        <v>880</v>
      </c>
      <c r="C110" s="1634">
        <f>'Base TY Budget'!E245</f>
        <v>4.18</v>
      </c>
      <c r="D110" s="1634">
        <f>'Forecast TY Budget &amp; D-2.4 Adj'!E245</f>
        <v>0</v>
      </c>
      <c r="E110" s="1588">
        <f t="shared" si="4"/>
        <v>-4.18</v>
      </c>
    </row>
    <row r="111" spans="1:5" s="802" customFormat="1" x14ac:dyDescent="0.2">
      <c r="A111" s="1594"/>
      <c r="B111" s="1111">
        <f>'Base TY Budget'!B246</f>
        <v>887</v>
      </c>
      <c r="C111" s="1634">
        <f>'Base TY Budget'!E246</f>
        <v>0</v>
      </c>
      <c r="D111" s="1634">
        <f>'Forecast TY Budget &amp; D-2.4 Adj'!E246</f>
        <v>12</v>
      </c>
      <c r="E111" s="1588">
        <f t="shared" si="4"/>
        <v>12</v>
      </c>
    </row>
    <row r="112" spans="1:5" s="802" customFormat="1" x14ac:dyDescent="0.2">
      <c r="A112" s="1594" t="s">
        <v>2086</v>
      </c>
      <c r="B112" s="1111">
        <f>'Base TY Budget'!B247</f>
        <v>892</v>
      </c>
      <c r="C112" s="1634">
        <f>'Base TY Budget'!E247</f>
        <v>3.07</v>
      </c>
      <c r="D112" s="1634">
        <f>'Forecast TY Budget &amp; D-2.4 Adj'!E247</f>
        <v>0</v>
      </c>
      <c r="E112" s="1588">
        <f t="shared" si="4"/>
        <v>-3.07</v>
      </c>
    </row>
    <row r="113" spans="1:5" s="802" customFormat="1" x14ac:dyDescent="0.2">
      <c r="A113" s="1594" t="s">
        <v>2086</v>
      </c>
      <c r="B113" s="1111">
        <f>'Base TY Budget'!B248</f>
        <v>924</v>
      </c>
      <c r="C113" s="1634">
        <f>'Base TY Budget'!E248</f>
        <v>51418.23</v>
      </c>
      <c r="D113" s="1634">
        <f>'Forecast TY Budget &amp; D-2.4 Adj'!E248</f>
        <v>47846</v>
      </c>
      <c r="E113" s="1588">
        <f t="shared" si="4"/>
        <v>-3572.2300000000032</v>
      </c>
    </row>
    <row r="114" spans="1:5" s="802" customFormat="1" ht="13.5" x14ac:dyDescent="0.35">
      <c r="A114" s="1594" t="s">
        <v>2086</v>
      </c>
      <c r="B114" s="1111">
        <f>'Base TY Budget'!B249</f>
        <v>925</v>
      </c>
      <c r="C114" s="1634">
        <f>'Base TY Budget'!E249</f>
        <v>480511.24</v>
      </c>
      <c r="D114" s="1634">
        <f>'Forecast TY Budget &amp; D-2.4 Adj'!E249</f>
        <v>525013</v>
      </c>
      <c r="E114" s="1603">
        <f t="shared" si="4"/>
        <v>44501.760000000009</v>
      </c>
    </row>
    <row r="115" spans="1:5" s="802" customFormat="1" x14ac:dyDescent="0.2">
      <c r="A115" s="1594"/>
      <c r="B115" s="1111"/>
      <c r="C115" s="1634"/>
      <c r="D115" s="1634"/>
      <c r="E115" s="1588"/>
    </row>
    <row r="116" spans="1:5" s="802" customFormat="1" x14ac:dyDescent="0.2">
      <c r="A116" s="1594"/>
      <c r="B116" s="1111"/>
      <c r="C116" s="1634"/>
      <c r="D116" s="1634"/>
      <c r="E116" s="1588"/>
    </row>
    <row r="117" spans="1:5" s="802" customFormat="1" x14ac:dyDescent="0.2">
      <c r="A117" s="1594" t="s">
        <v>2088</v>
      </c>
      <c r="B117" s="1111">
        <f>'Base TY Budget'!B252</f>
        <v>924</v>
      </c>
      <c r="C117" s="1634">
        <f>'Base TY Budget'!E252</f>
        <v>14313</v>
      </c>
      <c r="D117" s="1634">
        <f>'Forecast TY Budget &amp; D-2.4 Adj'!E252</f>
        <v>33170</v>
      </c>
      <c r="E117" s="1588">
        <f t="shared" si="4"/>
        <v>18857</v>
      </c>
    </row>
    <row r="118" spans="1:5" s="802" customFormat="1" ht="13.5" x14ac:dyDescent="0.35">
      <c r="A118" s="1594" t="s">
        <v>2088</v>
      </c>
      <c r="B118" s="1111">
        <f>'Base TY Budget'!B253</f>
        <v>925</v>
      </c>
      <c r="C118" s="1634">
        <f>'Base TY Budget'!E253</f>
        <v>290942</v>
      </c>
      <c r="D118" s="1634">
        <f>'Forecast TY Budget &amp; D-2.4 Adj'!E253</f>
        <v>370938</v>
      </c>
      <c r="E118" s="1603">
        <f t="shared" si="4"/>
        <v>79996</v>
      </c>
    </row>
    <row r="119" spans="1:5" s="802" customFormat="1" x14ac:dyDescent="0.2">
      <c r="A119" s="1594"/>
      <c r="B119" s="1111"/>
      <c r="C119" s="1634"/>
      <c r="D119" s="1634"/>
      <c r="E119" s="1588"/>
    </row>
    <row r="120" spans="1:5" s="802" customFormat="1" x14ac:dyDescent="0.2">
      <c r="A120" s="1594" t="s">
        <v>2087</v>
      </c>
      <c r="B120" s="1111">
        <f>'Base TY Budget'!B378</f>
        <v>925</v>
      </c>
      <c r="C120" s="1634">
        <f>'Base TY Budget'!E378</f>
        <v>126651.91</v>
      </c>
      <c r="D120" s="1634">
        <f>'Forecast TY Budget &amp; D-2.4 Adj'!E378</f>
        <v>99996</v>
      </c>
      <c r="E120" s="1588">
        <f>D120-C120</f>
        <v>-26655.910000000003</v>
      </c>
    </row>
    <row r="121" spans="1:5" s="802" customFormat="1" x14ac:dyDescent="0.2">
      <c r="A121" s="1594"/>
      <c r="B121" s="1111"/>
      <c r="C121" s="1634"/>
      <c r="D121" s="1634"/>
      <c r="E121" s="1588"/>
    </row>
    <row r="122" spans="1:5" s="802" customFormat="1" x14ac:dyDescent="0.2">
      <c r="A122" s="1594" t="s">
        <v>2072</v>
      </c>
      <c r="B122" s="1111">
        <f>'Base TY Budget'!B256</f>
        <v>870</v>
      </c>
      <c r="C122" s="1634">
        <f>'Base TY Budget'!E256</f>
        <v>10534.22</v>
      </c>
      <c r="D122" s="1634">
        <f>'Forecast TY Budget &amp; D-2.4 Adj'!E256</f>
        <v>20433</v>
      </c>
      <c r="E122" s="1588">
        <f t="shared" si="4"/>
        <v>9898.7800000000007</v>
      </c>
    </row>
    <row r="123" spans="1:5" s="802" customFormat="1" x14ac:dyDescent="0.2">
      <c r="A123" s="1594" t="s">
        <v>2072</v>
      </c>
      <c r="B123" s="1111">
        <f>'Base TY Budget'!B257</f>
        <v>874</v>
      </c>
      <c r="C123" s="1634">
        <f>'Base TY Budget'!E257</f>
        <v>140594.97999999998</v>
      </c>
      <c r="D123" s="1634">
        <f>'Forecast TY Budget &amp; D-2.4 Adj'!E257</f>
        <v>181351</v>
      </c>
      <c r="E123" s="1588">
        <f t="shared" si="4"/>
        <v>40756.020000000019</v>
      </c>
    </row>
    <row r="124" spans="1:5" s="802" customFormat="1" x14ac:dyDescent="0.2">
      <c r="A124" s="1594" t="s">
        <v>2072</v>
      </c>
      <c r="B124" s="1111">
        <f>'Base TY Budget'!B258</f>
        <v>875</v>
      </c>
      <c r="C124" s="1634">
        <f>'Base TY Budget'!E258</f>
        <v>11822.46</v>
      </c>
      <c r="D124" s="1634">
        <f>'Forecast TY Budget &amp; D-2.4 Adj'!E258</f>
        <v>13726</v>
      </c>
      <c r="E124" s="1588">
        <f t="shared" si="4"/>
        <v>1903.5400000000009</v>
      </c>
    </row>
    <row r="125" spans="1:5" s="802" customFormat="1" x14ac:dyDescent="0.2">
      <c r="A125" s="1594" t="s">
        <v>2072</v>
      </c>
      <c r="B125" s="1111">
        <f>'Base TY Budget'!B259</f>
        <v>876</v>
      </c>
      <c r="C125" s="1634">
        <f>'Base TY Budget'!E259</f>
        <v>2062.33</v>
      </c>
      <c r="D125" s="1634">
        <f>'Forecast TY Budget &amp; D-2.4 Adj'!E259</f>
        <v>3133</v>
      </c>
      <c r="E125" s="1588">
        <f t="shared" si="4"/>
        <v>1070.67</v>
      </c>
    </row>
    <row r="126" spans="1:5" s="802" customFormat="1" x14ac:dyDescent="0.2">
      <c r="A126" s="1594" t="s">
        <v>2072</v>
      </c>
      <c r="B126" s="1111">
        <f>'Base TY Budget'!B260</f>
        <v>878</v>
      </c>
      <c r="C126" s="1634">
        <f>'Base TY Budget'!E260</f>
        <v>29696</v>
      </c>
      <c r="D126" s="1634">
        <f>'Forecast TY Budget &amp; D-2.4 Adj'!E260</f>
        <v>36161</v>
      </c>
      <c r="E126" s="1588">
        <f t="shared" si="4"/>
        <v>6465</v>
      </c>
    </row>
    <row r="127" spans="1:5" s="802" customFormat="1" x14ac:dyDescent="0.2">
      <c r="A127" s="1594" t="s">
        <v>2072</v>
      </c>
      <c r="B127" s="1111">
        <f>'Base TY Budget'!B261</f>
        <v>879</v>
      </c>
      <c r="C127" s="1634">
        <f>'Base TY Budget'!E261</f>
        <v>12692.1</v>
      </c>
      <c r="D127" s="1634">
        <f>'Forecast TY Budget &amp; D-2.4 Adj'!E261</f>
        <v>15373</v>
      </c>
      <c r="E127" s="1588">
        <f t="shared" si="4"/>
        <v>2680.8999999999996</v>
      </c>
    </row>
    <row r="128" spans="1:5" s="802" customFormat="1" x14ac:dyDescent="0.2">
      <c r="A128" s="1594" t="s">
        <v>2072</v>
      </c>
      <c r="B128" s="1111">
        <f>'Base TY Budget'!B262</f>
        <v>880</v>
      </c>
      <c r="C128" s="1634">
        <f>'Base TY Budget'!E262</f>
        <v>39436.980000000003</v>
      </c>
      <c r="D128" s="1634">
        <f>'Forecast TY Budget &amp; D-2.4 Adj'!E262</f>
        <v>53985</v>
      </c>
      <c r="E128" s="1588">
        <f t="shared" si="4"/>
        <v>14548.019999999997</v>
      </c>
    </row>
    <row r="129" spans="1:5" s="802" customFormat="1" x14ac:dyDescent="0.2">
      <c r="A129" s="1594" t="s">
        <v>2072</v>
      </c>
      <c r="B129" s="1111">
        <f>'Base TY Budget'!B263</f>
        <v>885</v>
      </c>
      <c r="C129" s="1634">
        <f>'Base TY Budget'!E263</f>
        <v>534.93000000000006</v>
      </c>
      <c r="D129" s="1634">
        <f>'Forecast TY Budget &amp; D-2.4 Adj'!E263</f>
        <v>694</v>
      </c>
      <c r="E129" s="1588">
        <f t="shared" si="4"/>
        <v>159.06999999999994</v>
      </c>
    </row>
    <row r="130" spans="1:5" s="802" customFormat="1" x14ac:dyDescent="0.2">
      <c r="A130" s="1594" t="s">
        <v>2072</v>
      </c>
      <c r="B130" s="1111">
        <f>'Base TY Budget'!B264</f>
        <v>887</v>
      </c>
      <c r="C130" s="1634">
        <f>'Base TY Budget'!E264</f>
        <v>15799.77</v>
      </c>
      <c r="D130" s="1634">
        <f>'Forecast TY Budget &amp; D-2.4 Adj'!E264</f>
        <v>22552</v>
      </c>
      <c r="E130" s="1588">
        <f t="shared" si="4"/>
        <v>6752.23</v>
      </c>
    </row>
    <row r="131" spans="1:5" s="802" customFormat="1" x14ac:dyDescent="0.2">
      <c r="A131" s="1594" t="s">
        <v>2072</v>
      </c>
      <c r="B131" s="1111">
        <f>'Base TY Budget'!B265</f>
        <v>889</v>
      </c>
      <c r="C131" s="1634">
        <f>'Base TY Budget'!E265</f>
        <v>4031.3</v>
      </c>
      <c r="D131" s="1634">
        <f>'Forecast TY Budget &amp; D-2.4 Adj'!E265</f>
        <v>6123</v>
      </c>
      <c r="E131" s="1588">
        <f t="shared" si="4"/>
        <v>2091.6999999999998</v>
      </c>
    </row>
    <row r="132" spans="1:5" s="802" customFormat="1" x14ac:dyDescent="0.2">
      <c r="A132" s="1594" t="s">
        <v>2072</v>
      </c>
      <c r="B132" s="1111">
        <f>'Base TY Budget'!B266</f>
        <v>890</v>
      </c>
      <c r="C132" s="1634">
        <f>'Base TY Budget'!E266</f>
        <v>2062.33</v>
      </c>
      <c r="D132" s="1634">
        <f>'Forecast TY Budget &amp; D-2.4 Adj'!E266</f>
        <v>3133</v>
      </c>
      <c r="E132" s="1588">
        <f t="shared" si="4"/>
        <v>1070.67</v>
      </c>
    </row>
    <row r="133" spans="1:5" s="802" customFormat="1" x14ac:dyDescent="0.2">
      <c r="A133" s="1594" t="s">
        <v>2072</v>
      </c>
      <c r="B133" s="1111">
        <f>'Base TY Budget'!B267</f>
        <v>892</v>
      </c>
      <c r="C133" s="1634">
        <f>'Base TY Budget'!E267</f>
        <v>4800.68</v>
      </c>
      <c r="D133" s="1634">
        <f>'Forecast TY Budget &amp; D-2.4 Adj'!E267</f>
        <v>6089</v>
      </c>
      <c r="E133" s="1588">
        <f t="shared" si="4"/>
        <v>1288.3199999999997</v>
      </c>
    </row>
    <row r="134" spans="1:5" s="802" customFormat="1" x14ac:dyDescent="0.2">
      <c r="A134" s="1594" t="s">
        <v>2072</v>
      </c>
      <c r="B134" s="1111">
        <f>'Base TY Budget'!B268</f>
        <v>903</v>
      </c>
      <c r="C134" s="1634">
        <f>'Base TY Budget'!E268</f>
        <v>6413.32</v>
      </c>
      <c r="D134" s="1634">
        <f>'Forecast TY Budget &amp; D-2.4 Adj'!E268</f>
        <v>8169</v>
      </c>
      <c r="E134" s="1588">
        <f t="shared" si="4"/>
        <v>1755.6800000000003</v>
      </c>
    </row>
    <row r="135" spans="1:5" s="802" customFormat="1" x14ac:dyDescent="0.2">
      <c r="A135" s="1594" t="s">
        <v>2072</v>
      </c>
      <c r="B135" s="1111">
        <f>'Base TY Budget'!B269</f>
        <v>921</v>
      </c>
      <c r="C135" s="1634">
        <f>'Base TY Budget'!E269</f>
        <v>122068.13</v>
      </c>
      <c r="D135" s="1634">
        <f>'Forecast TY Budget &amp; D-2.4 Adj'!E269</f>
        <v>143006</v>
      </c>
      <c r="E135" s="1588">
        <f t="shared" si="4"/>
        <v>20937.869999999995</v>
      </c>
    </row>
    <row r="136" spans="1:5" s="802" customFormat="1" ht="13.5" x14ac:dyDescent="0.35">
      <c r="A136" s="1594" t="s">
        <v>2072</v>
      </c>
      <c r="B136" s="1111">
        <f>'Base TY Budget'!B270</f>
        <v>923</v>
      </c>
      <c r="C136" s="1634">
        <f>'Base TY Budget'!E270</f>
        <v>204.88</v>
      </c>
      <c r="D136" s="1634">
        <f>'Forecast TY Budget &amp; D-2.4 Adj'!E270</f>
        <v>313.99996000001556</v>
      </c>
      <c r="E136" s="1603">
        <f t="shared" si="4"/>
        <v>109.11996000001557</v>
      </c>
    </row>
    <row r="137" spans="1:5" s="802" customFormat="1" x14ac:dyDescent="0.2">
      <c r="A137" s="1594"/>
      <c r="B137" s="1111"/>
      <c r="C137" s="1634"/>
      <c r="D137" s="1634"/>
      <c r="E137" s="1588"/>
    </row>
    <row r="138" spans="1:5" s="802" customFormat="1" x14ac:dyDescent="0.2">
      <c r="A138" s="1594"/>
      <c r="B138" s="1111"/>
      <c r="C138" s="1634"/>
      <c r="D138" s="1634"/>
      <c r="E138" s="1588"/>
    </row>
    <row r="139" spans="1:5" s="802" customFormat="1" x14ac:dyDescent="0.2">
      <c r="A139" s="1594" t="s">
        <v>2083</v>
      </c>
      <c r="B139" s="1111">
        <f>'Base TY Budget'!B273</f>
        <v>880</v>
      </c>
      <c r="C139" s="1634">
        <f>'Base TY Budget'!E273</f>
        <v>14526</v>
      </c>
      <c r="D139" s="1634">
        <f>'Forecast TY Budget &amp; D-2.4 Adj'!E273</f>
        <v>9233</v>
      </c>
      <c r="E139" s="1588">
        <f t="shared" si="4"/>
        <v>-5293</v>
      </c>
    </row>
    <row r="140" spans="1:5" s="802" customFormat="1" x14ac:dyDescent="0.2">
      <c r="A140" s="1594" t="s">
        <v>2083</v>
      </c>
      <c r="B140" s="1111">
        <f>'Base TY Budget'!B274</f>
        <v>907</v>
      </c>
      <c r="C140" s="1634">
        <f>'Base TY Budget'!E274</f>
        <v>15792</v>
      </c>
      <c r="D140" s="1634">
        <f>'Forecast TY Budget &amp; D-2.4 Adj'!E274</f>
        <v>22140</v>
      </c>
      <c r="E140" s="1588">
        <f t="shared" si="4"/>
        <v>6348</v>
      </c>
    </row>
    <row r="141" spans="1:5" s="802" customFormat="1" x14ac:dyDescent="0.2">
      <c r="A141" s="1594" t="s">
        <v>2083</v>
      </c>
      <c r="B141" s="1111">
        <f>'Base TY Budget'!B275</f>
        <v>921</v>
      </c>
      <c r="C141" s="1634">
        <f>'Base TY Budget'!E275</f>
        <v>17867.5</v>
      </c>
      <c r="D141" s="1634">
        <f>'Forecast TY Budget &amp; D-2.4 Adj'!E275</f>
        <v>18586</v>
      </c>
      <c r="E141" s="1588">
        <f t="shared" ref="E141:E208" si="5">D141-C141</f>
        <v>718.5</v>
      </c>
    </row>
    <row r="142" spans="1:5" s="802" customFormat="1" ht="13.5" x14ac:dyDescent="0.35">
      <c r="A142" s="1594" t="s">
        <v>2083</v>
      </c>
      <c r="B142" s="1111">
        <f>'Base TY Budget'!B276</f>
        <v>930</v>
      </c>
      <c r="C142" s="1634">
        <f>'Base TY Budget'!E276</f>
        <v>25936.53</v>
      </c>
      <c r="D142" s="1634">
        <f>'Forecast TY Budget &amp; D-2.4 Adj'!E276</f>
        <v>33457</v>
      </c>
      <c r="E142" s="1603">
        <f t="shared" si="5"/>
        <v>7520.4700000000012</v>
      </c>
    </row>
    <row r="143" spans="1:5" s="802" customFormat="1" x14ac:dyDescent="0.2">
      <c r="A143" s="1594"/>
      <c r="B143" s="1111"/>
      <c r="C143" s="1634"/>
      <c r="D143" s="1634"/>
      <c r="E143" s="1588"/>
    </row>
    <row r="144" spans="1:5" s="802" customFormat="1" x14ac:dyDescent="0.2">
      <c r="A144" s="1594"/>
      <c r="B144" s="1111"/>
      <c r="C144" s="1634"/>
      <c r="D144" s="1634"/>
      <c r="E144" s="1588"/>
    </row>
    <row r="145" spans="1:5" s="802" customFormat="1" x14ac:dyDescent="0.2">
      <c r="A145" s="1594" t="s">
        <v>2091</v>
      </c>
      <c r="B145" s="1111">
        <f>'Base TY Budget'!B279</f>
        <v>717</v>
      </c>
      <c r="C145" s="1634">
        <f>'Base TY Budget'!E279</f>
        <v>1191.99</v>
      </c>
      <c r="D145" s="1634">
        <f>'Forecast TY Budget &amp; D-2.4 Adj'!E279</f>
        <v>2139</v>
      </c>
      <c r="E145" s="1588">
        <f t="shared" si="5"/>
        <v>947.01</v>
      </c>
    </row>
    <row r="146" spans="1:5" s="802" customFormat="1" x14ac:dyDescent="0.2">
      <c r="A146" s="1594" t="s">
        <v>2091</v>
      </c>
      <c r="B146" s="1111">
        <f>'Base TY Budget'!B280</f>
        <v>870</v>
      </c>
      <c r="C146" s="1634">
        <f>'Base TY Budget'!E280</f>
        <v>6</v>
      </c>
      <c r="D146" s="1634">
        <f>'Forecast TY Budget &amp; D-2.4 Adj'!E280</f>
        <v>12</v>
      </c>
      <c r="E146" s="1588">
        <f t="shared" si="5"/>
        <v>6</v>
      </c>
    </row>
    <row r="147" spans="1:5" s="802" customFormat="1" x14ac:dyDescent="0.2">
      <c r="A147" s="1594" t="s">
        <v>2091</v>
      </c>
      <c r="B147" s="1111">
        <f>'Base TY Budget'!B281</f>
        <v>874</v>
      </c>
      <c r="C147" s="1634">
        <f>'Base TY Budget'!E281</f>
        <v>15912.020000000002</v>
      </c>
      <c r="D147" s="1634">
        <f>'Forecast TY Budget &amp; D-2.4 Adj'!E281</f>
        <v>7640</v>
      </c>
      <c r="E147" s="1588">
        <f t="shared" si="5"/>
        <v>-8272.0200000000023</v>
      </c>
    </row>
    <row r="148" spans="1:5" s="802" customFormat="1" x14ac:dyDescent="0.2">
      <c r="A148" s="1594" t="s">
        <v>2091</v>
      </c>
      <c r="B148" s="1111">
        <f>'Base TY Budget'!B282</f>
        <v>875</v>
      </c>
      <c r="C148" s="1634">
        <f>'Base TY Budget'!E282</f>
        <v>9354.89</v>
      </c>
      <c r="D148" s="1634">
        <f>'Forecast TY Budget &amp; D-2.4 Adj'!E282</f>
        <v>8838</v>
      </c>
      <c r="E148" s="1588">
        <f t="shared" si="5"/>
        <v>-516.88999999999942</v>
      </c>
    </row>
    <row r="149" spans="1:5" s="802" customFormat="1" x14ac:dyDescent="0.2">
      <c r="A149" s="1594" t="s">
        <v>2091</v>
      </c>
      <c r="B149" s="1111">
        <f>'Base TY Budget'!B283</f>
        <v>878</v>
      </c>
      <c r="C149" s="1634">
        <f>'Base TY Budget'!E283</f>
        <v>12.3</v>
      </c>
      <c r="D149" s="1634">
        <f>'Forecast TY Budget &amp; D-2.4 Adj'!E283</f>
        <v>11</v>
      </c>
      <c r="E149" s="1588">
        <f t="shared" si="5"/>
        <v>-1.3000000000000007</v>
      </c>
    </row>
    <row r="150" spans="1:5" s="802" customFormat="1" x14ac:dyDescent="0.2">
      <c r="A150" s="1594" t="s">
        <v>2091</v>
      </c>
      <c r="B150" s="1111">
        <f>'Base TY Budget'!B284</f>
        <v>879</v>
      </c>
      <c r="C150" s="1634">
        <f>'Base TY Budget'!E284</f>
        <v>7.46</v>
      </c>
      <c r="D150" s="1634">
        <f>'Forecast TY Budget &amp; D-2.4 Adj'!E284</f>
        <v>2</v>
      </c>
      <c r="E150" s="1588">
        <f t="shared" si="5"/>
        <v>-5.46</v>
      </c>
    </row>
    <row r="151" spans="1:5" s="802" customFormat="1" x14ac:dyDescent="0.2">
      <c r="A151" s="1594" t="s">
        <v>2091</v>
      </c>
      <c r="B151" s="1111">
        <f>'Base TY Budget'!B285</f>
        <v>880</v>
      </c>
      <c r="C151" s="1634">
        <f>'Base TY Budget'!E285</f>
        <v>201896.2</v>
      </c>
      <c r="D151" s="1634">
        <f>'Forecast TY Budget &amp; D-2.4 Adj'!E285</f>
        <v>197403</v>
      </c>
      <c r="E151" s="1588">
        <f t="shared" si="5"/>
        <v>-4493.2000000000116</v>
      </c>
    </row>
    <row r="152" spans="1:5" s="802" customFormat="1" x14ac:dyDescent="0.2">
      <c r="A152" s="1594" t="s">
        <v>2091</v>
      </c>
      <c r="B152" s="1111">
        <f>'Base TY Budget'!B286</f>
        <v>886</v>
      </c>
      <c r="C152" s="1634">
        <f>'Base TY Budget'!E286</f>
        <v>22020.019999999997</v>
      </c>
      <c r="D152" s="1634">
        <f>'Forecast TY Budget &amp; D-2.4 Adj'!E286</f>
        <v>20136</v>
      </c>
      <c r="E152" s="1588">
        <f t="shared" si="5"/>
        <v>-1884.0199999999968</v>
      </c>
    </row>
    <row r="153" spans="1:5" s="802" customFormat="1" x14ac:dyDescent="0.2">
      <c r="A153" s="1594" t="s">
        <v>2091</v>
      </c>
      <c r="B153" s="1111">
        <f>'Base TY Budget'!B287</f>
        <v>887</v>
      </c>
      <c r="C153" s="1634">
        <f>'Base TY Budget'!E287</f>
        <v>21491.58</v>
      </c>
      <c r="D153" s="1634">
        <f>'Forecast TY Budget &amp; D-2.4 Adj'!E287</f>
        <v>20455</v>
      </c>
      <c r="E153" s="1588">
        <f t="shared" si="5"/>
        <v>-1036.5800000000017</v>
      </c>
    </row>
    <row r="154" spans="1:5" s="802" customFormat="1" x14ac:dyDescent="0.2">
      <c r="A154" s="1594" t="s">
        <v>2091</v>
      </c>
      <c r="B154" s="1111">
        <f>'Base TY Budget'!B288</f>
        <v>892</v>
      </c>
      <c r="C154" s="1634">
        <f>'Base TY Budget'!E288</f>
        <v>1.2599999999999998</v>
      </c>
      <c r="D154" s="1634">
        <f>'Forecast TY Budget &amp; D-2.4 Adj'!E288</f>
        <v>0</v>
      </c>
      <c r="E154" s="1588">
        <f t="shared" si="5"/>
        <v>-1.2599999999999998</v>
      </c>
    </row>
    <row r="155" spans="1:5" s="802" customFormat="1" x14ac:dyDescent="0.2">
      <c r="A155" s="1594" t="s">
        <v>2091</v>
      </c>
      <c r="B155" s="1111">
        <f>'Base TY Budget'!B289</f>
        <v>894</v>
      </c>
      <c r="C155" s="1634">
        <f>'Base TY Budget'!E289</f>
        <v>10220.049999999999</v>
      </c>
      <c r="D155" s="1634">
        <f>'Forecast TY Budget &amp; D-2.4 Adj'!E289</f>
        <v>10327</v>
      </c>
      <c r="E155" s="1588">
        <f t="shared" si="5"/>
        <v>106.95000000000073</v>
      </c>
    </row>
    <row r="156" spans="1:5" s="802" customFormat="1" x14ac:dyDescent="0.2">
      <c r="A156" s="1594" t="s">
        <v>2091</v>
      </c>
      <c r="B156" s="1111">
        <f>'Base TY Budget'!B290</f>
        <v>903</v>
      </c>
      <c r="C156" s="1634">
        <f>'Base TY Budget'!E290</f>
        <v>1.6800000000000002</v>
      </c>
      <c r="D156" s="1634">
        <f>'Forecast TY Budget &amp; D-2.4 Adj'!E290</f>
        <v>0</v>
      </c>
      <c r="E156" s="1588">
        <f t="shared" si="5"/>
        <v>-1.6800000000000002</v>
      </c>
    </row>
    <row r="157" spans="1:5" s="802" customFormat="1" x14ac:dyDescent="0.2">
      <c r="A157" s="1594" t="s">
        <v>2091</v>
      </c>
      <c r="B157" s="1111">
        <f>'Base TY Budget'!B291</f>
        <v>905</v>
      </c>
      <c r="C157" s="1634">
        <f>'Base TY Budget'!E291</f>
        <v>772.72</v>
      </c>
      <c r="D157" s="1634">
        <f>'Forecast TY Budget &amp; D-2.4 Adj'!E291</f>
        <v>774</v>
      </c>
      <c r="E157" s="1588">
        <f t="shared" si="5"/>
        <v>1.2799999999999727</v>
      </c>
    </row>
    <row r="158" spans="1:5" s="802" customFormat="1" ht="13.5" x14ac:dyDescent="0.35">
      <c r="A158" s="1594" t="s">
        <v>2091</v>
      </c>
      <c r="B158" s="1111">
        <f>'Base TY Budget'!B292</f>
        <v>921</v>
      </c>
      <c r="C158" s="1634">
        <f>'Base TY Budget'!E292</f>
        <v>187362.65000000002</v>
      </c>
      <c r="D158" s="1634">
        <f>'Forecast TY Budget &amp; D-2.4 Adj'!E292</f>
        <v>171523</v>
      </c>
      <c r="E158" s="1603">
        <f t="shared" si="5"/>
        <v>-15839.650000000023</v>
      </c>
    </row>
    <row r="159" spans="1:5" s="802" customFormat="1" x14ac:dyDescent="0.2">
      <c r="A159" s="1594"/>
      <c r="B159" s="1111"/>
      <c r="C159" s="1634"/>
      <c r="D159" s="1634"/>
      <c r="E159" s="1588"/>
    </row>
    <row r="160" spans="1:5" s="802" customFormat="1" x14ac:dyDescent="0.2">
      <c r="A160" s="1594"/>
      <c r="B160" s="1111"/>
      <c r="C160" s="1634"/>
      <c r="D160" s="1634"/>
      <c r="E160" s="1588"/>
    </row>
    <row r="161" spans="1:5" s="802" customFormat="1" x14ac:dyDescent="0.2">
      <c r="A161" s="1594" t="s">
        <v>2065</v>
      </c>
      <c r="B161" s="1111">
        <f>'Base TY Budget'!B295</f>
        <v>807</v>
      </c>
      <c r="C161" s="1634">
        <f>'Base TY Budget'!E295</f>
        <v>324707.32999999996</v>
      </c>
      <c r="D161" s="1634">
        <f>'Forecast TY Budget &amp; D-2.4 Adj'!E295</f>
        <v>344123</v>
      </c>
      <c r="E161" s="1588">
        <f t="shared" si="5"/>
        <v>19415.670000000042</v>
      </c>
    </row>
    <row r="162" spans="1:5" s="802" customFormat="1" x14ac:dyDescent="0.2">
      <c r="A162" s="1594" t="s">
        <v>2065</v>
      </c>
      <c r="B162" s="1111">
        <f>'Base TY Budget'!B296</f>
        <v>867</v>
      </c>
      <c r="C162" s="1634">
        <f>'Base TY Budget'!E296</f>
        <v>0</v>
      </c>
      <c r="D162" s="1634">
        <f>'Forecast TY Budget &amp; D-2.4 Adj'!E296</f>
        <v>0</v>
      </c>
      <c r="E162" s="1588">
        <f t="shared" si="5"/>
        <v>0</v>
      </c>
    </row>
    <row r="163" spans="1:5" s="802" customFormat="1" x14ac:dyDescent="0.2">
      <c r="A163" s="1594" t="s">
        <v>2065</v>
      </c>
      <c r="B163" s="1111">
        <f>'Base TY Budget'!B297</f>
        <v>870</v>
      </c>
      <c r="C163" s="1634">
        <f>'Base TY Budget'!E297</f>
        <v>587256.47</v>
      </c>
      <c r="D163" s="1634">
        <f>'Forecast TY Budget &amp; D-2.4 Adj'!E297</f>
        <v>722953</v>
      </c>
      <c r="E163" s="1588">
        <f t="shared" si="5"/>
        <v>135696.53000000003</v>
      </c>
    </row>
    <row r="164" spans="1:5" s="802" customFormat="1" x14ac:dyDescent="0.2">
      <c r="A164" s="1594" t="s">
        <v>2065</v>
      </c>
      <c r="B164" s="1111">
        <f>'Base TY Budget'!B298</f>
        <v>874</v>
      </c>
      <c r="C164" s="1634">
        <f>'Base TY Budget'!E298</f>
        <v>149035.45000000001</v>
      </c>
      <c r="D164" s="1634">
        <f>'Forecast TY Budget &amp; D-2.4 Adj'!E298</f>
        <v>178898</v>
      </c>
      <c r="E164" s="1588">
        <f t="shared" si="5"/>
        <v>29862.549999999988</v>
      </c>
    </row>
    <row r="165" spans="1:5" s="802" customFormat="1" x14ac:dyDescent="0.2">
      <c r="A165" s="1594" t="s">
        <v>2065</v>
      </c>
      <c r="B165" s="1111">
        <f>'Base TY Budget'!B299</f>
        <v>875</v>
      </c>
      <c r="C165" s="1634">
        <f>'Base TY Budget'!E299</f>
        <v>16731.75</v>
      </c>
      <c r="D165" s="1634">
        <f>'Forecast TY Budget &amp; D-2.4 Adj'!E299</f>
        <v>18699</v>
      </c>
      <c r="E165" s="1588">
        <f t="shared" si="5"/>
        <v>1967.25</v>
      </c>
    </row>
    <row r="166" spans="1:5" s="802" customFormat="1" x14ac:dyDescent="0.2">
      <c r="A166" s="1594" t="s">
        <v>2065</v>
      </c>
      <c r="B166" s="1111">
        <f>'Base TY Budget'!B300</f>
        <v>876</v>
      </c>
      <c r="C166" s="1634">
        <f>'Base TY Budget'!E300</f>
        <v>13687.85</v>
      </c>
      <c r="D166" s="1634">
        <f>'Forecast TY Budget &amp; D-2.4 Adj'!E300</f>
        <v>15296</v>
      </c>
      <c r="E166" s="1588">
        <f t="shared" si="5"/>
        <v>1608.1499999999996</v>
      </c>
    </row>
    <row r="167" spans="1:5" s="802" customFormat="1" x14ac:dyDescent="0.2">
      <c r="A167" s="1594" t="s">
        <v>2065</v>
      </c>
      <c r="B167" s="1111">
        <f>'Base TY Budget'!B301</f>
        <v>878</v>
      </c>
      <c r="C167" s="1634">
        <f>'Base TY Budget'!E301</f>
        <v>77338.76999999999</v>
      </c>
      <c r="D167" s="1634">
        <f>'Forecast TY Budget &amp; D-2.4 Adj'!E301</f>
        <v>84906</v>
      </c>
      <c r="E167" s="1588">
        <f t="shared" si="5"/>
        <v>7567.2300000000105</v>
      </c>
    </row>
    <row r="168" spans="1:5" s="802" customFormat="1" x14ac:dyDescent="0.2">
      <c r="A168" s="1594" t="s">
        <v>2065</v>
      </c>
      <c r="B168" s="1111">
        <f>'Base TY Budget'!B302</f>
        <v>879</v>
      </c>
      <c r="C168" s="1634">
        <f>'Base TY Budget'!E302</f>
        <v>74393.03</v>
      </c>
      <c r="D168" s="1634">
        <f>'Forecast TY Budget &amp; D-2.4 Adj'!E302</f>
        <v>81887</v>
      </c>
      <c r="E168" s="1588">
        <f t="shared" si="5"/>
        <v>7493.9700000000012</v>
      </c>
    </row>
    <row r="169" spans="1:5" s="802" customFormat="1" x14ac:dyDescent="0.2">
      <c r="A169" s="1594" t="s">
        <v>2065</v>
      </c>
      <c r="B169" s="1111">
        <f>'Base TY Budget'!B303</f>
        <v>880</v>
      </c>
      <c r="C169" s="1634">
        <f>'Base TY Budget'!E303</f>
        <v>16803.669999999998</v>
      </c>
      <c r="D169" s="1634">
        <f>'Forecast TY Budget &amp; D-2.4 Adj'!E303</f>
        <v>19656</v>
      </c>
      <c r="E169" s="1588">
        <f t="shared" si="5"/>
        <v>2852.3300000000017</v>
      </c>
    </row>
    <row r="170" spans="1:5" s="802" customFormat="1" x14ac:dyDescent="0.2">
      <c r="A170" s="1594" t="s">
        <v>2065</v>
      </c>
      <c r="B170" s="1111">
        <f>'Base TY Budget'!B304</f>
        <v>887</v>
      </c>
      <c r="C170" s="1634">
        <f>'Base TY Budget'!E304</f>
        <v>44704.5</v>
      </c>
      <c r="D170" s="1634">
        <f>'Forecast TY Budget &amp; D-2.4 Adj'!E304</f>
        <v>52255</v>
      </c>
      <c r="E170" s="1588">
        <f t="shared" si="5"/>
        <v>7550.5</v>
      </c>
    </row>
    <row r="171" spans="1:5" s="802" customFormat="1" x14ac:dyDescent="0.2">
      <c r="A171" s="1594" t="s">
        <v>2065</v>
      </c>
      <c r="B171" s="1111">
        <f>'Base TY Budget'!B305</f>
        <v>889</v>
      </c>
      <c r="C171" s="1634">
        <f>'Base TY Budget'!E305</f>
        <v>16731.75</v>
      </c>
      <c r="D171" s="1634">
        <f>'Forecast TY Budget &amp; D-2.4 Adj'!E305</f>
        <v>18699</v>
      </c>
      <c r="E171" s="1588">
        <f t="shared" si="5"/>
        <v>1967.25</v>
      </c>
    </row>
    <row r="172" spans="1:5" s="802" customFormat="1" x14ac:dyDescent="0.2">
      <c r="A172" s="1594" t="s">
        <v>2065</v>
      </c>
      <c r="B172" s="1111">
        <f>'Base TY Budget'!B306</f>
        <v>890</v>
      </c>
      <c r="C172" s="1634">
        <f>'Base TY Budget'!E306</f>
        <v>33805.229999999996</v>
      </c>
      <c r="D172" s="1634">
        <f>'Forecast TY Budget &amp; D-2.4 Adj'!E306</f>
        <v>41754</v>
      </c>
      <c r="E172" s="1588">
        <f t="shared" si="5"/>
        <v>7948.7700000000041</v>
      </c>
    </row>
    <row r="173" spans="1:5" s="802" customFormat="1" x14ac:dyDescent="0.2">
      <c r="A173" s="1594" t="s">
        <v>2065</v>
      </c>
      <c r="B173" s="1111">
        <f>'Base TY Budget'!B307</f>
        <v>892</v>
      </c>
      <c r="C173" s="1634">
        <f>'Base TY Budget'!E307</f>
        <v>29802.070000000003</v>
      </c>
      <c r="D173" s="1634">
        <f>'Forecast TY Budget &amp; D-2.4 Adj'!E307</f>
        <v>26843</v>
      </c>
      <c r="E173" s="1588">
        <f t="shared" si="5"/>
        <v>-2959.0700000000033</v>
      </c>
    </row>
    <row r="174" spans="1:5" s="802" customFormat="1" x14ac:dyDescent="0.2">
      <c r="A174" s="1594" t="s">
        <v>2065</v>
      </c>
      <c r="B174" s="1111">
        <f>'Base TY Budget'!B308</f>
        <v>893</v>
      </c>
      <c r="C174" s="1634">
        <f>'Base TY Budget'!E308</f>
        <v>33477.019999999997</v>
      </c>
      <c r="D174" s="1634">
        <f>'Forecast TY Budget &amp; D-2.4 Adj'!E308</f>
        <v>41425</v>
      </c>
      <c r="E174" s="1588">
        <f t="shared" si="5"/>
        <v>7947.9800000000032</v>
      </c>
    </row>
    <row r="175" spans="1:5" s="802" customFormat="1" x14ac:dyDescent="0.2">
      <c r="A175" s="1594" t="s">
        <v>2065</v>
      </c>
      <c r="B175" s="1111">
        <f>'Base TY Budget'!B309</f>
        <v>894</v>
      </c>
      <c r="C175" s="1634">
        <f>'Base TY Budget'!E309</f>
        <v>64925.680000000008</v>
      </c>
      <c r="D175" s="1634">
        <f>'Forecast TY Budget &amp; D-2.4 Adj'!E309</f>
        <v>76289</v>
      </c>
      <c r="E175" s="1588">
        <f t="shared" si="5"/>
        <v>11363.319999999992</v>
      </c>
    </row>
    <row r="176" spans="1:5" s="802" customFormat="1" x14ac:dyDescent="0.2">
      <c r="A176" s="1594" t="s">
        <v>2065</v>
      </c>
      <c r="B176" s="1111">
        <f>'Base TY Budget'!B310</f>
        <v>903</v>
      </c>
      <c r="C176" s="1634">
        <f>'Base TY Budget'!E310</f>
        <v>1773393.44</v>
      </c>
      <c r="D176" s="1634">
        <f>'Forecast TY Budget &amp; D-2.4 Adj'!E310</f>
        <v>2017259</v>
      </c>
      <c r="E176" s="1588">
        <f t="shared" si="5"/>
        <v>243865.56000000006</v>
      </c>
    </row>
    <row r="177" spans="1:5" s="802" customFormat="1" x14ac:dyDescent="0.2">
      <c r="A177" s="1594" t="s">
        <v>2065</v>
      </c>
      <c r="B177" s="1111">
        <f>'Base TY Budget'!B311</f>
        <v>907</v>
      </c>
      <c r="C177" s="1634">
        <f>'Base TY Budget'!E311</f>
        <v>24.6</v>
      </c>
      <c r="D177" s="1634">
        <f>'Forecast TY Budget &amp; D-2.4 Adj'!E311</f>
        <v>72</v>
      </c>
      <c r="E177" s="1588">
        <f t="shared" si="5"/>
        <v>47.4</v>
      </c>
    </row>
    <row r="178" spans="1:5" s="802" customFormat="1" x14ac:dyDescent="0.2">
      <c r="A178" s="1594" t="s">
        <v>2065</v>
      </c>
      <c r="B178" s="1111">
        <f>'Base TY Budget'!B312</f>
        <v>908</v>
      </c>
      <c r="C178" s="1634">
        <f>'Base TY Budget'!E312</f>
        <v>66646.94</v>
      </c>
      <c r="D178" s="1634">
        <f>'Forecast TY Budget &amp; D-2.4 Adj'!E312</f>
        <v>78958</v>
      </c>
      <c r="E178" s="1588">
        <f t="shared" si="5"/>
        <v>12311.059999999998</v>
      </c>
    </row>
    <row r="179" spans="1:5" s="802" customFormat="1" x14ac:dyDescent="0.2">
      <c r="A179" s="1594" t="s">
        <v>2065</v>
      </c>
      <c r="B179" s="1111">
        <f>'Base TY Budget'!B313</f>
        <v>909</v>
      </c>
      <c r="C179" s="1634">
        <f>'Base TY Budget'!E313</f>
        <v>79519.59</v>
      </c>
      <c r="D179" s="1634">
        <f>'Forecast TY Budget &amp; D-2.4 Adj'!E313</f>
        <v>63486</v>
      </c>
      <c r="E179" s="1588">
        <f t="shared" si="5"/>
        <v>-16033.589999999997</v>
      </c>
    </row>
    <row r="180" spans="1:5" s="802" customFormat="1" x14ac:dyDescent="0.2">
      <c r="A180" s="1594" t="s">
        <v>2065</v>
      </c>
      <c r="B180" s="1111">
        <f>'Base TY Budget'!B314</f>
        <v>910</v>
      </c>
      <c r="C180" s="1634">
        <f>'Base TY Budget'!E314</f>
        <v>227785.5</v>
      </c>
      <c r="D180" s="1634">
        <f>'Forecast TY Budget &amp; D-2.4 Adj'!E314</f>
        <v>265269</v>
      </c>
      <c r="E180" s="1588">
        <f t="shared" si="5"/>
        <v>37483.5</v>
      </c>
    </row>
    <row r="181" spans="1:5" s="802" customFormat="1" x14ac:dyDescent="0.2">
      <c r="A181" s="1594" t="s">
        <v>2065</v>
      </c>
      <c r="B181" s="1111">
        <f>'Base TY Budget'!B315</f>
        <v>912</v>
      </c>
      <c r="C181" s="1634">
        <f>'Base TY Budget'!E315</f>
        <v>44003.94</v>
      </c>
      <c r="D181" s="1634">
        <f>'Forecast TY Budget &amp; D-2.4 Adj'!E315</f>
        <v>54506</v>
      </c>
      <c r="E181" s="1588">
        <f t="shared" si="5"/>
        <v>10502.059999999998</v>
      </c>
    </row>
    <row r="182" spans="1:5" s="802" customFormat="1" x14ac:dyDescent="0.2">
      <c r="A182" s="1594" t="s">
        <v>2065</v>
      </c>
      <c r="B182" s="1111">
        <f>'Base TY Budget'!B316</f>
        <v>913</v>
      </c>
      <c r="C182" s="1634">
        <f>'Base TY Budget'!E316</f>
        <v>17256.490000000002</v>
      </c>
      <c r="D182" s="1634">
        <f>'Forecast TY Budget &amp; D-2.4 Adj'!E316</f>
        <v>19342</v>
      </c>
      <c r="E182" s="1588">
        <f t="shared" si="5"/>
        <v>2085.5099999999984</v>
      </c>
    </row>
    <row r="183" spans="1:5" s="802" customFormat="1" x14ac:dyDescent="0.2">
      <c r="A183" s="1594" t="s">
        <v>2065</v>
      </c>
      <c r="B183" s="1111">
        <f>'Base TY Budget'!B317</f>
        <v>916</v>
      </c>
      <c r="C183" s="1634">
        <f>'Base TY Budget'!E317</f>
        <v>0.01</v>
      </c>
      <c r="D183" s="1634">
        <f>'Forecast TY Budget &amp; D-2.4 Adj'!E317</f>
        <v>0</v>
      </c>
      <c r="E183" s="1588">
        <f t="shared" si="5"/>
        <v>-0.01</v>
      </c>
    </row>
    <row r="184" spans="1:5" s="802" customFormat="1" x14ac:dyDescent="0.2">
      <c r="A184" s="1594" t="s">
        <v>2065</v>
      </c>
      <c r="B184" s="1111">
        <f>'Base TY Budget'!B318</f>
        <v>920</v>
      </c>
      <c r="C184" s="1634">
        <f>'Base TY Budget'!E318</f>
        <v>3058381.53</v>
      </c>
      <c r="D184" s="1634">
        <f>'Forecast TY Budget &amp; D-2.4 Adj'!E318</f>
        <v>2824997</v>
      </c>
      <c r="E184" s="1588">
        <f t="shared" si="5"/>
        <v>-233384.5299999998</v>
      </c>
    </row>
    <row r="185" spans="1:5" s="802" customFormat="1" x14ac:dyDescent="0.2">
      <c r="A185" s="1594" t="s">
        <v>2065</v>
      </c>
      <c r="B185" s="1111">
        <f>'Base TY Budget'!B319</f>
        <v>921</v>
      </c>
      <c r="C185" s="1634">
        <f>'Base TY Budget'!E319</f>
        <v>421230.73</v>
      </c>
      <c r="D185" s="1634">
        <f>'Forecast TY Budget &amp; D-2.4 Adj'!E319</f>
        <v>385878</v>
      </c>
      <c r="E185" s="1588">
        <f t="shared" si="5"/>
        <v>-35352.729999999981</v>
      </c>
    </row>
    <row r="186" spans="1:5" s="802" customFormat="1" x14ac:dyDescent="0.2">
      <c r="A186" s="1594" t="s">
        <v>2065</v>
      </c>
      <c r="B186" s="1111">
        <f>'Base TY Budget'!B320</f>
        <v>923</v>
      </c>
      <c r="C186" s="1634">
        <f>'Base TY Budget'!E320</f>
        <v>6000616.46</v>
      </c>
      <c r="D186" s="1634">
        <f>'Forecast TY Budget &amp; D-2.4 Adj'!E320</f>
        <v>7374756</v>
      </c>
      <c r="E186" s="1588">
        <f t="shared" si="5"/>
        <v>1374139.54</v>
      </c>
    </row>
    <row r="187" spans="1:5" s="802" customFormat="1" x14ac:dyDescent="0.2">
      <c r="A187" s="1594" t="s">
        <v>2065</v>
      </c>
      <c r="B187" s="1111">
        <f>'Base TY Budget'!B321</f>
        <v>924</v>
      </c>
      <c r="C187" s="1634">
        <f>'Base TY Budget'!E321</f>
        <v>22.89</v>
      </c>
      <c r="D187" s="1634">
        <f>'Forecast TY Budget &amp; D-2.4 Adj'!E321</f>
        <v>0</v>
      </c>
      <c r="E187" s="1588">
        <f t="shared" si="5"/>
        <v>-22.89</v>
      </c>
    </row>
    <row r="188" spans="1:5" s="802" customFormat="1" x14ac:dyDescent="0.2">
      <c r="A188" s="1594" t="s">
        <v>2065</v>
      </c>
      <c r="B188" s="1111">
        <f>'Base TY Budget'!B322</f>
        <v>925</v>
      </c>
      <c r="C188" s="1634">
        <f>'Base TY Budget'!E322</f>
        <v>51903.66</v>
      </c>
      <c r="D188" s="1634">
        <f>'Forecast TY Budget &amp; D-2.4 Adj'!E322</f>
        <v>48610</v>
      </c>
      <c r="E188" s="1588">
        <f t="shared" si="5"/>
        <v>-3293.6600000000035</v>
      </c>
    </row>
    <row r="189" spans="1:5" s="802" customFormat="1" x14ac:dyDescent="0.2">
      <c r="A189" s="1594" t="s">
        <v>2065</v>
      </c>
      <c r="B189" s="1111">
        <f>'Base TY Budget'!B323</f>
        <v>926</v>
      </c>
      <c r="C189" s="1634">
        <f>'Base TY Budget'!E323</f>
        <v>1730741.97</v>
      </c>
      <c r="D189" s="1634">
        <f>'Forecast TY Budget &amp; D-2.4 Adj'!E323</f>
        <v>1640380</v>
      </c>
      <c r="E189" s="1588">
        <f t="shared" si="5"/>
        <v>-90361.969999999972</v>
      </c>
    </row>
    <row r="190" spans="1:5" s="802" customFormat="1" x14ac:dyDescent="0.2">
      <c r="A190" s="1594" t="s">
        <v>2065</v>
      </c>
      <c r="B190" s="1111">
        <f>'Base TY Budget'!B324</f>
        <v>930</v>
      </c>
      <c r="C190" s="1634">
        <f>'Base TY Budget'!E324</f>
        <v>49781.55</v>
      </c>
      <c r="D190" s="1634">
        <f>'Forecast TY Budget &amp; D-2.4 Adj'!E324</f>
        <v>65528</v>
      </c>
      <c r="E190" s="1588">
        <f t="shared" si="5"/>
        <v>15746.449999999997</v>
      </c>
    </row>
    <row r="191" spans="1:5" s="802" customFormat="1" x14ac:dyDescent="0.2">
      <c r="A191" s="1594" t="s">
        <v>2065</v>
      </c>
      <c r="B191" s="1111">
        <f>'Base TY Budget'!B325</f>
        <v>931</v>
      </c>
      <c r="C191" s="1634">
        <f>'Base TY Budget'!E325</f>
        <v>649685.81000000006</v>
      </c>
      <c r="D191" s="1634">
        <f>'Forecast TY Budget &amp; D-2.4 Adj'!E325</f>
        <v>635049</v>
      </c>
      <c r="E191" s="1588">
        <f t="shared" si="5"/>
        <v>-14636.810000000056</v>
      </c>
    </row>
    <row r="192" spans="1:5" s="802" customFormat="1" ht="13.5" x14ac:dyDescent="0.35">
      <c r="A192" s="1594" t="s">
        <v>2065</v>
      </c>
      <c r="B192" s="1111">
        <f>'Base TY Budget'!B326</f>
        <v>932</v>
      </c>
      <c r="C192" s="1634">
        <f>'Base TY Budget'!E326</f>
        <v>246551.67999999999</v>
      </c>
      <c r="D192" s="1634">
        <f>'Forecast TY Budget &amp; D-2.4 Adj'!E326</f>
        <v>243813</v>
      </c>
      <c r="E192" s="1603">
        <f t="shared" si="5"/>
        <v>-2738.679999999993</v>
      </c>
    </row>
    <row r="193" spans="1:5" s="802" customFormat="1" x14ac:dyDescent="0.2">
      <c r="A193" s="1594"/>
      <c r="B193" s="1111"/>
      <c r="C193" s="1634"/>
      <c r="D193" s="1634"/>
      <c r="E193" s="1588"/>
    </row>
    <row r="194" spans="1:5" s="802" customFormat="1" x14ac:dyDescent="0.2">
      <c r="A194" s="1594"/>
      <c r="B194" s="1111"/>
      <c r="C194" s="1634"/>
      <c r="D194" s="1634"/>
      <c r="E194" s="1588"/>
    </row>
    <row r="195" spans="1:5" s="802" customFormat="1" x14ac:dyDescent="0.2">
      <c r="A195" s="1594" t="s">
        <v>2066</v>
      </c>
      <c r="B195" s="1111">
        <f>'Base TY Budget'!B329</f>
        <v>880</v>
      </c>
      <c r="C195" s="1634">
        <f>'Base TY Budget'!E329</f>
        <v>0</v>
      </c>
      <c r="D195" s="1634">
        <f>'Forecast TY Budget &amp; D-2.4 Adj'!E329</f>
        <v>0</v>
      </c>
      <c r="E195" s="1588">
        <f t="shared" si="5"/>
        <v>0</v>
      </c>
    </row>
    <row r="196" spans="1:5" s="802" customFormat="1" ht="13.5" x14ac:dyDescent="0.35">
      <c r="A196" s="1594" t="s">
        <v>2066</v>
      </c>
      <c r="B196" s="1111">
        <f>'Base TY Budget'!B330</f>
        <v>923</v>
      </c>
      <c r="C196" s="1634">
        <f>'Base TY Budget'!E330</f>
        <v>0</v>
      </c>
      <c r="D196" s="1634">
        <f>'Forecast TY Budget &amp; D-2.4 Adj'!E330</f>
        <v>0</v>
      </c>
      <c r="E196" s="1603">
        <f t="shared" si="5"/>
        <v>0</v>
      </c>
    </row>
    <row r="197" spans="1:5" s="802" customFormat="1" x14ac:dyDescent="0.2">
      <c r="A197" s="1594"/>
      <c r="B197" s="1111"/>
      <c r="C197" s="1634"/>
      <c r="D197" s="1634"/>
      <c r="E197" s="1588"/>
    </row>
    <row r="198" spans="1:5" s="802" customFormat="1" x14ac:dyDescent="0.2">
      <c r="A198" s="1594"/>
      <c r="B198" s="1111"/>
      <c r="C198" s="1634"/>
      <c r="D198" s="1634">
        <f>'Forecast TY Budget &amp; D-2.4 Adj'!E332</f>
        <v>0</v>
      </c>
      <c r="E198" s="1588"/>
    </row>
    <row r="199" spans="1:5" s="802" customFormat="1" x14ac:dyDescent="0.2">
      <c r="A199" s="1594" t="s">
        <v>196</v>
      </c>
      <c r="B199" s="1111">
        <f>'Base TY Budget'!B333</f>
        <v>904</v>
      </c>
      <c r="C199" s="1634">
        <f>'Base TY Budget'!E333</f>
        <v>389000</v>
      </c>
      <c r="D199" s="1634">
        <f>'Forecast TY Budget &amp; D-2.4 Adj'!E333</f>
        <v>807000</v>
      </c>
      <c r="E199" s="1588">
        <f t="shared" si="5"/>
        <v>418000</v>
      </c>
    </row>
    <row r="200" spans="1:5" s="802" customFormat="1" x14ac:dyDescent="0.2">
      <c r="A200" s="1594" t="s">
        <v>2074</v>
      </c>
      <c r="B200" s="1111">
        <f>'Base TY Budget'!B334</f>
        <v>904</v>
      </c>
      <c r="C200" s="1634">
        <f>'Base TY Budget'!E334</f>
        <v>2314.3099999999995</v>
      </c>
      <c r="D200" s="1634">
        <f>'Forecast TY Budget &amp; D-2.4 Adj'!E334</f>
        <v>25000</v>
      </c>
      <c r="E200" s="1588">
        <f t="shared" si="5"/>
        <v>22685.690000000002</v>
      </c>
    </row>
    <row r="201" spans="1:5" s="802" customFormat="1" x14ac:dyDescent="0.2">
      <c r="A201" s="1594" t="s">
        <v>2073</v>
      </c>
      <c r="B201" s="1111">
        <f>'Base TY Budget'!B335</f>
        <v>904</v>
      </c>
      <c r="C201" s="1634">
        <f>'Base TY Budget'!E335</f>
        <v>361529.23</v>
      </c>
      <c r="D201" s="1634">
        <f>'Forecast TY Budget &amp; D-2.4 Adj'!E335</f>
        <v>411467</v>
      </c>
      <c r="E201" s="1588">
        <f t="shared" si="5"/>
        <v>49937.770000000019</v>
      </c>
    </row>
    <row r="202" spans="1:5" s="802" customFormat="1" x14ac:dyDescent="0.2">
      <c r="A202" s="1594" t="s">
        <v>2089</v>
      </c>
      <c r="B202" s="1111">
        <f>'Base TY Budget'!B336</f>
        <v>904</v>
      </c>
      <c r="C202" s="1634">
        <f>'Base TY Budget'!E336</f>
        <v>59130.53</v>
      </c>
      <c r="D202" s="1634">
        <f>'Forecast TY Budget &amp; D-2.4 Adj'!E336</f>
        <v>411996</v>
      </c>
      <c r="E202" s="1588">
        <f t="shared" si="5"/>
        <v>352865.47</v>
      </c>
    </row>
    <row r="203" spans="1:5" s="802" customFormat="1" x14ac:dyDescent="0.2">
      <c r="A203" s="1594"/>
      <c r="B203" s="1111"/>
      <c r="C203" s="1634"/>
      <c r="D203" s="1634"/>
      <c r="E203" s="1588"/>
    </row>
    <row r="204" spans="1:5" s="802" customFormat="1" x14ac:dyDescent="0.2">
      <c r="A204" s="1594" t="s">
        <v>2084</v>
      </c>
      <c r="B204" s="1111">
        <f>'Base TY Budget'!B338</f>
        <v>878</v>
      </c>
      <c r="C204" s="1634">
        <f>'Base TY Budget'!E338</f>
        <v>-11636.061540000001</v>
      </c>
      <c r="D204" s="1634">
        <f>'Forecast TY Budget &amp; D-2.4 Adj'!E338</f>
        <v>-8568</v>
      </c>
      <c r="E204" s="1588">
        <f t="shared" si="5"/>
        <v>3068.0615400000006</v>
      </c>
    </row>
    <row r="205" spans="1:5" s="802" customFormat="1" x14ac:dyDescent="0.2">
      <c r="A205" s="1594" t="s">
        <v>2084</v>
      </c>
      <c r="B205" s="1111">
        <f>'Base TY Budget'!B339</f>
        <v>879</v>
      </c>
      <c r="C205" s="1634">
        <f>'Base TY Budget'!E339</f>
        <v>-1182.6859999999999</v>
      </c>
      <c r="D205" s="1634">
        <f>'Forecast TY Budget &amp; D-2.4 Adj'!E339</f>
        <v>-591</v>
      </c>
      <c r="E205" s="1588">
        <f t="shared" si="5"/>
        <v>591.68599999999992</v>
      </c>
    </row>
    <row r="206" spans="1:5" s="802" customFormat="1" x14ac:dyDescent="0.2">
      <c r="A206" s="1594" t="s">
        <v>2084</v>
      </c>
      <c r="B206" s="1111">
        <f>'Base TY Budget'!B340</f>
        <v>887</v>
      </c>
      <c r="C206" s="1634">
        <f>'Base TY Budget'!E340</f>
        <v>-33078.100529999996</v>
      </c>
      <c r="D206" s="1634">
        <f>'Forecast TY Budget &amp; D-2.4 Adj'!E340</f>
        <v>-37444</v>
      </c>
      <c r="E206" s="1588">
        <f t="shared" si="5"/>
        <v>-4365.8994700000039</v>
      </c>
    </row>
    <row r="207" spans="1:5" s="802" customFormat="1" x14ac:dyDescent="0.2">
      <c r="A207" s="1594" t="s">
        <v>2084</v>
      </c>
      <c r="B207" s="1111">
        <f>'Base TY Budget'!B341</f>
        <v>892</v>
      </c>
      <c r="C207" s="1634">
        <f>'Base TY Budget'!E341</f>
        <v>-110463.99321000003</v>
      </c>
      <c r="D207" s="1634">
        <f>'Forecast TY Budget &amp; D-2.4 Adj'!E341</f>
        <v>-51457</v>
      </c>
      <c r="E207" s="1588">
        <f t="shared" si="5"/>
        <v>59006.99321000003</v>
      </c>
    </row>
    <row r="208" spans="1:5" s="802" customFormat="1" x14ac:dyDescent="0.2">
      <c r="A208" s="1594" t="s">
        <v>2084</v>
      </c>
      <c r="B208" s="1111">
        <f>'Base TY Budget'!B342</f>
        <v>903</v>
      </c>
      <c r="C208" s="1634">
        <f>'Base TY Budget'!E342</f>
        <v>-1935.7787200000002</v>
      </c>
      <c r="D208" s="1634">
        <f>'Forecast TY Budget &amp; D-2.4 Adj'!E342</f>
        <v>-595</v>
      </c>
      <c r="E208" s="1588">
        <f t="shared" si="5"/>
        <v>1340.7787200000002</v>
      </c>
    </row>
    <row r="209" spans="1:5" s="802" customFormat="1" x14ac:dyDescent="0.2">
      <c r="A209" s="1594"/>
      <c r="B209" s="1111"/>
      <c r="C209" s="1634"/>
      <c r="D209" s="1634"/>
      <c r="E209" s="1588"/>
    </row>
    <row r="210" spans="1:5" s="802" customFormat="1" x14ac:dyDescent="0.2">
      <c r="A210" s="1594"/>
      <c r="B210" s="1111"/>
      <c r="C210" s="1634"/>
      <c r="D210" s="1634"/>
      <c r="E210" s="1588"/>
    </row>
    <row r="211" spans="1:5" s="802" customFormat="1" x14ac:dyDescent="0.2">
      <c r="A211" s="1594" t="s">
        <v>197</v>
      </c>
      <c r="B211" s="1111">
        <f>'Base TY Budget'!B345</f>
        <v>870</v>
      </c>
      <c r="C211" s="1634">
        <f>'Base TY Budget'!E345</f>
        <v>10071.06</v>
      </c>
      <c r="D211" s="1634">
        <f>'Forecast TY Budget &amp; D-2.4 Adj'!E345</f>
        <v>16656</v>
      </c>
      <c r="E211" s="1588">
        <f t="shared" ref="E211:E287" si="6">D211-C211</f>
        <v>6584.9400000000005</v>
      </c>
    </row>
    <row r="212" spans="1:5" s="802" customFormat="1" x14ac:dyDescent="0.2">
      <c r="A212" s="1594" t="s">
        <v>197</v>
      </c>
      <c r="B212" s="1111">
        <f>'Base TY Budget'!B346</f>
        <v>874</v>
      </c>
      <c r="C212" s="1634">
        <f>'Base TY Budget'!E346</f>
        <v>85990.920000000013</v>
      </c>
      <c r="D212" s="1634">
        <f>'Forecast TY Budget &amp; D-2.4 Adj'!E346</f>
        <v>86783</v>
      </c>
      <c r="E212" s="1588">
        <f t="shared" si="6"/>
        <v>792.07999999998719</v>
      </c>
    </row>
    <row r="213" spans="1:5" s="802" customFormat="1" x14ac:dyDescent="0.2">
      <c r="A213" s="1594" t="s">
        <v>197</v>
      </c>
      <c r="B213" s="1111">
        <f>'Base TY Budget'!B347</f>
        <v>875</v>
      </c>
      <c r="C213" s="1634">
        <f>'Base TY Budget'!E347</f>
        <v>429.27</v>
      </c>
      <c r="D213" s="1634">
        <f>'Forecast TY Budget &amp; D-2.4 Adj'!E347</f>
        <v>120</v>
      </c>
      <c r="E213" s="1588">
        <f t="shared" si="6"/>
        <v>-309.27</v>
      </c>
    </row>
    <row r="214" spans="1:5" s="802" customFormat="1" x14ac:dyDescent="0.2">
      <c r="A214" s="1594" t="s">
        <v>197</v>
      </c>
      <c r="B214" s="1111">
        <f>'Base TY Budget'!B348</f>
        <v>876</v>
      </c>
      <c r="C214" s="1634">
        <f>'Base TY Budget'!E348</f>
        <v>220.93</v>
      </c>
      <c r="D214" s="1634">
        <f>'Forecast TY Budget &amp; D-2.4 Adj'!E348</f>
        <v>60</v>
      </c>
      <c r="E214" s="1588">
        <f t="shared" si="6"/>
        <v>-160.93</v>
      </c>
    </row>
    <row r="215" spans="1:5" s="802" customFormat="1" x14ac:dyDescent="0.2">
      <c r="A215" s="1594" t="s">
        <v>197</v>
      </c>
      <c r="B215" s="1111">
        <f>'Base TY Budget'!B349</f>
        <v>878</v>
      </c>
      <c r="C215" s="1634">
        <f>'Base TY Budget'!E349</f>
        <v>-34308.78</v>
      </c>
      <c r="D215" s="1634">
        <f>'Forecast TY Budget &amp; D-2.4 Adj'!E349</f>
        <v>-31481</v>
      </c>
      <c r="E215" s="1588">
        <f t="shared" si="6"/>
        <v>2827.7799999999988</v>
      </c>
    </row>
    <row r="216" spans="1:5" s="802" customFormat="1" x14ac:dyDescent="0.2">
      <c r="A216" s="1594" t="s">
        <v>197</v>
      </c>
      <c r="B216" s="1111">
        <f>'Base TY Budget'!B350</f>
        <v>879</v>
      </c>
      <c r="C216" s="1634">
        <f>'Base TY Budget'!E350</f>
        <v>3169.4399999999996</v>
      </c>
      <c r="D216" s="1634">
        <f>'Forecast TY Budget &amp; D-2.4 Adj'!E350</f>
        <v>2453</v>
      </c>
      <c r="E216" s="1588">
        <f t="shared" si="6"/>
        <v>-716.4399999999996</v>
      </c>
    </row>
    <row r="217" spans="1:5" s="802" customFormat="1" x14ac:dyDescent="0.2">
      <c r="A217" s="1594" t="s">
        <v>197</v>
      </c>
      <c r="B217" s="1111">
        <f>'Base TY Budget'!B351</f>
        <v>880</v>
      </c>
      <c r="C217" s="1634">
        <f>'Base TY Budget'!E351</f>
        <v>52058.38</v>
      </c>
      <c r="D217" s="1634">
        <f>'Forecast TY Budget &amp; D-2.4 Adj'!E351</f>
        <v>36721</v>
      </c>
      <c r="E217" s="1588">
        <f t="shared" si="6"/>
        <v>-15337.379999999997</v>
      </c>
    </row>
    <row r="218" spans="1:5" s="802" customFormat="1" x14ac:dyDescent="0.2">
      <c r="A218" s="1594" t="s">
        <v>197</v>
      </c>
      <c r="B218" s="1111">
        <f>'Base TY Budget'!B352</f>
        <v>885</v>
      </c>
      <c r="C218" s="1634">
        <f>'Base TY Budget'!E352</f>
        <v>25.75</v>
      </c>
      <c r="D218" s="1634">
        <f>'Forecast TY Budget &amp; D-2.4 Adj'!E352</f>
        <v>24</v>
      </c>
      <c r="E218" s="1588">
        <f t="shared" si="6"/>
        <v>-1.75</v>
      </c>
    </row>
    <row r="219" spans="1:5" s="802" customFormat="1" x14ac:dyDescent="0.2">
      <c r="A219" s="1594" t="s">
        <v>197</v>
      </c>
      <c r="B219" s="1111">
        <f>'Base TY Budget'!B353</f>
        <v>887</v>
      </c>
      <c r="C219" s="1634">
        <f>'Base TY Budget'!E353</f>
        <v>2534.2199999999998</v>
      </c>
      <c r="D219" s="1634">
        <f>'Forecast TY Budget &amp; D-2.4 Adj'!E353</f>
        <v>2076</v>
      </c>
      <c r="E219" s="1588">
        <f t="shared" si="6"/>
        <v>-458.2199999999998</v>
      </c>
    </row>
    <row r="220" spans="1:5" s="802" customFormat="1" x14ac:dyDescent="0.2">
      <c r="A220" s="1594" t="s">
        <v>197</v>
      </c>
      <c r="B220" s="1111">
        <f>'Base TY Budget'!B354</f>
        <v>889</v>
      </c>
      <c r="C220" s="1634">
        <f>'Base TY Budget'!E354</f>
        <v>429.27</v>
      </c>
      <c r="D220" s="1634">
        <f>'Forecast TY Budget &amp; D-2.4 Adj'!E354</f>
        <v>120</v>
      </c>
      <c r="E220" s="1588">
        <f t="shared" si="6"/>
        <v>-309.27</v>
      </c>
    </row>
    <row r="221" spans="1:5" s="802" customFormat="1" x14ac:dyDescent="0.2">
      <c r="A221" s="1594" t="s">
        <v>197</v>
      </c>
      <c r="B221" s="1111">
        <f>'Base TY Budget'!B355</f>
        <v>890</v>
      </c>
      <c r="C221" s="1634">
        <f>'Base TY Budget'!E355</f>
        <v>1820.21</v>
      </c>
      <c r="D221" s="1634">
        <f>'Forecast TY Budget &amp; D-2.4 Adj'!E355</f>
        <v>1554</v>
      </c>
      <c r="E221" s="1588">
        <f t="shared" si="6"/>
        <v>-266.21000000000004</v>
      </c>
    </row>
    <row r="222" spans="1:5" s="802" customFormat="1" x14ac:dyDescent="0.2">
      <c r="A222" s="1594" t="s">
        <v>197</v>
      </c>
      <c r="B222" s="1111">
        <f>'Base TY Budget'!B356</f>
        <v>892</v>
      </c>
      <c r="C222" s="1634">
        <f>'Base TY Budget'!E356</f>
        <v>804.85000000000014</v>
      </c>
      <c r="D222" s="1634">
        <f>'Forecast TY Budget &amp; D-2.4 Adj'!E356</f>
        <v>669</v>
      </c>
      <c r="E222" s="1588">
        <f t="shared" si="6"/>
        <v>-135.85000000000014</v>
      </c>
    </row>
    <row r="223" spans="1:5" s="802" customFormat="1" x14ac:dyDescent="0.2">
      <c r="A223" s="1594" t="s">
        <v>197</v>
      </c>
      <c r="B223" s="1111">
        <f>'Base TY Budget'!B357</f>
        <v>893</v>
      </c>
      <c r="C223" s="1634">
        <f>'Base TY Budget'!E357</f>
        <v>2876.98</v>
      </c>
      <c r="D223" s="1634">
        <f>'Forecast TY Budget &amp; D-2.4 Adj'!E357</f>
        <v>2366</v>
      </c>
      <c r="E223" s="1588">
        <f t="shared" si="6"/>
        <v>-510.98</v>
      </c>
    </row>
    <row r="224" spans="1:5" s="802" customFormat="1" x14ac:dyDescent="0.2">
      <c r="A224" s="1594" t="s">
        <v>197</v>
      </c>
      <c r="B224" s="1111">
        <f>'Base TY Budget'!B358</f>
        <v>894</v>
      </c>
      <c r="C224" s="1634">
        <f>'Base TY Budget'!E358</f>
        <v>2248.9499999999998</v>
      </c>
      <c r="D224" s="1634">
        <f>'Forecast TY Budget &amp; D-2.4 Adj'!E358</f>
        <v>2072</v>
      </c>
      <c r="E224" s="1588">
        <f t="shared" si="6"/>
        <v>-176.94999999999982</v>
      </c>
    </row>
    <row r="225" spans="1:5" s="802" customFormat="1" x14ac:dyDescent="0.2">
      <c r="A225" s="1594" t="s">
        <v>197</v>
      </c>
      <c r="B225" s="1111">
        <f>'Base TY Budget'!B359</f>
        <v>902</v>
      </c>
      <c r="C225" s="1634">
        <f>'Base TY Budget'!E359</f>
        <v>554</v>
      </c>
      <c r="D225" s="1634">
        <f>'Forecast TY Budget &amp; D-2.4 Adj'!E359</f>
        <v>1102</v>
      </c>
      <c r="E225" s="1588">
        <f t="shared" si="6"/>
        <v>548</v>
      </c>
    </row>
    <row r="226" spans="1:5" s="802" customFormat="1" x14ac:dyDescent="0.2">
      <c r="A226" s="1594" t="s">
        <v>197</v>
      </c>
      <c r="B226" s="1111">
        <f>'Base TY Budget'!B360</f>
        <v>903</v>
      </c>
      <c r="C226" s="1634">
        <f>'Base TY Budget'!E360</f>
        <v>1951.65</v>
      </c>
      <c r="D226" s="1634">
        <f>'Forecast TY Budget &amp; D-2.4 Adj'!E360</f>
        <v>1695</v>
      </c>
      <c r="E226" s="1588">
        <f t="shared" si="6"/>
        <v>-256.65000000000009</v>
      </c>
    </row>
    <row r="227" spans="1:5" s="802" customFormat="1" x14ac:dyDescent="0.2">
      <c r="A227" s="1594" t="s">
        <v>197</v>
      </c>
      <c r="B227" s="1111">
        <f>'Base TY Budget'!B361</f>
        <v>905</v>
      </c>
      <c r="C227" s="1634">
        <f>'Base TY Budget'!E361</f>
        <v>427.85</v>
      </c>
      <c r="D227" s="1634">
        <f>'Forecast TY Budget &amp; D-2.4 Adj'!E361</f>
        <v>307</v>
      </c>
      <c r="E227" s="1588">
        <f t="shared" si="6"/>
        <v>-120.85000000000002</v>
      </c>
    </row>
    <row r="228" spans="1:5" s="802" customFormat="1" x14ac:dyDescent="0.2">
      <c r="A228" s="1594" t="s">
        <v>197</v>
      </c>
      <c r="B228" s="1111">
        <f>'Base TY Budget'!B362</f>
        <v>921</v>
      </c>
      <c r="C228" s="1634">
        <f>'Base TY Budget'!E362</f>
        <v>37967.509999999995</v>
      </c>
      <c r="D228" s="1634">
        <f>'Forecast TY Budget &amp; D-2.4 Adj'!E362</f>
        <v>27275</v>
      </c>
      <c r="E228" s="1588">
        <f t="shared" si="6"/>
        <v>-10692.509999999995</v>
      </c>
    </row>
    <row r="229" spans="1:5" s="802" customFormat="1" x14ac:dyDescent="0.2">
      <c r="A229" s="1594" t="s">
        <v>197</v>
      </c>
      <c r="B229" s="1111">
        <f>'Base TY Budget'!B363</f>
        <v>923</v>
      </c>
      <c r="C229" s="1634">
        <f>'Base TY Budget'!E363</f>
        <v>75197.440000000002</v>
      </c>
      <c r="D229" s="1634">
        <f>'Forecast TY Budget &amp; D-2.4 Adj'!E363</f>
        <v>44630</v>
      </c>
      <c r="E229" s="1588">
        <f t="shared" si="6"/>
        <v>-30567.440000000002</v>
      </c>
    </row>
    <row r="230" spans="1:5" s="802" customFormat="1" x14ac:dyDescent="0.2">
      <c r="A230" s="1594" t="s">
        <v>197</v>
      </c>
      <c r="B230" s="1111">
        <f>'Base TY Budget'!B364</f>
        <v>928</v>
      </c>
      <c r="C230" s="1634">
        <f>'Base TY Budget'!E364</f>
        <v>252290.75</v>
      </c>
      <c r="D230" s="1634">
        <f>'Forecast TY Budget &amp; D-2.4 Adj'!E364</f>
        <v>213475</v>
      </c>
      <c r="E230" s="1588">
        <f t="shared" si="6"/>
        <v>-38815.75</v>
      </c>
    </row>
    <row r="231" spans="1:5" s="802" customFormat="1" x14ac:dyDescent="0.2">
      <c r="A231" s="1594" t="s">
        <v>197</v>
      </c>
      <c r="B231" s="1111">
        <f>'Base TY Budget'!B365</f>
        <v>930</v>
      </c>
      <c r="C231" s="1634">
        <f>'Base TY Budget'!E365</f>
        <v>3930.69</v>
      </c>
      <c r="D231" s="1634">
        <f>'Forecast TY Budget &amp; D-2.4 Adj'!E365</f>
        <v>202</v>
      </c>
      <c r="E231" s="1588">
        <f t="shared" si="6"/>
        <v>-3728.69</v>
      </c>
    </row>
    <row r="232" spans="1:5" s="802" customFormat="1" x14ac:dyDescent="0.2">
      <c r="A232" s="1594"/>
      <c r="B232" s="1111"/>
      <c r="C232" s="1634"/>
      <c r="D232" s="1634"/>
      <c r="E232" s="1588"/>
    </row>
    <row r="233" spans="1:5" s="802" customFormat="1" x14ac:dyDescent="0.2">
      <c r="A233" s="1594"/>
      <c r="B233" s="1111"/>
      <c r="C233" s="1634"/>
      <c r="D233" s="1634"/>
      <c r="E233" s="1588"/>
    </row>
    <row r="234" spans="1:5" s="802" customFormat="1" x14ac:dyDescent="0.2">
      <c r="A234" s="1594" t="s">
        <v>2077</v>
      </c>
      <c r="B234" s="1111">
        <f>'Base TY Budget'!B368</f>
        <v>923</v>
      </c>
      <c r="C234" s="1634">
        <f>'Base TY Budget'!E368</f>
        <v>58218</v>
      </c>
      <c r="D234" s="1634">
        <f>'Forecast TY Budget &amp; D-2.4 Adj'!E368</f>
        <v>32556</v>
      </c>
      <c r="E234" s="1588">
        <f t="shared" si="6"/>
        <v>-25662</v>
      </c>
    </row>
    <row r="235" spans="1:5" s="802" customFormat="1" x14ac:dyDescent="0.2">
      <c r="A235" s="1594" t="s">
        <v>2077</v>
      </c>
      <c r="B235" s="1111">
        <f>'Base TY Budget'!B369</f>
        <v>928</v>
      </c>
      <c r="C235" s="1634">
        <f>'Base TY Budget'!E369</f>
        <v>152586.42000000001</v>
      </c>
      <c r="D235" s="1634">
        <f>'Forecast TY Budget &amp; D-2.4 Adj'!E369</f>
        <v>26388</v>
      </c>
      <c r="E235" s="1588">
        <f t="shared" si="6"/>
        <v>-126198.42000000001</v>
      </c>
    </row>
    <row r="236" spans="1:5" s="802" customFormat="1" x14ac:dyDescent="0.2">
      <c r="A236" s="1594"/>
      <c r="B236" s="1111"/>
      <c r="C236" s="1634"/>
      <c r="D236" s="1634"/>
      <c r="E236" s="1588"/>
    </row>
    <row r="237" spans="1:5" s="802" customFormat="1" x14ac:dyDescent="0.2">
      <c r="A237" s="1594"/>
      <c r="B237" s="1111"/>
      <c r="C237" s="1634"/>
      <c r="D237" s="1634"/>
      <c r="E237" s="1588"/>
    </row>
    <row r="238" spans="1:5" s="802" customFormat="1" x14ac:dyDescent="0.2">
      <c r="A238" s="1594" t="s">
        <v>2090</v>
      </c>
      <c r="B238" s="1111">
        <f>'Base TY Budget'!B372</f>
        <v>908</v>
      </c>
      <c r="C238" s="1634">
        <f>'Base TY Budget'!E372</f>
        <v>1059464.22</v>
      </c>
      <c r="D238" s="1634">
        <f>'Forecast TY Budget &amp; D-2.4 Adj'!E372</f>
        <v>1123000</v>
      </c>
      <c r="E238" s="1588">
        <f t="shared" si="6"/>
        <v>63535.780000000028</v>
      </c>
    </row>
    <row r="239" spans="1:5" s="802" customFormat="1" x14ac:dyDescent="0.2">
      <c r="A239" s="1594"/>
      <c r="B239" s="1111"/>
      <c r="C239" s="1634"/>
      <c r="D239" s="1634">
        <f>'Forecast TY Budget &amp; D-2.4 Adj'!E373</f>
        <v>0</v>
      </c>
      <c r="E239" s="1588">
        <f t="shared" si="6"/>
        <v>0</v>
      </c>
    </row>
    <row r="240" spans="1:5" s="802" customFormat="1" x14ac:dyDescent="0.2">
      <c r="A240" s="1594" t="s">
        <v>2085</v>
      </c>
      <c r="B240" s="1111">
        <f>'Base TY Budget'!B374</f>
        <v>903</v>
      </c>
      <c r="C240" s="1634">
        <f>'Base TY Budget'!E374</f>
        <v>51906.165239999988</v>
      </c>
      <c r="D240" s="1634">
        <f>'Forecast TY Budget &amp; D-2.4 Adj'!E374</f>
        <v>0</v>
      </c>
      <c r="E240" s="1588">
        <f t="shared" si="6"/>
        <v>-51906.165239999988</v>
      </c>
    </row>
    <row r="241" spans="1:5" s="802" customFormat="1" x14ac:dyDescent="0.2">
      <c r="A241" s="1594" t="s">
        <v>2085</v>
      </c>
      <c r="B241" s="1111">
        <f>'Base TY Budget'!B375</f>
        <v>908</v>
      </c>
      <c r="C241" s="1634">
        <f>'Base TY Budget'!E375</f>
        <v>-301908.16523999994</v>
      </c>
      <c r="D241" s="1634">
        <f>'Forecast TY Budget &amp; D-2.4 Adj'!E375</f>
        <v>0</v>
      </c>
      <c r="E241" s="1588">
        <f t="shared" si="6"/>
        <v>301908.16523999994</v>
      </c>
    </row>
    <row r="242" spans="1:5" s="802" customFormat="1" x14ac:dyDescent="0.2">
      <c r="A242" s="1594"/>
      <c r="B242" s="1111"/>
      <c r="C242" s="1634"/>
      <c r="D242" s="1634"/>
      <c r="E242" s="1588"/>
    </row>
    <row r="243" spans="1:5" s="802" customFormat="1" x14ac:dyDescent="0.2">
      <c r="A243" s="1594"/>
      <c r="B243" s="1111"/>
      <c r="C243" s="1634"/>
      <c r="D243" s="1634"/>
      <c r="E243" s="1588"/>
    </row>
    <row r="244" spans="1:5" s="802" customFormat="1" x14ac:dyDescent="0.2">
      <c r="A244" s="1594"/>
      <c r="B244" s="1111"/>
      <c r="C244" s="1634"/>
      <c r="D244" s="1634"/>
      <c r="E244" s="1588"/>
    </row>
    <row r="245" spans="1:5" s="802" customFormat="1" x14ac:dyDescent="0.2">
      <c r="A245" s="1594" t="s">
        <v>1694</v>
      </c>
      <c r="B245" s="1111">
        <f>'Base TY Budget'!B380</f>
        <v>926</v>
      </c>
      <c r="C245" s="1634">
        <f>'Base TY Budget'!E380</f>
        <v>100615.6</v>
      </c>
      <c r="D245" s="1634">
        <f>'Forecast TY Budget &amp; D-2.4 Adj'!E380</f>
        <v>99996</v>
      </c>
      <c r="E245" s="1588">
        <f t="shared" si="6"/>
        <v>-619.60000000000582</v>
      </c>
    </row>
    <row r="246" spans="1:5" s="802" customFormat="1" x14ac:dyDescent="0.2">
      <c r="A246" s="1594" t="s">
        <v>1988</v>
      </c>
      <c r="B246" s="1111">
        <f>'Base TY Budget'!B381</f>
        <v>926</v>
      </c>
      <c r="C246" s="1634">
        <f>'Base TY Budget'!E381</f>
        <v>45846.87</v>
      </c>
      <c r="D246" s="1634">
        <f>'Forecast TY Budget &amp; D-2.4 Adj'!E381</f>
        <v>36000</v>
      </c>
      <c r="E246" s="1588">
        <f t="shared" si="6"/>
        <v>-9846.8700000000026</v>
      </c>
    </row>
    <row r="247" spans="1:5" s="802" customFormat="1" x14ac:dyDescent="0.2">
      <c r="A247" s="1594" t="s">
        <v>2055</v>
      </c>
      <c r="B247" s="1111">
        <f>'Base TY Budget'!B382</f>
        <v>926</v>
      </c>
      <c r="C247" s="1634">
        <f>'Base TY Budget'!E382</f>
        <v>83569.399999999994</v>
      </c>
      <c r="D247" s="1634">
        <f>'Forecast TY Budget &amp; D-2.4 Adj'!E382</f>
        <v>92004</v>
      </c>
      <c r="E247" s="1588">
        <f t="shared" si="6"/>
        <v>8434.6000000000058</v>
      </c>
    </row>
    <row r="248" spans="1:5" s="802" customFormat="1" x14ac:dyDescent="0.2">
      <c r="A248" s="1594" t="s">
        <v>1693</v>
      </c>
      <c r="B248" s="1111">
        <f>'Base TY Budget'!B383</f>
        <v>926</v>
      </c>
      <c r="C248" s="1634">
        <f>'Base TY Budget'!E383</f>
        <v>1222480.26</v>
      </c>
      <c r="D248" s="1634">
        <f>'Forecast TY Budget &amp; D-2.4 Adj'!E383</f>
        <v>1691001</v>
      </c>
      <c r="E248" s="1588">
        <f t="shared" si="6"/>
        <v>468520.74</v>
      </c>
    </row>
    <row r="249" spans="1:5" s="802" customFormat="1" x14ac:dyDescent="0.2">
      <c r="A249" s="1594" t="s">
        <v>1693</v>
      </c>
      <c r="B249" s="1111">
        <f>'Base TY Budget'!B384</f>
        <v>875</v>
      </c>
      <c r="C249" s="1634">
        <f>'Base TY Budget'!E384</f>
        <v>0</v>
      </c>
      <c r="D249" s="1634">
        <f>'Forecast TY Budget &amp; D-2.4 Adj'!E384</f>
        <v>0</v>
      </c>
      <c r="E249" s="1588">
        <f t="shared" si="6"/>
        <v>0</v>
      </c>
    </row>
    <row r="250" spans="1:5" s="802" customFormat="1" x14ac:dyDescent="0.2">
      <c r="A250" s="1594" t="s">
        <v>1693</v>
      </c>
      <c r="B250" s="1111">
        <f>'Base TY Budget'!B385</f>
        <v>876</v>
      </c>
      <c r="C250" s="1634">
        <f>'Base TY Budget'!E385</f>
        <v>0</v>
      </c>
      <c r="D250" s="1634">
        <f>'Forecast TY Budget &amp; D-2.4 Adj'!E385</f>
        <v>0</v>
      </c>
      <c r="E250" s="1588">
        <f t="shared" si="6"/>
        <v>0</v>
      </c>
    </row>
    <row r="251" spans="1:5" s="802" customFormat="1" x14ac:dyDescent="0.2">
      <c r="A251" s="1594" t="s">
        <v>1693</v>
      </c>
      <c r="B251" s="1111">
        <f>'Base TY Budget'!B386</f>
        <v>880</v>
      </c>
      <c r="C251" s="1634">
        <f>'Base TY Budget'!E386</f>
        <v>21.9</v>
      </c>
      <c r="D251" s="1634">
        <f>'Forecast TY Budget &amp; D-2.4 Adj'!E386</f>
        <v>0</v>
      </c>
      <c r="E251" s="1588">
        <f t="shared" si="6"/>
        <v>-21.9</v>
      </c>
    </row>
    <row r="252" spans="1:5" s="802" customFormat="1" x14ac:dyDescent="0.2">
      <c r="A252" s="1594" t="s">
        <v>1693</v>
      </c>
      <c r="B252" s="1111">
        <f>'Base TY Budget'!B387</f>
        <v>887</v>
      </c>
      <c r="C252" s="1634">
        <f>'Base TY Budget'!E387</f>
        <v>0</v>
      </c>
      <c r="D252" s="1634">
        <f>'Forecast TY Budget &amp; D-2.4 Adj'!E387</f>
        <v>0</v>
      </c>
      <c r="E252" s="1588">
        <f t="shared" si="6"/>
        <v>0</v>
      </c>
    </row>
    <row r="253" spans="1:5" s="802" customFormat="1" x14ac:dyDescent="0.2">
      <c r="A253" s="1594" t="s">
        <v>1693</v>
      </c>
      <c r="B253" s="1111">
        <f>'Base TY Budget'!B388</f>
        <v>889</v>
      </c>
      <c r="C253" s="1634">
        <f>'Base TY Budget'!E388</f>
        <v>0</v>
      </c>
      <c r="D253" s="1634">
        <f>'Forecast TY Budget &amp; D-2.4 Adj'!E388</f>
        <v>0</v>
      </c>
      <c r="E253" s="1588">
        <f t="shared" si="6"/>
        <v>0</v>
      </c>
    </row>
    <row r="254" spans="1:5" s="802" customFormat="1" x14ac:dyDescent="0.2">
      <c r="A254" s="1594" t="s">
        <v>1693</v>
      </c>
      <c r="B254" s="1111">
        <f>'Base TY Budget'!B389</f>
        <v>890</v>
      </c>
      <c r="C254" s="1634">
        <f>'Base TY Budget'!E389</f>
        <v>0</v>
      </c>
      <c r="D254" s="1634">
        <f>'Forecast TY Budget &amp; D-2.4 Adj'!E389</f>
        <v>0</v>
      </c>
      <c r="E254" s="1588">
        <f t="shared" si="6"/>
        <v>0</v>
      </c>
    </row>
    <row r="255" spans="1:5" s="802" customFormat="1" x14ac:dyDescent="0.2">
      <c r="A255" s="1594" t="s">
        <v>1693</v>
      </c>
      <c r="B255" s="1111">
        <f>'Base TY Budget'!B390</f>
        <v>892</v>
      </c>
      <c r="C255" s="1634">
        <f>'Base TY Budget'!E390</f>
        <v>29.33</v>
      </c>
      <c r="D255" s="1634">
        <f>'Forecast TY Budget &amp; D-2.4 Adj'!E390</f>
        <v>0</v>
      </c>
      <c r="E255" s="1588">
        <f t="shared" si="6"/>
        <v>-29.33</v>
      </c>
    </row>
    <row r="256" spans="1:5" s="802" customFormat="1" x14ac:dyDescent="0.2">
      <c r="A256" s="1594" t="s">
        <v>2060</v>
      </c>
      <c r="B256" s="1111">
        <f>'Base TY Budget'!B391</f>
        <v>926</v>
      </c>
      <c r="C256" s="1634">
        <f>'Base TY Budget'!E391</f>
        <v>-75602</v>
      </c>
      <c r="D256" s="1634">
        <f>'Forecast TY Budget &amp; D-2.4 Adj'!E391</f>
        <v>-93000</v>
      </c>
      <c r="E256" s="1588">
        <f t="shared" si="6"/>
        <v>-17398</v>
      </c>
    </row>
    <row r="257" spans="1:5" s="802" customFormat="1" x14ac:dyDescent="0.2">
      <c r="A257" s="1594" t="s">
        <v>2060</v>
      </c>
      <c r="B257" s="1111">
        <f>'Base TY Budget'!B392</f>
        <v>887</v>
      </c>
      <c r="C257" s="1634">
        <f>'Base TY Budget'!E392</f>
        <v>0</v>
      </c>
      <c r="D257" s="1634">
        <f>'Forecast TY Budget &amp; D-2.4 Adj'!E392</f>
        <v>0</v>
      </c>
      <c r="E257" s="1588">
        <f t="shared" si="6"/>
        <v>0</v>
      </c>
    </row>
    <row r="258" spans="1:5" s="802" customFormat="1" x14ac:dyDescent="0.2">
      <c r="A258" s="1594" t="s">
        <v>2060</v>
      </c>
      <c r="B258" s="1111">
        <f>'Base TY Budget'!B393</f>
        <v>892</v>
      </c>
      <c r="C258" s="1634">
        <f>'Base TY Budget'!E393</f>
        <v>-1.4</v>
      </c>
      <c r="D258" s="1634">
        <f>'Forecast TY Budget &amp; D-2.4 Adj'!E393</f>
        <v>0</v>
      </c>
      <c r="E258" s="1588">
        <f t="shared" si="6"/>
        <v>1.4</v>
      </c>
    </row>
    <row r="259" spans="1:5" s="802" customFormat="1" x14ac:dyDescent="0.2">
      <c r="A259" s="1594" t="s">
        <v>2056</v>
      </c>
      <c r="B259" s="1111">
        <f>'Base TY Budget'!B394</f>
        <v>926</v>
      </c>
      <c r="C259" s="1634">
        <f>'Base TY Budget'!E394</f>
        <v>-111323.5</v>
      </c>
      <c r="D259" s="1634">
        <f>'Forecast TY Budget &amp; D-2.4 Adj'!E394</f>
        <v>-92004</v>
      </c>
      <c r="E259" s="1588">
        <f t="shared" si="6"/>
        <v>19319.5</v>
      </c>
    </row>
    <row r="260" spans="1:5" s="802" customFormat="1" x14ac:dyDescent="0.2">
      <c r="A260" s="1594" t="s">
        <v>2056</v>
      </c>
      <c r="B260" s="1111">
        <f>'Base TY Budget'!B395</f>
        <v>880</v>
      </c>
      <c r="C260" s="1634">
        <f>'Base TY Budget'!E395</f>
        <v>0.44</v>
      </c>
      <c r="D260" s="1634">
        <f>'Forecast TY Budget &amp; D-2.4 Adj'!E395</f>
        <v>0</v>
      </c>
      <c r="E260" s="1588">
        <f t="shared" si="6"/>
        <v>-0.44</v>
      </c>
    </row>
    <row r="261" spans="1:5" s="802" customFormat="1" x14ac:dyDescent="0.2">
      <c r="A261" s="1594" t="s">
        <v>2056</v>
      </c>
      <c r="B261" s="1111">
        <f>'Base TY Budget'!B396</f>
        <v>887</v>
      </c>
      <c r="C261" s="1634">
        <f>'Base TY Budget'!E396</f>
        <v>0</v>
      </c>
      <c r="D261" s="1634">
        <f>'Forecast TY Budget &amp; D-2.4 Adj'!E396</f>
        <v>0</v>
      </c>
      <c r="E261" s="1588">
        <f t="shared" si="6"/>
        <v>0</v>
      </c>
    </row>
    <row r="262" spans="1:5" s="802" customFormat="1" x14ac:dyDescent="0.2">
      <c r="A262" s="1594" t="s">
        <v>2056</v>
      </c>
      <c r="B262" s="1111">
        <f>'Base TY Budget'!B397</f>
        <v>892</v>
      </c>
      <c r="C262" s="1634">
        <f>'Base TY Budget'!E397</f>
        <v>-1.3</v>
      </c>
      <c r="D262" s="1634">
        <f>'Forecast TY Budget &amp; D-2.4 Adj'!E397</f>
        <v>0</v>
      </c>
      <c r="E262" s="1588">
        <f t="shared" si="6"/>
        <v>1.3</v>
      </c>
    </row>
    <row r="263" spans="1:5" s="802" customFormat="1" x14ac:dyDescent="0.2">
      <c r="A263" s="1594" t="s">
        <v>2057</v>
      </c>
      <c r="B263" s="1111">
        <f>'Base TY Budget'!B398</f>
        <v>926</v>
      </c>
      <c r="C263" s="1634">
        <f>'Base TY Budget'!E398</f>
        <v>493185.3</v>
      </c>
      <c r="D263" s="1634">
        <f>'Forecast TY Budget &amp; D-2.4 Adj'!E398</f>
        <v>23004</v>
      </c>
      <c r="E263" s="1588">
        <f t="shared" si="6"/>
        <v>-470181.3</v>
      </c>
    </row>
    <row r="264" spans="1:5" s="802" customFormat="1" x14ac:dyDescent="0.2">
      <c r="A264" s="1594" t="s">
        <v>2057</v>
      </c>
      <c r="B264" s="1111">
        <f>'Base TY Budget'!B399</f>
        <v>880</v>
      </c>
      <c r="C264" s="1634">
        <f>'Base TY Budget'!E399</f>
        <v>4.5199999999999996</v>
      </c>
      <c r="D264" s="1634">
        <f>'Forecast TY Budget &amp; D-2.4 Adj'!E399</f>
        <v>0</v>
      </c>
      <c r="E264" s="1588">
        <f t="shared" si="6"/>
        <v>-4.5199999999999996</v>
      </c>
    </row>
    <row r="265" spans="1:5" s="802" customFormat="1" x14ac:dyDescent="0.2">
      <c r="A265" s="1594" t="s">
        <v>2057</v>
      </c>
      <c r="B265" s="1111">
        <f>'Base TY Budget'!B400</f>
        <v>887</v>
      </c>
      <c r="C265" s="1634">
        <f>'Base TY Budget'!E400</f>
        <v>0</v>
      </c>
      <c r="D265" s="1634">
        <f>'Forecast TY Budget &amp; D-2.4 Adj'!E400</f>
        <v>0</v>
      </c>
      <c r="E265" s="1588">
        <f t="shared" si="6"/>
        <v>0</v>
      </c>
    </row>
    <row r="266" spans="1:5" s="802" customFormat="1" x14ac:dyDescent="0.2">
      <c r="A266" s="1594" t="s">
        <v>2057</v>
      </c>
      <c r="B266" s="1111">
        <f>'Base TY Budget'!B401</f>
        <v>892</v>
      </c>
      <c r="C266" s="1634">
        <f>'Base TY Budget'!E401</f>
        <v>7.89</v>
      </c>
      <c r="D266" s="1634">
        <f>'Forecast TY Budget &amp; D-2.4 Adj'!E401</f>
        <v>0</v>
      </c>
      <c r="E266" s="1588">
        <f t="shared" si="6"/>
        <v>-7.89</v>
      </c>
    </row>
    <row r="267" spans="1:5" s="802" customFormat="1" x14ac:dyDescent="0.2">
      <c r="A267" s="1594" t="s">
        <v>2054</v>
      </c>
      <c r="B267" s="1111">
        <f>'Base TY Budget'!B402</f>
        <v>926</v>
      </c>
      <c r="C267" s="1634">
        <f>'Base TY Budget'!E402</f>
        <v>337014.87</v>
      </c>
      <c r="D267" s="1634">
        <f>'Forecast TY Budget &amp; D-2.4 Adj'!E402</f>
        <v>258996</v>
      </c>
      <c r="E267" s="1588">
        <f t="shared" si="6"/>
        <v>-78018.87</v>
      </c>
    </row>
    <row r="268" spans="1:5" s="802" customFormat="1" x14ac:dyDescent="0.2">
      <c r="A268" s="1594" t="s">
        <v>2054</v>
      </c>
      <c r="B268" s="1111">
        <f>'Base TY Budget'!B403</f>
        <v>880</v>
      </c>
      <c r="C268" s="1634">
        <f>'Base TY Budget'!E403</f>
        <v>0</v>
      </c>
      <c r="D268" s="1634">
        <f>'Forecast TY Budget &amp; D-2.4 Adj'!E403</f>
        <v>0</v>
      </c>
      <c r="E268" s="1588">
        <f t="shared" si="6"/>
        <v>0</v>
      </c>
    </row>
    <row r="269" spans="1:5" s="802" customFormat="1" x14ac:dyDescent="0.2">
      <c r="A269" s="1594" t="s">
        <v>2054</v>
      </c>
      <c r="B269" s="1111">
        <f>'Base TY Budget'!B404</f>
        <v>887</v>
      </c>
      <c r="C269" s="1634">
        <f>'Base TY Budget'!E404</f>
        <v>0</v>
      </c>
      <c r="D269" s="1634">
        <f>'Forecast TY Budget &amp; D-2.4 Adj'!E404</f>
        <v>0</v>
      </c>
      <c r="E269" s="1588">
        <f t="shared" si="6"/>
        <v>0</v>
      </c>
    </row>
    <row r="270" spans="1:5" s="802" customFormat="1" x14ac:dyDescent="0.2">
      <c r="A270" s="1594" t="s">
        <v>2054</v>
      </c>
      <c r="B270" s="1111">
        <f>'Base TY Budget'!B405</f>
        <v>892</v>
      </c>
      <c r="C270" s="1634">
        <f>'Base TY Budget'!E405</f>
        <v>0.87</v>
      </c>
      <c r="D270" s="1634">
        <f>'Forecast TY Budget &amp; D-2.4 Adj'!E405</f>
        <v>0</v>
      </c>
      <c r="E270" s="1588">
        <f t="shared" si="6"/>
        <v>-0.87</v>
      </c>
    </row>
    <row r="271" spans="1:5" s="802" customFormat="1" x14ac:dyDescent="0.2">
      <c r="A271" s="1644" t="s">
        <v>2058</v>
      </c>
      <c r="B271" s="1111">
        <f>'Base TY Budget'!B406</f>
        <v>926</v>
      </c>
      <c r="C271" s="1634">
        <f>'Base TY Budget'!E406</f>
        <v>-105144</v>
      </c>
      <c r="D271" s="1634">
        <f>'Forecast TY Budget &amp; D-2.4 Adj'!E406</f>
        <v>0</v>
      </c>
      <c r="E271" s="1588">
        <f t="shared" si="6"/>
        <v>105144</v>
      </c>
    </row>
    <row r="272" spans="1:5" s="802" customFormat="1" x14ac:dyDescent="0.2">
      <c r="A272" s="1644" t="s">
        <v>2059</v>
      </c>
      <c r="B272" s="1111">
        <f>'Base TY Budget'!B407</f>
        <v>926</v>
      </c>
      <c r="C272" s="1634">
        <f>'Base TY Budget'!E407</f>
        <v>0</v>
      </c>
      <c r="D272" s="1634">
        <f>'Forecast TY Budget &amp; D-2.4 Adj'!E407</f>
        <v>0</v>
      </c>
      <c r="E272" s="1588">
        <f t="shared" si="6"/>
        <v>0</v>
      </c>
    </row>
    <row r="273" spans="1:5" s="802" customFormat="1" x14ac:dyDescent="0.2">
      <c r="A273" s="1645" t="s">
        <v>2053</v>
      </c>
      <c r="B273" s="1111">
        <f>'Base TY Budget'!B408</f>
        <v>926</v>
      </c>
      <c r="C273" s="1634">
        <f>'Base TY Budget'!E408</f>
        <v>74184</v>
      </c>
      <c r="D273" s="1634">
        <f>'Forecast TY Budget &amp; D-2.4 Adj'!E408</f>
        <v>74928</v>
      </c>
      <c r="E273" s="1588">
        <f t="shared" si="6"/>
        <v>744</v>
      </c>
    </row>
    <row r="274" spans="1:5" s="802" customFormat="1" x14ac:dyDescent="0.2">
      <c r="A274" s="1645" t="s">
        <v>2061</v>
      </c>
      <c r="B274" s="1111">
        <f>'Base TY Budget'!B409</f>
        <v>926</v>
      </c>
      <c r="C274" s="1634">
        <f>'Base TY Budget'!E409</f>
        <v>283563.33</v>
      </c>
      <c r="D274" s="1634">
        <f>'Forecast TY Budget &amp; D-2.4 Adj'!E409</f>
        <v>581160</v>
      </c>
      <c r="E274" s="1588">
        <f t="shared" si="6"/>
        <v>297596.67</v>
      </c>
    </row>
    <row r="275" spans="1:5" s="802" customFormat="1" x14ac:dyDescent="0.2">
      <c r="A275" s="1645" t="s">
        <v>2062</v>
      </c>
      <c r="B275" s="1111">
        <f>'Base TY Budget'!B410</f>
        <v>926</v>
      </c>
      <c r="C275" s="1634">
        <f>'Base TY Budget'!E410</f>
        <v>-530802.89</v>
      </c>
      <c r="D275" s="1634">
        <f>'Forecast TY Budget &amp; D-2.4 Adj'!E410</f>
        <v>-665717</v>
      </c>
      <c r="E275" s="1588">
        <f t="shared" si="6"/>
        <v>-134914.10999999999</v>
      </c>
    </row>
    <row r="276" spans="1:5" s="802" customFormat="1" x14ac:dyDescent="0.2">
      <c r="A276" s="1645" t="s">
        <v>2124</v>
      </c>
      <c r="B276" s="1111">
        <f>'Base TY Budget'!B411</f>
        <v>926</v>
      </c>
      <c r="C276" s="1634">
        <f>'Base TY Budget'!E411</f>
        <v>17826</v>
      </c>
      <c r="D276" s="1634">
        <f>'Forecast TY Budget &amp; D-2.4 Adj'!E411</f>
        <v>31536</v>
      </c>
      <c r="E276" s="1588">
        <f t="shared" si="6"/>
        <v>13710</v>
      </c>
    </row>
    <row r="277" spans="1:5" s="802" customFormat="1" x14ac:dyDescent="0.2">
      <c r="A277" s="1645" t="s">
        <v>2125</v>
      </c>
      <c r="B277" s="1111">
        <f>'Base TY Budget'!B412</f>
        <v>926</v>
      </c>
      <c r="C277" s="1634">
        <f>'Base TY Budget'!E412</f>
        <v>14226</v>
      </c>
      <c r="D277" s="1634">
        <f>'Forecast TY Budget &amp; D-2.4 Adj'!E412</f>
        <v>31884</v>
      </c>
      <c r="E277" s="1588">
        <f t="shared" si="6"/>
        <v>17658</v>
      </c>
    </row>
    <row r="278" spans="1:5" s="802" customFormat="1" x14ac:dyDescent="0.2">
      <c r="A278" s="1645" t="s">
        <v>2063</v>
      </c>
      <c r="B278" s="1111">
        <f>'Base TY Budget'!B413</f>
        <v>926</v>
      </c>
      <c r="C278" s="1634">
        <f>'Base TY Budget'!E413</f>
        <v>-118715.37</v>
      </c>
      <c r="D278" s="1634">
        <f>'Forecast TY Budget &amp; D-2.4 Adj'!E413</f>
        <v>-88788</v>
      </c>
      <c r="E278" s="1588">
        <f t="shared" si="6"/>
        <v>29927.369999999995</v>
      </c>
    </row>
    <row r="279" spans="1:5" s="802" customFormat="1" x14ac:dyDescent="0.2">
      <c r="A279" s="1645" t="s">
        <v>2064</v>
      </c>
      <c r="B279" s="1111">
        <f>'Base TY Budget'!B414</f>
        <v>926</v>
      </c>
      <c r="C279" s="1634">
        <f>'Base TY Budget'!E414</f>
        <v>-191282.45</v>
      </c>
      <c r="D279" s="1634">
        <f>'Forecast TY Budget &amp; D-2.4 Adj'!E414</f>
        <v>-199224</v>
      </c>
      <c r="E279" s="1588">
        <f t="shared" si="6"/>
        <v>-7941.5499999999884</v>
      </c>
    </row>
    <row r="280" spans="1:5" s="802" customFormat="1" x14ac:dyDescent="0.2">
      <c r="A280" s="1594"/>
      <c r="B280" s="1111"/>
      <c r="C280" s="1634"/>
      <c r="D280" s="1634"/>
      <c r="E280" s="1588"/>
    </row>
    <row r="281" spans="1:5" s="802" customFormat="1" x14ac:dyDescent="0.2">
      <c r="A281" s="1594" t="s">
        <v>205</v>
      </c>
      <c r="B281" s="1111">
        <f>'Base TY Budget'!B416</f>
        <v>874</v>
      </c>
      <c r="C281" s="1634">
        <f>'Base TY Budget'!E416</f>
        <v>7250.23</v>
      </c>
      <c r="D281" s="1634">
        <f>'Forecast TY Budget &amp; D-2.4 Adj'!E416</f>
        <v>14097</v>
      </c>
      <c r="E281" s="1588">
        <f t="shared" si="6"/>
        <v>6846.77</v>
      </c>
    </row>
    <row r="282" spans="1:5" s="802" customFormat="1" x14ac:dyDescent="0.2">
      <c r="A282" s="1594" t="s">
        <v>205</v>
      </c>
      <c r="B282" s="1111">
        <f>'Base TY Budget'!B417</f>
        <v>880</v>
      </c>
      <c r="C282" s="1634">
        <f>'Base TY Budget'!E417</f>
        <v>357</v>
      </c>
      <c r="D282" s="1634">
        <f>'Forecast TY Budget &amp; D-2.4 Adj'!E417</f>
        <v>2475</v>
      </c>
      <c r="E282" s="1588">
        <f t="shared" si="6"/>
        <v>2118</v>
      </c>
    </row>
    <row r="283" spans="1:5" s="802" customFormat="1" x14ac:dyDescent="0.2">
      <c r="A283" s="1594" t="s">
        <v>205</v>
      </c>
      <c r="B283" s="1111">
        <f>'Base TY Budget'!B418</f>
        <v>887</v>
      </c>
      <c r="C283" s="1634">
        <f>'Base TY Budget'!E418</f>
        <v>894.35</v>
      </c>
      <c r="D283" s="1634">
        <f>'Forecast TY Budget &amp; D-2.4 Adj'!E418</f>
        <v>1734</v>
      </c>
      <c r="E283" s="1588">
        <f t="shared" si="6"/>
        <v>839.65</v>
      </c>
    </row>
    <row r="284" spans="1:5" s="802" customFormat="1" x14ac:dyDescent="0.2">
      <c r="A284" s="1594" t="s">
        <v>205</v>
      </c>
      <c r="B284" s="1111">
        <f>'Base TY Budget'!B419</f>
        <v>892</v>
      </c>
      <c r="C284" s="1634">
        <f>'Base TY Budget'!E419</f>
        <v>894.35</v>
      </c>
      <c r="D284" s="1634">
        <f>'Forecast TY Budget &amp; D-2.4 Adj'!E419</f>
        <v>1734</v>
      </c>
      <c r="E284" s="1588">
        <f t="shared" si="6"/>
        <v>839.65</v>
      </c>
    </row>
    <row r="285" spans="1:5" s="802" customFormat="1" x14ac:dyDescent="0.2">
      <c r="A285" s="1594" t="s">
        <v>205</v>
      </c>
      <c r="B285" s="1111">
        <f>'Base TY Budget'!B420</f>
        <v>909</v>
      </c>
      <c r="C285" s="1634">
        <f>'Base TY Budget'!E420</f>
        <v>423</v>
      </c>
      <c r="D285" s="1634">
        <f>'Forecast TY Budget &amp; D-2.4 Adj'!E420</f>
        <v>2919</v>
      </c>
      <c r="E285" s="1588">
        <f t="shared" si="6"/>
        <v>2496</v>
      </c>
    </row>
    <row r="286" spans="1:5" s="802" customFormat="1" x14ac:dyDescent="0.2">
      <c r="A286" s="1594" t="s">
        <v>205</v>
      </c>
      <c r="B286" s="1111">
        <f>'Base TY Budget'!B421</f>
        <v>913</v>
      </c>
      <c r="C286" s="1634">
        <f>'Base TY Budget'!E421</f>
        <v>68400</v>
      </c>
      <c r="D286" s="1634">
        <f>'Forecast TY Budget &amp; D-2.4 Adj'!E421</f>
        <v>161487</v>
      </c>
      <c r="E286" s="1588">
        <f t="shared" si="6"/>
        <v>93087</v>
      </c>
    </row>
    <row r="287" spans="1:5" s="802" customFormat="1" x14ac:dyDescent="0.2">
      <c r="A287" s="1594" t="s">
        <v>205</v>
      </c>
      <c r="B287" s="1111">
        <f>'Base TY Budget'!B422</f>
        <v>921</v>
      </c>
      <c r="C287" s="1634">
        <f>'Base TY Budget'!E422</f>
        <v>1011.26</v>
      </c>
      <c r="D287" s="1634">
        <f>'Forecast TY Budget &amp; D-2.4 Adj'!E422</f>
        <v>5550</v>
      </c>
      <c r="E287" s="1588">
        <f t="shared" si="6"/>
        <v>4538.74</v>
      </c>
    </row>
    <row r="288" spans="1:5" s="802" customFormat="1" x14ac:dyDescent="0.2">
      <c r="A288" s="1594"/>
      <c r="B288" s="1111"/>
      <c r="C288" s="1634"/>
      <c r="D288" s="1634"/>
      <c r="E288" s="1588"/>
    </row>
    <row r="289" spans="1:5" s="802" customFormat="1" x14ac:dyDescent="0.2">
      <c r="A289" s="1594"/>
      <c r="B289" s="1111"/>
      <c r="C289" s="1634"/>
      <c r="D289" s="1634"/>
      <c r="E289" s="1588"/>
    </row>
    <row r="290" spans="1:5" s="802" customFormat="1" x14ac:dyDescent="0.2">
      <c r="A290" s="1594" t="s">
        <v>2080</v>
      </c>
      <c r="B290" s="1111">
        <f>'Base TY Budget'!B425</f>
        <v>870</v>
      </c>
      <c r="C290" s="1634">
        <f>'Base TY Budget'!E425</f>
        <v>1523.0900000000001</v>
      </c>
      <c r="D290" s="1634">
        <f>'Forecast TY Budget &amp; D-2.4 Adj'!E425</f>
        <v>1233</v>
      </c>
      <c r="E290" s="1588">
        <f t="shared" ref="E290:E333" si="7">D290-C290</f>
        <v>-290.09000000000015</v>
      </c>
    </row>
    <row r="291" spans="1:5" s="802" customFormat="1" x14ac:dyDescent="0.2">
      <c r="A291" s="1594" t="s">
        <v>2080</v>
      </c>
      <c r="B291" s="1111">
        <f>'Base TY Budget'!B426</f>
        <v>871</v>
      </c>
      <c r="C291" s="1634">
        <f>'Base TY Budget'!E426</f>
        <v>8441.34</v>
      </c>
      <c r="D291" s="1634">
        <f>'Forecast TY Budget &amp; D-2.4 Adj'!E426</f>
        <v>9312</v>
      </c>
      <c r="E291" s="1588">
        <f t="shared" si="7"/>
        <v>870.65999999999985</v>
      </c>
    </row>
    <row r="292" spans="1:5" s="802" customFormat="1" x14ac:dyDescent="0.2">
      <c r="A292" s="1594" t="s">
        <v>2080</v>
      </c>
      <c r="B292" s="1111">
        <f>'Base TY Budget'!B427</f>
        <v>874</v>
      </c>
      <c r="C292" s="1634">
        <f>'Base TY Budget'!E427</f>
        <v>215166.37</v>
      </c>
      <c r="D292" s="1634">
        <f>'Forecast TY Budget &amp; D-2.4 Adj'!E427</f>
        <v>239529</v>
      </c>
      <c r="E292" s="1588">
        <f t="shared" si="7"/>
        <v>24362.630000000005</v>
      </c>
    </row>
    <row r="293" spans="1:5" s="802" customFormat="1" x14ac:dyDescent="0.2">
      <c r="A293" s="1594" t="s">
        <v>2080</v>
      </c>
      <c r="B293" s="1111">
        <f>'Base TY Budget'!B428</f>
        <v>875</v>
      </c>
      <c r="C293" s="1634">
        <f>'Base TY Budget'!E428</f>
        <v>14443.8</v>
      </c>
      <c r="D293" s="1634">
        <f>'Forecast TY Budget &amp; D-2.4 Adj'!E428</f>
        <v>14201</v>
      </c>
      <c r="E293" s="1588">
        <f t="shared" si="7"/>
        <v>-242.79999999999927</v>
      </c>
    </row>
    <row r="294" spans="1:5" s="802" customFormat="1" x14ac:dyDescent="0.2">
      <c r="A294" s="1594" t="s">
        <v>2080</v>
      </c>
      <c r="B294" s="1111">
        <f>'Base TY Budget'!B429</f>
        <v>876</v>
      </c>
      <c r="C294" s="1634">
        <f>'Base TY Budget'!E429</f>
        <v>7713.8</v>
      </c>
      <c r="D294" s="1634">
        <f>'Forecast TY Budget &amp; D-2.4 Adj'!E429</f>
        <v>6675</v>
      </c>
      <c r="E294" s="1588">
        <f t="shared" si="7"/>
        <v>-1038.8000000000002</v>
      </c>
    </row>
    <row r="295" spans="1:5" s="802" customFormat="1" x14ac:dyDescent="0.2">
      <c r="A295" s="1594" t="s">
        <v>2080</v>
      </c>
      <c r="B295" s="1111">
        <f>'Base TY Budget'!B430</f>
        <v>878</v>
      </c>
      <c r="C295" s="1634">
        <f>'Base TY Budget'!E430</f>
        <v>195731.02000000002</v>
      </c>
      <c r="D295" s="1634">
        <f>'Forecast TY Budget &amp; D-2.4 Adj'!E430</f>
        <v>195474</v>
      </c>
      <c r="E295" s="1588">
        <f t="shared" si="7"/>
        <v>-257.02000000001863</v>
      </c>
    </row>
    <row r="296" spans="1:5" s="802" customFormat="1" x14ac:dyDescent="0.2">
      <c r="A296" s="1594" t="s">
        <v>2080</v>
      </c>
      <c r="B296" s="1111">
        <f>'Base TY Budget'!B431</f>
        <v>879</v>
      </c>
      <c r="C296" s="1634">
        <f>'Base TY Budget'!E431</f>
        <v>223058.31</v>
      </c>
      <c r="D296" s="1634">
        <f>'Forecast TY Budget &amp; D-2.4 Adj'!E431</f>
        <v>221221</v>
      </c>
      <c r="E296" s="1588">
        <f t="shared" si="7"/>
        <v>-1837.3099999999977</v>
      </c>
    </row>
    <row r="297" spans="1:5" s="802" customFormat="1" x14ac:dyDescent="0.2">
      <c r="A297" s="1594" t="s">
        <v>2080</v>
      </c>
      <c r="B297" s="1111">
        <f>'Base TY Budget'!B432</f>
        <v>880</v>
      </c>
      <c r="C297" s="1634">
        <f>'Base TY Budget'!E432</f>
        <v>79118.76999999999</v>
      </c>
      <c r="D297" s="1634">
        <f>'Forecast TY Budget &amp; D-2.4 Adj'!E432</f>
        <v>71954</v>
      </c>
      <c r="E297" s="1588">
        <f t="shared" si="7"/>
        <v>-7164.7699999999895</v>
      </c>
    </row>
    <row r="298" spans="1:5" s="802" customFormat="1" x14ac:dyDescent="0.2">
      <c r="A298" s="1594" t="s">
        <v>2080</v>
      </c>
      <c r="B298" s="1111">
        <f>'Base TY Budget'!B433</f>
        <v>885</v>
      </c>
      <c r="C298" s="1634">
        <f>'Base TY Budget'!E433</f>
        <v>741.09</v>
      </c>
      <c r="D298" s="1634">
        <f>'Forecast TY Budget &amp; D-2.4 Adj'!E433</f>
        <v>719</v>
      </c>
      <c r="E298" s="1588">
        <f t="shared" si="7"/>
        <v>-22.090000000000032</v>
      </c>
    </row>
    <row r="299" spans="1:5" s="802" customFormat="1" x14ac:dyDescent="0.2">
      <c r="A299" s="1594" t="s">
        <v>2080</v>
      </c>
      <c r="B299" s="1111">
        <f>'Base TY Budget'!B434</f>
        <v>886</v>
      </c>
      <c r="C299" s="1634">
        <f>'Base TY Budget'!E434</f>
        <v>323.59000000000003</v>
      </c>
      <c r="D299" s="1634">
        <f>'Forecast TY Budget &amp; D-2.4 Adj'!E434</f>
        <v>397</v>
      </c>
      <c r="E299" s="1588">
        <f t="shared" si="7"/>
        <v>73.409999999999968</v>
      </c>
    </row>
    <row r="300" spans="1:5" s="802" customFormat="1" x14ac:dyDescent="0.2">
      <c r="A300" s="1594" t="s">
        <v>2080</v>
      </c>
      <c r="B300" s="1111">
        <f>'Base TY Budget'!B435</f>
        <v>887</v>
      </c>
      <c r="C300" s="1634">
        <f>'Base TY Budget'!E435</f>
        <v>112945.45999999999</v>
      </c>
      <c r="D300" s="1634">
        <f>'Forecast TY Budget &amp; D-2.4 Adj'!E435</f>
        <v>119234</v>
      </c>
      <c r="E300" s="1588">
        <f t="shared" si="7"/>
        <v>6288.5400000000081</v>
      </c>
    </row>
    <row r="301" spans="1:5" s="802" customFormat="1" x14ac:dyDescent="0.2">
      <c r="A301" s="1594" t="s">
        <v>2080</v>
      </c>
      <c r="B301" s="1111">
        <f>'Base TY Budget'!B436</f>
        <v>889</v>
      </c>
      <c r="C301" s="1634">
        <f>'Base TY Budget'!E436</f>
        <v>24372.46</v>
      </c>
      <c r="D301" s="1634">
        <f>'Forecast TY Budget &amp; D-2.4 Adj'!E436</f>
        <v>22807</v>
      </c>
      <c r="E301" s="1588">
        <f t="shared" si="7"/>
        <v>-1565.4599999999991</v>
      </c>
    </row>
    <row r="302" spans="1:5" s="802" customFormat="1" x14ac:dyDescent="0.2">
      <c r="A302" s="1594" t="s">
        <v>2080</v>
      </c>
      <c r="B302" s="1111">
        <f>'Base TY Budget'!B437</f>
        <v>890</v>
      </c>
      <c r="C302" s="1634">
        <f>'Base TY Budget'!E437</f>
        <v>3961.65</v>
      </c>
      <c r="D302" s="1634">
        <f>'Forecast TY Budget &amp; D-2.4 Adj'!E437</f>
        <v>3733</v>
      </c>
      <c r="E302" s="1588">
        <f t="shared" si="7"/>
        <v>-228.65000000000009</v>
      </c>
    </row>
    <row r="303" spans="1:5" s="802" customFormat="1" x14ac:dyDescent="0.2">
      <c r="A303" s="1594" t="s">
        <v>2080</v>
      </c>
      <c r="B303" s="1111">
        <f>'Base TY Budget'!B438</f>
        <v>892</v>
      </c>
      <c r="C303" s="1634">
        <f>'Base TY Budget'!E438</f>
        <v>30467.27</v>
      </c>
      <c r="D303" s="1634">
        <f>'Forecast TY Budget &amp; D-2.4 Adj'!E438</f>
        <v>33726</v>
      </c>
      <c r="E303" s="1588">
        <f t="shared" si="7"/>
        <v>3258.7299999999996</v>
      </c>
    </row>
    <row r="304" spans="1:5" s="802" customFormat="1" x14ac:dyDescent="0.2">
      <c r="A304" s="1594" t="s">
        <v>2080</v>
      </c>
      <c r="B304" s="1111">
        <f>'Base TY Budget'!B439</f>
        <v>893</v>
      </c>
      <c r="C304" s="1634">
        <f>'Base TY Budget'!E439</f>
        <v>6197.82</v>
      </c>
      <c r="D304" s="1634">
        <f>'Forecast TY Budget &amp; D-2.4 Adj'!E439</f>
        <v>4787</v>
      </c>
      <c r="E304" s="1588">
        <f t="shared" si="7"/>
        <v>-1410.8199999999997</v>
      </c>
    </row>
    <row r="305" spans="1:5" s="802" customFormat="1" x14ac:dyDescent="0.2">
      <c r="A305" s="1594" t="s">
        <v>2080</v>
      </c>
      <c r="B305" s="1111">
        <f>'Base TY Budget'!B440</f>
        <v>894</v>
      </c>
      <c r="C305" s="1634">
        <f>'Base TY Budget'!E440</f>
        <v>25796.920000000002</v>
      </c>
      <c r="D305" s="1634">
        <f>'Forecast TY Budget &amp; D-2.4 Adj'!E440</f>
        <v>22933</v>
      </c>
      <c r="E305" s="1588">
        <f t="shared" si="7"/>
        <v>-2863.9200000000019</v>
      </c>
    </row>
    <row r="306" spans="1:5" s="802" customFormat="1" x14ac:dyDescent="0.2">
      <c r="A306" s="1594" t="s">
        <v>2080</v>
      </c>
      <c r="B306" s="1111">
        <f>'Base TY Budget'!B441</f>
        <v>902</v>
      </c>
      <c r="C306" s="1634">
        <f>'Base TY Budget'!E441</f>
        <v>28662.23</v>
      </c>
      <c r="D306" s="1634">
        <f>'Forecast TY Budget &amp; D-2.4 Adj'!E441</f>
        <v>18375</v>
      </c>
      <c r="E306" s="1588">
        <f t="shared" si="7"/>
        <v>-10287.23</v>
      </c>
    </row>
    <row r="307" spans="1:5" s="802" customFormat="1" x14ac:dyDescent="0.2">
      <c r="A307" s="1594" t="s">
        <v>2080</v>
      </c>
      <c r="B307" s="1111">
        <f>'Base TY Budget'!B442</f>
        <v>903</v>
      </c>
      <c r="C307" s="1634">
        <f>'Base TY Budget'!E442</f>
        <v>50269.84</v>
      </c>
      <c r="D307" s="1634">
        <f>'Forecast TY Budget &amp; D-2.4 Adj'!E442</f>
        <v>49960</v>
      </c>
      <c r="E307" s="1588">
        <f t="shared" si="7"/>
        <v>-309.83999999999651</v>
      </c>
    </row>
    <row r="308" spans="1:5" s="802" customFormat="1" x14ac:dyDescent="0.2">
      <c r="A308" s="1594" t="s">
        <v>2080</v>
      </c>
      <c r="B308" s="1111">
        <f>'Base TY Budget'!B443</f>
        <v>908</v>
      </c>
      <c r="C308" s="1634">
        <f>'Base TY Budget'!E443</f>
        <v>1937.3400000000001</v>
      </c>
      <c r="D308" s="1634">
        <f>'Forecast TY Budget &amp; D-2.4 Adj'!E443</f>
        <v>2776</v>
      </c>
      <c r="E308" s="1588">
        <f t="shared" si="7"/>
        <v>838.65999999999985</v>
      </c>
    </row>
    <row r="309" spans="1:5" s="802" customFormat="1" x14ac:dyDescent="0.2">
      <c r="A309" s="1594" t="s">
        <v>2080</v>
      </c>
      <c r="B309" s="1111">
        <f>'Base TY Budget'!B444</f>
        <v>921</v>
      </c>
      <c r="C309" s="1634">
        <f>'Base TY Budget'!E444</f>
        <v>929.51</v>
      </c>
      <c r="D309" s="1634">
        <f>'Forecast TY Budget &amp; D-2.4 Adj'!E444</f>
        <v>599</v>
      </c>
      <c r="E309" s="1588">
        <f t="shared" si="7"/>
        <v>-330.51</v>
      </c>
    </row>
    <row r="310" spans="1:5" s="802" customFormat="1" x14ac:dyDescent="0.2">
      <c r="A310" s="1594"/>
      <c r="B310" s="1111"/>
      <c r="C310" s="1634"/>
      <c r="D310" s="1634"/>
      <c r="E310" s="1588"/>
    </row>
    <row r="311" spans="1:5" s="802" customFormat="1" x14ac:dyDescent="0.2">
      <c r="A311" s="1594"/>
      <c r="B311" s="1111"/>
      <c r="C311" s="1634"/>
      <c r="D311" s="1634"/>
      <c r="E311" s="1588"/>
    </row>
    <row r="312" spans="1:5" s="802" customFormat="1" x14ac:dyDescent="0.2">
      <c r="A312" s="1594" t="s">
        <v>2079</v>
      </c>
      <c r="B312" s="1111">
        <f>'Base TY Budget'!B447</f>
        <v>871</v>
      </c>
      <c r="C312" s="1634">
        <f>'Base TY Budget'!E447</f>
        <v>115316.18</v>
      </c>
      <c r="D312" s="1634">
        <f>'Forecast TY Budget &amp; D-2.4 Adj'!E447</f>
        <v>1871</v>
      </c>
      <c r="E312" s="1588">
        <f t="shared" si="7"/>
        <v>-113445.18</v>
      </c>
    </row>
    <row r="313" spans="1:5" s="802" customFormat="1" x14ac:dyDescent="0.2">
      <c r="A313" s="1594" t="s">
        <v>2079</v>
      </c>
      <c r="B313" s="1111">
        <f>'Base TY Budget'!B448</f>
        <v>874</v>
      </c>
      <c r="C313" s="1634">
        <f>'Base TY Budget'!E448</f>
        <v>71037.37</v>
      </c>
      <c r="D313" s="1634">
        <f>'Forecast TY Budget &amp; D-2.4 Adj'!E448</f>
        <v>47722</v>
      </c>
      <c r="E313" s="1588">
        <f t="shared" si="7"/>
        <v>-23315.369999999995</v>
      </c>
    </row>
    <row r="314" spans="1:5" s="802" customFormat="1" x14ac:dyDescent="0.2">
      <c r="A314" s="1594" t="s">
        <v>2079</v>
      </c>
      <c r="B314" s="1111">
        <f>'Base TY Budget'!B449</f>
        <v>875</v>
      </c>
      <c r="C314" s="1634">
        <f>'Base TY Budget'!E449</f>
        <v>5</v>
      </c>
      <c r="D314" s="1634">
        <f>'Forecast TY Budget &amp; D-2.4 Adj'!E449</f>
        <v>8</v>
      </c>
      <c r="E314" s="1588">
        <f t="shared" si="7"/>
        <v>3</v>
      </c>
    </row>
    <row r="315" spans="1:5" s="802" customFormat="1" x14ac:dyDescent="0.2">
      <c r="A315" s="1594" t="s">
        <v>2079</v>
      </c>
      <c r="B315" s="1111">
        <f>'Base TY Budget'!B450</f>
        <v>876</v>
      </c>
      <c r="C315" s="1634">
        <f>'Base TY Budget'!E450</f>
        <v>149.07</v>
      </c>
      <c r="D315" s="1634">
        <f>'Forecast TY Budget &amp; D-2.4 Adj'!E450</f>
        <v>45</v>
      </c>
      <c r="E315" s="1588">
        <f t="shared" si="7"/>
        <v>-104.07</v>
      </c>
    </row>
    <row r="316" spans="1:5" s="802" customFormat="1" x14ac:dyDescent="0.2">
      <c r="A316" s="1594" t="s">
        <v>2079</v>
      </c>
      <c r="B316" s="1111">
        <f>'Base TY Budget'!B451</f>
        <v>878</v>
      </c>
      <c r="C316" s="1634">
        <f>'Base TY Budget'!E451</f>
        <v>7453.66</v>
      </c>
      <c r="D316" s="1634">
        <f>'Forecast TY Budget &amp; D-2.4 Adj'!E451</f>
        <v>5788</v>
      </c>
      <c r="E316" s="1588">
        <f t="shared" si="7"/>
        <v>-1665.6599999999999</v>
      </c>
    </row>
    <row r="317" spans="1:5" s="802" customFormat="1" x14ac:dyDescent="0.2">
      <c r="A317" s="1594" t="s">
        <v>2079</v>
      </c>
      <c r="B317" s="1111">
        <f>'Base TY Budget'!B452</f>
        <v>879</v>
      </c>
      <c r="C317" s="1634">
        <f>'Base TY Budget'!E452</f>
        <v>10435.98</v>
      </c>
      <c r="D317" s="1634">
        <f>'Forecast TY Budget &amp; D-2.4 Adj'!E452</f>
        <v>7300</v>
      </c>
      <c r="E317" s="1588">
        <f t="shared" si="7"/>
        <v>-3135.9799999999996</v>
      </c>
    </row>
    <row r="318" spans="1:5" s="802" customFormat="1" x14ac:dyDescent="0.2">
      <c r="A318" s="1594" t="s">
        <v>2079</v>
      </c>
      <c r="B318" s="1111">
        <f>'Base TY Budget'!B453</f>
        <v>880</v>
      </c>
      <c r="C318" s="1634">
        <f>'Base TY Budget'!E453</f>
        <v>90869.15</v>
      </c>
      <c r="D318" s="1634">
        <f>'Forecast TY Budget &amp; D-2.4 Adj'!E453</f>
        <v>91237</v>
      </c>
      <c r="E318" s="1588">
        <f t="shared" si="7"/>
        <v>367.85000000000582</v>
      </c>
    </row>
    <row r="319" spans="1:5" s="802" customFormat="1" x14ac:dyDescent="0.2">
      <c r="A319" s="1594" t="s">
        <v>2079</v>
      </c>
      <c r="B319" s="1111">
        <f>'Base TY Budget'!B454</f>
        <v>886</v>
      </c>
      <c r="C319" s="1634">
        <f>'Base TY Budget'!E454</f>
        <v>158</v>
      </c>
      <c r="D319" s="1634">
        <f>'Forecast TY Budget &amp; D-2.4 Adj'!E454</f>
        <v>305</v>
      </c>
      <c r="E319" s="1588">
        <f t="shared" si="7"/>
        <v>147</v>
      </c>
    </row>
    <row r="320" spans="1:5" s="802" customFormat="1" x14ac:dyDescent="0.2">
      <c r="A320" s="1594" t="s">
        <v>2079</v>
      </c>
      <c r="B320" s="1111">
        <f>'Base TY Budget'!B455</f>
        <v>887</v>
      </c>
      <c r="C320" s="1634">
        <f>'Base TY Budget'!E455</f>
        <v>60954.46</v>
      </c>
      <c r="D320" s="1634">
        <f>'Forecast TY Budget &amp; D-2.4 Adj'!E455</f>
        <v>48901</v>
      </c>
      <c r="E320" s="1588">
        <f t="shared" si="7"/>
        <v>-12053.46</v>
      </c>
    </row>
    <row r="321" spans="1:9" s="802" customFormat="1" x14ac:dyDescent="0.2">
      <c r="A321" s="1594" t="s">
        <v>2079</v>
      </c>
      <c r="B321" s="1111">
        <f>'Base TY Budget'!B456</f>
        <v>889</v>
      </c>
      <c r="C321" s="1634">
        <f>'Base TY Budget'!E456</f>
        <v>550.03</v>
      </c>
      <c r="D321" s="1634">
        <f>'Forecast TY Budget &amp; D-2.4 Adj'!E456</f>
        <v>258</v>
      </c>
      <c r="E321" s="1588">
        <f t="shared" si="7"/>
        <v>-292.02999999999997</v>
      </c>
    </row>
    <row r="322" spans="1:9" s="802" customFormat="1" x14ac:dyDescent="0.2">
      <c r="A322" s="1594" t="s">
        <v>2079</v>
      </c>
      <c r="B322" s="1111">
        <f>'Base TY Budget'!B457</f>
        <v>890</v>
      </c>
      <c r="C322" s="1634">
        <f>'Base TY Budget'!E457</f>
        <v>0</v>
      </c>
      <c r="D322" s="1634">
        <f>'Forecast TY Budget &amp; D-2.4 Adj'!E457</f>
        <v>0</v>
      </c>
      <c r="E322" s="1588">
        <f t="shared" si="7"/>
        <v>0</v>
      </c>
    </row>
    <row r="323" spans="1:9" s="802" customFormat="1" x14ac:dyDescent="0.2">
      <c r="A323" s="1594" t="s">
        <v>2079</v>
      </c>
      <c r="B323" s="1111">
        <f>'Base TY Budget'!B458</f>
        <v>892</v>
      </c>
      <c r="C323" s="1634">
        <f>'Base TY Budget'!E458</f>
        <v>20172.419999999998</v>
      </c>
      <c r="D323" s="1634">
        <f>'Forecast TY Budget &amp; D-2.4 Adj'!E458</f>
        <v>14569</v>
      </c>
      <c r="E323" s="1588">
        <f t="shared" si="7"/>
        <v>-5603.4199999999983</v>
      </c>
    </row>
    <row r="324" spans="1:9" s="802" customFormat="1" x14ac:dyDescent="0.2">
      <c r="A324" s="1594" t="s">
        <v>2079</v>
      </c>
      <c r="B324" s="1111">
        <f>'Base TY Budget'!B459</f>
        <v>893</v>
      </c>
      <c r="C324" s="1634">
        <f>'Base TY Budget'!E459</f>
        <v>170.57</v>
      </c>
      <c r="D324" s="1634">
        <f>'Forecast TY Budget &amp; D-2.4 Adj'!E459</f>
        <v>97</v>
      </c>
      <c r="E324" s="1588">
        <f t="shared" si="7"/>
        <v>-73.569999999999993</v>
      </c>
    </row>
    <row r="325" spans="1:9" s="802" customFormat="1" x14ac:dyDescent="0.2">
      <c r="A325" s="1594" t="s">
        <v>2079</v>
      </c>
      <c r="B325" s="1111">
        <f>'Base TY Budget'!B460</f>
        <v>894</v>
      </c>
      <c r="C325" s="1634">
        <f>'Base TY Budget'!E460</f>
        <v>4783.6899999999996</v>
      </c>
      <c r="D325" s="1634">
        <f>'Forecast TY Budget &amp; D-2.4 Adj'!E460</f>
        <v>2171</v>
      </c>
      <c r="E325" s="1588">
        <f t="shared" si="7"/>
        <v>-2612.6899999999996</v>
      </c>
    </row>
    <row r="326" spans="1:9" s="802" customFormat="1" x14ac:dyDescent="0.2">
      <c r="A326" s="1594" t="s">
        <v>2079</v>
      </c>
      <c r="B326" s="1111">
        <f>'Base TY Budget'!B461</f>
        <v>902</v>
      </c>
      <c r="C326" s="1634">
        <f>'Base TY Budget'!E461</f>
        <v>178.29</v>
      </c>
      <c r="D326" s="1634">
        <f>'Forecast TY Budget &amp; D-2.4 Adj'!E461</f>
        <v>94</v>
      </c>
      <c r="E326" s="1588">
        <f t="shared" si="7"/>
        <v>-84.289999999999992</v>
      </c>
    </row>
    <row r="327" spans="1:9" s="802" customFormat="1" x14ac:dyDescent="0.2">
      <c r="A327" s="1594" t="s">
        <v>2079</v>
      </c>
      <c r="B327" s="1111">
        <f>'Base TY Budget'!B462</f>
        <v>903</v>
      </c>
      <c r="C327" s="1634">
        <f>'Base TY Budget'!E462</f>
        <v>1480.38</v>
      </c>
      <c r="D327" s="1634">
        <f>'Forecast TY Budget &amp; D-2.4 Adj'!E462</f>
        <v>859</v>
      </c>
      <c r="E327" s="1588">
        <f t="shared" si="7"/>
        <v>-621.38000000000011</v>
      </c>
    </row>
    <row r="328" spans="1:9" s="802" customFormat="1" x14ac:dyDescent="0.2">
      <c r="A328" s="1594" t="s">
        <v>2079</v>
      </c>
      <c r="B328" s="1111">
        <f>'Base TY Budget'!B463</f>
        <v>921</v>
      </c>
      <c r="C328" s="1634">
        <f>'Base TY Budget'!E463</f>
        <v>-112390.69</v>
      </c>
      <c r="D328" s="1634">
        <f>'Forecast TY Budget &amp; D-2.4 Adj'!E463</f>
        <v>572</v>
      </c>
      <c r="E328" s="1588">
        <f t="shared" si="7"/>
        <v>112962.69</v>
      </c>
    </row>
    <row r="329" spans="1:9" s="802" customFormat="1" x14ac:dyDescent="0.2">
      <c r="A329" s="1594"/>
      <c r="B329" s="1111"/>
      <c r="C329" s="1634"/>
      <c r="D329" s="1634"/>
      <c r="E329" s="1588"/>
    </row>
    <row r="330" spans="1:9" s="802" customFormat="1" x14ac:dyDescent="0.2">
      <c r="A330" s="1594"/>
      <c r="B330" s="1111"/>
      <c r="C330" s="1634"/>
      <c r="D330" s="1634"/>
      <c r="E330" s="1588"/>
    </row>
    <row r="331" spans="1:9" s="802" customFormat="1" x14ac:dyDescent="0.2">
      <c r="A331" s="1594" t="s">
        <v>2078</v>
      </c>
      <c r="B331" s="1111">
        <f>'Base TY Budget'!B466</f>
        <v>904</v>
      </c>
      <c r="C331" s="1634">
        <f>'Base TY Budget'!E466</f>
        <v>0</v>
      </c>
      <c r="D331" s="1634">
        <f>'Forecast TY Budget &amp; D-2.4 Adj'!E466</f>
        <v>0</v>
      </c>
      <c r="E331" s="1588">
        <f t="shared" si="7"/>
        <v>0</v>
      </c>
      <c r="I331" s="458"/>
    </row>
    <row r="332" spans="1:9" s="802" customFormat="1" x14ac:dyDescent="0.2">
      <c r="A332" s="1594"/>
      <c r="B332" s="1111"/>
      <c r="C332" s="1634"/>
      <c r="D332" s="1634"/>
      <c r="E332" s="1588"/>
      <c r="I332" s="458"/>
    </row>
    <row r="333" spans="1:9" s="802" customFormat="1" x14ac:dyDescent="0.2">
      <c r="A333" s="1594" t="s">
        <v>2082</v>
      </c>
      <c r="B333" s="1111">
        <f>'Base TY Budget'!B468</f>
        <v>904</v>
      </c>
      <c r="C333" s="1634">
        <f>'Base TY Budget'!E468</f>
        <v>0</v>
      </c>
      <c r="D333" s="1634">
        <f>'Forecast TY Budget &amp; D-2.4 Adj'!E468</f>
        <v>0</v>
      </c>
      <c r="E333" s="1588">
        <f t="shared" si="7"/>
        <v>0</v>
      </c>
      <c r="I333" s="458"/>
    </row>
    <row r="334" spans="1:9" x14ac:dyDescent="0.2">
      <c r="A334" s="1596"/>
      <c r="B334" s="1632"/>
      <c r="C334" s="1634"/>
      <c r="D334" s="1634"/>
      <c r="E334" s="1588"/>
    </row>
    <row r="335" spans="1:9" ht="12.75" x14ac:dyDescent="0.2">
      <c r="A335" s="1597"/>
      <c r="B335" s="1584"/>
      <c r="C335" s="833"/>
    </row>
    <row r="336" spans="1:9" x14ac:dyDescent="0.2">
      <c r="C336" s="834">
        <f>SUM(C8:C335)</f>
        <v>39066472.800000012</v>
      </c>
      <c r="D336" s="834">
        <f>SUM(D8:D335)</f>
        <v>44170009.439960003</v>
      </c>
      <c r="E336" s="834">
        <f>SUM(E8:E335)</f>
        <v>5103536.6399600022</v>
      </c>
    </row>
    <row r="337" spans="1:6" x14ac:dyDescent="0.2">
      <c r="C337" s="835"/>
      <c r="D337" s="835"/>
    </row>
    <row r="338" spans="1:6" x14ac:dyDescent="0.2">
      <c r="A338" s="1593"/>
      <c r="C338" s="2023"/>
      <c r="D338" s="2023"/>
      <c r="E338" s="2024"/>
      <c r="F338" s="1637"/>
    </row>
  </sheetData>
  <phoneticPr fontId="0" type="noConversion"/>
  <printOptions horizontalCentered="1"/>
  <pageMargins left="0" right="0" top="0.75" bottom="0" header="0.5" footer="0.5"/>
  <pageSetup scale="84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54">
    <pageSetUpPr fitToPage="1"/>
  </sheetPr>
  <dimension ref="A1:I26"/>
  <sheetViews>
    <sheetView zoomScaleNormal="100" zoomScaleSheetLayoutView="100" workbookViewId="0">
      <selection activeCell="C27" sqref="C27"/>
    </sheetView>
  </sheetViews>
  <sheetFormatPr defaultColWidth="9.83203125" defaultRowHeight="10.5" x14ac:dyDescent="0.15"/>
  <cols>
    <col min="1" max="1" width="25.6640625" style="573" customWidth="1"/>
    <col min="2" max="2" width="4.83203125" style="573" customWidth="1"/>
    <col min="3" max="3" width="84.5" style="573" bestFit="1" customWidth="1"/>
    <col min="4" max="9" width="9.83203125" style="573"/>
    <col min="10" max="10" width="9.83203125" style="573" customWidth="1"/>
    <col min="11" max="11" width="9.83203125" style="573"/>
    <col min="12" max="12" width="1.83203125" style="573" customWidth="1"/>
    <col min="13" max="13" width="7.83203125" style="573" customWidth="1"/>
    <col min="14" max="14" width="6.83203125" style="573" customWidth="1"/>
    <col min="15" max="16384" width="9.83203125" style="573"/>
  </cols>
  <sheetData>
    <row r="1" spans="1:3" ht="12.75" x14ac:dyDescent="0.2">
      <c r="A1" s="240" t="s">
        <v>1006</v>
      </c>
      <c r="B1" s="241"/>
      <c r="C1" s="241"/>
    </row>
    <row r="2" spans="1:3" ht="12.75" x14ac:dyDescent="0.2">
      <c r="A2" s="241"/>
      <c r="B2" s="241"/>
      <c r="C2" s="241"/>
    </row>
    <row r="3" spans="1:3" ht="12.75" x14ac:dyDescent="0.2">
      <c r="A3" s="2055" t="s">
        <v>1289</v>
      </c>
      <c r="B3" s="2055"/>
      <c r="C3" s="2055"/>
    </row>
    <row r="4" spans="1:3" ht="12.75" x14ac:dyDescent="0.2">
      <c r="A4" s="241"/>
      <c r="B4" s="241"/>
      <c r="C4" s="241"/>
    </row>
    <row r="5" spans="1:3" ht="12.75" x14ac:dyDescent="0.2">
      <c r="A5" s="2055" t="s">
        <v>1290</v>
      </c>
      <c r="B5" s="2055"/>
      <c r="C5" s="2055"/>
    </row>
    <row r="6" spans="1:3" ht="12.75" x14ac:dyDescent="0.2">
      <c r="A6" s="241"/>
      <c r="B6" s="241"/>
      <c r="C6" s="241"/>
    </row>
    <row r="7" spans="1:3" ht="12.75" x14ac:dyDescent="0.2">
      <c r="A7" s="2055" t="s">
        <v>624</v>
      </c>
      <c r="B7" s="2055"/>
      <c r="C7" s="2055"/>
    </row>
    <row r="8" spans="1:3" ht="12.75" x14ac:dyDescent="0.2">
      <c r="A8" s="241"/>
      <c r="B8" s="241"/>
      <c r="C8" s="241"/>
    </row>
    <row r="9" spans="1:3" ht="12.75" x14ac:dyDescent="0.2">
      <c r="A9" s="2055" t="str">
        <f>case</f>
        <v>CASE NO. 2016 - 00162</v>
      </c>
      <c r="B9" s="2055"/>
      <c r="C9" s="2055"/>
    </row>
    <row r="10" spans="1:3" ht="12.75" x14ac:dyDescent="0.2">
      <c r="A10" s="241"/>
      <c r="B10" s="241"/>
      <c r="C10" s="241"/>
    </row>
    <row r="11" spans="1:3" ht="12.75" x14ac:dyDescent="0.2">
      <c r="A11" s="241"/>
      <c r="B11" s="241"/>
      <c r="C11" s="241"/>
    </row>
    <row r="12" spans="1:3" ht="12.75" x14ac:dyDescent="0.2">
      <c r="A12" s="241"/>
      <c r="B12" s="241"/>
      <c r="C12" s="241"/>
    </row>
    <row r="13" spans="1:3" ht="12.75" x14ac:dyDescent="0.2">
      <c r="A13" s="242" t="s">
        <v>1252</v>
      </c>
      <c r="B13" s="241"/>
      <c r="C13" s="242" t="str">
        <f>base</f>
        <v>FOR THE TWELVE MONTHS ENDED AUGUST 31, 2016</v>
      </c>
    </row>
    <row r="14" spans="1:3" ht="12.75" x14ac:dyDescent="0.2">
      <c r="A14" s="241"/>
      <c r="B14" s="241"/>
      <c r="C14" s="241"/>
    </row>
    <row r="15" spans="1:3" ht="12.75" x14ac:dyDescent="0.2">
      <c r="A15" s="242" t="s">
        <v>1253</v>
      </c>
      <c r="B15" s="241"/>
      <c r="C15" s="242" t="str">
        <f>forecast</f>
        <v>FOR THE TWELVE MONTHS ENDED DECEMBER 31, 2017</v>
      </c>
    </row>
    <row r="16" spans="1:3" ht="12.75" x14ac:dyDescent="0.2">
      <c r="A16" s="241"/>
      <c r="B16" s="241"/>
      <c r="C16" s="241"/>
    </row>
    <row r="17" spans="1:9" ht="12.75" x14ac:dyDescent="0.2">
      <c r="A17" s="241"/>
      <c r="B17" s="241"/>
      <c r="C17" s="241"/>
    </row>
    <row r="18" spans="1:9" ht="12.75" x14ac:dyDescent="0.2">
      <c r="A18" s="243" t="s">
        <v>633</v>
      </c>
      <c r="B18" s="244"/>
      <c r="C18" s="245" t="s">
        <v>778</v>
      </c>
      <c r="D18" s="574"/>
      <c r="E18" s="574"/>
      <c r="F18" s="574"/>
      <c r="G18" s="574"/>
      <c r="H18" s="574"/>
      <c r="I18" s="574"/>
    </row>
    <row r="19" spans="1:9" ht="12.75" x14ac:dyDescent="0.2">
      <c r="A19" s="241"/>
      <c r="B19" s="241"/>
      <c r="C19" s="241"/>
    </row>
    <row r="20" spans="1:9" ht="12.75" x14ac:dyDescent="0.2">
      <c r="A20" s="241"/>
      <c r="B20" s="241"/>
      <c r="C20" s="241"/>
    </row>
    <row r="21" spans="1:9" ht="12.75" x14ac:dyDescent="0.2">
      <c r="A21" s="246" t="s">
        <v>1291</v>
      </c>
      <c r="B21" s="247"/>
      <c r="C21" s="246" t="s">
        <v>1292</v>
      </c>
    </row>
    <row r="22" spans="1:9" ht="12.75" x14ac:dyDescent="0.2">
      <c r="A22" s="246" t="s">
        <v>1293</v>
      </c>
      <c r="B22" s="247"/>
      <c r="C22" s="246" t="s">
        <v>1294</v>
      </c>
    </row>
    <row r="23" spans="1:9" ht="12.75" x14ac:dyDescent="0.2">
      <c r="A23" s="246" t="s">
        <v>1295</v>
      </c>
      <c r="B23" s="247"/>
      <c r="C23" s="246" t="s">
        <v>1294</v>
      </c>
    </row>
    <row r="24" spans="1:9" ht="12.75" x14ac:dyDescent="0.2">
      <c r="A24" s="246" t="s">
        <v>1296</v>
      </c>
      <c r="B24" s="247"/>
      <c r="C24" s="246" t="s">
        <v>1294</v>
      </c>
    </row>
    <row r="25" spans="1:9" ht="12.75" x14ac:dyDescent="0.2">
      <c r="A25" s="246" t="s">
        <v>1297</v>
      </c>
      <c r="B25" s="247"/>
      <c r="C25" s="246" t="s">
        <v>1294</v>
      </c>
    </row>
    <row r="26" spans="1:9" ht="12.75" x14ac:dyDescent="0.2">
      <c r="A26" s="241"/>
      <c r="B26" s="241"/>
      <c r="C26" s="241"/>
    </row>
  </sheetData>
  <mergeCells count="4">
    <mergeCell ref="A3:C3"/>
    <mergeCell ref="A5:C5"/>
    <mergeCell ref="A7:C7"/>
    <mergeCell ref="A9:C9"/>
  </mergeCells>
  <phoneticPr fontId="0" type="noConversion"/>
  <printOptions horizontalCentered="1"/>
  <pageMargins left="1" right="1" top="1" bottom="1" header="0.5" footer="0.5"/>
  <pageSetup scale="91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transitionEntry="1" codeName="Sheet55"/>
  <dimension ref="A1:AA302"/>
  <sheetViews>
    <sheetView zoomScale="90" zoomScaleNormal="90" zoomScaleSheetLayoutView="80" workbookViewId="0">
      <selection activeCell="S123" sqref="S123"/>
    </sheetView>
  </sheetViews>
  <sheetFormatPr defaultColWidth="8.33203125" defaultRowHeight="12" x14ac:dyDescent="0.2"/>
  <cols>
    <col min="1" max="1" width="5" style="723" customWidth="1"/>
    <col min="2" max="2" width="4.5" style="726" customWidth="1"/>
    <col min="3" max="3" width="54.1640625" style="723" customWidth="1"/>
    <col min="4" max="4" width="13.5" style="723" bestFit="1" customWidth="1"/>
    <col min="5" max="5" width="11" style="723" bestFit="1" customWidth="1"/>
    <col min="6" max="6" width="11.6640625" style="730" bestFit="1" customWidth="1"/>
    <col min="7" max="7" width="12.83203125" style="730" bestFit="1" customWidth="1"/>
    <col min="8" max="8" width="10.1640625" style="730" customWidth="1"/>
    <col min="9" max="9" width="10.33203125" style="730" bestFit="1" customWidth="1"/>
    <col min="10" max="11" width="8.83203125" style="730" bestFit="1" customWidth="1"/>
    <col min="12" max="12" width="12.1640625" style="730" bestFit="1" customWidth="1"/>
    <col min="13" max="13" width="14.1640625" style="730" bestFit="1" customWidth="1"/>
    <col min="14" max="14" width="16.1640625" style="730" bestFit="1" customWidth="1"/>
    <col min="15" max="15" width="14.1640625" style="730" customWidth="1"/>
    <col min="16" max="16" width="1.6640625" style="723" customWidth="1"/>
    <col min="17" max="17" width="1.83203125" style="723" customWidth="1"/>
    <col min="18" max="18" width="1.6640625" style="723" customWidth="1"/>
    <col min="19" max="19" width="18" style="723" customWidth="1"/>
    <col min="20" max="20" width="1.6640625" style="723" customWidth="1"/>
    <col min="21" max="21" width="19.1640625" style="723" customWidth="1"/>
    <col min="22" max="22" width="1.6640625" style="723" customWidth="1"/>
    <col min="23" max="23" width="11.6640625" style="723" bestFit="1" customWidth="1"/>
    <col min="24" max="24" width="1.6640625" style="723" customWidth="1"/>
    <col min="25" max="25" width="10" style="723" customWidth="1"/>
    <col min="26" max="26" width="8.33203125" style="723"/>
    <col min="27" max="27" width="13.33203125" style="723" customWidth="1"/>
    <col min="28" max="28" width="10" style="723" customWidth="1"/>
    <col min="29" max="16384" width="8.33203125" style="723"/>
  </cols>
  <sheetData>
    <row r="1" spans="1:27" x14ac:dyDescent="0.2">
      <c r="A1" s="2156" t="s">
        <v>624</v>
      </c>
      <c r="B1" s="2156"/>
      <c r="C1" s="2156"/>
      <c r="D1" s="2156"/>
      <c r="E1" s="2156"/>
      <c r="F1" s="2156"/>
      <c r="G1" s="2156"/>
      <c r="H1" s="2156"/>
      <c r="I1" s="2156"/>
      <c r="J1" s="2156"/>
      <c r="K1" s="2156"/>
      <c r="L1" s="2156"/>
      <c r="M1" s="2156"/>
      <c r="N1" s="2156"/>
      <c r="O1" s="2156"/>
    </row>
    <row r="2" spans="1:27" x14ac:dyDescent="0.2">
      <c r="A2" s="2155" t="str">
        <f>case</f>
        <v>CASE NO. 2016 - 00162</v>
      </c>
      <c r="B2" s="2155"/>
      <c r="C2" s="2155"/>
      <c r="D2" s="2155"/>
      <c r="E2" s="2155"/>
      <c r="F2" s="2155"/>
      <c r="G2" s="2155"/>
      <c r="H2" s="2155"/>
      <c r="I2" s="2155"/>
      <c r="J2" s="2155"/>
      <c r="K2" s="2155"/>
      <c r="L2" s="2155"/>
      <c r="M2" s="2155"/>
      <c r="N2" s="2155"/>
      <c r="O2" s="2155"/>
    </row>
    <row r="3" spans="1:27" x14ac:dyDescent="0.2">
      <c r="A3" s="2156" t="s">
        <v>1600</v>
      </c>
      <c r="B3" s="2156"/>
      <c r="C3" s="2156"/>
      <c r="D3" s="2156"/>
      <c r="E3" s="2156"/>
      <c r="F3" s="2156"/>
      <c r="G3" s="2156"/>
      <c r="H3" s="2156"/>
      <c r="I3" s="2156"/>
      <c r="J3" s="2156"/>
      <c r="K3" s="2156"/>
      <c r="L3" s="2156"/>
      <c r="M3" s="2156"/>
      <c r="N3" s="2156"/>
      <c r="O3" s="2156"/>
    </row>
    <row r="4" spans="1:27" x14ac:dyDescent="0.2">
      <c r="A4" s="2156" t="s">
        <v>1601</v>
      </c>
      <c r="B4" s="2156"/>
      <c r="C4" s="2156"/>
      <c r="D4" s="2156"/>
      <c r="E4" s="2156"/>
      <c r="F4" s="2156"/>
      <c r="G4" s="2156"/>
      <c r="H4" s="2156"/>
      <c r="I4" s="2156"/>
      <c r="J4" s="2156"/>
      <c r="K4" s="2156"/>
      <c r="L4" s="2156"/>
      <c r="M4" s="2156"/>
      <c r="N4" s="2156"/>
      <c r="O4" s="2156"/>
    </row>
    <row r="5" spans="1:27" ht="12.75" customHeight="1" x14ac:dyDescent="0.2">
      <c r="A5" s="2158" t="s">
        <v>2042</v>
      </c>
      <c r="B5" s="2158"/>
      <c r="C5" s="2158"/>
      <c r="D5" s="2158"/>
      <c r="E5" s="2158"/>
      <c r="F5" s="2158"/>
      <c r="G5" s="2158"/>
      <c r="H5" s="2158"/>
      <c r="I5" s="2158"/>
      <c r="J5" s="2158"/>
      <c r="K5" s="2158"/>
      <c r="L5" s="2158"/>
      <c r="M5" s="2158"/>
      <c r="N5" s="2158"/>
      <c r="O5" s="2158"/>
    </row>
    <row r="6" spans="1:27" x14ac:dyDescent="0.2">
      <c r="A6" s="725" t="s">
        <v>1602</v>
      </c>
      <c r="O6" s="1413" t="s">
        <v>1603</v>
      </c>
    </row>
    <row r="7" spans="1:27" x14ac:dyDescent="0.2">
      <c r="A7" s="725" t="s">
        <v>1604</v>
      </c>
      <c r="O7" s="1413" t="s">
        <v>1605</v>
      </c>
    </row>
    <row r="8" spans="1:27" x14ac:dyDescent="0.2">
      <c r="A8" s="727" t="s">
        <v>1606</v>
      </c>
      <c r="B8" s="728"/>
      <c r="C8" s="729"/>
      <c r="D8" s="729"/>
      <c r="E8" s="729"/>
      <c r="F8" s="759"/>
      <c r="G8" s="759"/>
      <c r="H8" s="759"/>
      <c r="I8" s="759"/>
      <c r="J8" s="759"/>
      <c r="K8" s="759"/>
      <c r="L8" s="759"/>
      <c r="M8" s="759"/>
      <c r="N8" s="759"/>
      <c r="O8" s="1415" t="str">
        <f>JTC</f>
        <v>WITNESS:  J. T. CROOM</v>
      </c>
    </row>
    <row r="9" spans="1:27" x14ac:dyDescent="0.2">
      <c r="D9" s="730"/>
      <c r="E9" s="730"/>
      <c r="AA9" s="731"/>
    </row>
    <row r="10" spans="1:27" x14ac:dyDescent="0.2">
      <c r="A10" s="731" t="s">
        <v>632</v>
      </c>
      <c r="B10" s="732" t="s">
        <v>1607</v>
      </c>
      <c r="D10" s="733" t="s">
        <v>634</v>
      </c>
      <c r="E10" s="734" t="s">
        <v>1293</v>
      </c>
      <c r="F10" s="734" t="s">
        <v>1293</v>
      </c>
      <c r="G10" s="734" t="s">
        <v>1293</v>
      </c>
      <c r="H10" s="758"/>
      <c r="I10" s="758"/>
      <c r="J10" s="758"/>
      <c r="K10" s="758"/>
      <c r="L10" s="758"/>
      <c r="M10" s="758"/>
      <c r="N10" s="734" t="s">
        <v>1297</v>
      </c>
      <c r="O10" s="734" t="s">
        <v>670</v>
      </c>
      <c r="AA10" s="731"/>
    </row>
    <row r="11" spans="1:27" x14ac:dyDescent="0.2">
      <c r="A11" s="735" t="s">
        <v>635</v>
      </c>
      <c r="B11" s="736" t="s">
        <v>1608</v>
      </c>
      <c r="C11" s="729"/>
      <c r="D11" s="737" t="s">
        <v>638</v>
      </c>
      <c r="E11" s="737" t="s">
        <v>1609</v>
      </c>
      <c r="F11" s="737" t="s">
        <v>1610</v>
      </c>
      <c r="G11" s="737" t="s">
        <v>1611</v>
      </c>
      <c r="H11" s="759"/>
      <c r="I11" s="759"/>
      <c r="J11" s="759"/>
      <c r="K11" s="759"/>
      <c r="L11" s="759"/>
      <c r="M11" s="759"/>
      <c r="N11" s="737" t="s">
        <v>1609</v>
      </c>
      <c r="O11" s="737" t="s">
        <v>1612</v>
      </c>
    </row>
    <row r="12" spans="1:27" x14ac:dyDescent="0.2">
      <c r="D12" s="730"/>
      <c r="E12" s="730"/>
      <c r="S12" s="757"/>
      <c r="U12" s="757"/>
      <c r="W12" s="757">
        <f>S12-U12</f>
        <v>0</v>
      </c>
      <c r="AA12" s="738"/>
    </row>
    <row r="13" spans="1:27" x14ac:dyDescent="0.2">
      <c r="A13" s="739">
        <v>1</v>
      </c>
      <c r="B13" s="740" t="s">
        <v>1613</v>
      </c>
      <c r="D13" s="730"/>
      <c r="E13" s="730"/>
      <c r="AA13" s="738"/>
    </row>
    <row r="14" spans="1:27" x14ac:dyDescent="0.2">
      <c r="A14" s="731">
        <f>A13+1</f>
        <v>2</v>
      </c>
      <c r="B14" s="740" t="s">
        <v>1614</v>
      </c>
      <c r="D14" s="741">
        <f>-'Total Co Accts Activ C2.2A'!P18</f>
        <v>50027627.229999997</v>
      </c>
      <c r="E14" s="741">
        <f>-'Total Co Accts Activ C2.2B'!P18+'Total Co Accts Activ C2.2A'!P18</f>
        <v>-394046.93999999762</v>
      </c>
      <c r="F14" s="741"/>
      <c r="G14" s="741"/>
      <c r="H14" s="741"/>
      <c r="I14" s="741"/>
      <c r="J14" s="741"/>
      <c r="K14" s="741"/>
      <c r="L14" s="741"/>
      <c r="M14" s="741"/>
      <c r="N14" s="708">
        <v>62481</v>
      </c>
      <c r="O14" s="741">
        <f>SUM(E14:N14)</f>
        <v>-331565.93999999762</v>
      </c>
      <c r="P14" s="738"/>
      <c r="Q14" s="738"/>
      <c r="R14" s="738"/>
      <c r="S14" s="738"/>
      <c r="T14" s="738"/>
      <c r="U14" s="738"/>
      <c r="V14" s="738"/>
      <c r="W14" s="738"/>
      <c r="X14" s="738"/>
      <c r="Y14" s="738"/>
      <c r="AA14" s="738"/>
    </row>
    <row r="15" spans="1:27" x14ac:dyDescent="0.2">
      <c r="A15" s="731">
        <f>A14+1</f>
        <v>3</v>
      </c>
      <c r="B15" s="740" t="s">
        <v>1615</v>
      </c>
      <c r="D15" s="741">
        <f>-'Total Co Accts Activ C2.2A'!P19</f>
        <v>18619386.41</v>
      </c>
      <c r="E15" s="741">
        <f>-'Total Co Accts Activ C2.2B'!P19+'Total Co Accts Activ C2.2A'!P19</f>
        <v>-130051.08000000194</v>
      </c>
      <c r="F15" s="741"/>
      <c r="G15" s="741"/>
      <c r="H15" s="741"/>
      <c r="I15" s="741"/>
      <c r="J15" s="741"/>
      <c r="K15" s="741"/>
      <c r="L15" s="741"/>
      <c r="M15" s="741"/>
      <c r="N15" s="708">
        <v>30982</v>
      </c>
      <c r="O15" s="741">
        <f>SUM(E15:N15)</f>
        <v>-99069.080000001937</v>
      </c>
      <c r="P15" s="738"/>
      <c r="Q15" s="738"/>
      <c r="R15" s="738"/>
      <c r="S15" s="738"/>
      <c r="T15" s="738"/>
      <c r="U15" s="738"/>
      <c r="V15" s="738"/>
      <c r="W15" s="738"/>
      <c r="X15" s="738"/>
      <c r="Y15" s="738"/>
      <c r="AA15" s="738"/>
    </row>
    <row r="16" spans="1:27" x14ac:dyDescent="0.2">
      <c r="A16" s="731">
        <f>A15+1</f>
        <v>4</v>
      </c>
      <c r="B16" s="740" t="s">
        <v>1616</v>
      </c>
      <c r="D16" s="741">
        <f>-'Total Co Accts Activ C2.2A'!P20</f>
        <v>938767.47</v>
      </c>
      <c r="E16" s="741">
        <f>-'Total Co Accts Activ C2.2B'!P20+'Total Co Accts Activ C2.2A'!P20</f>
        <v>468531.61999999988</v>
      </c>
      <c r="F16" s="741"/>
      <c r="G16" s="741"/>
      <c r="H16" s="741"/>
      <c r="I16" s="741"/>
      <c r="J16" s="741"/>
      <c r="K16" s="741"/>
      <c r="L16" s="741"/>
      <c r="M16" s="741"/>
      <c r="N16" s="708">
        <v>3603</v>
      </c>
      <c r="O16" s="741">
        <f>SUM(E16:N16)</f>
        <v>472134.61999999988</v>
      </c>
      <c r="P16" s="738"/>
      <c r="Q16" s="738"/>
      <c r="R16" s="738"/>
      <c r="S16" s="738"/>
      <c r="T16" s="738"/>
      <c r="U16" s="738"/>
      <c r="V16" s="738"/>
      <c r="W16" s="738"/>
      <c r="X16" s="738"/>
      <c r="Y16" s="738"/>
      <c r="AA16" s="738"/>
    </row>
    <row r="17" spans="1:27" x14ac:dyDescent="0.2">
      <c r="A17" s="731">
        <f>A16+1</f>
        <v>5</v>
      </c>
      <c r="B17" s="740" t="s">
        <v>1617</v>
      </c>
      <c r="D17" s="742">
        <f>-'Total Co Accts Activ C2.2A'!P21</f>
        <v>43030.970000000008</v>
      </c>
      <c r="E17" s="742">
        <f>-'Total Co Accts Activ C2.2B'!P21+'Total Co Accts Activ C2.2A'!P21</f>
        <v>4680.1500000000015</v>
      </c>
      <c r="F17" s="742"/>
      <c r="G17" s="742"/>
      <c r="H17" s="742"/>
      <c r="I17" s="742"/>
      <c r="J17" s="742"/>
      <c r="K17" s="742"/>
      <c r="L17" s="742"/>
      <c r="M17" s="742"/>
      <c r="N17" s="1874">
        <v>113</v>
      </c>
      <c r="O17" s="742">
        <f>SUM(E17:N17)</f>
        <v>4793.1500000000015</v>
      </c>
      <c r="P17" s="738"/>
      <c r="Q17" s="738"/>
      <c r="R17" s="738"/>
      <c r="S17" s="738"/>
      <c r="T17" s="738"/>
      <c r="U17" s="738"/>
      <c r="V17" s="738"/>
      <c r="W17" s="738"/>
      <c r="X17" s="738"/>
      <c r="Y17" s="738"/>
      <c r="AA17" s="738"/>
    </row>
    <row r="18" spans="1:27" x14ac:dyDescent="0.2">
      <c r="A18" s="731">
        <f>A17+1</f>
        <v>6</v>
      </c>
      <c r="B18" s="740" t="s">
        <v>1618</v>
      </c>
      <c r="D18" s="738">
        <f t="shared" ref="D18:N18" si="0">SUM(D14:D17)</f>
        <v>69628812.079999998</v>
      </c>
      <c r="E18" s="738">
        <f t="shared" si="0"/>
        <v>-50886.249999999673</v>
      </c>
      <c r="F18" s="741">
        <f t="shared" si="0"/>
        <v>0</v>
      </c>
      <c r="G18" s="741">
        <f t="shared" si="0"/>
        <v>0</v>
      </c>
      <c r="H18" s="741">
        <f t="shared" si="0"/>
        <v>0</v>
      </c>
      <c r="I18" s="741">
        <f t="shared" si="0"/>
        <v>0</v>
      </c>
      <c r="J18" s="741">
        <f t="shared" si="0"/>
        <v>0</v>
      </c>
      <c r="K18" s="741">
        <f t="shared" si="0"/>
        <v>0</v>
      </c>
      <c r="L18" s="741">
        <f t="shared" si="0"/>
        <v>0</v>
      </c>
      <c r="M18" s="741">
        <f t="shared" si="0"/>
        <v>0</v>
      </c>
      <c r="N18" s="741">
        <f t="shared" si="0"/>
        <v>97179</v>
      </c>
      <c r="O18" s="741">
        <f>SUM(E18:N18)</f>
        <v>46292.750000000327</v>
      </c>
      <c r="P18" s="738"/>
      <c r="Q18" s="738"/>
      <c r="R18" s="738"/>
      <c r="S18" s="738"/>
      <c r="T18" s="738"/>
      <c r="U18" s="738"/>
      <c r="V18" s="738"/>
      <c r="W18" s="738"/>
      <c r="X18" s="738"/>
      <c r="Y18" s="738"/>
      <c r="AA18" s="738"/>
    </row>
    <row r="19" spans="1:27" x14ac:dyDescent="0.2">
      <c r="A19" s="731"/>
      <c r="D19" s="738"/>
      <c r="E19" s="738"/>
      <c r="F19" s="741"/>
      <c r="G19" s="741"/>
      <c r="H19" s="741"/>
      <c r="I19" s="741"/>
      <c r="J19" s="741"/>
      <c r="K19" s="741"/>
      <c r="L19" s="741"/>
      <c r="M19" s="741"/>
      <c r="N19" s="741"/>
      <c r="O19" s="741"/>
      <c r="P19" s="738"/>
      <c r="Q19" s="738"/>
      <c r="R19" s="738"/>
      <c r="S19" s="738"/>
      <c r="T19" s="738"/>
      <c r="U19" s="738"/>
      <c r="V19" s="738"/>
      <c r="W19" s="738"/>
      <c r="X19" s="738"/>
      <c r="Y19" s="738"/>
    </row>
    <row r="20" spans="1:27" x14ac:dyDescent="0.2">
      <c r="A20" s="731">
        <f>A18+1</f>
        <v>7</v>
      </c>
      <c r="B20" s="740" t="s">
        <v>1619</v>
      </c>
      <c r="D20" s="738"/>
      <c r="E20" s="738"/>
      <c r="F20" s="741"/>
      <c r="G20" s="741"/>
      <c r="H20" s="741"/>
      <c r="I20" s="741"/>
      <c r="J20" s="741"/>
      <c r="K20" s="741"/>
      <c r="L20" s="741"/>
      <c r="M20" s="741"/>
      <c r="N20" s="741"/>
      <c r="O20" s="741"/>
      <c r="P20" s="738"/>
      <c r="Q20" s="738"/>
      <c r="R20" s="738"/>
      <c r="S20" s="738"/>
      <c r="T20" s="738"/>
      <c r="U20" s="738"/>
      <c r="V20" s="738"/>
      <c r="W20" s="738"/>
      <c r="X20" s="738"/>
      <c r="Y20" s="738"/>
    </row>
    <row r="21" spans="1:27" x14ac:dyDescent="0.2">
      <c r="A21" s="731">
        <f>A20+1</f>
        <v>8</v>
      </c>
      <c r="B21" s="740" t="s">
        <v>1620</v>
      </c>
      <c r="D21" s="741">
        <f>-'Total Co Accts Activ C2.2A'!P22</f>
        <v>434815.49</v>
      </c>
      <c r="E21" s="744"/>
      <c r="F21" s="741">
        <f>-'Total Co Accts Activ C2.2B'!P22+'Total Co Accts Activ C2.2A'!P22</f>
        <v>41184.510000000009</v>
      </c>
      <c r="G21" s="741"/>
      <c r="H21" s="741"/>
      <c r="I21" s="741"/>
      <c r="J21" s="741"/>
      <c r="K21" s="741"/>
      <c r="L21" s="741"/>
      <c r="M21" s="741"/>
      <c r="N21" s="741"/>
      <c r="O21" s="741">
        <f>SUM(E21:N21)</f>
        <v>41184.510000000009</v>
      </c>
      <c r="P21" s="738"/>
      <c r="Q21" s="738"/>
      <c r="R21" s="738"/>
      <c r="S21" s="738"/>
      <c r="T21" s="738"/>
      <c r="U21" s="738"/>
      <c r="V21" s="738"/>
      <c r="W21" s="738"/>
      <c r="X21" s="738"/>
      <c r="Y21" s="738"/>
      <c r="AA21" s="738"/>
    </row>
    <row r="22" spans="1:27" x14ac:dyDescent="0.2">
      <c r="A22" s="731">
        <f>A21+1</f>
        <v>9</v>
      </c>
      <c r="B22" s="740" t="s">
        <v>1621</v>
      </c>
      <c r="D22" s="741">
        <f>-'Total Co Accts Activ C2.2A'!P23</f>
        <v>136923.37</v>
      </c>
      <c r="E22" s="744"/>
      <c r="F22" s="741">
        <f>-'Total Co Accts Activ C2.2B'!P23+'Total Co Accts Activ C2.2A'!P23</f>
        <v>76.630000000004657</v>
      </c>
      <c r="G22" s="741"/>
      <c r="H22" s="741"/>
      <c r="I22" s="741"/>
      <c r="J22" s="741"/>
      <c r="K22" s="741"/>
      <c r="L22" s="741"/>
      <c r="M22" s="741"/>
      <c r="N22" s="741"/>
      <c r="O22" s="741">
        <f>SUM(E22:N22)</f>
        <v>76.630000000004657</v>
      </c>
      <c r="P22" s="738"/>
      <c r="Q22" s="738"/>
      <c r="R22" s="738"/>
      <c r="S22" s="738"/>
      <c r="T22" s="738"/>
      <c r="U22" s="738"/>
      <c r="V22" s="738"/>
      <c r="W22" s="738"/>
      <c r="X22" s="738"/>
      <c r="Y22" s="738"/>
      <c r="AA22" s="738"/>
    </row>
    <row r="23" spans="1:27" x14ac:dyDescent="0.2">
      <c r="A23" s="731">
        <f>A22+1</f>
        <v>10</v>
      </c>
      <c r="B23" s="740" t="s">
        <v>1622</v>
      </c>
      <c r="D23" s="745">
        <f>-'Total Co Accts Activ C2.2A'!P24</f>
        <v>21950546.569999997</v>
      </c>
      <c r="E23" s="746"/>
      <c r="F23" s="745">
        <f>-'Total Co Accts Activ C2.2B'!P24+'Total Co Accts Activ C2.2A'!P24</f>
        <v>-143484.32999999821</v>
      </c>
      <c r="G23" s="745"/>
      <c r="H23" s="745"/>
      <c r="I23" s="745"/>
      <c r="J23" s="745"/>
      <c r="K23" s="745"/>
      <c r="L23" s="745"/>
      <c r="M23" s="745"/>
      <c r="N23" s="745"/>
      <c r="O23" s="745">
        <f>SUM(E23:N23)</f>
        <v>-143484.32999999821</v>
      </c>
      <c r="P23" s="738"/>
      <c r="Q23" s="738"/>
      <c r="R23" s="738"/>
      <c r="S23" s="738"/>
      <c r="T23" s="738"/>
      <c r="U23" s="738"/>
      <c r="V23" s="738"/>
      <c r="W23" s="738"/>
      <c r="X23" s="738"/>
      <c r="Y23" s="738"/>
      <c r="AA23" s="738"/>
    </row>
    <row r="24" spans="1:27" x14ac:dyDescent="0.2">
      <c r="A24" s="731">
        <f>A23+1</f>
        <v>11</v>
      </c>
      <c r="B24" s="740" t="s">
        <v>1623</v>
      </c>
      <c r="D24" s="745">
        <f>-'Total Co Accts Activ C2.2A'!P25</f>
        <v>70753.459999999992</v>
      </c>
      <c r="E24" s="746"/>
      <c r="F24" s="745">
        <f>-'Total Co Accts Activ C2.2B'!P25+'Total Co Accts Activ C2.2A'!P25</f>
        <v>1246.5400000000081</v>
      </c>
      <c r="G24" s="745"/>
      <c r="H24" s="745"/>
      <c r="I24" s="745"/>
      <c r="J24" s="745"/>
      <c r="K24" s="745"/>
      <c r="L24" s="745"/>
      <c r="M24" s="745"/>
      <c r="N24" s="745"/>
      <c r="O24" s="745">
        <f>SUM(E24:N24)</f>
        <v>1246.5400000000081</v>
      </c>
      <c r="P24" s="738"/>
      <c r="Q24" s="738"/>
      <c r="R24" s="738"/>
      <c r="S24" s="738"/>
      <c r="T24" s="738"/>
      <c r="U24" s="738"/>
      <c r="V24" s="738"/>
      <c r="W24" s="738"/>
      <c r="X24" s="738"/>
      <c r="Y24" s="738"/>
      <c r="AA24" s="738"/>
    </row>
    <row r="25" spans="1:27" x14ac:dyDescent="0.2">
      <c r="A25" s="731">
        <f>A24+1</f>
        <v>12</v>
      </c>
      <c r="B25" s="740" t="s">
        <v>1624</v>
      </c>
      <c r="D25" s="745">
        <f>-'Total Co Accts Activ C2.2A'!P26</f>
        <v>9821332.8899999987</v>
      </c>
      <c r="E25" s="746"/>
      <c r="F25" s="745">
        <f>-'Total Co Accts Activ C2.2B'!P26+'Total Co Accts Activ C2.2A'!P26</f>
        <v>-9306332.8899999987</v>
      </c>
      <c r="G25" s="745"/>
      <c r="H25" s="745"/>
      <c r="I25" s="745"/>
      <c r="J25" s="745"/>
      <c r="K25" s="745"/>
      <c r="L25" s="745"/>
      <c r="M25" s="745"/>
      <c r="N25" s="745"/>
      <c r="O25" s="745">
        <f>F25</f>
        <v>-9306332.8899999987</v>
      </c>
      <c r="P25" s="738"/>
      <c r="Q25" s="738"/>
      <c r="R25" s="738"/>
      <c r="S25" s="738"/>
      <c r="T25" s="738"/>
      <c r="U25" s="738"/>
      <c r="V25" s="738"/>
      <c r="W25" s="738"/>
      <c r="X25" s="738"/>
      <c r="Y25" s="738"/>
      <c r="AA25" s="738"/>
    </row>
    <row r="26" spans="1:27" x14ac:dyDescent="0.2">
      <c r="A26" s="731"/>
      <c r="D26" s="741"/>
      <c r="E26" s="741"/>
      <c r="F26" s="741"/>
      <c r="G26" s="741"/>
      <c r="H26" s="741"/>
      <c r="I26" s="741"/>
      <c r="J26" s="741"/>
      <c r="K26" s="741"/>
      <c r="L26" s="741"/>
      <c r="M26" s="741"/>
      <c r="N26" s="741"/>
      <c r="O26" s="741"/>
      <c r="P26" s="738"/>
      <c r="Q26" s="738"/>
      <c r="R26" s="738"/>
      <c r="S26" s="738"/>
      <c r="T26" s="738"/>
      <c r="U26" s="738"/>
      <c r="V26" s="738"/>
      <c r="W26" s="738"/>
      <c r="X26" s="738"/>
      <c r="Y26" s="738"/>
    </row>
    <row r="27" spans="1:27" x14ac:dyDescent="0.2">
      <c r="A27" s="731">
        <f>A25+1</f>
        <v>13</v>
      </c>
      <c r="B27" s="740" t="s">
        <v>1372</v>
      </c>
      <c r="D27" s="742">
        <f>SUM(D21:D25)</f>
        <v>32414371.779999994</v>
      </c>
      <c r="E27" s="742">
        <f>SUM(E21:E25)</f>
        <v>0</v>
      </c>
      <c r="F27" s="742">
        <f t="shared" ref="F27:N27" si="1">SUM(F21:F25)</f>
        <v>-9407309.5399999972</v>
      </c>
      <c r="G27" s="742">
        <f t="shared" si="1"/>
        <v>0</v>
      </c>
      <c r="H27" s="742">
        <f t="shared" si="1"/>
        <v>0</v>
      </c>
      <c r="I27" s="742">
        <f t="shared" si="1"/>
        <v>0</v>
      </c>
      <c r="J27" s="742">
        <f t="shared" si="1"/>
        <v>0</v>
      </c>
      <c r="K27" s="742">
        <f t="shared" si="1"/>
        <v>0</v>
      </c>
      <c r="L27" s="742">
        <f t="shared" si="1"/>
        <v>0</v>
      </c>
      <c r="M27" s="742">
        <f t="shared" si="1"/>
        <v>0</v>
      </c>
      <c r="N27" s="742">
        <f t="shared" si="1"/>
        <v>0</v>
      </c>
      <c r="O27" s="742">
        <f>SUM(E27:N27)</f>
        <v>-9407309.5399999972</v>
      </c>
      <c r="P27" s="738"/>
      <c r="Q27" s="738"/>
      <c r="R27" s="738"/>
      <c r="S27" s="738"/>
      <c r="T27" s="738"/>
      <c r="U27" s="738"/>
      <c r="V27" s="738"/>
      <c r="W27" s="738"/>
      <c r="X27" s="738"/>
      <c r="Y27" s="738"/>
    </row>
    <row r="28" spans="1:27" x14ac:dyDescent="0.2">
      <c r="A28" s="731"/>
      <c r="D28" s="741"/>
      <c r="E28" s="741"/>
      <c r="F28" s="741"/>
      <c r="G28" s="741"/>
      <c r="H28" s="741"/>
      <c r="I28" s="741"/>
      <c r="J28" s="741"/>
      <c r="K28" s="741"/>
      <c r="L28" s="741"/>
      <c r="M28" s="741"/>
      <c r="N28" s="741"/>
      <c r="O28" s="741"/>
      <c r="P28" s="738"/>
      <c r="Q28" s="738"/>
      <c r="R28" s="738"/>
      <c r="S28" s="738"/>
      <c r="T28" s="738"/>
      <c r="U28" s="738"/>
      <c r="V28" s="738"/>
      <c r="W28" s="738"/>
      <c r="X28" s="738"/>
      <c r="Y28" s="738"/>
    </row>
    <row r="29" spans="1:27" x14ac:dyDescent="0.2">
      <c r="A29" s="731">
        <f>A27+1</f>
        <v>14</v>
      </c>
      <c r="B29" s="740" t="s">
        <v>1625</v>
      </c>
      <c r="D29" s="747">
        <f t="shared" ref="D29:N29" si="2">D18+D27</f>
        <v>102043183.85999998</v>
      </c>
      <c r="E29" s="747">
        <f t="shared" si="2"/>
        <v>-50886.249999999673</v>
      </c>
      <c r="F29" s="747">
        <f t="shared" si="2"/>
        <v>-9407309.5399999972</v>
      </c>
      <c r="G29" s="747">
        <f t="shared" si="2"/>
        <v>0</v>
      </c>
      <c r="H29" s="747">
        <f t="shared" si="2"/>
        <v>0</v>
      </c>
      <c r="I29" s="747">
        <f t="shared" si="2"/>
        <v>0</v>
      </c>
      <c r="J29" s="747">
        <f t="shared" si="2"/>
        <v>0</v>
      </c>
      <c r="K29" s="747">
        <f t="shared" si="2"/>
        <v>0</v>
      </c>
      <c r="L29" s="747">
        <f t="shared" si="2"/>
        <v>0</v>
      </c>
      <c r="M29" s="747">
        <f t="shared" si="2"/>
        <v>0</v>
      </c>
      <c r="N29" s="747">
        <f t="shared" si="2"/>
        <v>97179</v>
      </c>
      <c r="O29" s="747">
        <f>SUM(E29:N29)</f>
        <v>-9361016.7899999972</v>
      </c>
      <c r="P29" s="738"/>
      <c r="Q29" s="738"/>
      <c r="R29" s="738"/>
      <c r="S29" s="738"/>
      <c r="T29" s="738"/>
      <c r="U29" s="738"/>
      <c r="V29" s="738"/>
      <c r="W29" s="738"/>
      <c r="X29" s="738"/>
      <c r="Y29" s="738"/>
    </row>
    <row r="30" spans="1:27" x14ac:dyDescent="0.2">
      <c r="A30" s="731"/>
      <c r="D30" s="741"/>
      <c r="E30" s="741"/>
      <c r="F30" s="741"/>
      <c r="G30" s="741"/>
      <c r="H30" s="741"/>
      <c r="I30" s="741"/>
      <c r="J30" s="741"/>
      <c r="K30" s="741"/>
      <c r="L30" s="741"/>
      <c r="M30" s="741"/>
      <c r="N30" s="741"/>
      <c r="O30" s="741"/>
      <c r="P30" s="738"/>
      <c r="Q30" s="738"/>
      <c r="R30" s="738"/>
      <c r="S30" s="738"/>
      <c r="T30" s="738"/>
      <c r="U30" s="738"/>
      <c r="V30" s="738"/>
      <c r="W30" s="738"/>
      <c r="X30" s="738"/>
      <c r="Y30" s="738"/>
    </row>
    <row r="31" spans="1:27" x14ac:dyDescent="0.2">
      <c r="A31" s="731">
        <f>A29+1</f>
        <v>15</v>
      </c>
      <c r="B31" s="740" t="s">
        <v>1626</v>
      </c>
      <c r="D31" s="738"/>
      <c r="E31" s="741"/>
      <c r="F31" s="741"/>
      <c r="G31" s="741"/>
      <c r="H31" s="741"/>
      <c r="I31" s="741"/>
      <c r="J31" s="741"/>
      <c r="K31" s="741"/>
      <c r="L31" s="741"/>
      <c r="M31" s="741"/>
      <c r="N31" s="741"/>
      <c r="O31" s="741"/>
      <c r="P31" s="738"/>
      <c r="Q31" s="738"/>
      <c r="R31" s="738"/>
      <c r="S31" s="738"/>
      <c r="T31" s="738"/>
      <c r="U31" s="738"/>
      <c r="V31" s="738"/>
      <c r="W31" s="738"/>
      <c r="X31" s="738"/>
      <c r="Y31" s="738"/>
    </row>
    <row r="32" spans="1:27" x14ac:dyDescent="0.2">
      <c r="A32" s="731">
        <f t="shared" ref="A32:A38" si="3">A31+1</f>
        <v>16</v>
      </c>
      <c r="B32" s="740" t="s">
        <v>1627</v>
      </c>
      <c r="D32" s="741">
        <f>'Total Co Accts Activ C2.2A'!P32</f>
        <v>24384719.419999998</v>
      </c>
      <c r="E32" s="744"/>
      <c r="F32" s="744"/>
      <c r="G32" s="741">
        <f>'Total Co Accts Activ C2.2B'!P32-'Total Co Accts Activ C2.2A'!P32</f>
        <v>-7848237.8399999999</v>
      </c>
      <c r="H32" s="741"/>
      <c r="I32" s="741"/>
      <c r="J32" s="741"/>
      <c r="K32" s="741"/>
      <c r="L32" s="741"/>
      <c r="M32" s="741"/>
      <c r="N32" s="741"/>
      <c r="O32" s="741">
        <f t="shared" ref="O32:O38" si="4">SUM(E32:N32)</f>
        <v>-7848237.8399999999</v>
      </c>
      <c r="P32" s="738"/>
      <c r="Q32" s="738"/>
      <c r="R32" s="738"/>
      <c r="S32" s="738"/>
      <c r="T32" s="738"/>
      <c r="U32" s="738"/>
      <c r="V32" s="738"/>
      <c r="W32" s="738"/>
      <c r="X32" s="738"/>
      <c r="Y32" s="738"/>
      <c r="AA32" s="738"/>
    </row>
    <row r="33" spans="1:27" x14ac:dyDescent="0.2">
      <c r="A33" s="731">
        <f t="shared" si="3"/>
        <v>17</v>
      </c>
      <c r="B33" s="740" t="s">
        <v>1628</v>
      </c>
      <c r="D33" s="741">
        <f>'Total Co Accts Activ C2.2A'!P33</f>
        <v>575741.15</v>
      </c>
      <c r="E33" s="744"/>
      <c r="F33" s="744"/>
      <c r="G33" s="741">
        <f>'Total Co Accts Activ C2.2B'!P33-'Total Co Accts Activ C2.2A'!P33</f>
        <v>-146222.15000000008</v>
      </c>
      <c r="H33" s="741"/>
      <c r="I33" s="741"/>
      <c r="J33" s="741"/>
      <c r="K33" s="741"/>
      <c r="L33" s="741"/>
      <c r="M33" s="741"/>
      <c r="N33" s="741"/>
      <c r="O33" s="741">
        <f t="shared" si="4"/>
        <v>-146222.15000000008</v>
      </c>
      <c r="P33" s="738"/>
      <c r="Q33" s="738"/>
      <c r="R33" s="738"/>
      <c r="S33" s="738"/>
      <c r="T33" s="738"/>
      <c r="U33" s="738"/>
      <c r="V33" s="738"/>
      <c r="W33" s="738"/>
      <c r="X33" s="738"/>
      <c r="Y33" s="738"/>
      <c r="AA33" s="738"/>
    </row>
    <row r="34" spans="1:27" x14ac:dyDescent="0.2">
      <c r="A34" s="731">
        <f t="shared" si="3"/>
        <v>18</v>
      </c>
      <c r="B34" s="740" t="s">
        <v>1629</v>
      </c>
      <c r="D34" s="741">
        <f>'Total Co Accts Activ C2.2A'!P34</f>
        <v>-8784163.0299999975</v>
      </c>
      <c r="E34" s="744"/>
      <c r="F34" s="744"/>
      <c r="G34" s="741">
        <f>'Total Co Accts Activ C2.2B'!P34-'Total Co Accts Activ C2.2A'!P34</f>
        <v>13508872.049999997</v>
      </c>
      <c r="H34" s="741"/>
      <c r="I34" s="741"/>
      <c r="J34" s="741"/>
      <c r="K34" s="741"/>
      <c r="L34" s="741"/>
      <c r="M34" s="741"/>
      <c r="N34" s="741"/>
      <c r="O34" s="741">
        <f t="shared" si="4"/>
        <v>13508872.049999997</v>
      </c>
      <c r="P34" s="738"/>
      <c r="Q34" s="738"/>
      <c r="R34" s="738"/>
      <c r="S34" s="738"/>
      <c r="T34" s="738"/>
      <c r="U34" s="738"/>
      <c r="V34" s="738"/>
      <c r="W34" s="738"/>
      <c r="X34" s="738"/>
      <c r="Y34" s="738"/>
      <c r="AA34" s="738"/>
    </row>
    <row r="35" spans="1:27" x14ac:dyDescent="0.2">
      <c r="A35" s="731">
        <f t="shared" si="3"/>
        <v>19</v>
      </c>
      <c r="B35" s="740" t="s">
        <v>1630</v>
      </c>
      <c r="D35" s="741">
        <f>'Total Co Accts Activ C2.2A'!P35</f>
        <v>-2035564.5399999998</v>
      </c>
      <c r="E35" s="744"/>
      <c r="F35" s="744"/>
      <c r="G35" s="741">
        <f>'Total Co Accts Activ C2.2B'!P35-'Total Co Accts Activ C2.2A'!P35</f>
        <v>317488.55000000005</v>
      </c>
      <c r="H35" s="741"/>
      <c r="I35" s="741"/>
      <c r="J35" s="741"/>
      <c r="K35" s="741"/>
      <c r="L35" s="741"/>
      <c r="M35" s="741"/>
      <c r="N35" s="741"/>
      <c r="O35" s="741">
        <f t="shared" si="4"/>
        <v>317488.55000000005</v>
      </c>
      <c r="P35" s="738"/>
      <c r="Q35" s="738"/>
      <c r="R35" s="738"/>
      <c r="S35" s="738"/>
      <c r="T35" s="738"/>
      <c r="U35" s="738"/>
      <c r="V35" s="738"/>
      <c r="W35" s="738"/>
      <c r="X35" s="738"/>
      <c r="Y35" s="738"/>
      <c r="AA35" s="738"/>
    </row>
    <row r="36" spans="1:27" x14ac:dyDescent="0.2">
      <c r="A36" s="731">
        <f t="shared" si="3"/>
        <v>20</v>
      </c>
      <c r="B36" s="740" t="s">
        <v>1631</v>
      </c>
      <c r="D36" s="741">
        <f>'Total Co Accts Activ C2.2A'!P36</f>
        <v>0</v>
      </c>
      <c r="E36" s="744"/>
      <c r="F36" s="744"/>
      <c r="G36" s="741">
        <f>'Total Co Accts Activ C2.2B'!P36-'Total Co Accts Activ C2.2A'!P36</f>
        <v>0</v>
      </c>
      <c r="H36" s="741"/>
      <c r="I36" s="741"/>
      <c r="J36" s="741"/>
      <c r="K36" s="741"/>
      <c r="L36" s="741"/>
      <c r="M36" s="741"/>
      <c r="N36" s="741"/>
      <c r="O36" s="741">
        <f>SUM(E36:N36)</f>
        <v>0</v>
      </c>
      <c r="P36" s="738"/>
      <c r="Q36" s="738"/>
      <c r="R36" s="738"/>
      <c r="S36" s="738"/>
      <c r="T36" s="738"/>
      <c r="U36" s="738"/>
      <c r="V36" s="738"/>
      <c r="W36" s="738"/>
      <c r="X36" s="738"/>
      <c r="Y36" s="738"/>
      <c r="AA36" s="738"/>
    </row>
    <row r="37" spans="1:27" x14ac:dyDescent="0.2">
      <c r="A37" s="731">
        <f t="shared" si="3"/>
        <v>21</v>
      </c>
      <c r="B37" s="740" t="s">
        <v>1632</v>
      </c>
      <c r="D37" s="741">
        <f>'Total Co Accts Activ C2.2A'!P38</f>
        <v>15800335.310000001</v>
      </c>
      <c r="E37" s="744"/>
      <c r="F37" s="744"/>
      <c r="G37" s="741">
        <f>'Total Co Accts Activ C2.2B'!P38-'Total Co Accts Activ C2.2A'!P38</f>
        <v>-14297018.800000001</v>
      </c>
      <c r="H37" s="741"/>
      <c r="I37" s="741"/>
      <c r="J37" s="741"/>
      <c r="K37" s="741"/>
      <c r="L37" s="741"/>
      <c r="M37" s="741"/>
      <c r="N37" s="741"/>
      <c r="O37" s="741">
        <f t="shared" si="4"/>
        <v>-14297018.800000001</v>
      </c>
      <c r="P37" s="738"/>
      <c r="Q37" s="738"/>
      <c r="R37" s="738"/>
      <c r="S37" s="738"/>
      <c r="T37" s="738"/>
      <c r="U37" s="738"/>
      <c r="V37" s="738"/>
      <c r="W37" s="738"/>
      <c r="X37" s="738"/>
      <c r="Y37" s="738"/>
      <c r="AA37" s="738"/>
    </row>
    <row r="38" spans="1:27" x14ac:dyDescent="0.2">
      <c r="A38" s="731">
        <f t="shared" si="3"/>
        <v>22</v>
      </c>
      <c r="B38" s="740" t="s">
        <v>1633</v>
      </c>
      <c r="D38" s="742">
        <f>'Total Co Accts Activ C2.2A'!P39</f>
        <v>-42970.32</v>
      </c>
      <c r="E38" s="749"/>
      <c r="F38" s="749"/>
      <c r="G38" s="742">
        <f>'Total Co Accts Activ C2.2B'!P39-'Total Co Accts Activ C2.2A'!P39</f>
        <v>42970.32</v>
      </c>
      <c r="H38" s="742"/>
      <c r="I38" s="742"/>
      <c r="J38" s="742"/>
      <c r="K38" s="742"/>
      <c r="L38" s="742"/>
      <c r="M38" s="742"/>
      <c r="N38" s="742"/>
      <c r="O38" s="742">
        <f t="shared" si="4"/>
        <v>42970.32</v>
      </c>
      <c r="P38" s="738"/>
      <c r="Q38" s="738"/>
      <c r="R38" s="738"/>
      <c r="S38" s="738"/>
      <c r="T38" s="738"/>
      <c r="U38" s="738"/>
      <c r="V38" s="738"/>
      <c r="W38" s="738"/>
      <c r="X38" s="738"/>
      <c r="Y38" s="738"/>
      <c r="AA38" s="738"/>
    </row>
    <row r="39" spans="1:27" x14ac:dyDescent="0.2">
      <c r="A39" s="731"/>
      <c r="D39" s="738"/>
      <c r="E39" s="741"/>
      <c r="F39" s="741"/>
      <c r="G39" s="741"/>
      <c r="H39" s="741"/>
      <c r="I39" s="741"/>
      <c r="J39" s="741"/>
      <c r="K39" s="741"/>
      <c r="L39" s="741"/>
      <c r="M39" s="741"/>
      <c r="N39" s="741"/>
      <c r="O39" s="741"/>
      <c r="P39" s="738"/>
      <c r="Q39" s="738"/>
      <c r="R39" s="738"/>
      <c r="S39" s="738"/>
      <c r="T39" s="738"/>
      <c r="U39" s="738"/>
      <c r="V39" s="738"/>
      <c r="W39" s="738"/>
      <c r="X39" s="738"/>
      <c r="Y39" s="738"/>
    </row>
    <row r="40" spans="1:27" x14ac:dyDescent="0.2">
      <c r="A40" s="731">
        <f>A38+1</f>
        <v>23</v>
      </c>
      <c r="B40" s="740" t="s">
        <v>1634</v>
      </c>
      <c r="D40" s="743">
        <f t="shared" ref="D40:N40" si="5">SUM(D32:D38)</f>
        <v>29898097.990000002</v>
      </c>
      <c r="E40" s="742">
        <f t="shared" si="5"/>
        <v>0</v>
      </c>
      <c r="F40" s="742">
        <f t="shared" si="5"/>
        <v>0</v>
      </c>
      <c r="G40" s="742">
        <f t="shared" si="5"/>
        <v>-8422147.8700000048</v>
      </c>
      <c r="H40" s="742">
        <f t="shared" si="5"/>
        <v>0</v>
      </c>
      <c r="I40" s="742">
        <f t="shared" si="5"/>
        <v>0</v>
      </c>
      <c r="J40" s="742">
        <f t="shared" si="5"/>
        <v>0</v>
      </c>
      <c r="K40" s="742">
        <f t="shared" si="5"/>
        <v>0</v>
      </c>
      <c r="L40" s="742">
        <f t="shared" si="5"/>
        <v>0</v>
      </c>
      <c r="M40" s="742">
        <f t="shared" si="5"/>
        <v>0</v>
      </c>
      <c r="N40" s="742">
        <f t="shared" si="5"/>
        <v>0</v>
      </c>
      <c r="O40" s="742">
        <f>SUM(E40:N40)</f>
        <v>-8422147.8700000048</v>
      </c>
      <c r="P40" s="738"/>
      <c r="Q40" s="738"/>
      <c r="R40" s="738"/>
      <c r="S40" s="738"/>
      <c r="T40" s="738"/>
      <c r="U40" s="738"/>
      <c r="V40" s="738"/>
      <c r="W40" s="738"/>
      <c r="X40" s="738"/>
      <c r="Y40" s="738"/>
    </row>
    <row r="41" spans="1:27" x14ac:dyDescent="0.2">
      <c r="A41" s="731"/>
      <c r="D41" s="738"/>
      <c r="E41" s="741"/>
      <c r="F41" s="741"/>
      <c r="G41" s="741"/>
      <c r="H41" s="741"/>
      <c r="I41" s="741"/>
      <c r="J41" s="741"/>
      <c r="K41" s="741"/>
      <c r="L41" s="741"/>
      <c r="M41" s="741"/>
      <c r="N41" s="741"/>
      <c r="O41" s="741"/>
      <c r="P41" s="738"/>
      <c r="Q41" s="738"/>
      <c r="R41" s="738"/>
      <c r="S41" s="738"/>
      <c r="T41" s="738"/>
      <c r="U41" s="738"/>
      <c r="V41" s="738"/>
      <c r="W41" s="738"/>
      <c r="X41" s="738"/>
      <c r="Y41" s="738"/>
    </row>
    <row r="42" spans="1:27" x14ac:dyDescent="0.2">
      <c r="A42" s="731">
        <f>A40+1</f>
        <v>24</v>
      </c>
      <c r="B42" s="740" t="s">
        <v>1635</v>
      </c>
      <c r="D42" s="748">
        <f t="shared" ref="D42:N42" si="6">D29-D40</f>
        <v>72145085.869999975</v>
      </c>
      <c r="E42" s="747">
        <f t="shared" si="6"/>
        <v>-50886.249999999673</v>
      </c>
      <c r="F42" s="747">
        <f t="shared" si="6"/>
        <v>-9407309.5399999972</v>
      </c>
      <c r="G42" s="747">
        <f>G29-G40</f>
        <v>8422147.8700000048</v>
      </c>
      <c r="H42" s="747">
        <f t="shared" si="6"/>
        <v>0</v>
      </c>
      <c r="I42" s="747">
        <f t="shared" si="6"/>
        <v>0</v>
      </c>
      <c r="J42" s="747">
        <f t="shared" si="6"/>
        <v>0</v>
      </c>
      <c r="K42" s="747">
        <f t="shared" si="6"/>
        <v>0</v>
      </c>
      <c r="L42" s="747">
        <f t="shared" si="6"/>
        <v>0</v>
      </c>
      <c r="M42" s="747">
        <f t="shared" si="6"/>
        <v>0</v>
      </c>
      <c r="N42" s="747">
        <f t="shared" si="6"/>
        <v>97179</v>
      </c>
      <c r="O42" s="747">
        <f>SUM(E42:N42)</f>
        <v>-938868.91999999247</v>
      </c>
      <c r="P42" s="738"/>
      <c r="Q42" s="738"/>
      <c r="R42" s="738"/>
      <c r="S42" s="738"/>
      <c r="T42" s="738"/>
      <c r="U42" s="738"/>
      <c r="V42" s="738"/>
      <c r="W42" s="738"/>
      <c r="X42" s="738"/>
      <c r="Y42" s="738"/>
    </row>
    <row r="43" spans="1:27" x14ac:dyDescent="0.2">
      <c r="A43" s="731"/>
      <c r="D43" s="738"/>
      <c r="E43" s="741"/>
      <c r="F43" s="741"/>
      <c r="G43" s="741"/>
      <c r="H43" s="741"/>
      <c r="I43" s="741"/>
      <c r="J43" s="741"/>
      <c r="K43" s="741"/>
      <c r="L43" s="741"/>
      <c r="M43" s="741"/>
      <c r="N43" s="741"/>
      <c r="O43" s="741"/>
      <c r="P43" s="738"/>
      <c r="Q43" s="738"/>
      <c r="R43" s="738"/>
      <c r="S43" s="738"/>
      <c r="T43" s="738"/>
      <c r="U43" s="738"/>
      <c r="V43" s="738"/>
      <c r="W43" s="738"/>
      <c r="X43" s="738"/>
      <c r="Y43" s="738"/>
    </row>
    <row r="44" spans="1:27" x14ac:dyDescent="0.2">
      <c r="A44" s="731"/>
      <c r="D44" s="751"/>
      <c r="E44" s="738"/>
      <c r="F44" s="741"/>
      <c r="G44" s="741"/>
      <c r="H44" s="741"/>
      <c r="I44" s="741"/>
      <c r="J44" s="741"/>
      <c r="K44" s="741"/>
      <c r="L44" s="741"/>
      <c r="M44" s="741"/>
      <c r="N44" s="741"/>
      <c r="O44" s="741"/>
      <c r="P44" s="738"/>
      <c r="Q44" s="738"/>
      <c r="R44" s="738"/>
      <c r="S44" s="738"/>
      <c r="T44" s="738"/>
      <c r="U44" s="738"/>
      <c r="V44" s="738"/>
      <c r="W44" s="738"/>
      <c r="X44" s="738"/>
      <c r="Y44" s="738"/>
    </row>
    <row r="45" spans="1:27" x14ac:dyDescent="0.2">
      <c r="A45" s="731"/>
      <c r="D45" s="750"/>
      <c r="E45" s="738"/>
      <c r="F45" s="741"/>
      <c r="G45" s="741"/>
      <c r="H45" s="741"/>
      <c r="I45" s="741"/>
      <c r="J45" s="741"/>
      <c r="K45" s="741"/>
      <c r="L45" s="741"/>
      <c r="M45" s="741"/>
      <c r="N45" s="741"/>
      <c r="O45" s="741"/>
      <c r="P45" s="738"/>
      <c r="Q45" s="738"/>
      <c r="R45" s="738"/>
      <c r="S45" s="738"/>
      <c r="T45" s="738"/>
      <c r="U45" s="738"/>
      <c r="V45" s="738"/>
      <c r="W45" s="738"/>
      <c r="X45" s="738"/>
      <c r="Y45" s="738"/>
    </row>
    <row r="46" spans="1:27" ht="12.75" customHeight="1" x14ac:dyDescent="0.2">
      <c r="A46" s="2156" t="s">
        <v>624</v>
      </c>
      <c r="B46" s="2156"/>
      <c r="C46" s="2156"/>
      <c r="D46" s="2156"/>
      <c r="E46" s="2156"/>
      <c r="F46" s="2156"/>
      <c r="G46" s="2156"/>
      <c r="H46" s="2156"/>
      <c r="I46" s="2156"/>
      <c r="J46" s="2156"/>
      <c r="K46" s="2156"/>
      <c r="L46" s="2156"/>
      <c r="M46" s="2156"/>
      <c r="N46" s="2156"/>
      <c r="O46" s="2156"/>
    </row>
    <row r="47" spans="1:27" ht="12.75" customHeight="1" x14ac:dyDescent="0.2">
      <c r="A47" s="2155" t="str">
        <f>A2</f>
        <v>CASE NO. 2016 - 00162</v>
      </c>
      <c r="B47" s="2155"/>
      <c r="C47" s="2155"/>
      <c r="D47" s="2155"/>
      <c r="E47" s="2155"/>
      <c r="F47" s="2155"/>
      <c r="G47" s="2155"/>
      <c r="H47" s="2155"/>
      <c r="I47" s="2155"/>
      <c r="J47" s="2155"/>
      <c r="K47" s="2155"/>
      <c r="L47" s="2155"/>
      <c r="M47" s="2155"/>
      <c r="N47" s="2155"/>
      <c r="O47" s="2155"/>
    </row>
    <row r="48" spans="1:27" ht="12.75" customHeight="1" x14ac:dyDescent="0.2">
      <c r="A48" s="2156" t="s">
        <v>1600</v>
      </c>
      <c r="B48" s="2156"/>
      <c r="C48" s="2156"/>
      <c r="D48" s="2156"/>
      <c r="E48" s="2156"/>
      <c r="F48" s="2156"/>
      <c r="G48" s="2156"/>
      <c r="H48" s="2156"/>
      <c r="I48" s="2156"/>
      <c r="J48" s="2156"/>
      <c r="K48" s="2156"/>
      <c r="L48" s="2156"/>
      <c r="M48" s="2156"/>
      <c r="N48" s="2156"/>
      <c r="O48" s="2156"/>
    </row>
    <row r="49" spans="1:27" ht="12.75" customHeight="1" x14ac:dyDescent="0.2">
      <c r="A49" s="2156" t="s">
        <v>1601</v>
      </c>
      <c r="B49" s="2156"/>
      <c r="C49" s="2156"/>
      <c r="D49" s="2156"/>
      <c r="E49" s="2156"/>
      <c r="F49" s="2156"/>
      <c r="G49" s="2156"/>
      <c r="H49" s="2156"/>
      <c r="I49" s="2156"/>
      <c r="J49" s="2156"/>
      <c r="K49" s="2156"/>
      <c r="L49" s="2156"/>
      <c r="M49" s="2156"/>
      <c r="N49" s="2156"/>
      <c r="O49" s="2156"/>
    </row>
    <row r="50" spans="1:27" ht="12.75" customHeight="1" x14ac:dyDescent="0.2">
      <c r="A50" s="2155" t="str">
        <f>A5</f>
        <v>FOR THE TWELVE MONTHS ENDED AUGUST 31, 2016 AND THE TWELVE MONTHS ENDED DECEMBER 31, 2017</v>
      </c>
      <c r="B50" s="2155"/>
      <c r="C50" s="2155"/>
      <c r="D50" s="2155"/>
      <c r="E50" s="2155"/>
      <c r="F50" s="2155"/>
      <c r="G50" s="2155"/>
      <c r="H50" s="2155"/>
      <c r="I50" s="2155"/>
      <c r="J50" s="2155"/>
      <c r="K50" s="2155"/>
      <c r="L50" s="2155"/>
      <c r="M50" s="2155"/>
      <c r="N50" s="2155"/>
      <c r="O50" s="2155"/>
    </row>
    <row r="51" spans="1:27" x14ac:dyDescent="0.2">
      <c r="A51" s="725" t="s">
        <v>1602</v>
      </c>
      <c r="O51" s="1413" t="s">
        <v>1603</v>
      </c>
    </row>
    <row r="52" spans="1:27" x14ac:dyDescent="0.2">
      <c r="A52" s="725" t="s">
        <v>1604</v>
      </c>
      <c r="O52" s="1413" t="s">
        <v>1636</v>
      </c>
    </row>
    <row r="53" spans="1:27" x14ac:dyDescent="0.2">
      <c r="A53" s="727" t="s">
        <v>1606</v>
      </c>
      <c r="B53" s="728"/>
      <c r="C53" s="729"/>
      <c r="D53" s="729"/>
      <c r="E53" s="729"/>
      <c r="F53" s="759"/>
      <c r="G53" s="759"/>
      <c r="H53" s="759"/>
      <c r="I53" s="759"/>
      <c r="J53" s="759"/>
      <c r="K53" s="759"/>
      <c r="L53" s="759"/>
      <c r="M53" s="759"/>
      <c r="N53" s="759"/>
      <c r="O53" s="1415" t="str">
        <f>O8</f>
        <v>WITNESS:  J. T. CROOM</v>
      </c>
    </row>
    <row r="55" spans="1:27" x14ac:dyDescent="0.2">
      <c r="A55" s="731" t="s">
        <v>632</v>
      </c>
      <c r="B55" s="752" t="s">
        <v>1607</v>
      </c>
      <c r="D55" s="731" t="s">
        <v>634</v>
      </c>
      <c r="E55" s="734" t="s">
        <v>1295</v>
      </c>
      <c r="F55" s="734" t="s">
        <v>1295</v>
      </c>
      <c r="G55" s="734" t="s">
        <v>1295</v>
      </c>
      <c r="H55" s="734" t="s">
        <v>1295</v>
      </c>
      <c r="I55" s="734" t="s">
        <v>1295</v>
      </c>
      <c r="J55" s="734" t="s">
        <v>1295</v>
      </c>
      <c r="K55" s="734" t="s">
        <v>1295</v>
      </c>
      <c r="L55" s="734" t="s">
        <v>1295</v>
      </c>
      <c r="M55" s="734" t="s">
        <v>1295</v>
      </c>
      <c r="N55" s="734" t="s">
        <v>1295</v>
      </c>
      <c r="O55" s="734" t="s">
        <v>106</v>
      </c>
      <c r="AA55" s="731"/>
    </row>
    <row r="56" spans="1:27" x14ac:dyDescent="0.2">
      <c r="A56" s="735" t="s">
        <v>635</v>
      </c>
      <c r="B56" s="753" t="s">
        <v>1608</v>
      </c>
      <c r="C56" s="729"/>
      <c r="D56" s="735" t="s">
        <v>638</v>
      </c>
      <c r="E56" s="737" t="s">
        <v>1609</v>
      </c>
      <c r="F56" s="737" t="s">
        <v>1610</v>
      </c>
      <c r="G56" s="737" t="s">
        <v>1611</v>
      </c>
      <c r="H56" s="737" t="s">
        <v>107</v>
      </c>
      <c r="I56" s="737" t="s">
        <v>108</v>
      </c>
      <c r="J56" s="737" t="s">
        <v>109</v>
      </c>
      <c r="K56" s="737" t="s">
        <v>110</v>
      </c>
      <c r="L56" s="737" t="s">
        <v>111</v>
      </c>
      <c r="M56" s="737" t="s">
        <v>112</v>
      </c>
      <c r="N56" s="737" t="s">
        <v>113</v>
      </c>
      <c r="O56" s="737" t="s">
        <v>1612</v>
      </c>
      <c r="AA56" s="731"/>
    </row>
    <row r="58" spans="1:27" x14ac:dyDescent="0.2">
      <c r="A58" s="731">
        <v>1</v>
      </c>
      <c r="B58" s="752">
        <v>717</v>
      </c>
      <c r="C58" s="754" t="s">
        <v>1544</v>
      </c>
      <c r="D58" s="741">
        <f>'Total Co Accts Activ C2.2A'!P27</f>
        <v>1191.99</v>
      </c>
      <c r="E58" s="741">
        <f>SUMIF('O&amp;M by CE Desc Variance'!$B$8:$B$28,B58,'O&amp;M by CE Desc Variance'!$E$8:$E$28)</f>
        <v>0</v>
      </c>
      <c r="F58" s="741">
        <f>SUMIF('O&amp;M by CE Desc Variance'!$B$31:$B$49,B58,'O&amp;M by CE Desc Variance'!$E$31:$E$49)</f>
        <v>0</v>
      </c>
      <c r="G58" s="741">
        <f>SUMIF('O&amp;M by CE Desc Variance'!$B$52:$B$89,B58,'O&amp;M by CE Desc Variance'!$E$52:$E$89)</f>
        <v>0</v>
      </c>
      <c r="H58" s="741">
        <f>SUMIF('O&amp;M by CE Desc Variance'!$B$91:$B$107,B58,'O&amp;M by CE Desc Variance'!$E$91:$E$107)</f>
        <v>0</v>
      </c>
      <c r="I58" s="741">
        <f>SUMIF('O&amp;M by CE Desc Variance'!$B$110:$B$120,B58,'O&amp;M by CE Desc Variance'!$E$110:$E$120)</f>
        <v>0</v>
      </c>
      <c r="J58" s="741">
        <f>SUMIF('O&amp;M by CE Desc Variance'!$B$122:$B$136,B58,'O&amp;M by CE Desc Variance'!$E$122:$E$136)</f>
        <v>0</v>
      </c>
      <c r="K58" s="741">
        <f>SUMIF('O&amp;M by CE Desc Variance'!$B$139:$B$142,B58,'O&amp;M by CE Desc Variance'!$E$139:$E$142)</f>
        <v>0</v>
      </c>
      <c r="L58" s="741">
        <f>SUMIF('O&amp;M by CE Desc Variance'!$B$145:$B$158,B58,'O&amp;M by CE Desc Variance'!$E$145:$E$158)</f>
        <v>947.01</v>
      </c>
      <c r="M58" s="741">
        <f>SUMIF('O&amp;M by CE Desc Variance'!$B$161:$B$196,B58,'O&amp;M by CE Desc Variance'!$E$161:$E$196)</f>
        <v>0</v>
      </c>
      <c r="N58" s="741">
        <f>SUMIF('O&amp;M by CE Desc Variance'!$B$199:$B$202,'D-1'!B58,'O&amp;M by CE Desc Variance'!$E$199:$E$202)</f>
        <v>0</v>
      </c>
      <c r="O58" s="741">
        <f t="shared" ref="O58:O98" si="7">SUM(E58:N58)</f>
        <v>947.01</v>
      </c>
      <c r="P58" s="738"/>
      <c r="Q58" s="738"/>
      <c r="R58" s="738"/>
      <c r="S58" s="738"/>
      <c r="T58" s="738"/>
      <c r="U58" s="738"/>
      <c r="V58" s="738"/>
      <c r="W58" s="738"/>
      <c r="AA58" s="738"/>
    </row>
    <row r="59" spans="1:27" x14ac:dyDescent="0.2">
      <c r="A59" s="731">
        <f t="shared" ref="A59:A98" si="8">A58+1</f>
        <v>2</v>
      </c>
      <c r="B59" s="752">
        <v>723</v>
      </c>
      <c r="C59" s="754" t="s">
        <v>1545</v>
      </c>
      <c r="D59" s="741">
        <f>'Total Co Accts Activ C2.2A'!P28</f>
        <v>0</v>
      </c>
      <c r="E59" s="741">
        <f>SUMIF('O&amp;M by CE Desc Variance'!$B$8:$B$28,B59,'O&amp;M by CE Desc Variance'!$E$8:$E$28)</f>
        <v>0</v>
      </c>
      <c r="F59" s="741">
        <f>SUMIF('O&amp;M by CE Desc Variance'!$B$31:$B$49,B59,'O&amp;M by CE Desc Variance'!$E$31:$E$49)</f>
        <v>0</v>
      </c>
      <c r="G59" s="741">
        <f>SUMIF('O&amp;M by CE Desc Variance'!$B$52:$B$89,B59,'O&amp;M by CE Desc Variance'!$E$52:$E$89)</f>
        <v>0</v>
      </c>
      <c r="H59" s="741">
        <f>SUMIF('O&amp;M by CE Desc Variance'!$B$91:$B$107,B59,'O&amp;M by CE Desc Variance'!$E$91:$E$107)</f>
        <v>0</v>
      </c>
      <c r="I59" s="741">
        <f>SUMIF('O&amp;M by CE Desc Variance'!$B$110:$B$120,B59,'O&amp;M by CE Desc Variance'!$E$110:$E$120)</f>
        <v>0</v>
      </c>
      <c r="J59" s="741">
        <f>SUMIF('O&amp;M by CE Desc Variance'!$B$122:$B$136,B59,'O&amp;M by CE Desc Variance'!$E$122:$E$136)</f>
        <v>0</v>
      </c>
      <c r="K59" s="741">
        <f>SUMIF('O&amp;M by CE Desc Variance'!$B$139:$B$142,B59,'O&amp;M by CE Desc Variance'!$E$139:$E$142)</f>
        <v>0</v>
      </c>
      <c r="L59" s="741">
        <f>SUMIF('O&amp;M by CE Desc Variance'!$B$145:$B$158,B59,'O&amp;M by CE Desc Variance'!$E$145:$E$158)</f>
        <v>0</v>
      </c>
      <c r="M59" s="741">
        <f>SUMIF('O&amp;M by CE Desc Variance'!$B$161:$B$196,B59,'O&amp;M by CE Desc Variance'!$E$161:$E$196)</f>
        <v>0</v>
      </c>
      <c r="N59" s="741">
        <f>SUMIF('O&amp;M by CE Desc Variance'!$B$199:$B$202,'D-1'!B59,'O&amp;M by CE Desc Variance'!$E$199:$E$202)</f>
        <v>0</v>
      </c>
      <c r="O59" s="741">
        <f t="shared" si="7"/>
        <v>0</v>
      </c>
      <c r="P59" s="738"/>
      <c r="Q59" s="738"/>
      <c r="R59" s="738"/>
      <c r="S59" s="738"/>
      <c r="T59" s="738"/>
      <c r="U59" s="738"/>
      <c r="V59" s="738"/>
      <c r="W59" s="738"/>
      <c r="AA59" s="738"/>
    </row>
    <row r="60" spans="1:27" x14ac:dyDescent="0.2">
      <c r="A60" s="731">
        <f t="shared" si="8"/>
        <v>3</v>
      </c>
      <c r="B60" s="752">
        <v>728</v>
      </c>
      <c r="C60" s="754" t="s">
        <v>1546</v>
      </c>
      <c r="D60" s="741">
        <f>'Total Co Accts Activ C2.2A'!P29</f>
        <v>0</v>
      </c>
      <c r="E60" s="741">
        <f>SUMIF('O&amp;M by CE Desc Variance'!$B$8:$B$28,B60,'O&amp;M by CE Desc Variance'!$E$8:$E$28)</f>
        <v>0</v>
      </c>
      <c r="F60" s="741">
        <f>SUMIF('O&amp;M by CE Desc Variance'!$B$31:$B$49,B60,'O&amp;M by CE Desc Variance'!$E$31:$E$49)</f>
        <v>0</v>
      </c>
      <c r="G60" s="741">
        <f>SUMIF('O&amp;M by CE Desc Variance'!$B$52:$B$89,B60,'O&amp;M by CE Desc Variance'!$E$52:$E$89)</f>
        <v>0</v>
      </c>
      <c r="H60" s="741">
        <f>SUMIF('O&amp;M by CE Desc Variance'!$B$91:$B$107,B60,'O&amp;M by CE Desc Variance'!$E$91:$E$107)</f>
        <v>0</v>
      </c>
      <c r="I60" s="741">
        <f>SUMIF('O&amp;M by CE Desc Variance'!$B$110:$B$120,B60,'O&amp;M by CE Desc Variance'!$E$110:$E$120)</f>
        <v>0</v>
      </c>
      <c r="J60" s="741">
        <f>SUMIF('O&amp;M by CE Desc Variance'!$B$122:$B$136,B60,'O&amp;M by CE Desc Variance'!$E$122:$E$136)</f>
        <v>0</v>
      </c>
      <c r="K60" s="741">
        <f>SUMIF('O&amp;M by CE Desc Variance'!$B$139:$B$142,B60,'O&amp;M by CE Desc Variance'!$E$139:$E$142)</f>
        <v>0</v>
      </c>
      <c r="L60" s="741">
        <f>SUMIF('O&amp;M by CE Desc Variance'!$B$145:$B$158,B60,'O&amp;M by CE Desc Variance'!$E$145:$E$158)</f>
        <v>0</v>
      </c>
      <c r="M60" s="741">
        <f>SUMIF('O&amp;M by CE Desc Variance'!$B$161:$B$196,B60,'O&amp;M by CE Desc Variance'!$E$161:$E$196)</f>
        <v>0</v>
      </c>
      <c r="N60" s="741">
        <f>SUMIF('O&amp;M by CE Desc Variance'!$B$199:$B$202,'D-1'!B60,'O&amp;M by CE Desc Variance'!$E$199:$E$202)</f>
        <v>0</v>
      </c>
      <c r="O60" s="741">
        <f t="shared" si="7"/>
        <v>0</v>
      </c>
      <c r="P60" s="738"/>
      <c r="Q60" s="738"/>
      <c r="R60" s="738"/>
      <c r="S60" s="738"/>
      <c r="T60" s="738"/>
      <c r="U60" s="738"/>
      <c r="V60" s="738"/>
      <c r="W60" s="738"/>
      <c r="AA60" s="738"/>
    </row>
    <row r="61" spans="1:27" x14ac:dyDescent="0.2">
      <c r="A61" s="731">
        <f t="shared" si="8"/>
        <v>4</v>
      </c>
      <c r="B61" s="752">
        <v>741</v>
      </c>
      <c r="C61" s="754" t="s">
        <v>1547</v>
      </c>
      <c r="D61" s="741">
        <f>'Total Co Accts Activ C2.2A'!P30</f>
        <v>0</v>
      </c>
      <c r="E61" s="741">
        <f>SUMIF('O&amp;M by CE Desc Variance'!$B$8:$B$28,B61,'O&amp;M by CE Desc Variance'!$E$8:$E$28)</f>
        <v>0</v>
      </c>
      <c r="F61" s="741">
        <f>SUMIF('O&amp;M by CE Desc Variance'!$B$31:$B$49,B61,'O&amp;M by CE Desc Variance'!$E$31:$E$49)</f>
        <v>0</v>
      </c>
      <c r="G61" s="741">
        <f>SUMIF('O&amp;M by CE Desc Variance'!$B$52:$B$89,B61,'O&amp;M by CE Desc Variance'!$E$52:$E$89)</f>
        <v>0</v>
      </c>
      <c r="H61" s="741">
        <f>SUMIF('O&amp;M by CE Desc Variance'!$B$91:$B$107,B61,'O&amp;M by CE Desc Variance'!$E$91:$E$107)</f>
        <v>0</v>
      </c>
      <c r="I61" s="741">
        <f>SUMIF('O&amp;M by CE Desc Variance'!$B$110:$B$120,B61,'O&amp;M by CE Desc Variance'!$E$110:$E$120)</f>
        <v>0</v>
      </c>
      <c r="J61" s="741">
        <f>SUMIF('O&amp;M by CE Desc Variance'!$B$122:$B$136,B61,'O&amp;M by CE Desc Variance'!$E$122:$E$136)</f>
        <v>0</v>
      </c>
      <c r="K61" s="741">
        <f>SUMIF('O&amp;M by CE Desc Variance'!$B$139:$B$142,B61,'O&amp;M by CE Desc Variance'!$E$139:$E$142)</f>
        <v>0</v>
      </c>
      <c r="L61" s="741">
        <f>SUMIF('O&amp;M by CE Desc Variance'!$B$145:$B$158,B61,'O&amp;M by CE Desc Variance'!$E$145:$E$158)</f>
        <v>0</v>
      </c>
      <c r="M61" s="741">
        <f>SUMIF('O&amp;M by CE Desc Variance'!$B$161:$B$196,B61,'O&amp;M by CE Desc Variance'!$E$161:$E$196)</f>
        <v>0</v>
      </c>
      <c r="N61" s="741">
        <f>SUMIF('O&amp;M by CE Desc Variance'!$B$199:$B$202,'D-1'!B61,'O&amp;M by CE Desc Variance'!$E$199:$E$202)</f>
        <v>0</v>
      </c>
      <c r="O61" s="741">
        <f t="shared" si="7"/>
        <v>0</v>
      </c>
      <c r="P61" s="738"/>
      <c r="Q61" s="738"/>
      <c r="R61" s="738"/>
      <c r="S61" s="738"/>
      <c r="T61" s="738"/>
      <c r="U61" s="738"/>
      <c r="V61" s="738"/>
      <c r="W61" s="738"/>
      <c r="AA61" s="738"/>
    </row>
    <row r="62" spans="1:27" x14ac:dyDescent="0.2">
      <c r="A62" s="731">
        <f t="shared" si="8"/>
        <v>5</v>
      </c>
      <c r="B62" s="752">
        <v>742</v>
      </c>
      <c r="C62" s="754" t="s">
        <v>1548</v>
      </c>
      <c r="D62" s="741">
        <f>'Total Co Accts Activ C2.2A'!P31</f>
        <v>0</v>
      </c>
      <c r="E62" s="741">
        <f>SUMIF('O&amp;M by CE Desc Variance'!$B$8:$B$28,B62,'O&amp;M by CE Desc Variance'!$E$8:$E$28)</f>
        <v>0</v>
      </c>
      <c r="F62" s="741">
        <f>SUMIF('O&amp;M by CE Desc Variance'!$B$31:$B$49,B62,'O&amp;M by CE Desc Variance'!$E$31:$E$49)</f>
        <v>0</v>
      </c>
      <c r="G62" s="741">
        <f>SUMIF('O&amp;M by CE Desc Variance'!$B$52:$B$89,B62,'O&amp;M by CE Desc Variance'!$E$52:$E$89)</f>
        <v>0</v>
      </c>
      <c r="H62" s="741">
        <f>SUMIF('O&amp;M by CE Desc Variance'!$B$91:$B$107,B62,'O&amp;M by CE Desc Variance'!$E$91:$E$107)</f>
        <v>0</v>
      </c>
      <c r="I62" s="741">
        <f>SUMIF('O&amp;M by CE Desc Variance'!$B$110:$B$120,B62,'O&amp;M by CE Desc Variance'!$E$110:$E$120)</f>
        <v>0</v>
      </c>
      <c r="J62" s="741">
        <f>SUMIF('O&amp;M by CE Desc Variance'!$B$122:$B$136,B62,'O&amp;M by CE Desc Variance'!$E$122:$E$136)</f>
        <v>0</v>
      </c>
      <c r="K62" s="741">
        <f>SUMIF('O&amp;M by CE Desc Variance'!$B$139:$B$142,B62,'O&amp;M by CE Desc Variance'!$E$139:$E$142)</f>
        <v>0</v>
      </c>
      <c r="L62" s="741">
        <f>SUMIF('O&amp;M by CE Desc Variance'!$B$145:$B$158,B62,'O&amp;M by CE Desc Variance'!$E$145:$E$158)</f>
        <v>0</v>
      </c>
      <c r="M62" s="741">
        <f>SUMIF('O&amp;M by CE Desc Variance'!$B$161:$B$196,B62,'O&amp;M by CE Desc Variance'!$E$161:$E$196)</f>
        <v>0</v>
      </c>
      <c r="N62" s="741">
        <f>SUMIF('O&amp;M by CE Desc Variance'!$B$199:$B$202,'D-1'!B62,'O&amp;M by CE Desc Variance'!$E$199:$E$202)</f>
        <v>0</v>
      </c>
      <c r="O62" s="741">
        <f t="shared" si="7"/>
        <v>0</v>
      </c>
      <c r="P62" s="738"/>
      <c r="Q62" s="738"/>
      <c r="R62" s="738"/>
      <c r="S62" s="738"/>
      <c r="T62" s="738"/>
      <c r="U62" s="738"/>
      <c r="V62" s="738"/>
      <c r="W62" s="738"/>
      <c r="AA62" s="738"/>
    </row>
    <row r="63" spans="1:27" x14ac:dyDescent="0.2">
      <c r="A63" s="731">
        <f t="shared" si="8"/>
        <v>6</v>
      </c>
      <c r="B63" s="752">
        <v>807</v>
      </c>
      <c r="C63" s="754" t="s">
        <v>1555</v>
      </c>
      <c r="D63" s="741">
        <f>'Total Co Accts Activ C2.2A'!P37</f>
        <v>324707.32999999996</v>
      </c>
      <c r="E63" s="741">
        <f>SUMIF('O&amp;M by CE Desc Variance'!$B$8:$B$28,B63,'O&amp;M by CE Desc Variance'!$E$8:$E$28)</f>
        <v>0</v>
      </c>
      <c r="F63" s="741">
        <f>SUMIF('O&amp;M by CE Desc Variance'!$B$31:$B$49,B63,'O&amp;M by CE Desc Variance'!$E$31:$E$49)</f>
        <v>0</v>
      </c>
      <c r="G63" s="741">
        <f>SUMIF('O&amp;M by CE Desc Variance'!$B$52:$B$89,B63,'O&amp;M by CE Desc Variance'!$E$52:$E$89)</f>
        <v>0</v>
      </c>
      <c r="H63" s="741">
        <f>SUMIF('O&amp;M by CE Desc Variance'!$B$91:$B$107,B63,'O&amp;M by CE Desc Variance'!$E$91:$E$107)</f>
        <v>0</v>
      </c>
      <c r="I63" s="741">
        <f>SUMIF('O&amp;M by CE Desc Variance'!$B$110:$B$120,B63,'O&amp;M by CE Desc Variance'!$E$110:$E$120)</f>
        <v>0</v>
      </c>
      <c r="J63" s="741">
        <f>SUMIF('O&amp;M by CE Desc Variance'!$B$122:$B$136,B63,'O&amp;M by CE Desc Variance'!$E$122:$E$136)</f>
        <v>0</v>
      </c>
      <c r="K63" s="741">
        <f>SUMIF('O&amp;M by CE Desc Variance'!$B$139:$B$142,B63,'O&amp;M by CE Desc Variance'!$E$139:$E$142)</f>
        <v>0</v>
      </c>
      <c r="L63" s="741">
        <f>SUMIF('O&amp;M by CE Desc Variance'!$B$145:$B$158,B63,'O&amp;M by CE Desc Variance'!$E$145:$E$158)</f>
        <v>0</v>
      </c>
      <c r="M63" s="741">
        <f>SUMIF('O&amp;M by CE Desc Variance'!$B$161:$B$196,B63,'O&amp;M by CE Desc Variance'!$E$161:$E$196)</f>
        <v>19415.670000000042</v>
      </c>
      <c r="N63" s="741">
        <f>SUMIF('O&amp;M by CE Desc Variance'!$B$199:$B$202,'D-1'!B63,'O&amp;M by CE Desc Variance'!$E$199:$E$202)</f>
        <v>0</v>
      </c>
      <c r="O63" s="741">
        <f t="shared" si="7"/>
        <v>19415.670000000042</v>
      </c>
      <c r="P63" s="738"/>
      <c r="Q63" s="738"/>
      <c r="R63" s="738"/>
      <c r="S63" s="738"/>
      <c r="T63" s="738"/>
      <c r="U63" s="738"/>
      <c r="V63" s="738"/>
      <c r="W63" s="738"/>
      <c r="AA63" s="738"/>
    </row>
    <row r="64" spans="1:27" x14ac:dyDescent="0.2">
      <c r="A64" s="731">
        <f t="shared" si="8"/>
        <v>7</v>
      </c>
      <c r="B64" s="752">
        <v>870</v>
      </c>
      <c r="C64" s="754" t="s">
        <v>1559</v>
      </c>
      <c r="D64" s="741">
        <f>'Total Co Accts Activ C2.2A'!P41</f>
        <v>682370.48</v>
      </c>
      <c r="E64" s="741">
        <f>SUMIF('O&amp;M by CE Desc Variance'!$B$8:$B$28,B64,'O&amp;M by CE Desc Variance'!$E$8:$E$28)</f>
        <v>38270.31</v>
      </c>
      <c r="F64" s="741">
        <f>SUMIF('O&amp;M by CE Desc Variance'!$B$31:$B$49,B64,'O&amp;M by CE Desc Variance'!$E$31:$E$49)</f>
        <v>-1276.9500000000007</v>
      </c>
      <c r="G64" s="741">
        <f>SUMIF('O&amp;M by CE Desc Variance'!$B$52:$B$89,B64,'O&amp;M by CE Desc Variance'!$E$52:$E$89)</f>
        <v>5714</v>
      </c>
      <c r="H64" s="741">
        <f>SUMIF('O&amp;M by CE Desc Variance'!$B$91:$B$107,B64,'O&amp;M by CE Desc Variance'!$E$91:$E$107)</f>
        <v>0</v>
      </c>
      <c r="I64" s="741">
        <f>SUMIF('O&amp;M by CE Desc Variance'!$B$110:$B$120,B64,'O&amp;M by CE Desc Variance'!$E$110:$E$120)</f>
        <v>0</v>
      </c>
      <c r="J64" s="741">
        <f>SUMIF('O&amp;M by CE Desc Variance'!$B$122:$B$136,B64,'O&amp;M by CE Desc Variance'!$E$122:$E$136)</f>
        <v>9898.7800000000007</v>
      </c>
      <c r="K64" s="741">
        <f>SUMIF('O&amp;M by CE Desc Variance'!$B$139:$B$142,B64,'O&amp;M by CE Desc Variance'!$E$139:$E$142)</f>
        <v>0</v>
      </c>
      <c r="L64" s="741">
        <f>SUMIF('O&amp;M by CE Desc Variance'!$B$145:$B$158,B64,'O&amp;M by CE Desc Variance'!$E$145:$E$158)</f>
        <v>6</v>
      </c>
      <c r="M64" s="741">
        <f>SUMIF('O&amp;M by CE Desc Variance'!$B$161:$B$196,B64,'O&amp;M by CE Desc Variance'!$E$161:$E$196)</f>
        <v>135696.53000000003</v>
      </c>
      <c r="N64" s="741">
        <f>SUMIF('O&amp;M by CE Desc Variance'!$B$199:$B$202,'D-1'!B64,'O&amp;M by CE Desc Variance'!$E$199:$E$202)</f>
        <v>0</v>
      </c>
      <c r="O64" s="741">
        <f t="shared" si="7"/>
        <v>188308.67000000004</v>
      </c>
      <c r="P64" s="738"/>
      <c r="Q64" s="738"/>
      <c r="R64" s="738"/>
      <c r="S64" s="738"/>
      <c r="T64" s="738"/>
      <c r="U64" s="738"/>
      <c r="V64" s="738"/>
      <c r="W64" s="738"/>
      <c r="AA64" s="738"/>
    </row>
    <row r="65" spans="1:27" x14ac:dyDescent="0.2">
      <c r="A65" s="731">
        <f t="shared" si="8"/>
        <v>8</v>
      </c>
      <c r="B65" s="752">
        <v>871</v>
      </c>
      <c r="C65" s="754" t="s">
        <v>1560</v>
      </c>
      <c r="D65" s="741">
        <f>'Total Co Accts Activ C2.2A'!P42</f>
        <v>179279.47999999998</v>
      </c>
      <c r="E65" s="741">
        <f>SUMIF('O&amp;M by CE Desc Variance'!$B$8:$B$28,B65,'O&amp;M by CE Desc Variance'!$E$8:$E$28)</f>
        <v>11122.04</v>
      </c>
      <c r="F65" s="741">
        <f>SUMIF('O&amp;M by CE Desc Variance'!$B$31:$B$49,B65,'O&amp;M by CE Desc Variance'!$E$31:$E$49)</f>
        <v>0</v>
      </c>
      <c r="G65" s="741">
        <f>SUMIF('O&amp;M by CE Desc Variance'!$B$52:$B$89,B65,'O&amp;M by CE Desc Variance'!$E$52:$E$89)</f>
        <v>0</v>
      </c>
      <c r="H65" s="741">
        <f>SUMIF('O&amp;M by CE Desc Variance'!$B$91:$B$107,B65,'O&amp;M by CE Desc Variance'!$E$91:$E$107)</f>
        <v>0</v>
      </c>
      <c r="I65" s="741">
        <f>SUMIF('O&amp;M by CE Desc Variance'!$B$110:$B$120,B65,'O&amp;M by CE Desc Variance'!$E$110:$E$120)</f>
        <v>0</v>
      </c>
      <c r="J65" s="741">
        <f>SUMIF('O&amp;M by CE Desc Variance'!$B$122:$B$136,B65,'O&amp;M by CE Desc Variance'!$E$122:$E$136)</f>
        <v>0</v>
      </c>
      <c r="K65" s="741">
        <f>SUMIF('O&amp;M by CE Desc Variance'!$B$139:$B$142,B65,'O&amp;M by CE Desc Variance'!$E$139:$E$142)</f>
        <v>0</v>
      </c>
      <c r="L65" s="741">
        <f>SUMIF('O&amp;M by CE Desc Variance'!$B$145:$B$158,B65,'O&amp;M by CE Desc Variance'!$E$145:$E$158)</f>
        <v>0</v>
      </c>
      <c r="M65" s="741">
        <f>SUMIF('O&amp;M by CE Desc Variance'!$B$161:$B$196,B65,'O&amp;M by CE Desc Variance'!$E$161:$E$196)</f>
        <v>0</v>
      </c>
      <c r="N65" s="741">
        <f>SUMIF('O&amp;M by CE Desc Variance'!$B$199:$B$202,'D-1'!B65,'O&amp;M by CE Desc Variance'!$E$199:$E$202)</f>
        <v>0</v>
      </c>
      <c r="O65" s="741">
        <f t="shared" si="7"/>
        <v>11122.04</v>
      </c>
      <c r="P65" s="738"/>
      <c r="Q65" s="738"/>
      <c r="R65" s="738"/>
      <c r="S65" s="738"/>
      <c r="T65" s="738"/>
      <c r="U65" s="738"/>
      <c r="V65" s="738"/>
      <c r="W65" s="738"/>
      <c r="AA65" s="738"/>
    </row>
    <row r="66" spans="1:27" x14ac:dyDescent="0.2">
      <c r="A66" s="731">
        <f t="shared" si="8"/>
        <v>9</v>
      </c>
      <c r="B66" s="752">
        <v>874</v>
      </c>
      <c r="C66" s="754" t="s">
        <v>1561</v>
      </c>
      <c r="D66" s="741">
        <f>'Total Co Accts Activ C2.2A'!P43</f>
        <v>5029244.9800000004</v>
      </c>
      <c r="E66" s="741">
        <f>SUMIF('O&amp;M by CE Desc Variance'!$B$8:$B$28,B66,'O&amp;M by CE Desc Variance'!$E$8:$E$28)</f>
        <v>199136.08999999985</v>
      </c>
      <c r="F66" s="741">
        <f>SUMIF('O&amp;M by CE Desc Variance'!$B$31:$B$49,B66,'O&amp;M by CE Desc Variance'!$E$31:$E$49)</f>
        <v>-23544.900000000023</v>
      </c>
      <c r="G66" s="741">
        <f>SUMIF('O&amp;M by CE Desc Variance'!$B$52:$B$89,B66,'O&amp;M by CE Desc Variance'!$E$52:$E$89)</f>
        <v>309474.91000000015</v>
      </c>
      <c r="H66" s="741">
        <f>SUMIF('O&amp;M by CE Desc Variance'!$B$91:$B$107,B66,'O&amp;M by CE Desc Variance'!$E$91:$E$107)</f>
        <v>-48.740000000000009</v>
      </c>
      <c r="I66" s="741">
        <f>SUMIF('O&amp;M by CE Desc Variance'!$B$110:$B$120,B66,'O&amp;M by CE Desc Variance'!$E$110:$E$120)</f>
        <v>0</v>
      </c>
      <c r="J66" s="741">
        <f>SUMIF('O&amp;M by CE Desc Variance'!$B$122:$B$136,B66,'O&amp;M by CE Desc Variance'!$E$122:$E$136)</f>
        <v>40756.020000000019</v>
      </c>
      <c r="K66" s="741">
        <f>SUMIF('O&amp;M by CE Desc Variance'!$B$139:$B$142,B66,'O&amp;M by CE Desc Variance'!$E$139:$E$142)</f>
        <v>0</v>
      </c>
      <c r="L66" s="741">
        <f>SUMIF('O&amp;M by CE Desc Variance'!$B$145:$B$158,B66,'O&amp;M by CE Desc Variance'!$E$145:$E$158)</f>
        <v>-8272.0200000000023</v>
      </c>
      <c r="M66" s="741">
        <f>SUMIF('O&amp;M by CE Desc Variance'!$B$161:$B$196,B66,'O&amp;M by CE Desc Variance'!$E$161:$E$196)</f>
        <v>29862.549999999988</v>
      </c>
      <c r="N66" s="741">
        <f>SUMIF('O&amp;M by CE Desc Variance'!$B$199:$B$202,'D-1'!B66,'O&amp;M by CE Desc Variance'!$E$199:$E$202)</f>
        <v>0</v>
      </c>
      <c r="O66" s="741">
        <f t="shared" si="7"/>
        <v>547363.90999999992</v>
      </c>
      <c r="P66" s="738"/>
      <c r="Q66" s="738"/>
      <c r="R66" s="738"/>
      <c r="S66" s="738"/>
      <c r="T66" s="738"/>
      <c r="U66" s="738"/>
      <c r="V66" s="738"/>
      <c r="W66" s="738"/>
      <c r="AA66" s="738"/>
    </row>
    <row r="67" spans="1:27" x14ac:dyDescent="0.2">
      <c r="A67" s="731">
        <f t="shared" si="8"/>
        <v>10</v>
      </c>
      <c r="B67" s="752">
        <v>875</v>
      </c>
      <c r="C67" s="754" t="s">
        <v>1562</v>
      </c>
      <c r="D67" s="741">
        <f>'Total Co Accts Activ C2.2A'!P44</f>
        <v>158413.91999999998</v>
      </c>
      <c r="E67" s="741">
        <f>SUMIF('O&amp;M by CE Desc Variance'!$B$8:$B$28,B67,'O&amp;M by CE Desc Variance'!$E$8:$E$28)</f>
        <v>6554.3999999999942</v>
      </c>
      <c r="F67" s="741">
        <f>SUMIF('O&amp;M by CE Desc Variance'!$B$31:$B$49,B67,'O&amp;M by CE Desc Variance'!$E$31:$E$49)</f>
        <v>1052.7799999999997</v>
      </c>
      <c r="G67" s="741">
        <f>SUMIF('O&amp;M by CE Desc Variance'!$B$52:$B$89,B67,'O&amp;M by CE Desc Variance'!$E$52:$E$89)</f>
        <v>23662.75</v>
      </c>
      <c r="H67" s="741">
        <f>SUMIF('O&amp;M by CE Desc Variance'!$B$91:$B$107,B67,'O&amp;M by CE Desc Variance'!$E$91:$E$107)</f>
        <v>-23.58</v>
      </c>
      <c r="I67" s="741">
        <f>SUMIF('O&amp;M by CE Desc Variance'!$B$110:$B$120,B67,'O&amp;M by CE Desc Variance'!$E$110:$E$120)</f>
        <v>0</v>
      </c>
      <c r="J67" s="741">
        <f>SUMIF('O&amp;M by CE Desc Variance'!$B$122:$B$136,B67,'O&amp;M by CE Desc Variance'!$E$122:$E$136)</f>
        <v>1903.5400000000009</v>
      </c>
      <c r="K67" s="741">
        <f>SUMIF('O&amp;M by CE Desc Variance'!$B$139:$B$142,B67,'O&amp;M by CE Desc Variance'!$E$139:$E$142)</f>
        <v>0</v>
      </c>
      <c r="L67" s="741">
        <f>SUMIF('O&amp;M by CE Desc Variance'!$B$145:$B$158,B67,'O&amp;M by CE Desc Variance'!$E$145:$E$158)</f>
        <v>-516.88999999999942</v>
      </c>
      <c r="M67" s="741">
        <f>SUMIF('O&amp;M by CE Desc Variance'!$B$161:$B$196,B67,'O&amp;M by CE Desc Variance'!$E$161:$E$196)</f>
        <v>1967.25</v>
      </c>
      <c r="N67" s="741">
        <f>SUMIF('O&amp;M by CE Desc Variance'!$B$199:$B$202,'D-1'!B67,'O&amp;M by CE Desc Variance'!$E$199:$E$202)</f>
        <v>0</v>
      </c>
      <c r="O67" s="741">
        <f t="shared" si="7"/>
        <v>34600.249999999993</v>
      </c>
      <c r="P67" s="738"/>
      <c r="Q67" s="738"/>
      <c r="R67" s="738"/>
      <c r="S67" s="738"/>
      <c r="T67" s="738"/>
      <c r="U67" s="738"/>
      <c r="V67" s="738"/>
      <c r="W67" s="738"/>
      <c r="AA67" s="738"/>
    </row>
    <row r="68" spans="1:27" x14ac:dyDescent="0.2">
      <c r="A68" s="731">
        <f t="shared" si="8"/>
        <v>11</v>
      </c>
      <c r="B68" s="752">
        <v>876</v>
      </c>
      <c r="C68" s="754" t="s">
        <v>1563</v>
      </c>
      <c r="D68" s="741">
        <f>'Total Co Accts Activ C2.2A'!P45</f>
        <v>66115.03</v>
      </c>
      <c r="E68" s="741">
        <f>SUMIF('O&amp;M by CE Desc Variance'!$B$8:$B$28,B68,'O&amp;M by CE Desc Variance'!$E$8:$E$28)</f>
        <v>-3062.8600000000006</v>
      </c>
      <c r="F68" s="741">
        <f>SUMIF('O&amp;M by CE Desc Variance'!$B$31:$B$49,B68,'O&amp;M by CE Desc Variance'!$E$31:$E$49)</f>
        <v>80.81</v>
      </c>
      <c r="G68" s="741">
        <f>SUMIF('O&amp;M by CE Desc Variance'!$B$52:$B$89,B68,'O&amp;M by CE Desc Variance'!$E$52:$E$89)</f>
        <v>58</v>
      </c>
      <c r="H68" s="741">
        <f>SUMIF('O&amp;M by CE Desc Variance'!$B$91:$B$107,B68,'O&amp;M by CE Desc Variance'!$E$91:$E$107)</f>
        <v>0</v>
      </c>
      <c r="I68" s="741">
        <f>SUMIF('O&amp;M by CE Desc Variance'!$B$110:$B$120,B68,'O&amp;M by CE Desc Variance'!$E$110:$E$120)</f>
        <v>0</v>
      </c>
      <c r="J68" s="741">
        <f>SUMIF('O&amp;M by CE Desc Variance'!$B$122:$B$136,B68,'O&amp;M by CE Desc Variance'!$E$122:$E$136)</f>
        <v>1070.67</v>
      </c>
      <c r="K68" s="741">
        <f>SUMIF('O&amp;M by CE Desc Variance'!$B$139:$B$142,B68,'O&amp;M by CE Desc Variance'!$E$139:$E$142)</f>
        <v>0</v>
      </c>
      <c r="L68" s="741">
        <f>SUMIF('O&amp;M by CE Desc Variance'!$B$145:$B$158,B68,'O&amp;M by CE Desc Variance'!$E$145:$E$158)</f>
        <v>0</v>
      </c>
      <c r="M68" s="741">
        <f>SUMIF('O&amp;M by CE Desc Variance'!$B$161:$B$196,B68,'O&amp;M by CE Desc Variance'!$E$161:$E$196)</f>
        <v>1608.1499999999996</v>
      </c>
      <c r="N68" s="741">
        <f>SUMIF('O&amp;M by CE Desc Variance'!$B$199:$B$202,'D-1'!B68,'O&amp;M by CE Desc Variance'!$E$199:$E$202)</f>
        <v>0</v>
      </c>
      <c r="O68" s="741">
        <f t="shared" si="7"/>
        <v>-245.23000000000093</v>
      </c>
      <c r="P68" s="738"/>
      <c r="Q68" s="738"/>
      <c r="R68" s="738"/>
      <c r="S68" s="738"/>
      <c r="T68" s="738"/>
      <c r="U68" s="738"/>
      <c r="V68" s="738"/>
      <c r="W68" s="738"/>
      <c r="AA68" s="738"/>
    </row>
    <row r="69" spans="1:27" x14ac:dyDescent="0.2">
      <c r="A69" s="731">
        <f t="shared" si="8"/>
        <v>12</v>
      </c>
      <c r="B69" s="752">
        <v>878</v>
      </c>
      <c r="C69" s="754" t="s">
        <v>1564</v>
      </c>
      <c r="D69" s="741">
        <f>'Total Co Accts Activ C2.2A'!P46</f>
        <v>1528786.8384599998</v>
      </c>
      <c r="E69" s="741">
        <f>SUMIF('O&amp;M by CE Desc Variance'!$B$8:$B$28,B69,'O&amp;M by CE Desc Variance'!$E$8:$E$28)</f>
        <v>82690.770000000019</v>
      </c>
      <c r="F69" s="741">
        <f>SUMIF('O&amp;M by CE Desc Variance'!$B$31:$B$49,B69,'O&amp;M by CE Desc Variance'!$E$31:$E$49)</f>
        <v>5775.9400000000023</v>
      </c>
      <c r="G69" s="741">
        <f>SUMIF('O&amp;M by CE Desc Variance'!$B$52:$B$89,B69,'O&amp;M by CE Desc Variance'!$E$52:$E$89)</f>
        <v>794.27000000000044</v>
      </c>
      <c r="H69" s="741">
        <f>SUMIF('O&amp;M by CE Desc Variance'!$B$91:$B$107,B69,'O&amp;M by CE Desc Variance'!$E$91:$E$107)</f>
        <v>-163.88</v>
      </c>
      <c r="I69" s="741">
        <f>SUMIF('O&amp;M by CE Desc Variance'!$B$110:$B$120,B69,'O&amp;M by CE Desc Variance'!$E$110:$E$120)</f>
        <v>0</v>
      </c>
      <c r="J69" s="741">
        <f>SUMIF('O&amp;M by CE Desc Variance'!$B$122:$B$136,B69,'O&amp;M by CE Desc Variance'!$E$122:$E$136)</f>
        <v>6465</v>
      </c>
      <c r="K69" s="741">
        <f>SUMIF('O&amp;M by CE Desc Variance'!$B$139:$B$142,B69,'O&amp;M by CE Desc Variance'!$E$139:$E$142)</f>
        <v>0</v>
      </c>
      <c r="L69" s="741">
        <f>SUMIF('O&amp;M by CE Desc Variance'!$B$145:$B$158,B69,'O&amp;M by CE Desc Variance'!$E$145:$E$158)</f>
        <v>-1.3000000000000007</v>
      </c>
      <c r="M69" s="741">
        <f>SUMIF('O&amp;M by CE Desc Variance'!$B$161:$B$196,B69,'O&amp;M by CE Desc Variance'!$E$161:$E$196)</f>
        <v>7567.2300000000105</v>
      </c>
      <c r="N69" s="741">
        <f>SUMIF('O&amp;M by CE Desc Variance'!$B$199:$B$202,'D-1'!B69,'O&amp;M by CE Desc Variance'!$E$199:$E$202)</f>
        <v>0</v>
      </c>
      <c r="O69" s="741">
        <f t="shared" si="7"/>
        <v>103128.03000000003</v>
      </c>
      <c r="P69" s="738"/>
      <c r="Q69" s="738"/>
      <c r="R69" s="738"/>
      <c r="S69" s="738"/>
      <c r="T69" s="738"/>
      <c r="U69" s="738"/>
      <c r="V69" s="738"/>
      <c r="W69" s="738"/>
      <c r="AA69" s="738"/>
    </row>
    <row r="70" spans="1:27" x14ac:dyDescent="0.2">
      <c r="A70" s="731">
        <f t="shared" si="8"/>
        <v>13</v>
      </c>
      <c r="B70" s="752">
        <v>879</v>
      </c>
      <c r="C70" s="754" t="s">
        <v>1565</v>
      </c>
      <c r="D70" s="741">
        <f>'Total Co Accts Activ C2.2A'!P47</f>
        <v>1840759.544</v>
      </c>
      <c r="E70" s="741">
        <f>SUMIF('O&amp;M by CE Desc Variance'!$B$8:$B$28,B70,'O&amp;M by CE Desc Variance'!$E$8:$E$28)</f>
        <v>117847.29000000004</v>
      </c>
      <c r="F70" s="741">
        <f>SUMIF('O&amp;M by CE Desc Variance'!$B$31:$B$49,B70,'O&amp;M by CE Desc Variance'!$E$31:$E$49)</f>
        <v>673.71999999999753</v>
      </c>
      <c r="G70" s="741">
        <f>SUMIF('O&amp;M by CE Desc Variance'!$B$52:$B$89,B70,'O&amp;M by CE Desc Variance'!$E$52:$E$89)</f>
        <v>41752.149999999994</v>
      </c>
      <c r="H70" s="741">
        <f>SUMIF('O&amp;M by CE Desc Variance'!$B$91:$B$107,B70,'O&amp;M by CE Desc Variance'!$E$91:$E$107)</f>
        <v>-123.10000000000002</v>
      </c>
      <c r="I70" s="741">
        <f>SUMIF('O&amp;M by CE Desc Variance'!$B$110:$B$120,B70,'O&amp;M by CE Desc Variance'!$E$110:$E$120)</f>
        <v>0</v>
      </c>
      <c r="J70" s="741">
        <f>SUMIF('O&amp;M by CE Desc Variance'!$B$122:$B$136,B70,'O&amp;M by CE Desc Variance'!$E$122:$E$136)</f>
        <v>2680.8999999999996</v>
      </c>
      <c r="K70" s="741">
        <f>SUMIF('O&amp;M by CE Desc Variance'!$B$139:$B$142,B70,'O&amp;M by CE Desc Variance'!$E$139:$E$142)</f>
        <v>0</v>
      </c>
      <c r="L70" s="741">
        <f>SUMIF('O&amp;M by CE Desc Variance'!$B$145:$B$158,B70,'O&amp;M by CE Desc Variance'!$E$145:$E$158)</f>
        <v>-5.46</v>
      </c>
      <c r="M70" s="741">
        <f>SUMIF('O&amp;M by CE Desc Variance'!$B$161:$B$196,B70,'O&amp;M by CE Desc Variance'!$E$161:$E$196)</f>
        <v>7493.9700000000012</v>
      </c>
      <c r="N70" s="741">
        <f>SUMIF('O&amp;M by CE Desc Variance'!$B$199:$B$202,'D-1'!B70,'O&amp;M by CE Desc Variance'!$E$199:$E$202)</f>
        <v>0</v>
      </c>
      <c r="O70" s="741">
        <f t="shared" si="7"/>
        <v>170319.47000000003</v>
      </c>
      <c r="P70" s="738"/>
      <c r="Q70" s="738"/>
      <c r="R70" s="738"/>
      <c r="S70" s="738"/>
      <c r="T70" s="738"/>
      <c r="U70" s="738"/>
      <c r="V70" s="738"/>
      <c r="W70" s="738"/>
      <c r="AA70" s="738"/>
    </row>
    <row r="71" spans="1:27" x14ac:dyDescent="0.2">
      <c r="A71" s="731">
        <f t="shared" si="8"/>
        <v>14</v>
      </c>
      <c r="B71" s="752">
        <v>880</v>
      </c>
      <c r="C71" s="754" t="s">
        <v>1566</v>
      </c>
      <c r="D71" s="741">
        <f>'Total Co Accts Activ C2.2A'!P48</f>
        <v>1549136.67</v>
      </c>
      <c r="E71" s="741">
        <f>SUMIF('O&amp;M by CE Desc Variance'!$B$8:$B$28,B71,'O&amp;M by CE Desc Variance'!$E$8:$E$28)</f>
        <v>20591.510000000009</v>
      </c>
      <c r="F71" s="741">
        <f>SUMIF('O&amp;M by CE Desc Variance'!$B$31:$B$49,B71,'O&amp;M by CE Desc Variance'!$E$31:$E$49)</f>
        <v>6051.1900000000023</v>
      </c>
      <c r="G71" s="741">
        <f>SUMIF('O&amp;M by CE Desc Variance'!$B$52:$B$89,B71,'O&amp;M by CE Desc Variance'!$E$52:$E$89)</f>
        <v>151937.97999999998</v>
      </c>
      <c r="H71" s="741">
        <f>SUMIF('O&amp;M by CE Desc Variance'!$B$91:$B$107,B71,'O&amp;M by CE Desc Variance'!$E$91:$E$107)</f>
        <v>284.84000000000015</v>
      </c>
      <c r="I71" s="741">
        <f>SUMIF('O&amp;M by CE Desc Variance'!$B$110:$B$120,B71,'O&amp;M by CE Desc Variance'!$E$110:$E$120)</f>
        <v>-4.18</v>
      </c>
      <c r="J71" s="741">
        <f>SUMIF('O&amp;M by CE Desc Variance'!$B$122:$B$136,B71,'O&amp;M by CE Desc Variance'!$E$122:$E$136)</f>
        <v>14548.019999999997</v>
      </c>
      <c r="K71" s="741">
        <f>SUMIF('O&amp;M by CE Desc Variance'!$B$139:$B$142,B71,'O&amp;M by CE Desc Variance'!$E$139:$E$142)</f>
        <v>-5293</v>
      </c>
      <c r="L71" s="741">
        <f>SUMIF('O&amp;M by CE Desc Variance'!$B$145:$B$158,B71,'O&amp;M by CE Desc Variance'!$E$145:$E$158)</f>
        <v>-4493.2000000000116</v>
      </c>
      <c r="M71" s="741">
        <f>SUMIF('O&amp;M by CE Desc Variance'!$B$161:$B$196,B71,'O&amp;M by CE Desc Variance'!$E$161:$E$196)</f>
        <v>2852.3300000000017</v>
      </c>
      <c r="N71" s="741">
        <f>SUMIF('O&amp;M by CE Desc Variance'!$B$199:$B$202,'D-1'!B71,'O&amp;M by CE Desc Variance'!$E$199:$E$202)</f>
        <v>0</v>
      </c>
      <c r="O71" s="741">
        <f t="shared" si="7"/>
        <v>186475.49</v>
      </c>
      <c r="P71" s="738"/>
      <c r="Q71" s="738"/>
      <c r="R71" s="738"/>
      <c r="S71" s="738"/>
      <c r="T71" s="738"/>
      <c r="U71" s="738"/>
      <c r="V71" s="738"/>
      <c r="W71" s="738"/>
      <c r="AA71" s="738"/>
    </row>
    <row r="72" spans="1:27" x14ac:dyDescent="0.2">
      <c r="A72" s="731">
        <f t="shared" si="8"/>
        <v>15</v>
      </c>
      <c r="B72" s="755">
        <v>881</v>
      </c>
      <c r="C72" s="754" t="s">
        <v>1567</v>
      </c>
      <c r="D72" s="741">
        <f>'Total Co Accts Activ C2.2A'!P49</f>
        <v>86542.36</v>
      </c>
      <c r="E72" s="741">
        <f>SUMIF('O&amp;M by CE Desc Variance'!$B$8:$B$28,B72,'O&amp;M by CE Desc Variance'!$E$8:$E$28)</f>
        <v>0</v>
      </c>
      <c r="F72" s="741">
        <f>SUMIF('O&amp;M by CE Desc Variance'!$B$31:$B$49,B72,'O&amp;M by CE Desc Variance'!$E$31:$E$49)</f>
        <v>0</v>
      </c>
      <c r="G72" s="741">
        <f>SUMIF('O&amp;M by CE Desc Variance'!$B$52:$B$89,B72,'O&amp;M by CE Desc Variance'!$E$52:$E$89)</f>
        <v>0</v>
      </c>
      <c r="H72" s="741">
        <f>SUMIF('O&amp;M by CE Desc Variance'!$B$91:$B$107,B72,'O&amp;M by CE Desc Variance'!$E$91:$E$107)</f>
        <v>-785.36000000000058</v>
      </c>
      <c r="I72" s="741">
        <f>SUMIF('O&amp;M by CE Desc Variance'!$B$110:$B$120,B72,'O&amp;M by CE Desc Variance'!$E$110:$E$120)</f>
        <v>0</v>
      </c>
      <c r="J72" s="741">
        <f>SUMIF('O&amp;M by CE Desc Variance'!$B$122:$B$136,B72,'O&amp;M by CE Desc Variance'!$E$122:$E$136)</f>
        <v>0</v>
      </c>
      <c r="K72" s="741">
        <f>SUMIF('O&amp;M by CE Desc Variance'!$B$139:$B$142,B72,'O&amp;M by CE Desc Variance'!$E$139:$E$142)</f>
        <v>0</v>
      </c>
      <c r="L72" s="741">
        <f>SUMIF('O&amp;M by CE Desc Variance'!$B$145:$B$158,B72,'O&amp;M by CE Desc Variance'!$E$145:$E$158)</f>
        <v>0</v>
      </c>
      <c r="M72" s="741">
        <f>SUMIF('O&amp;M by CE Desc Variance'!$B$161:$B$196,B72,'O&amp;M by CE Desc Variance'!$E$161:$E$196)</f>
        <v>0</v>
      </c>
      <c r="N72" s="741">
        <f>SUMIF('O&amp;M by CE Desc Variance'!$B$199:$B$202,'D-1'!B72,'O&amp;M by CE Desc Variance'!$E$199:$E$202)</f>
        <v>0</v>
      </c>
      <c r="O72" s="741">
        <f t="shared" si="7"/>
        <v>-785.36000000000058</v>
      </c>
      <c r="P72" s="738"/>
      <c r="Q72" s="738"/>
      <c r="R72" s="738"/>
      <c r="S72" s="738"/>
      <c r="T72" s="738"/>
      <c r="U72" s="738"/>
      <c r="V72" s="738"/>
      <c r="W72" s="738"/>
      <c r="AA72" s="738"/>
    </row>
    <row r="73" spans="1:27" x14ac:dyDescent="0.2">
      <c r="A73" s="731">
        <f t="shared" si="8"/>
        <v>16</v>
      </c>
      <c r="B73" s="752">
        <v>885</v>
      </c>
      <c r="C73" s="754" t="s">
        <v>1559</v>
      </c>
      <c r="D73" s="741">
        <f>'Total Co Accts Activ C2.2A'!P50</f>
        <v>9794.57</v>
      </c>
      <c r="E73" s="741">
        <f>SUMIF('O&amp;M by CE Desc Variance'!$B$8:$B$28,B73,'O&amp;M by CE Desc Variance'!$E$8:$E$28)</f>
        <v>411.84999999999854</v>
      </c>
      <c r="F73" s="741">
        <f>SUMIF('O&amp;M by CE Desc Variance'!$B$31:$B$49,B73,'O&amp;M by CE Desc Variance'!$E$31:$E$49)</f>
        <v>11.349999999999994</v>
      </c>
      <c r="G73" s="741">
        <f>SUMIF('O&amp;M by CE Desc Variance'!$B$52:$B$89,B73,'O&amp;M by CE Desc Variance'!$E$52:$E$89)</f>
        <v>0</v>
      </c>
      <c r="H73" s="741">
        <f>SUMIF('O&amp;M by CE Desc Variance'!$B$91:$B$107,B73,'O&amp;M by CE Desc Variance'!$E$91:$E$107)</f>
        <v>0</v>
      </c>
      <c r="I73" s="741">
        <f>SUMIF('O&amp;M by CE Desc Variance'!$B$110:$B$120,B73,'O&amp;M by CE Desc Variance'!$E$110:$E$120)</f>
        <v>0</v>
      </c>
      <c r="J73" s="741">
        <f>SUMIF('O&amp;M by CE Desc Variance'!$B$122:$B$136,B73,'O&amp;M by CE Desc Variance'!$E$122:$E$136)</f>
        <v>159.06999999999994</v>
      </c>
      <c r="K73" s="741">
        <f>SUMIF('O&amp;M by CE Desc Variance'!$B$139:$B$142,B73,'O&amp;M by CE Desc Variance'!$E$139:$E$142)</f>
        <v>0</v>
      </c>
      <c r="L73" s="741">
        <f>SUMIF('O&amp;M by CE Desc Variance'!$B$145:$B$158,B73,'O&amp;M by CE Desc Variance'!$E$145:$E$158)</f>
        <v>0</v>
      </c>
      <c r="M73" s="741">
        <f>SUMIF('O&amp;M by CE Desc Variance'!$B$161:$B$196,B73,'O&amp;M by CE Desc Variance'!$E$161:$E$196)</f>
        <v>0</v>
      </c>
      <c r="N73" s="741">
        <f>SUMIF('O&amp;M by CE Desc Variance'!$B$199:$B$202,'D-1'!B73,'O&amp;M by CE Desc Variance'!$E$199:$E$202)</f>
        <v>0</v>
      </c>
      <c r="O73" s="741">
        <f t="shared" si="7"/>
        <v>582.2699999999985</v>
      </c>
      <c r="P73" s="738"/>
      <c r="Q73" s="738"/>
      <c r="R73" s="738"/>
      <c r="S73" s="738"/>
      <c r="T73" s="738"/>
      <c r="U73" s="738"/>
      <c r="V73" s="738"/>
      <c r="W73" s="738"/>
      <c r="AA73" s="738"/>
    </row>
    <row r="74" spans="1:27" x14ac:dyDescent="0.2">
      <c r="A74" s="731">
        <f t="shared" si="8"/>
        <v>17</v>
      </c>
      <c r="B74" s="752">
        <v>886</v>
      </c>
      <c r="C74" s="754" t="s">
        <v>1568</v>
      </c>
      <c r="D74" s="741">
        <f>'Total Co Accts Activ C2.2A'!P51</f>
        <v>255921.81</v>
      </c>
      <c r="E74" s="741">
        <f>SUMIF('O&amp;M by CE Desc Variance'!$B$8:$B$28,B74,'O&amp;M by CE Desc Variance'!$E$8:$E$28)</f>
        <v>540.32000000000016</v>
      </c>
      <c r="F74" s="741">
        <f>SUMIF('O&amp;M by CE Desc Variance'!$B$31:$B$49,B74,'O&amp;M by CE Desc Variance'!$E$31:$E$49)</f>
        <v>-8295.5400000000009</v>
      </c>
      <c r="G74" s="741">
        <f>SUMIF('O&amp;M by CE Desc Variance'!$B$52:$B$89,B74,'O&amp;M by CE Desc Variance'!$E$52:$E$89)</f>
        <v>6969.1000000000058</v>
      </c>
      <c r="H74" s="741">
        <f>SUMIF('O&amp;M by CE Desc Variance'!$B$91:$B$107,B74,'O&amp;M by CE Desc Variance'!$E$91:$E$107)</f>
        <v>0</v>
      </c>
      <c r="I74" s="741">
        <f>SUMIF('O&amp;M by CE Desc Variance'!$B$110:$B$120,B74,'O&amp;M by CE Desc Variance'!$E$110:$E$120)</f>
        <v>0</v>
      </c>
      <c r="J74" s="741">
        <f>SUMIF('O&amp;M by CE Desc Variance'!$B$122:$B$136,B74,'O&amp;M by CE Desc Variance'!$E$122:$E$136)</f>
        <v>0</v>
      </c>
      <c r="K74" s="741">
        <f>SUMIF('O&amp;M by CE Desc Variance'!$B$139:$B$142,B74,'O&amp;M by CE Desc Variance'!$E$139:$E$142)</f>
        <v>0</v>
      </c>
      <c r="L74" s="741">
        <f>SUMIF('O&amp;M by CE Desc Variance'!$B$145:$B$158,B74,'O&amp;M by CE Desc Variance'!$E$145:$E$158)</f>
        <v>-1884.0199999999968</v>
      </c>
      <c r="M74" s="741">
        <f>SUMIF('O&amp;M by CE Desc Variance'!$B$161:$B$196,B74,'O&amp;M by CE Desc Variance'!$E$161:$E$196)</f>
        <v>0</v>
      </c>
      <c r="N74" s="741">
        <f>SUMIF('O&amp;M by CE Desc Variance'!$B$199:$B$202,'D-1'!B74,'O&amp;M by CE Desc Variance'!$E$199:$E$202)</f>
        <v>0</v>
      </c>
      <c r="O74" s="741">
        <f t="shared" si="7"/>
        <v>-2670.1399999999921</v>
      </c>
      <c r="P74" s="738"/>
      <c r="Q74" s="738"/>
      <c r="R74" s="738"/>
      <c r="S74" s="738"/>
      <c r="T74" s="738"/>
      <c r="U74" s="738"/>
      <c r="V74" s="738"/>
      <c r="W74" s="738"/>
      <c r="AA74" s="738"/>
    </row>
    <row r="75" spans="1:27" x14ac:dyDescent="0.2">
      <c r="A75" s="731">
        <f t="shared" si="8"/>
        <v>18</v>
      </c>
      <c r="B75" s="752">
        <v>887</v>
      </c>
      <c r="C75" s="754" t="s">
        <v>719</v>
      </c>
      <c r="D75" s="741">
        <f>'Total Co Accts Activ C2.2A'!P52</f>
        <v>2786673.2094700001</v>
      </c>
      <c r="E75" s="741">
        <f>SUMIF('O&amp;M by CE Desc Variance'!$B$8:$B$28,B75,'O&amp;M by CE Desc Variance'!$E$8:$E$28)</f>
        <v>84426.680000000051</v>
      </c>
      <c r="F75" s="741">
        <f>SUMIF('O&amp;M by CE Desc Variance'!$B$31:$B$49,B75,'O&amp;M by CE Desc Variance'!$E$31:$E$49)</f>
        <v>4358.9100000000326</v>
      </c>
      <c r="G75" s="741">
        <f>SUMIF('O&amp;M by CE Desc Variance'!$B$52:$B$89,B75,'O&amp;M by CE Desc Variance'!$E$52:$E$89)</f>
        <v>152993.82000000007</v>
      </c>
      <c r="H75" s="741">
        <f>SUMIF('O&amp;M by CE Desc Variance'!$B$91:$B$107,B75,'O&amp;M by CE Desc Variance'!$E$91:$E$107)</f>
        <v>-265.38</v>
      </c>
      <c r="I75" s="741">
        <f>SUMIF('O&amp;M by CE Desc Variance'!$B$110:$B$120,B75,'O&amp;M by CE Desc Variance'!$E$110:$E$120)</f>
        <v>12</v>
      </c>
      <c r="J75" s="741">
        <f>SUMIF('O&amp;M by CE Desc Variance'!$B$122:$B$136,B75,'O&amp;M by CE Desc Variance'!$E$122:$E$136)</f>
        <v>6752.23</v>
      </c>
      <c r="K75" s="741">
        <f>SUMIF('O&amp;M by CE Desc Variance'!$B$139:$B$142,B75,'O&amp;M by CE Desc Variance'!$E$139:$E$142)</f>
        <v>0</v>
      </c>
      <c r="L75" s="741">
        <f>SUMIF('O&amp;M by CE Desc Variance'!$B$145:$B$158,B75,'O&amp;M by CE Desc Variance'!$E$145:$E$158)</f>
        <v>-1036.5800000000017</v>
      </c>
      <c r="M75" s="741">
        <f>SUMIF('O&amp;M by CE Desc Variance'!$B$161:$B$196,B75,'O&amp;M by CE Desc Variance'!$E$161:$E$196)</f>
        <v>7550.5</v>
      </c>
      <c r="N75" s="741">
        <f>SUMIF('O&amp;M by CE Desc Variance'!$B$199:$B$202,'D-1'!B75,'O&amp;M by CE Desc Variance'!$E$199:$E$202)</f>
        <v>0</v>
      </c>
      <c r="O75" s="741">
        <f t="shared" si="7"/>
        <v>254792.18000000017</v>
      </c>
      <c r="P75" s="738"/>
      <c r="Q75" s="738"/>
      <c r="R75" s="738"/>
      <c r="S75" s="738"/>
      <c r="T75" s="738"/>
      <c r="U75" s="738"/>
      <c r="V75" s="738"/>
      <c r="W75" s="738"/>
      <c r="AA75" s="738"/>
    </row>
    <row r="76" spans="1:27" x14ac:dyDescent="0.2">
      <c r="A76" s="731">
        <f t="shared" si="8"/>
        <v>19</v>
      </c>
      <c r="B76" s="752">
        <v>889</v>
      </c>
      <c r="C76" s="754" t="s">
        <v>1562</v>
      </c>
      <c r="D76" s="741">
        <f>'Total Co Accts Activ C2.2A'!P53</f>
        <v>269427.95999999996</v>
      </c>
      <c r="E76" s="741">
        <f>SUMIF('O&amp;M by CE Desc Variance'!$B$8:$B$28,B76,'O&amp;M by CE Desc Variance'!$E$8:$E$28)</f>
        <v>8981.0299999999988</v>
      </c>
      <c r="F76" s="741">
        <f>SUMIF('O&amp;M by CE Desc Variance'!$B$31:$B$49,B76,'O&amp;M by CE Desc Variance'!$E$31:$E$49)</f>
        <v>-11171.190000000002</v>
      </c>
      <c r="G76" s="741">
        <f>SUMIF('O&amp;M by CE Desc Variance'!$B$52:$B$89,B76,'O&amp;M by CE Desc Variance'!$E$52:$E$89)</f>
        <v>425</v>
      </c>
      <c r="H76" s="741">
        <f>SUMIF('O&amp;M by CE Desc Variance'!$B$91:$B$107,B76,'O&amp;M by CE Desc Variance'!$E$91:$E$107)</f>
        <v>0</v>
      </c>
      <c r="I76" s="741">
        <f>SUMIF('O&amp;M by CE Desc Variance'!$B$110:$B$120,B76,'O&amp;M by CE Desc Variance'!$E$110:$E$120)</f>
        <v>0</v>
      </c>
      <c r="J76" s="741">
        <f>SUMIF('O&amp;M by CE Desc Variance'!$B$122:$B$136,B76,'O&amp;M by CE Desc Variance'!$E$122:$E$136)</f>
        <v>2091.6999999999998</v>
      </c>
      <c r="K76" s="741">
        <f>SUMIF('O&amp;M by CE Desc Variance'!$B$139:$B$142,B76,'O&amp;M by CE Desc Variance'!$E$139:$E$142)</f>
        <v>0</v>
      </c>
      <c r="L76" s="741">
        <f>SUMIF('O&amp;M by CE Desc Variance'!$B$145:$B$158,B76,'O&amp;M by CE Desc Variance'!$E$145:$E$158)</f>
        <v>0</v>
      </c>
      <c r="M76" s="741">
        <f>SUMIF('O&amp;M by CE Desc Variance'!$B$161:$B$196,B76,'O&amp;M by CE Desc Variance'!$E$161:$E$196)</f>
        <v>1967.25</v>
      </c>
      <c r="N76" s="741">
        <f>SUMIF('O&amp;M by CE Desc Variance'!$B$199:$B$202,'D-1'!B76,'O&amp;M by CE Desc Variance'!$E$199:$E$202)</f>
        <v>0</v>
      </c>
      <c r="O76" s="741">
        <f t="shared" si="7"/>
        <v>2293.7899999999963</v>
      </c>
      <c r="P76" s="738"/>
      <c r="Q76" s="738"/>
      <c r="R76" s="738"/>
      <c r="S76" s="738"/>
      <c r="T76" s="738"/>
      <c r="U76" s="738"/>
      <c r="V76" s="738"/>
      <c r="W76" s="738"/>
      <c r="AA76" s="738"/>
    </row>
    <row r="77" spans="1:27" x14ac:dyDescent="0.2">
      <c r="A77" s="731">
        <f t="shared" si="8"/>
        <v>20</v>
      </c>
      <c r="B77" s="752">
        <v>890</v>
      </c>
      <c r="C77" s="754" t="s">
        <v>1563</v>
      </c>
      <c r="D77" s="741">
        <f>'Total Co Accts Activ C2.2A'!P54</f>
        <v>60575.87</v>
      </c>
      <c r="E77" s="741">
        <f>SUMIF('O&amp;M by CE Desc Variance'!$B$8:$B$28,B77,'O&amp;M by CE Desc Variance'!$E$8:$E$28)</f>
        <v>546.54999999999927</v>
      </c>
      <c r="F77" s="741">
        <f>SUMIF('O&amp;M by CE Desc Variance'!$B$31:$B$49,B77,'O&amp;M by CE Desc Variance'!$E$31:$E$49)</f>
        <v>0</v>
      </c>
      <c r="G77" s="741">
        <f>SUMIF('O&amp;M by CE Desc Variance'!$B$52:$B$89,B77,'O&amp;M by CE Desc Variance'!$E$52:$E$89)</f>
        <v>58</v>
      </c>
      <c r="H77" s="741">
        <f>SUMIF('O&amp;M by CE Desc Variance'!$B$91:$B$107,B77,'O&amp;M by CE Desc Variance'!$E$91:$E$107)</f>
        <v>0</v>
      </c>
      <c r="I77" s="741">
        <f>SUMIF('O&amp;M by CE Desc Variance'!$B$110:$B$120,B77,'O&amp;M by CE Desc Variance'!$E$110:$E$120)</f>
        <v>0</v>
      </c>
      <c r="J77" s="741">
        <f>SUMIF('O&amp;M by CE Desc Variance'!$B$122:$B$136,B77,'O&amp;M by CE Desc Variance'!$E$122:$E$136)</f>
        <v>1070.67</v>
      </c>
      <c r="K77" s="741">
        <f>SUMIF('O&amp;M by CE Desc Variance'!$B$139:$B$142,B77,'O&amp;M by CE Desc Variance'!$E$139:$E$142)</f>
        <v>0</v>
      </c>
      <c r="L77" s="741">
        <f>SUMIF('O&amp;M by CE Desc Variance'!$B$145:$B$158,B77,'O&amp;M by CE Desc Variance'!$E$145:$E$158)</f>
        <v>0</v>
      </c>
      <c r="M77" s="741">
        <f>SUMIF('O&amp;M by CE Desc Variance'!$B$161:$B$196,B77,'O&amp;M by CE Desc Variance'!$E$161:$E$196)</f>
        <v>7948.7700000000041</v>
      </c>
      <c r="N77" s="741">
        <f>SUMIF('O&amp;M by CE Desc Variance'!$B$199:$B$202,'D-1'!B77,'O&amp;M by CE Desc Variance'!$E$199:$E$202)</f>
        <v>0</v>
      </c>
      <c r="O77" s="741">
        <f t="shared" si="7"/>
        <v>9623.9900000000034</v>
      </c>
      <c r="P77" s="738"/>
      <c r="Q77" s="738"/>
      <c r="R77" s="738"/>
      <c r="S77" s="738"/>
      <c r="T77" s="738"/>
      <c r="U77" s="738"/>
      <c r="V77" s="738"/>
      <c r="W77" s="738"/>
      <c r="AA77" s="738"/>
    </row>
    <row r="78" spans="1:27" x14ac:dyDescent="0.2">
      <c r="A78" s="731">
        <f t="shared" si="8"/>
        <v>21</v>
      </c>
      <c r="B78" s="1636">
        <v>892</v>
      </c>
      <c r="C78" s="754" t="s">
        <v>724</v>
      </c>
      <c r="D78" s="741">
        <f>'Total Co Accts Activ C2.2A'!P68</f>
        <v>516033.07678999996</v>
      </c>
      <c r="E78" s="741">
        <f>SUMIF('O&amp;M by CE Desc Variance'!$B$8:$B$28,B78,'O&amp;M by CE Desc Variance'!$E$8:$E$28)</f>
        <v>27928.460000000021</v>
      </c>
      <c r="F78" s="741">
        <f>SUMIF('O&amp;M by CE Desc Variance'!$B$31:$B$49,B78,'O&amp;M by CE Desc Variance'!$E$31:$E$49)</f>
        <v>3279.260000000002</v>
      </c>
      <c r="G78" s="741">
        <f>SUMIF('O&amp;M by CE Desc Variance'!$B$52:$B$89,B78,'O&amp;M by CE Desc Variance'!$E$52:$E$89)</f>
        <v>96914.889999999985</v>
      </c>
      <c r="H78" s="741">
        <f>SUMIF('O&amp;M by CE Desc Variance'!$B$91:$B$107,B78,'O&amp;M by CE Desc Variance'!$E$91:$E$107)</f>
        <v>-50.319999999999993</v>
      </c>
      <c r="I78" s="741">
        <f>SUMIF('O&amp;M by CE Desc Variance'!$B$110:$B$120,B78,'O&amp;M by CE Desc Variance'!$E$110:$E$120)</f>
        <v>-3.07</v>
      </c>
      <c r="J78" s="741">
        <f>SUMIF('O&amp;M by CE Desc Variance'!$B$122:$B$136,B78,'O&amp;M by CE Desc Variance'!$E$122:$E$136)</f>
        <v>1288.3199999999997</v>
      </c>
      <c r="K78" s="741">
        <f>SUMIF('O&amp;M by CE Desc Variance'!$B$139:$B$142,B78,'O&amp;M by CE Desc Variance'!$E$139:$E$142)</f>
        <v>0</v>
      </c>
      <c r="L78" s="741">
        <f>SUMIF('O&amp;M by CE Desc Variance'!$B$145:$B$158,B78,'O&amp;M by CE Desc Variance'!$E$145:$E$158)</f>
        <v>-1.2599999999999998</v>
      </c>
      <c r="M78" s="741">
        <f>SUMIF('O&amp;M by CE Desc Variance'!$B$161:$B$196,B78,'O&amp;M by CE Desc Variance'!$E$161:$E$196)</f>
        <v>-2959.0700000000033</v>
      </c>
      <c r="N78" s="741">
        <f>SUMIF('O&amp;M by CE Desc Variance'!$B$199:$B$202,'D-1'!B78,'O&amp;M by CE Desc Variance'!$E$199:$E$202)</f>
        <v>0</v>
      </c>
      <c r="O78" s="741">
        <f t="shared" si="7"/>
        <v>126397.21</v>
      </c>
      <c r="P78" s="738"/>
      <c r="Q78" s="738"/>
      <c r="R78" s="738"/>
      <c r="S78" s="738"/>
      <c r="T78" s="738"/>
      <c r="U78" s="738"/>
      <c r="V78" s="738"/>
      <c r="W78" s="738"/>
      <c r="AA78" s="738"/>
    </row>
    <row r="79" spans="1:27" x14ac:dyDescent="0.2">
      <c r="A79" s="731">
        <f t="shared" si="8"/>
        <v>22</v>
      </c>
      <c r="B79" s="1636">
        <v>893</v>
      </c>
      <c r="C79" s="754" t="s">
        <v>1569</v>
      </c>
      <c r="D79" s="741">
        <f>'Total Co Accts Activ C2.2A'!P69</f>
        <v>151628.13</v>
      </c>
      <c r="E79" s="741">
        <f>SUMIF('O&amp;M by CE Desc Variance'!$B$8:$B$28,B79,'O&amp;M by CE Desc Variance'!$E$8:$E$28)</f>
        <v>-6398.5200000000041</v>
      </c>
      <c r="F79" s="741">
        <f>SUMIF('O&amp;M by CE Desc Variance'!$B$31:$B$49,B79,'O&amp;M by CE Desc Variance'!$E$31:$E$49)</f>
        <v>-8143.2200000000012</v>
      </c>
      <c r="G79" s="741">
        <f>SUMIF('O&amp;M by CE Desc Variance'!$B$52:$B$89,B79,'O&amp;M by CE Desc Variance'!$E$52:$E$89)</f>
        <v>0</v>
      </c>
      <c r="H79" s="741">
        <f>SUMIF('O&amp;M by CE Desc Variance'!$B$91:$B$107,B79,'O&amp;M by CE Desc Variance'!$E$91:$E$107)</f>
        <v>0</v>
      </c>
      <c r="I79" s="741">
        <f>SUMIF('O&amp;M by CE Desc Variance'!$B$110:$B$120,B79,'O&amp;M by CE Desc Variance'!$E$110:$E$120)</f>
        <v>0</v>
      </c>
      <c r="J79" s="741">
        <f>SUMIF('O&amp;M by CE Desc Variance'!$B$122:$B$136,B79,'O&amp;M by CE Desc Variance'!$E$122:$E$136)</f>
        <v>0</v>
      </c>
      <c r="K79" s="741">
        <f>SUMIF('O&amp;M by CE Desc Variance'!$B$139:$B$142,B79,'O&amp;M by CE Desc Variance'!$E$139:$E$142)</f>
        <v>0</v>
      </c>
      <c r="L79" s="741">
        <f>SUMIF('O&amp;M by CE Desc Variance'!$B$145:$B$158,B79,'O&amp;M by CE Desc Variance'!$E$145:$E$158)</f>
        <v>0</v>
      </c>
      <c r="M79" s="741">
        <f>SUMIF('O&amp;M by CE Desc Variance'!$B$161:$B$196,B79,'O&amp;M by CE Desc Variance'!$E$161:$E$196)</f>
        <v>7947.9800000000032</v>
      </c>
      <c r="N79" s="741">
        <f>SUMIF('O&amp;M by CE Desc Variance'!$B$199:$B$202,'D-1'!B79,'O&amp;M by CE Desc Variance'!$E$199:$E$202)</f>
        <v>0</v>
      </c>
      <c r="O79" s="741">
        <f t="shared" si="7"/>
        <v>-6593.760000000002</v>
      </c>
      <c r="P79" s="738"/>
      <c r="Q79" s="738"/>
      <c r="R79" s="738"/>
      <c r="S79" s="738"/>
      <c r="T79" s="738"/>
      <c r="U79" s="738"/>
      <c r="V79" s="738"/>
      <c r="W79" s="738"/>
      <c r="AA79" s="738"/>
    </row>
    <row r="80" spans="1:27" x14ac:dyDescent="0.2">
      <c r="A80" s="731">
        <f t="shared" si="8"/>
        <v>23</v>
      </c>
      <c r="B80" s="1636">
        <v>894</v>
      </c>
      <c r="C80" s="754" t="s">
        <v>1570</v>
      </c>
      <c r="D80" s="741">
        <f>'Total Co Accts Activ C2.2A'!P70</f>
        <v>295269.18</v>
      </c>
      <c r="E80" s="741">
        <f>SUMIF('O&amp;M by CE Desc Variance'!$B$8:$B$28,B80,'O&amp;M by CE Desc Variance'!$E$8:$E$28)</f>
        <v>-9016.820000000007</v>
      </c>
      <c r="F80" s="741">
        <f>SUMIF('O&amp;M by CE Desc Variance'!$B$31:$B$49,B80,'O&amp;M by CE Desc Variance'!$E$31:$E$49)</f>
        <v>13419.080000000002</v>
      </c>
      <c r="G80" s="741">
        <f>SUMIF('O&amp;M by CE Desc Variance'!$B$52:$B$89,B80,'O&amp;M by CE Desc Variance'!$E$52:$E$89)</f>
        <v>6352.85</v>
      </c>
      <c r="H80" s="741">
        <f>SUMIF('O&amp;M by CE Desc Variance'!$B$91:$B$107,B80,'O&amp;M by CE Desc Variance'!$E$91:$E$107)</f>
        <v>0</v>
      </c>
      <c r="I80" s="741">
        <f>SUMIF('O&amp;M by CE Desc Variance'!$B$110:$B$120,B80,'O&amp;M by CE Desc Variance'!$E$110:$E$120)</f>
        <v>0</v>
      </c>
      <c r="J80" s="741">
        <f>SUMIF('O&amp;M by CE Desc Variance'!$B$122:$B$136,B80,'O&amp;M by CE Desc Variance'!$E$122:$E$136)</f>
        <v>0</v>
      </c>
      <c r="K80" s="741">
        <f>SUMIF('O&amp;M by CE Desc Variance'!$B$139:$B$142,B80,'O&amp;M by CE Desc Variance'!$E$139:$E$142)</f>
        <v>0</v>
      </c>
      <c r="L80" s="741">
        <f>SUMIF('O&amp;M by CE Desc Variance'!$B$145:$B$158,B80,'O&amp;M by CE Desc Variance'!$E$145:$E$158)</f>
        <v>106.95000000000073</v>
      </c>
      <c r="M80" s="741">
        <f>SUMIF('O&amp;M by CE Desc Variance'!$B$161:$B$196,B80,'O&amp;M by CE Desc Variance'!$E$161:$E$196)</f>
        <v>11363.319999999992</v>
      </c>
      <c r="N80" s="741">
        <f>SUMIF('O&amp;M by CE Desc Variance'!$B$199:$B$202,'D-1'!B80,'O&amp;M by CE Desc Variance'!$E$199:$E$202)</f>
        <v>0</v>
      </c>
      <c r="O80" s="741">
        <f t="shared" si="7"/>
        <v>22225.37999999999</v>
      </c>
      <c r="P80" s="738"/>
      <c r="Q80" s="738"/>
      <c r="R80" s="738"/>
      <c r="S80" s="738"/>
      <c r="T80" s="738"/>
      <c r="U80" s="738"/>
      <c r="V80" s="738"/>
      <c r="W80" s="738"/>
      <c r="AA80" s="738"/>
    </row>
    <row r="81" spans="1:27" x14ac:dyDescent="0.2">
      <c r="A81" s="731">
        <f t="shared" si="8"/>
        <v>24</v>
      </c>
      <c r="B81" s="1636">
        <v>901</v>
      </c>
      <c r="C81" s="754" t="s">
        <v>1571</v>
      </c>
      <c r="D81" s="741">
        <f>'Total Co Accts Activ C2.2A'!P71</f>
        <v>0</v>
      </c>
      <c r="E81" s="741">
        <f>SUMIF('O&amp;M by CE Desc Variance'!$B$8:$B$28,B81,'O&amp;M by CE Desc Variance'!$E$8:$E$28)</f>
        <v>0</v>
      </c>
      <c r="F81" s="741">
        <f>SUMIF('O&amp;M by CE Desc Variance'!$B$31:$B$49,B81,'O&amp;M by CE Desc Variance'!$E$31:$E$49)</f>
        <v>0</v>
      </c>
      <c r="G81" s="741">
        <f>SUMIF('O&amp;M by CE Desc Variance'!$B$52:$B$89,B81,'O&amp;M by CE Desc Variance'!$E$52:$E$89)</f>
        <v>0</v>
      </c>
      <c r="H81" s="741">
        <f>SUMIF('O&amp;M by CE Desc Variance'!$B$91:$B$107,B81,'O&amp;M by CE Desc Variance'!$E$91:$E$107)</f>
        <v>0</v>
      </c>
      <c r="I81" s="741">
        <f>SUMIF('O&amp;M by CE Desc Variance'!$B$110:$B$120,B81,'O&amp;M by CE Desc Variance'!$E$110:$E$120)</f>
        <v>0</v>
      </c>
      <c r="J81" s="741">
        <f>SUMIF('O&amp;M by CE Desc Variance'!$B$122:$B$136,B81,'O&amp;M by CE Desc Variance'!$E$122:$E$136)</f>
        <v>0</v>
      </c>
      <c r="K81" s="741">
        <f>SUMIF('O&amp;M by CE Desc Variance'!$B$139:$B$142,B81,'O&amp;M by CE Desc Variance'!$E$139:$E$142)</f>
        <v>0</v>
      </c>
      <c r="L81" s="741">
        <f>SUMIF('O&amp;M by CE Desc Variance'!$B$145:$B$158,B81,'O&amp;M by CE Desc Variance'!$E$145:$E$158)</f>
        <v>0</v>
      </c>
      <c r="M81" s="741">
        <f>SUMIF('O&amp;M by CE Desc Variance'!$B$161:$B$196,B81,'O&amp;M by CE Desc Variance'!$E$161:$E$196)</f>
        <v>0</v>
      </c>
      <c r="N81" s="741">
        <f>SUMIF('O&amp;M by CE Desc Variance'!$B$199:$B$202,'D-1'!B81,'O&amp;M by CE Desc Variance'!$E$199:$E$202)</f>
        <v>0</v>
      </c>
      <c r="O81" s="741">
        <f t="shared" si="7"/>
        <v>0</v>
      </c>
      <c r="P81" s="738"/>
      <c r="Q81" s="738"/>
      <c r="R81" s="738"/>
      <c r="S81" s="738"/>
      <c r="T81" s="738"/>
      <c r="U81" s="738"/>
      <c r="V81" s="738"/>
      <c r="W81" s="738"/>
      <c r="AA81" s="738"/>
    </row>
    <row r="82" spans="1:27" x14ac:dyDescent="0.2">
      <c r="A82" s="731">
        <f t="shared" si="8"/>
        <v>25</v>
      </c>
      <c r="B82" s="1636">
        <v>902</v>
      </c>
      <c r="C82" s="754" t="s">
        <v>1572</v>
      </c>
      <c r="D82" s="741">
        <f>'Total Co Accts Activ C2.2A'!P72</f>
        <v>367942.22</v>
      </c>
      <c r="E82" s="741">
        <f>SUMIF('O&amp;M by CE Desc Variance'!$B$8:$B$28,B82,'O&amp;M by CE Desc Variance'!$E$8:$E$28)</f>
        <v>13402.609999999986</v>
      </c>
      <c r="F82" s="741">
        <f>SUMIF('O&amp;M by CE Desc Variance'!$B$31:$B$49,B82,'O&amp;M by CE Desc Variance'!$E$31:$E$49)</f>
        <v>0</v>
      </c>
      <c r="G82" s="741">
        <f>SUMIF('O&amp;M by CE Desc Variance'!$B$52:$B$89,B82,'O&amp;M by CE Desc Variance'!$E$52:$E$89)</f>
        <v>175608.69</v>
      </c>
      <c r="H82" s="741">
        <f>SUMIF('O&amp;M by CE Desc Variance'!$B$91:$B$107,B82,'O&amp;M by CE Desc Variance'!$E$91:$E$107)</f>
        <v>0</v>
      </c>
      <c r="I82" s="741">
        <f>SUMIF('O&amp;M by CE Desc Variance'!$B$110:$B$120,B82,'O&amp;M by CE Desc Variance'!$E$110:$E$120)</f>
        <v>0</v>
      </c>
      <c r="J82" s="741">
        <f>SUMIF('O&amp;M by CE Desc Variance'!$B$122:$B$136,B82,'O&amp;M by CE Desc Variance'!$E$122:$E$136)</f>
        <v>0</v>
      </c>
      <c r="K82" s="741">
        <f>SUMIF('O&amp;M by CE Desc Variance'!$B$139:$B$142,B82,'O&amp;M by CE Desc Variance'!$E$139:$E$142)</f>
        <v>0</v>
      </c>
      <c r="L82" s="741">
        <f>SUMIF('O&amp;M by CE Desc Variance'!$B$145:$B$158,B82,'O&amp;M by CE Desc Variance'!$E$145:$E$158)</f>
        <v>0</v>
      </c>
      <c r="M82" s="741">
        <f>SUMIF('O&amp;M by CE Desc Variance'!$B$161:$B$196,B82,'O&amp;M by CE Desc Variance'!$E$161:$E$196)</f>
        <v>0</v>
      </c>
      <c r="N82" s="741">
        <f>SUMIF('O&amp;M by CE Desc Variance'!$B$199:$B$202,'D-1'!B82,'O&amp;M by CE Desc Variance'!$E$199:$E$202)</f>
        <v>0</v>
      </c>
      <c r="O82" s="741">
        <f t="shared" si="7"/>
        <v>189011.3</v>
      </c>
      <c r="P82" s="738"/>
      <c r="Q82" s="738"/>
      <c r="R82" s="738"/>
      <c r="S82" s="738"/>
      <c r="T82" s="738"/>
      <c r="U82" s="738"/>
      <c r="V82" s="738"/>
      <c r="W82" s="738"/>
      <c r="AA82" s="738"/>
    </row>
    <row r="83" spans="1:27" x14ac:dyDescent="0.2">
      <c r="A83" s="731">
        <f t="shared" si="8"/>
        <v>26</v>
      </c>
      <c r="B83" s="1636">
        <v>903</v>
      </c>
      <c r="C83" s="754" t="s">
        <v>1573</v>
      </c>
      <c r="D83" s="741">
        <f>'Total Co Accts Activ C2.2A'!P73</f>
        <v>3316269.0465199999</v>
      </c>
      <c r="E83" s="741">
        <f>SUMIF('O&amp;M by CE Desc Variance'!$B$8:$B$28,B83,'O&amp;M by CE Desc Variance'!$E$8:$E$28)</f>
        <v>49489.679999999935</v>
      </c>
      <c r="F83" s="741">
        <f>SUMIF('O&amp;M by CE Desc Variance'!$B$31:$B$49,B83,'O&amp;M by CE Desc Variance'!$E$31:$E$49)</f>
        <v>51050.449999999953</v>
      </c>
      <c r="G83" s="741">
        <f>SUMIF('O&amp;M by CE Desc Variance'!$B$52:$B$89,B83,'O&amp;M by CE Desc Variance'!$E$52:$E$89)</f>
        <v>38407.759999999995</v>
      </c>
      <c r="H83" s="741">
        <f>SUMIF('O&amp;M by CE Desc Variance'!$B$91:$B$107,B83,'O&amp;M by CE Desc Variance'!$E$91:$E$107)</f>
        <v>-45.240000000000009</v>
      </c>
      <c r="I83" s="741">
        <f>SUMIF('O&amp;M by CE Desc Variance'!$B$110:$B$120,B83,'O&amp;M by CE Desc Variance'!$E$110:$E$120)</f>
        <v>0</v>
      </c>
      <c r="J83" s="741">
        <f>SUMIF('O&amp;M by CE Desc Variance'!$B$122:$B$136,B83,'O&amp;M by CE Desc Variance'!$E$122:$E$136)</f>
        <v>1755.6800000000003</v>
      </c>
      <c r="K83" s="741">
        <f>SUMIF('O&amp;M by CE Desc Variance'!$B$139:$B$142,B83,'O&amp;M by CE Desc Variance'!$E$139:$E$142)</f>
        <v>0</v>
      </c>
      <c r="L83" s="741">
        <f>SUMIF('O&amp;M by CE Desc Variance'!$B$145:$B$158,B83,'O&amp;M by CE Desc Variance'!$E$145:$E$158)</f>
        <v>-1.6800000000000002</v>
      </c>
      <c r="M83" s="741">
        <f>SUMIF('O&amp;M by CE Desc Variance'!$B$161:$B$196,B83,'O&amp;M by CE Desc Variance'!$E$161:$E$196)</f>
        <v>243865.56000000006</v>
      </c>
      <c r="N83" s="741">
        <f>SUMIF('O&amp;M by CE Desc Variance'!$B$199:$B$202,'D-1'!B83,'O&amp;M by CE Desc Variance'!$E$199:$E$202)</f>
        <v>0</v>
      </c>
      <c r="O83" s="741">
        <f t="shared" si="7"/>
        <v>384522.20999999996</v>
      </c>
      <c r="P83" s="738"/>
      <c r="Q83" s="738"/>
      <c r="R83" s="738"/>
      <c r="S83" s="738"/>
      <c r="T83" s="738"/>
      <c r="U83" s="738"/>
      <c r="V83" s="738"/>
      <c r="W83" s="738"/>
      <c r="AA83" s="738"/>
    </row>
    <row r="84" spans="1:27" x14ac:dyDescent="0.2">
      <c r="A84" s="731">
        <f t="shared" si="8"/>
        <v>27</v>
      </c>
      <c r="B84" s="1636">
        <v>904</v>
      </c>
      <c r="C84" s="754" t="s">
        <v>1574</v>
      </c>
      <c r="D84" s="741">
        <f>'Total Co Accts Activ C2.2A'!P74</f>
        <v>811974.07000000007</v>
      </c>
      <c r="E84" s="741">
        <f>SUMIF('O&amp;M by CE Desc Variance'!$B$8:$B$28,B84,'O&amp;M by CE Desc Variance'!$E$8:$E$28)</f>
        <v>0</v>
      </c>
      <c r="F84" s="741">
        <f>SUMIF('O&amp;M by CE Desc Variance'!$B$31:$B$49,B84,'O&amp;M by CE Desc Variance'!$E$31:$E$49)</f>
        <v>0</v>
      </c>
      <c r="G84" s="741">
        <f>SUMIF('O&amp;M by CE Desc Variance'!$B$52:$B$89,B84,'O&amp;M by CE Desc Variance'!$E$52:$E$89)</f>
        <v>0</v>
      </c>
      <c r="H84" s="741">
        <f>SUMIF('O&amp;M by CE Desc Variance'!$B$91:$B$107,B84,'O&amp;M by CE Desc Variance'!$E$91:$E$107)</f>
        <v>0</v>
      </c>
      <c r="I84" s="741">
        <f>SUMIF('O&amp;M by CE Desc Variance'!$B$110:$B$120,B84,'O&amp;M by CE Desc Variance'!$E$110:$E$120)</f>
        <v>0</v>
      </c>
      <c r="J84" s="741">
        <f>SUMIF('O&amp;M by CE Desc Variance'!$B$122:$B$136,B84,'O&amp;M by CE Desc Variance'!$E$122:$E$136)</f>
        <v>0</v>
      </c>
      <c r="K84" s="741">
        <f>SUMIF('O&amp;M by CE Desc Variance'!$B$139:$B$142,B84,'O&amp;M by CE Desc Variance'!$E$139:$E$142)</f>
        <v>0</v>
      </c>
      <c r="L84" s="741">
        <f>SUMIF('O&amp;M by CE Desc Variance'!$B$145:$B$158,B84,'O&amp;M by CE Desc Variance'!$E$145:$E$158)</f>
        <v>0</v>
      </c>
      <c r="M84" s="741">
        <f>SUMIF('O&amp;M by CE Desc Variance'!$B$161:$B$196,B84,'O&amp;M by CE Desc Variance'!$E$161:$E$196)</f>
        <v>0</v>
      </c>
      <c r="N84" s="741">
        <f>SUMIF('O&amp;M by CE Desc Variance'!$B$199:$B$202,'D-1'!B84,'O&amp;M by CE Desc Variance'!$E$199:$E$202)</f>
        <v>843488.92999999993</v>
      </c>
      <c r="O84" s="741">
        <f t="shared" si="7"/>
        <v>843488.92999999993</v>
      </c>
      <c r="P84" s="738"/>
      <c r="Q84" s="738"/>
      <c r="R84" s="738"/>
      <c r="S84" s="738"/>
      <c r="T84" s="738"/>
      <c r="U84" s="738"/>
      <c r="V84" s="738"/>
      <c r="W84" s="738"/>
      <c r="AA84" s="738"/>
    </row>
    <row r="85" spans="1:27" x14ac:dyDescent="0.2">
      <c r="A85" s="731">
        <f t="shared" si="8"/>
        <v>28</v>
      </c>
      <c r="B85" s="1636">
        <v>905</v>
      </c>
      <c r="C85" s="754" t="s">
        <v>1575</v>
      </c>
      <c r="D85" s="741">
        <f>'Total Co Accts Activ C2.2A'!P75</f>
        <v>1200.5700000000002</v>
      </c>
      <c r="E85" s="741">
        <f>SUMIF('O&amp;M by CE Desc Variance'!$B$8:$B$28,B85,'O&amp;M by CE Desc Variance'!$E$8:$E$28)</f>
        <v>0</v>
      </c>
      <c r="F85" s="741">
        <f>SUMIF('O&amp;M by CE Desc Variance'!$B$31:$B$49,B85,'O&amp;M by CE Desc Variance'!$E$31:$E$49)</f>
        <v>0</v>
      </c>
      <c r="G85" s="741">
        <f>SUMIF('O&amp;M by CE Desc Variance'!$B$52:$B$89,B85,'O&amp;M by CE Desc Variance'!$E$52:$E$89)</f>
        <v>0</v>
      </c>
      <c r="H85" s="741">
        <f>SUMIF('O&amp;M by CE Desc Variance'!$B$91:$B$107,B85,'O&amp;M by CE Desc Variance'!$E$91:$E$107)</f>
        <v>0</v>
      </c>
      <c r="I85" s="741">
        <f>SUMIF('O&amp;M by CE Desc Variance'!$B$110:$B$120,B85,'O&amp;M by CE Desc Variance'!$E$110:$E$120)</f>
        <v>0</v>
      </c>
      <c r="J85" s="741">
        <f>SUMIF('O&amp;M by CE Desc Variance'!$B$122:$B$136,B85,'O&amp;M by CE Desc Variance'!$E$122:$E$136)</f>
        <v>0</v>
      </c>
      <c r="K85" s="741">
        <f>SUMIF('O&amp;M by CE Desc Variance'!$B$139:$B$142,B85,'O&amp;M by CE Desc Variance'!$E$139:$E$142)</f>
        <v>0</v>
      </c>
      <c r="L85" s="741">
        <f>SUMIF('O&amp;M by CE Desc Variance'!$B$145:$B$158,B85,'O&amp;M by CE Desc Variance'!$E$145:$E$158)</f>
        <v>1.2799999999999727</v>
      </c>
      <c r="M85" s="741">
        <f>SUMIF('O&amp;M by CE Desc Variance'!$B$161:$B$196,B85,'O&amp;M by CE Desc Variance'!$E$161:$E$196)</f>
        <v>0</v>
      </c>
      <c r="N85" s="741">
        <f>SUMIF('O&amp;M by CE Desc Variance'!$B$199:$B$202,'D-1'!B85,'O&amp;M by CE Desc Variance'!$E$199:$E$202)</f>
        <v>0</v>
      </c>
      <c r="O85" s="741">
        <f t="shared" si="7"/>
        <v>1.2799999999999727</v>
      </c>
      <c r="P85" s="738"/>
      <c r="Q85" s="738"/>
      <c r="R85" s="738"/>
      <c r="S85" s="738"/>
      <c r="T85" s="738"/>
      <c r="U85" s="738"/>
      <c r="V85" s="738"/>
      <c r="W85" s="738"/>
      <c r="AA85" s="738"/>
    </row>
    <row r="86" spans="1:27" x14ac:dyDescent="0.2">
      <c r="A86" s="731">
        <f t="shared" si="8"/>
        <v>29</v>
      </c>
      <c r="B86" s="1636">
        <v>907</v>
      </c>
      <c r="C86" s="754" t="s">
        <v>1571</v>
      </c>
      <c r="D86" s="741">
        <f>'Total Co Accts Activ C2.2A'!P76</f>
        <v>15816.6</v>
      </c>
      <c r="E86" s="741">
        <f>SUMIF('O&amp;M by CE Desc Variance'!$B$8:$B$28,B86,'O&amp;M by CE Desc Variance'!$E$8:$E$28)</f>
        <v>0</v>
      </c>
      <c r="F86" s="741">
        <f>SUMIF('O&amp;M by CE Desc Variance'!$B$31:$B$49,B86,'O&amp;M by CE Desc Variance'!$E$31:$E$49)</f>
        <v>0</v>
      </c>
      <c r="G86" s="741">
        <f>SUMIF('O&amp;M by CE Desc Variance'!$B$52:$B$89,B86,'O&amp;M by CE Desc Variance'!$E$52:$E$89)</f>
        <v>0</v>
      </c>
      <c r="H86" s="741">
        <f>SUMIF('O&amp;M by CE Desc Variance'!$B$91:$B$107,B86,'O&amp;M by CE Desc Variance'!$E$91:$E$107)</f>
        <v>0</v>
      </c>
      <c r="I86" s="741">
        <f>SUMIF('O&amp;M by CE Desc Variance'!$B$110:$B$120,B86,'O&amp;M by CE Desc Variance'!$E$110:$E$120)</f>
        <v>0</v>
      </c>
      <c r="J86" s="741">
        <f>SUMIF('O&amp;M by CE Desc Variance'!$B$122:$B$136,B86,'O&amp;M by CE Desc Variance'!$E$122:$E$136)</f>
        <v>0</v>
      </c>
      <c r="K86" s="741">
        <f>SUMIF('O&amp;M by CE Desc Variance'!$B$139:$B$142,B86,'O&amp;M by CE Desc Variance'!$E$139:$E$142)</f>
        <v>6348</v>
      </c>
      <c r="L86" s="741">
        <f>SUMIF('O&amp;M by CE Desc Variance'!$B$145:$B$158,B86,'O&amp;M by CE Desc Variance'!$E$145:$E$158)</f>
        <v>0</v>
      </c>
      <c r="M86" s="741">
        <f>SUMIF('O&amp;M by CE Desc Variance'!$B$161:$B$196,B86,'O&amp;M by CE Desc Variance'!$E$161:$E$196)</f>
        <v>47.4</v>
      </c>
      <c r="N86" s="741">
        <f>SUMIF('O&amp;M by CE Desc Variance'!$B$199:$B$202,'D-1'!B86,'O&amp;M by CE Desc Variance'!$E$199:$E$202)</f>
        <v>0</v>
      </c>
      <c r="O86" s="741">
        <f t="shared" si="7"/>
        <v>6395.4</v>
      </c>
      <c r="P86" s="738"/>
      <c r="Q86" s="738"/>
      <c r="R86" s="738"/>
      <c r="S86" s="738"/>
      <c r="T86" s="738"/>
      <c r="U86" s="738"/>
      <c r="V86" s="738"/>
      <c r="W86" s="738"/>
      <c r="AA86" s="738"/>
    </row>
    <row r="87" spans="1:27" x14ac:dyDescent="0.2">
      <c r="A87" s="731">
        <f t="shared" si="8"/>
        <v>30</v>
      </c>
      <c r="B87" s="1636">
        <v>908</v>
      </c>
      <c r="C87" s="754" t="s">
        <v>1576</v>
      </c>
      <c r="D87" s="741">
        <f>'Total Co Accts Activ C2.2A'!P77</f>
        <v>887206.67475999973</v>
      </c>
      <c r="E87" s="741">
        <f>SUMIF('O&amp;M by CE Desc Variance'!$B$8:$B$28,B87,'O&amp;M by CE Desc Variance'!$E$8:$E$28)</f>
        <v>3556.66</v>
      </c>
      <c r="F87" s="741">
        <f>SUMIF('O&amp;M by CE Desc Variance'!$B$31:$B$49,B87,'O&amp;M by CE Desc Variance'!$E$31:$E$49)</f>
        <v>0</v>
      </c>
      <c r="G87" s="741">
        <f>SUMIF('O&amp;M by CE Desc Variance'!$B$52:$B$89,B87,'O&amp;M by CE Desc Variance'!$E$52:$E$89)</f>
        <v>55689</v>
      </c>
      <c r="H87" s="741">
        <f>SUMIF('O&amp;M by CE Desc Variance'!$B$91:$B$107,B87,'O&amp;M by CE Desc Variance'!$E$91:$E$107)</f>
        <v>0</v>
      </c>
      <c r="I87" s="741">
        <f>SUMIF('O&amp;M by CE Desc Variance'!$B$110:$B$120,B87,'O&amp;M by CE Desc Variance'!$E$110:$E$120)</f>
        <v>0</v>
      </c>
      <c r="J87" s="741">
        <f>SUMIF('O&amp;M by CE Desc Variance'!$B$122:$B$136,B87,'O&amp;M by CE Desc Variance'!$E$122:$E$136)</f>
        <v>0</v>
      </c>
      <c r="K87" s="741">
        <f>SUMIF('O&amp;M by CE Desc Variance'!$B$139:$B$142,B87,'O&amp;M by CE Desc Variance'!$E$139:$E$142)</f>
        <v>0</v>
      </c>
      <c r="L87" s="741">
        <f>SUMIF('O&amp;M by CE Desc Variance'!$B$145:$B$158,B87,'O&amp;M by CE Desc Variance'!$E$145:$E$158)</f>
        <v>0</v>
      </c>
      <c r="M87" s="741">
        <f>SUMIF('O&amp;M by CE Desc Variance'!$B$161:$B$196,B87,'O&amp;M by CE Desc Variance'!$E$161:$E$196)</f>
        <v>12311.059999999998</v>
      </c>
      <c r="N87" s="741">
        <f>SUMIF('O&amp;M by CE Desc Variance'!$B$199:$B$202,'D-1'!B87,'O&amp;M by CE Desc Variance'!$E$199:$E$202)</f>
        <v>0</v>
      </c>
      <c r="O87" s="741">
        <f t="shared" si="7"/>
        <v>71556.72</v>
      </c>
      <c r="P87" s="738"/>
      <c r="Q87" s="738"/>
      <c r="R87" s="738"/>
      <c r="S87" s="738"/>
      <c r="T87" s="738"/>
      <c r="U87" s="738"/>
      <c r="V87" s="738"/>
      <c r="W87" s="738"/>
      <c r="AA87" s="738"/>
    </row>
    <row r="88" spans="1:27" x14ac:dyDescent="0.2">
      <c r="A88" s="731">
        <f t="shared" si="8"/>
        <v>31</v>
      </c>
      <c r="B88" s="1636">
        <v>909</v>
      </c>
      <c r="C88" s="754" t="s">
        <v>1577</v>
      </c>
      <c r="D88" s="741">
        <f>'Total Co Accts Activ C2.2A'!P78</f>
        <v>79942.59</v>
      </c>
      <c r="E88" s="741">
        <f>SUMIF('O&amp;M by CE Desc Variance'!$B$8:$B$28,B88,'O&amp;M by CE Desc Variance'!$E$8:$E$28)</f>
        <v>0</v>
      </c>
      <c r="F88" s="741">
        <f>SUMIF('O&amp;M by CE Desc Variance'!$B$31:$B$49,B88,'O&amp;M by CE Desc Variance'!$E$31:$E$49)</f>
        <v>0</v>
      </c>
      <c r="G88" s="741">
        <f>SUMIF('O&amp;M by CE Desc Variance'!$B$52:$B$89,B88,'O&amp;M by CE Desc Variance'!$E$52:$E$89)</f>
        <v>0</v>
      </c>
      <c r="H88" s="741">
        <f>SUMIF('O&amp;M by CE Desc Variance'!$B$91:$B$107,B88,'O&amp;M by CE Desc Variance'!$E$91:$E$107)</f>
        <v>0</v>
      </c>
      <c r="I88" s="741">
        <f>SUMIF('O&amp;M by CE Desc Variance'!$B$110:$B$120,B88,'O&amp;M by CE Desc Variance'!$E$110:$E$120)</f>
        <v>0</v>
      </c>
      <c r="J88" s="741">
        <f>SUMIF('O&amp;M by CE Desc Variance'!$B$122:$B$136,B88,'O&amp;M by CE Desc Variance'!$E$122:$E$136)</f>
        <v>0</v>
      </c>
      <c r="K88" s="741">
        <f>SUMIF('O&amp;M by CE Desc Variance'!$B$139:$B$142,B88,'O&amp;M by CE Desc Variance'!$E$139:$E$142)</f>
        <v>0</v>
      </c>
      <c r="L88" s="741">
        <f>SUMIF('O&amp;M by CE Desc Variance'!$B$145:$B$158,B88,'O&amp;M by CE Desc Variance'!$E$145:$E$158)</f>
        <v>0</v>
      </c>
      <c r="M88" s="741">
        <f>SUMIF('O&amp;M by CE Desc Variance'!$B$161:$B$196,B88,'O&amp;M by CE Desc Variance'!$E$161:$E$196)</f>
        <v>-16033.589999999997</v>
      </c>
      <c r="N88" s="741">
        <f>SUMIF('O&amp;M by CE Desc Variance'!$B$199:$B$202,'D-1'!B88,'O&amp;M by CE Desc Variance'!$E$199:$E$202)</f>
        <v>0</v>
      </c>
      <c r="O88" s="741">
        <f t="shared" si="7"/>
        <v>-16033.589999999997</v>
      </c>
      <c r="P88" s="738"/>
      <c r="Q88" s="738"/>
      <c r="R88" s="738"/>
      <c r="S88" s="738"/>
      <c r="T88" s="738"/>
      <c r="U88" s="738"/>
      <c r="V88" s="738"/>
      <c r="W88" s="738"/>
      <c r="AA88" s="738"/>
    </row>
    <row r="89" spans="1:27" x14ac:dyDescent="0.2">
      <c r="A89" s="731">
        <f t="shared" si="8"/>
        <v>32</v>
      </c>
      <c r="B89" s="1636">
        <v>910</v>
      </c>
      <c r="C89" s="754" t="s">
        <v>1578</v>
      </c>
      <c r="D89" s="741">
        <f>'Total Co Accts Activ C2.2A'!P79</f>
        <v>227785.5</v>
      </c>
      <c r="E89" s="741">
        <f>SUMIF('O&amp;M by CE Desc Variance'!$B$8:$B$28,B89,'O&amp;M by CE Desc Variance'!$E$8:$E$28)</f>
        <v>0</v>
      </c>
      <c r="F89" s="741">
        <f>SUMIF('O&amp;M by CE Desc Variance'!$B$31:$B$49,B89,'O&amp;M by CE Desc Variance'!$E$31:$E$49)</f>
        <v>0</v>
      </c>
      <c r="G89" s="741">
        <f>SUMIF('O&amp;M by CE Desc Variance'!$B$52:$B$89,B89,'O&amp;M by CE Desc Variance'!$E$52:$E$89)</f>
        <v>0</v>
      </c>
      <c r="H89" s="741">
        <f>SUMIF('O&amp;M by CE Desc Variance'!$B$91:$B$107,B89,'O&amp;M by CE Desc Variance'!$E$91:$E$107)</f>
        <v>0</v>
      </c>
      <c r="I89" s="741">
        <f>SUMIF('O&amp;M by CE Desc Variance'!$B$110:$B$120,B89,'O&amp;M by CE Desc Variance'!$E$110:$E$120)</f>
        <v>0</v>
      </c>
      <c r="J89" s="741">
        <f>SUMIF('O&amp;M by CE Desc Variance'!$B$122:$B$136,B89,'O&amp;M by CE Desc Variance'!$E$122:$E$136)</f>
        <v>0</v>
      </c>
      <c r="K89" s="741">
        <f>SUMIF('O&amp;M by CE Desc Variance'!$B$139:$B$142,B89,'O&amp;M by CE Desc Variance'!$E$139:$E$142)</f>
        <v>0</v>
      </c>
      <c r="L89" s="741">
        <f>SUMIF('O&amp;M by CE Desc Variance'!$B$145:$B$158,B89,'O&amp;M by CE Desc Variance'!$E$145:$E$158)</f>
        <v>0</v>
      </c>
      <c r="M89" s="741">
        <f>SUMIF('O&amp;M by CE Desc Variance'!$B$161:$B$196,B89,'O&amp;M by CE Desc Variance'!$E$161:$E$196)</f>
        <v>37483.5</v>
      </c>
      <c r="N89" s="741">
        <f>SUMIF('O&amp;M by CE Desc Variance'!$B$199:$B$202,'D-1'!B89,'O&amp;M by CE Desc Variance'!$E$199:$E$202)</f>
        <v>0</v>
      </c>
      <c r="O89" s="741">
        <f t="shared" si="7"/>
        <v>37483.5</v>
      </c>
      <c r="P89" s="738"/>
      <c r="Q89" s="738"/>
      <c r="R89" s="738"/>
      <c r="S89" s="738"/>
      <c r="T89" s="738"/>
      <c r="U89" s="738"/>
      <c r="V89" s="738"/>
      <c r="W89" s="738"/>
      <c r="AA89" s="738"/>
    </row>
    <row r="90" spans="1:27" x14ac:dyDescent="0.2">
      <c r="A90" s="731">
        <f t="shared" si="8"/>
        <v>33</v>
      </c>
      <c r="B90" s="1636">
        <v>911</v>
      </c>
      <c r="C90" s="754" t="s">
        <v>1571</v>
      </c>
      <c r="D90" s="741">
        <f>'Total Co Accts Activ C2.2A'!P80</f>
        <v>0</v>
      </c>
      <c r="E90" s="741">
        <f>SUMIF('O&amp;M by CE Desc Variance'!$B$8:$B$28,B90,'O&amp;M by CE Desc Variance'!$E$8:$E$28)</f>
        <v>0</v>
      </c>
      <c r="F90" s="741">
        <f>SUMIF('O&amp;M by CE Desc Variance'!$B$31:$B$49,B90,'O&amp;M by CE Desc Variance'!$E$31:$E$49)</f>
        <v>0</v>
      </c>
      <c r="G90" s="741">
        <f>SUMIF('O&amp;M by CE Desc Variance'!$B$52:$B$89,B90,'O&amp;M by CE Desc Variance'!$E$52:$E$89)</f>
        <v>0</v>
      </c>
      <c r="H90" s="741">
        <f>SUMIF('O&amp;M by CE Desc Variance'!$B$91:$B$107,B90,'O&amp;M by CE Desc Variance'!$E$91:$E$107)</f>
        <v>0</v>
      </c>
      <c r="I90" s="741">
        <f>SUMIF('O&amp;M by CE Desc Variance'!$B$110:$B$120,B90,'O&amp;M by CE Desc Variance'!$E$110:$E$120)</f>
        <v>0</v>
      </c>
      <c r="J90" s="741">
        <f>SUMIF('O&amp;M by CE Desc Variance'!$B$122:$B$136,B90,'O&amp;M by CE Desc Variance'!$E$122:$E$136)</f>
        <v>0</v>
      </c>
      <c r="K90" s="741">
        <f>SUMIF('O&amp;M by CE Desc Variance'!$B$139:$B$142,B90,'O&amp;M by CE Desc Variance'!$E$139:$E$142)</f>
        <v>0</v>
      </c>
      <c r="L90" s="741">
        <f>SUMIF('O&amp;M by CE Desc Variance'!$B$145:$B$158,B90,'O&amp;M by CE Desc Variance'!$E$145:$E$158)</f>
        <v>0</v>
      </c>
      <c r="M90" s="741">
        <f>SUMIF('O&amp;M by CE Desc Variance'!$B$161:$B$196,B90,'O&amp;M by CE Desc Variance'!$E$161:$E$196)</f>
        <v>0</v>
      </c>
      <c r="N90" s="741">
        <f>SUMIF('O&amp;M by CE Desc Variance'!$B$199:$B$202,'D-1'!B90,'O&amp;M by CE Desc Variance'!$E$199:$E$202)</f>
        <v>0</v>
      </c>
      <c r="O90" s="741">
        <f>SUM(E90:N90)</f>
        <v>0</v>
      </c>
      <c r="P90" s="738"/>
      <c r="Q90" s="738"/>
      <c r="R90" s="738"/>
      <c r="S90" s="738"/>
      <c r="T90" s="738"/>
      <c r="U90" s="738"/>
      <c r="V90" s="738"/>
      <c r="W90" s="738"/>
      <c r="AA90" s="738"/>
    </row>
    <row r="91" spans="1:27" x14ac:dyDescent="0.2">
      <c r="A91" s="731">
        <f t="shared" si="8"/>
        <v>34</v>
      </c>
      <c r="B91" s="1636">
        <v>912</v>
      </c>
      <c r="C91" s="754" t="s">
        <v>1579</v>
      </c>
      <c r="D91" s="741">
        <f>'Total Co Accts Activ C2.2A'!P81</f>
        <v>44003.94</v>
      </c>
      <c r="E91" s="741">
        <f>SUMIF('O&amp;M by CE Desc Variance'!$B$8:$B$28,B91,'O&amp;M by CE Desc Variance'!$E$8:$E$28)</f>
        <v>0</v>
      </c>
      <c r="F91" s="741">
        <f>SUMIF('O&amp;M by CE Desc Variance'!$B$31:$B$49,B91,'O&amp;M by CE Desc Variance'!$E$31:$E$49)</f>
        <v>0</v>
      </c>
      <c r="G91" s="741">
        <f>SUMIF('O&amp;M by CE Desc Variance'!$B$52:$B$89,B91,'O&amp;M by CE Desc Variance'!$E$52:$E$89)</f>
        <v>0</v>
      </c>
      <c r="H91" s="741">
        <f>SUMIF('O&amp;M by CE Desc Variance'!$B$91:$B$107,B91,'O&amp;M by CE Desc Variance'!$E$91:$E$107)</f>
        <v>0</v>
      </c>
      <c r="I91" s="741">
        <f>SUMIF('O&amp;M by CE Desc Variance'!$B$110:$B$120,B91,'O&amp;M by CE Desc Variance'!$E$110:$E$120)</f>
        <v>0</v>
      </c>
      <c r="J91" s="741">
        <f>SUMIF('O&amp;M by CE Desc Variance'!$B$122:$B$136,B91,'O&amp;M by CE Desc Variance'!$E$122:$E$136)</f>
        <v>0</v>
      </c>
      <c r="K91" s="741">
        <f>SUMIF('O&amp;M by CE Desc Variance'!$B$139:$B$142,B91,'O&amp;M by CE Desc Variance'!$E$139:$E$142)</f>
        <v>0</v>
      </c>
      <c r="L91" s="741">
        <f>SUMIF('O&amp;M by CE Desc Variance'!$B$145:$B$158,B91,'O&amp;M by CE Desc Variance'!$E$145:$E$158)</f>
        <v>0</v>
      </c>
      <c r="M91" s="741">
        <f>SUMIF('O&amp;M by CE Desc Variance'!$B$161:$B$196,B91,'O&amp;M by CE Desc Variance'!$E$161:$E$196)</f>
        <v>10502.059999999998</v>
      </c>
      <c r="N91" s="741">
        <f>SUMIF('O&amp;M by CE Desc Variance'!$B$199:$B$202,'D-1'!B91,'O&amp;M by CE Desc Variance'!$E$199:$E$202)</f>
        <v>0</v>
      </c>
      <c r="O91" s="741">
        <f t="shared" si="7"/>
        <v>10502.059999999998</v>
      </c>
      <c r="P91" s="738"/>
      <c r="Q91" s="738"/>
      <c r="R91" s="738"/>
      <c r="S91" s="738"/>
      <c r="T91" s="738"/>
      <c r="U91" s="738"/>
      <c r="V91" s="738"/>
      <c r="W91" s="738"/>
      <c r="AA91" s="738"/>
    </row>
    <row r="92" spans="1:27" x14ac:dyDescent="0.2">
      <c r="A92" s="731">
        <f t="shared" si="8"/>
        <v>35</v>
      </c>
      <c r="B92" s="1636">
        <v>913</v>
      </c>
      <c r="C92" s="754" t="s">
        <v>1580</v>
      </c>
      <c r="D92" s="741">
        <f>'Total Co Accts Activ C2.2A'!P82</f>
        <v>85656.489999999991</v>
      </c>
      <c r="E92" s="741">
        <f>SUMIF('O&amp;M by CE Desc Variance'!$B$8:$B$28,B92,'O&amp;M by CE Desc Variance'!$E$8:$E$28)</f>
        <v>0</v>
      </c>
      <c r="F92" s="741">
        <f>SUMIF('O&amp;M by CE Desc Variance'!$B$31:$B$49,B92,'O&amp;M by CE Desc Variance'!$E$31:$E$49)</f>
        <v>0</v>
      </c>
      <c r="G92" s="741">
        <f>SUMIF('O&amp;M by CE Desc Variance'!$B$52:$B$89,B92,'O&amp;M by CE Desc Variance'!$E$52:$E$89)</f>
        <v>0</v>
      </c>
      <c r="H92" s="741">
        <f>SUMIF('O&amp;M by CE Desc Variance'!$B$91:$B$107,B92,'O&amp;M by CE Desc Variance'!$E$91:$E$107)</f>
        <v>0</v>
      </c>
      <c r="I92" s="741">
        <f>SUMIF('O&amp;M by CE Desc Variance'!$B$110:$B$120,B92,'O&amp;M by CE Desc Variance'!$E$110:$E$120)</f>
        <v>0</v>
      </c>
      <c r="J92" s="741">
        <f>SUMIF('O&amp;M by CE Desc Variance'!$B$122:$B$136,B92,'O&amp;M by CE Desc Variance'!$E$122:$E$136)</f>
        <v>0</v>
      </c>
      <c r="K92" s="741">
        <f>SUMIF('O&amp;M by CE Desc Variance'!$B$139:$B$142,B92,'O&amp;M by CE Desc Variance'!$E$139:$E$142)</f>
        <v>0</v>
      </c>
      <c r="L92" s="741">
        <f>SUMIF('O&amp;M by CE Desc Variance'!$B$145:$B$158,B92,'O&amp;M by CE Desc Variance'!$E$145:$E$158)</f>
        <v>0</v>
      </c>
      <c r="M92" s="741">
        <f>SUMIF('O&amp;M by CE Desc Variance'!$B$161:$B$196,B92,'O&amp;M by CE Desc Variance'!$E$161:$E$196)</f>
        <v>2085.5099999999984</v>
      </c>
      <c r="N92" s="741">
        <f>SUMIF('O&amp;M by CE Desc Variance'!$B$199:$B$202,'D-1'!B92,'O&amp;M by CE Desc Variance'!$E$199:$E$202)</f>
        <v>0</v>
      </c>
      <c r="O92" s="741">
        <f t="shared" si="7"/>
        <v>2085.5099999999984</v>
      </c>
      <c r="P92" s="738"/>
      <c r="Q92" s="738"/>
      <c r="R92" s="738"/>
      <c r="S92" s="738"/>
      <c r="T92" s="738"/>
      <c r="U92" s="738"/>
      <c r="V92" s="738"/>
      <c r="W92" s="738"/>
      <c r="AA92" s="738"/>
    </row>
    <row r="93" spans="1:27" x14ac:dyDescent="0.2">
      <c r="A93" s="731">
        <f t="shared" si="8"/>
        <v>36</v>
      </c>
      <c r="B93" s="1636">
        <v>920</v>
      </c>
      <c r="C93" s="754" t="s">
        <v>1582</v>
      </c>
      <c r="D93" s="741">
        <f>'Total Co Accts Activ C2.2A'!P83</f>
        <v>4590985.55</v>
      </c>
      <c r="E93" s="741">
        <f>SUMIF('O&amp;M by CE Desc Variance'!$B$8:$B$28,B93,'O&amp;M by CE Desc Variance'!$E$8:$E$28)</f>
        <v>68018.979999999981</v>
      </c>
      <c r="F93" s="741">
        <f>SUMIF('O&amp;M by CE Desc Variance'!$B$31:$B$49,B93,'O&amp;M by CE Desc Variance'!$E$31:$E$49)</f>
        <v>0</v>
      </c>
      <c r="G93" s="741">
        <f>SUMIF('O&amp;M by CE Desc Variance'!$B$52:$B$89,B93,'O&amp;M by CE Desc Variance'!$E$52:$E$89)</f>
        <v>2846</v>
      </c>
      <c r="H93" s="741">
        <f>SUMIF('O&amp;M by CE Desc Variance'!$B$91:$B$107,B93,'O&amp;M by CE Desc Variance'!$E$91:$E$107)</f>
        <v>0</v>
      </c>
      <c r="I93" s="741">
        <f>SUMIF('O&amp;M by CE Desc Variance'!$B$110:$B$120,B93,'O&amp;M by CE Desc Variance'!$E$110:$E$120)</f>
        <v>0</v>
      </c>
      <c r="J93" s="741">
        <f>SUMIF('O&amp;M by CE Desc Variance'!$B$122:$B$136,B93,'O&amp;M by CE Desc Variance'!$E$122:$E$136)</f>
        <v>0</v>
      </c>
      <c r="K93" s="741">
        <f>SUMIF('O&amp;M by CE Desc Variance'!$B$139:$B$142,B93,'O&amp;M by CE Desc Variance'!$E$139:$E$142)</f>
        <v>0</v>
      </c>
      <c r="L93" s="741">
        <f>SUMIF('O&amp;M by CE Desc Variance'!$B$145:$B$158,B93,'O&amp;M by CE Desc Variance'!$E$145:$E$158)</f>
        <v>0</v>
      </c>
      <c r="M93" s="741">
        <f>SUMIF('O&amp;M by CE Desc Variance'!$B$161:$B$196,B93,'O&amp;M by CE Desc Variance'!$E$161:$E$196)</f>
        <v>-233384.5299999998</v>
      </c>
      <c r="N93" s="741">
        <f>SUMIF('O&amp;M by CE Desc Variance'!$B$199:$B$202,'D-1'!B93,'O&amp;M by CE Desc Variance'!$E$199:$E$202)</f>
        <v>0</v>
      </c>
      <c r="O93" s="741">
        <f t="shared" si="7"/>
        <v>-162519.54999999981</v>
      </c>
      <c r="P93" s="738"/>
      <c r="Q93" s="738"/>
      <c r="R93" s="738"/>
      <c r="S93" s="738"/>
      <c r="T93" s="738"/>
      <c r="U93" s="738"/>
      <c r="V93" s="738"/>
      <c r="W93" s="738"/>
      <c r="AA93" s="738"/>
    </row>
    <row r="94" spans="1:27" x14ac:dyDescent="0.2">
      <c r="A94" s="731">
        <f t="shared" si="8"/>
        <v>37</v>
      </c>
      <c r="B94" s="1636">
        <v>921</v>
      </c>
      <c r="C94" s="754" t="s">
        <v>1583</v>
      </c>
      <c r="D94" s="741">
        <f>'Total Co Accts Activ C2.2A'!P86+'Total Co Accts Activ C2.2A'!P84+'Total Co Accts Activ C2.2A'!P85</f>
        <v>845435.99</v>
      </c>
      <c r="E94" s="741">
        <f>SUMIF('O&amp;M by CE Desc Variance'!$B$8:$B$28,B94,'O&amp;M by CE Desc Variance'!$E$8:$E$28)</f>
        <v>0</v>
      </c>
      <c r="F94" s="741">
        <f>SUMIF('O&amp;M by CE Desc Variance'!$B$31:$B$49,B94,'O&amp;M by CE Desc Variance'!$E$31:$E$49)</f>
        <v>450.66999999999825</v>
      </c>
      <c r="G94" s="741">
        <f>SUMIF('O&amp;M by CE Desc Variance'!$B$52:$B$89,B94,'O&amp;M by CE Desc Variance'!$E$52:$E$89)</f>
        <v>2982</v>
      </c>
      <c r="H94" s="741">
        <f>SUMIF('O&amp;M by CE Desc Variance'!$B$91:$B$107,B94,'O&amp;M by CE Desc Variance'!$E$91:$E$107)</f>
        <v>-2162.109999999986</v>
      </c>
      <c r="I94" s="741">
        <f>SUMIF('O&amp;M by CE Desc Variance'!$B$110:$B$120,B94,'O&amp;M by CE Desc Variance'!$E$110:$E$120)</f>
        <v>0</v>
      </c>
      <c r="J94" s="741">
        <f>SUMIF('O&amp;M by CE Desc Variance'!$B$122:$B$136,B94,'O&amp;M by CE Desc Variance'!$E$122:$E$136)</f>
        <v>20937.869999999995</v>
      </c>
      <c r="K94" s="741">
        <f>SUMIF('O&amp;M by CE Desc Variance'!$B$139:$B$142,B94,'O&amp;M by CE Desc Variance'!$E$139:$E$142)</f>
        <v>718.5</v>
      </c>
      <c r="L94" s="741">
        <f>SUMIF('O&amp;M by CE Desc Variance'!$B$145:$B$158,B94,'O&amp;M by CE Desc Variance'!$E$145:$E$158)</f>
        <v>-15839.650000000023</v>
      </c>
      <c r="M94" s="741">
        <f>SUMIF('O&amp;M by CE Desc Variance'!$B$161:$B$196,B94,'O&amp;M by CE Desc Variance'!$E$161:$E$196)</f>
        <v>-35352.729999999981</v>
      </c>
      <c r="N94" s="741">
        <f>SUMIF('O&amp;M by CE Desc Variance'!$B$199:$B$202,'D-1'!B94,'O&amp;M by CE Desc Variance'!$E$199:$E$202)</f>
        <v>0</v>
      </c>
      <c r="O94" s="741">
        <f t="shared" si="7"/>
        <v>-28265.449999999997</v>
      </c>
      <c r="P94" s="738"/>
      <c r="Q94" s="738"/>
      <c r="R94" s="738"/>
      <c r="S94" s="738"/>
      <c r="T94" s="738"/>
      <c r="U94" s="738"/>
      <c r="V94" s="738"/>
      <c r="W94" s="738"/>
      <c r="AA94" s="738"/>
    </row>
    <row r="95" spans="1:27" x14ac:dyDescent="0.2">
      <c r="A95" s="731">
        <f t="shared" si="8"/>
        <v>38</v>
      </c>
      <c r="B95" s="1636">
        <v>923</v>
      </c>
      <c r="C95" s="754" t="s">
        <v>1585</v>
      </c>
      <c r="D95" s="741">
        <f>'Total Co Accts Activ C2.2A'!P87</f>
        <v>6386972.1500000004</v>
      </c>
      <c r="E95" s="741">
        <f>SUMIF('O&amp;M by CE Desc Variance'!$B$8:$B$28,B95,'O&amp;M by CE Desc Variance'!$E$8:$E$28)</f>
        <v>2409.4399999998277</v>
      </c>
      <c r="F95" s="741">
        <f>SUMIF('O&amp;M by CE Desc Variance'!$B$31:$B$49,B95,'O&amp;M by CE Desc Variance'!$E$31:$E$49)</f>
        <v>-16.790000000000006</v>
      </c>
      <c r="G95" s="741">
        <f>SUMIF('O&amp;M by CE Desc Variance'!$B$52:$B$89,B95,'O&amp;M by CE Desc Variance'!$E$52:$E$89)</f>
        <v>222729.53</v>
      </c>
      <c r="H95" s="741">
        <f>SUMIF('O&amp;M by CE Desc Variance'!$B$91:$B$107,B95,'O&amp;M by CE Desc Variance'!$E$91:$E$107)</f>
        <v>-123.11000000000058</v>
      </c>
      <c r="I95" s="741">
        <f>SUMIF('O&amp;M by CE Desc Variance'!$B$110:$B$120,B95,'O&amp;M by CE Desc Variance'!$E$110:$E$120)</f>
        <v>0</v>
      </c>
      <c r="J95" s="741">
        <f>SUMIF('O&amp;M by CE Desc Variance'!$B$122:$B$136,B95,'O&amp;M by CE Desc Variance'!$E$122:$E$136)</f>
        <v>109.11996000001557</v>
      </c>
      <c r="K95" s="741">
        <f>SUMIF('O&amp;M by CE Desc Variance'!$B$139:$B$142,B95,'O&amp;M by CE Desc Variance'!$E$139:$E$142)</f>
        <v>0</v>
      </c>
      <c r="L95" s="741">
        <f>SUMIF('O&amp;M by CE Desc Variance'!$B$145:$B$158,B95,'O&amp;M by CE Desc Variance'!$E$145:$E$158)</f>
        <v>0</v>
      </c>
      <c r="M95" s="741">
        <f>SUMIF('O&amp;M by CE Desc Variance'!$B$161:$B$196,B95,'O&amp;M by CE Desc Variance'!$E$161:$E$196)</f>
        <v>1374139.54</v>
      </c>
      <c r="N95" s="741">
        <f>SUMIF('O&amp;M by CE Desc Variance'!$B$199:$B$202,'D-1'!B95,'O&amp;M by CE Desc Variance'!$E$199:$E$202)</f>
        <v>0</v>
      </c>
      <c r="O95" s="741">
        <f t="shared" si="7"/>
        <v>1599247.7299599999</v>
      </c>
      <c r="P95" s="738"/>
      <c r="Q95" s="738"/>
      <c r="R95" s="738"/>
      <c r="S95" s="738"/>
      <c r="T95" s="738"/>
      <c r="U95" s="738"/>
      <c r="V95" s="738"/>
      <c r="W95" s="738"/>
      <c r="AA95" s="738"/>
    </row>
    <row r="96" spans="1:27" x14ac:dyDescent="0.2">
      <c r="A96" s="731">
        <f t="shared" si="8"/>
        <v>39</v>
      </c>
      <c r="B96" s="1636">
        <v>924</v>
      </c>
      <c r="C96" s="754" t="s">
        <v>1586</v>
      </c>
      <c r="D96" s="741">
        <f>'Total Co Accts Activ C2.2A'!P88</f>
        <v>65766.12</v>
      </c>
      <c r="E96" s="741">
        <f>SUMIF('O&amp;M by CE Desc Variance'!$B$8:$B$28,B96,'O&amp;M by CE Desc Variance'!$E$8:$E$28)</f>
        <v>0</v>
      </c>
      <c r="F96" s="741">
        <f>SUMIF('O&amp;M by CE Desc Variance'!$B$31:$B$49,B96,'O&amp;M by CE Desc Variance'!$E$31:$E$49)</f>
        <v>0</v>
      </c>
      <c r="G96" s="741">
        <f>SUMIF('O&amp;M by CE Desc Variance'!$B$52:$B$89,B96,'O&amp;M by CE Desc Variance'!$E$52:$E$89)</f>
        <v>720</v>
      </c>
      <c r="H96" s="741">
        <f>SUMIF('O&amp;M by CE Desc Variance'!$B$91:$B$107,B96,'O&amp;M by CE Desc Variance'!$E$91:$E$107)</f>
        <v>0</v>
      </c>
      <c r="I96" s="741">
        <f>SUMIF('O&amp;M by CE Desc Variance'!$B$110:$B$120,B96,'O&amp;M by CE Desc Variance'!$E$110:$E$120)</f>
        <v>15284.769999999997</v>
      </c>
      <c r="J96" s="741">
        <f>SUMIF('O&amp;M by CE Desc Variance'!$B$122:$B$136,B96,'O&amp;M by CE Desc Variance'!$E$122:$E$136)</f>
        <v>0</v>
      </c>
      <c r="K96" s="741">
        <f>SUMIF('O&amp;M by CE Desc Variance'!$B$139:$B$142,B96,'O&amp;M by CE Desc Variance'!$E$139:$E$142)</f>
        <v>0</v>
      </c>
      <c r="L96" s="741">
        <f>SUMIF('O&amp;M by CE Desc Variance'!$B$145:$B$158,B96,'O&amp;M by CE Desc Variance'!$E$145:$E$158)</f>
        <v>0</v>
      </c>
      <c r="M96" s="741">
        <f>SUMIF('O&amp;M by CE Desc Variance'!$B$161:$B$196,B96,'O&amp;M by CE Desc Variance'!$E$161:$E$196)</f>
        <v>-22.89</v>
      </c>
      <c r="N96" s="741">
        <f>SUMIF('O&amp;M by CE Desc Variance'!$B$199:$B$202,'D-1'!B96,'O&amp;M by CE Desc Variance'!$E$199:$E$202)</f>
        <v>0</v>
      </c>
      <c r="O96" s="741">
        <f t="shared" si="7"/>
        <v>15981.879999999997</v>
      </c>
      <c r="P96" s="738"/>
      <c r="Q96" s="738"/>
      <c r="R96" s="738"/>
      <c r="S96" s="738"/>
      <c r="T96" s="738"/>
      <c r="U96" s="738"/>
      <c r="V96" s="738"/>
      <c r="W96" s="738"/>
      <c r="AA96" s="738"/>
    </row>
    <row r="97" spans="1:27" x14ac:dyDescent="0.2">
      <c r="A97" s="731">
        <f t="shared" si="8"/>
        <v>40</v>
      </c>
      <c r="B97" s="1636">
        <v>925</v>
      </c>
      <c r="C97" s="754" t="s">
        <v>1587</v>
      </c>
      <c r="D97" s="741">
        <f>'Total Co Accts Activ C2.2A'!P89</f>
        <v>949737.06</v>
      </c>
      <c r="E97" s="741">
        <f>SUMIF('O&amp;M by CE Desc Variance'!$B$8:$B$28,B97,'O&amp;M by CE Desc Variance'!$E$8:$E$28)</f>
        <v>0</v>
      </c>
      <c r="F97" s="741">
        <f>SUMIF('O&amp;M by CE Desc Variance'!$B$31:$B$49,B97,'O&amp;M by CE Desc Variance'!$E$31:$E$49)</f>
        <v>0</v>
      </c>
      <c r="G97" s="741">
        <f>SUMIF('O&amp;M by CE Desc Variance'!$B$52:$B$89,B97,'O&amp;M by CE Desc Variance'!$E$52:$E$89)</f>
        <v>0</v>
      </c>
      <c r="H97" s="741">
        <f>SUMIF('O&amp;M by CE Desc Variance'!$B$91:$B$107,B97,'O&amp;M by CE Desc Variance'!$E$91:$E$107)</f>
        <v>0</v>
      </c>
      <c r="I97" s="741">
        <f>SUMIF('O&amp;M by CE Desc Variance'!$B$110:$B$120,B97,'O&amp;M by CE Desc Variance'!$E$110:$E$120)</f>
        <v>97841.85</v>
      </c>
      <c r="J97" s="741">
        <f>SUMIF('O&amp;M by CE Desc Variance'!$B$122:$B$136,B97,'O&amp;M by CE Desc Variance'!$E$122:$E$136)</f>
        <v>0</v>
      </c>
      <c r="K97" s="741">
        <f>SUMIF('O&amp;M by CE Desc Variance'!$B$139:$B$142,B97,'O&amp;M by CE Desc Variance'!$E$139:$E$142)</f>
        <v>0</v>
      </c>
      <c r="L97" s="741">
        <f>SUMIF('O&amp;M by CE Desc Variance'!$B$145:$B$158,B97,'O&amp;M by CE Desc Variance'!$E$145:$E$158)</f>
        <v>0</v>
      </c>
      <c r="M97" s="741">
        <f>SUMIF('O&amp;M by CE Desc Variance'!$B$161:$B$196,B97,'O&amp;M by CE Desc Variance'!$E$161:$E$196)</f>
        <v>-3293.6600000000035</v>
      </c>
      <c r="N97" s="741">
        <f>SUMIF('O&amp;M by CE Desc Variance'!$B$199:$B$202,'D-1'!B97,'O&amp;M by CE Desc Variance'!$E$199:$E$202)</f>
        <v>0</v>
      </c>
      <c r="O97" s="741">
        <f t="shared" si="7"/>
        <v>94548.19</v>
      </c>
      <c r="P97" s="738"/>
      <c r="Q97" s="738"/>
      <c r="R97" s="738"/>
      <c r="S97" s="738"/>
      <c r="T97" s="738"/>
      <c r="U97" s="738"/>
      <c r="V97" s="738"/>
      <c r="W97" s="738"/>
      <c r="AA97" s="738"/>
    </row>
    <row r="98" spans="1:27" x14ac:dyDescent="0.2">
      <c r="A98" s="731">
        <f t="shared" si="8"/>
        <v>41</v>
      </c>
      <c r="B98" s="1636">
        <v>926</v>
      </c>
      <c r="C98" s="754" t="s">
        <v>1588</v>
      </c>
      <c r="D98" s="741">
        <f>'Total Co Accts Activ C2.2A'!P90</f>
        <v>3358562.27</v>
      </c>
      <c r="E98" s="741">
        <f>SUMIF('O&amp;M by CE Desc Variance'!$B$8:$B$28,B98,'O&amp;M by CE Desc Variance'!$E$8:$E$28)</f>
        <v>0</v>
      </c>
      <c r="F98" s="741">
        <f>SUMIF('O&amp;M by CE Desc Variance'!$B$31:$B$49,B98,'O&amp;M by CE Desc Variance'!$E$31:$E$49)</f>
        <v>0</v>
      </c>
      <c r="G98" s="741">
        <f>SUMIF('O&amp;M by CE Desc Variance'!$B$52:$B$89,B98,'O&amp;M by CE Desc Variance'!$E$52:$E$89)</f>
        <v>35331</v>
      </c>
      <c r="H98" s="741">
        <f>SUMIF('O&amp;M by CE Desc Variance'!$B$91:$B$107,B98,'O&amp;M by CE Desc Variance'!$E$91:$E$107)</f>
        <v>0</v>
      </c>
      <c r="I98" s="741">
        <f>SUMIF('O&amp;M by CE Desc Variance'!$B$110:$B$120,B98,'O&amp;M by CE Desc Variance'!$E$110:$E$120)</f>
        <v>0</v>
      </c>
      <c r="J98" s="741">
        <f>SUMIF('O&amp;M by CE Desc Variance'!$B$122:$B$136,B98,'O&amp;M by CE Desc Variance'!$E$122:$E$136)</f>
        <v>0</v>
      </c>
      <c r="K98" s="741">
        <f>SUMIF('O&amp;M by CE Desc Variance'!$B$139:$B$142,B98,'O&amp;M by CE Desc Variance'!$E$139:$E$142)</f>
        <v>0</v>
      </c>
      <c r="L98" s="741">
        <f>SUMIF('O&amp;M by CE Desc Variance'!$B$145:$B$158,B98,'O&amp;M by CE Desc Variance'!$E$145:$E$158)</f>
        <v>0</v>
      </c>
      <c r="M98" s="741">
        <f>SUMIF('O&amp;M by CE Desc Variance'!$B$161:$B$196,B98,'O&amp;M by CE Desc Variance'!$E$161:$E$196)</f>
        <v>-90361.969999999972</v>
      </c>
      <c r="N98" s="741">
        <f>SUMIF('O&amp;M by CE Desc Variance'!$B$199:$B$202,'D-1'!B98,'O&amp;M by CE Desc Variance'!$E$199:$E$202)</f>
        <v>0</v>
      </c>
      <c r="O98" s="741">
        <f t="shared" si="7"/>
        <v>-55030.969999999972</v>
      </c>
      <c r="P98" s="738"/>
      <c r="Q98" s="738"/>
      <c r="R98" s="738"/>
      <c r="S98" s="738"/>
      <c r="T98" s="738"/>
      <c r="U98" s="738"/>
      <c r="V98" s="738"/>
      <c r="W98" s="738"/>
      <c r="AA98" s="738"/>
    </row>
    <row r="99" spans="1:27" x14ac:dyDescent="0.2">
      <c r="A99" s="731"/>
      <c r="B99" s="752"/>
      <c r="D99" s="738"/>
      <c r="E99" s="738"/>
      <c r="F99" s="741"/>
      <c r="G99" s="741"/>
      <c r="H99" s="741"/>
      <c r="I99" s="741"/>
      <c r="J99" s="741"/>
      <c r="K99" s="741"/>
      <c r="L99" s="741"/>
      <c r="M99" s="741"/>
      <c r="N99" s="741"/>
      <c r="O99" s="741"/>
      <c r="P99" s="738"/>
      <c r="Q99" s="738"/>
      <c r="R99" s="738"/>
      <c r="S99" s="738"/>
      <c r="T99" s="738"/>
      <c r="U99" s="738"/>
      <c r="V99" s="738"/>
      <c r="W99" s="738"/>
      <c r="AA99" s="738"/>
    </row>
    <row r="100" spans="1:27" ht="12.75" customHeight="1" x14ac:dyDescent="0.2">
      <c r="A100" s="2156" t="s">
        <v>624</v>
      </c>
      <c r="B100" s="2156"/>
      <c r="C100" s="2156"/>
      <c r="D100" s="2156"/>
      <c r="E100" s="2156"/>
      <c r="F100" s="2156"/>
      <c r="G100" s="2156"/>
      <c r="H100" s="2156"/>
      <c r="I100" s="2156"/>
      <c r="J100" s="2156"/>
      <c r="K100" s="2156"/>
      <c r="L100" s="2156"/>
      <c r="M100" s="2156"/>
      <c r="N100" s="2156"/>
      <c r="O100" s="2156"/>
    </row>
    <row r="101" spans="1:27" ht="12.75" customHeight="1" x14ac:dyDescent="0.2">
      <c r="A101" s="2155" t="str">
        <f>A2</f>
        <v>CASE NO. 2016 - 00162</v>
      </c>
      <c r="B101" s="2155"/>
      <c r="C101" s="2155"/>
      <c r="D101" s="2155"/>
      <c r="E101" s="2155"/>
      <c r="F101" s="2155"/>
      <c r="G101" s="2155"/>
      <c r="H101" s="2155"/>
      <c r="I101" s="2155"/>
      <c r="J101" s="2155"/>
      <c r="K101" s="2155"/>
      <c r="L101" s="2155"/>
      <c r="M101" s="2155"/>
      <c r="N101" s="2155"/>
      <c r="O101" s="2155"/>
    </row>
    <row r="102" spans="1:27" ht="12.75" customHeight="1" x14ac:dyDescent="0.2">
      <c r="A102" s="2156" t="s">
        <v>1600</v>
      </c>
      <c r="B102" s="2156"/>
      <c r="C102" s="2156"/>
      <c r="D102" s="2156"/>
      <c r="E102" s="2156"/>
      <c r="F102" s="2156"/>
      <c r="G102" s="2156"/>
      <c r="H102" s="2156"/>
      <c r="I102" s="2156"/>
      <c r="J102" s="2156"/>
      <c r="K102" s="2156"/>
      <c r="L102" s="2156"/>
      <c r="M102" s="2156"/>
      <c r="N102" s="2156"/>
      <c r="O102" s="2156"/>
    </row>
    <row r="103" spans="1:27" ht="12.75" customHeight="1" x14ac:dyDescent="0.2">
      <c r="A103" s="2156" t="s">
        <v>1601</v>
      </c>
      <c r="B103" s="2156"/>
      <c r="C103" s="2156"/>
      <c r="D103" s="2156"/>
      <c r="E103" s="2156"/>
      <c r="F103" s="2156"/>
      <c r="G103" s="2156"/>
      <c r="H103" s="2156"/>
      <c r="I103" s="2156"/>
      <c r="J103" s="2156"/>
      <c r="K103" s="2156"/>
      <c r="L103" s="2156"/>
      <c r="M103" s="2156"/>
      <c r="N103" s="2156"/>
      <c r="O103" s="2156"/>
    </row>
    <row r="104" spans="1:27" ht="12.75" customHeight="1" x14ac:dyDescent="0.2">
      <c r="A104" s="2155" t="str">
        <f>A5</f>
        <v>FOR THE TWELVE MONTHS ENDED AUGUST 31, 2016 AND THE TWELVE MONTHS ENDED DECEMBER 31, 2017</v>
      </c>
      <c r="B104" s="2155"/>
      <c r="C104" s="2155"/>
      <c r="D104" s="2155"/>
      <c r="E104" s="2155"/>
      <c r="F104" s="2155"/>
      <c r="G104" s="2155"/>
      <c r="H104" s="2155"/>
      <c r="I104" s="2155"/>
      <c r="J104" s="2155"/>
      <c r="K104" s="2155"/>
      <c r="L104" s="2155"/>
      <c r="M104" s="2155"/>
      <c r="N104" s="2155"/>
      <c r="O104" s="2155"/>
    </row>
    <row r="105" spans="1:27" x14ac:dyDescent="0.2">
      <c r="A105" s="725" t="s">
        <v>1602</v>
      </c>
      <c r="O105" s="1413" t="s">
        <v>1603</v>
      </c>
    </row>
    <row r="106" spans="1:27" x14ac:dyDescent="0.2">
      <c r="A106" s="725" t="s">
        <v>1604</v>
      </c>
      <c r="O106" s="1413" t="s">
        <v>114</v>
      </c>
    </row>
    <row r="107" spans="1:27" x14ac:dyDescent="0.2">
      <c r="A107" s="727" t="s">
        <v>1606</v>
      </c>
      <c r="B107" s="728"/>
      <c r="C107" s="729"/>
      <c r="D107" s="729"/>
      <c r="E107" s="729"/>
      <c r="F107" s="759"/>
      <c r="G107" s="759"/>
      <c r="H107" s="759"/>
      <c r="I107" s="759"/>
      <c r="J107" s="759"/>
      <c r="K107" s="759"/>
      <c r="L107" s="759"/>
      <c r="M107" s="759"/>
      <c r="N107" s="759"/>
      <c r="O107" s="1415" t="str">
        <f>O8</f>
        <v>WITNESS:  J. T. CROOM</v>
      </c>
    </row>
    <row r="109" spans="1:27" x14ac:dyDescent="0.2">
      <c r="A109" s="731" t="s">
        <v>632</v>
      </c>
      <c r="B109" s="732" t="s">
        <v>1607</v>
      </c>
      <c r="D109" s="731" t="s">
        <v>634</v>
      </c>
      <c r="E109" s="734" t="s">
        <v>1295</v>
      </c>
      <c r="F109" s="734" t="s">
        <v>1295</v>
      </c>
      <c r="G109" s="734" t="s">
        <v>1295</v>
      </c>
      <c r="H109" s="734" t="s">
        <v>1295</v>
      </c>
      <c r="I109" s="734" t="s">
        <v>1295</v>
      </c>
      <c r="J109" s="734" t="s">
        <v>1295</v>
      </c>
      <c r="K109" s="734" t="s">
        <v>1295</v>
      </c>
      <c r="L109" s="734" t="s">
        <v>1295</v>
      </c>
      <c r="M109" s="734" t="s">
        <v>1295</v>
      </c>
      <c r="N109" s="734" t="s">
        <v>1295</v>
      </c>
      <c r="O109" s="734" t="s">
        <v>106</v>
      </c>
    </row>
    <row r="110" spans="1:27" x14ac:dyDescent="0.2">
      <c r="A110" s="735" t="s">
        <v>635</v>
      </c>
      <c r="B110" s="736" t="s">
        <v>1608</v>
      </c>
      <c r="C110" s="729"/>
      <c r="D110" s="735" t="s">
        <v>638</v>
      </c>
      <c r="E110" s="737" t="s">
        <v>1609</v>
      </c>
      <c r="F110" s="737" t="s">
        <v>1610</v>
      </c>
      <c r="G110" s="737" t="s">
        <v>1611</v>
      </c>
      <c r="H110" s="737" t="s">
        <v>107</v>
      </c>
      <c r="I110" s="737" t="s">
        <v>108</v>
      </c>
      <c r="J110" s="737" t="s">
        <v>109</v>
      </c>
      <c r="K110" s="737" t="s">
        <v>110</v>
      </c>
      <c r="L110" s="737" t="s">
        <v>111</v>
      </c>
      <c r="M110" s="737" t="s">
        <v>112</v>
      </c>
      <c r="N110" s="737" t="s">
        <v>113</v>
      </c>
      <c r="O110" s="737" t="s">
        <v>1612</v>
      </c>
    </row>
    <row r="112" spans="1:27" x14ac:dyDescent="0.2">
      <c r="A112" s="731">
        <v>1</v>
      </c>
      <c r="B112" s="1636">
        <v>927</v>
      </c>
      <c r="C112" s="754" t="s">
        <v>1589</v>
      </c>
      <c r="D112" s="741">
        <f>'Total Co Accts Activ C2.2A'!P91</f>
        <v>0</v>
      </c>
      <c r="E112" s="741">
        <f>SUMIF('O&amp;M by CE Desc Variance'!$B$8:$B$28,B112,'O&amp;M by CE Desc Variance'!$E$8:$E$28)</f>
        <v>0</v>
      </c>
      <c r="F112" s="741">
        <f>SUMIF('O&amp;M by CE Desc Variance'!$B$31:$B$49,B112,'O&amp;M by CE Desc Variance'!$E$31:$E$49)</f>
        <v>0</v>
      </c>
      <c r="G112" s="741">
        <f>SUMIF('O&amp;M by CE Desc Variance'!$B$52:$B$89,B112,'O&amp;M by CE Desc Variance'!$E$52:$E$89)</f>
        <v>0</v>
      </c>
      <c r="H112" s="741">
        <f>SUMIF('O&amp;M by CE Desc Variance'!$B$91:$B$107,B112,'O&amp;M by CE Desc Variance'!$E$91:$E$107)</f>
        <v>0</v>
      </c>
      <c r="I112" s="741">
        <f>SUMIF('O&amp;M by CE Desc Variance'!$B$110:$B$120,B112,'O&amp;M by CE Desc Variance'!$E$110:$E$120)</f>
        <v>0</v>
      </c>
      <c r="J112" s="741">
        <f>SUMIF('O&amp;M by CE Desc Variance'!$B$122:$B$136,B112,'O&amp;M by CE Desc Variance'!$E$122:$E$136)</f>
        <v>0</v>
      </c>
      <c r="K112" s="741">
        <f>SUMIF('O&amp;M by CE Desc Variance'!$B$139:$B$142,B112,'O&amp;M by CE Desc Variance'!$E$139:$E$142)</f>
        <v>0</v>
      </c>
      <c r="L112" s="741">
        <f>SUMIF('O&amp;M by CE Desc Variance'!$B$145:$B$158,B112,'O&amp;M by CE Desc Variance'!$E$145:$E$158)</f>
        <v>0</v>
      </c>
      <c r="M112" s="741">
        <f>SUMIF('O&amp;M by CE Desc Variance'!$B$161:$B$196,B112,'O&amp;M by CE Desc Variance'!$E$161:$E$196)</f>
        <v>0</v>
      </c>
      <c r="N112" s="741">
        <f>SUMIF('O&amp;M by CE Desc Variance'!$B$199:$B$202,'D-1'!B112,'O&amp;M by CE Desc Variance'!$E$199:$E$202)</f>
        <v>0</v>
      </c>
      <c r="O112" s="741">
        <f t="shared" ref="O112:O118" si="9">SUM(E112:N112)</f>
        <v>0</v>
      </c>
      <c r="P112" s="738"/>
      <c r="Q112" s="738"/>
      <c r="R112" s="738"/>
      <c r="S112" s="738"/>
      <c r="T112" s="738"/>
      <c r="U112" s="738"/>
      <c r="V112" s="738"/>
      <c r="W112" s="738"/>
      <c r="AA112" s="738"/>
    </row>
    <row r="113" spans="1:27" x14ac:dyDescent="0.2">
      <c r="A113" s="731">
        <f>A112+1</f>
        <v>2</v>
      </c>
      <c r="B113" s="1636">
        <v>928</v>
      </c>
      <c r="C113" s="754" t="s">
        <v>1590</v>
      </c>
      <c r="D113" s="741">
        <f>'Total Co Accts Activ C2.2A'!P92</f>
        <v>402591.42000000004</v>
      </c>
      <c r="E113" s="741">
        <f>SUMIF('O&amp;M by CE Desc Variance'!$B$8:$B$28,B113,'O&amp;M by CE Desc Variance'!$E$8:$E$28)</f>
        <v>0</v>
      </c>
      <c r="F113" s="741">
        <f>SUMIF('O&amp;M by CE Desc Variance'!$B$31:$B$49,B113,'O&amp;M by CE Desc Variance'!$E$31:$E$49)</f>
        <v>0</v>
      </c>
      <c r="G113" s="741">
        <f>SUMIF('O&amp;M by CE Desc Variance'!$B$52:$B$89,B113,'O&amp;M by CE Desc Variance'!$E$52:$E$89)</f>
        <v>0</v>
      </c>
      <c r="H113" s="741">
        <f>SUMIF('O&amp;M by CE Desc Variance'!$B$91:$B$107,B113,'O&amp;M by CE Desc Variance'!$E$91:$E$107)</f>
        <v>0</v>
      </c>
      <c r="I113" s="741">
        <f>SUMIF('O&amp;M by CE Desc Variance'!$B$110:$B$120,B113,'O&amp;M by CE Desc Variance'!$E$110:$E$120)</f>
        <v>0</v>
      </c>
      <c r="J113" s="741">
        <f>SUMIF('O&amp;M by CE Desc Variance'!$B$122:$B$136,B113,'O&amp;M by CE Desc Variance'!$E$122:$E$136)</f>
        <v>0</v>
      </c>
      <c r="K113" s="741">
        <f>SUMIF('O&amp;M by CE Desc Variance'!$B$139:$B$142,B113,'O&amp;M by CE Desc Variance'!$E$139:$E$142)</f>
        <v>0</v>
      </c>
      <c r="L113" s="741">
        <f>SUMIF('O&amp;M by CE Desc Variance'!$B$145:$B$158,B113,'O&amp;M by CE Desc Variance'!$E$145:$E$158)</f>
        <v>0</v>
      </c>
      <c r="M113" s="741">
        <f>SUMIF('O&amp;M by CE Desc Variance'!$B$161:$B$196,B113,'O&amp;M by CE Desc Variance'!$E$161:$E$196)</f>
        <v>0</v>
      </c>
      <c r="N113" s="741">
        <f>SUMIF('O&amp;M by CE Desc Variance'!$B$199:$B$202,'D-1'!B113,'O&amp;M by CE Desc Variance'!$E$199:$E$202)</f>
        <v>0</v>
      </c>
      <c r="O113" s="741">
        <f t="shared" si="9"/>
        <v>0</v>
      </c>
      <c r="P113" s="738"/>
      <c r="Q113" s="738"/>
      <c r="R113" s="738"/>
      <c r="S113" s="738"/>
      <c r="T113" s="738"/>
      <c r="U113" s="738"/>
      <c r="V113" s="738"/>
      <c r="W113" s="738"/>
      <c r="AA113" s="738"/>
    </row>
    <row r="114" spans="1:27" x14ac:dyDescent="0.2">
      <c r="A114" s="731">
        <f>A113+1</f>
        <v>3</v>
      </c>
      <c r="B114" s="1636">
        <v>929</v>
      </c>
      <c r="C114" s="754" t="s">
        <v>1591</v>
      </c>
      <c r="D114" s="741">
        <f>'Total Co Accts Activ C2.2A'!P93</f>
        <v>0</v>
      </c>
      <c r="E114" s="741">
        <f>SUMIF('O&amp;M by CE Desc Variance'!$B$8:$B$28,B114,'O&amp;M by CE Desc Variance'!$E$8:$E$28)</f>
        <v>0</v>
      </c>
      <c r="F114" s="741">
        <f>SUMIF('O&amp;M by CE Desc Variance'!$B$31:$B$49,B114,'O&amp;M by CE Desc Variance'!$E$31:$E$49)</f>
        <v>0</v>
      </c>
      <c r="G114" s="741">
        <f>SUMIF('O&amp;M by CE Desc Variance'!$B$52:$B$89,B114,'O&amp;M by CE Desc Variance'!$E$52:$E$89)</f>
        <v>0</v>
      </c>
      <c r="H114" s="741">
        <f>SUMIF('O&amp;M by CE Desc Variance'!$B$91:$B$107,B114,'O&amp;M by CE Desc Variance'!$E$91:$E$107)</f>
        <v>0</v>
      </c>
      <c r="I114" s="741">
        <f>SUMIF('O&amp;M by CE Desc Variance'!$B$110:$B$120,B114,'O&amp;M by CE Desc Variance'!$E$110:$E$120)</f>
        <v>0</v>
      </c>
      <c r="J114" s="741">
        <f>SUMIF('O&amp;M by CE Desc Variance'!$B$122:$B$136,B114,'O&amp;M by CE Desc Variance'!$E$122:$E$136)</f>
        <v>0</v>
      </c>
      <c r="K114" s="741">
        <f>SUMIF('O&amp;M by CE Desc Variance'!$B$139:$B$142,B114,'O&amp;M by CE Desc Variance'!$E$139:$E$142)</f>
        <v>0</v>
      </c>
      <c r="L114" s="741">
        <f>SUMIF('O&amp;M by CE Desc Variance'!$B$145:$B$158,B114,'O&amp;M by CE Desc Variance'!$E$145:$E$158)</f>
        <v>0</v>
      </c>
      <c r="M114" s="741">
        <f>SUMIF('O&amp;M by CE Desc Variance'!$B$161:$B$196,B114,'O&amp;M by CE Desc Variance'!$E$161:$E$196)</f>
        <v>0</v>
      </c>
      <c r="N114" s="741">
        <f>SUMIF('O&amp;M by CE Desc Variance'!$B$199:$B$202,'D-1'!B114,'O&amp;M by CE Desc Variance'!$E$199:$E$202)</f>
        <v>0</v>
      </c>
      <c r="O114" s="741">
        <f t="shared" si="9"/>
        <v>0</v>
      </c>
      <c r="P114" s="738"/>
      <c r="Q114" s="738"/>
      <c r="R114" s="738"/>
      <c r="S114" s="738"/>
      <c r="T114" s="738"/>
      <c r="U114" s="738"/>
      <c r="V114" s="738"/>
      <c r="W114" s="738"/>
      <c r="AA114" s="738"/>
    </row>
    <row r="115" spans="1:27" x14ac:dyDescent="0.2">
      <c r="A115" s="731">
        <f>A114+1</f>
        <v>4</v>
      </c>
      <c r="B115" s="1636">
        <v>930</v>
      </c>
      <c r="C115" s="754" t="s">
        <v>1592</v>
      </c>
      <c r="D115" s="741">
        <f>'Total Co Accts Activ C2.2A'!P94</f>
        <v>-74061.290000000008</v>
      </c>
      <c r="E115" s="741">
        <f>SUMIF('O&amp;M by CE Desc Variance'!$B$8:$B$28,B115,'O&amp;M by CE Desc Variance'!$E$8:$E$28)</f>
        <v>0</v>
      </c>
      <c r="F115" s="741">
        <f>SUMIF('O&amp;M by CE Desc Variance'!$B$31:$B$49,B115,'O&amp;M by CE Desc Variance'!$E$31:$E$49)</f>
        <v>1017.6599999999999</v>
      </c>
      <c r="G115" s="741">
        <f>SUMIF('O&amp;M by CE Desc Variance'!$B$52:$B$89,B115,'O&amp;M by CE Desc Variance'!$E$52:$E$89)</f>
        <v>1131</v>
      </c>
      <c r="H115" s="741">
        <f>SUMIF('O&amp;M by CE Desc Variance'!$B$91:$B$107,B115,'O&amp;M by CE Desc Variance'!$E$91:$E$107)</f>
        <v>-8439</v>
      </c>
      <c r="I115" s="741">
        <f>SUMIF('O&amp;M by CE Desc Variance'!$B$110:$B$120,B115,'O&amp;M by CE Desc Variance'!$E$110:$E$120)</f>
        <v>0</v>
      </c>
      <c r="J115" s="741">
        <f>SUMIF('O&amp;M by CE Desc Variance'!$B$122:$B$136,B115,'O&amp;M by CE Desc Variance'!$E$122:$E$136)</f>
        <v>0</v>
      </c>
      <c r="K115" s="741">
        <f>SUMIF('O&amp;M by CE Desc Variance'!$B$139:$B$142,B115,'O&amp;M by CE Desc Variance'!$E$139:$E$142)</f>
        <v>7520.4700000000012</v>
      </c>
      <c r="L115" s="741">
        <f>SUMIF('O&amp;M by CE Desc Variance'!$B$145:$B$158,B115,'O&amp;M by CE Desc Variance'!$E$145:$E$158)</f>
        <v>0</v>
      </c>
      <c r="M115" s="741">
        <f>SUMIF('O&amp;M by CE Desc Variance'!$B$161:$B$196,B115,'O&amp;M by CE Desc Variance'!$E$161:$E$196)</f>
        <v>15746.449999999997</v>
      </c>
      <c r="N115" s="741">
        <f>SUMIF('O&amp;M by CE Desc Variance'!$B$199:$B$202,'D-1'!B115,'O&amp;M by CE Desc Variance'!$E$199:$E$202)</f>
        <v>0</v>
      </c>
      <c r="O115" s="741">
        <f t="shared" si="9"/>
        <v>16976.579999999998</v>
      </c>
      <c r="P115" s="738"/>
      <c r="Q115" s="738"/>
      <c r="R115" s="738"/>
      <c r="S115" s="738"/>
      <c r="T115" s="738"/>
      <c r="U115" s="738"/>
      <c r="V115" s="738"/>
      <c r="W115" s="738"/>
      <c r="AA115" s="738"/>
    </row>
    <row r="116" spans="1:27" x14ac:dyDescent="0.2">
      <c r="A116" s="731">
        <f>A115+1</f>
        <v>5</v>
      </c>
      <c r="B116" s="1636">
        <v>931</v>
      </c>
      <c r="C116" s="754" t="s">
        <v>1593</v>
      </c>
      <c r="D116" s="741">
        <f>'Total Co Accts Activ C2.2A'!P95</f>
        <v>661434.81000000006</v>
      </c>
      <c r="E116" s="741">
        <f>SUMIF('O&amp;M by CE Desc Variance'!$B$8:$B$28,B116,'O&amp;M by CE Desc Variance'!$E$8:$E$28)</f>
        <v>0</v>
      </c>
      <c r="F116" s="741">
        <f>SUMIF('O&amp;M by CE Desc Variance'!$B$31:$B$49,B116,'O&amp;M by CE Desc Variance'!$E$31:$E$49)</f>
        <v>0</v>
      </c>
      <c r="G116" s="741">
        <f>SUMIF('O&amp;M by CE Desc Variance'!$B$52:$B$89,B116,'O&amp;M by CE Desc Variance'!$E$52:$E$89)</f>
        <v>0</v>
      </c>
      <c r="H116" s="741">
        <f>SUMIF('O&amp;M by CE Desc Variance'!$B$91:$B$107,B116,'O&amp;M by CE Desc Variance'!$E$91:$E$107)</f>
        <v>112</v>
      </c>
      <c r="I116" s="741">
        <f>SUMIF('O&amp;M by CE Desc Variance'!$B$110:$B$120,B116,'O&amp;M by CE Desc Variance'!$E$110:$E$120)</f>
        <v>0</v>
      </c>
      <c r="J116" s="741">
        <f>SUMIF('O&amp;M by CE Desc Variance'!$B$122:$B$136,B116,'O&amp;M by CE Desc Variance'!$E$122:$E$136)</f>
        <v>0</v>
      </c>
      <c r="K116" s="741">
        <f>SUMIF('O&amp;M by CE Desc Variance'!$B$139:$B$142,B116,'O&amp;M by CE Desc Variance'!$E$139:$E$142)</f>
        <v>0</v>
      </c>
      <c r="L116" s="741">
        <f>SUMIF('O&amp;M by CE Desc Variance'!$B$145:$B$158,B116,'O&amp;M by CE Desc Variance'!$E$145:$E$158)</f>
        <v>0</v>
      </c>
      <c r="M116" s="741">
        <f>SUMIF('O&amp;M by CE Desc Variance'!$B$161:$B$196,B116,'O&amp;M by CE Desc Variance'!$E$161:$E$196)</f>
        <v>-14636.810000000056</v>
      </c>
      <c r="N116" s="741">
        <f>SUMIF('O&amp;M by CE Desc Variance'!$B$199:$B$202,'D-1'!B116,'O&amp;M by CE Desc Variance'!$E$199:$E$202)</f>
        <v>0</v>
      </c>
      <c r="O116" s="741">
        <f t="shared" si="9"/>
        <v>-14524.810000000056</v>
      </c>
      <c r="P116" s="738"/>
      <c r="Q116" s="738"/>
      <c r="R116" s="738"/>
      <c r="S116" s="738"/>
      <c r="T116" s="738"/>
      <c r="U116" s="738"/>
      <c r="V116" s="738"/>
      <c r="W116" s="738"/>
      <c r="AA116" s="738"/>
    </row>
    <row r="117" spans="1:27" x14ac:dyDescent="0.2">
      <c r="A117" s="731">
        <f t="shared" ref="A117:A118" si="10">A116+1</f>
        <v>6</v>
      </c>
      <c r="B117" s="1636">
        <v>932</v>
      </c>
      <c r="C117" s="1583" t="s">
        <v>2104</v>
      </c>
      <c r="D117" s="741">
        <f>'Total Co Accts Activ C2.2A'!P96</f>
        <v>249236.68</v>
      </c>
      <c r="E117" s="741">
        <f>SUMIF('O&amp;M by CE Desc Variance'!$B$8:$B$28,B117,'O&amp;M by CE Desc Variance'!$E$8:$E$28)</f>
        <v>0</v>
      </c>
      <c r="F117" s="741">
        <f>SUMIF('O&amp;M by CE Desc Variance'!$B$31:$B$49,B117,'O&amp;M by CE Desc Variance'!$E$31:$E$49)</f>
        <v>0</v>
      </c>
      <c r="G117" s="741">
        <f>SUMIF('O&amp;M by CE Desc Variance'!$B$52:$B$89,B117,'O&amp;M by CE Desc Variance'!$E$52:$E$89)</f>
        <v>2895</v>
      </c>
      <c r="H117" s="741">
        <f>SUMIF('O&amp;M by CE Desc Variance'!$B$91:$B$107,B117,'O&amp;M by CE Desc Variance'!$E$91:$E$107)</f>
        <v>0</v>
      </c>
      <c r="I117" s="741">
        <f>SUMIF('O&amp;M by CE Desc Variance'!$B$110:$B$120,B117,'O&amp;M by CE Desc Variance'!$E$110:$E$120)</f>
        <v>0</v>
      </c>
      <c r="J117" s="741">
        <f>SUMIF('O&amp;M by CE Desc Variance'!$B$122:$B$136,B117,'O&amp;M by CE Desc Variance'!$E$122:$E$136)</f>
        <v>0</v>
      </c>
      <c r="K117" s="741">
        <f>SUMIF('O&amp;M by CE Desc Variance'!$B$139:$B$142,B117,'O&amp;M by CE Desc Variance'!$E$139:$E$142)</f>
        <v>0</v>
      </c>
      <c r="L117" s="741">
        <f>SUMIF('O&amp;M by CE Desc Variance'!$B$145:$B$158,B117,'O&amp;M by CE Desc Variance'!$E$145:$E$158)</f>
        <v>0</v>
      </c>
      <c r="M117" s="741">
        <f>SUMIF('O&amp;M by CE Desc Variance'!$B$161:$B$196,B117,'O&amp;M by CE Desc Variance'!$E$161:$E$196)</f>
        <v>-2738.679999999993</v>
      </c>
      <c r="N117" s="741">
        <f>SUMIF('O&amp;M by CE Desc Variance'!$B$199:$B$202,'D-1'!B117,'O&amp;M by CE Desc Variance'!$E$199:$E$202)</f>
        <v>0</v>
      </c>
      <c r="O117" s="741">
        <f t="shared" si="9"/>
        <v>156.32000000000698</v>
      </c>
      <c r="P117" s="738"/>
      <c r="Q117" s="738"/>
      <c r="R117" s="738"/>
      <c r="S117" s="738"/>
      <c r="T117" s="738"/>
      <c r="U117" s="738"/>
      <c r="V117" s="738"/>
      <c r="W117" s="738"/>
      <c r="AA117" s="738"/>
    </row>
    <row r="118" spans="1:27" x14ac:dyDescent="0.2">
      <c r="A118" s="731">
        <f t="shared" si="10"/>
        <v>7</v>
      </c>
      <c r="B118" s="1636">
        <v>935</v>
      </c>
      <c r="C118" s="754" t="s">
        <v>115</v>
      </c>
      <c r="D118" s="741">
        <f>'Total Co Accts Activ C2.2A'!P99+'Total Co Accts Activ C2.2A'!P97+'Total Co Accts Activ C2.2A'!P98</f>
        <v>139</v>
      </c>
      <c r="E118" s="741">
        <f>SUMIF('O&amp;M by CE Desc Variance'!$B$8:$B$28,B118,'O&amp;M by CE Desc Variance'!$E$8:$E$28)</f>
        <v>0</v>
      </c>
      <c r="F118" s="741">
        <f>SUMIF('O&amp;M by CE Desc Variance'!$B$31:$B$49,B118,'O&amp;M by CE Desc Variance'!$E$31:$E$49)</f>
        <v>0</v>
      </c>
      <c r="G118" s="741">
        <f>SUMIF('O&amp;M by CE Desc Variance'!$B$52:$B$89,B118,'O&amp;M by CE Desc Variance'!$E$52:$E$89)</f>
        <v>-9</v>
      </c>
      <c r="H118" s="741">
        <f>SUMIF('O&amp;M by CE Desc Variance'!$B$91:$B$107,B118,'O&amp;M by CE Desc Variance'!$E$91:$E$107)</f>
        <v>0</v>
      </c>
      <c r="I118" s="741">
        <f>SUMIF('O&amp;M by CE Desc Variance'!$B$110:$B$120,B118,'O&amp;M by CE Desc Variance'!$E$110:$E$120)</f>
        <v>0</v>
      </c>
      <c r="J118" s="741">
        <f>SUMIF('O&amp;M by CE Desc Variance'!$B$122:$B$136,B118,'O&amp;M by CE Desc Variance'!$E$122:$E$136)</f>
        <v>0</v>
      </c>
      <c r="K118" s="741">
        <f>SUMIF('O&amp;M by CE Desc Variance'!$B$139:$B$142,B118,'O&amp;M by CE Desc Variance'!$E$139:$E$142)</f>
        <v>0</v>
      </c>
      <c r="L118" s="741">
        <f>SUMIF('O&amp;M by CE Desc Variance'!$B$145:$B$158,B118,'O&amp;M by CE Desc Variance'!$E$145:$E$158)</f>
        <v>0</v>
      </c>
      <c r="M118" s="741">
        <f>SUMIF('O&amp;M by CE Desc Variance'!$B$161:$B$196,B118,'O&amp;M by CE Desc Variance'!$E$161:$E$196)</f>
        <v>0</v>
      </c>
      <c r="N118" s="741">
        <f>SUMIF('O&amp;M by CE Desc Variance'!$B$199:$B$202,'D-1'!B118,'O&amp;M by CE Desc Variance'!$E$199:$E$202)</f>
        <v>0</v>
      </c>
      <c r="O118" s="741">
        <f t="shared" si="9"/>
        <v>-9</v>
      </c>
      <c r="P118" s="738"/>
      <c r="Q118" s="738"/>
      <c r="R118" s="738"/>
      <c r="S118" s="738"/>
      <c r="T118" s="738"/>
      <c r="U118" s="738"/>
      <c r="V118" s="738"/>
      <c r="W118" s="738"/>
      <c r="AA118" s="738"/>
    </row>
    <row r="119" spans="1:27" x14ac:dyDescent="0.2">
      <c r="A119" s="731"/>
    </row>
    <row r="120" spans="1:27" x14ac:dyDescent="0.2">
      <c r="A120" s="731">
        <f>A118+1</f>
        <v>8</v>
      </c>
      <c r="B120" s="740" t="s">
        <v>670</v>
      </c>
      <c r="D120" s="748">
        <f t="shared" ref="D120:N120" si="11">SUM(D58:D98)+SUM(D112:D118)</f>
        <v>39066469.890000001</v>
      </c>
      <c r="E120" s="748">
        <f t="shared" si="11"/>
        <v>717446.46999999962</v>
      </c>
      <c r="F120" s="747">
        <f t="shared" si="11"/>
        <v>34773.229999999967</v>
      </c>
      <c r="G120" s="747">
        <f t="shared" si="11"/>
        <v>1335438.7000000002</v>
      </c>
      <c r="H120" s="747">
        <f t="shared" si="11"/>
        <v>-11832.979999999987</v>
      </c>
      <c r="I120" s="747">
        <f t="shared" si="11"/>
        <v>113131.37</v>
      </c>
      <c r="J120" s="747">
        <f t="shared" si="11"/>
        <v>111487.58996000001</v>
      </c>
      <c r="K120" s="747">
        <f t="shared" si="11"/>
        <v>9293.9700000000012</v>
      </c>
      <c r="L120" s="747">
        <f t="shared" si="11"/>
        <v>-30990.820000000036</v>
      </c>
      <c r="M120" s="747">
        <f t="shared" si="11"/>
        <v>1540638.6500000006</v>
      </c>
      <c r="N120" s="747">
        <f t="shared" si="11"/>
        <v>843488.92999999993</v>
      </c>
      <c r="O120" s="747">
        <f>SUM(E120:N120)</f>
        <v>4662875.109960001</v>
      </c>
      <c r="S120" s="756"/>
    </row>
    <row r="121" spans="1:27" x14ac:dyDescent="0.2">
      <c r="A121" s="731"/>
      <c r="AA121" s="731"/>
    </row>
    <row r="122" spans="1:27" x14ac:dyDescent="0.2">
      <c r="A122" s="731"/>
      <c r="M122" s="780"/>
      <c r="AA122" s="731"/>
    </row>
    <row r="123" spans="1:27" x14ac:dyDescent="0.2">
      <c r="A123" s="731"/>
      <c r="S123" s="730"/>
    </row>
    <row r="124" spans="1:27" hidden="1" x14ac:dyDescent="0.2">
      <c r="A124" s="733">
        <f>A120+1</f>
        <v>9</v>
      </c>
      <c r="B124" s="1409" t="s">
        <v>2332</v>
      </c>
      <c r="C124" s="730"/>
      <c r="D124" s="741">
        <f>'Base TY Budget'!E79</f>
        <v>8641279.9700000007</v>
      </c>
      <c r="E124" s="741">
        <f>SUM(E58:E98)+SUM(E112:E118)</f>
        <v>717446.46999999962</v>
      </c>
      <c r="F124" s="741"/>
      <c r="G124" s="741"/>
      <c r="H124" s="741"/>
      <c r="I124" s="741"/>
      <c r="J124" s="741"/>
      <c r="K124" s="741"/>
      <c r="L124" s="741"/>
      <c r="M124" s="741"/>
      <c r="N124" s="741"/>
      <c r="O124" s="741">
        <f t="shared" ref="O124:O138" si="12">SUM(E124:N124)</f>
        <v>717446.46999999962</v>
      </c>
      <c r="P124" s="738"/>
      <c r="Q124" s="738"/>
      <c r="R124" s="738"/>
      <c r="AA124" s="757"/>
    </row>
    <row r="125" spans="1:27" hidden="1" x14ac:dyDescent="0.2">
      <c r="A125" s="733">
        <f t="shared" ref="A125:A138" si="13">A124+1</f>
        <v>10</v>
      </c>
      <c r="B125" s="1409" t="s">
        <v>116</v>
      </c>
      <c r="C125" s="730"/>
      <c r="D125" s="741">
        <f>'Base TY Budget'!E105</f>
        <v>1895204.77</v>
      </c>
      <c r="E125" s="741"/>
      <c r="F125" s="741">
        <f>SUM(F58:F98)+SUM(F112:F118)</f>
        <v>34773.229999999967</v>
      </c>
      <c r="G125" s="741"/>
      <c r="H125" s="741"/>
      <c r="I125" s="741"/>
      <c r="J125" s="741"/>
      <c r="K125" s="741"/>
      <c r="L125" s="741"/>
      <c r="M125" s="741"/>
      <c r="N125" s="741"/>
      <c r="O125" s="741">
        <f t="shared" si="12"/>
        <v>34773.229999999967</v>
      </c>
      <c r="P125" s="738"/>
      <c r="Q125" s="738"/>
      <c r="R125" s="738"/>
      <c r="AA125" s="757"/>
    </row>
    <row r="126" spans="1:27" hidden="1" x14ac:dyDescent="0.2">
      <c r="A126" s="733">
        <f t="shared" si="13"/>
        <v>11</v>
      </c>
      <c r="B126" s="1409" t="s">
        <v>117</v>
      </c>
      <c r="C126" s="730"/>
      <c r="D126" s="741">
        <f>'Base TY Budget'!E106+'Base TY Budget'!E108+'Base TY Budget'!E109+'Base TY Budget'!E110+'Base TY Budget'!E111</f>
        <v>5500817.2999999998</v>
      </c>
      <c r="E126" s="741"/>
      <c r="F126" s="741"/>
      <c r="G126" s="741">
        <f>SUM(G58:G98)+SUM(G112:G118)</f>
        <v>1335438.7000000002</v>
      </c>
      <c r="H126" s="741"/>
      <c r="I126" s="741"/>
      <c r="J126" s="741"/>
      <c r="K126" s="741"/>
      <c r="L126" s="741"/>
      <c r="M126" s="741"/>
      <c r="N126" s="741"/>
      <c r="O126" s="741">
        <f t="shared" si="12"/>
        <v>1335438.7000000002</v>
      </c>
      <c r="P126" s="738"/>
      <c r="Q126" s="738"/>
      <c r="R126" s="738"/>
      <c r="AA126" s="757"/>
    </row>
    <row r="127" spans="1:27" hidden="1" x14ac:dyDescent="0.2">
      <c r="A127" s="733">
        <f t="shared" si="13"/>
        <v>12</v>
      </c>
      <c r="B127" s="1409" t="s">
        <v>2331</v>
      </c>
      <c r="C127" s="730"/>
      <c r="D127" s="741">
        <f>SUM('Base TY Budget'!E132:E134)</f>
        <v>120557.98</v>
      </c>
      <c r="E127" s="741"/>
      <c r="F127" s="741"/>
      <c r="G127" s="741"/>
      <c r="H127" s="741">
        <f>SUM(H58:H98)+SUM(H112:H118)</f>
        <v>-11832.979999999987</v>
      </c>
      <c r="I127" s="741"/>
      <c r="J127" s="741"/>
      <c r="K127" s="741"/>
      <c r="L127" s="741"/>
      <c r="M127" s="741"/>
      <c r="N127" s="741"/>
      <c r="O127" s="741">
        <f t="shared" si="12"/>
        <v>-11832.979999999987</v>
      </c>
      <c r="P127" s="738"/>
      <c r="Q127" s="738"/>
      <c r="R127" s="738"/>
      <c r="AA127" s="757"/>
    </row>
    <row r="128" spans="1:27" hidden="1" x14ac:dyDescent="0.2">
      <c r="A128" s="733">
        <f t="shared" si="13"/>
        <v>13</v>
      </c>
      <c r="B128" s="1409" t="s">
        <v>2333</v>
      </c>
      <c r="C128" s="730"/>
      <c r="D128" s="741">
        <f>SUM('Base TY Budget'!E125:E127)</f>
        <v>963843.63</v>
      </c>
      <c r="E128" s="741"/>
      <c r="F128" s="741"/>
      <c r="G128" s="741"/>
      <c r="H128" s="741"/>
      <c r="I128" s="741">
        <f>SUM(I58:I98)+SUM(I112:I118)</f>
        <v>113131.37</v>
      </c>
      <c r="J128" s="741"/>
      <c r="K128" s="741"/>
      <c r="L128" s="741"/>
      <c r="M128" s="741"/>
      <c r="N128" s="741"/>
      <c r="O128" s="741">
        <f t="shared" si="12"/>
        <v>113131.37</v>
      </c>
      <c r="P128" s="738"/>
      <c r="Q128" s="738"/>
      <c r="R128" s="738"/>
      <c r="AA128" s="757"/>
    </row>
    <row r="129" spans="1:27" hidden="1" x14ac:dyDescent="0.2">
      <c r="A129" s="733">
        <f t="shared" si="13"/>
        <v>14</v>
      </c>
      <c r="B129" s="1409" t="s">
        <v>2334</v>
      </c>
      <c r="C129" s="730"/>
      <c r="D129" s="741">
        <f>SUM('Base TY Budget'!E112)</f>
        <v>402754.41000000003</v>
      </c>
      <c r="E129" s="741"/>
      <c r="F129" s="741"/>
      <c r="G129" s="741"/>
      <c r="H129" s="741"/>
      <c r="I129" s="741"/>
      <c r="J129" s="741">
        <f>SUM(J58:J98)+SUM(J112:J118)</f>
        <v>111487.58996000001</v>
      </c>
      <c r="K129" s="741"/>
      <c r="L129" s="741"/>
      <c r="M129" s="741"/>
      <c r="N129" s="741"/>
      <c r="O129" s="741">
        <f t="shared" si="12"/>
        <v>111487.58996000001</v>
      </c>
      <c r="P129" s="738"/>
      <c r="Q129" s="738"/>
      <c r="R129" s="738"/>
      <c r="AA129" s="757"/>
    </row>
    <row r="130" spans="1:27" hidden="1" x14ac:dyDescent="0.2">
      <c r="A130" s="733">
        <f t="shared" si="13"/>
        <v>15</v>
      </c>
      <c r="B130" s="1409" t="s">
        <v>2335</v>
      </c>
      <c r="C130" s="730"/>
      <c r="D130" s="741">
        <f>SUM('Base TY Budget'!E121)</f>
        <v>74122.03</v>
      </c>
      <c r="E130" s="741"/>
      <c r="F130" s="741"/>
      <c r="G130" s="741"/>
      <c r="H130" s="741"/>
      <c r="I130" s="741"/>
      <c r="J130" s="741"/>
      <c r="K130" s="741">
        <f>SUM(K58:K98)+SUM(K112:K118)</f>
        <v>9293.9700000000012</v>
      </c>
      <c r="L130" s="741"/>
      <c r="M130" s="741"/>
      <c r="N130" s="741"/>
      <c r="O130" s="741">
        <f t="shared" si="12"/>
        <v>9293.9700000000012</v>
      </c>
      <c r="P130" s="738"/>
      <c r="Q130" s="738"/>
      <c r="R130" s="738"/>
      <c r="AA130" s="757"/>
    </row>
    <row r="131" spans="1:27" hidden="1" x14ac:dyDescent="0.2">
      <c r="A131" s="733">
        <f t="shared" si="13"/>
        <v>16</v>
      </c>
      <c r="B131" s="1409" t="s">
        <v>2336</v>
      </c>
      <c r="C131" s="730"/>
      <c r="D131" s="741">
        <f>SUM('Base TY Budget'!E130)</f>
        <v>470250.82</v>
      </c>
      <c r="E131" s="741"/>
      <c r="F131" s="741"/>
      <c r="G131" s="741"/>
      <c r="H131" s="741"/>
      <c r="I131" s="741"/>
      <c r="J131" s="741"/>
      <c r="K131" s="741"/>
      <c r="L131" s="741">
        <f>SUM(L58:L98)+SUM(L112:L118)</f>
        <v>-30990.820000000036</v>
      </c>
      <c r="M131" s="741"/>
      <c r="N131" s="741"/>
      <c r="O131" s="741">
        <f t="shared" si="12"/>
        <v>-30990.820000000036</v>
      </c>
      <c r="P131" s="738"/>
      <c r="Q131" s="738"/>
      <c r="R131" s="738"/>
      <c r="AA131" s="757"/>
    </row>
    <row r="132" spans="1:27" hidden="1" x14ac:dyDescent="0.2">
      <c r="A132" s="733">
        <f t="shared" si="13"/>
        <v>17</v>
      </c>
      <c r="B132" s="1409" t="s">
        <v>2339</v>
      </c>
      <c r="C132" s="730"/>
      <c r="D132" s="741">
        <f>SUM('Base TY Budget'!E102:E103)</f>
        <v>15900947.359999999</v>
      </c>
      <c r="E132" s="741"/>
      <c r="F132" s="741"/>
      <c r="G132" s="741"/>
      <c r="H132" s="741"/>
      <c r="I132" s="741"/>
      <c r="J132" s="741"/>
      <c r="K132" s="741"/>
      <c r="L132" s="741"/>
      <c r="M132" s="741">
        <f>SUM(M58:M98)+SUM(M112:M118)</f>
        <v>1540638.6500000006</v>
      </c>
      <c r="N132" s="741"/>
      <c r="O132" s="741">
        <f t="shared" si="12"/>
        <v>1540638.6500000006</v>
      </c>
      <c r="P132" s="738"/>
      <c r="Q132" s="738"/>
      <c r="R132" s="738"/>
      <c r="AA132" s="757"/>
    </row>
    <row r="133" spans="1:27" hidden="1" x14ac:dyDescent="0.2">
      <c r="A133" s="733">
        <f t="shared" si="13"/>
        <v>18</v>
      </c>
      <c r="B133" s="1409" t="s">
        <v>2338</v>
      </c>
      <c r="C133" s="730"/>
      <c r="D133" s="741">
        <f>SUM('Base TY Budget'!E113:E115)+'Base TY Budget'!E128</f>
        <v>811974.07000000007</v>
      </c>
      <c r="E133" s="741"/>
      <c r="F133" s="741"/>
      <c r="G133" s="741"/>
      <c r="H133" s="741"/>
      <c r="I133" s="741"/>
      <c r="J133" s="741"/>
      <c r="K133" s="741"/>
      <c r="L133" s="741"/>
      <c r="M133" s="741"/>
      <c r="N133" s="741">
        <f>SUM(N58:N98)+SUM(N112:N118)</f>
        <v>843488.92999999993</v>
      </c>
      <c r="O133" s="741">
        <f t="shared" si="12"/>
        <v>843488.92999999993</v>
      </c>
      <c r="P133" s="738"/>
      <c r="Q133" s="738"/>
      <c r="R133" s="738"/>
      <c r="AA133" s="757"/>
    </row>
    <row r="134" spans="1:27" hidden="1" x14ac:dyDescent="0.2">
      <c r="A134" s="733">
        <f t="shared" si="13"/>
        <v>19</v>
      </c>
      <c r="B134" s="1409" t="s">
        <v>2340</v>
      </c>
      <c r="C134" s="730"/>
      <c r="D134" s="741">
        <f>'Base TY Budget'!E122</f>
        <v>-158296.62</v>
      </c>
      <c r="E134" s="741"/>
      <c r="F134" s="741"/>
      <c r="G134" s="741"/>
      <c r="H134" s="741"/>
      <c r="I134" s="741"/>
      <c r="J134" s="741"/>
      <c r="K134" s="741"/>
      <c r="L134" s="741"/>
      <c r="M134" s="741"/>
      <c r="N134" s="741"/>
      <c r="O134" s="741">
        <f t="shared" si="12"/>
        <v>0</v>
      </c>
      <c r="P134" s="738"/>
      <c r="Q134" s="738"/>
      <c r="R134" s="738"/>
    </row>
    <row r="135" spans="1:27" hidden="1" x14ac:dyDescent="0.2">
      <c r="A135" s="733">
        <f t="shared" si="13"/>
        <v>20</v>
      </c>
      <c r="B135" s="1409" t="s">
        <v>2341</v>
      </c>
      <c r="C135" s="730"/>
      <c r="D135" s="741">
        <f>SUM('Base TY Budget'!E123:E124)+'Base TY Budget'!E116+'Base TY Budget'!E129</f>
        <v>1520957.98</v>
      </c>
      <c r="E135" s="741"/>
      <c r="F135" s="741"/>
      <c r="G135" s="741"/>
      <c r="H135" s="741"/>
      <c r="I135" s="741"/>
      <c r="J135" s="741"/>
      <c r="K135" s="741"/>
      <c r="L135" s="741"/>
      <c r="M135" s="741"/>
      <c r="N135" s="741"/>
      <c r="O135" s="741">
        <f t="shared" si="12"/>
        <v>0</v>
      </c>
      <c r="P135" s="738"/>
      <c r="Q135" s="738"/>
      <c r="R135" s="738"/>
    </row>
    <row r="136" spans="1:27" hidden="1" x14ac:dyDescent="0.2">
      <c r="A136" s="733">
        <f t="shared" si="13"/>
        <v>21</v>
      </c>
      <c r="B136" s="1409" t="s">
        <v>118</v>
      </c>
      <c r="C136" s="730"/>
      <c r="D136" s="741">
        <f>SUM('Base TY Budget'!E83:E99)</f>
        <v>1539703.6700000002</v>
      </c>
      <c r="E136" s="741"/>
      <c r="F136" s="741"/>
      <c r="G136" s="741"/>
      <c r="H136" s="741"/>
      <c r="I136" s="741"/>
      <c r="J136" s="741"/>
      <c r="K136" s="741"/>
      <c r="L136" s="741"/>
      <c r="M136" s="741"/>
      <c r="N136" s="741"/>
      <c r="O136" s="741">
        <f t="shared" si="12"/>
        <v>0</v>
      </c>
      <c r="P136" s="738"/>
      <c r="Q136" s="738"/>
      <c r="R136" s="738"/>
    </row>
    <row r="137" spans="1:27" hidden="1" x14ac:dyDescent="0.2">
      <c r="A137" s="733">
        <f t="shared" si="13"/>
        <v>22</v>
      </c>
      <c r="B137" s="1409" t="s">
        <v>2342</v>
      </c>
      <c r="C137" s="730"/>
      <c r="D137" s="741">
        <f>SUM('Base TY Budget'!E107)</f>
        <v>79230.19</v>
      </c>
      <c r="E137" s="741"/>
      <c r="F137" s="741"/>
      <c r="G137" s="741"/>
      <c r="H137" s="741"/>
      <c r="I137" s="741"/>
      <c r="J137" s="741"/>
      <c r="K137" s="741"/>
      <c r="L137" s="741"/>
      <c r="M137" s="741"/>
      <c r="N137" s="741"/>
      <c r="O137" s="741">
        <f t="shared" si="12"/>
        <v>0</v>
      </c>
      <c r="P137" s="738"/>
      <c r="Q137" s="738"/>
      <c r="R137" s="738"/>
    </row>
    <row r="138" spans="1:27" hidden="1" x14ac:dyDescent="0.2">
      <c r="A138" s="733">
        <f t="shared" si="13"/>
        <v>23</v>
      </c>
      <c r="B138" s="1409" t="s">
        <v>2337</v>
      </c>
      <c r="C138" s="730"/>
      <c r="D138" s="742">
        <f>SUM('Base TY Budget'!E117:E120)</f>
        <v>1303125.24</v>
      </c>
      <c r="E138" s="742"/>
      <c r="F138" s="742"/>
      <c r="G138" s="742"/>
      <c r="H138" s="742"/>
      <c r="I138" s="742"/>
      <c r="J138" s="742"/>
      <c r="K138" s="742"/>
      <c r="L138" s="742"/>
      <c r="M138" s="742"/>
      <c r="N138" s="742"/>
      <c r="O138" s="742">
        <f t="shared" si="12"/>
        <v>0</v>
      </c>
      <c r="P138" s="738"/>
      <c r="Q138" s="738"/>
      <c r="R138" s="738"/>
    </row>
    <row r="139" spans="1:27" hidden="1" x14ac:dyDescent="0.2">
      <c r="A139" s="733"/>
      <c r="B139" s="1410"/>
      <c r="C139" s="730"/>
      <c r="D139" s="730"/>
      <c r="E139" s="730"/>
    </row>
    <row r="140" spans="1:27" hidden="1" x14ac:dyDescent="0.2">
      <c r="A140" s="733">
        <f>A138+1</f>
        <v>24</v>
      </c>
      <c r="B140" s="1409" t="s">
        <v>670</v>
      </c>
      <c r="C140" s="730"/>
      <c r="D140" s="747">
        <f t="shared" ref="D140:O140" si="14">SUM(D124:D138)</f>
        <v>39066472.799999997</v>
      </c>
      <c r="E140" s="747">
        <f t="shared" si="14"/>
        <v>717446.46999999962</v>
      </c>
      <c r="F140" s="747">
        <f t="shared" si="14"/>
        <v>34773.229999999967</v>
      </c>
      <c r="G140" s="747">
        <f t="shared" si="14"/>
        <v>1335438.7000000002</v>
      </c>
      <c r="H140" s="747">
        <f t="shared" si="14"/>
        <v>-11832.979999999987</v>
      </c>
      <c r="I140" s="747">
        <f t="shared" si="14"/>
        <v>113131.37</v>
      </c>
      <c r="J140" s="747">
        <f t="shared" si="14"/>
        <v>111487.58996000001</v>
      </c>
      <c r="K140" s="747">
        <f t="shared" si="14"/>
        <v>9293.9700000000012</v>
      </c>
      <c r="L140" s="747">
        <f t="shared" si="14"/>
        <v>-30990.820000000036</v>
      </c>
      <c r="M140" s="747">
        <f t="shared" si="14"/>
        <v>1540638.6500000006</v>
      </c>
      <c r="N140" s="747">
        <f t="shared" si="14"/>
        <v>843488.92999999993</v>
      </c>
      <c r="O140" s="747">
        <f t="shared" si="14"/>
        <v>4662875.109960001</v>
      </c>
      <c r="P140" s="738"/>
      <c r="Q140" s="738"/>
      <c r="R140" s="738"/>
    </row>
    <row r="141" spans="1:27" x14ac:dyDescent="0.2">
      <c r="A141" s="731"/>
    </row>
    <row r="142" spans="1:27" x14ac:dyDescent="0.2">
      <c r="A142" s="731"/>
    </row>
    <row r="143" spans="1:27" x14ac:dyDescent="0.2">
      <c r="A143" s="731"/>
    </row>
    <row r="144" spans="1:27" ht="12.75" customHeight="1" x14ac:dyDescent="0.2">
      <c r="A144" s="2156" t="s">
        <v>624</v>
      </c>
      <c r="B144" s="2156"/>
      <c r="C144" s="2156"/>
      <c r="D144" s="2156"/>
      <c r="E144" s="2156"/>
      <c r="F144" s="2156"/>
      <c r="G144" s="2156"/>
      <c r="H144" s="2156"/>
      <c r="I144" s="2156"/>
      <c r="J144" s="2156"/>
      <c r="K144" s="2156"/>
      <c r="L144" s="2156"/>
      <c r="M144" s="2156"/>
      <c r="N144" s="2156"/>
      <c r="O144" s="2156"/>
    </row>
    <row r="145" spans="1:27" ht="12.75" customHeight="1" x14ac:dyDescent="0.2">
      <c r="A145" s="2155" t="str">
        <f>A2</f>
        <v>CASE NO. 2016 - 00162</v>
      </c>
      <c r="B145" s="2155"/>
      <c r="C145" s="2155"/>
      <c r="D145" s="2155"/>
      <c r="E145" s="2155"/>
      <c r="F145" s="2155"/>
      <c r="G145" s="2155"/>
      <c r="H145" s="2155"/>
      <c r="I145" s="2155"/>
      <c r="J145" s="2155"/>
      <c r="K145" s="2155"/>
      <c r="L145" s="2155"/>
      <c r="M145" s="2155"/>
      <c r="N145" s="2155"/>
      <c r="O145" s="2155"/>
    </row>
    <row r="146" spans="1:27" ht="12.75" customHeight="1" x14ac:dyDescent="0.2">
      <c r="A146" s="2156" t="s">
        <v>1600</v>
      </c>
      <c r="B146" s="2156"/>
      <c r="C146" s="2156"/>
      <c r="D146" s="2156"/>
      <c r="E146" s="2156"/>
      <c r="F146" s="2156"/>
      <c r="G146" s="2156"/>
      <c r="H146" s="2156"/>
      <c r="I146" s="2156"/>
      <c r="J146" s="2156"/>
      <c r="K146" s="2156"/>
      <c r="L146" s="2156"/>
      <c r="M146" s="2156"/>
      <c r="N146" s="2156"/>
      <c r="O146" s="2156"/>
    </row>
    <row r="147" spans="1:27" ht="12.75" customHeight="1" x14ac:dyDescent="0.2">
      <c r="A147" s="2156" t="s">
        <v>1601</v>
      </c>
      <c r="B147" s="2156"/>
      <c r="C147" s="2156"/>
      <c r="D147" s="2156"/>
      <c r="E147" s="2156"/>
      <c r="F147" s="2156"/>
      <c r="G147" s="2156"/>
      <c r="H147" s="2156"/>
      <c r="I147" s="2156"/>
      <c r="J147" s="2156"/>
      <c r="K147" s="2156"/>
      <c r="L147" s="2156"/>
      <c r="M147" s="2156"/>
      <c r="N147" s="2156"/>
      <c r="O147" s="2156"/>
    </row>
    <row r="148" spans="1:27" ht="12.75" customHeight="1" x14ac:dyDescent="0.2">
      <c r="A148" s="2155" t="str">
        <f>A5</f>
        <v>FOR THE TWELVE MONTHS ENDED AUGUST 31, 2016 AND THE TWELVE MONTHS ENDED DECEMBER 31, 2017</v>
      </c>
      <c r="B148" s="2155"/>
      <c r="C148" s="2155"/>
      <c r="D148" s="2155"/>
      <c r="E148" s="2155"/>
      <c r="F148" s="2155"/>
      <c r="G148" s="2155"/>
      <c r="H148" s="2155"/>
      <c r="I148" s="2155"/>
      <c r="J148" s="2155"/>
      <c r="K148" s="2155"/>
      <c r="L148" s="2155"/>
      <c r="M148" s="2155"/>
      <c r="N148" s="2155"/>
      <c r="O148" s="2155"/>
    </row>
    <row r="149" spans="1:27" x14ac:dyDescent="0.2">
      <c r="A149" s="725" t="s">
        <v>1602</v>
      </c>
      <c r="O149" s="1413" t="s">
        <v>1603</v>
      </c>
    </row>
    <row r="150" spans="1:27" x14ac:dyDescent="0.2">
      <c r="A150" s="725" t="s">
        <v>1604</v>
      </c>
      <c r="O150" s="1413" t="s">
        <v>119</v>
      </c>
    </row>
    <row r="151" spans="1:27" x14ac:dyDescent="0.2">
      <c r="A151" s="727" t="s">
        <v>1606</v>
      </c>
      <c r="B151" s="728"/>
      <c r="C151" s="729"/>
      <c r="D151" s="729"/>
      <c r="E151" s="729"/>
      <c r="F151" s="759"/>
      <c r="G151" s="759"/>
      <c r="H151" s="759"/>
      <c r="I151" s="759"/>
      <c r="J151" s="759"/>
      <c r="K151" s="759"/>
      <c r="L151" s="759"/>
      <c r="M151" s="759"/>
      <c r="N151" s="759"/>
      <c r="O151" s="1415" t="str">
        <f>O8</f>
        <v>WITNESS:  J. T. CROOM</v>
      </c>
    </row>
    <row r="152" spans="1:27" x14ac:dyDescent="0.2">
      <c r="O152" s="733" t="s">
        <v>120</v>
      </c>
    </row>
    <row r="153" spans="1:27" x14ac:dyDescent="0.2">
      <c r="A153" s="731" t="s">
        <v>632</v>
      </c>
      <c r="B153" s="732" t="s">
        <v>1607</v>
      </c>
      <c r="D153" s="731" t="s">
        <v>634</v>
      </c>
      <c r="E153" s="734" t="s">
        <v>1295</v>
      </c>
      <c r="F153" s="734" t="s">
        <v>1295</v>
      </c>
      <c r="G153" s="734" t="s">
        <v>1295</v>
      </c>
      <c r="H153" s="734" t="s">
        <v>1295</v>
      </c>
      <c r="I153" s="734" t="s">
        <v>1295</v>
      </c>
      <c r="J153" s="758"/>
      <c r="K153" s="758"/>
      <c r="L153" s="734" t="s">
        <v>106</v>
      </c>
      <c r="M153" s="734" t="s">
        <v>670</v>
      </c>
      <c r="N153" s="734" t="s">
        <v>1297</v>
      </c>
      <c r="O153" s="733" t="s">
        <v>670</v>
      </c>
      <c r="AA153" s="731"/>
    </row>
    <row r="154" spans="1:27" x14ac:dyDescent="0.2">
      <c r="A154" s="735" t="s">
        <v>635</v>
      </c>
      <c r="B154" s="736" t="s">
        <v>1608</v>
      </c>
      <c r="C154" s="729"/>
      <c r="D154" s="735" t="s">
        <v>638</v>
      </c>
      <c r="E154" s="737" t="s">
        <v>121</v>
      </c>
      <c r="F154" s="737" t="s">
        <v>122</v>
      </c>
      <c r="G154" s="737" t="s">
        <v>123</v>
      </c>
      <c r="H154" s="737" t="s">
        <v>124</v>
      </c>
      <c r="I154" s="737" t="s">
        <v>125</v>
      </c>
      <c r="J154" s="759"/>
      <c r="K154" s="759"/>
      <c r="L154" s="737" t="s">
        <v>126</v>
      </c>
      <c r="M154" s="737" t="s">
        <v>127</v>
      </c>
      <c r="N154" s="737" t="s">
        <v>2400</v>
      </c>
      <c r="O154" s="737" t="s">
        <v>1612</v>
      </c>
      <c r="AA154" s="731"/>
    </row>
    <row r="156" spans="1:27" x14ac:dyDescent="0.2">
      <c r="A156" s="731">
        <v>1</v>
      </c>
      <c r="B156" s="732">
        <f t="shared" ref="B156:D175" si="15">B58</f>
        <v>717</v>
      </c>
      <c r="C156" s="732" t="str">
        <f t="shared" si="15"/>
        <v>LIQUEFIED PETROLEUM GAS EXPENSES</v>
      </c>
      <c r="D156" s="741">
        <f t="shared" si="15"/>
        <v>1191.99</v>
      </c>
      <c r="E156" s="741">
        <f>SUMIF('O&amp;M by CE Desc Variance'!$B$204:$B$208,'D-1'!B156,'O&amp;M by CE Desc Variance'!$E$204:$E$208)</f>
        <v>0</v>
      </c>
      <c r="F156" s="741">
        <f>SUMIF('O&amp;M by CE Desc Variance'!$B$211:$B$241,'D-1'!B156,'O&amp;M by CE Desc Variance'!$E$211:$E$241)</f>
        <v>0</v>
      </c>
      <c r="G156" s="741">
        <f>SUMIF('O&amp;M by CE Desc Variance'!$B$245:$B$279,'D-1'!B156,'O&amp;M by CE Desc Variance'!$E$245:$E$279)</f>
        <v>0</v>
      </c>
      <c r="H156" s="741">
        <f>SUMIF('O&amp;M by CE Desc Variance'!$B$281:$B$287,'D-1'!B156,'O&amp;M by CE Desc Variance'!$E$281:$E$287)</f>
        <v>0</v>
      </c>
      <c r="I156" s="741">
        <f>SUMIF('O&amp;M by CE Desc Variance'!$B$290:$B$333,'D-1'!B156,'O&amp;M by CE Desc Variance'!$E$290:$E$333)</f>
        <v>0</v>
      </c>
      <c r="L156" s="741">
        <f t="shared" ref="L156:L196" si="16">SUM(E156:I156)</f>
        <v>0</v>
      </c>
      <c r="M156" s="741">
        <f t="shared" ref="M156:M196" si="17">O58+L156</f>
        <v>947.01</v>
      </c>
      <c r="N156" s="741">
        <f>SUMIF('Forecast TY Budget &amp; D-2.4 Adj'!$A$9:$A$70,'D-1'!B156,'Forecast TY Budget &amp; D-2.4 Adj'!$T$9:$T$70)</f>
        <v>0</v>
      </c>
      <c r="O156" s="741">
        <f t="shared" ref="O156:O196" si="18">M156+N156</f>
        <v>947.01</v>
      </c>
      <c r="U156" s="757"/>
      <c r="AA156" s="738"/>
    </row>
    <row r="157" spans="1:27" x14ac:dyDescent="0.2">
      <c r="A157" s="731">
        <f t="shared" ref="A157:A196" si="19">A156+1</f>
        <v>2</v>
      </c>
      <c r="B157" s="732">
        <f t="shared" si="15"/>
        <v>723</v>
      </c>
      <c r="C157" s="732" t="str">
        <f t="shared" si="15"/>
        <v>FUEL FOR LIQUEFIED PETROLEUM GAS PROCESS</v>
      </c>
      <c r="D157" s="741">
        <f t="shared" si="15"/>
        <v>0</v>
      </c>
      <c r="E157" s="741">
        <f>SUMIF('O&amp;M by CE Desc Variance'!$B$204:$B$208,'D-1'!B157,'O&amp;M by CE Desc Variance'!$E$204:$E$208)</f>
        <v>0</v>
      </c>
      <c r="F157" s="741">
        <f>SUMIF('O&amp;M by CE Desc Variance'!$B$211:$B$241,'D-1'!B157,'O&amp;M by CE Desc Variance'!$E$211:$E$241)</f>
        <v>0</v>
      </c>
      <c r="G157" s="741">
        <f>SUMIF('O&amp;M by CE Desc Variance'!$B$245:$B$279,'D-1'!B157,'O&amp;M by CE Desc Variance'!$E$245:$E$279)</f>
        <v>0</v>
      </c>
      <c r="H157" s="741">
        <f>SUMIF('O&amp;M by CE Desc Variance'!$B$281:$B$287,'D-1'!B157,'O&amp;M by CE Desc Variance'!$E$281:$E$287)</f>
        <v>0</v>
      </c>
      <c r="I157" s="741">
        <f>SUMIF('O&amp;M by CE Desc Variance'!$B$290:$B$333,'D-1'!B157,'O&amp;M by CE Desc Variance'!$E$290:$E$333)</f>
        <v>0</v>
      </c>
      <c r="L157" s="741">
        <f t="shared" si="16"/>
        <v>0</v>
      </c>
      <c r="M157" s="741">
        <f t="shared" si="17"/>
        <v>0</v>
      </c>
      <c r="N157" s="741">
        <f>SUMIF('Forecast TY Budget &amp; D-2.4 Adj'!$A$9:$A$70,'D-1'!B157,'Forecast TY Budget &amp; D-2.4 Adj'!$T$9:$T$70)</f>
        <v>0</v>
      </c>
      <c r="O157" s="741">
        <f t="shared" si="18"/>
        <v>0</v>
      </c>
      <c r="U157" s="757"/>
      <c r="AA157" s="738"/>
    </row>
    <row r="158" spans="1:27" x14ac:dyDescent="0.2">
      <c r="A158" s="731">
        <f t="shared" si="19"/>
        <v>3</v>
      </c>
      <c r="B158" s="732">
        <f t="shared" si="15"/>
        <v>728</v>
      </c>
      <c r="C158" s="732" t="str">
        <f t="shared" si="15"/>
        <v xml:space="preserve">LIQUEFIED PETROLEUM GAS </v>
      </c>
      <c r="D158" s="741">
        <f t="shared" si="15"/>
        <v>0</v>
      </c>
      <c r="E158" s="741">
        <f>SUMIF('O&amp;M by CE Desc Variance'!$B$204:$B$208,'D-1'!B158,'O&amp;M by CE Desc Variance'!$E$204:$E$208)</f>
        <v>0</v>
      </c>
      <c r="F158" s="741">
        <f>SUMIF('O&amp;M by CE Desc Variance'!$B$211:$B$241,'D-1'!B158,'O&amp;M by CE Desc Variance'!$E$211:$E$241)</f>
        <v>0</v>
      </c>
      <c r="G158" s="741">
        <f>SUMIF('O&amp;M by CE Desc Variance'!$B$245:$B$279,'D-1'!B158,'O&amp;M by CE Desc Variance'!$E$245:$E$279)</f>
        <v>0</v>
      </c>
      <c r="H158" s="741">
        <f>SUMIF('O&amp;M by CE Desc Variance'!$B$281:$B$287,'D-1'!B158,'O&amp;M by CE Desc Variance'!$E$281:$E$287)</f>
        <v>0</v>
      </c>
      <c r="I158" s="741">
        <f>SUMIF('O&amp;M by CE Desc Variance'!$B$290:$B$333,'D-1'!B158,'O&amp;M by CE Desc Variance'!$E$290:$E$333)</f>
        <v>0</v>
      </c>
      <c r="L158" s="741">
        <f t="shared" si="16"/>
        <v>0</v>
      </c>
      <c r="M158" s="741">
        <f t="shared" si="17"/>
        <v>0</v>
      </c>
      <c r="N158" s="741">
        <f>SUMIF('Forecast TY Budget &amp; D-2.4 Adj'!$A$9:$A$70,'D-1'!B158,'Forecast TY Budget &amp; D-2.4 Adj'!$T$9:$T$70)</f>
        <v>0</v>
      </c>
      <c r="O158" s="741">
        <f t="shared" si="18"/>
        <v>0</v>
      </c>
      <c r="U158" s="757"/>
      <c r="AA158" s="738"/>
    </row>
    <row r="159" spans="1:27" x14ac:dyDescent="0.2">
      <c r="A159" s="731">
        <f t="shared" si="19"/>
        <v>4</v>
      </c>
      <c r="B159" s="732">
        <f t="shared" si="15"/>
        <v>741</v>
      </c>
      <c r="C159" s="732" t="str">
        <f t="shared" si="15"/>
        <v>STRUCTURES &amp; IMPROVEMENTS</v>
      </c>
      <c r="D159" s="741">
        <f t="shared" si="15"/>
        <v>0</v>
      </c>
      <c r="E159" s="741">
        <f>SUMIF('O&amp;M by CE Desc Variance'!$B$204:$B$208,'D-1'!B159,'O&amp;M by CE Desc Variance'!$E$204:$E$208)</f>
        <v>0</v>
      </c>
      <c r="F159" s="741">
        <f>SUMIF('O&amp;M by CE Desc Variance'!$B$211:$B$241,'D-1'!B159,'O&amp;M by CE Desc Variance'!$E$211:$E$241)</f>
        <v>0</v>
      </c>
      <c r="G159" s="741">
        <f>SUMIF('O&amp;M by CE Desc Variance'!$B$245:$B$279,'D-1'!B159,'O&amp;M by CE Desc Variance'!$E$245:$E$279)</f>
        <v>0</v>
      </c>
      <c r="H159" s="741">
        <f>SUMIF('O&amp;M by CE Desc Variance'!$B$281:$B$287,'D-1'!B159,'O&amp;M by CE Desc Variance'!$E$281:$E$287)</f>
        <v>0</v>
      </c>
      <c r="I159" s="741">
        <f>SUMIF('O&amp;M by CE Desc Variance'!$B$290:$B$333,'D-1'!B159,'O&amp;M by CE Desc Variance'!$E$290:$E$333)</f>
        <v>0</v>
      </c>
      <c r="L159" s="741">
        <f t="shared" si="16"/>
        <v>0</v>
      </c>
      <c r="M159" s="741">
        <f t="shared" si="17"/>
        <v>0</v>
      </c>
      <c r="N159" s="741">
        <f>SUMIF('Forecast TY Budget &amp; D-2.4 Adj'!$A$9:$A$70,'D-1'!B159,'Forecast TY Budget &amp; D-2.4 Adj'!$T$9:$T$70)</f>
        <v>0</v>
      </c>
      <c r="O159" s="741">
        <f t="shared" si="18"/>
        <v>0</v>
      </c>
      <c r="U159" s="757"/>
      <c r="AA159" s="738"/>
    </row>
    <row r="160" spans="1:27" x14ac:dyDescent="0.2">
      <c r="A160" s="731">
        <f t="shared" si="19"/>
        <v>5</v>
      </c>
      <c r="B160" s="732">
        <f t="shared" si="15"/>
        <v>742</v>
      </c>
      <c r="C160" s="732" t="str">
        <f t="shared" si="15"/>
        <v>PRODUCTION EQUIPMENT</v>
      </c>
      <c r="D160" s="741">
        <f t="shared" si="15"/>
        <v>0</v>
      </c>
      <c r="E160" s="741">
        <f>SUMIF('O&amp;M by CE Desc Variance'!$B$204:$B$208,'D-1'!B160,'O&amp;M by CE Desc Variance'!$E$204:$E$208)</f>
        <v>0</v>
      </c>
      <c r="F160" s="741">
        <f>SUMIF('O&amp;M by CE Desc Variance'!$B$211:$B$241,'D-1'!B160,'O&amp;M by CE Desc Variance'!$E$211:$E$241)</f>
        <v>0</v>
      </c>
      <c r="G160" s="741">
        <f>SUMIF('O&amp;M by CE Desc Variance'!$B$245:$B$279,'D-1'!B160,'O&amp;M by CE Desc Variance'!$E$245:$E$279)</f>
        <v>0</v>
      </c>
      <c r="H160" s="741">
        <f>SUMIF('O&amp;M by CE Desc Variance'!$B$281:$B$287,'D-1'!B160,'O&amp;M by CE Desc Variance'!$E$281:$E$287)</f>
        <v>0</v>
      </c>
      <c r="I160" s="741">
        <f>SUMIF('O&amp;M by CE Desc Variance'!$B$290:$B$333,'D-1'!B160,'O&amp;M by CE Desc Variance'!$E$290:$E$333)</f>
        <v>0</v>
      </c>
      <c r="L160" s="741">
        <f t="shared" si="16"/>
        <v>0</v>
      </c>
      <c r="M160" s="741">
        <f t="shared" si="17"/>
        <v>0</v>
      </c>
      <c r="N160" s="741">
        <f>SUMIF('Forecast TY Budget &amp; D-2.4 Adj'!$A$9:$A$70,'D-1'!B160,'Forecast TY Budget &amp; D-2.4 Adj'!$T$9:$T$70)</f>
        <v>0</v>
      </c>
      <c r="O160" s="741">
        <f t="shared" si="18"/>
        <v>0</v>
      </c>
      <c r="U160" s="757"/>
      <c r="AA160" s="738"/>
    </row>
    <row r="161" spans="1:27" x14ac:dyDescent="0.2">
      <c r="A161" s="731">
        <f t="shared" si="19"/>
        <v>6</v>
      </c>
      <c r="B161" s="732">
        <f t="shared" si="15"/>
        <v>807</v>
      </c>
      <c r="C161" s="732" t="str">
        <f t="shared" si="15"/>
        <v>PURCHASED GAS EXPENSE</v>
      </c>
      <c r="D161" s="741">
        <f t="shared" si="15"/>
        <v>324707.32999999996</v>
      </c>
      <c r="E161" s="741">
        <f>SUMIF('O&amp;M by CE Desc Variance'!$B$204:$B$208,'D-1'!B161,'O&amp;M by CE Desc Variance'!$E$204:$E$208)</f>
        <v>0</v>
      </c>
      <c r="F161" s="741">
        <f>SUMIF('O&amp;M by CE Desc Variance'!$B$211:$B$241,'D-1'!B161,'O&amp;M by CE Desc Variance'!$E$211:$E$241)</f>
        <v>0</v>
      </c>
      <c r="G161" s="741">
        <f>SUMIF('O&amp;M by CE Desc Variance'!$B$245:$B$279,'D-1'!B161,'O&amp;M by CE Desc Variance'!$E$245:$E$279)</f>
        <v>0</v>
      </c>
      <c r="H161" s="741">
        <f>SUMIF('O&amp;M by CE Desc Variance'!$B$281:$B$287,'D-1'!B161,'O&amp;M by CE Desc Variance'!$E$281:$E$287)</f>
        <v>0</v>
      </c>
      <c r="I161" s="741">
        <f>SUMIF('O&amp;M by CE Desc Variance'!$B$290:$B$333,'D-1'!B161,'O&amp;M by CE Desc Variance'!$E$290:$E$333)</f>
        <v>0</v>
      </c>
      <c r="L161" s="741">
        <f t="shared" si="16"/>
        <v>0</v>
      </c>
      <c r="M161" s="741">
        <f t="shared" si="17"/>
        <v>19415.670000000042</v>
      </c>
      <c r="N161" s="741">
        <f>SUMIF('Forecast TY Budget &amp; D-2.4 Adj'!$A$9:$A$70,'D-1'!B161,'Forecast TY Budget &amp; D-2.4 Adj'!$T$9:$T$70)</f>
        <v>-2566</v>
      </c>
      <c r="O161" s="741">
        <f t="shared" si="18"/>
        <v>16849.670000000042</v>
      </c>
      <c r="U161" s="757"/>
      <c r="AA161" s="738"/>
    </row>
    <row r="162" spans="1:27" x14ac:dyDescent="0.2">
      <c r="A162" s="731">
        <f t="shared" si="19"/>
        <v>7</v>
      </c>
      <c r="B162" s="732">
        <f t="shared" si="15"/>
        <v>870</v>
      </c>
      <c r="C162" s="732" t="str">
        <f t="shared" si="15"/>
        <v>SUPERVISION AND ENGINEERING</v>
      </c>
      <c r="D162" s="741">
        <f t="shared" si="15"/>
        <v>682370.48</v>
      </c>
      <c r="E162" s="741">
        <f>SUMIF('O&amp;M by CE Desc Variance'!$B$204:$B$208,'D-1'!B162,'O&amp;M by CE Desc Variance'!$E$204:$E$208)</f>
        <v>0</v>
      </c>
      <c r="F162" s="741">
        <f>SUMIF('O&amp;M by CE Desc Variance'!$B$211:$B$241,'D-1'!B162,'O&amp;M by CE Desc Variance'!$E$211:$E$241)</f>
        <v>6584.9400000000005</v>
      </c>
      <c r="G162" s="741">
        <f>SUMIF('O&amp;M by CE Desc Variance'!$B$245:$B$279,'D-1'!B162,'O&amp;M by CE Desc Variance'!$E$245:$E$279)</f>
        <v>0</v>
      </c>
      <c r="H162" s="741">
        <f>SUMIF('O&amp;M by CE Desc Variance'!$B$281:$B$287,'D-1'!B162,'O&amp;M by CE Desc Variance'!$E$281:$E$287)</f>
        <v>0</v>
      </c>
      <c r="I162" s="741">
        <f>SUMIF('O&amp;M by CE Desc Variance'!$B$290:$B$333,'D-1'!B162,'O&amp;M by CE Desc Variance'!$E$290:$E$333)</f>
        <v>-290.09000000000015</v>
      </c>
      <c r="L162" s="741">
        <f t="shared" si="16"/>
        <v>6294.85</v>
      </c>
      <c r="M162" s="741">
        <f t="shared" si="17"/>
        <v>194603.52000000005</v>
      </c>
      <c r="N162" s="741">
        <f>SUMIF('Forecast TY Budget &amp; D-2.4 Adj'!$A$9:$A$70,'D-1'!B162,'Forecast TY Budget &amp; D-2.4 Adj'!$T$9:$T$70)</f>
        <v>3957</v>
      </c>
      <c r="O162" s="741">
        <f t="shared" si="18"/>
        <v>198560.52000000005</v>
      </c>
      <c r="U162" s="757"/>
      <c r="AA162" s="738"/>
    </row>
    <row r="163" spans="1:27" x14ac:dyDescent="0.2">
      <c r="A163" s="731">
        <f t="shared" si="19"/>
        <v>8</v>
      </c>
      <c r="B163" s="732">
        <f t="shared" si="15"/>
        <v>871</v>
      </c>
      <c r="C163" s="732" t="str">
        <f t="shared" si="15"/>
        <v>DISTRIBUTION LOAD DISPATCHING</v>
      </c>
      <c r="D163" s="741">
        <f t="shared" si="15"/>
        <v>179279.47999999998</v>
      </c>
      <c r="E163" s="741">
        <f>SUMIF('O&amp;M by CE Desc Variance'!$B$204:$B$208,'D-1'!B163,'O&amp;M by CE Desc Variance'!$E$204:$E$208)</f>
        <v>0</v>
      </c>
      <c r="F163" s="741">
        <f>SUMIF('O&amp;M by CE Desc Variance'!$B$211:$B$241,'D-1'!B163,'O&amp;M by CE Desc Variance'!$E$211:$E$241)</f>
        <v>0</v>
      </c>
      <c r="G163" s="741">
        <f>SUMIF('O&amp;M by CE Desc Variance'!$B$245:$B$279,'D-1'!B163,'O&amp;M by CE Desc Variance'!$E$245:$E$279)</f>
        <v>0</v>
      </c>
      <c r="H163" s="741">
        <f>SUMIF('O&amp;M by CE Desc Variance'!$B$281:$B$287,'D-1'!B163,'O&amp;M by CE Desc Variance'!$E$281:$E$287)</f>
        <v>0</v>
      </c>
      <c r="I163" s="741">
        <f>SUMIF('O&amp;M by CE Desc Variance'!$B$290:$B$333,'D-1'!B163,'O&amp;M by CE Desc Variance'!$E$290:$E$333)</f>
        <v>-112574.51999999999</v>
      </c>
      <c r="L163" s="741">
        <f t="shared" si="16"/>
        <v>-112574.51999999999</v>
      </c>
      <c r="M163" s="741">
        <f t="shared" si="17"/>
        <v>-101452.47999999998</v>
      </c>
      <c r="N163" s="741">
        <f>SUMIF('Forecast TY Budget &amp; D-2.4 Adj'!$A$9:$A$70,'D-1'!B163,'Forecast TY Budget &amp; D-2.4 Adj'!$T$9:$T$70)</f>
        <v>6702</v>
      </c>
      <c r="O163" s="741">
        <f t="shared" si="18"/>
        <v>-94750.479999999981</v>
      </c>
      <c r="U163" s="757"/>
      <c r="AA163" s="738"/>
    </row>
    <row r="164" spans="1:27" x14ac:dyDescent="0.2">
      <c r="A164" s="731">
        <f t="shared" si="19"/>
        <v>9</v>
      </c>
      <c r="B164" s="732">
        <f t="shared" si="15"/>
        <v>874</v>
      </c>
      <c r="C164" s="732" t="str">
        <f t="shared" si="15"/>
        <v>MAINS AND SERVICES EXPENSES</v>
      </c>
      <c r="D164" s="741">
        <f t="shared" si="15"/>
        <v>5029244.9800000004</v>
      </c>
      <c r="E164" s="741">
        <f>SUMIF('O&amp;M by CE Desc Variance'!$B$204:$B$208,'D-1'!B164,'O&amp;M by CE Desc Variance'!$E$204:$E$208)</f>
        <v>0</v>
      </c>
      <c r="F164" s="741">
        <f>SUMIF('O&amp;M by CE Desc Variance'!$B$211:$B$241,'D-1'!B164,'O&amp;M by CE Desc Variance'!$E$211:$E$241)</f>
        <v>792.07999999998719</v>
      </c>
      <c r="G164" s="741">
        <f>SUMIF('O&amp;M by CE Desc Variance'!$B$245:$B$279,'D-1'!B164,'O&amp;M by CE Desc Variance'!$E$245:$E$279)</f>
        <v>0</v>
      </c>
      <c r="H164" s="741">
        <f>SUMIF('O&amp;M by CE Desc Variance'!$B$281:$B$287,'D-1'!B164,'O&amp;M by CE Desc Variance'!$E$281:$E$287)</f>
        <v>6846.77</v>
      </c>
      <c r="I164" s="741">
        <f>SUMIF('O&amp;M by CE Desc Variance'!$B$290:$B$333,'D-1'!B164,'O&amp;M by CE Desc Variance'!$E$290:$E$333)</f>
        <v>1047.2600000000093</v>
      </c>
      <c r="L164" s="741">
        <f t="shared" si="16"/>
        <v>8686.1099999999969</v>
      </c>
      <c r="M164" s="741">
        <f t="shared" si="17"/>
        <v>556050.0199999999</v>
      </c>
      <c r="N164" s="741">
        <f>SUMIF('Forecast TY Budget &amp; D-2.4 Adj'!$A$9:$A$70,'D-1'!B164,'Forecast TY Budget &amp; D-2.4 Adj'!$T$9:$T$70)</f>
        <v>938901</v>
      </c>
      <c r="O164" s="741">
        <f t="shared" si="18"/>
        <v>1494951.02</v>
      </c>
      <c r="U164" s="757"/>
      <c r="AA164" s="738"/>
    </row>
    <row r="165" spans="1:27" x14ac:dyDescent="0.2">
      <c r="A165" s="731">
        <f t="shared" si="19"/>
        <v>10</v>
      </c>
      <c r="B165" s="732">
        <f t="shared" si="15"/>
        <v>875</v>
      </c>
      <c r="C165" s="732" t="str">
        <f t="shared" si="15"/>
        <v>MEASURING AND REGULATION STA. EXPENSE - GEN.</v>
      </c>
      <c r="D165" s="741">
        <f t="shared" si="15"/>
        <v>158413.91999999998</v>
      </c>
      <c r="E165" s="741">
        <f>SUMIF('O&amp;M by CE Desc Variance'!$B$204:$B$208,'D-1'!B165,'O&amp;M by CE Desc Variance'!$E$204:$E$208)</f>
        <v>0</v>
      </c>
      <c r="F165" s="741">
        <f>SUMIF('O&amp;M by CE Desc Variance'!$B$211:$B$241,'D-1'!B165,'O&amp;M by CE Desc Variance'!$E$211:$E$241)</f>
        <v>-309.27</v>
      </c>
      <c r="G165" s="741">
        <f>SUMIF('O&amp;M by CE Desc Variance'!$B$245:$B$279,'D-1'!B165,'O&amp;M by CE Desc Variance'!$E$245:$E$279)</f>
        <v>0</v>
      </c>
      <c r="H165" s="741">
        <f>SUMIF('O&amp;M by CE Desc Variance'!$B$281:$B$287,'D-1'!B165,'O&amp;M by CE Desc Variance'!$E$281:$E$287)</f>
        <v>0</v>
      </c>
      <c r="I165" s="741">
        <f>SUMIF('O&amp;M by CE Desc Variance'!$B$290:$B$333,'D-1'!B165,'O&amp;M by CE Desc Variance'!$E$290:$E$333)</f>
        <v>-239.79999999999927</v>
      </c>
      <c r="L165" s="741">
        <f t="shared" si="16"/>
        <v>-549.06999999999925</v>
      </c>
      <c r="M165" s="741">
        <f t="shared" si="17"/>
        <v>34051.179999999993</v>
      </c>
      <c r="N165" s="741">
        <f>SUMIF('Forecast TY Budget &amp; D-2.4 Adj'!$A$9:$A$70,'D-1'!B165,'Forecast TY Budget &amp; D-2.4 Adj'!$T$9:$T$70)</f>
        <v>8261</v>
      </c>
      <c r="O165" s="741">
        <f t="shared" si="18"/>
        <v>42312.179999999993</v>
      </c>
      <c r="U165" s="757"/>
      <c r="AA165" s="738"/>
    </row>
    <row r="166" spans="1:27" x14ac:dyDescent="0.2">
      <c r="A166" s="731">
        <f t="shared" si="19"/>
        <v>11</v>
      </c>
      <c r="B166" s="732">
        <f t="shared" si="15"/>
        <v>876</v>
      </c>
      <c r="C166" s="732" t="str">
        <f t="shared" si="15"/>
        <v>MEASURING AND REGULATION STA. EXPENSE - IND.</v>
      </c>
      <c r="D166" s="741">
        <f t="shared" si="15"/>
        <v>66115.03</v>
      </c>
      <c r="E166" s="741">
        <f>SUMIF('O&amp;M by CE Desc Variance'!$B$204:$B$208,'D-1'!B166,'O&amp;M by CE Desc Variance'!$E$204:$E$208)</f>
        <v>0</v>
      </c>
      <c r="F166" s="741">
        <f>SUMIF('O&amp;M by CE Desc Variance'!$B$211:$B$241,'D-1'!B166,'O&amp;M by CE Desc Variance'!$E$211:$E$241)</f>
        <v>-160.93</v>
      </c>
      <c r="G166" s="741">
        <f>SUMIF('O&amp;M by CE Desc Variance'!$B$245:$B$279,'D-1'!B166,'O&amp;M by CE Desc Variance'!$E$245:$E$279)</f>
        <v>0</v>
      </c>
      <c r="H166" s="741">
        <f>SUMIF('O&amp;M by CE Desc Variance'!$B$281:$B$287,'D-1'!B166,'O&amp;M by CE Desc Variance'!$E$281:$E$287)</f>
        <v>0</v>
      </c>
      <c r="I166" s="741">
        <f>SUMIF('O&amp;M by CE Desc Variance'!$B$290:$B$333,'D-1'!B166,'O&amp;M by CE Desc Variance'!$E$290:$E$333)</f>
        <v>-1142.8700000000001</v>
      </c>
      <c r="L166" s="741">
        <f t="shared" si="16"/>
        <v>-1303.8000000000002</v>
      </c>
      <c r="M166" s="741">
        <f t="shared" si="17"/>
        <v>-1549.0300000000011</v>
      </c>
      <c r="N166" s="741">
        <f>SUMIF('Forecast TY Budget &amp; D-2.4 Adj'!$A$9:$A$70,'D-1'!B166,'Forecast TY Budget &amp; D-2.4 Adj'!$T$9:$T$70)</f>
        <v>3772</v>
      </c>
      <c r="O166" s="741">
        <f t="shared" si="18"/>
        <v>2222.9699999999989</v>
      </c>
      <c r="U166" s="757"/>
      <c r="AA166" s="738"/>
    </row>
    <row r="167" spans="1:27" x14ac:dyDescent="0.2">
      <c r="A167" s="731">
        <f t="shared" si="19"/>
        <v>12</v>
      </c>
      <c r="B167" s="732">
        <f t="shared" si="15"/>
        <v>878</v>
      </c>
      <c r="C167" s="732" t="str">
        <f t="shared" si="15"/>
        <v>METERS AND HOUSE REGULATOR EXPENSE</v>
      </c>
      <c r="D167" s="741">
        <f t="shared" si="15"/>
        <v>1528786.8384599998</v>
      </c>
      <c r="E167" s="741">
        <f>SUMIF('O&amp;M by CE Desc Variance'!$B$204:$B$208,'D-1'!B167,'O&amp;M by CE Desc Variance'!$E$204:$E$208)</f>
        <v>3068.0615400000006</v>
      </c>
      <c r="F167" s="741">
        <f>SUMIF('O&amp;M by CE Desc Variance'!$B$211:$B$241,'D-1'!B167,'O&amp;M by CE Desc Variance'!$E$211:$E$241)</f>
        <v>2827.7799999999988</v>
      </c>
      <c r="G167" s="741">
        <f>SUMIF('O&amp;M by CE Desc Variance'!$B$245:$B$279,'D-1'!B167,'O&amp;M by CE Desc Variance'!$E$245:$E$279)</f>
        <v>0</v>
      </c>
      <c r="H167" s="741">
        <f>SUMIF('O&amp;M by CE Desc Variance'!$B$281:$B$287,'D-1'!B167,'O&amp;M by CE Desc Variance'!$E$281:$E$287)</f>
        <v>0</v>
      </c>
      <c r="I167" s="741">
        <f>SUMIF('O&amp;M by CE Desc Variance'!$B$290:$B$333,'D-1'!B167,'O&amp;M by CE Desc Variance'!$E$290:$E$333)</f>
        <v>-1922.6800000000185</v>
      </c>
      <c r="L167" s="741">
        <f t="shared" si="16"/>
        <v>3973.161539999981</v>
      </c>
      <c r="M167" s="741">
        <f t="shared" si="17"/>
        <v>107101.19154000001</v>
      </c>
      <c r="N167" s="741">
        <f>SUMIF('Forecast TY Budget &amp; D-2.4 Adj'!$A$9:$A$70,'D-1'!B167,'Forecast TY Budget &amp; D-2.4 Adj'!$T$9:$T$70)</f>
        <v>128806</v>
      </c>
      <c r="O167" s="741">
        <f t="shared" si="18"/>
        <v>235907.19154000003</v>
      </c>
      <c r="U167" s="757"/>
      <c r="AA167" s="738"/>
    </row>
    <row r="168" spans="1:27" x14ac:dyDescent="0.2">
      <c r="A168" s="731">
        <f t="shared" si="19"/>
        <v>13</v>
      </c>
      <c r="B168" s="732">
        <f t="shared" si="15"/>
        <v>879</v>
      </c>
      <c r="C168" s="732" t="str">
        <f t="shared" si="15"/>
        <v>CUSTOMER INSTALLATIONS EXPENSE</v>
      </c>
      <c r="D168" s="741">
        <f t="shared" si="15"/>
        <v>1840759.544</v>
      </c>
      <c r="E168" s="741">
        <f>SUMIF('O&amp;M by CE Desc Variance'!$B$204:$B$208,'D-1'!B168,'O&amp;M by CE Desc Variance'!$E$204:$E$208)</f>
        <v>591.68599999999992</v>
      </c>
      <c r="F168" s="741">
        <f>SUMIF('O&amp;M by CE Desc Variance'!$B$211:$B$241,'D-1'!B168,'O&amp;M by CE Desc Variance'!$E$211:$E$241)</f>
        <v>-716.4399999999996</v>
      </c>
      <c r="G168" s="741">
        <f>SUMIF('O&amp;M by CE Desc Variance'!$B$245:$B$279,'D-1'!B168,'O&amp;M by CE Desc Variance'!$E$245:$E$279)</f>
        <v>0</v>
      </c>
      <c r="H168" s="741">
        <f>SUMIF('O&amp;M by CE Desc Variance'!$B$281:$B$287,'D-1'!B168,'O&amp;M by CE Desc Variance'!$E$281:$E$287)</f>
        <v>0</v>
      </c>
      <c r="I168" s="741">
        <f>SUMIF('O&amp;M by CE Desc Variance'!$B$290:$B$333,'D-1'!B168,'O&amp;M by CE Desc Variance'!$E$290:$E$333)</f>
        <v>-4973.2899999999972</v>
      </c>
      <c r="L168" s="741">
        <f t="shared" si="16"/>
        <v>-5098.0439999999971</v>
      </c>
      <c r="M168" s="741">
        <f t="shared" si="17"/>
        <v>165221.42600000004</v>
      </c>
      <c r="N168" s="741">
        <f>SUMIF('Forecast TY Budget &amp; D-2.4 Adj'!$A$9:$A$70,'D-1'!B168,'Forecast TY Budget &amp; D-2.4 Adj'!$T$9:$T$70)</f>
        <v>150651</v>
      </c>
      <c r="O168" s="741">
        <f t="shared" si="18"/>
        <v>315872.42600000004</v>
      </c>
      <c r="U168" s="757"/>
      <c r="AA168" s="738"/>
    </row>
    <row r="169" spans="1:27" x14ac:dyDescent="0.2">
      <c r="A169" s="731">
        <f t="shared" si="19"/>
        <v>14</v>
      </c>
      <c r="B169" s="732">
        <f t="shared" si="15"/>
        <v>880</v>
      </c>
      <c r="C169" s="732" t="str">
        <f t="shared" si="15"/>
        <v>OTHER EXPENSE</v>
      </c>
      <c r="D169" s="741">
        <f t="shared" si="15"/>
        <v>1549136.67</v>
      </c>
      <c r="E169" s="741">
        <f>SUMIF('O&amp;M by CE Desc Variance'!$B$204:$B$208,'D-1'!B169,'O&amp;M by CE Desc Variance'!$E$204:$E$208)</f>
        <v>0</v>
      </c>
      <c r="F169" s="741">
        <f>SUMIF('O&amp;M by CE Desc Variance'!$B$211:$B$241,'D-1'!B169,'O&amp;M by CE Desc Variance'!$E$211:$E$241)</f>
        <v>-15337.379999999997</v>
      </c>
      <c r="G169" s="741">
        <f>SUMIF('O&amp;M by CE Desc Variance'!$B$245:$B$279,'D-1'!B169,'O&amp;M by CE Desc Variance'!$E$245:$E$279)</f>
        <v>-26.86</v>
      </c>
      <c r="H169" s="741">
        <f>SUMIF('O&amp;M by CE Desc Variance'!$B$281:$B$287,'D-1'!B169,'O&amp;M by CE Desc Variance'!$E$281:$E$287)</f>
        <v>2118</v>
      </c>
      <c r="I169" s="741">
        <f>SUMIF('O&amp;M by CE Desc Variance'!$B$290:$B$333,'D-1'!B169,'O&amp;M by CE Desc Variance'!$E$290:$E$333)</f>
        <v>-6796.9199999999837</v>
      </c>
      <c r="L169" s="741">
        <f t="shared" si="16"/>
        <v>-20043.159999999982</v>
      </c>
      <c r="M169" s="741">
        <f t="shared" si="17"/>
        <v>166432.33000000002</v>
      </c>
      <c r="N169" s="741">
        <f>SUMIF('Forecast TY Budget &amp; D-2.4 Adj'!$A$9:$A$70,'D-1'!B169,'Forecast TY Budget &amp; D-2.4 Adj'!$T$9:$T$70)</f>
        <v>43890</v>
      </c>
      <c r="O169" s="741">
        <f t="shared" si="18"/>
        <v>210322.33000000002</v>
      </c>
      <c r="U169" s="757"/>
      <c r="AA169" s="738"/>
    </row>
    <row r="170" spans="1:27" x14ac:dyDescent="0.2">
      <c r="A170" s="731">
        <f t="shared" si="19"/>
        <v>15</v>
      </c>
      <c r="B170" s="732">
        <f t="shared" si="15"/>
        <v>881</v>
      </c>
      <c r="C170" s="732" t="str">
        <f t="shared" si="15"/>
        <v>TELECOMMUNICATION EXPENSE - ENGINEERING</v>
      </c>
      <c r="D170" s="741">
        <f t="shared" si="15"/>
        <v>86542.36</v>
      </c>
      <c r="E170" s="741">
        <f>SUMIF('O&amp;M by CE Desc Variance'!$B$204:$B$208,'D-1'!B170,'O&amp;M by CE Desc Variance'!$E$204:$E$208)</f>
        <v>0</v>
      </c>
      <c r="F170" s="741">
        <f>SUMIF('O&amp;M by CE Desc Variance'!$B$211:$B$241,'D-1'!B170,'O&amp;M by CE Desc Variance'!$E$211:$E$241)</f>
        <v>0</v>
      </c>
      <c r="G170" s="741">
        <f>SUMIF('O&amp;M by CE Desc Variance'!$B$245:$B$279,'D-1'!B170,'O&amp;M by CE Desc Variance'!$E$245:$E$279)</f>
        <v>0</v>
      </c>
      <c r="H170" s="741">
        <f>SUMIF('O&amp;M by CE Desc Variance'!$B$281:$B$287,'D-1'!B170,'O&amp;M by CE Desc Variance'!$E$281:$E$287)</f>
        <v>0</v>
      </c>
      <c r="I170" s="741">
        <f>SUMIF('O&amp;M by CE Desc Variance'!$B$290:$B$333,'D-1'!B170,'O&amp;M by CE Desc Variance'!$E$290:$E$333)</f>
        <v>0</v>
      </c>
      <c r="L170" s="741">
        <f t="shared" si="16"/>
        <v>0</v>
      </c>
      <c r="M170" s="741">
        <f t="shared" si="17"/>
        <v>-785.36000000000058</v>
      </c>
      <c r="N170" s="741">
        <f>SUMIF('Forecast TY Budget &amp; D-2.4 Adj'!$A$9:$A$70,'D-1'!B170,'Forecast TY Budget &amp; D-2.4 Adj'!$T$9:$T$70)</f>
        <v>-3600</v>
      </c>
      <c r="O170" s="741">
        <f t="shared" si="18"/>
        <v>-4385.3600000000006</v>
      </c>
      <c r="U170" s="757"/>
      <c r="AA170" s="738"/>
    </row>
    <row r="171" spans="1:27" x14ac:dyDescent="0.2">
      <c r="A171" s="731">
        <f t="shared" si="19"/>
        <v>16</v>
      </c>
      <c r="B171" s="732">
        <f t="shared" si="15"/>
        <v>885</v>
      </c>
      <c r="C171" s="732" t="str">
        <f t="shared" si="15"/>
        <v>SUPERVISION AND ENGINEERING</v>
      </c>
      <c r="D171" s="741">
        <f t="shared" si="15"/>
        <v>9794.57</v>
      </c>
      <c r="E171" s="741">
        <f>SUMIF('O&amp;M by CE Desc Variance'!$B$204:$B$208,'D-1'!B171,'O&amp;M by CE Desc Variance'!$E$204:$E$208)</f>
        <v>0</v>
      </c>
      <c r="F171" s="741">
        <f>SUMIF('O&amp;M by CE Desc Variance'!$B$211:$B$241,'D-1'!B171,'O&amp;M by CE Desc Variance'!$E$211:$E$241)</f>
        <v>-1.75</v>
      </c>
      <c r="G171" s="741">
        <f>SUMIF('O&amp;M by CE Desc Variance'!$B$245:$B$279,'D-1'!B171,'O&amp;M by CE Desc Variance'!$E$245:$E$279)</f>
        <v>0</v>
      </c>
      <c r="H171" s="741">
        <f>SUMIF('O&amp;M by CE Desc Variance'!$B$281:$B$287,'D-1'!B171,'O&amp;M by CE Desc Variance'!$E$281:$E$287)</f>
        <v>0</v>
      </c>
      <c r="I171" s="741">
        <f>SUMIF('O&amp;M by CE Desc Variance'!$B$290:$B$333,'D-1'!B171,'O&amp;M by CE Desc Variance'!$E$290:$E$333)</f>
        <v>-22.090000000000032</v>
      </c>
      <c r="L171" s="741">
        <f t="shared" si="16"/>
        <v>-23.840000000000032</v>
      </c>
      <c r="M171" s="741">
        <f t="shared" si="17"/>
        <v>558.42999999999847</v>
      </c>
      <c r="N171" s="741">
        <f>SUMIF('Forecast TY Budget &amp; D-2.4 Adj'!$A$9:$A$70,'D-1'!B171,'Forecast TY Budget &amp; D-2.4 Adj'!$T$9:$T$70)</f>
        <v>867</v>
      </c>
      <c r="O171" s="741">
        <f t="shared" si="18"/>
        <v>1425.4299999999985</v>
      </c>
      <c r="U171" s="757"/>
      <c r="AA171" s="738"/>
    </row>
    <row r="172" spans="1:27" x14ac:dyDescent="0.2">
      <c r="A172" s="731">
        <f t="shared" si="19"/>
        <v>17</v>
      </c>
      <c r="B172" s="732">
        <f t="shared" si="15"/>
        <v>886</v>
      </c>
      <c r="C172" s="732" t="str">
        <f t="shared" si="15"/>
        <v>STRUCTURES AND IMPROVEMENTS</v>
      </c>
      <c r="D172" s="741">
        <f t="shared" si="15"/>
        <v>255921.81</v>
      </c>
      <c r="E172" s="741">
        <f>SUMIF('O&amp;M by CE Desc Variance'!$B$204:$B$208,'D-1'!B172,'O&amp;M by CE Desc Variance'!$E$204:$E$208)</f>
        <v>0</v>
      </c>
      <c r="F172" s="741">
        <f>SUMIF('O&amp;M by CE Desc Variance'!$B$211:$B$241,'D-1'!B172,'O&amp;M by CE Desc Variance'!$E$211:$E$241)</f>
        <v>0</v>
      </c>
      <c r="G172" s="741">
        <f>SUMIF('O&amp;M by CE Desc Variance'!$B$245:$B$279,'D-1'!B172,'O&amp;M by CE Desc Variance'!$E$245:$E$279)</f>
        <v>0</v>
      </c>
      <c r="H172" s="741">
        <f>SUMIF('O&amp;M by CE Desc Variance'!$B$281:$B$287,'D-1'!B172,'O&amp;M by CE Desc Variance'!$E$281:$E$287)</f>
        <v>0</v>
      </c>
      <c r="I172" s="741">
        <f>SUMIF('O&amp;M by CE Desc Variance'!$B$290:$B$333,'D-1'!B172,'O&amp;M by CE Desc Variance'!$E$290:$E$333)</f>
        <v>220.40999999999997</v>
      </c>
      <c r="L172" s="741">
        <f t="shared" si="16"/>
        <v>220.40999999999997</v>
      </c>
      <c r="M172" s="741">
        <f t="shared" si="17"/>
        <v>-2449.7299999999923</v>
      </c>
      <c r="N172" s="741">
        <f>SUMIF('Forecast TY Budget &amp; D-2.4 Adj'!$A$9:$A$70,'D-1'!B172,'Forecast TY Budget &amp; D-2.4 Adj'!$T$9:$T$70)</f>
        <v>875</v>
      </c>
      <c r="O172" s="741">
        <f t="shared" si="18"/>
        <v>-1574.7299999999923</v>
      </c>
      <c r="U172" s="757"/>
      <c r="AA172" s="738"/>
    </row>
    <row r="173" spans="1:27" x14ac:dyDescent="0.2">
      <c r="A173" s="731">
        <f t="shared" si="19"/>
        <v>18</v>
      </c>
      <c r="B173" s="732">
        <f t="shared" si="15"/>
        <v>887</v>
      </c>
      <c r="C173" s="732" t="str">
        <f t="shared" si="15"/>
        <v>MAINS</v>
      </c>
      <c r="D173" s="741">
        <f t="shared" si="15"/>
        <v>2786673.2094700001</v>
      </c>
      <c r="E173" s="741">
        <f>SUMIF('O&amp;M by CE Desc Variance'!$B$204:$B$208,'D-1'!B173,'O&amp;M by CE Desc Variance'!$E$204:$E$208)</f>
        <v>-4365.8994700000039</v>
      </c>
      <c r="F173" s="741">
        <f>SUMIF('O&amp;M by CE Desc Variance'!$B$211:$B$241,'D-1'!B173,'O&amp;M by CE Desc Variance'!$E$211:$E$241)</f>
        <v>-458.2199999999998</v>
      </c>
      <c r="G173" s="741">
        <f>SUMIF('O&amp;M by CE Desc Variance'!$B$245:$B$279,'D-1'!B173,'O&amp;M by CE Desc Variance'!$E$245:$E$279)</f>
        <v>0</v>
      </c>
      <c r="H173" s="741">
        <f>SUMIF('O&amp;M by CE Desc Variance'!$B$281:$B$287,'D-1'!B173,'O&amp;M by CE Desc Variance'!$E$281:$E$287)</f>
        <v>839.65</v>
      </c>
      <c r="I173" s="741">
        <f>SUMIF('O&amp;M by CE Desc Variance'!$B$290:$B$333,'D-1'!B173,'O&amp;M by CE Desc Variance'!$E$290:$E$333)</f>
        <v>-5764.919999999991</v>
      </c>
      <c r="L173" s="741">
        <f t="shared" si="16"/>
        <v>-9749.3894699999946</v>
      </c>
      <c r="M173" s="741">
        <f t="shared" si="17"/>
        <v>245042.79053000017</v>
      </c>
      <c r="N173" s="741">
        <f>SUMIF('Forecast TY Budget &amp; D-2.4 Adj'!$A$9:$A$70,'D-1'!B173,'Forecast TY Budget &amp; D-2.4 Adj'!$T$9:$T$70)</f>
        <v>96714</v>
      </c>
      <c r="O173" s="741">
        <f t="shared" si="18"/>
        <v>341756.79053000017</v>
      </c>
      <c r="U173" s="757"/>
      <c r="AA173" s="738"/>
    </row>
    <row r="174" spans="1:27" x14ac:dyDescent="0.2">
      <c r="A174" s="731">
        <f t="shared" si="19"/>
        <v>19</v>
      </c>
      <c r="B174" s="732">
        <f t="shared" si="15"/>
        <v>889</v>
      </c>
      <c r="C174" s="732" t="str">
        <f t="shared" si="15"/>
        <v>MEASURING AND REGULATION STA. EXPENSE - GEN.</v>
      </c>
      <c r="D174" s="741">
        <f t="shared" si="15"/>
        <v>269427.95999999996</v>
      </c>
      <c r="E174" s="741">
        <f>SUMIF('O&amp;M by CE Desc Variance'!$B$204:$B$208,'D-1'!B174,'O&amp;M by CE Desc Variance'!$E$204:$E$208)</f>
        <v>0</v>
      </c>
      <c r="F174" s="741">
        <f>SUMIF('O&amp;M by CE Desc Variance'!$B$211:$B$241,'D-1'!B174,'O&amp;M by CE Desc Variance'!$E$211:$E$241)</f>
        <v>-309.27</v>
      </c>
      <c r="G174" s="741">
        <f>SUMIF('O&amp;M by CE Desc Variance'!$B$245:$B$279,'D-1'!B174,'O&amp;M by CE Desc Variance'!$E$245:$E$279)</f>
        <v>0</v>
      </c>
      <c r="H174" s="741">
        <f>SUMIF('O&amp;M by CE Desc Variance'!$B$281:$B$287,'D-1'!B174,'O&amp;M by CE Desc Variance'!$E$281:$E$287)</f>
        <v>0</v>
      </c>
      <c r="I174" s="741">
        <f>SUMIF('O&amp;M by CE Desc Variance'!$B$290:$B$333,'D-1'!B174,'O&amp;M by CE Desc Variance'!$E$290:$E$333)</f>
        <v>-1857.4899999999991</v>
      </c>
      <c r="L174" s="741">
        <f t="shared" si="16"/>
        <v>-2166.7599999999993</v>
      </c>
      <c r="M174" s="741">
        <f t="shared" si="17"/>
        <v>127.02999999999702</v>
      </c>
      <c r="N174" s="741">
        <f>SUMIF('Forecast TY Budget &amp; D-2.4 Adj'!$A$9:$A$70,'D-1'!B174,'Forecast TY Budget &amp; D-2.4 Adj'!$T$9:$T$70)</f>
        <v>13775</v>
      </c>
      <c r="O174" s="741">
        <f t="shared" si="18"/>
        <v>13902.029999999997</v>
      </c>
      <c r="S174" s="757"/>
      <c r="U174" s="757"/>
      <c r="AA174" s="738"/>
    </row>
    <row r="175" spans="1:27" x14ac:dyDescent="0.2">
      <c r="A175" s="731">
        <f t="shared" si="19"/>
        <v>20</v>
      </c>
      <c r="B175" s="732">
        <f t="shared" si="15"/>
        <v>890</v>
      </c>
      <c r="C175" s="732" t="str">
        <f t="shared" si="15"/>
        <v>MEASURING AND REGULATION STA. EXPENSE - IND.</v>
      </c>
      <c r="D175" s="741">
        <f t="shared" si="15"/>
        <v>60575.87</v>
      </c>
      <c r="E175" s="741">
        <f>SUMIF('O&amp;M by CE Desc Variance'!$B$204:$B$208,'D-1'!B175,'O&amp;M by CE Desc Variance'!$E$204:$E$208)</f>
        <v>0</v>
      </c>
      <c r="F175" s="741">
        <f>SUMIF('O&amp;M by CE Desc Variance'!$B$211:$B$241,'D-1'!B175,'O&amp;M by CE Desc Variance'!$E$211:$E$241)</f>
        <v>-266.21000000000004</v>
      </c>
      <c r="G175" s="741">
        <f>SUMIF('O&amp;M by CE Desc Variance'!$B$245:$B$279,'D-1'!B175,'O&amp;M by CE Desc Variance'!$E$245:$E$279)</f>
        <v>0</v>
      </c>
      <c r="H175" s="741">
        <f>SUMIF('O&amp;M by CE Desc Variance'!$B$281:$B$287,'D-1'!B175,'O&amp;M by CE Desc Variance'!$E$281:$E$287)</f>
        <v>0</v>
      </c>
      <c r="I175" s="741">
        <f>SUMIF('O&amp;M by CE Desc Variance'!$B$290:$B$333,'D-1'!B175,'O&amp;M by CE Desc Variance'!$E$290:$E$333)</f>
        <v>-228.65000000000009</v>
      </c>
      <c r="L175" s="741">
        <f t="shared" si="16"/>
        <v>-494.86000000000013</v>
      </c>
      <c r="M175" s="741">
        <f t="shared" si="17"/>
        <v>9129.1300000000028</v>
      </c>
      <c r="N175" s="741">
        <f>SUMIF('Forecast TY Budget &amp; D-2.4 Adj'!$A$9:$A$70,'D-1'!B175,'Forecast TY Budget &amp; D-2.4 Adj'!$T$9:$T$70)</f>
        <v>1594</v>
      </c>
      <c r="O175" s="741">
        <f t="shared" si="18"/>
        <v>10723.130000000003</v>
      </c>
      <c r="S175" s="757"/>
      <c r="U175" s="757"/>
      <c r="AA175" s="738"/>
    </row>
    <row r="176" spans="1:27" x14ac:dyDescent="0.2">
      <c r="A176" s="731">
        <f t="shared" si="19"/>
        <v>21</v>
      </c>
      <c r="B176" s="732">
        <f t="shared" ref="B176:D195" si="20">B78</f>
        <v>892</v>
      </c>
      <c r="C176" s="732" t="str">
        <f t="shared" si="20"/>
        <v>SERVICES</v>
      </c>
      <c r="D176" s="741">
        <f t="shared" si="20"/>
        <v>516033.07678999996</v>
      </c>
      <c r="E176" s="741">
        <f>SUMIF('O&amp;M by CE Desc Variance'!$B$204:$B$208,'D-1'!B176,'O&amp;M by CE Desc Variance'!$E$204:$E$208)</f>
        <v>59006.99321000003</v>
      </c>
      <c r="F176" s="741">
        <f>SUMIF('O&amp;M by CE Desc Variance'!$B$211:$B$241,'D-1'!B176,'O&amp;M by CE Desc Variance'!$E$211:$E$241)</f>
        <v>-135.85000000000014</v>
      </c>
      <c r="G176" s="741">
        <f>SUMIF('O&amp;M by CE Desc Variance'!$B$245:$B$279,'D-1'!B176,'O&amp;M by CE Desc Variance'!$E$245:$E$279)</f>
        <v>-35.389999999999993</v>
      </c>
      <c r="H176" s="741">
        <f>SUMIF('O&amp;M by CE Desc Variance'!$B$281:$B$287,'D-1'!B176,'O&amp;M by CE Desc Variance'!$E$281:$E$287)</f>
        <v>839.65</v>
      </c>
      <c r="I176" s="741">
        <f>SUMIF('O&amp;M by CE Desc Variance'!$B$290:$B$333,'D-1'!B176,'O&amp;M by CE Desc Variance'!$E$290:$E$333)</f>
        <v>-2344.6899999999987</v>
      </c>
      <c r="L176" s="741">
        <f t="shared" si="16"/>
        <v>57330.713210000031</v>
      </c>
      <c r="M176" s="741">
        <f t="shared" si="17"/>
        <v>183727.92321000004</v>
      </c>
      <c r="N176" s="741">
        <f>SUMIF('Forecast TY Budget &amp; D-2.4 Adj'!$A$9:$A$70,'D-1'!B176,'Forecast TY Budget &amp; D-2.4 Adj'!$T$9:$T$70)</f>
        <v>30147</v>
      </c>
      <c r="O176" s="741">
        <f t="shared" si="18"/>
        <v>213874.92321000004</v>
      </c>
      <c r="S176" s="757"/>
      <c r="U176" s="757"/>
      <c r="AA176" s="738"/>
    </row>
    <row r="177" spans="1:27" x14ac:dyDescent="0.2">
      <c r="A177" s="731">
        <f t="shared" si="19"/>
        <v>22</v>
      </c>
      <c r="B177" s="732">
        <f t="shared" si="20"/>
        <v>893</v>
      </c>
      <c r="C177" s="732" t="str">
        <f t="shared" si="20"/>
        <v>METERS AND HOUSE REGULATORS</v>
      </c>
      <c r="D177" s="741">
        <f t="shared" si="20"/>
        <v>151628.13</v>
      </c>
      <c r="E177" s="741">
        <f>SUMIF('O&amp;M by CE Desc Variance'!$B$204:$B$208,'D-1'!B177,'O&amp;M by CE Desc Variance'!$E$204:$E$208)</f>
        <v>0</v>
      </c>
      <c r="F177" s="741">
        <f>SUMIF('O&amp;M by CE Desc Variance'!$B$211:$B$241,'D-1'!B177,'O&amp;M by CE Desc Variance'!$E$211:$E$241)</f>
        <v>-510.98</v>
      </c>
      <c r="G177" s="741">
        <f>SUMIF('O&amp;M by CE Desc Variance'!$B$245:$B$279,'D-1'!B177,'O&amp;M by CE Desc Variance'!$E$245:$E$279)</f>
        <v>0</v>
      </c>
      <c r="H177" s="741">
        <f>SUMIF('O&amp;M by CE Desc Variance'!$B$281:$B$287,'D-1'!B177,'O&amp;M by CE Desc Variance'!$E$281:$E$287)</f>
        <v>0</v>
      </c>
      <c r="I177" s="741">
        <f>SUMIF('O&amp;M by CE Desc Variance'!$B$290:$B$333,'D-1'!B177,'O&amp;M by CE Desc Variance'!$E$290:$E$333)</f>
        <v>-1484.3899999999996</v>
      </c>
      <c r="L177" s="741">
        <f t="shared" si="16"/>
        <v>-1995.3699999999997</v>
      </c>
      <c r="M177" s="741">
        <f t="shared" si="17"/>
        <v>-8589.130000000001</v>
      </c>
      <c r="N177" s="741">
        <f>SUMIF('Forecast TY Budget &amp; D-2.4 Adj'!$A$9:$A$70,'D-1'!B177,'Forecast TY Budget &amp; D-2.4 Adj'!$T$9:$T$70)</f>
        <v>1988</v>
      </c>
      <c r="O177" s="741">
        <f t="shared" si="18"/>
        <v>-6601.130000000001</v>
      </c>
      <c r="S177" s="757"/>
      <c r="U177" s="757"/>
      <c r="AA177" s="738"/>
    </row>
    <row r="178" spans="1:27" x14ac:dyDescent="0.2">
      <c r="A178" s="731">
        <f t="shared" si="19"/>
        <v>23</v>
      </c>
      <c r="B178" s="732">
        <f t="shared" si="20"/>
        <v>894</v>
      </c>
      <c r="C178" s="732" t="str">
        <f t="shared" si="20"/>
        <v>OTHER EQUIPMENT</v>
      </c>
      <c r="D178" s="741">
        <f t="shared" si="20"/>
        <v>295269.18</v>
      </c>
      <c r="E178" s="741">
        <f>SUMIF('O&amp;M by CE Desc Variance'!$B$204:$B$208,'D-1'!B178,'O&amp;M by CE Desc Variance'!$E$204:$E$208)</f>
        <v>0</v>
      </c>
      <c r="F178" s="741">
        <f>SUMIF('O&amp;M by CE Desc Variance'!$B$211:$B$241,'D-1'!B178,'O&amp;M by CE Desc Variance'!$E$211:$E$241)</f>
        <v>-176.94999999999982</v>
      </c>
      <c r="G178" s="741">
        <f>SUMIF('O&amp;M by CE Desc Variance'!$B$245:$B$279,'D-1'!B178,'O&amp;M by CE Desc Variance'!$E$245:$E$279)</f>
        <v>0</v>
      </c>
      <c r="H178" s="741">
        <f>SUMIF('O&amp;M by CE Desc Variance'!$B$281:$B$287,'D-1'!B178,'O&amp;M by CE Desc Variance'!$E$281:$E$287)</f>
        <v>0</v>
      </c>
      <c r="I178" s="741">
        <f>SUMIF('O&amp;M by CE Desc Variance'!$B$290:$B$333,'D-1'!B178,'O&amp;M by CE Desc Variance'!$E$290:$E$333)</f>
        <v>-5476.6100000000015</v>
      </c>
      <c r="L178" s="741">
        <f t="shared" si="16"/>
        <v>-5653.5600000000013</v>
      </c>
      <c r="M178" s="741">
        <f t="shared" si="17"/>
        <v>16571.819999999989</v>
      </c>
      <c r="N178" s="741">
        <f>SUMIF('Forecast TY Budget &amp; D-2.4 Adj'!$A$9:$A$70,'D-1'!B178,'Forecast TY Budget &amp; D-2.4 Adj'!$T$9:$T$70)</f>
        <v>11912</v>
      </c>
      <c r="O178" s="741">
        <f t="shared" si="18"/>
        <v>28483.819999999989</v>
      </c>
      <c r="S178" s="757"/>
      <c r="U178" s="757"/>
      <c r="AA178" s="738"/>
    </row>
    <row r="179" spans="1:27" x14ac:dyDescent="0.2">
      <c r="A179" s="731">
        <f t="shared" si="19"/>
        <v>24</v>
      </c>
      <c r="B179" s="732">
        <f t="shared" si="20"/>
        <v>901</v>
      </c>
      <c r="C179" s="732" t="str">
        <f t="shared" si="20"/>
        <v>SUPERVISION</v>
      </c>
      <c r="D179" s="741">
        <f t="shared" si="20"/>
        <v>0</v>
      </c>
      <c r="E179" s="741">
        <f>SUMIF('O&amp;M by CE Desc Variance'!$B$204:$B$208,'D-1'!B179,'O&amp;M by CE Desc Variance'!$E$204:$E$208)</f>
        <v>0</v>
      </c>
      <c r="F179" s="741">
        <f>SUMIF('O&amp;M by CE Desc Variance'!$B$211:$B$241,'D-1'!B179,'O&amp;M by CE Desc Variance'!$E$211:$E$241)</f>
        <v>0</v>
      </c>
      <c r="G179" s="741">
        <f>SUMIF('O&amp;M by CE Desc Variance'!$B$245:$B$279,'D-1'!B179,'O&amp;M by CE Desc Variance'!$E$245:$E$279)</f>
        <v>0</v>
      </c>
      <c r="H179" s="741">
        <f>SUMIF('O&amp;M by CE Desc Variance'!$B$281:$B$287,'D-1'!B179,'O&amp;M by CE Desc Variance'!$E$281:$E$287)</f>
        <v>0</v>
      </c>
      <c r="I179" s="741">
        <f>SUMIF('O&amp;M by CE Desc Variance'!$B$290:$B$333,'D-1'!B179,'O&amp;M by CE Desc Variance'!$E$290:$E$333)</f>
        <v>0</v>
      </c>
      <c r="L179" s="741">
        <f t="shared" si="16"/>
        <v>0</v>
      </c>
      <c r="M179" s="741">
        <f t="shared" si="17"/>
        <v>0</v>
      </c>
      <c r="N179" s="741">
        <f>SUMIF('Forecast TY Budget &amp; D-2.4 Adj'!$A$9:$A$70,'D-1'!B179,'Forecast TY Budget &amp; D-2.4 Adj'!$T$9:$T$70)</f>
        <v>0</v>
      </c>
      <c r="O179" s="741">
        <f t="shared" si="18"/>
        <v>0</v>
      </c>
      <c r="S179" s="757"/>
      <c r="U179" s="757"/>
      <c r="AA179" s="738"/>
    </row>
    <row r="180" spans="1:27" x14ac:dyDescent="0.2">
      <c r="A180" s="731">
        <f t="shared" si="19"/>
        <v>25</v>
      </c>
      <c r="B180" s="732">
        <f t="shared" si="20"/>
        <v>902</v>
      </c>
      <c r="C180" s="732" t="str">
        <f t="shared" si="20"/>
        <v>METER READING EXPENSES</v>
      </c>
      <c r="D180" s="741">
        <f t="shared" si="20"/>
        <v>367942.22</v>
      </c>
      <c r="E180" s="741">
        <f>SUMIF('O&amp;M by CE Desc Variance'!$B$204:$B$208,'D-1'!B180,'O&amp;M by CE Desc Variance'!$E$204:$E$208)</f>
        <v>0</v>
      </c>
      <c r="F180" s="741">
        <f>SUMIF('O&amp;M by CE Desc Variance'!$B$211:$B$241,'D-1'!B180,'O&amp;M by CE Desc Variance'!$E$211:$E$241)</f>
        <v>548</v>
      </c>
      <c r="G180" s="741">
        <f>SUMIF('O&amp;M by CE Desc Variance'!$B$245:$B$279,'D-1'!B180,'O&amp;M by CE Desc Variance'!$E$245:$E$279)</f>
        <v>0</v>
      </c>
      <c r="H180" s="741">
        <f>SUMIF('O&amp;M by CE Desc Variance'!$B$281:$B$287,'D-1'!B180,'O&amp;M by CE Desc Variance'!$E$281:$E$287)</f>
        <v>0</v>
      </c>
      <c r="I180" s="741">
        <f>SUMIF('O&amp;M by CE Desc Variance'!$B$290:$B$333,'D-1'!B180,'O&amp;M by CE Desc Variance'!$E$290:$E$333)</f>
        <v>-10371.52</v>
      </c>
      <c r="L180" s="741">
        <f t="shared" si="16"/>
        <v>-9823.52</v>
      </c>
      <c r="M180" s="741">
        <f t="shared" si="17"/>
        <v>179187.78</v>
      </c>
      <c r="N180" s="741">
        <f>SUMIF('Forecast TY Budget &amp; D-2.4 Adj'!$A$9:$A$70,'D-1'!B180,'Forecast TY Budget &amp; D-2.4 Adj'!$T$9:$T$70)</f>
        <v>17703</v>
      </c>
      <c r="O180" s="741">
        <f t="shared" si="18"/>
        <v>196890.78</v>
      </c>
      <c r="S180" s="757"/>
      <c r="U180" s="757"/>
      <c r="AA180" s="738"/>
    </row>
    <row r="181" spans="1:27" x14ac:dyDescent="0.2">
      <c r="A181" s="731">
        <f t="shared" si="19"/>
        <v>26</v>
      </c>
      <c r="B181" s="732">
        <f t="shared" si="20"/>
        <v>903</v>
      </c>
      <c r="C181" s="732" t="str">
        <f t="shared" si="20"/>
        <v>CUSTOMER RECORDS &amp; COLLECTIONS - UTILITY SERVICES</v>
      </c>
      <c r="D181" s="741">
        <f t="shared" si="20"/>
        <v>3316269.0465199999</v>
      </c>
      <c r="E181" s="741">
        <f>SUMIF('O&amp;M by CE Desc Variance'!$B$204:$B$208,'D-1'!B181,'O&amp;M by CE Desc Variance'!$E$204:$E$208)</f>
        <v>1340.7787200000002</v>
      </c>
      <c r="F181" s="741">
        <f>SUMIF('O&amp;M by CE Desc Variance'!$B$211:$B$241,'D-1'!B181,'O&amp;M by CE Desc Variance'!$E$211:$E$241)</f>
        <v>-52162.815239999989</v>
      </c>
      <c r="G181" s="741">
        <f>SUMIF('O&amp;M by CE Desc Variance'!$B$245:$B$279,'D-1'!B181,'O&amp;M by CE Desc Variance'!$E$245:$E$279)</f>
        <v>0</v>
      </c>
      <c r="H181" s="741">
        <f>SUMIF('O&amp;M by CE Desc Variance'!$B$281:$B$287,'D-1'!B181,'O&amp;M by CE Desc Variance'!$E$281:$E$287)</f>
        <v>0</v>
      </c>
      <c r="I181" s="741">
        <f>SUMIF('O&amp;M by CE Desc Variance'!$B$290:$B$333,'D-1'!B181,'O&amp;M by CE Desc Variance'!$E$290:$E$333)</f>
        <v>-931.21999999999662</v>
      </c>
      <c r="L181" s="741">
        <f t="shared" si="16"/>
        <v>-51753.256519999981</v>
      </c>
      <c r="M181" s="741">
        <f t="shared" si="17"/>
        <v>332768.95347999997</v>
      </c>
      <c r="N181" s="741">
        <f>SUMIF('Forecast TY Budget &amp; D-2.4 Adj'!$A$9:$A$70,'D-1'!B181,'Forecast TY Budget &amp; D-2.4 Adj'!$T$9:$T$70)</f>
        <v>296430</v>
      </c>
      <c r="O181" s="741">
        <f t="shared" si="18"/>
        <v>629198.95347999991</v>
      </c>
      <c r="S181" s="757"/>
      <c r="U181" s="757"/>
      <c r="AA181" s="738"/>
    </row>
    <row r="182" spans="1:27" x14ac:dyDescent="0.2">
      <c r="A182" s="731">
        <f t="shared" si="19"/>
        <v>27</v>
      </c>
      <c r="B182" s="732">
        <f t="shared" si="20"/>
        <v>904</v>
      </c>
      <c r="C182" s="732" t="str">
        <f t="shared" si="20"/>
        <v>UNCOLLECTIBLE ACCOUNTS</v>
      </c>
      <c r="D182" s="741">
        <f t="shared" si="20"/>
        <v>811974.07000000007</v>
      </c>
      <c r="E182" s="741">
        <f>SUMIF('O&amp;M by CE Desc Variance'!$B$204:$B$208,'D-1'!B182,'O&amp;M by CE Desc Variance'!$E$204:$E$208)</f>
        <v>0</v>
      </c>
      <c r="F182" s="741">
        <f>SUMIF('O&amp;M by CE Desc Variance'!$B$211:$B$241,'D-1'!B182,'O&amp;M by CE Desc Variance'!$E$211:$E$241)</f>
        <v>0</v>
      </c>
      <c r="G182" s="741">
        <f>SUMIF('O&amp;M by CE Desc Variance'!$B$245:$B$279,'D-1'!B182,'O&amp;M by CE Desc Variance'!$E$245:$E$279)</f>
        <v>0</v>
      </c>
      <c r="H182" s="741">
        <f>SUMIF('O&amp;M by CE Desc Variance'!$B$281:$B$287,'D-1'!B182,'O&amp;M by CE Desc Variance'!$E$281:$E$287)</f>
        <v>0</v>
      </c>
      <c r="I182" s="741">
        <f>SUMIF('O&amp;M by CE Desc Variance'!$B$290:$B$333,'D-1'!B182,'O&amp;M by CE Desc Variance'!$E$290:$E$333)</f>
        <v>0</v>
      </c>
      <c r="L182" s="741">
        <f t="shared" si="16"/>
        <v>0</v>
      </c>
      <c r="M182" s="741">
        <f t="shared" si="17"/>
        <v>843488.92999999993</v>
      </c>
      <c r="N182" s="741">
        <f>SUMIF('Forecast TY Budget &amp; D-2.4 Adj'!$A$9:$A$70,'D-1'!B182,'Forecast TY Budget &amp; D-2.4 Adj'!$T$9:$T$70)</f>
        <v>-627878</v>
      </c>
      <c r="O182" s="741">
        <f t="shared" si="18"/>
        <v>215610.92999999993</v>
      </c>
      <c r="S182" s="757"/>
      <c r="U182" s="757"/>
      <c r="AA182" s="738"/>
    </row>
    <row r="183" spans="1:27" x14ac:dyDescent="0.2">
      <c r="A183" s="731">
        <f t="shared" si="19"/>
        <v>28</v>
      </c>
      <c r="B183" s="732">
        <f t="shared" si="20"/>
        <v>905</v>
      </c>
      <c r="C183" s="732" t="str">
        <f t="shared" si="20"/>
        <v>MISCELLANEOUS CUSTOMER ACCOUNT EXPENSES</v>
      </c>
      <c r="D183" s="741">
        <f t="shared" si="20"/>
        <v>1200.5700000000002</v>
      </c>
      <c r="E183" s="741">
        <f>SUMIF('O&amp;M by CE Desc Variance'!$B$204:$B$208,'D-1'!B183,'O&amp;M by CE Desc Variance'!$E$204:$E$208)</f>
        <v>0</v>
      </c>
      <c r="F183" s="741">
        <f>SUMIF('O&amp;M by CE Desc Variance'!$B$211:$B$241,'D-1'!B183,'O&amp;M by CE Desc Variance'!$E$211:$E$241)</f>
        <v>-120.85000000000002</v>
      </c>
      <c r="G183" s="741">
        <f>SUMIF('O&amp;M by CE Desc Variance'!$B$245:$B$279,'D-1'!B183,'O&amp;M by CE Desc Variance'!$E$245:$E$279)</f>
        <v>0</v>
      </c>
      <c r="H183" s="741">
        <f>SUMIF('O&amp;M by CE Desc Variance'!$B$281:$B$287,'D-1'!B183,'O&amp;M by CE Desc Variance'!$E$281:$E$287)</f>
        <v>0</v>
      </c>
      <c r="I183" s="741">
        <f>SUMIF('O&amp;M by CE Desc Variance'!$B$290:$B$333,'D-1'!B183,'O&amp;M by CE Desc Variance'!$E$290:$E$333)</f>
        <v>0</v>
      </c>
      <c r="L183" s="741">
        <f t="shared" si="16"/>
        <v>-120.85000000000002</v>
      </c>
      <c r="M183" s="741">
        <f t="shared" si="17"/>
        <v>-119.57000000000005</v>
      </c>
      <c r="N183" s="741">
        <f>SUMIF('Forecast TY Budget &amp; D-2.4 Adj'!$A$9:$A$70,'D-1'!B183,'Forecast TY Budget &amp; D-2.4 Adj'!$T$9:$T$70)</f>
        <v>-8</v>
      </c>
      <c r="O183" s="741">
        <f t="shared" si="18"/>
        <v>-127.57000000000005</v>
      </c>
      <c r="S183" s="757"/>
      <c r="U183" s="757"/>
      <c r="AA183" s="738"/>
    </row>
    <row r="184" spans="1:27" x14ac:dyDescent="0.2">
      <c r="A184" s="731">
        <f t="shared" si="19"/>
        <v>29</v>
      </c>
      <c r="B184" s="732">
        <f t="shared" si="20"/>
        <v>907</v>
      </c>
      <c r="C184" s="732" t="str">
        <f t="shared" si="20"/>
        <v>SUPERVISION</v>
      </c>
      <c r="D184" s="741">
        <f t="shared" si="20"/>
        <v>15816.6</v>
      </c>
      <c r="E184" s="741">
        <f>SUMIF('O&amp;M by CE Desc Variance'!$B$204:$B$208,'D-1'!B184,'O&amp;M by CE Desc Variance'!$E$204:$E$208)</f>
        <v>0</v>
      </c>
      <c r="F184" s="741">
        <f>SUMIF('O&amp;M by CE Desc Variance'!$B$211:$B$241,'D-1'!B184,'O&amp;M by CE Desc Variance'!$E$211:$E$241)</f>
        <v>0</v>
      </c>
      <c r="G184" s="741">
        <f>SUMIF('O&amp;M by CE Desc Variance'!$B$245:$B$279,'D-1'!B184,'O&amp;M by CE Desc Variance'!$E$245:$E$279)</f>
        <v>0</v>
      </c>
      <c r="H184" s="741">
        <f>SUMIF('O&amp;M by CE Desc Variance'!$B$281:$B$287,'D-1'!B184,'O&amp;M by CE Desc Variance'!$E$281:$E$287)</f>
        <v>0</v>
      </c>
      <c r="I184" s="741">
        <f>SUMIF('O&amp;M by CE Desc Variance'!$B$290:$B$333,'D-1'!B184,'O&amp;M by CE Desc Variance'!$E$290:$E$333)</f>
        <v>0</v>
      </c>
      <c r="L184" s="741">
        <f t="shared" si="16"/>
        <v>0</v>
      </c>
      <c r="M184" s="741">
        <f t="shared" si="17"/>
        <v>6395.4</v>
      </c>
      <c r="N184" s="741">
        <f>SUMIF('Forecast TY Budget &amp; D-2.4 Adj'!$A$9:$A$70,'D-1'!B184,'Forecast TY Budget &amp; D-2.4 Adj'!$T$9:$T$70)</f>
        <v>-25001</v>
      </c>
      <c r="O184" s="741">
        <f t="shared" si="18"/>
        <v>-18605.599999999999</v>
      </c>
      <c r="S184" s="757"/>
      <c r="U184" s="757"/>
      <c r="AA184" s="738"/>
    </row>
    <row r="185" spans="1:27" x14ac:dyDescent="0.2">
      <c r="A185" s="731">
        <f t="shared" si="19"/>
        <v>30</v>
      </c>
      <c r="B185" s="732">
        <f t="shared" si="20"/>
        <v>908</v>
      </c>
      <c r="C185" s="732" t="str">
        <f t="shared" si="20"/>
        <v>CUSTOMER ASSISTANCE EXPENSES</v>
      </c>
      <c r="D185" s="741">
        <f t="shared" si="20"/>
        <v>887206.67475999973</v>
      </c>
      <c r="E185" s="741">
        <f>SUMIF('O&amp;M by CE Desc Variance'!$B$204:$B$208,'D-1'!B185,'O&amp;M by CE Desc Variance'!$E$204:$E$208)</f>
        <v>0</v>
      </c>
      <c r="F185" s="741">
        <f>SUMIF('O&amp;M by CE Desc Variance'!$B$211:$B$241,'D-1'!B185,'O&amp;M by CE Desc Variance'!$E$211:$E$241)</f>
        <v>365443.94523999997</v>
      </c>
      <c r="G185" s="741">
        <f>SUMIF('O&amp;M by CE Desc Variance'!$B$245:$B$279,'D-1'!B185,'O&amp;M by CE Desc Variance'!$E$245:$E$279)</f>
        <v>0</v>
      </c>
      <c r="H185" s="741">
        <f>SUMIF('O&amp;M by CE Desc Variance'!$B$281:$B$287,'D-1'!B185,'O&amp;M by CE Desc Variance'!$E$281:$E$287)</f>
        <v>0</v>
      </c>
      <c r="I185" s="741">
        <f>SUMIF('O&amp;M by CE Desc Variance'!$B$290:$B$333,'D-1'!B185,'O&amp;M by CE Desc Variance'!$E$290:$E$333)</f>
        <v>838.65999999999985</v>
      </c>
      <c r="L185" s="741">
        <f t="shared" si="16"/>
        <v>366282.60523999995</v>
      </c>
      <c r="M185" s="741">
        <f t="shared" si="17"/>
        <v>437839.32523999992</v>
      </c>
      <c r="N185" s="741">
        <f>SUMIF('Forecast TY Budget &amp; D-2.4 Adj'!$A$9:$A$70,'D-1'!B185,'Forecast TY Budget &amp; D-2.4 Adj'!$T$9:$T$70)</f>
        <v>-113093</v>
      </c>
      <c r="O185" s="741">
        <f t="shared" si="18"/>
        <v>324746.32523999992</v>
      </c>
      <c r="S185" s="757"/>
      <c r="U185" s="757"/>
      <c r="AA185" s="738"/>
    </row>
    <row r="186" spans="1:27" x14ac:dyDescent="0.2">
      <c r="A186" s="731">
        <f t="shared" si="19"/>
        <v>31</v>
      </c>
      <c r="B186" s="732">
        <f t="shared" si="20"/>
        <v>909</v>
      </c>
      <c r="C186" s="732" t="str">
        <f t="shared" si="20"/>
        <v>INFORMATIONAL AND INSTR. ADVERT. EXPENSES</v>
      </c>
      <c r="D186" s="741">
        <f t="shared" si="20"/>
        <v>79942.59</v>
      </c>
      <c r="E186" s="741">
        <f>SUMIF('O&amp;M by CE Desc Variance'!$B$204:$B$208,'D-1'!B186,'O&amp;M by CE Desc Variance'!$E$204:$E$208)</f>
        <v>0</v>
      </c>
      <c r="F186" s="741">
        <f>SUMIF('O&amp;M by CE Desc Variance'!$B$211:$B$241,'D-1'!B186,'O&amp;M by CE Desc Variance'!$E$211:$E$241)</f>
        <v>0</v>
      </c>
      <c r="G186" s="741">
        <f>SUMIF('O&amp;M by CE Desc Variance'!$B$245:$B$279,'D-1'!B186,'O&amp;M by CE Desc Variance'!$E$245:$E$279)</f>
        <v>0</v>
      </c>
      <c r="H186" s="741">
        <f>SUMIF('O&amp;M by CE Desc Variance'!$B$281:$B$287,'D-1'!B186,'O&amp;M by CE Desc Variance'!$E$281:$E$287)</f>
        <v>2496</v>
      </c>
      <c r="I186" s="741">
        <f>SUMIF('O&amp;M by CE Desc Variance'!$B$290:$B$333,'D-1'!B186,'O&amp;M by CE Desc Variance'!$E$290:$E$333)</f>
        <v>0</v>
      </c>
      <c r="L186" s="741">
        <f t="shared" si="16"/>
        <v>2496</v>
      </c>
      <c r="M186" s="741">
        <f t="shared" si="17"/>
        <v>-13537.589999999997</v>
      </c>
      <c r="N186" s="741">
        <f>SUMIF('Forecast TY Budget &amp; D-2.4 Adj'!$A$9:$A$70,'D-1'!B186,'Forecast TY Budget &amp; D-2.4 Adj'!$T$9:$T$70)</f>
        <v>-473</v>
      </c>
      <c r="O186" s="741">
        <f t="shared" si="18"/>
        <v>-14010.589999999997</v>
      </c>
      <c r="S186" s="757"/>
      <c r="U186" s="757"/>
      <c r="AA186" s="738"/>
    </row>
    <row r="187" spans="1:27" x14ac:dyDescent="0.2">
      <c r="A187" s="731">
        <f t="shared" si="19"/>
        <v>32</v>
      </c>
      <c r="B187" s="732">
        <f t="shared" si="20"/>
        <v>910</v>
      </c>
      <c r="C187" s="732" t="str">
        <f t="shared" si="20"/>
        <v>MISCELLANEOUS CUSTOMER ACCOUNT EXPENSE</v>
      </c>
      <c r="D187" s="741">
        <f t="shared" si="20"/>
        <v>227785.5</v>
      </c>
      <c r="E187" s="741">
        <f>SUMIF('O&amp;M by CE Desc Variance'!$B$204:$B$208,'D-1'!B187,'O&amp;M by CE Desc Variance'!$E$204:$E$208)</f>
        <v>0</v>
      </c>
      <c r="F187" s="741">
        <f>SUMIF('O&amp;M by CE Desc Variance'!$B$211:$B$241,'D-1'!B187,'O&amp;M by CE Desc Variance'!$E$211:$E$241)</f>
        <v>0</v>
      </c>
      <c r="G187" s="741">
        <f>SUMIF('O&amp;M by CE Desc Variance'!$B$245:$B$279,'D-1'!B187,'O&amp;M by CE Desc Variance'!$E$245:$E$279)</f>
        <v>0</v>
      </c>
      <c r="H187" s="741">
        <f>SUMIF('O&amp;M by CE Desc Variance'!$B$281:$B$287,'D-1'!B187,'O&amp;M by CE Desc Variance'!$E$281:$E$287)</f>
        <v>0</v>
      </c>
      <c r="I187" s="741">
        <f>SUMIF('O&amp;M by CE Desc Variance'!$B$290:$B$333,'D-1'!B187,'O&amp;M by CE Desc Variance'!$E$290:$E$333)</f>
        <v>0</v>
      </c>
      <c r="L187" s="741">
        <f t="shared" si="16"/>
        <v>0</v>
      </c>
      <c r="M187" s="741">
        <f t="shared" si="17"/>
        <v>37483.5</v>
      </c>
      <c r="N187" s="741">
        <f>SUMIF('Forecast TY Budget &amp; D-2.4 Adj'!$A$9:$A$70,'D-1'!B187,'Forecast TY Budget &amp; D-2.4 Adj'!$T$9:$T$70)</f>
        <v>-7472</v>
      </c>
      <c r="O187" s="741">
        <f t="shared" si="18"/>
        <v>30011.5</v>
      </c>
      <c r="S187" s="757"/>
      <c r="U187" s="757"/>
      <c r="AA187" s="738"/>
    </row>
    <row r="188" spans="1:27" x14ac:dyDescent="0.2">
      <c r="A188" s="731">
        <f t="shared" si="19"/>
        <v>33</v>
      </c>
      <c r="B188" s="732">
        <f t="shared" si="20"/>
        <v>911</v>
      </c>
      <c r="C188" s="732" t="str">
        <f t="shared" si="20"/>
        <v>SUPERVISION</v>
      </c>
      <c r="D188" s="741">
        <f t="shared" si="20"/>
        <v>0</v>
      </c>
      <c r="E188" s="741">
        <f>SUMIF('O&amp;M by CE Desc Variance'!$B$204:$B$208,'D-1'!B188,'O&amp;M by CE Desc Variance'!$E$204:$E$208)</f>
        <v>0</v>
      </c>
      <c r="F188" s="741">
        <f>SUMIF('O&amp;M by CE Desc Variance'!$B$211:$B$241,'D-1'!B188,'O&amp;M by CE Desc Variance'!$E$211:$E$241)</f>
        <v>0</v>
      </c>
      <c r="G188" s="741">
        <f>SUMIF('O&amp;M by CE Desc Variance'!$B$245:$B$279,'D-1'!B188,'O&amp;M by CE Desc Variance'!$E$245:$E$279)</f>
        <v>0</v>
      </c>
      <c r="H188" s="741">
        <f>SUMIF('O&amp;M by CE Desc Variance'!$B$281:$B$287,'D-1'!B188,'O&amp;M by CE Desc Variance'!$E$281:$E$287)</f>
        <v>0</v>
      </c>
      <c r="I188" s="741">
        <f>SUMIF('O&amp;M by CE Desc Variance'!$B$290:$B$333,'D-1'!B188,'O&amp;M by CE Desc Variance'!$E$290:$E$333)</f>
        <v>0</v>
      </c>
      <c r="L188" s="741">
        <f>SUM(E188:I188)</f>
        <v>0</v>
      </c>
      <c r="M188" s="741">
        <f t="shared" si="17"/>
        <v>0</v>
      </c>
      <c r="N188" s="741">
        <f>SUMIF('Forecast TY Budget &amp; D-2.4 Adj'!$A$9:$A$70,'D-1'!B188,'Forecast TY Budget &amp; D-2.4 Adj'!$T$9:$T$70)</f>
        <v>0</v>
      </c>
      <c r="O188" s="741">
        <f>M188+N188</f>
        <v>0</v>
      </c>
      <c r="S188" s="757"/>
      <c r="U188" s="757"/>
      <c r="AA188" s="738"/>
    </row>
    <row r="189" spans="1:27" x14ac:dyDescent="0.2">
      <c r="A189" s="731">
        <f t="shared" si="19"/>
        <v>34</v>
      </c>
      <c r="B189" s="732">
        <f t="shared" si="20"/>
        <v>912</v>
      </c>
      <c r="C189" s="732" t="str">
        <f t="shared" si="20"/>
        <v>DEMONSTRATING AND SELLING EXPENSES</v>
      </c>
      <c r="D189" s="741">
        <f t="shared" si="20"/>
        <v>44003.94</v>
      </c>
      <c r="E189" s="741">
        <f>SUMIF('O&amp;M by CE Desc Variance'!$B$204:$B$208,'D-1'!B189,'O&amp;M by CE Desc Variance'!$E$204:$E$208)</f>
        <v>0</v>
      </c>
      <c r="F189" s="741">
        <f>SUMIF('O&amp;M by CE Desc Variance'!$B$211:$B$241,'D-1'!B189,'O&amp;M by CE Desc Variance'!$E$211:$E$241)</f>
        <v>0</v>
      </c>
      <c r="G189" s="741">
        <f>SUMIF('O&amp;M by CE Desc Variance'!$B$245:$B$279,'D-1'!B189,'O&amp;M by CE Desc Variance'!$E$245:$E$279)</f>
        <v>0</v>
      </c>
      <c r="H189" s="741">
        <f>SUMIF('O&amp;M by CE Desc Variance'!$B$281:$B$287,'D-1'!B189,'O&amp;M by CE Desc Variance'!$E$281:$E$287)</f>
        <v>0</v>
      </c>
      <c r="I189" s="741">
        <f>SUMIF('O&amp;M by CE Desc Variance'!$B$290:$B$333,'D-1'!B189,'O&amp;M by CE Desc Variance'!$E$290:$E$333)</f>
        <v>0</v>
      </c>
      <c r="L189" s="741">
        <f t="shared" si="16"/>
        <v>0</v>
      </c>
      <c r="M189" s="741">
        <f t="shared" si="17"/>
        <v>10502.059999999998</v>
      </c>
      <c r="N189" s="741">
        <f>SUMIF('Forecast TY Budget &amp; D-2.4 Adj'!$A$9:$A$70,'D-1'!B189,'Forecast TY Budget &amp; D-2.4 Adj'!$T$9:$T$70)</f>
        <v>-17029</v>
      </c>
      <c r="O189" s="741">
        <f t="shared" si="18"/>
        <v>-6526.9400000000023</v>
      </c>
      <c r="S189" s="757"/>
      <c r="U189" s="757"/>
      <c r="AA189" s="738"/>
    </row>
    <row r="190" spans="1:27" x14ac:dyDescent="0.2">
      <c r="A190" s="731">
        <f t="shared" si="19"/>
        <v>35</v>
      </c>
      <c r="B190" s="732">
        <f t="shared" si="20"/>
        <v>913</v>
      </c>
      <c r="C190" s="732" t="str">
        <f t="shared" si="20"/>
        <v>ADVERTISING EXPENSE</v>
      </c>
      <c r="D190" s="741">
        <f t="shared" si="20"/>
        <v>85656.489999999991</v>
      </c>
      <c r="E190" s="741">
        <f>SUMIF('O&amp;M by CE Desc Variance'!$B$204:$B$208,'D-1'!B190,'O&amp;M by CE Desc Variance'!$E$204:$E$208)</f>
        <v>0</v>
      </c>
      <c r="F190" s="741">
        <f>SUMIF('O&amp;M by CE Desc Variance'!$B$211:$B$241,'D-1'!B190,'O&amp;M by CE Desc Variance'!$E$211:$E$241)</f>
        <v>0</v>
      </c>
      <c r="G190" s="741">
        <f>SUMIF('O&amp;M by CE Desc Variance'!$B$245:$B$279,'D-1'!B190,'O&amp;M by CE Desc Variance'!$E$245:$E$279)</f>
        <v>0</v>
      </c>
      <c r="H190" s="741">
        <f>SUMIF('O&amp;M by CE Desc Variance'!$B$281:$B$287,'D-1'!B190,'O&amp;M by CE Desc Variance'!$E$281:$E$287)</f>
        <v>93087</v>
      </c>
      <c r="I190" s="741">
        <f>SUMIF('O&amp;M by CE Desc Variance'!$B$290:$B$333,'D-1'!B190,'O&amp;M by CE Desc Variance'!$E$290:$E$333)</f>
        <v>0</v>
      </c>
      <c r="L190" s="741">
        <f t="shared" si="16"/>
        <v>93087</v>
      </c>
      <c r="M190" s="741">
        <f t="shared" si="17"/>
        <v>95172.51</v>
      </c>
      <c r="N190" s="741">
        <f>SUMIF('Forecast TY Budget &amp; D-2.4 Adj'!$A$9:$A$70,'D-1'!B190,'Forecast TY Budget &amp; D-2.4 Adj'!$T$9:$T$70)</f>
        <v>-42123</v>
      </c>
      <c r="O190" s="741">
        <f t="shared" si="18"/>
        <v>53049.509999999995</v>
      </c>
      <c r="S190" s="757"/>
      <c r="U190" s="757"/>
      <c r="AA190" s="738"/>
    </row>
    <row r="191" spans="1:27" x14ac:dyDescent="0.2">
      <c r="A191" s="731">
        <f t="shared" si="19"/>
        <v>36</v>
      </c>
      <c r="B191" s="732">
        <f t="shared" si="20"/>
        <v>920</v>
      </c>
      <c r="C191" s="732" t="str">
        <f t="shared" si="20"/>
        <v>ADMINISTRATIVE AND GENERAL SALARIES</v>
      </c>
      <c r="D191" s="741">
        <f t="shared" si="20"/>
        <v>4590985.55</v>
      </c>
      <c r="E191" s="741">
        <f>SUMIF('O&amp;M by CE Desc Variance'!$B$204:$B$208,'D-1'!B191,'O&amp;M by CE Desc Variance'!$E$204:$E$208)</f>
        <v>0</v>
      </c>
      <c r="F191" s="741">
        <f>SUMIF('O&amp;M by CE Desc Variance'!$B$211:$B$241,'D-1'!B191,'O&amp;M by CE Desc Variance'!$E$211:$E$241)</f>
        <v>0</v>
      </c>
      <c r="G191" s="741">
        <f>SUMIF('O&amp;M by CE Desc Variance'!$B$245:$B$279,'D-1'!B191,'O&amp;M by CE Desc Variance'!$E$245:$E$279)</f>
        <v>0</v>
      </c>
      <c r="H191" s="741">
        <f>SUMIF('O&amp;M by CE Desc Variance'!$B$281:$B$287,'D-1'!B191,'O&amp;M by CE Desc Variance'!$E$281:$E$287)</f>
        <v>0</v>
      </c>
      <c r="I191" s="741">
        <f>SUMIF('O&amp;M by CE Desc Variance'!$B$290:$B$333,'D-1'!B191,'O&amp;M by CE Desc Variance'!$E$290:$E$333)</f>
        <v>0</v>
      </c>
      <c r="L191" s="741">
        <f t="shared" si="16"/>
        <v>0</v>
      </c>
      <c r="M191" s="741">
        <f t="shared" si="17"/>
        <v>-162519.54999999981</v>
      </c>
      <c r="N191" s="741">
        <f>SUMIF('Forecast TY Budget &amp; D-2.4 Adj'!$A$9:$A$70,'D-1'!B191,'Forecast TY Budget &amp; D-2.4 Adj'!$T$9:$T$70)</f>
        <v>132820</v>
      </c>
      <c r="O191" s="741">
        <f t="shared" si="18"/>
        <v>-29699.549999999814</v>
      </c>
      <c r="S191" s="757"/>
      <c r="U191" s="757"/>
      <c r="AA191" s="738"/>
    </row>
    <row r="192" spans="1:27" x14ac:dyDescent="0.2">
      <c r="A192" s="731">
        <f t="shared" si="19"/>
        <v>37</v>
      </c>
      <c r="B192" s="732">
        <f t="shared" si="20"/>
        <v>921</v>
      </c>
      <c r="C192" s="732" t="str">
        <f t="shared" si="20"/>
        <v>OFFICE SUPPLIES CUSTOMER ACCOUNTS</v>
      </c>
      <c r="D192" s="741">
        <f t="shared" si="20"/>
        <v>845435.99</v>
      </c>
      <c r="E192" s="741">
        <f>SUMIF('O&amp;M by CE Desc Variance'!$B$204:$B$208,'D-1'!B192,'O&amp;M by CE Desc Variance'!$E$204:$E$208)</f>
        <v>0</v>
      </c>
      <c r="F192" s="741">
        <f>SUMIF('O&amp;M by CE Desc Variance'!$B$211:$B$241,'D-1'!B192,'O&amp;M by CE Desc Variance'!$E$211:$E$241)</f>
        <v>-10692.509999999995</v>
      </c>
      <c r="G192" s="741">
        <f>SUMIF('O&amp;M by CE Desc Variance'!$B$245:$B$279,'D-1'!B192,'O&amp;M by CE Desc Variance'!$E$245:$E$279)</f>
        <v>0</v>
      </c>
      <c r="H192" s="741">
        <f>SUMIF('O&amp;M by CE Desc Variance'!$B$281:$B$287,'D-1'!B192,'O&amp;M by CE Desc Variance'!$E$281:$E$287)</f>
        <v>4538.74</v>
      </c>
      <c r="I192" s="741">
        <f>SUMIF('O&amp;M by CE Desc Variance'!$B$290:$B$333,'D-1'!B192,'O&amp;M by CE Desc Variance'!$E$290:$E$333)</f>
        <v>112632.18000000001</v>
      </c>
      <c r="L192" s="741">
        <f t="shared" si="16"/>
        <v>106478.41000000002</v>
      </c>
      <c r="M192" s="741">
        <f t="shared" si="17"/>
        <v>78212.960000000021</v>
      </c>
      <c r="N192" s="741">
        <f>SUMIF('Forecast TY Budget &amp; D-2.4 Adj'!$A$9:$A$70,'D-1'!B192,'Forecast TY Budget &amp; D-2.4 Adj'!$T$9:$T$70)</f>
        <v>-15430</v>
      </c>
      <c r="O192" s="741">
        <f t="shared" si="18"/>
        <v>62782.960000000021</v>
      </c>
      <c r="S192" s="757"/>
      <c r="U192" s="757"/>
      <c r="AA192" s="738"/>
    </row>
    <row r="193" spans="1:27" x14ac:dyDescent="0.2">
      <c r="A193" s="731">
        <f t="shared" si="19"/>
        <v>38</v>
      </c>
      <c r="B193" s="732">
        <f t="shared" si="20"/>
        <v>923</v>
      </c>
      <c r="C193" s="732" t="str">
        <f t="shared" si="20"/>
        <v>OUTSIDE SERVICES EMPLOYED</v>
      </c>
      <c r="D193" s="741">
        <f t="shared" si="20"/>
        <v>6386972.1500000004</v>
      </c>
      <c r="E193" s="741">
        <f>SUMIF('O&amp;M by CE Desc Variance'!$B$204:$B$208,'D-1'!B193,'O&amp;M by CE Desc Variance'!$E$204:$E$208)</f>
        <v>0</v>
      </c>
      <c r="F193" s="741">
        <f>SUMIF('O&amp;M by CE Desc Variance'!$B$211:$B$241,'D-1'!B193,'O&amp;M by CE Desc Variance'!$E$211:$E$241)</f>
        <v>-56229.440000000002</v>
      </c>
      <c r="G193" s="741">
        <f>SUMIF('O&amp;M by CE Desc Variance'!$B$245:$B$279,'D-1'!B193,'O&amp;M by CE Desc Variance'!$E$245:$E$279)</f>
        <v>0</v>
      </c>
      <c r="H193" s="741">
        <f>SUMIF('O&amp;M by CE Desc Variance'!$B$281:$B$287,'D-1'!B193,'O&amp;M by CE Desc Variance'!$E$281:$E$287)</f>
        <v>0</v>
      </c>
      <c r="I193" s="741">
        <f>SUMIF('O&amp;M by CE Desc Variance'!$B$290:$B$333,'D-1'!B193,'O&amp;M by CE Desc Variance'!$E$290:$E$333)</f>
        <v>0</v>
      </c>
      <c r="L193" s="741">
        <f t="shared" si="16"/>
        <v>-56229.440000000002</v>
      </c>
      <c r="M193" s="741">
        <f t="shared" si="17"/>
        <v>1543018.28996</v>
      </c>
      <c r="N193" s="741">
        <f>SUMIF('Forecast TY Budget &amp; D-2.4 Adj'!$A$9:$A$70,'D-1'!B193,'Forecast TY Budget &amp; D-2.4 Adj'!$T$9:$T$70)</f>
        <v>-55565</v>
      </c>
      <c r="O193" s="741">
        <f t="shared" si="18"/>
        <v>1487453.28996</v>
      </c>
      <c r="S193" s="757"/>
      <c r="U193" s="757"/>
      <c r="AA193" s="738"/>
    </row>
    <row r="194" spans="1:27" x14ac:dyDescent="0.2">
      <c r="A194" s="731">
        <f t="shared" si="19"/>
        <v>39</v>
      </c>
      <c r="B194" s="732">
        <f t="shared" si="20"/>
        <v>924</v>
      </c>
      <c r="C194" s="732" t="str">
        <f t="shared" si="20"/>
        <v>PROPERTY INSURANCE PREMIUMS</v>
      </c>
      <c r="D194" s="741">
        <f t="shared" si="20"/>
        <v>65766.12</v>
      </c>
      <c r="E194" s="741">
        <f>SUMIF('O&amp;M by CE Desc Variance'!$B$204:$B$208,'D-1'!B194,'O&amp;M by CE Desc Variance'!$E$204:$E$208)</f>
        <v>0</v>
      </c>
      <c r="F194" s="741">
        <f>SUMIF('O&amp;M by CE Desc Variance'!$B$211:$B$241,'D-1'!B194,'O&amp;M by CE Desc Variance'!$E$211:$E$241)</f>
        <v>0</v>
      </c>
      <c r="G194" s="741">
        <f>SUMIF('O&amp;M by CE Desc Variance'!$B$245:$B$279,'D-1'!B194,'O&amp;M by CE Desc Variance'!$E$245:$E$279)</f>
        <v>0</v>
      </c>
      <c r="H194" s="741">
        <f>SUMIF('O&amp;M by CE Desc Variance'!$B$281:$B$287,'D-1'!B194,'O&amp;M by CE Desc Variance'!$E$281:$E$287)</f>
        <v>0</v>
      </c>
      <c r="I194" s="741">
        <f>SUMIF('O&amp;M by CE Desc Variance'!$B$290:$B$333,'D-1'!B194,'O&amp;M by CE Desc Variance'!$E$290:$E$333)</f>
        <v>0</v>
      </c>
      <c r="L194" s="741">
        <f t="shared" si="16"/>
        <v>0</v>
      </c>
      <c r="M194" s="741">
        <f t="shared" si="17"/>
        <v>15981.879999999997</v>
      </c>
      <c r="N194" s="741">
        <f>SUMIF('Forecast TY Budget &amp; D-2.4 Adj'!$A$9:$A$70,'D-1'!B194,'Forecast TY Budget &amp; D-2.4 Adj'!$T$9:$T$70)</f>
        <v>0</v>
      </c>
      <c r="O194" s="741">
        <f t="shared" si="18"/>
        <v>15981.879999999997</v>
      </c>
      <c r="S194" s="757"/>
      <c r="U194" s="757"/>
      <c r="AA194" s="738"/>
    </row>
    <row r="195" spans="1:27" x14ac:dyDescent="0.2">
      <c r="A195" s="731">
        <f t="shared" si="19"/>
        <v>40</v>
      </c>
      <c r="B195" s="732">
        <f t="shared" si="20"/>
        <v>925</v>
      </c>
      <c r="C195" s="732" t="str">
        <f t="shared" si="20"/>
        <v>INJURIES AND DAMAGES</v>
      </c>
      <c r="D195" s="741">
        <f t="shared" si="20"/>
        <v>949737.06</v>
      </c>
      <c r="E195" s="741">
        <f>SUMIF('O&amp;M by CE Desc Variance'!$B$204:$B$208,'D-1'!B195,'O&amp;M by CE Desc Variance'!$E$204:$E$208)</f>
        <v>0</v>
      </c>
      <c r="F195" s="741">
        <f>SUMIF('O&amp;M by CE Desc Variance'!$B$211:$B$241,'D-1'!B195,'O&amp;M by CE Desc Variance'!$E$211:$E$241)</f>
        <v>0</v>
      </c>
      <c r="G195" s="741">
        <f>SUMIF('O&amp;M by CE Desc Variance'!$B$245:$B$279,'D-1'!B195,'O&amp;M by CE Desc Variance'!$E$245:$E$279)</f>
        <v>0</v>
      </c>
      <c r="H195" s="741">
        <f>SUMIF('O&amp;M by CE Desc Variance'!$B$281:$B$287,'D-1'!B195,'O&amp;M by CE Desc Variance'!$E$281:$E$287)</f>
        <v>0</v>
      </c>
      <c r="I195" s="741">
        <f>SUMIF('O&amp;M by CE Desc Variance'!$B$290:$B$333,'D-1'!B195,'O&amp;M by CE Desc Variance'!$E$290:$E$333)</f>
        <v>0</v>
      </c>
      <c r="L195" s="741">
        <f t="shared" si="16"/>
        <v>0</v>
      </c>
      <c r="M195" s="741">
        <f t="shared" si="17"/>
        <v>94548.19</v>
      </c>
      <c r="N195" s="741">
        <f>SUMIF('Forecast TY Budget &amp; D-2.4 Adj'!$A$9:$A$70,'D-1'!B195,'Forecast TY Budget &amp; D-2.4 Adj'!$T$9:$T$70)</f>
        <v>-362</v>
      </c>
      <c r="O195" s="741">
        <f t="shared" si="18"/>
        <v>94186.19</v>
      </c>
      <c r="S195" s="757"/>
      <c r="U195" s="757"/>
      <c r="AA195" s="738"/>
    </row>
    <row r="196" spans="1:27" x14ac:dyDescent="0.2">
      <c r="A196" s="731">
        <f t="shared" si="19"/>
        <v>41</v>
      </c>
      <c r="B196" s="732">
        <f t="shared" ref="B196:D196" si="21">B98</f>
        <v>926</v>
      </c>
      <c r="C196" s="732" t="str">
        <f t="shared" si="21"/>
        <v>EMPLOYEE PENSIONS AND BENEFITS</v>
      </c>
      <c r="D196" s="741">
        <f t="shared" si="21"/>
        <v>3358562.27</v>
      </c>
      <c r="E196" s="741">
        <f>SUMIF('O&amp;M by CE Desc Variance'!$B$204:$B$208,'D-1'!B196,'O&amp;M by CE Desc Variance'!$E$204:$E$208)</f>
        <v>0</v>
      </c>
      <c r="F196" s="741">
        <f>SUMIF('O&amp;M by CE Desc Variance'!$B$211:$B$241,'D-1'!B196,'O&amp;M by CE Desc Variance'!$E$211:$E$241)</f>
        <v>0</v>
      </c>
      <c r="G196" s="741">
        <f>SUMIF('O&amp;M by CE Desc Variance'!$B$245:$B$279,'D-1'!B196,'O&amp;M by CE Desc Variance'!$E$245:$E$279)</f>
        <v>242134.58000000002</v>
      </c>
      <c r="H196" s="741">
        <f>SUMIF('O&amp;M by CE Desc Variance'!$B$281:$B$287,'D-1'!B196,'O&amp;M by CE Desc Variance'!$E$281:$E$287)</f>
        <v>0</v>
      </c>
      <c r="I196" s="741">
        <f>SUMIF('O&amp;M by CE Desc Variance'!$B$290:$B$333,'D-1'!B196,'O&amp;M by CE Desc Variance'!$E$290:$E$333)</f>
        <v>0</v>
      </c>
      <c r="L196" s="741">
        <f t="shared" si="16"/>
        <v>242134.58000000002</v>
      </c>
      <c r="M196" s="741">
        <f t="shared" si="17"/>
        <v>187103.61000000004</v>
      </c>
      <c r="N196" s="741">
        <f>SUMIF('Forecast TY Budget &amp; D-2.4 Adj'!$A$9:$A$70,'D-1'!B196,'Forecast TY Budget &amp; D-2.4 Adj'!$T$9:$T$70)</f>
        <v>-194199</v>
      </c>
      <c r="O196" s="741">
        <f t="shared" si="18"/>
        <v>-7095.3899999999558</v>
      </c>
      <c r="S196" s="757"/>
      <c r="U196" s="757"/>
      <c r="AA196" s="738"/>
    </row>
    <row r="197" spans="1:27" x14ac:dyDescent="0.2">
      <c r="A197" s="731"/>
      <c r="B197" s="752"/>
      <c r="D197" s="741"/>
      <c r="E197" s="741"/>
      <c r="F197" s="741"/>
      <c r="G197" s="741"/>
      <c r="H197" s="741"/>
      <c r="I197" s="741"/>
      <c r="L197" s="741"/>
      <c r="M197" s="741"/>
      <c r="N197" s="744"/>
      <c r="O197" s="741"/>
      <c r="S197" s="757"/>
      <c r="AA197" s="738"/>
    </row>
    <row r="198" spans="1:27" ht="12.75" customHeight="1" x14ac:dyDescent="0.2">
      <c r="A198" s="2156" t="s">
        <v>624</v>
      </c>
      <c r="B198" s="2156"/>
      <c r="C198" s="2156"/>
      <c r="D198" s="2156"/>
      <c r="E198" s="2156"/>
      <c r="F198" s="2156"/>
      <c r="G198" s="2156"/>
      <c r="H198" s="2156"/>
      <c r="I198" s="2156"/>
      <c r="J198" s="2156"/>
      <c r="K198" s="2156"/>
      <c r="L198" s="2156"/>
      <c r="M198" s="2156"/>
      <c r="N198" s="2156"/>
      <c r="O198" s="2156"/>
      <c r="S198" s="757"/>
    </row>
    <row r="199" spans="1:27" ht="12.75" customHeight="1" x14ac:dyDescent="0.2">
      <c r="A199" s="2155" t="str">
        <f>A2</f>
        <v>CASE NO. 2016 - 00162</v>
      </c>
      <c r="B199" s="2155"/>
      <c r="C199" s="2155"/>
      <c r="D199" s="2155"/>
      <c r="E199" s="2155"/>
      <c r="F199" s="2155"/>
      <c r="G199" s="2155"/>
      <c r="H199" s="2155"/>
      <c r="I199" s="2155"/>
      <c r="J199" s="2155"/>
      <c r="K199" s="2155"/>
      <c r="L199" s="2155"/>
      <c r="M199" s="2155"/>
      <c r="N199" s="2155"/>
      <c r="O199" s="2155"/>
      <c r="S199" s="757"/>
    </row>
    <row r="200" spans="1:27" ht="12.75" customHeight="1" x14ac:dyDescent="0.2">
      <c r="A200" s="2156" t="s">
        <v>1600</v>
      </c>
      <c r="B200" s="2156"/>
      <c r="C200" s="2156"/>
      <c r="D200" s="2156"/>
      <c r="E200" s="2156"/>
      <c r="F200" s="2156"/>
      <c r="G200" s="2156"/>
      <c r="H200" s="2156"/>
      <c r="I200" s="2156"/>
      <c r="J200" s="2156"/>
      <c r="K200" s="2156"/>
      <c r="L200" s="2156"/>
      <c r="M200" s="2156"/>
      <c r="N200" s="2156"/>
      <c r="O200" s="2156"/>
      <c r="S200" s="757"/>
    </row>
    <row r="201" spans="1:27" ht="12.75" customHeight="1" x14ac:dyDescent="0.2">
      <c r="A201" s="2156" t="s">
        <v>1601</v>
      </c>
      <c r="B201" s="2156"/>
      <c r="C201" s="2156"/>
      <c r="D201" s="2156"/>
      <c r="E201" s="2156"/>
      <c r="F201" s="2156"/>
      <c r="G201" s="2156"/>
      <c r="H201" s="2156"/>
      <c r="I201" s="2156"/>
      <c r="J201" s="2156"/>
      <c r="K201" s="2156"/>
      <c r="L201" s="2156"/>
      <c r="M201" s="2156"/>
      <c r="N201" s="2156"/>
      <c r="O201" s="2156"/>
      <c r="S201" s="757"/>
    </row>
    <row r="202" spans="1:27" ht="12.75" customHeight="1" x14ac:dyDescent="0.2">
      <c r="A202" s="2155" t="str">
        <f>A5</f>
        <v>FOR THE TWELVE MONTHS ENDED AUGUST 31, 2016 AND THE TWELVE MONTHS ENDED DECEMBER 31, 2017</v>
      </c>
      <c r="B202" s="2155"/>
      <c r="C202" s="2155"/>
      <c r="D202" s="2155"/>
      <c r="E202" s="2155"/>
      <c r="F202" s="2155"/>
      <c r="G202" s="2155"/>
      <c r="H202" s="2155"/>
      <c r="I202" s="2155"/>
      <c r="J202" s="2155"/>
      <c r="K202" s="2155"/>
      <c r="L202" s="2155"/>
      <c r="M202" s="2155"/>
      <c r="N202" s="2155"/>
      <c r="O202" s="2155"/>
      <c r="S202" s="757"/>
    </row>
    <row r="203" spans="1:27" x14ac:dyDescent="0.2">
      <c r="A203" s="725" t="s">
        <v>1602</v>
      </c>
      <c r="O203" s="1413" t="s">
        <v>1603</v>
      </c>
      <c r="S203" s="757"/>
    </row>
    <row r="204" spans="1:27" x14ac:dyDescent="0.2">
      <c r="A204" s="725" t="s">
        <v>1604</v>
      </c>
      <c r="O204" s="1413" t="s">
        <v>128</v>
      </c>
      <c r="S204" s="757"/>
    </row>
    <row r="205" spans="1:27" x14ac:dyDescent="0.2">
      <c r="A205" s="727" t="s">
        <v>1606</v>
      </c>
      <c r="B205" s="728"/>
      <c r="C205" s="729"/>
      <c r="D205" s="729"/>
      <c r="E205" s="729"/>
      <c r="F205" s="759"/>
      <c r="G205" s="759"/>
      <c r="H205" s="759"/>
      <c r="I205" s="759"/>
      <c r="J205" s="759"/>
      <c r="K205" s="759"/>
      <c r="L205" s="759"/>
      <c r="M205" s="759"/>
      <c r="N205" s="759"/>
      <c r="O205" s="1415" t="str">
        <f>O8</f>
        <v>WITNESS:  J. T. CROOM</v>
      </c>
      <c r="S205" s="757"/>
      <c r="AA205" s="731"/>
    </row>
    <row r="206" spans="1:27" x14ac:dyDescent="0.2">
      <c r="O206" s="733" t="s">
        <v>120</v>
      </c>
      <c r="S206" s="757"/>
      <c r="AA206" s="731"/>
    </row>
    <row r="207" spans="1:27" x14ac:dyDescent="0.2">
      <c r="A207" s="731" t="s">
        <v>632</v>
      </c>
      <c r="B207" s="752" t="s">
        <v>1607</v>
      </c>
      <c r="D207" s="731" t="s">
        <v>634</v>
      </c>
      <c r="E207" s="734" t="s">
        <v>1295</v>
      </c>
      <c r="F207" s="734" t="s">
        <v>1295</v>
      </c>
      <c r="G207" s="734" t="s">
        <v>1295</v>
      </c>
      <c r="H207" s="734" t="s">
        <v>1295</v>
      </c>
      <c r="I207" s="734" t="s">
        <v>1295</v>
      </c>
      <c r="J207" s="758"/>
      <c r="K207" s="758"/>
      <c r="L207" s="734" t="s">
        <v>106</v>
      </c>
      <c r="M207" s="734" t="s">
        <v>670</v>
      </c>
      <c r="N207" s="734" t="s">
        <v>1297</v>
      </c>
      <c r="O207" s="733" t="s">
        <v>670</v>
      </c>
      <c r="S207" s="757"/>
    </row>
    <row r="208" spans="1:27" x14ac:dyDescent="0.2">
      <c r="A208" s="735" t="s">
        <v>635</v>
      </c>
      <c r="B208" s="753" t="s">
        <v>1608</v>
      </c>
      <c r="C208" s="729"/>
      <c r="D208" s="735" t="s">
        <v>638</v>
      </c>
      <c r="E208" s="737" t="s">
        <v>121</v>
      </c>
      <c r="F208" s="737" t="s">
        <v>122</v>
      </c>
      <c r="G208" s="737" t="s">
        <v>123</v>
      </c>
      <c r="H208" s="737" t="s">
        <v>124</v>
      </c>
      <c r="I208" s="737" t="s">
        <v>125</v>
      </c>
      <c r="J208" s="759"/>
      <c r="K208" s="759"/>
      <c r="L208" s="737" t="s">
        <v>1612</v>
      </c>
      <c r="M208" s="737" t="s">
        <v>127</v>
      </c>
      <c r="N208" s="737" t="s">
        <v>2400</v>
      </c>
      <c r="O208" s="737" t="s">
        <v>1612</v>
      </c>
      <c r="S208" s="757"/>
    </row>
    <row r="209" spans="1:27" x14ac:dyDescent="0.2">
      <c r="E209" s="741"/>
      <c r="N209" s="774"/>
      <c r="S209" s="757"/>
    </row>
    <row r="210" spans="1:27" x14ac:dyDescent="0.2">
      <c r="A210" s="731">
        <v>1</v>
      </c>
      <c r="B210" s="732">
        <f t="shared" ref="B210:D215" si="22">B112</f>
        <v>927</v>
      </c>
      <c r="C210" s="732" t="str">
        <f t="shared" si="22"/>
        <v>FRANCHISE REQUIREMENTS</v>
      </c>
      <c r="D210" s="741">
        <f t="shared" si="22"/>
        <v>0</v>
      </c>
      <c r="E210" s="741">
        <f>SUMIF('O&amp;M by CE Desc Variance'!$B$204:$B$208,'D-1'!B210,'O&amp;M by CE Desc Variance'!$E$204:$E$208)</f>
        <v>0</v>
      </c>
      <c r="F210" s="741">
        <f>SUMIF('O&amp;M by CE Desc Variance'!$B$211:$B$241,'D-1'!B210,'O&amp;M by CE Desc Variance'!$E$211:$E$241)</f>
        <v>0</v>
      </c>
      <c r="G210" s="741">
        <f>SUMIF('O&amp;M by CE Desc Variance'!$B$245:$B$279,'D-1'!B210,'O&amp;M by CE Desc Variance'!$E$245:$E$279)</f>
        <v>0</v>
      </c>
      <c r="H210" s="741">
        <f>SUMIF('O&amp;M by CE Desc Variance'!$B$281:$B$287,'D-1'!B210,'O&amp;M by CE Desc Variance'!$E$281:$E$287)</f>
        <v>0</v>
      </c>
      <c r="I210" s="741">
        <f>SUMIF('O&amp;M by CE Desc Variance'!$B$290:$B$333,'D-1'!B210,'O&amp;M by CE Desc Variance'!$E$290:$E$333)</f>
        <v>0</v>
      </c>
      <c r="J210" s="741"/>
      <c r="K210" s="741"/>
      <c r="L210" s="741">
        <f t="shared" ref="L210:L216" si="23">SUM(E210:I210)</f>
        <v>0</v>
      </c>
      <c r="M210" s="741">
        <f t="shared" ref="M210:M215" si="24">O112+L210</f>
        <v>0</v>
      </c>
      <c r="N210" s="741">
        <f>SUMIF('Forecast TY Budget &amp; D-2.4 Adj'!$A$9:$A$70,'D-1'!B210,'Forecast TY Budget &amp; D-2.4 Adj'!$T$9:$T$70)</f>
        <v>0</v>
      </c>
      <c r="O210" s="741">
        <f t="shared" ref="O210:O216" si="25">M210+N210</f>
        <v>0</v>
      </c>
      <c r="U210" s="757"/>
      <c r="AA210" s="738"/>
    </row>
    <row r="211" spans="1:27" x14ac:dyDescent="0.2">
      <c r="A211" s="731">
        <f>A210+1</f>
        <v>2</v>
      </c>
      <c r="B211" s="732">
        <f t="shared" si="22"/>
        <v>928</v>
      </c>
      <c r="C211" s="732" t="str">
        <f t="shared" si="22"/>
        <v>REGULATORY COMMISSION EXPENSE</v>
      </c>
      <c r="D211" s="741">
        <f t="shared" si="22"/>
        <v>402591.42000000004</v>
      </c>
      <c r="E211" s="741">
        <f>SUMIF('O&amp;M by CE Desc Variance'!$B$204:$B$208,'D-1'!B211,'O&amp;M by CE Desc Variance'!$E$204:$E$208)</f>
        <v>0</v>
      </c>
      <c r="F211" s="741">
        <f>SUMIF('O&amp;M by CE Desc Variance'!$B$211:$B$241,'D-1'!B211,'O&amp;M by CE Desc Variance'!$E$211:$E$241)</f>
        <v>-165014.17000000001</v>
      </c>
      <c r="G211" s="741">
        <f>SUMIF('O&amp;M by CE Desc Variance'!$B$245:$B$279,'D-1'!B211,'O&amp;M by CE Desc Variance'!$E$245:$E$279)</f>
        <v>0</v>
      </c>
      <c r="H211" s="741">
        <f>SUMIF('O&amp;M by CE Desc Variance'!$B$281:$B$287,'D-1'!B211,'O&amp;M by CE Desc Variance'!$E$281:$E$287)</f>
        <v>0</v>
      </c>
      <c r="I211" s="741">
        <f>SUMIF('O&amp;M by CE Desc Variance'!$B$290:$B$333,'D-1'!B211,'O&amp;M by CE Desc Variance'!$E$290:$E$333)</f>
        <v>0</v>
      </c>
      <c r="J211" s="741"/>
      <c r="K211" s="741"/>
      <c r="L211" s="741">
        <f t="shared" si="23"/>
        <v>-165014.17000000001</v>
      </c>
      <c r="M211" s="741">
        <f t="shared" si="24"/>
        <v>-165014.17000000001</v>
      </c>
      <c r="N211" s="741">
        <f>SUMIF('Forecast TY Budget &amp; D-2.4 Adj'!$A$9:$A$70,'D-1'!B211,'Forecast TY Budget &amp; D-2.4 Adj'!$T$9:$T$70)</f>
        <v>136373</v>
      </c>
      <c r="O211" s="741">
        <f t="shared" si="25"/>
        <v>-28641.170000000013</v>
      </c>
      <c r="U211" s="757"/>
      <c r="AA211" s="738"/>
    </row>
    <row r="212" spans="1:27" x14ac:dyDescent="0.2">
      <c r="A212" s="731">
        <f>A211+1</f>
        <v>3</v>
      </c>
      <c r="B212" s="732">
        <f t="shared" si="22"/>
        <v>929</v>
      </c>
      <c r="C212" s="732" t="str">
        <f t="shared" si="22"/>
        <v>DUPLICATE CHARGES</v>
      </c>
      <c r="D212" s="741">
        <f t="shared" si="22"/>
        <v>0</v>
      </c>
      <c r="E212" s="741">
        <f>SUMIF('O&amp;M by CE Desc Variance'!$B$204:$B$208,'D-1'!B212,'O&amp;M by CE Desc Variance'!$E$204:$E$208)</f>
        <v>0</v>
      </c>
      <c r="F212" s="741">
        <f>SUMIF('O&amp;M by CE Desc Variance'!$B$211:$B$241,'D-1'!B212,'O&amp;M by CE Desc Variance'!$E$211:$E$241)</f>
        <v>0</v>
      </c>
      <c r="G212" s="741">
        <f>SUMIF('O&amp;M by CE Desc Variance'!$B$245:$B$279,'D-1'!B212,'O&amp;M by CE Desc Variance'!$E$245:$E$279)</f>
        <v>0</v>
      </c>
      <c r="H212" s="741">
        <f>SUMIF('O&amp;M by CE Desc Variance'!$B$281:$B$287,'D-1'!B212,'O&amp;M by CE Desc Variance'!$E$281:$E$287)</f>
        <v>0</v>
      </c>
      <c r="I212" s="741">
        <f>SUMIF('O&amp;M by CE Desc Variance'!$B$290:$B$333,'D-1'!B212,'O&amp;M by CE Desc Variance'!$E$290:$E$333)</f>
        <v>0</v>
      </c>
      <c r="J212" s="741"/>
      <c r="K212" s="741"/>
      <c r="L212" s="741">
        <f t="shared" si="23"/>
        <v>0</v>
      </c>
      <c r="M212" s="741">
        <f t="shared" si="24"/>
        <v>0</v>
      </c>
      <c r="N212" s="741">
        <f>SUMIF('Forecast TY Budget &amp; D-2.4 Adj'!$A$9:$A$70,'D-1'!B212,'Forecast TY Budget &amp; D-2.4 Adj'!$T$9:$T$70)</f>
        <v>0</v>
      </c>
      <c r="O212" s="741">
        <f t="shared" si="25"/>
        <v>0</v>
      </c>
      <c r="U212" s="757"/>
      <c r="AA212" s="738"/>
    </row>
    <row r="213" spans="1:27" x14ac:dyDescent="0.2">
      <c r="A213" s="731">
        <f>A212+1</f>
        <v>4</v>
      </c>
      <c r="B213" s="732">
        <f t="shared" si="22"/>
        <v>930</v>
      </c>
      <c r="C213" s="732" t="str">
        <f t="shared" si="22"/>
        <v>MISCELLANEOUS GENERAL</v>
      </c>
      <c r="D213" s="741">
        <f t="shared" si="22"/>
        <v>-74061.290000000008</v>
      </c>
      <c r="E213" s="741">
        <f>SUMIF('O&amp;M by CE Desc Variance'!$B$204:$B$208,'D-1'!B213,'O&amp;M by CE Desc Variance'!$E$204:$E$208)</f>
        <v>0</v>
      </c>
      <c r="F213" s="741">
        <f>SUMIF('O&amp;M by CE Desc Variance'!$B$211:$B$241,'D-1'!B213,'O&amp;M by CE Desc Variance'!$E$211:$E$241)</f>
        <v>-3728.69</v>
      </c>
      <c r="G213" s="741">
        <f>SUMIF('O&amp;M by CE Desc Variance'!$B$245:$B$279,'D-1'!B213,'O&amp;M by CE Desc Variance'!$E$245:$E$279)</f>
        <v>0</v>
      </c>
      <c r="H213" s="741">
        <f>SUMIF('O&amp;M by CE Desc Variance'!$B$281:$B$287,'D-1'!B213,'O&amp;M by CE Desc Variance'!$E$281:$E$287)</f>
        <v>0</v>
      </c>
      <c r="I213" s="741">
        <f>SUMIF('O&amp;M by CE Desc Variance'!$B$290:$B$333,'D-1'!B213,'O&amp;M by CE Desc Variance'!$E$290:$E$333)</f>
        <v>0</v>
      </c>
      <c r="J213" s="741"/>
      <c r="K213" s="741"/>
      <c r="L213" s="741">
        <f t="shared" si="23"/>
        <v>-3728.69</v>
      </c>
      <c r="M213" s="741">
        <f t="shared" si="24"/>
        <v>13247.889999999998</v>
      </c>
      <c r="N213" s="741">
        <f>SUMIF('Forecast TY Budget &amp; D-2.4 Adj'!$A$9:$A$70,'D-1'!B213,'Forecast TY Budget &amp; D-2.4 Adj'!$T$9:$T$70)</f>
        <v>-1310</v>
      </c>
      <c r="O213" s="741">
        <f t="shared" si="25"/>
        <v>11937.889999999998</v>
      </c>
      <c r="U213" s="757"/>
      <c r="AA213" s="738"/>
    </row>
    <row r="214" spans="1:27" x14ac:dyDescent="0.2">
      <c r="A214" s="731">
        <f>A213+1</f>
        <v>5</v>
      </c>
      <c r="B214" s="732">
        <f t="shared" si="22"/>
        <v>931</v>
      </c>
      <c r="C214" s="732" t="str">
        <f t="shared" si="22"/>
        <v>RENTS</v>
      </c>
      <c r="D214" s="741">
        <f t="shared" si="22"/>
        <v>661434.81000000006</v>
      </c>
      <c r="E214" s="741">
        <f>SUMIF('O&amp;M by CE Desc Variance'!$B$204:$B$208,'D-1'!B214,'O&amp;M by CE Desc Variance'!$E$204:$E$208)</f>
        <v>0</v>
      </c>
      <c r="F214" s="741">
        <f>SUMIF('O&amp;M by CE Desc Variance'!$B$211:$B$241,'D-1'!B214,'O&amp;M by CE Desc Variance'!$E$211:$E$241)</f>
        <v>0</v>
      </c>
      <c r="G214" s="741">
        <f>SUMIF('O&amp;M by CE Desc Variance'!$B$245:$B$279,'D-1'!B214,'O&amp;M by CE Desc Variance'!$E$245:$E$279)</f>
        <v>0</v>
      </c>
      <c r="H214" s="741">
        <f>SUMIF('O&amp;M by CE Desc Variance'!$B$281:$B$287,'D-1'!B214,'O&amp;M by CE Desc Variance'!$E$281:$E$287)</f>
        <v>0</v>
      </c>
      <c r="I214" s="741">
        <f>SUMIF('O&amp;M by CE Desc Variance'!$B$290:$B$333,'D-1'!B214,'O&amp;M by CE Desc Variance'!$E$290:$E$333)</f>
        <v>0</v>
      </c>
      <c r="J214" s="741"/>
      <c r="K214" s="741"/>
      <c r="L214" s="741">
        <f t="shared" si="23"/>
        <v>0</v>
      </c>
      <c r="M214" s="741">
        <f t="shared" si="24"/>
        <v>-14524.810000000056</v>
      </c>
      <c r="N214" s="741">
        <f>SUMIF('Forecast TY Budget &amp; D-2.4 Adj'!$A$9:$A$70,'D-1'!B214,'Forecast TY Budget &amp; D-2.4 Adj'!$T$9:$T$70)</f>
        <v>-4735</v>
      </c>
      <c r="O214" s="741">
        <f t="shared" si="25"/>
        <v>-19259.810000000056</v>
      </c>
      <c r="U214" s="757"/>
      <c r="AA214" s="738"/>
    </row>
    <row r="215" spans="1:27" x14ac:dyDescent="0.2">
      <c r="A215" s="731">
        <f t="shared" ref="A215:A216" si="26">A214+1</f>
        <v>6</v>
      </c>
      <c r="B215" s="732">
        <f t="shared" si="22"/>
        <v>932</v>
      </c>
      <c r="C215" s="732" t="str">
        <f t="shared" si="22"/>
        <v>MAINTENANCE OF GENERAL PLANT</v>
      </c>
      <c r="D215" s="741">
        <f t="shared" si="22"/>
        <v>249236.68</v>
      </c>
      <c r="E215" s="741">
        <f>SUMIF('O&amp;M by CE Desc Variance'!$B$204:$B$208,'D-1'!B215,'O&amp;M by CE Desc Variance'!$E$204:$E$208)</f>
        <v>0</v>
      </c>
      <c r="F215" s="741">
        <f>SUMIF('O&amp;M by CE Desc Variance'!$B$211:$B$241,'D-1'!B215,'O&amp;M by CE Desc Variance'!$E$211:$E$241)</f>
        <v>0</v>
      </c>
      <c r="G215" s="741">
        <f>SUMIF('O&amp;M by CE Desc Variance'!$B$245:$B$279,'D-1'!B215,'O&amp;M by CE Desc Variance'!$E$245:$E$279)</f>
        <v>0</v>
      </c>
      <c r="H215" s="741">
        <f>SUMIF('O&amp;M by CE Desc Variance'!$B$281:$B$287,'D-1'!B215,'O&amp;M by CE Desc Variance'!$E$281:$E$287)</f>
        <v>0</v>
      </c>
      <c r="I215" s="741">
        <f>SUMIF('O&amp;M by CE Desc Variance'!$B$290:$B$333,'D-1'!B215,'O&amp;M by CE Desc Variance'!$E$290:$E$333)</f>
        <v>0</v>
      </c>
      <c r="J215" s="741"/>
      <c r="K215" s="741"/>
      <c r="L215" s="741">
        <f t="shared" si="23"/>
        <v>0</v>
      </c>
      <c r="M215" s="741">
        <f t="shared" si="24"/>
        <v>156.32000000000698</v>
      </c>
      <c r="N215" s="741">
        <f>SUMIF('Forecast TY Budget &amp; D-2.4 Adj'!$A$9:$A$70,'D-1'!B215,'Forecast TY Budget &amp; D-2.4 Adj'!$T$9:$T$70)</f>
        <v>9728</v>
      </c>
      <c r="O215" s="741">
        <f t="shared" ref="O215" si="27">M215+N215</f>
        <v>9884.320000000007</v>
      </c>
      <c r="U215" s="757"/>
      <c r="AA215" s="738"/>
    </row>
    <row r="216" spans="1:27" x14ac:dyDescent="0.2">
      <c r="A216" s="731">
        <f t="shared" si="26"/>
        <v>7</v>
      </c>
      <c r="B216" s="732">
        <f t="shared" ref="B216:D216" si="28">B118</f>
        <v>935</v>
      </c>
      <c r="C216" s="732" t="str">
        <f t="shared" si="28"/>
        <v>MAINTENANCE OF GENERAL PLANT - A&amp;G</v>
      </c>
      <c r="D216" s="741">
        <f t="shared" si="28"/>
        <v>139</v>
      </c>
      <c r="E216" s="741">
        <f>SUMIF('O&amp;M by CE Desc Variance'!$B$204:$B$208,'D-1'!B216,'O&amp;M by CE Desc Variance'!$E$204:$E$208)</f>
        <v>0</v>
      </c>
      <c r="F216" s="741">
        <f>SUMIF('O&amp;M by CE Desc Variance'!$B$211:$B$241,'D-1'!B216,'O&amp;M by CE Desc Variance'!$E$211:$E$241)</f>
        <v>0</v>
      </c>
      <c r="G216" s="741">
        <f>SUMIF('O&amp;M by CE Desc Variance'!$B$245:$B$279,'D-1'!B216,'O&amp;M by CE Desc Variance'!$E$245:$E$279)</f>
        <v>0</v>
      </c>
      <c r="H216" s="741">
        <f>SUMIF('O&amp;M by CE Desc Variance'!$B$281:$B$287,'D-1'!B216,'O&amp;M by CE Desc Variance'!$E$281:$E$287)</f>
        <v>0</v>
      </c>
      <c r="I216" s="741">
        <f>SUMIF('O&amp;M by CE Desc Variance'!$B$290:$B$333,'D-1'!B216,'O&amp;M by CE Desc Variance'!$E$290:$E$333)</f>
        <v>0</v>
      </c>
      <c r="J216" s="741"/>
      <c r="K216" s="741"/>
      <c r="L216" s="741">
        <f t="shared" si="23"/>
        <v>0</v>
      </c>
      <c r="M216" s="741">
        <f t="shared" ref="M216" si="29">O118+L216</f>
        <v>-9</v>
      </c>
      <c r="N216" s="741">
        <f>SUMIF('Forecast TY Budget &amp; D-2.4 Adj'!$A$9:$A$70,'D-1'!B216,'Forecast TY Budget &amp; D-2.4 Adj'!$T$9:$T$70)</f>
        <v>0</v>
      </c>
      <c r="O216" s="741">
        <f t="shared" si="25"/>
        <v>-9</v>
      </c>
      <c r="S216" s="1604"/>
      <c r="T216" s="1604"/>
      <c r="AA216" s="738"/>
    </row>
    <row r="217" spans="1:27" x14ac:dyDescent="0.2">
      <c r="A217" s="731"/>
      <c r="D217" s="738"/>
      <c r="E217" s="738"/>
      <c r="F217" s="741"/>
      <c r="G217" s="741"/>
      <c r="H217" s="741"/>
      <c r="I217" s="741"/>
      <c r="J217" s="741"/>
      <c r="K217" s="741"/>
      <c r="M217" s="741"/>
      <c r="Y217" s="738"/>
      <c r="AA217" s="738"/>
    </row>
    <row r="218" spans="1:27" x14ac:dyDescent="0.2">
      <c r="A218" s="731">
        <f>A216+1</f>
        <v>8</v>
      </c>
      <c r="B218" s="740" t="s">
        <v>670</v>
      </c>
      <c r="D218" s="748">
        <f>SUM(D156:D196)+SUM(D210:D216)</f>
        <v>39066469.890000001</v>
      </c>
      <c r="E218" s="748">
        <f t="shared" ref="E218:I218" si="30">SUM(E156:E196)+SUM(E210:E216)</f>
        <v>59641.620000000024</v>
      </c>
      <c r="F218" s="747">
        <f t="shared" si="30"/>
        <v>69865.019999999931</v>
      </c>
      <c r="G218" s="747">
        <f t="shared" si="30"/>
        <v>242072.33000000002</v>
      </c>
      <c r="H218" s="747">
        <f t="shared" si="30"/>
        <v>110765.81000000001</v>
      </c>
      <c r="I218" s="747">
        <f t="shared" si="30"/>
        <v>-41683.239999999947</v>
      </c>
      <c r="J218" s="747"/>
      <c r="K218" s="747"/>
      <c r="L218" s="747">
        <f>SUM(L156:L196)+SUM(L210:L216)</f>
        <v>440661.54000000015</v>
      </c>
      <c r="M218" s="747">
        <f>O120+L218</f>
        <v>5103536.649960001</v>
      </c>
      <c r="N218" s="747">
        <f>SUM(N156:N196)+SUM(N210:N216)</f>
        <v>925022</v>
      </c>
      <c r="O218" s="747">
        <f>M218+N218</f>
        <v>6028558.649960001</v>
      </c>
      <c r="Q218" s="760"/>
      <c r="S218" s="757"/>
      <c r="U218" s="757"/>
      <c r="Y218" s="738"/>
      <c r="AA218" s="738"/>
    </row>
    <row r="219" spans="1:27" x14ac:dyDescent="0.2">
      <c r="A219" s="731"/>
      <c r="D219" s="738"/>
      <c r="E219" s="738"/>
      <c r="F219" s="741"/>
      <c r="G219" s="741"/>
      <c r="H219" s="741"/>
      <c r="I219" s="741"/>
      <c r="J219" s="741"/>
      <c r="K219" s="741"/>
      <c r="L219" s="741"/>
      <c r="M219" s="741"/>
      <c r="O219" s="741"/>
      <c r="Y219" s="738"/>
      <c r="AA219" s="738"/>
    </row>
    <row r="220" spans="1:27" x14ac:dyDescent="0.2">
      <c r="A220" s="731"/>
      <c r="D220" s="761"/>
      <c r="E220" s="738"/>
      <c r="F220" s="741"/>
      <c r="G220" s="741"/>
      <c r="H220" s="741"/>
      <c r="I220" s="741"/>
      <c r="J220" s="741"/>
      <c r="K220" s="741"/>
      <c r="L220" s="741"/>
      <c r="M220" s="741"/>
      <c r="N220" s="780"/>
      <c r="O220" s="741"/>
      <c r="P220" s="738"/>
      <c r="Q220" s="738"/>
      <c r="R220" s="738"/>
      <c r="S220" s="2157"/>
      <c r="T220" s="2157"/>
      <c r="U220" s="2157"/>
      <c r="V220" s="2157"/>
      <c r="W220" s="2157"/>
      <c r="X220" s="2157"/>
      <c r="Y220" s="2157"/>
      <c r="AA220" s="731"/>
    </row>
    <row r="221" spans="1:27" x14ac:dyDescent="0.2">
      <c r="A221" s="731"/>
      <c r="D221" s="738"/>
      <c r="E221" s="738"/>
      <c r="F221" s="782"/>
      <c r="G221" s="741"/>
      <c r="H221" s="741"/>
      <c r="I221" s="741"/>
      <c r="J221" s="741"/>
      <c r="K221" s="741"/>
      <c r="L221" s="741"/>
      <c r="M221" s="741"/>
      <c r="N221" s="780"/>
      <c r="O221" s="741"/>
      <c r="P221" s="738"/>
      <c r="Q221" s="738"/>
      <c r="R221" s="738"/>
      <c r="S221" s="2157"/>
      <c r="T221" s="2157"/>
      <c r="U221" s="2157"/>
      <c r="V221" s="2157"/>
      <c r="W221" s="2157"/>
      <c r="X221" s="2157"/>
      <c r="Y221" s="2157"/>
      <c r="AA221" s="731"/>
    </row>
    <row r="222" spans="1:27" hidden="1" x14ac:dyDescent="0.2">
      <c r="A222" s="731">
        <f>A218+1</f>
        <v>9</v>
      </c>
      <c r="B222" s="1409" t="s">
        <v>2332</v>
      </c>
      <c r="C222" s="730"/>
      <c r="D222" s="741">
        <f t="shared" ref="D222:D236" si="31">D124</f>
        <v>8641279.9700000007</v>
      </c>
      <c r="E222" s="741"/>
      <c r="F222" s="741"/>
      <c r="G222" s="741"/>
      <c r="H222" s="741"/>
      <c r="I222" s="741"/>
      <c r="J222" s="741"/>
      <c r="K222" s="741"/>
      <c r="L222" s="741">
        <f t="shared" ref="L222:L236" si="32">SUM(E222:I222)</f>
        <v>0</v>
      </c>
      <c r="M222" s="741">
        <f t="shared" ref="M222:M236" si="33">O124+L222</f>
        <v>717446.46999999962</v>
      </c>
      <c r="N222" s="1474">
        <f>'Forecast TY Budget &amp; D-2.4 Adj'!R79-6843</f>
        <v>934354</v>
      </c>
      <c r="O222" s="741">
        <f t="shared" ref="O222:O236" si="34">M222+N222</f>
        <v>1651800.4699999997</v>
      </c>
      <c r="Q222" s="738"/>
      <c r="S222" s="723" t="s">
        <v>2343</v>
      </c>
    </row>
    <row r="223" spans="1:27" hidden="1" x14ac:dyDescent="0.2">
      <c r="A223" s="731">
        <f t="shared" ref="A223:A236" si="35">A222+1</f>
        <v>10</v>
      </c>
      <c r="B223" s="1409" t="s">
        <v>116</v>
      </c>
      <c r="C223" s="730"/>
      <c r="D223" s="741">
        <f t="shared" si="31"/>
        <v>1895204.77</v>
      </c>
      <c r="E223" s="741"/>
      <c r="F223" s="741"/>
      <c r="G223" s="741"/>
      <c r="H223" s="741"/>
      <c r="I223" s="741"/>
      <c r="J223" s="741"/>
      <c r="K223" s="741"/>
      <c r="L223" s="741">
        <f t="shared" si="32"/>
        <v>0</v>
      </c>
      <c r="M223" s="741">
        <f t="shared" si="33"/>
        <v>34773.229999999967</v>
      </c>
      <c r="N223" s="1474">
        <f>'Forecast TY Budget &amp; D-2.4 Adj'!R105-461</f>
        <v>-648</v>
      </c>
      <c r="O223" s="741">
        <f t="shared" si="34"/>
        <v>34125.229999999967</v>
      </c>
      <c r="Q223" s="738"/>
      <c r="S223" s="723" t="s">
        <v>2344</v>
      </c>
    </row>
    <row r="224" spans="1:27" hidden="1" x14ac:dyDescent="0.2">
      <c r="A224" s="731">
        <f t="shared" si="35"/>
        <v>11</v>
      </c>
      <c r="B224" s="1409" t="s">
        <v>117</v>
      </c>
      <c r="C224" s="730"/>
      <c r="D224" s="741">
        <f t="shared" si="31"/>
        <v>5500817.2999999998</v>
      </c>
      <c r="E224" s="741"/>
      <c r="F224" s="741"/>
      <c r="G224" s="741"/>
      <c r="H224" s="741"/>
      <c r="I224" s="741"/>
      <c r="J224" s="741"/>
      <c r="K224" s="741"/>
      <c r="L224" s="741">
        <f t="shared" si="32"/>
        <v>0</v>
      </c>
      <c r="M224" s="741">
        <f t="shared" si="33"/>
        <v>1335438.7000000002</v>
      </c>
      <c r="N224" s="1474">
        <f>SUM('Forecast TY Budget &amp; D-2.4 Adj'!R106:R110)-7400</f>
        <v>11801</v>
      </c>
      <c r="O224" s="741">
        <f t="shared" si="34"/>
        <v>1347239.7000000002</v>
      </c>
      <c r="S224" s="723" t="s">
        <v>2344</v>
      </c>
    </row>
    <row r="225" spans="1:27" hidden="1" x14ac:dyDescent="0.2">
      <c r="A225" s="731">
        <f t="shared" si="35"/>
        <v>12</v>
      </c>
      <c r="B225" s="1409" t="s">
        <v>2331</v>
      </c>
      <c r="C225" s="730"/>
      <c r="D225" s="741">
        <f t="shared" si="31"/>
        <v>120557.98</v>
      </c>
      <c r="E225" s="741"/>
      <c r="F225" s="741"/>
      <c r="G225" s="741"/>
      <c r="H225" s="741"/>
      <c r="I225" s="741"/>
      <c r="J225" s="741"/>
      <c r="K225" s="741"/>
      <c r="L225" s="741">
        <f t="shared" si="32"/>
        <v>0</v>
      </c>
      <c r="M225" s="741">
        <f t="shared" si="33"/>
        <v>-11832.979999999987</v>
      </c>
      <c r="N225" s="741">
        <f>'Forecast TY Budget &amp; D-2.4 Adj'!R134+'Forecast TY Budget &amp; D-2.4 Adj'!R133</f>
        <v>0</v>
      </c>
      <c r="O225" s="741">
        <f t="shared" si="34"/>
        <v>-11832.979999999987</v>
      </c>
    </row>
    <row r="226" spans="1:27" hidden="1" x14ac:dyDescent="0.2">
      <c r="A226" s="731">
        <f t="shared" si="35"/>
        <v>13</v>
      </c>
      <c r="B226" s="1409" t="s">
        <v>2333</v>
      </c>
      <c r="C226" s="730"/>
      <c r="D226" s="741">
        <f t="shared" si="31"/>
        <v>963843.63</v>
      </c>
      <c r="E226" s="741"/>
      <c r="F226" s="741"/>
      <c r="G226" s="741"/>
      <c r="H226" s="741"/>
      <c r="I226" s="741"/>
      <c r="J226" s="741"/>
      <c r="K226" s="741"/>
      <c r="L226" s="741">
        <f t="shared" si="32"/>
        <v>0</v>
      </c>
      <c r="M226" s="741">
        <f t="shared" si="33"/>
        <v>113131.37</v>
      </c>
      <c r="N226" s="741">
        <f>SUM('Forecast TY Budget &amp; D-2.4 Adj'!R125:R127)</f>
        <v>0</v>
      </c>
      <c r="O226" s="741">
        <f t="shared" si="34"/>
        <v>113131.37</v>
      </c>
    </row>
    <row r="227" spans="1:27" hidden="1" x14ac:dyDescent="0.2">
      <c r="A227" s="731">
        <f t="shared" si="35"/>
        <v>14</v>
      </c>
      <c r="B227" s="1409" t="s">
        <v>2334</v>
      </c>
      <c r="C227" s="730"/>
      <c r="D227" s="741">
        <f t="shared" si="31"/>
        <v>402754.41000000003</v>
      </c>
      <c r="E227" s="741"/>
      <c r="F227" s="741"/>
      <c r="G227" s="741"/>
      <c r="H227" s="741"/>
      <c r="I227" s="741"/>
      <c r="J227" s="741"/>
      <c r="K227" s="741"/>
      <c r="L227" s="741">
        <f t="shared" si="32"/>
        <v>0</v>
      </c>
      <c r="M227" s="741">
        <f t="shared" si="33"/>
        <v>111487.58996000001</v>
      </c>
      <c r="N227" s="1474">
        <f>SUM('Forecast TY Budget &amp; D-2.4 Adj'!R112)-2716-6231</f>
        <v>-10205</v>
      </c>
      <c r="O227" s="741">
        <f t="shared" si="34"/>
        <v>101282.58996000001</v>
      </c>
      <c r="S227" s="723" t="s">
        <v>2344</v>
      </c>
    </row>
    <row r="228" spans="1:27" hidden="1" x14ac:dyDescent="0.2">
      <c r="A228" s="731">
        <f t="shared" si="35"/>
        <v>15</v>
      </c>
      <c r="B228" s="1409" t="s">
        <v>2335</v>
      </c>
      <c r="C228" s="730"/>
      <c r="D228" s="741">
        <f t="shared" si="31"/>
        <v>74122.03</v>
      </c>
      <c r="E228" s="741"/>
      <c r="F228" s="741"/>
      <c r="G228" s="741"/>
      <c r="H228" s="741"/>
      <c r="I228" s="741"/>
      <c r="J228" s="741"/>
      <c r="K228" s="741"/>
      <c r="L228" s="741">
        <f t="shared" si="32"/>
        <v>0</v>
      </c>
      <c r="M228" s="741">
        <f t="shared" si="33"/>
        <v>9293.9700000000012</v>
      </c>
      <c r="N228" s="1474">
        <f>SUM('Forecast TY Budget &amp; D-2.4 Adj'!R121)-28978</f>
        <v>-28978</v>
      </c>
      <c r="O228" s="741">
        <f t="shared" si="34"/>
        <v>-19684.03</v>
      </c>
      <c r="S228" s="723" t="s">
        <v>2344</v>
      </c>
    </row>
    <row r="229" spans="1:27" hidden="1" x14ac:dyDescent="0.2">
      <c r="A229" s="731">
        <f t="shared" si="35"/>
        <v>16</v>
      </c>
      <c r="B229" s="1409" t="s">
        <v>2336</v>
      </c>
      <c r="C229" s="730"/>
      <c r="D229" s="741">
        <f t="shared" si="31"/>
        <v>470250.82</v>
      </c>
      <c r="E229" s="741"/>
      <c r="F229" s="741"/>
      <c r="G229" s="741"/>
      <c r="H229" s="741"/>
      <c r="I229" s="741"/>
      <c r="J229" s="741"/>
      <c r="K229" s="741"/>
      <c r="L229" s="741">
        <f t="shared" si="32"/>
        <v>0</v>
      </c>
      <c r="M229" s="741">
        <f t="shared" si="33"/>
        <v>-30990.820000000036</v>
      </c>
      <c r="N229" s="741">
        <f>'Forecast TY Budget &amp; D-2.4 Adj'!R130</f>
        <v>0</v>
      </c>
      <c r="O229" s="741">
        <f t="shared" si="34"/>
        <v>-30990.820000000036</v>
      </c>
    </row>
    <row r="230" spans="1:27" hidden="1" x14ac:dyDescent="0.2">
      <c r="A230" s="731">
        <f t="shared" si="35"/>
        <v>17</v>
      </c>
      <c r="B230" s="1409" t="s">
        <v>2339</v>
      </c>
      <c r="C230" s="730"/>
      <c r="D230" s="741">
        <f t="shared" si="31"/>
        <v>15900947.359999999</v>
      </c>
      <c r="E230" s="741"/>
      <c r="F230" s="741"/>
      <c r="G230" s="741"/>
      <c r="H230" s="741"/>
      <c r="I230" s="741"/>
      <c r="J230" s="741"/>
      <c r="K230" s="741"/>
      <c r="L230" s="741">
        <f t="shared" si="32"/>
        <v>0</v>
      </c>
      <c r="M230" s="741">
        <f t="shared" si="33"/>
        <v>1540638.6500000006</v>
      </c>
      <c r="N230" s="1883">
        <f>SUM('Forecast TY Budget &amp; D-2.4 Adj'!R102:R103)-65647+11528+241466+770000</f>
        <v>827308</v>
      </c>
      <c r="O230" s="741">
        <f t="shared" si="34"/>
        <v>2367946.6500000004</v>
      </c>
      <c r="S230" s="723" t="s">
        <v>2345</v>
      </c>
    </row>
    <row r="231" spans="1:27" hidden="1" x14ac:dyDescent="0.2">
      <c r="A231" s="731">
        <f t="shared" si="35"/>
        <v>18</v>
      </c>
      <c r="B231" s="1409" t="s">
        <v>2338</v>
      </c>
      <c r="C231" s="730"/>
      <c r="D231" s="741">
        <f t="shared" si="31"/>
        <v>811974.07000000007</v>
      </c>
      <c r="E231" s="741"/>
      <c r="F231" s="741"/>
      <c r="G231" s="741"/>
      <c r="H231" s="741"/>
      <c r="I231" s="741"/>
      <c r="J231" s="741"/>
      <c r="K231" s="741"/>
      <c r="L231" s="741">
        <f t="shared" si="32"/>
        <v>0</v>
      </c>
      <c r="M231" s="741">
        <f t="shared" si="33"/>
        <v>843488.92999999993</v>
      </c>
      <c r="N231" s="1474">
        <f>SUM('Forecast TY Budget &amp; D-2.4 Adj'!R113:R115)-678407-12922</f>
        <v>-691329</v>
      </c>
      <c r="O231" s="741">
        <f t="shared" si="34"/>
        <v>152159.92999999993</v>
      </c>
      <c r="S231" s="723" t="s">
        <v>2346</v>
      </c>
    </row>
    <row r="232" spans="1:27" hidden="1" x14ac:dyDescent="0.2">
      <c r="A232" s="731">
        <f t="shared" si="35"/>
        <v>19</v>
      </c>
      <c r="B232" s="1409" t="s">
        <v>2340</v>
      </c>
      <c r="C232" s="730"/>
      <c r="D232" s="741">
        <f t="shared" si="31"/>
        <v>-158296.62</v>
      </c>
      <c r="E232" s="741">
        <f>SUM(E156:E196)+SUM(E210:E216)</f>
        <v>59641.620000000024</v>
      </c>
      <c r="F232" s="741"/>
      <c r="G232" s="741"/>
      <c r="H232" s="741"/>
      <c r="I232" s="741"/>
      <c r="J232" s="741"/>
      <c r="K232" s="741"/>
      <c r="L232" s="741">
        <f t="shared" si="32"/>
        <v>59641.620000000024</v>
      </c>
      <c r="M232" s="741">
        <f t="shared" si="33"/>
        <v>59641.620000000024</v>
      </c>
      <c r="N232" s="1474">
        <f>SUM('Forecast TY Budget &amp; D-2.4 Adj'!R122)-50347</f>
        <v>-50347</v>
      </c>
      <c r="O232" s="741">
        <f t="shared" si="34"/>
        <v>9294.6200000000244</v>
      </c>
      <c r="S232" s="723" t="s">
        <v>2347</v>
      </c>
      <c r="AA232" s="757"/>
    </row>
    <row r="233" spans="1:27" hidden="1" x14ac:dyDescent="0.2">
      <c r="A233" s="731">
        <f t="shared" si="35"/>
        <v>20</v>
      </c>
      <c r="B233" s="1409" t="s">
        <v>2341</v>
      </c>
      <c r="C233" s="730"/>
      <c r="D233" s="741">
        <f t="shared" si="31"/>
        <v>1520957.98</v>
      </c>
      <c r="E233" s="741"/>
      <c r="F233" s="741">
        <f>SUM(F156:F196)+SUM(F210:F216)</f>
        <v>69865.019999999931</v>
      </c>
      <c r="G233" s="741"/>
      <c r="H233" s="741"/>
      <c r="I233" s="741"/>
      <c r="J233" s="741"/>
      <c r="K233" s="741"/>
      <c r="L233" s="741">
        <f t="shared" si="32"/>
        <v>69865.019999999931</v>
      </c>
      <c r="M233" s="741">
        <f t="shared" si="33"/>
        <v>69865.019999999931</v>
      </c>
      <c r="N233" s="1474">
        <f>SUM('Forecast TY Budget &amp; D-2.4 Adj'!R116:R129)+219333-77448-1631-14661</f>
        <v>115035</v>
      </c>
      <c r="O233" s="741">
        <f t="shared" si="34"/>
        <v>184900.01999999993</v>
      </c>
      <c r="S233" s="723" t="s">
        <v>2348</v>
      </c>
      <c r="AA233" s="757"/>
    </row>
    <row r="234" spans="1:27" hidden="1" x14ac:dyDescent="0.2">
      <c r="A234" s="731">
        <f t="shared" si="35"/>
        <v>21</v>
      </c>
      <c r="B234" s="1409" t="s">
        <v>118</v>
      </c>
      <c r="C234" s="730"/>
      <c r="D234" s="741">
        <f t="shared" si="31"/>
        <v>1539703.6700000002</v>
      </c>
      <c r="E234" s="741"/>
      <c r="F234" s="741"/>
      <c r="G234" s="741">
        <f>SUM(G156:G196)+SUM(G210:G216)</f>
        <v>242072.33000000002</v>
      </c>
      <c r="H234" s="741"/>
      <c r="I234" s="741"/>
      <c r="J234" s="741"/>
      <c r="K234" s="741"/>
      <c r="L234" s="741">
        <f t="shared" si="32"/>
        <v>242072.33000000002</v>
      </c>
      <c r="M234" s="741">
        <f t="shared" si="33"/>
        <v>242072.33000000002</v>
      </c>
      <c r="N234" s="1474">
        <f>SUM('Forecast TY Budget &amp; D-2.4 Adj'!R81:R99)-181969</f>
        <v>-181969</v>
      </c>
      <c r="O234" s="741">
        <f t="shared" si="34"/>
        <v>60103.330000000016</v>
      </c>
      <c r="S234" s="723" t="s">
        <v>2349</v>
      </c>
      <c r="AA234" s="757"/>
    </row>
    <row r="235" spans="1:27" hidden="1" x14ac:dyDescent="0.2">
      <c r="A235" s="731">
        <f t="shared" si="35"/>
        <v>22</v>
      </c>
      <c r="B235" s="1409" t="s">
        <v>2342</v>
      </c>
      <c r="C235" s="730"/>
      <c r="D235" s="741">
        <f t="shared" si="31"/>
        <v>79230.19</v>
      </c>
      <c r="E235" s="741"/>
      <c r="F235" s="741"/>
      <c r="G235" s="741"/>
      <c r="H235" s="741">
        <f>SUM(H156:H196)+SUM(H210:H216)</f>
        <v>110765.81000000001</v>
      </c>
      <c r="I235" s="741"/>
      <c r="J235" s="741"/>
      <c r="K235" s="741"/>
      <c r="L235" s="741">
        <f t="shared" si="32"/>
        <v>110765.81000000001</v>
      </c>
      <c r="M235" s="741">
        <f t="shared" si="33"/>
        <v>110765.81000000001</v>
      </c>
      <c r="N235" s="741">
        <f>SUM('Forecast TY Budget &amp; D-2.4 Adj'!R107)</f>
        <v>0</v>
      </c>
      <c r="O235" s="741">
        <f t="shared" si="34"/>
        <v>110765.81000000001</v>
      </c>
      <c r="AA235" s="757"/>
    </row>
    <row r="236" spans="1:27" hidden="1" x14ac:dyDescent="0.2">
      <c r="A236" s="731">
        <f t="shared" si="35"/>
        <v>23</v>
      </c>
      <c r="B236" s="1409" t="s">
        <v>2337</v>
      </c>
      <c r="C236" s="730"/>
      <c r="D236" s="1173">
        <f t="shared" si="31"/>
        <v>1303125.24</v>
      </c>
      <c r="E236" s="742"/>
      <c r="F236" s="742"/>
      <c r="G236" s="742"/>
      <c r="H236" s="742"/>
      <c r="I236" s="742">
        <f>SUM(I156:I196)+SUM(I210:I216)</f>
        <v>-41683.239999999947</v>
      </c>
      <c r="J236" s="742"/>
      <c r="K236" s="742"/>
      <c r="L236" s="742">
        <f t="shared" si="32"/>
        <v>-41683.239999999947</v>
      </c>
      <c r="M236" s="742">
        <f t="shared" si="33"/>
        <v>-41683.239999999947</v>
      </c>
      <c r="N236" s="742">
        <f>SUM('Forecast TY Budget &amp; D-2.4 Adj'!R117:R120)</f>
        <v>0</v>
      </c>
      <c r="O236" s="742">
        <f t="shared" si="34"/>
        <v>-41683.239999999947</v>
      </c>
      <c r="AA236" s="757"/>
    </row>
    <row r="237" spans="1:27" hidden="1" x14ac:dyDescent="0.2">
      <c r="A237" s="731"/>
      <c r="S237" s="723" t="s">
        <v>1702</v>
      </c>
    </row>
    <row r="238" spans="1:27" hidden="1" x14ac:dyDescent="0.2">
      <c r="A238" s="733">
        <f>A236+1</f>
        <v>24</v>
      </c>
      <c r="B238" s="1409" t="s">
        <v>670</v>
      </c>
      <c r="C238" s="730"/>
      <c r="D238" s="747">
        <f t="shared" ref="D238:N238" si="36">SUM(D222:D236)</f>
        <v>39066472.799999997</v>
      </c>
      <c r="E238" s="747">
        <f t="shared" si="36"/>
        <v>59641.620000000024</v>
      </c>
      <c r="F238" s="747">
        <f t="shared" si="36"/>
        <v>69865.019999999931</v>
      </c>
      <c r="G238" s="747">
        <f t="shared" si="36"/>
        <v>242072.33000000002</v>
      </c>
      <c r="H238" s="747">
        <f t="shared" si="36"/>
        <v>110765.81000000001</v>
      </c>
      <c r="I238" s="747">
        <f t="shared" si="36"/>
        <v>-41683.239999999947</v>
      </c>
      <c r="J238" s="747">
        <f t="shared" si="36"/>
        <v>0</v>
      </c>
      <c r="K238" s="747">
        <f t="shared" si="36"/>
        <v>0</v>
      </c>
      <c r="L238" s="747">
        <f t="shared" si="36"/>
        <v>440661.54000000004</v>
      </c>
      <c r="M238" s="747">
        <f t="shared" si="36"/>
        <v>5103536.6499600001</v>
      </c>
      <c r="N238" s="747">
        <f t="shared" si="36"/>
        <v>925022</v>
      </c>
      <c r="O238" s="747">
        <f>SUM(O222:O236)</f>
        <v>6028558.6499600001</v>
      </c>
      <c r="Q238" s="760">
        <f>D238+O238</f>
        <v>45095031.449959993</v>
      </c>
      <c r="S238" s="757">
        <f>'Forecast TY Budget &amp; D-2.4 Adj'!V72-'Base TY Budget'!E72-O238</f>
        <v>2.8999999947845936</v>
      </c>
    </row>
    <row r="239" spans="1:27" x14ac:dyDescent="0.2">
      <c r="A239" s="733"/>
      <c r="B239" s="1410"/>
      <c r="C239" s="730"/>
      <c r="D239" s="730"/>
      <c r="E239" s="730"/>
      <c r="I239" s="766"/>
    </row>
    <row r="240" spans="1:27" x14ac:dyDescent="0.2">
      <c r="A240" s="733"/>
      <c r="B240" s="1411"/>
      <c r="C240" s="730"/>
      <c r="D240" s="766"/>
      <c r="E240" s="730"/>
      <c r="N240" s="780"/>
    </row>
    <row r="241" spans="1:27" x14ac:dyDescent="0.2">
      <c r="A241" s="733"/>
      <c r="B241" s="1411"/>
      <c r="C241" s="730"/>
      <c r="D241" s="1412"/>
      <c r="E241" s="730"/>
    </row>
    <row r="242" spans="1:27" x14ac:dyDescent="0.2">
      <c r="A242" s="730"/>
      <c r="B242" s="1411"/>
      <c r="C242" s="730"/>
      <c r="D242" s="766"/>
      <c r="E242" s="730"/>
    </row>
    <row r="243" spans="1:27" x14ac:dyDescent="0.2">
      <c r="A243" s="730"/>
      <c r="B243" s="1410"/>
      <c r="C243" s="730"/>
      <c r="D243" s="741"/>
      <c r="E243" s="730"/>
    </row>
    <row r="244" spans="1:27" x14ac:dyDescent="0.2">
      <c r="A244" s="730"/>
      <c r="B244" s="1410"/>
      <c r="C244" s="730"/>
      <c r="D244" s="730"/>
      <c r="E244" s="730"/>
    </row>
    <row r="245" spans="1:27" ht="12.75" customHeight="1" x14ac:dyDescent="0.2">
      <c r="A245" s="2160" t="s">
        <v>624</v>
      </c>
      <c r="B245" s="2160"/>
      <c r="C245" s="2160"/>
      <c r="D245" s="2160"/>
      <c r="E245" s="2160"/>
      <c r="F245" s="2160"/>
      <c r="G245" s="2160"/>
      <c r="H245" s="2160"/>
      <c r="I245" s="2160"/>
      <c r="J245" s="2160"/>
      <c r="K245" s="2160"/>
      <c r="L245" s="2160"/>
      <c r="M245" s="2160"/>
      <c r="N245" s="2160"/>
      <c r="O245" s="2160"/>
    </row>
    <row r="246" spans="1:27" ht="12.75" customHeight="1" x14ac:dyDescent="0.2">
      <c r="A246" s="2159" t="str">
        <f>A2</f>
        <v>CASE NO. 2016 - 00162</v>
      </c>
      <c r="B246" s="2159"/>
      <c r="C246" s="2159"/>
      <c r="D246" s="2159"/>
      <c r="E246" s="2159"/>
      <c r="F246" s="2159"/>
      <c r="G246" s="2159"/>
      <c r="H246" s="2159"/>
      <c r="I246" s="2159"/>
      <c r="J246" s="2159"/>
      <c r="K246" s="2159"/>
      <c r="L246" s="2159"/>
      <c r="M246" s="2159"/>
      <c r="N246" s="2159"/>
      <c r="O246" s="2159"/>
    </row>
    <row r="247" spans="1:27" ht="12.75" customHeight="1" x14ac:dyDescent="0.2">
      <c r="A247" s="2160" t="s">
        <v>1600</v>
      </c>
      <c r="B247" s="2160"/>
      <c r="C247" s="2160"/>
      <c r="D247" s="2160"/>
      <c r="E247" s="2160"/>
      <c r="F247" s="2160"/>
      <c r="G247" s="2160"/>
      <c r="H247" s="2160"/>
      <c r="I247" s="2160"/>
      <c r="J247" s="2160"/>
      <c r="K247" s="2160"/>
      <c r="L247" s="2160"/>
      <c r="M247" s="2160"/>
      <c r="N247" s="2160"/>
      <c r="O247" s="2160"/>
    </row>
    <row r="248" spans="1:27" ht="12.75" customHeight="1" x14ac:dyDescent="0.2">
      <c r="A248" s="2160" t="s">
        <v>1601</v>
      </c>
      <c r="B248" s="2160"/>
      <c r="C248" s="2160"/>
      <c r="D248" s="2160"/>
      <c r="E248" s="2160"/>
      <c r="F248" s="2160"/>
      <c r="G248" s="2160"/>
      <c r="H248" s="2160"/>
      <c r="I248" s="2160"/>
      <c r="J248" s="2160"/>
      <c r="K248" s="2160"/>
      <c r="L248" s="2160"/>
      <c r="M248" s="2160"/>
      <c r="N248" s="2160"/>
      <c r="O248" s="2160"/>
    </row>
    <row r="249" spans="1:27" ht="12.75" customHeight="1" x14ac:dyDescent="0.2">
      <c r="A249" s="2159" t="str">
        <f>A5</f>
        <v>FOR THE TWELVE MONTHS ENDED AUGUST 31, 2016 AND THE TWELVE MONTHS ENDED DECEMBER 31, 2017</v>
      </c>
      <c r="B249" s="2159"/>
      <c r="C249" s="2159"/>
      <c r="D249" s="2159"/>
      <c r="E249" s="2159"/>
      <c r="F249" s="2159"/>
      <c r="G249" s="2159"/>
      <c r="H249" s="2159"/>
      <c r="I249" s="2159"/>
      <c r="J249" s="2159"/>
      <c r="K249" s="2159"/>
      <c r="L249" s="2159"/>
      <c r="M249" s="2159"/>
      <c r="N249" s="2159"/>
      <c r="O249" s="2159"/>
    </row>
    <row r="250" spans="1:27" x14ac:dyDescent="0.2">
      <c r="A250" s="767" t="s">
        <v>1602</v>
      </c>
      <c r="B250" s="1410"/>
      <c r="C250" s="730"/>
      <c r="D250" s="730"/>
      <c r="E250" s="730"/>
      <c r="O250" s="1413" t="s">
        <v>1603</v>
      </c>
    </row>
    <row r="251" spans="1:27" x14ac:dyDescent="0.2">
      <c r="A251" s="767" t="s">
        <v>1604</v>
      </c>
      <c r="B251" s="1410"/>
      <c r="C251" s="730"/>
      <c r="D251" s="730"/>
      <c r="E251" s="730"/>
      <c r="O251" s="1413" t="s">
        <v>129</v>
      </c>
    </row>
    <row r="252" spans="1:27" x14ac:dyDescent="0.2">
      <c r="A252" s="727" t="s">
        <v>1606</v>
      </c>
      <c r="B252" s="1414"/>
      <c r="C252" s="759"/>
      <c r="D252" s="759"/>
      <c r="E252" s="759"/>
      <c r="F252" s="759"/>
      <c r="G252" s="759"/>
      <c r="H252" s="759"/>
      <c r="I252" s="759"/>
      <c r="J252" s="759"/>
      <c r="K252" s="759"/>
      <c r="L252" s="759"/>
      <c r="M252" s="759"/>
      <c r="N252" s="759"/>
      <c r="O252" s="1415" t="str">
        <f>O8</f>
        <v>WITNESS:  J. T. CROOM</v>
      </c>
    </row>
    <row r="253" spans="1:27" x14ac:dyDescent="0.2">
      <c r="A253" s="730"/>
      <c r="B253" s="1410"/>
      <c r="C253" s="730"/>
      <c r="D253" s="730"/>
      <c r="E253" s="730"/>
      <c r="AA253" s="731"/>
    </row>
    <row r="254" spans="1:27" x14ac:dyDescent="0.2">
      <c r="A254" s="733" t="s">
        <v>632</v>
      </c>
      <c r="B254" s="1416" t="s">
        <v>1607</v>
      </c>
      <c r="C254" s="730"/>
      <c r="D254" s="733" t="s">
        <v>634</v>
      </c>
      <c r="E254" s="734" t="s">
        <v>1296</v>
      </c>
      <c r="F254" s="734" t="s">
        <v>1296</v>
      </c>
      <c r="G254" s="734" t="s">
        <v>1297</v>
      </c>
      <c r="H254" s="758"/>
      <c r="I254" s="758"/>
      <c r="J254" s="758"/>
      <c r="K254" s="758"/>
      <c r="L254" s="758"/>
      <c r="M254" s="758"/>
      <c r="N254" s="734"/>
      <c r="O254" s="733" t="s">
        <v>670</v>
      </c>
      <c r="AA254" s="731"/>
    </row>
    <row r="255" spans="1:27" x14ac:dyDescent="0.2">
      <c r="A255" s="737" t="s">
        <v>635</v>
      </c>
      <c r="B255" s="1417" t="s">
        <v>1608</v>
      </c>
      <c r="C255" s="759"/>
      <c r="D255" s="737" t="s">
        <v>638</v>
      </c>
      <c r="E255" s="737" t="s">
        <v>1609</v>
      </c>
      <c r="F255" s="737" t="s">
        <v>1610</v>
      </c>
      <c r="G255" s="737" t="s">
        <v>2401</v>
      </c>
      <c r="H255" s="759"/>
      <c r="I255" s="759"/>
      <c r="J255" s="759"/>
      <c r="K255" s="759"/>
      <c r="L255" s="759"/>
      <c r="M255" s="759"/>
      <c r="N255" s="737"/>
      <c r="O255" s="737" t="s">
        <v>1612</v>
      </c>
    </row>
    <row r="256" spans="1:27" x14ac:dyDescent="0.2">
      <c r="A256" s="730"/>
      <c r="B256" s="1411"/>
      <c r="C256" s="730"/>
      <c r="D256" s="766"/>
      <c r="E256" s="730"/>
    </row>
    <row r="257" spans="1:27" x14ac:dyDescent="0.2">
      <c r="A257" s="730"/>
      <c r="B257" s="1411"/>
      <c r="C257" s="730"/>
      <c r="D257" s="766"/>
      <c r="E257" s="730"/>
    </row>
    <row r="258" spans="1:27" x14ac:dyDescent="0.2">
      <c r="A258" s="733">
        <v>1</v>
      </c>
      <c r="B258" s="1409" t="s">
        <v>623</v>
      </c>
      <c r="C258" s="730"/>
      <c r="D258" s="741">
        <f>'Total Co Accts Activ C2.2A'!P13</f>
        <v>8846618.3807191737</v>
      </c>
      <c r="E258" s="741">
        <f>'Total Co Accts Activ C2.2B'!P13-'Total Co Accts Activ C2.2A'!P13</f>
        <v>6981518.7763158623</v>
      </c>
      <c r="F258" s="741"/>
      <c r="G258" s="744"/>
      <c r="O258" s="741">
        <f>SUM(E258:N258)</f>
        <v>6981518.7763158623</v>
      </c>
      <c r="AA258" s="757"/>
    </row>
    <row r="259" spans="1:27" x14ac:dyDescent="0.2">
      <c r="A259" s="733">
        <f>A258+1</f>
        <v>2</v>
      </c>
      <c r="B259" s="1409" t="s">
        <v>130</v>
      </c>
      <c r="C259" s="730"/>
      <c r="D259" s="763">
        <f>'Total Co Accts Activ C2.2A'!P14</f>
        <v>0</v>
      </c>
      <c r="E259" s="742">
        <f>-'Total Co Accts Activ C2.2B'!P14-'Total Co Accts Activ C2.2A'!P14</f>
        <v>0</v>
      </c>
      <c r="F259" s="742"/>
      <c r="G259" s="759"/>
      <c r="H259" s="759"/>
      <c r="I259" s="759"/>
      <c r="J259" s="759"/>
      <c r="K259" s="759"/>
      <c r="L259" s="759"/>
      <c r="M259" s="759"/>
      <c r="N259" s="759"/>
      <c r="O259" s="742">
        <f>SUM(E259:N259)</f>
        <v>0</v>
      </c>
      <c r="AA259" s="757"/>
    </row>
    <row r="260" spans="1:27" x14ac:dyDescent="0.2">
      <c r="A260" s="733"/>
      <c r="B260" s="1410"/>
      <c r="C260" s="730"/>
      <c r="D260" s="782"/>
      <c r="E260" s="741"/>
      <c r="F260" s="741"/>
      <c r="G260" s="766"/>
      <c r="O260" s="741"/>
    </row>
    <row r="261" spans="1:27" x14ac:dyDescent="0.2">
      <c r="A261" s="733">
        <f>A259+1</f>
        <v>3</v>
      </c>
      <c r="B261" s="1409" t="s">
        <v>131</v>
      </c>
      <c r="C261" s="730"/>
      <c r="D261" s="764">
        <f t="shared" ref="D261:N261" si="37">SUM(D258:D259)</f>
        <v>8846618.3807191737</v>
      </c>
      <c r="E261" s="764">
        <f t="shared" si="37"/>
        <v>6981518.7763158623</v>
      </c>
      <c r="F261" s="764">
        <f t="shared" si="37"/>
        <v>0</v>
      </c>
      <c r="G261" s="764">
        <f t="shared" si="37"/>
        <v>0</v>
      </c>
      <c r="H261" s="764">
        <f t="shared" si="37"/>
        <v>0</v>
      </c>
      <c r="I261" s="764">
        <f t="shared" si="37"/>
        <v>0</v>
      </c>
      <c r="J261" s="764">
        <f t="shared" si="37"/>
        <v>0</v>
      </c>
      <c r="K261" s="764">
        <f t="shared" si="37"/>
        <v>0</v>
      </c>
      <c r="L261" s="764">
        <f t="shared" si="37"/>
        <v>0</v>
      </c>
      <c r="M261" s="764">
        <f t="shared" si="37"/>
        <v>0</v>
      </c>
      <c r="N261" s="764">
        <f t="shared" si="37"/>
        <v>0</v>
      </c>
      <c r="O261" s="747">
        <f>SUM(E261:N261)</f>
        <v>6981518.7763158623</v>
      </c>
      <c r="P261" s="765"/>
      <c r="Q261" s="761"/>
      <c r="S261" s="761"/>
      <c r="T261" s="761"/>
      <c r="U261" s="761"/>
      <c r="W261" s="761"/>
    </row>
    <row r="262" spans="1:27" x14ac:dyDescent="0.2">
      <c r="A262" s="733"/>
      <c r="B262" s="1410"/>
      <c r="C262" s="730"/>
      <c r="D262" s="782"/>
      <c r="E262" s="741"/>
      <c r="F262" s="741"/>
    </row>
    <row r="263" spans="1:27" x14ac:dyDescent="0.2">
      <c r="A263" s="733"/>
      <c r="B263" s="1410"/>
      <c r="C263" s="730"/>
      <c r="D263" s="741"/>
      <c r="E263" s="741"/>
      <c r="F263" s="782"/>
    </row>
    <row r="264" spans="1:27" x14ac:dyDescent="0.2">
      <c r="A264" s="733">
        <f>A261+1</f>
        <v>4</v>
      </c>
      <c r="B264" s="1418" t="s">
        <v>1707</v>
      </c>
      <c r="C264" s="730"/>
      <c r="D264" s="1246">
        <f>'Total Co Accts Activ C2.2A'!P15</f>
        <v>3398539.84</v>
      </c>
      <c r="E264" s="747"/>
      <c r="F264" s="1247">
        <f>'Total Co Accts Activ C2.2B'!P15-'Total Co Accts Activ C2.2A'!P15</f>
        <v>525460.16000000015</v>
      </c>
      <c r="G264" s="1399">
        <f>'D-2.4'!R85</f>
        <v>212779</v>
      </c>
      <c r="H264" s="1419"/>
      <c r="I264" s="1419"/>
      <c r="J264" s="1419"/>
      <c r="K264" s="1419"/>
      <c r="L264" s="1419"/>
      <c r="M264" s="1419"/>
      <c r="N264" s="1419"/>
      <c r="O264" s="741">
        <f>SUM(E264:N264)</f>
        <v>738239.16000000015</v>
      </c>
      <c r="AA264" s="757"/>
    </row>
    <row r="265" spans="1:27" x14ac:dyDescent="0.2">
      <c r="A265" s="733">
        <f>A264+1</f>
        <v>5</v>
      </c>
      <c r="B265" s="1418" t="s">
        <v>1709</v>
      </c>
      <c r="C265" s="730"/>
      <c r="D265" s="1246">
        <f>'Total Co Accts Activ C2.2A'!P16</f>
        <v>610286.88</v>
      </c>
      <c r="E265" s="741"/>
      <c r="F265" s="1247">
        <f>'Total Co Accts Activ C2.2B'!P16-'Total Co Accts Activ C2.2A'!P16</f>
        <v>61713.119999999995</v>
      </c>
      <c r="G265" s="1399">
        <f>'D-2.4'!R90</f>
        <v>-17898</v>
      </c>
      <c r="O265" s="741">
        <f>SUM(E265:N265)</f>
        <v>43815.119999999995</v>
      </c>
    </row>
    <row r="266" spans="1:27" x14ac:dyDescent="0.2">
      <c r="A266" s="733">
        <f>A265+1</f>
        <v>6</v>
      </c>
      <c r="B266" s="1418" t="s">
        <v>1708</v>
      </c>
      <c r="C266" s="730"/>
      <c r="D266" s="1246">
        <f>'Total Co Accts Activ C2.2A'!P17</f>
        <v>2162.6099999999997</v>
      </c>
      <c r="E266" s="741"/>
      <c r="F266" s="1247">
        <f>'Total Co Accts Activ C2.2B'!P17-'Total Co Accts Activ C2.2A'!P17</f>
        <v>-2162.6099999999997</v>
      </c>
      <c r="O266" s="741">
        <f>SUM(E266:N266)</f>
        <v>-2162.6099999999997</v>
      </c>
    </row>
    <row r="267" spans="1:27" x14ac:dyDescent="0.2">
      <c r="A267" s="733"/>
      <c r="B267" s="1410"/>
      <c r="C267" s="730"/>
      <c r="D267" s="782"/>
      <c r="E267" s="741"/>
      <c r="F267" s="741"/>
      <c r="O267" s="780"/>
    </row>
    <row r="268" spans="1:27" x14ac:dyDescent="0.2">
      <c r="A268" s="733">
        <f>A266+1</f>
        <v>7</v>
      </c>
      <c r="B268" s="1410" t="s">
        <v>1710</v>
      </c>
      <c r="C268" s="730"/>
      <c r="D268" s="764">
        <f>SUM(D264:D267)</f>
        <v>4010989.3299999996</v>
      </c>
      <c r="E268" s="730"/>
      <c r="F268" s="1420">
        <f>SUM(F264:F267)</f>
        <v>585010.67000000016</v>
      </c>
      <c r="G268" s="1420">
        <f>SUM(G264:G267)</f>
        <v>194881</v>
      </c>
      <c r="O268" s="1420">
        <f>SUM(O264:O267)</f>
        <v>779891.67000000016</v>
      </c>
    </row>
    <row r="269" spans="1:27" x14ac:dyDescent="0.2">
      <c r="A269" s="733"/>
      <c r="B269" s="1410"/>
      <c r="C269" s="730"/>
      <c r="D269" s="782"/>
      <c r="E269" s="730"/>
    </row>
    <row r="270" spans="1:27" x14ac:dyDescent="0.2">
      <c r="A270" s="733"/>
      <c r="B270" s="1411"/>
      <c r="C270" s="730"/>
      <c r="D270" s="782"/>
      <c r="E270" s="730"/>
    </row>
    <row r="271" spans="1:27" x14ac:dyDescent="0.2">
      <c r="A271" s="733"/>
      <c r="B271" s="1411"/>
      <c r="C271" s="730"/>
      <c r="D271" s="741"/>
      <c r="E271" s="730"/>
    </row>
    <row r="272" spans="1:27" x14ac:dyDescent="0.2">
      <c r="A272" s="731"/>
      <c r="B272" s="762"/>
      <c r="D272" s="761"/>
      <c r="O272" s="780"/>
    </row>
    <row r="273" spans="1:4" x14ac:dyDescent="0.2">
      <c r="A273" s="731"/>
      <c r="B273" s="762"/>
      <c r="D273" s="738"/>
    </row>
    <row r="274" spans="1:4" x14ac:dyDescent="0.2">
      <c r="A274" s="731"/>
      <c r="B274" s="762"/>
      <c r="D274" s="761"/>
    </row>
    <row r="275" spans="1:4" x14ac:dyDescent="0.2">
      <c r="A275" s="731"/>
      <c r="B275" s="762"/>
      <c r="D275" s="761"/>
    </row>
    <row r="276" spans="1:4" x14ac:dyDescent="0.2">
      <c r="A276" s="731"/>
      <c r="B276" s="762"/>
      <c r="D276" s="761"/>
    </row>
    <row r="277" spans="1:4" x14ac:dyDescent="0.2">
      <c r="A277" s="731"/>
      <c r="D277" s="761"/>
    </row>
    <row r="278" spans="1:4" x14ac:dyDescent="0.2">
      <c r="A278" s="731"/>
      <c r="B278" s="762"/>
      <c r="D278" s="738"/>
    </row>
    <row r="279" spans="1:4" x14ac:dyDescent="0.2">
      <c r="A279" s="731"/>
      <c r="B279" s="762"/>
      <c r="D279" s="761"/>
    </row>
    <row r="280" spans="1:4" x14ac:dyDescent="0.2">
      <c r="A280" s="731"/>
      <c r="B280" s="762"/>
      <c r="D280" s="738"/>
    </row>
    <row r="281" spans="1:4" x14ac:dyDescent="0.2">
      <c r="A281" s="731"/>
      <c r="B281" s="762"/>
      <c r="D281" s="761"/>
    </row>
    <row r="282" spans="1:4" x14ac:dyDescent="0.2">
      <c r="A282" s="731"/>
      <c r="D282" s="738"/>
    </row>
    <row r="283" spans="1:4" x14ac:dyDescent="0.2">
      <c r="B283" s="762"/>
      <c r="D283" s="738"/>
    </row>
    <row r="284" spans="1:4" x14ac:dyDescent="0.2">
      <c r="D284" s="738"/>
    </row>
    <row r="285" spans="1:4" x14ac:dyDescent="0.2">
      <c r="B285" s="762"/>
      <c r="D285" s="738"/>
    </row>
    <row r="286" spans="1:4" x14ac:dyDescent="0.2">
      <c r="B286" s="762"/>
      <c r="D286" s="738"/>
    </row>
    <row r="287" spans="1:4" x14ac:dyDescent="0.2">
      <c r="B287" s="762"/>
      <c r="D287" s="738"/>
    </row>
    <row r="288" spans="1:4" x14ac:dyDescent="0.2">
      <c r="B288" s="762"/>
      <c r="D288" s="738"/>
    </row>
    <row r="289" spans="2:4" x14ac:dyDescent="0.2">
      <c r="B289" s="762"/>
      <c r="D289" s="738"/>
    </row>
    <row r="290" spans="2:4" x14ac:dyDescent="0.2">
      <c r="B290" s="762"/>
      <c r="D290" s="738"/>
    </row>
    <row r="291" spans="2:4" x14ac:dyDescent="0.2">
      <c r="D291" s="738"/>
    </row>
    <row r="292" spans="2:4" x14ac:dyDescent="0.2">
      <c r="D292" s="738"/>
    </row>
    <row r="293" spans="2:4" x14ac:dyDescent="0.2">
      <c r="D293" s="738"/>
    </row>
    <row r="294" spans="2:4" x14ac:dyDescent="0.2">
      <c r="D294" s="738"/>
    </row>
    <row r="295" spans="2:4" x14ac:dyDescent="0.2">
      <c r="D295" s="738"/>
    </row>
    <row r="296" spans="2:4" x14ac:dyDescent="0.2">
      <c r="D296" s="738"/>
    </row>
    <row r="297" spans="2:4" x14ac:dyDescent="0.2">
      <c r="D297" s="738"/>
    </row>
    <row r="298" spans="2:4" x14ac:dyDescent="0.2">
      <c r="D298" s="738"/>
    </row>
    <row r="299" spans="2:4" x14ac:dyDescent="0.2">
      <c r="D299" s="738"/>
    </row>
    <row r="300" spans="2:4" x14ac:dyDescent="0.2">
      <c r="D300" s="738"/>
    </row>
    <row r="301" spans="2:4" x14ac:dyDescent="0.2">
      <c r="D301" s="738"/>
    </row>
    <row r="302" spans="2:4" x14ac:dyDescent="0.2">
      <c r="D302" s="738"/>
    </row>
  </sheetData>
  <mergeCells count="31">
    <mergeCell ref="A249:O249"/>
    <mergeCell ref="A147:O147"/>
    <mergeCell ref="A148:O148"/>
    <mergeCell ref="A198:O198"/>
    <mergeCell ref="A199:O199"/>
    <mergeCell ref="A246:O246"/>
    <mergeCell ref="A248:O248"/>
    <mergeCell ref="A247:O247"/>
    <mergeCell ref="A245:O245"/>
    <mergeCell ref="A1:O1"/>
    <mergeCell ref="A2:O2"/>
    <mergeCell ref="A3:O3"/>
    <mergeCell ref="A4:O4"/>
    <mergeCell ref="A49:O49"/>
    <mergeCell ref="A5:O5"/>
    <mergeCell ref="A48:O48"/>
    <mergeCell ref="A46:O46"/>
    <mergeCell ref="A146:O146"/>
    <mergeCell ref="A201:O201"/>
    <mergeCell ref="S220:Y221"/>
    <mergeCell ref="A102:O102"/>
    <mergeCell ref="A202:O202"/>
    <mergeCell ref="A144:O144"/>
    <mergeCell ref="A200:O200"/>
    <mergeCell ref="A50:O50"/>
    <mergeCell ref="A145:O145"/>
    <mergeCell ref="A100:O100"/>
    <mergeCell ref="A104:O104"/>
    <mergeCell ref="A47:O47"/>
    <mergeCell ref="A103:O103"/>
    <mergeCell ref="A101:O101"/>
  </mergeCells>
  <phoneticPr fontId="0" type="noConversion"/>
  <printOptions horizontalCentered="1"/>
  <pageMargins left="0.5" right="0.5" top="1" bottom="0.5" header="0.3" footer="0.3"/>
  <pageSetup scale="75" orientation="landscape" r:id="rId1"/>
  <headerFooter alignWithMargins="0"/>
  <rowBreaks count="5" manualBreakCount="5">
    <brk id="45" max="14" man="1"/>
    <brk id="99" max="14" man="1"/>
    <brk id="143" max="14" man="1"/>
    <brk id="197" max="14" man="1"/>
    <brk id="244" max="14" man="1"/>
  </rowBreaks>
  <ignoredErrors>
    <ignoredError sqref="D258:O268 B156:C196 A199:O202 B210:C216 A47:O50 A101:O104" unlockedFormula="1"/>
  </ignoredErrors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6" transitionEvaluation="1" transitionEntry="1" codeName="Sheet56"/>
  <dimension ref="A1:AX485"/>
  <sheetViews>
    <sheetView showGridLines="0" topLeftCell="A6" zoomScale="90" zoomScaleNormal="90" zoomScaleSheetLayoutView="90" workbookViewId="0">
      <selection activeCell="L17" sqref="L17"/>
    </sheetView>
  </sheetViews>
  <sheetFormatPr defaultColWidth="8.33203125" defaultRowHeight="12" x14ac:dyDescent="0.2"/>
  <cols>
    <col min="1" max="1" width="8.33203125" style="730" customWidth="1"/>
    <col min="2" max="2" width="8.33203125" style="730"/>
    <col min="3" max="3" width="8.33203125" style="730" customWidth="1"/>
    <col min="4" max="4" width="8.33203125" style="730"/>
    <col min="5" max="5" width="8.33203125" style="730" customWidth="1"/>
    <col min="6" max="6" width="8.33203125" style="730"/>
    <col min="7" max="7" width="8.33203125" style="730" customWidth="1"/>
    <col min="8" max="8" width="8.33203125" style="730"/>
    <col min="9" max="9" width="8.33203125" style="730" customWidth="1"/>
    <col min="10" max="10" width="8.33203125" style="730"/>
    <col min="11" max="11" width="8.33203125" style="730" customWidth="1"/>
    <col min="12" max="12" width="8.33203125" style="730"/>
    <col min="13" max="14" width="8.33203125" style="730" customWidth="1"/>
    <col min="15" max="15" width="24.1640625" style="730" customWidth="1"/>
    <col min="16" max="16" width="16.5" style="730" customWidth="1"/>
    <col min="17" max="17" width="8.33203125" style="730"/>
    <col min="18" max="18" width="10" style="730" customWidth="1"/>
    <col min="19" max="19" width="14.1640625" style="730" customWidth="1"/>
    <col min="20" max="21" width="8.33203125" style="730"/>
    <col min="22" max="22" width="14.6640625" style="730" bestFit="1" customWidth="1"/>
    <col min="23" max="23" width="13.33203125" style="730" bestFit="1" customWidth="1"/>
    <col min="24" max="24" width="11.83203125" style="730" customWidth="1"/>
    <col min="25" max="27" width="8.33203125" style="730" customWidth="1"/>
    <col min="28" max="28" width="9.1640625" style="730" customWidth="1"/>
    <col min="29" max="29" width="10" style="730" customWidth="1"/>
    <col min="30" max="16384" width="8.33203125" style="730"/>
  </cols>
  <sheetData>
    <row r="1" spans="1:24" ht="12.75" customHeight="1" x14ac:dyDescent="0.2">
      <c r="A1" s="2160" t="s">
        <v>624</v>
      </c>
      <c r="B1" s="2160"/>
      <c r="C1" s="2160"/>
      <c r="D1" s="2160"/>
      <c r="E1" s="2160"/>
      <c r="F1" s="2160"/>
      <c r="G1" s="2160"/>
      <c r="H1" s="2160"/>
      <c r="I1" s="2160"/>
      <c r="J1" s="2160"/>
      <c r="K1" s="2160"/>
      <c r="L1" s="2160"/>
      <c r="M1" s="2160"/>
      <c r="N1" s="2160"/>
      <c r="O1" s="2160"/>
      <c r="P1" s="2160"/>
      <c r="Q1" s="2160"/>
      <c r="R1" s="2160"/>
      <c r="S1" s="2160"/>
    </row>
    <row r="2" spans="1:24" ht="12.75" customHeight="1" x14ac:dyDescent="0.2">
      <c r="A2" s="2159" t="str">
        <f>case</f>
        <v>CASE NO. 2016 - 00162</v>
      </c>
      <c r="B2" s="2159"/>
      <c r="C2" s="2159"/>
      <c r="D2" s="2159"/>
      <c r="E2" s="2159"/>
      <c r="F2" s="2159"/>
      <c r="G2" s="2159"/>
      <c r="H2" s="2159"/>
      <c r="I2" s="2159"/>
      <c r="J2" s="2159"/>
      <c r="K2" s="2159"/>
      <c r="L2" s="2159"/>
      <c r="M2" s="2159"/>
      <c r="N2" s="2159"/>
      <c r="O2" s="2159"/>
      <c r="P2" s="2159"/>
      <c r="Q2" s="2159"/>
      <c r="R2" s="2159"/>
      <c r="S2" s="2159"/>
    </row>
    <row r="3" spans="1:24" ht="12.75" customHeight="1" x14ac:dyDescent="0.2">
      <c r="A3" s="2160" t="s">
        <v>1294</v>
      </c>
      <c r="B3" s="2160"/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</row>
    <row r="4" spans="1:24" ht="12.75" customHeight="1" x14ac:dyDescent="0.2">
      <c r="A4" s="2159" t="str">
        <f>'D-1'!A5:O5</f>
        <v>FOR THE TWELVE MONTHS ENDED AUGUST 31, 2016 AND THE TWELVE MONTHS ENDED DECEMBER 31, 2017</v>
      </c>
      <c r="B4" s="2159"/>
      <c r="C4" s="2159"/>
      <c r="D4" s="2159"/>
      <c r="E4" s="2159"/>
      <c r="F4" s="2159"/>
      <c r="G4" s="2159"/>
      <c r="H4" s="2159"/>
      <c r="I4" s="2159"/>
      <c r="J4" s="2159"/>
      <c r="K4" s="2159"/>
      <c r="L4" s="2159"/>
      <c r="M4" s="2159"/>
      <c r="N4" s="2159"/>
      <c r="O4" s="2159"/>
      <c r="P4" s="2159"/>
      <c r="Q4" s="2159"/>
      <c r="R4" s="2159"/>
      <c r="S4" s="2159"/>
    </row>
    <row r="5" spans="1:24" x14ac:dyDescent="0.2">
      <c r="C5" s="766"/>
      <c r="J5" s="724"/>
    </row>
    <row r="6" spans="1:24" x14ac:dyDescent="0.2">
      <c r="A6" s="767" t="s">
        <v>132</v>
      </c>
      <c r="S6" s="768" t="s">
        <v>133</v>
      </c>
    </row>
    <row r="7" spans="1:24" x14ac:dyDescent="0.2">
      <c r="A7" s="767" t="s">
        <v>1604</v>
      </c>
      <c r="S7" s="768" t="s">
        <v>1517</v>
      </c>
    </row>
    <row r="8" spans="1:24" x14ac:dyDescent="0.2">
      <c r="A8" s="767" t="s">
        <v>1606</v>
      </c>
      <c r="S8" s="769" t="s">
        <v>2291</v>
      </c>
      <c r="T8" s="770"/>
      <c r="U8" s="770"/>
      <c r="V8" s="770"/>
    </row>
    <row r="9" spans="1:24" x14ac:dyDescent="0.2">
      <c r="A9" s="766"/>
      <c r="C9" s="766"/>
      <c r="H9" s="766"/>
      <c r="J9" s="766"/>
      <c r="L9" s="766"/>
      <c r="T9" s="770"/>
      <c r="U9" s="770"/>
      <c r="V9" s="770"/>
    </row>
    <row r="10" spans="1:24" x14ac:dyDescent="0.2">
      <c r="A10" s="758"/>
      <c r="B10" s="758"/>
      <c r="C10" s="758"/>
      <c r="D10" s="758"/>
      <c r="E10" s="758"/>
      <c r="F10" s="758"/>
      <c r="G10" s="758"/>
      <c r="H10" s="758"/>
      <c r="I10" s="758"/>
      <c r="J10" s="758"/>
      <c r="K10" s="758"/>
      <c r="L10" s="758"/>
      <c r="M10" s="758"/>
      <c r="N10" s="758"/>
      <c r="O10" s="2161" t="s">
        <v>134</v>
      </c>
      <c r="P10" s="2161"/>
      <c r="Q10" s="758"/>
      <c r="R10" s="758"/>
      <c r="S10" s="758"/>
      <c r="T10" s="770"/>
      <c r="U10" s="770"/>
      <c r="V10" s="770"/>
    </row>
    <row r="11" spans="1:24" x14ac:dyDescent="0.2">
      <c r="A11" s="771" t="s">
        <v>135</v>
      </c>
      <c r="B11" s="759"/>
      <c r="C11" s="772"/>
      <c r="D11" s="759"/>
      <c r="E11" s="759"/>
      <c r="F11" s="759"/>
      <c r="G11" s="759"/>
      <c r="H11" s="759"/>
      <c r="I11" s="759"/>
      <c r="J11" s="759"/>
      <c r="K11" s="759"/>
      <c r="L11" s="759"/>
      <c r="M11" s="759"/>
      <c r="N11" s="759"/>
      <c r="O11" s="2162" t="s">
        <v>136</v>
      </c>
      <c r="P11" s="2162"/>
      <c r="Q11" s="759"/>
      <c r="R11" s="759"/>
      <c r="S11" s="737" t="s">
        <v>137</v>
      </c>
      <c r="T11" s="770"/>
      <c r="U11" s="770"/>
      <c r="V11" s="770"/>
    </row>
    <row r="12" spans="1:24" x14ac:dyDescent="0.2">
      <c r="T12" s="770"/>
      <c r="U12" s="770"/>
      <c r="V12" s="770"/>
    </row>
    <row r="13" spans="1:24" x14ac:dyDescent="0.2">
      <c r="A13" s="773" t="s">
        <v>138</v>
      </c>
      <c r="B13" s="774"/>
      <c r="T13" s="770"/>
      <c r="U13" s="770"/>
      <c r="V13" s="770"/>
    </row>
    <row r="14" spans="1:24" x14ac:dyDescent="0.2">
      <c r="A14" s="775" t="s">
        <v>139</v>
      </c>
      <c r="B14" s="774"/>
      <c r="Q14" s="767" t="s">
        <v>1112</v>
      </c>
      <c r="S14" s="776">
        <f>S15+S16</f>
        <v>49633580.289999999</v>
      </c>
      <c r="T14" s="770"/>
      <c r="V14" s="779"/>
      <c r="W14" s="780"/>
      <c r="X14" s="779"/>
    </row>
    <row r="15" spans="1:24" x14ac:dyDescent="0.2">
      <c r="A15" s="775" t="s">
        <v>1939</v>
      </c>
      <c r="B15" s="774"/>
      <c r="Q15" s="767" t="s">
        <v>634</v>
      </c>
      <c r="S15" s="741">
        <f>'D-1'!D14</f>
        <v>50027627.229999997</v>
      </c>
      <c r="V15" s="779"/>
      <c r="W15" s="780"/>
      <c r="X15" s="779"/>
    </row>
    <row r="16" spans="1:24" x14ac:dyDescent="0.2">
      <c r="A16" s="774"/>
      <c r="B16" s="774"/>
      <c r="Q16" s="767" t="s">
        <v>760</v>
      </c>
      <c r="S16" s="777">
        <f>'D-1'!E14</f>
        <v>-394046.93999999762</v>
      </c>
      <c r="V16" s="779"/>
      <c r="W16" s="780"/>
      <c r="X16" s="779"/>
    </row>
    <row r="17" spans="1:19" x14ac:dyDescent="0.2">
      <c r="A17" s="774"/>
      <c r="B17" s="774"/>
      <c r="S17" s="778">
        <f>ROUND(S16/S15,4)</f>
        <v>-7.9000000000000008E-3</v>
      </c>
    </row>
    <row r="18" spans="1:19" x14ac:dyDescent="0.2">
      <c r="A18" s="774"/>
      <c r="B18" s="774"/>
    </row>
    <row r="19" spans="1:19" x14ac:dyDescent="0.2">
      <c r="A19" s="775" t="s">
        <v>140</v>
      </c>
      <c r="B19" s="774"/>
      <c r="Q19" s="767" t="s">
        <v>1112</v>
      </c>
      <c r="S19" s="776">
        <f>S20+S21</f>
        <v>18489335.329999998</v>
      </c>
    </row>
    <row r="20" spans="1:19" x14ac:dyDescent="0.2">
      <c r="A20" s="775" t="s">
        <v>1939</v>
      </c>
      <c r="B20" s="774"/>
      <c r="Q20" s="767" t="s">
        <v>634</v>
      </c>
      <c r="S20" s="741">
        <f>'D-1'!D15</f>
        <v>18619386.41</v>
      </c>
    </row>
    <row r="21" spans="1:19" x14ac:dyDescent="0.2">
      <c r="A21" s="774"/>
      <c r="B21" s="774"/>
      <c r="Q21" s="767" t="s">
        <v>760</v>
      </c>
      <c r="S21" s="777">
        <f>'D-1'!E15</f>
        <v>-130051.08000000194</v>
      </c>
    </row>
    <row r="22" spans="1:19" x14ac:dyDescent="0.2">
      <c r="A22" s="774"/>
      <c r="B22" s="774"/>
      <c r="S22" s="778">
        <f>ROUND(S21/S20,4)</f>
        <v>-7.0000000000000001E-3</v>
      </c>
    </row>
    <row r="23" spans="1:19" x14ac:dyDescent="0.2">
      <c r="A23" s="774"/>
      <c r="B23" s="774"/>
    </row>
    <row r="24" spans="1:19" x14ac:dyDescent="0.2">
      <c r="A24" s="775" t="s">
        <v>141</v>
      </c>
      <c r="B24" s="774"/>
      <c r="Q24" s="767" t="s">
        <v>1112</v>
      </c>
      <c r="S24" s="776">
        <f>S25+S26</f>
        <v>1407299.0899999999</v>
      </c>
    </row>
    <row r="25" spans="1:19" x14ac:dyDescent="0.2">
      <c r="A25" s="775" t="s">
        <v>1939</v>
      </c>
      <c r="B25" s="774"/>
      <c r="Q25" s="767" t="s">
        <v>634</v>
      </c>
      <c r="S25" s="741">
        <f>'D-1'!D16</f>
        <v>938767.47</v>
      </c>
    </row>
    <row r="26" spans="1:19" x14ac:dyDescent="0.2">
      <c r="A26" s="774"/>
      <c r="B26" s="774"/>
      <c r="Q26" s="767" t="s">
        <v>760</v>
      </c>
      <c r="S26" s="777">
        <f>'D-1'!E16</f>
        <v>468531.61999999988</v>
      </c>
    </row>
    <row r="27" spans="1:19" x14ac:dyDescent="0.2">
      <c r="A27" s="774"/>
      <c r="B27" s="774"/>
      <c r="S27" s="778">
        <f>ROUND(S26/S25,4)</f>
        <v>0.49909999999999999</v>
      </c>
    </row>
    <row r="28" spans="1:19" x14ac:dyDescent="0.2">
      <c r="A28" s="774"/>
      <c r="B28" s="774"/>
    </row>
    <row r="29" spans="1:19" x14ac:dyDescent="0.2">
      <c r="A29" s="775" t="s">
        <v>142</v>
      </c>
      <c r="B29" s="774"/>
      <c r="Q29" s="767" t="s">
        <v>1112</v>
      </c>
      <c r="S29" s="776">
        <f>S30+S31</f>
        <v>47711.12000000001</v>
      </c>
    </row>
    <row r="30" spans="1:19" x14ac:dyDescent="0.2">
      <c r="A30" s="775" t="s">
        <v>1939</v>
      </c>
      <c r="B30" s="774"/>
      <c r="Q30" s="767" t="s">
        <v>634</v>
      </c>
      <c r="S30" s="741">
        <f>'D-1'!D17</f>
        <v>43030.970000000008</v>
      </c>
    </row>
    <row r="31" spans="1:19" x14ac:dyDescent="0.2">
      <c r="A31" s="774"/>
      <c r="B31" s="774"/>
      <c r="Q31" s="767" t="s">
        <v>760</v>
      </c>
      <c r="S31" s="777">
        <f>'D-1'!E17</f>
        <v>4680.1500000000015</v>
      </c>
    </row>
    <row r="32" spans="1:19" x14ac:dyDescent="0.2">
      <c r="A32" s="774"/>
      <c r="B32" s="774"/>
      <c r="S32" s="778">
        <f>ROUND(S31/S30,4)</f>
        <v>0.10879999999999999</v>
      </c>
    </row>
    <row r="33" spans="1:19" x14ac:dyDescent="0.2">
      <c r="A33" s="774"/>
      <c r="B33" s="774"/>
    </row>
    <row r="34" spans="1:19" x14ac:dyDescent="0.2">
      <c r="A34" s="773" t="s">
        <v>143</v>
      </c>
      <c r="B34" s="774"/>
    </row>
    <row r="35" spans="1:19" x14ac:dyDescent="0.2">
      <c r="A35" s="775" t="s">
        <v>1940</v>
      </c>
      <c r="B35" s="774"/>
      <c r="Q35" s="767" t="s">
        <v>1112</v>
      </c>
      <c r="S35" s="776">
        <f>S36+S37</f>
        <v>476000</v>
      </c>
    </row>
    <row r="36" spans="1:19" x14ac:dyDescent="0.2">
      <c r="A36" s="775" t="s">
        <v>2309</v>
      </c>
      <c r="B36" s="774"/>
      <c r="Q36" s="767" t="s">
        <v>634</v>
      </c>
      <c r="S36" s="741">
        <f>'D-1'!D21</f>
        <v>434815.49</v>
      </c>
    </row>
    <row r="37" spans="1:19" x14ac:dyDescent="0.2">
      <c r="A37" s="774"/>
      <c r="B37" s="774"/>
      <c r="Q37" s="767" t="s">
        <v>760</v>
      </c>
      <c r="S37" s="777">
        <f>'D-1'!F21</f>
        <v>41184.510000000009</v>
      </c>
    </row>
    <row r="38" spans="1:19" x14ac:dyDescent="0.2">
      <c r="A38" s="774"/>
      <c r="B38" s="774"/>
      <c r="S38" s="778">
        <f>ROUND(S37/S36,4)</f>
        <v>9.4700000000000006E-2</v>
      </c>
    </row>
    <row r="39" spans="1:19" x14ac:dyDescent="0.2">
      <c r="A39" s="774"/>
      <c r="B39" s="774"/>
    </row>
    <row r="40" spans="1:19" x14ac:dyDescent="0.2">
      <c r="A40" s="775" t="s">
        <v>1941</v>
      </c>
      <c r="B40" s="774"/>
      <c r="C40" s="766"/>
      <c r="Q40" s="767" t="s">
        <v>1112</v>
      </c>
      <c r="S40" s="776">
        <f>S41+S42</f>
        <v>137000</v>
      </c>
    </row>
    <row r="41" spans="1:19" x14ac:dyDescent="0.2">
      <c r="A41" s="775" t="s">
        <v>2309</v>
      </c>
      <c r="B41" s="774"/>
      <c r="Q41" s="767" t="s">
        <v>634</v>
      </c>
      <c r="S41" s="741">
        <f>'D-1'!D22</f>
        <v>136923.37</v>
      </c>
    </row>
    <row r="42" spans="1:19" x14ac:dyDescent="0.2">
      <c r="A42" s="774"/>
      <c r="B42" s="774"/>
      <c r="Q42" s="767" t="s">
        <v>760</v>
      </c>
      <c r="S42" s="777">
        <f>'D-1'!F22</f>
        <v>76.630000000004657</v>
      </c>
    </row>
    <row r="43" spans="1:19" x14ac:dyDescent="0.2">
      <c r="A43" s="774"/>
      <c r="B43" s="774"/>
      <c r="S43" s="778">
        <f>ROUND(S42/S41,4)</f>
        <v>5.9999999999999995E-4</v>
      </c>
    </row>
    <row r="44" spans="1:19" x14ac:dyDescent="0.2">
      <c r="A44" s="774"/>
      <c r="B44" s="774"/>
    </row>
    <row r="45" spans="1:19" x14ac:dyDescent="0.2">
      <c r="A45" s="775" t="s">
        <v>1942</v>
      </c>
      <c r="B45" s="774"/>
      <c r="Q45" s="767" t="s">
        <v>1112</v>
      </c>
      <c r="S45" s="776">
        <f>S46+S47</f>
        <v>21807062.239999998</v>
      </c>
    </row>
    <row r="46" spans="1:19" x14ac:dyDescent="0.2">
      <c r="A46" s="775" t="s">
        <v>1939</v>
      </c>
      <c r="B46" s="774"/>
      <c r="Q46" s="767" t="s">
        <v>634</v>
      </c>
      <c r="S46" s="741">
        <f>'D-1'!D23</f>
        <v>21950546.569999997</v>
      </c>
    </row>
    <row r="47" spans="1:19" x14ac:dyDescent="0.2">
      <c r="A47" s="775"/>
      <c r="B47" s="774"/>
      <c r="Q47" s="767" t="s">
        <v>760</v>
      </c>
      <c r="S47" s="777">
        <f>'D-1'!F23</f>
        <v>-143484.32999999821</v>
      </c>
    </row>
    <row r="48" spans="1:19" x14ac:dyDescent="0.2">
      <c r="B48" s="774"/>
      <c r="S48" s="778">
        <f>ROUND(S47/S46,4)</f>
        <v>-6.4999999999999997E-3</v>
      </c>
    </row>
    <row r="49" spans="1:24" x14ac:dyDescent="0.2">
      <c r="B49" s="774"/>
      <c r="S49" s="778"/>
    </row>
    <row r="50" spans="1:24" x14ac:dyDescent="0.2">
      <c r="A50" s="775" t="s">
        <v>144</v>
      </c>
      <c r="B50" s="774"/>
      <c r="Q50" s="767" t="s">
        <v>1112</v>
      </c>
      <c r="S50" s="776">
        <f>S51+S52</f>
        <v>72000</v>
      </c>
    </row>
    <row r="51" spans="1:24" x14ac:dyDescent="0.2">
      <c r="A51" s="775" t="s">
        <v>145</v>
      </c>
      <c r="B51" s="774"/>
      <c r="Q51" s="767" t="s">
        <v>634</v>
      </c>
      <c r="S51" s="741">
        <f>'D-1'!D24</f>
        <v>70753.459999999992</v>
      </c>
    </row>
    <row r="52" spans="1:24" x14ac:dyDescent="0.2">
      <c r="A52" s="775"/>
      <c r="B52" s="774"/>
      <c r="Q52" s="767" t="s">
        <v>760</v>
      </c>
      <c r="S52" s="777">
        <f>'D-1'!O24</f>
        <v>1246.5400000000081</v>
      </c>
    </row>
    <row r="53" spans="1:24" x14ac:dyDescent="0.2">
      <c r="A53" s="775"/>
      <c r="B53" s="774"/>
      <c r="Q53" s="767"/>
      <c r="S53" s="778">
        <f>ROUND(S52/S51,4)</f>
        <v>1.7600000000000001E-2</v>
      </c>
    </row>
    <row r="54" spans="1:24" x14ac:dyDescent="0.2">
      <c r="A54" s="775"/>
      <c r="B54" s="774"/>
      <c r="Q54" s="767"/>
      <c r="S54" s="741"/>
    </row>
    <row r="55" spans="1:24" x14ac:dyDescent="0.2">
      <c r="A55" s="775" t="s">
        <v>146</v>
      </c>
      <c r="B55" s="774"/>
      <c r="Q55" s="767" t="s">
        <v>1112</v>
      </c>
      <c r="S55" s="776">
        <f>S56+S57</f>
        <v>515000</v>
      </c>
      <c r="V55" s="779"/>
      <c r="W55" s="780"/>
      <c r="X55" s="779"/>
    </row>
    <row r="56" spans="1:24" x14ac:dyDescent="0.2">
      <c r="A56" s="775" t="s">
        <v>147</v>
      </c>
      <c r="B56" s="774"/>
      <c r="Q56" s="767" t="s">
        <v>634</v>
      </c>
      <c r="S56" s="741">
        <f>'D-1'!D25</f>
        <v>9821332.8899999987</v>
      </c>
      <c r="V56" s="779"/>
      <c r="W56" s="780"/>
      <c r="X56" s="779"/>
    </row>
    <row r="57" spans="1:24" x14ac:dyDescent="0.2">
      <c r="A57" s="775"/>
      <c r="B57" s="774"/>
      <c r="Q57" s="767" t="s">
        <v>760</v>
      </c>
      <c r="S57" s="777">
        <f>'D-1'!O25</f>
        <v>-9306332.8899999987</v>
      </c>
      <c r="V57" s="779"/>
      <c r="W57" s="780"/>
      <c r="X57" s="779"/>
    </row>
    <row r="58" spans="1:24" x14ac:dyDescent="0.2">
      <c r="A58" s="775"/>
      <c r="B58" s="774"/>
      <c r="Q58" s="767"/>
      <c r="S58" s="778">
        <f>ROUND(S57/S56,4)</f>
        <v>-0.9476</v>
      </c>
    </row>
    <row r="59" spans="1:24" ht="12.75" customHeight="1" x14ac:dyDescent="0.2">
      <c r="A59" s="2160" t="s">
        <v>624</v>
      </c>
      <c r="B59" s="2160"/>
      <c r="C59" s="2160"/>
      <c r="D59" s="2160"/>
      <c r="E59" s="2160"/>
      <c r="F59" s="2160"/>
      <c r="G59" s="2160"/>
      <c r="H59" s="2160"/>
      <c r="I59" s="2160"/>
      <c r="J59" s="2160"/>
      <c r="K59" s="2160"/>
      <c r="L59" s="2160"/>
      <c r="M59" s="2160"/>
      <c r="N59" s="2160"/>
      <c r="O59" s="2160"/>
      <c r="P59" s="2160"/>
      <c r="Q59" s="2160"/>
      <c r="R59" s="2160"/>
      <c r="S59" s="2160"/>
    </row>
    <row r="60" spans="1:24" ht="12.75" customHeight="1" x14ac:dyDescent="0.2">
      <c r="A60" s="2160" t="str">
        <f>case</f>
        <v>CASE NO. 2016 - 00162</v>
      </c>
      <c r="B60" s="2160"/>
      <c r="C60" s="2160"/>
      <c r="D60" s="2160"/>
      <c r="E60" s="2160"/>
      <c r="F60" s="2160"/>
      <c r="G60" s="2160"/>
      <c r="H60" s="2160"/>
      <c r="I60" s="2160"/>
      <c r="J60" s="2160"/>
      <c r="K60" s="2160"/>
      <c r="L60" s="2160"/>
      <c r="M60" s="2160"/>
      <c r="N60" s="2160"/>
      <c r="O60" s="2160"/>
      <c r="P60" s="2160"/>
      <c r="Q60" s="2160"/>
      <c r="R60" s="2160"/>
      <c r="S60" s="2160"/>
    </row>
    <row r="61" spans="1:24" ht="12.75" customHeight="1" x14ac:dyDescent="0.2">
      <c r="A61" s="2160" t="s">
        <v>1294</v>
      </c>
      <c r="B61" s="2160"/>
      <c r="C61" s="2160"/>
      <c r="D61" s="2160"/>
      <c r="E61" s="2160"/>
      <c r="F61" s="2160"/>
      <c r="G61" s="2160"/>
      <c r="H61" s="2160"/>
      <c r="I61" s="2160"/>
      <c r="J61" s="2160"/>
      <c r="K61" s="2160"/>
      <c r="L61" s="2160"/>
      <c r="M61" s="2160"/>
      <c r="N61" s="2160"/>
      <c r="O61" s="2160"/>
      <c r="P61" s="2160"/>
      <c r="Q61" s="2160"/>
      <c r="R61" s="2160"/>
      <c r="S61" s="2160"/>
    </row>
    <row r="62" spans="1:24" ht="12.75" customHeight="1" x14ac:dyDescent="0.2">
      <c r="A62" s="2159" t="str">
        <f>A4</f>
        <v>FOR THE TWELVE MONTHS ENDED AUGUST 31, 2016 AND THE TWELVE MONTHS ENDED DECEMBER 31, 2017</v>
      </c>
      <c r="B62" s="2159"/>
      <c r="C62" s="2159"/>
      <c r="D62" s="2159"/>
      <c r="E62" s="2159"/>
      <c r="F62" s="2159"/>
      <c r="G62" s="2159"/>
      <c r="H62" s="2159"/>
      <c r="I62" s="2159"/>
      <c r="J62" s="2159"/>
      <c r="K62" s="2159"/>
      <c r="L62" s="2159"/>
      <c r="M62" s="2159"/>
      <c r="N62" s="2159"/>
      <c r="O62" s="2159"/>
      <c r="P62" s="2159"/>
      <c r="Q62" s="2159"/>
      <c r="R62" s="2159"/>
      <c r="S62" s="2159"/>
    </row>
    <row r="63" spans="1:24" x14ac:dyDescent="0.2">
      <c r="C63" s="766"/>
      <c r="J63" s="724"/>
    </row>
    <row r="64" spans="1:24" x14ac:dyDescent="0.2">
      <c r="A64" s="767" t="s">
        <v>132</v>
      </c>
      <c r="S64" s="768" t="s">
        <v>133</v>
      </c>
    </row>
    <row r="65" spans="1:19" x14ac:dyDescent="0.2">
      <c r="A65" s="767" t="s">
        <v>1604</v>
      </c>
      <c r="S65" s="768" t="s">
        <v>1438</v>
      </c>
    </row>
    <row r="66" spans="1:19" x14ac:dyDescent="0.2">
      <c r="A66" s="767" t="s">
        <v>1606</v>
      </c>
      <c r="S66" s="769" t="str">
        <f>S8</f>
        <v>WITNESS:  M. J. Bell</v>
      </c>
    </row>
    <row r="67" spans="1:19" x14ac:dyDescent="0.2">
      <c r="A67" s="766"/>
      <c r="C67" s="766"/>
      <c r="H67" s="766"/>
      <c r="J67" s="766"/>
      <c r="L67" s="766"/>
    </row>
    <row r="68" spans="1:19" x14ac:dyDescent="0.2">
      <c r="A68" s="758"/>
      <c r="B68" s="758"/>
      <c r="C68" s="758"/>
      <c r="D68" s="758"/>
      <c r="E68" s="758"/>
      <c r="F68" s="758"/>
      <c r="G68" s="758"/>
      <c r="H68" s="758"/>
      <c r="I68" s="758"/>
      <c r="J68" s="758"/>
      <c r="K68" s="758"/>
      <c r="L68" s="758"/>
      <c r="M68" s="758"/>
      <c r="N68" s="758"/>
      <c r="O68" s="734" t="s">
        <v>134</v>
      </c>
      <c r="P68" s="758"/>
      <c r="Q68" s="758"/>
      <c r="R68" s="758"/>
      <c r="S68" s="758"/>
    </row>
    <row r="69" spans="1:19" x14ac:dyDescent="0.2">
      <c r="A69" s="771" t="s">
        <v>135</v>
      </c>
      <c r="B69" s="759"/>
      <c r="C69" s="772"/>
      <c r="D69" s="759"/>
      <c r="E69" s="759"/>
      <c r="F69" s="759"/>
      <c r="G69" s="759"/>
      <c r="H69" s="759"/>
      <c r="I69" s="759"/>
      <c r="J69" s="759"/>
      <c r="K69" s="759"/>
      <c r="L69" s="759"/>
      <c r="M69" s="759"/>
      <c r="N69" s="759"/>
      <c r="O69" s="737" t="s">
        <v>136</v>
      </c>
      <c r="P69" s="759"/>
      <c r="Q69" s="759"/>
      <c r="R69" s="759"/>
      <c r="S69" s="737" t="s">
        <v>137</v>
      </c>
    </row>
    <row r="72" spans="1:19" x14ac:dyDescent="0.2">
      <c r="A72" s="773" t="s">
        <v>148</v>
      </c>
      <c r="B72" s="774"/>
      <c r="C72" s="774"/>
      <c r="D72" s="774"/>
      <c r="E72" s="774"/>
      <c r="F72" s="774"/>
      <c r="G72" s="774"/>
      <c r="H72" s="774"/>
      <c r="I72" s="774"/>
      <c r="J72" s="774"/>
      <c r="K72" s="774"/>
      <c r="L72" s="774"/>
      <c r="M72" s="774"/>
    </row>
    <row r="73" spans="1:19" x14ac:dyDescent="0.2">
      <c r="A73" s="775" t="s">
        <v>149</v>
      </c>
      <c r="B73" s="774"/>
      <c r="C73" s="774"/>
      <c r="D73" s="774"/>
      <c r="E73" s="774"/>
      <c r="F73" s="774"/>
      <c r="G73" s="774"/>
      <c r="H73" s="774"/>
      <c r="I73" s="774"/>
      <c r="J73" s="774"/>
      <c r="K73" s="774"/>
      <c r="L73" s="774"/>
      <c r="M73" s="774"/>
      <c r="Q73" s="767" t="s">
        <v>1112</v>
      </c>
      <c r="S73" s="776">
        <f>S74+S75</f>
        <v>16536481.579999998</v>
      </c>
    </row>
    <row r="74" spans="1:19" x14ac:dyDescent="0.2">
      <c r="A74" s="775" t="s">
        <v>150</v>
      </c>
      <c r="B74" s="774"/>
      <c r="C74" s="774"/>
      <c r="D74" s="774"/>
      <c r="E74" s="774"/>
      <c r="F74" s="774"/>
      <c r="G74" s="774"/>
      <c r="H74" s="774"/>
      <c r="I74" s="774"/>
      <c r="J74" s="774"/>
      <c r="K74" s="774"/>
      <c r="L74" s="774"/>
      <c r="M74" s="774"/>
      <c r="Q74" s="767" t="s">
        <v>634</v>
      </c>
      <c r="S74" s="741">
        <f>'D-1'!D32+'D-1'!D36</f>
        <v>24384719.419999998</v>
      </c>
    </row>
    <row r="75" spans="1:19" x14ac:dyDescent="0.2">
      <c r="A75" s="774"/>
      <c r="B75" s="774"/>
      <c r="C75" s="774"/>
      <c r="D75" s="774"/>
      <c r="E75" s="774"/>
      <c r="F75" s="774"/>
      <c r="G75" s="774"/>
      <c r="H75" s="774"/>
      <c r="I75" s="774"/>
      <c r="J75" s="774"/>
      <c r="K75" s="774"/>
      <c r="L75" s="774"/>
      <c r="M75" s="774"/>
      <c r="Q75" s="767" t="s">
        <v>760</v>
      </c>
      <c r="S75" s="777">
        <f>'D-1'!G32+'D-1'!G36</f>
        <v>-7848237.8399999999</v>
      </c>
    </row>
    <row r="76" spans="1:19" x14ac:dyDescent="0.2">
      <c r="A76" s="774"/>
      <c r="B76" s="774"/>
      <c r="C76" s="774"/>
      <c r="D76" s="774"/>
      <c r="E76" s="774"/>
      <c r="F76" s="774"/>
      <c r="G76" s="774"/>
      <c r="H76" s="774"/>
      <c r="I76" s="774"/>
      <c r="J76" s="774"/>
      <c r="K76" s="774"/>
      <c r="L76" s="774"/>
      <c r="M76" s="774"/>
      <c r="S76" s="778">
        <f>ROUND(S75/S74,4)</f>
        <v>-0.32190000000000002</v>
      </c>
    </row>
    <row r="77" spans="1:19" x14ac:dyDescent="0.2">
      <c r="A77" s="774"/>
      <c r="B77" s="774"/>
      <c r="C77" s="774"/>
      <c r="D77" s="774"/>
      <c r="E77" s="774"/>
      <c r="F77" s="774"/>
      <c r="G77" s="774"/>
      <c r="H77" s="774"/>
      <c r="I77" s="774"/>
      <c r="J77" s="774"/>
      <c r="K77" s="774"/>
      <c r="L77" s="774"/>
      <c r="M77" s="774"/>
    </row>
    <row r="78" spans="1:19" x14ac:dyDescent="0.2">
      <c r="A78" s="775" t="s">
        <v>151</v>
      </c>
      <c r="B78" s="774"/>
      <c r="C78" s="774"/>
      <c r="D78" s="774"/>
      <c r="E78" s="774"/>
      <c r="F78" s="774"/>
      <c r="G78" s="774"/>
      <c r="H78" s="774"/>
      <c r="I78" s="774"/>
      <c r="J78" s="774"/>
      <c r="K78" s="774"/>
      <c r="L78" s="774"/>
      <c r="M78" s="774"/>
      <c r="Q78" s="767" t="s">
        <v>1112</v>
      </c>
      <c r="S78" s="776">
        <f>S79+S80</f>
        <v>429518.99999999994</v>
      </c>
    </row>
    <row r="79" spans="1:19" x14ac:dyDescent="0.2">
      <c r="A79" s="775" t="s">
        <v>150</v>
      </c>
      <c r="B79" s="774"/>
      <c r="C79" s="774"/>
      <c r="D79" s="774"/>
      <c r="E79" s="774"/>
      <c r="F79" s="774"/>
      <c r="G79" s="774"/>
      <c r="H79" s="774"/>
      <c r="I79" s="774"/>
      <c r="J79" s="774"/>
      <c r="K79" s="774"/>
      <c r="L79" s="774"/>
      <c r="M79" s="774"/>
      <c r="Q79" s="767" t="s">
        <v>634</v>
      </c>
      <c r="S79" s="741">
        <f>'D-1'!D33</f>
        <v>575741.15</v>
      </c>
    </row>
    <row r="80" spans="1:19" x14ac:dyDescent="0.2">
      <c r="A80" s="774"/>
      <c r="B80" s="774"/>
      <c r="C80" s="774"/>
      <c r="D80" s="774"/>
      <c r="E80" s="774"/>
      <c r="F80" s="774"/>
      <c r="G80" s="774"/>
      <c r="H80" s="774"/>
      <c r="I80" s="774"/>
      <c r="J80" s="774"/>
      <c r="K80" s="774"/>
      <c r="L80" s="774"/>
      <c r="M80" s="774"/>
      <c r="Q80" s="767" t="s">
        <v>760</v>
      </c>
      <c r="S80" s="777">
        <f>'D-1'!G33</f>
        <v>-146222.15000000008</v>
      </c>
    </row>
    <row r="81" spans="1:31" x14ac:dyDescent="0.2">
      <c r="A81" s="774"/>
      <c r="B81" s="774"/>
      <c r="C81" s="744"/>
      <c r="D81" s="744"/>
      <c r="E81" s="744"/>
      <c r="F81" s="744"/>
      <c r="G81" s="744"/>
      <c r="H81" s="744"/>
      <c r="I81" s="744"/>
      <c r="J81" s="744"/>
      <c r="K81" s="744"/>
      <c r="L81" s="744"/>
      <c r="M81" s="744"/>
      <c r="N81" s="741"/>
      <c r="O81" s="741"/>
      <c r="P81" s="741"/>
      <c r="S81" s="778">
        <f>ROUND(S80/S79,4)</f>
        <v>-0.254</v>
      </c>
      <c r="T81" s="741"/>
      <c r="U81" s="741"/>
      <c r="V81" s="741"/>
      <c r="W81" s="741"/>
      <c r="X81" s="741"/>
      <c r="Y81" s="741"/>
      <c r="Z81" s="741"/>
      <c r="AA81" s="741"/>
    </row>
    <row r="82" spans="1:31" x14ac:dyDescent="0.2">
      <c r="A82" s="774"/>
      <c r="B82" s="774"/>
      <c r="C82" s="744"/>
      <c r="D82" s="744"/>
      <c r="E82" s="744"/>
      <c r="F82" s="744"/>
      <c r="G82" s="744"/>
      <c r="H82" s="744"/>
      <c r="I82" s="744"/>
      <c r="J82" s="744"/>
      <c r="K82" s="744"/>
      <c r="L82" s="744"/>
      <c r="M82" s="744"/>
      <c r="N82" s="741"/>
      <c r="O82" s="741"/>
      <c r="P82" s="741"/>
      <c r="S82" s="776"/>
      <c r="T82" s="741"/>
      <c r="U82" s="741"/>
      <c r="V82" s="741"/>
      <c r="W82" s="741"/>
      <c r="X82" s="741"/>
      <c r="Y82" s="741"/>
      <c r="Z82" s="741"/>
      <c r="AA82" s="741"/>
    </row>
    <row r="83" spans="1:31" x14ac:dyDescent="0.2">
      <c r="A83" s="775" t="s">
        <v>152</v>
      </c>
      <c r="B83" s="774"/>
      <c r="C83" s="744"/>
      <c r="D83" s="744"/>
      <c r="E83" s="744"/>
      <c r="F83" s="744"/>
      <c r="G83" s="744"/>
      <c r="H83" s="744"/>
      <c r="I83" s="744"/>
      <c r="J83" s="744"/>
      <c r="K83" s="744"/>
      <c r="L83" s="744"/>
      <c r="M83" s="744"/>
      <c r="N83" s="741"/>
      <c r="O83" s="741"/>
      <c r="P83" s="741"/>
      <c r="Q83" s="767" t="s">
        <v>1112</v>
      </c>
      <c r="S83" s="776">
        <f>S84+S85</f>
        <v>4724709.0199999996</v>
      </c>
      <c r="T83" s="741"/>
      <c r="U83" s="741"/>
      <c r="V83" s="741"/>
      <c r="W83" s="741"/>
      <c r="X83" s="741"/>
      <c r="Y83" s="741"/>
      <c r="Z83" s="741"/>
      <c r="AA83" s="741"/>
    </row>
    <row r="84" spans="1:31" x14ac:dyDescent="0.2">
      <c r="A84" s="775" t="s">
        <v>150</v>
      </c>
      <c r="B84" s="774"/>
      <c r="C84" s="774"/>
      <c r="D84" s="774"/>
      <c r="E84" s="774"/>
      <c r="F84" s="774"/>
      <c r="G84" s="774"/>
      <c r="H84" s="744"/>
      <c r="I84" s="774"/>
      <c r="J84" s="1518"/>
      <c r="K84" s="774"/>
      <c r="L84" s="744"/>
      <c r="M84" s="774"/>
      <c r="Q84" s="767" t="s">
        <v>634</v>
      </c>
      <c r="S84" s="741">
        <f>'D-1'!D34</f>
        <v>-8784163.0299999975</v>
      </c>
    </row>
    <row r="85" spans="1:31" x14ac:dyDescent="0.2">
      <c r="A85" s="774"/>
      <c r="B85" s="774"/>
      <c r="C85" s="744"/>
      <c r="D85" s="744"/>
      <c r="E85" s="744"/>
      <c r="F85" s="744"/>
      <c r="G85" s="744"/>
      <c r="H85" s="744"/>
      <c r="I85" s="744"/>
      <c r="J85" s="744"/>
      <c r="K85" s="744"/>
      <c r="L85" s="744"/>
      <c r="M85" s="744"/>
      <c r="N85" s="741"/>
      <c r="O85" s="741"/>
      <c r="P85" s="741"/>
      <c r="Q85" s="767" t="s">
        <v>760</v>
      </c>
      <c r="S85" s="777">
        <f>'D-1'!G34</f>
        <v>13508872.049999997</v>
      </c>
      <c r="T85" s="741"/>
      <c r="U85" s="741"/>
      <c r="V85" s="741"/>
      <c r="W85" s="741"/>
      <c r="X85" s="741"/>
      <c r="Y85" s="741"/>
      <c r="Z85" s="741"/>
      <c r="AA85" s="741"/>
      <c r="AB85" s="741"/>
    </row>
    <row r="86" spans="1:31" x14ac:dyDescent="0.2">
      <c r="A86" s="774"/>
      <c r="B86" s="774"/>
      <c r="C86" s="744"/>
      <c r="D86" s="744"/>
      <c r="E86" s="744"/>
      <c r="F86" s="744"/>
      <c r="G86" s="744"/>
      <c r="H86" s="744"/>
      <c r="I86" s="744"/>
      <c r="J86" s="744"/>
      <c r="K86" s="744"/>
      <c r="L86" s="744"/>
      <c r="M86" s="744"/>
      <c r="N86" s="741"/>
      <c r="O86" s="741"/>
      <c r="P86" s="741"/>
      <c r="S86" s="778">
        <f>ROUND(S85/S84,4)</f>
        <v>-1.5379</v>
      </c>
      <c r="T86" s="741"/>
      <c r="U86" s="741"/>
      <c r="V86" s="741"/>
      <c r="W86" s="741"/>
      <c r="X86" s="741"/>
      <c r="Y86" s="741"/>
      <c r="Z86" s="741"/>
      <c r="AA86" s="741"/>
      <c r="AB86" s="741"/>
    </row>
    <row r="87" spans="1:31" x14ac:dyDescent="0.2">
      <c r="A87" s="774"/>
      <c r="B87" s="774"/>
      <c r="C87" s="744"/>
      <c r="D87" s="744"/>
      <c r="E87" s="744"/>
      <c r="F87" s="744"/>
      <c r="G87" s="744"/>
      <c r="H87" s="744"/>
      <c r="I87" s="744"/>
      <c r="J87" s="744"/>
      <c r="K87" s="744"/>
      <c r="L87" s="744"/>
      <c r="M87" s="744"/>
      <c r="N87" s="741"/>
      <c r="O87" s="741"/>
      <c r="P87" s="741"/>
      <c r="Q87" s="741"/>
      <c r="R87" s="741"/>
      <c r="S87" s="741"/>
      <c r="T87" s="741"/>
      <c r="U87" s="741"/>
      <c r="V87" s="741"/>
      <c r="W87" s="741"/>
      <c r="X87" s="741"/>
      <c r="Y87" s="741"/>
      <c r="Z87" s="741"/>
      <c r="AA87" s="741"/>
      <c r="AB87" s="741"/>
    </row>
    <row r="88" spans="1:31" x14ac:dyDescent="0.2">
      <c r="A88" s="775" t="s">
        <v>153</v>
      </c>
      <c r="B88" s="774"/>
      <c r="C88" s="774"/>
      <c r="D88" s="774"/>
      <c r="E88" s="774"/>
      <c r="F88" s="774"/>
      <c r="G88" s="774"/>
      <c r="H88" s="774"/>
      <c r="I88" s="774"/>
      <c r="J88" s="774"/>
      <c r="K88" s="774"/>
      <c r="L88" s="774"/>
      <c r="M88" s="774"/>
      <c r="Q88" s="767" t="s">
        <v>1112</v>
      </c>
      <c r="S88" s="776">
        <f>S89+S90</f>
        <v>-1718075.9899999998</v>
      </c>
      <c r="AA88" s="781"/>
    </row>
    <row r="89" spans="1:31" x14ac:dyDescent="0.2">
      <c r="A89" s="775" t="s">
        <v>150</v>
      </c>
      <c r="B89" s="774"/>
      <c r="C89" s="774"/>
      <c r="D89" s="774"/>
      <c r="E89" s="774"/>
      <c r="F89" s="774"/>
      <c r="G89" s="774"/>
      <c r="H89" s="774"/>
      <c r="I89" s="774"/>
      <c r="J89" s="774"/>
      <c r="K89" s="774"/>
      <c r="L89" s="774"/>
      <c r="M89" s="774"/>
      <c r="Q89" s="767" t="s">
        <v>634</v>
      </c>
      <c r="S89" s="741">
        <f>'D-1'!D35</f>
        <v>-2035564.5399999998</v>
      </c>
    </row>
    <row r="90" spans="1:31" x14ac:dyDescent="0.2">
      <c r="A90" s="774"/>
      <c r="B90" s="774"/>
      <c r="C90" s="774"/>
      <c r="D90" s="774"/>
      <c r="E90" s="774"/>
      <c r="F90" s="774"/>
      <c r="G90" s="774"/>
      <c r="H90" s="774"/>
      <c r="I90" s="774"/>
      <c r="J90" s="774"/>
      <c r="K90" s="774"/>
      <c r="L90" s="774"/>
      <c r="M90" s="774"/>
      <c r="Q90" s="767" t="s">
        <v>760</v>
      </c>
      <c r="S90" s="777">
        <f>'D-1'!G35</f>
        <v>317488.55000000005</v>
      </c>
      <c r="T90" s="741"/>
      <c r="U90" s="741"/>
      <c r="V90" s="741"/>
      <c r="W90" s="741"/>
      <c r="X90" s="741"/>
      <c r="Y90" s="741"/>
      <c r="Z90" s="741"/>
      <c r="AA90" s="741"/>
      <c r="AB90" s="741"/>
      <c r="AC90" s="741"/>
      <c r="AD90" s="741"/>
      <c r="AE90" s="741"/>
    </row>
    <row r="91" spans="1:31" x14ac:dyDescent="0.2">
      <c r="A91" s="774"/>
      <c r="B91" s="774"/>
      <c r="C91" s="774"/>
      <c r="D91" s="774"/>
      <c r="E91" s="774"/>
      <c r="F91" s="774"/>
      <c r="G91" s="774"/>
      <c r="H91" s="774"/>
      <c r="I91" s="774"/>
      <c r="J91" s="774"/>
      <c r="K91" s="774"/>
      <c r="L91" s="774"/>
      <c r="M91" s="774"/>
      <c r="S91" s="778">
        <f>ROUND(S90/S89,4)</f>
        <v>-0.156</v>
      </c>
      <c r="T91" s="741"/>
      <c r="U91" s="741"/>
      <c r="V91" s="741"/>
      <c r="W91" s="741"/>
      <c r="X91" s="741"/>
      <c r="Y91" s="741"/>
      <c r="Z91" s="741"/>
      <c r="AA91" s="741"/>
      <c r="AB91" s="741"/>
      <c r="AC91" s="741"/>
      <c r="AD91" s="741"/>
      <c r="AE91" s="741"/>
    </row>
    <row r="92" spans="1:31" x14ac:dyDescent="0.2">
      <c r="A92" s="774"/>
      <c r="B92" s="774"/>
      <c r="C92" s="774"/>
      <c r="D92" s="774"/>
      <c r="E92" s="774"/>
      <c r="F92" s="774"/>
      <c r="G92" s="774"/>
      <c r="H92" s="774"/>
      <c r="I92" s="774"/>
      <c r="J92" s="774"/>
      <c r="K92" s="774"/>
      <c r="L92" s="774"/>
      <c r="M92" s="774"/>
      <c r="S92" s="741"/>
      <c r="T92" s="741"/>
      <c r="U92" s="741"/>
      <c r="V92" s="741"/>
      <c r="W92" s="741"/>
      <c r="X92" s="741"/>
      <c r="Y92" s="741"/>
      <c r="Z92" s="741"/>
      <c r="AA92" s="741"/>
      <c r="AB92" s="741"/>
      <c r="AC92" s="741"/>
      <c r="AD92" s="741"/>
      <c r="AE92" s="741"/>
    </row>
    <row r="93" spans="1:31" x14ac:dyDescent="0.2">
      <c r="A93" s="775" t="s">
        <v>154</v>
      </c>
      <c r="B93" s="774"/>
      <c r="C93" s="774"/>
      <c r="D93" s="774"/>
      <c r="E93" s="774"/>
      <c r="F93" s="774"/>
      <c r="G93" s="774"/>
      <c r="H93" s="774"/>
      <c r="I93" s="774"/>
      <c r="J93" s="774"/>
      <c r="K93" s="774"/>
      <c r="L93" s="774"/>
      <c r="M93" s="774"/>
      <c r="Q93" s="767" t="s">
        <v>1112</v>
      </c>
      <c r="S93" s="776">
        <f>S94+S95</f>
        <v>1503316.5099999998</v>
      </c>
      <c r="AA93" s="781"/>
    </row>
    <row r="94" spans="1:31" x14ac:dyDescent="0.2">
      <c r="A94" s="775" t="s">
        <v>150</v>
      </c>
      <c r="B94" s="774"/>
      <c r="C94" s="774"/>
      <c r="D94" s="774"/>
      <c r="E94" s="774"/>
      <c r="F94" s="774"/>
      <c r="G94" s="774"/>
      <c r="H94" s="774"/>
      <c r="I94" s="774"/>
      <c r="J94" s="774"/>
      <c r="K94" s="774"/>
      <c r="L94" s="774"/>
      <c r="M94" s="774"/>
      <c r="Q94" s="767" t="s">
        <v>634</v>
      </c>
      <c r="S94" s="741">
        <f>'D-1'!D37</f>
        <v>15800335.310000001</v>
      </c>
    </row>
    <row r="95" spans="1:31" x14ac:dyDescent="0.2">
      <c r="A95" s="774"/>
      <c r="B95" s="774"/>
      <c r="C95" s="774"/>
      <c r="D95" s="774"/>
      <c r="E95" s="774"/>
      <c r="F95" s="774"/>
      <c r="G95" s="774"/>
      <c r="H95" s="774"/>
      <c r="I95" s="774"/>
      <c r="J95" s="774"/>
      <c r="K95" s="774"/>
      <c r="L95" s="774"/>
      <c r="M95" s="774"/>
      <c r="Q95" s="767" t="s">
        <v>760</v>
      </c>
      <c r="S95" s="777">
        <f>'D-1'!G37</f>
        <v>-14297018.800000001</v>
      </c>
      <c r="T95" s="741"/>
      <c r="U95" s="741"/>
      <c r="V95" s="741"/>
      <c r="W95" s="741"/>
      <c r="X95" s="741"/>
      <c r="Y95" s="741"/>
      <c r="Z95" s="741"/>
      <c r="AA95" s="741"/>
      <c r="AB95" s="741"/>
      <c r="AC95" s="741"/>
      <c r="AD95" s="741"/>
      <c r="AE95" s="741"/>
    </row>
    <row r="96" spans="1:31" x14ac:dyDescent="0.2">
      <c r="A96" s="774"/>
      <c r="B96" s="774"/>
      <c r="C96" s="774"/>
      <c r="D96" s="774"/>
      <c r="E96" s="774"/>
      <c r="F96" s="774"/>
      <c r="G96" s="774"/>
      <c r="H96" s="774"/>
      <c r="I96" s="774"/>
      <c r="J96" s="774"/>
      <c r="K96" s="774"/>
      <c r="L96" s="774"/>
      <c r="M96" s="774"/>
      <c r="S96" s="778">
        <f>ROUND(S95/S94,4)</f>
        <v>-0.90490000000000004</v>
      </c>
      <c r="T96" s="741"/>
      <c r="U96" s="741"/>
      <c r="V96" s="741"/>
      <c r="W96" s="741"/>
      <c r="X96" s="741"/>
      <c r="Y96" s="741"/>
      <c r="Z96" s="741"/>
      <c r="AA96" s="741"/>
      <c r="AB96" s="741"/>
      <c r="AC96" s="741"/>
      <c r="AD96" s="741"/>
      <c r="AE96" s="741"/>
    </row>
    <row r="97" spans="1:31" x14ac:dyDescent="0.2">
      <c r="A97" s="774"/>
      <c r="B97" s="774"/>
      <c r="C97" s="774"/>
      <c r="D97" s="774"/>
      <c r="E97" s="774"/>
      <c r="F97" s="774"/>
      <c r="G97" s="774"/>
      <c r="H97" s="774"/>
      <c r="I97" s="774"/>
      <c r="J97" s="774"/>
      <c r="K97" s="774"/>
      <c r="L97" s="774"/>
      <c r="M97" s="774"/>
      <c r="T97" s="741"/>
      <c r="U97" s="741"/>
      <c r="V97" s="741"/>
      <c r="W97" s="741"/>
      <c r="X97" s="741"/>
      <c r="Y97" s="741"/>
      <c r="Z97" s="741"/>
      <c r="AA97" s="741"/>
      <c r="AB97" s="741"/>
      <c r="AC97" s="741"/>
      <c r="AD97" s="741"/>
      <c r="AE97" s="741"/>
    </row>
    <row r="98" spans="1:31" x14ac:dyDescent="0.2">
      <c r="A98" s="775" t="s">
        <v>155</v>
      </c>
      <c r="B98" s="774"/>
      <c r="C98" s="774"/>
      <c r="D98" s="774"/>
      <c r="E98" s="774"/>
      <c r="F98" s="774"/>
      <c r="G98" s="774"/>
      <c r="H98" s="774"/>
      <c r="I98" s="774"/>
      <c r="J98" s="774"/>
      <c r="K98" s="774"/>
      <c r="L98" s="774"/>
      <c r="M98" s="774"/>
      <c r="Q98" s="767" t="s">
        <v>1112</v>
      </c>
      <c r="S98" s="776">
        <f>S99+S100</f>
        <v>0</v>
      </c>
      <c r="AA98" s="781"/>
    </row>
    <row r="99" spans="1:31" x14ac:dyDescent="0.2">
      <c r="A99" s="775" t="s">
        <v>150</v>
      </c>
      <c r="B99" s="774"/>
      <c r="C99" s="774"/>
      <c r="D99" s="774"/>
      <c r="E99" s="774"/>
      <c r="F99" s="774"/>
      <c r="G99" s="774"/>
      <c r="H99" s="774"/>
      <c r="I99" s="774"/>
      <c r="J99" s="774"/>
      <c r="K99" s="774"/>
      <c r="L99" s="774"/>
      <c r="M99" s="774"/>
      <c r="Q99" s="767" t="s">
        <v>634</v>
      </c>
      <c r="S99" s="741">
        <f>'D-1'!D38</f>
        <v>-42970.32</v>
      </c>
      <c r="V99" s="779"/>
      <c r="W99" s="780"/>
      <c r="X99" s="779"/>
    </row>
    <row r="100" spans="1:31" x14ac:dyDescent="0.2">
      <c r="Q100" s="767" t="s">
        <v>760</v>
      </c>
      <c r="S100" s="777">
        <f>'D-1'!G38</f>
        <v>42970.32</v>
      </c>
      <c r="V100" s="779"/>
      <c r="W100" s="780"/>
      <c r="X100" s="779"/>
    </row>
    <row r="101" spans="1:31" ht="9.9499999999999993" customHeight="1" x14ac:dyDescent="0.2">
      <c r="S101" s="778">
        <f>ROUND(S100/S99,4)</f>
        <v>-1</v>
      </c>
      <c r="V101" s="779"/>
      <c r="W101" s="780"/>
      <c r="X101" s="779"/>
    </row>
    <row r="102" spans="1:31" x14ac:dyDescent="0.2">
      <c r="C102" s="741"/>
      <c r="D102" s="741"/>
      <c r="E102" s="741"/>
      <c r="F102" s="741"/>
      <c r="G102" s="741"/>
      <c r="H102" s="741"/>
      <c r="I102" s="741"/>
      <c r="J102" s="741"/>
      <c r="K102" s="741"/>
      <c r="L102" s="741"/>
      <c r="M102" s="741"/>
      <c r="N102" s="741"/>
      <c r="O102" s="741"/>
      <c r="P102" s="741"/>
      <c r="Q102" s="741"/>
      <c r="R102" s="741"/>
      <c r="S102" s="741"/>
      <c r="T102" s="741"/>
      <c r="U102" s="741"/>
      <c r="V102" s="741"/>
      <c r="W102" s="741"/>
      <c r="X102" s="741"/>
      <c r="Y102" s="741"/>
      <c r="Z102" s="741"/>
      <c r="AA102" s="741"/>
      <c r="AB102" s="741"/>
      <c r="AC102" s="741"/>
      <c r="AD102" s="741"/>
      <c r="AE102" s="741"/>
    </row>
    <row r="103" spans="1:31" x14ac:dyDescent="0.2">
      <c r="C103" s="741"/>
      <c r="D103" s="741"/>
      <c r="E103" s="741"/>
      <c r="F103" s="741"/>
      <c r="G103" s="741"/>
      <c r="H103" s="741"/>
      <c r="I103" s="741"/>
      <c r="J103" s="741"/>
      <c r="K103" s="741"/>
      <c r="L103" s="741"/>
      <c r="M103" s="741"/>
      <c r="N103" s="741"/>
      <c r="O103" s="741"/>
      <c r="P103" s="741"/>
      <c r="Q103" s="741"/>
      <c r="R103" s="741"/>
      <c r="S103" s="741"/>
      <c r="T103" s="741"/>
      <c r="U103" s="741"/>
      <c r="V103" s="741"/>
      <c r="W103" s="741"/>
      <c r="X103" s="741"/>
      <c r="Y103" s="741"/>
      <c r="Z103" s="741"/>
      <c r="AA103" s="741"/>
      <c r="AB103" s="741"/>
      <c r="AC103" s="741"/>
      <c r="AD103" s="741"/>
      <c r="AE103" s="741"/>
    </row>
    <row r="104" spans="1:31" x14ac:dyDescent="0.2">
      <c r="C104" s="741"/>
      <c r="D104" s="741"/>
      <c r="E104" s="741"/>
      <c r="F104" s="741"/>
      <c r="G104" s="741"/>
      <c r="H104" s="741"/>
      <c r="I104" s="741"/>
      <c r="J104" s="741"/>
      <c r="K104" s="741"/>
      <c r="L104" s="741"/>
      <c r="M104" s="741"/>
      <c r="N104" s="741"/>
      <c r="O104" s="741"/>
      <c r="P104" s="741"/>
      <c r="Q104" s="741"/>
      <c r="R104" s="741"/>
      <c r="S104" s="741"/>
      <c r="T104" s="741"/>
      <c r="U104" s="741"/>
      <c r="V104" s="741"/>
      <c r="W104" s="741"/>
      <c r="X104" s="741"/>
      <c r="Y104" s="741"/>
      <c r="Z104" s="741"/>
      <c r="AA104" s="741"/>
      <c r="AB104" s="741"/>
      <c r="AC104" s="741"/>
      <c r="AD104" s="741"/>
      <c r="AE104" s="741"/>
    </row>
    <row r="105" spans="1:31" x14ac:dyDescent="0.2">
      <c r="AA105" s="781"/>
    </row>
    <row r="106" spans="1:31" x14ac:dyDescent="0.2">
      <c r="A106" s="766"/>
      <c r="H106" s="782"/>
      <c r="J106" s="783"/>
      <c r="L106" s="782"/>
    </row>
    <row r="107" spans="1:31" x14ac:dyDescent="0.2">
      <c r="C107" s="741"/>
      <c r="D107" s="741"/>
      <c r="E107" s="741"/>
      <c r="F107" s="741"/>
      <c r="G107" s="741"/>
      <c r="H107" s="741"/>
      <c r="I107" s="741"/>
      <c r="J107" s="741"/>
      <c r="K107" s="741"/>
      <c r="L107" s="741"/>
      <c r="M107" s="741"/>
      <c r="N107" s="741"/>
      <c r="O107" s="741"/>
      <c r="P107" s="741"/>
      <c r="Q107" s="741"/>
      <c r="R107" s="741"/>
      <c r="S107" s="741"/>
      <c r="T107" s="741"/>
      <c r="U107" s="741"/>
      <c r="V107" s="741"/>
      <c r="W107" s="741"/>
      <c r="X107" s="741"/>
      <c r="Y107" s="741"/>
      <c r="Z107" s="741"/>
      <c r="AA107" s="741"/>
      <c r="AB107" s="741"/>
      <c r="AC107" s="741"/>
      <c r="AD107" s="741"/>
      <c r="AE107" s="741"/>
    </row>
    <row r="108" spans="1:31" x14ac:dyDescent="0.2">
      <c r="C108" s="741"/>
      <c r="D108" s="741"/>
      <c r="E108" s="741"/>
      <c r="F108" s="741"/>
      <c r="G108" s="741"/>
      <c r="H108" s="741"/>
      <c r="I108" s="741"/>
      <c r="J108" s="741"/>
      <c r="K108" s="741"/>
      <c r="L108" s="741"/>
      <c r="M108" s="741"/>
      <c r="N108" s="741"/>
      <c r="O108" s="741"/>
      <c r="P108" s="741"/>
      <c r="Q108" s="741"/>
      <c r="R108" s="741"/>
      <c r="S108" s="741"/>
      <c r="T108" s="741"/>
      <c r="U108" s="741"/>
      <c r="V108" s="741"/>
      <c r="W108" s="741"/>
      <c r="X108" s="741"/>
      <c r="Y108" s="741"/>
      <c r="Z108" s="741"/>
      <c r="AA108" s="741"/>
      <c r="AB108" s="741"/>
      <c r="AC108" s="741"/>
      <c r="AD108" s="741"/>
      <c r="AE108" s="741"/>
    </row>
    <row r="109" spans="1:31" x14ac:dyDescent="0.2">
      <c r="C109" s="741"/>
      <c r="D109" s="741"/>
      <c r="E109" s="741"/>
      <c r="F109" s="741"/>
      <c r="G109" s="741"/>
      <c r="H109" s="741"/>
      <c r="I109" s="741"/>
      <c r="J109" s="741"/>
      <c r="K109" s="741"/>
      <c r="L109" s="741"/>
      <c r="M109" s="741"/>
      <c r="N109" s="741"/>
      <c r="O109" s="741"/>
      <c r="P109" s="741"/>
      <c r="Q109" s="741"/>
      <c r="R109" s="741"/>
      <c r="S109" s="741"/>
      <c r="T109" s="741"/>
      <c r="U109" s="741"/>
      <c r="V109" s="741"/>
      <c r="W109" s="741"/>
      <c r="X109" s="741"/>
      <c r="Y109" s="741"/>
      <c r="Z109" s="741"/>
      <c r="AA109" s="741"/>
      <c r="AB109" s="741"/>
      <c r="AC109" s="741"/>
      <c r="AD109" s="741"/>
      <c r="AE109" s="741"/>
    </row>
    <row r="110" spans="1:31" x14ac:dyDescent="0.2">
      <c r="AA110" s="781"/>
    </row>
    <row r="111" spans="1:31" x14ac:dyDescent="0.2">
      <c r="A111" s="766"/>
      <c r="H111" s="782"/>
      <c r="J111" s="783"/>
      <c r="L111" s="782"/>
    </row>
    <row r="112" spans="1:31" x14ac:dyDescent="0.2">
      <c r="C112" s="741"/>
      <c r="D112" s="741"/>
      <c r="E112" s="741"/>
      <c r="F112" s="741"/>
      <c r="G112" s="741"/>
      <c r="H112" s="741"/>
      <c r="I112" s="741"/>
      <c r="J112" s="741"/>
      <c r="K112" s="741"/>
      <c r="L112" s="741"/>
      <c r="M112" s="741"/>
      <c r="N112" s="741"/>
      <c r="O112" s="741"/>
      <c r="P112" s="741"/>
      <c r="Q112" s="741"/>
      <c r="R112" s="741"/>
      <c r="S112" s="741"/>
      <c r="T112" s="741"/>
      <c r="U112" s="741"/>
      <c r="V112" s="741"/>
      <c r="W112" s="741"/>
      <c r="X112" s="741"/>
      <c r="Y112" s="741"/>
      <c r="Z112" s="741"/>
      <c r="AA112" s="741"/>
      <c r="AB112" s="741"/>
      <c r="AC112" s="741"/>
      <c r="AD112" s="741"/>
      <c r="AE112" s="741"/>
    </row>
    <row r="113" spans="1:31" x14ac:dyDescent="0.2">
      <c r="C113" s="741"/>
      <c r="D113" s="741"/>
      <c r="E113" s="741"/>
      <c r="F113" s="741"/>
      <c r="G113" s="741"/>
      <c r="H113" s="741"/>
      <c r="I113" s="741"/>
      <c r="J113" s="741"/>
      <c r="K113" s="741"/>
      <c r="L113" s="741"/>
      <c r="M113" s="741"/>
      <c r="N113" s="741"/>
      <c r="O113" s="741"/>
      <c r="P113" s="741"/>
      <c r="Q113" s="741"/>
      <c r="R113" s="741"/>
      <c r="S113" s="741"/>
      <c r="T113" s="741"/>
      <c r="U113" s="741"/>
      <c r="V113" s="741"/>
      <c r="W113" s="741"/>
      <c r="X113" s="741"/>
      <c r="Y113" s="741"/>
      <c r="Z113" s="741"/>
      <c r="AA113" s="741"/>
      <c r="AB113" s="741"/>
      <c r="AC113" s="741"/>
      <c r="AD113" s="741"/>
      <c r="AE113" s="741"/>
    </row>
    <row r="114" spans="1:31" x14ac:dyDescent="0.2">
      <c r="C114" s="741"/>
      <c r="D114" s="741"/>
      <c r="E114" s="741"/>
      <c r="F114" s="741"/>
      <c r="G114" s="741"/>
      <c r="H114" s="741"/>
      <c r="I114" s="741"/>
      <c r="J114" s="741"/>
      <c r="K114" s="741"/>
      <c r="L114" s="741"/>
      <c r="M114" s="741"/>
      <c r="N114" s="741"/>
      <c r="O114" s="741"/>
      <c r="P114" s="741"/>
      <c r="Q114" s="741"/>
      <c r="R114" s="741"/>
      <c r="S114" s="741"/>
      <c r="T114" s="741"/>
      <c r="U114" s="741"/>
      <c r="V114" s="741"/>
      <c r="W114" s="741"/>
      <c r="X114" s="741"/>
      <c r="Y114" s="741"/>
      <c r="Z114" s="741"/>
      <c r="AA114" s="741"/>
      <c r="AB114" s="741"/>
      <c r="AC114" s="741"/>
      <c r="AD114" s="741"/>
      <c r="AE114" s="741"/>
    </row>
    <row r="115" spans="1:31" x14ac:dyDescent="0.2">
      <c r="AA115" s="781"/>
    </row>
    <row r="118" spans="1:31" x14ac:dyDescent="0.2">
      <c r="C118" s="784"/>
    </row>
    <row r="119" spans="1:31" x14ac:dyDescent="0.2">
      <c r="C119" s="785"/>
      <c r="J119" s="786"/>
      <c r="K119" s="786"/>
    </row>
    <row r="120" spans="1:31" x14ac:dyDescent="0.2">
      <c r="C120" s="766"/>
    </row>
    <row r="121" spans="1:31" x14ac:dyDescent="0.2">
      <c r="W121" s="766"/>
    </row>
    <row r="122" spans="1:31" x14ac:dyDescent="0.2">
      <c r="A122" s="759"/>
      <c r="B122" s="759"/>
      <c r="C122" s="759"/>
      <c r="D122" s="759"/>
      <c r="E122" s="759"/>
      <c r="F122" s="759"/>
      <c r="G122" s="759"/>
      <c r="H122" s="759"/>
      <c r="I122" s="759"/>
      <c r="J122" s="759"/>
      <c r="K122" s="759"/>
      <c r="L122" s="759"/>
      <c r="M122" s="759"/>
      <c r="N122" s="759"/>
      <c r="O122" s="759"/>
      <c r="P122" s="759"/>
      <c r="Q122" s="759"/>
      <c r="R122" s="759"/>
      <c r="S122" s="759"/>
      <c r="T122" s="759"/>
      <c r="U122" s="759"/>
      <c r="V122" s="759"/>
      <c r="W122" s="772"/>
      <c r="X122" s="759"/>
      <c r="Y122" s="759"/>
      <c r="Z122" s="759"/>
      <c r="AA122" s="759"/>
    </row>
    <row r="123" spans="1:31" x14ac:dyDescent="0.2">
      <c r="W123" s="766"/>
    </row>
    <row r="124" spans="1:31" x14ac:dyDescent="0.2">
      <c r="A124" s="772"/>
      <c r="B124" s="759"/>
      <c r="C124" s="772"/>
      <c r="D124" s="759"/>
      <c r="E124" s="759"/>
      <c r="F124" s="759"/>
      <c r="G124" s="759"/>
      <c r="H124" s="772"/>
      <c r="I124" s="759"/>
      <c r="J124" s="772"/>
      <c r="K124" s="759"/>
      <c r="L124" s="772"/>
      <c r="M124" s="759"/>
      <c r="N124" s="759"/>
      <c r="O124" s="759"/>
      <c r="P124" s="759"/>
      <c r="Q124" s="759"/>
      <c r="R124" s="759"/>
      <c r="S124" s="759"/>
      <c r="T124" s="759"/>
      <c r="U124" s="759"/>
      <c r="V124" s="759"/>
      <c r="W124" s="759"/>
      <c r="X124" s="759"/>
      <c r="Y124" s="759"/>
      <c r="Z124" s="759"/>
      <c r="AA124" s="759"/>
    </row>
    <row r="125" spans="1:31" x14ac:dyDescent="0.2">
      <c r="A125" s="766"/>
      <c r="C125" s="766"/>
      <c r="H125" s="766"/>
      <c r="J125" s="766"/>
      <c r="L125" s="766"/>
    </row>
    <row r="128" spans="1:31" x14ac:dyDescent="0.2">
      <c r="A128" s="766"/>
      <c r="H128" s="782"/>
      <c r="J128" s="783"/>
      <c r="L128" s="782"/>
    </row>
    <row r="130" spans="1:31" x14ac:dyDescent="0.2">
      <c r="AA130" s="741"/>
    </row>
    <row r="133" spans="1:31" x14ac:dyDescent="0.2">
      <c r="A133" s="766"/>
      <c r="H133" s="782"/>
      <c r="J133" s="783"/>
      <c r="L133" s="782"/>
    </row>
    <row r="134" spans="1:31" x14ac:dyDescent="0.2">
      <c r="C134" s="741"/>
      <c r="D134" s="741"/>
      <c r="E134" s="741"/>
      <c r="F134" s="741"/>
      <c r="G134" s="741"/>
      <c r="H134" s="741"/>
      <c r="I134" s="741"/>
      <c r="J134" s="741"/>
      <c r="K134" s="741"/>
      <c r="L134" s="741"/>
      <c r="M134" s="741"/>
      <c r="N134" s="741"/>
      <c r="O134" s="741"/>
      <c r="P134" s="741"/>
      <c r="Q134" s="741"/>
      <c r="R134" s="741"/>
      <c r="S134" s="741"/>
      <c r="T134" s="741"/>
      <c r="U134" s="741"/>
      <c r="V134" s="741"/>
      <c r="W134" s="741"/>
      <c r="X134" s="741"/>
      <c r="Y134" s="741"/>
      <c r="Z134" s="741"/>
      <c r="AA134" s="741"/>
      <c r="AB134" s="741"/>
      <c r="AC134" s="741"/>
      <c r="AD134" s="741"/>
      <c r="AE134" s="741"/>
    </row>
    <row r="135" spans="1:31" x14ac:dyDescent="0.2">
      <c r="C135" s="741"/>
      <c r="D135" s="741"/>
      <c r="E135" s="741"/>
      <c r="F135" s="741"/>
      <c r="G135" s="741"/>
      <c r="H135" s="741"/>
      <c r="I135" s="741"/>
      <c r="J135" s="741"/>
      <c r="K135" s="741"/>
      <c r="L135" s="741"/>
      <c r="M135" s="741"/>
      <c r="N135" s="741"/>
      <c r="O135" s="741"/>
      <c r="P135" s="741"/>
      <c r="Q135" s="741"/>
      <c r="R135" s="741"/>
      <c r="S135" s="741"/>
      <c r="T135" s="741"/>
      <c r="U135" s="741"/>
      <c r="V135" s="741"/>
      <c r="W135" s="741"/>
      <c r="X135" s="741"/>
      <c r="Y135" s="741"/>
      <c r="Z135" s="741"/>
      <c r="AA135" s="741"/>
      <c r="AB135" s="741"/>
      <c r="AC135" s="741"/>
      <c r="AD135" s="741"/>
      <c r="AE135" s="741"/>
    </row>
    <row r="136" spans="1:31" x14ac:dyDescent="0.2">
      <c r="C136" s="741"/>
      <c r="D136" s="741"/>
      <c r="E136" s="741"/>
      <c r="F136" s="741"/>
      <c r="G136" s="741"/>
      <c r="H136" s="741"/>
      <c r="I136" s="741"/>
      <c r="J136" s="741"/>
      <c r="K136" s="741"/>
      <c r="L136" s="741"/>
      <c r="M136" s="741"/>
      <c r="N136" s="741"/>
      <c r="O136" s="741"/>
      <c r="P136" s="741"/>
      <c r="Q136" s="741"/>
      <c r="R136" s="741"/>
      <c r="S136" s="741"/>
      <c r="T136" s="741"/>
      <c r="U136" s="741"/>
      <c r="V136" s="741"/>
      <c r="W136" s="741"/>
      <c r="X136" s="741"/>
      <c r="Y136" s="741"/>
      <c r="Z136" s="741"/>
      <c r="AA136" s="741"/>
      <c r="AB136" s="741"/>
      <c r="AC136" s="741"/>
      <c r="AD136" s="741"/>
      <c r="AE136" s="741"/>
    </row>
    <row r="137" spans="1:31" x14ac:dyDescent="0.2">
      <c r="AA137" s="781"/>
    </row>
    <row r="138" spans="1:31" x14ac:dyDescent="0.2">
      <c r="A138" s="766"/>
      <c r="H138" s="741"/>
      <c r="J138" s="783"/>
      <c r="L138" s="741"/>
    </row>
    <row r="139" spans="1:31" x14ac:dyDescent="0.2">
      <c r="C139" s="741"/>
      <c r="D139" s="741"/>
      <c r="E139" s="741"/>
      <c r="F139" s="741"/>
      <c r="G139" s="741"/>
      <c r="H139" s="741"/>
      <c r="I139" s="741"/>
      <c r="J139" s="741"/>
      <c r="K139" s="741"/>
      <c r="L139" s="741"/>
      <c r="M139" s="741"/>
      <c r="N139" s="741"/>
      <c r="O139" s="741"/>
      <c r="P139" s="741"/>
      <c r="Q139" s="741"/>
      <c r="R139" s="741"/>
      <c r="S139" s="741"/>
      <c r="T139" s="741"/>
      <c r="U139" s="741"/>
      <c r="V139" s="741"/>
      <c r="W139" s="741"/>
      <c r="X139" s="741"/>
      <c r="Y139" s="741"/>
      <c r="Z139" s="741"/>
      <c r="AA139" s="741"/>
      <c r="AB139" s="741"/>
      <c r="AC139" s="741"/>
      <c r="AD139" s="741"/>
      <c r="AE139" s="741"/>
    </row>
    <row r="140" spans="1:31" x14ac:dyDescent="0.2">
      <c r="C140" s="741"/>
      <c r="D140" s="741"/>
      <c r="E140" s="741"/>
      <c r="F140" s="741"/>
      <c r="G140" s="741"/>
      <c r="H140" s="741"/>
      <c r="I140" s="741"/>
      <c r="J140" s="741"/>
      <c r="K140" s="741"/>
      <c r="L140" s="741"/>
      <c r="M140" s="741"/>
      <c r="N140" s="741"/>
      <c r="O140" s="741"/>
      <c r="P140" s="741"/>
      <c r="Q140" s="741"/>
      <c r="R140" s="741"/>
      <c r="S140" s="741"/>
      <c r="T140" s="741"/>
      <c r="U140" s="741"/>
      <c r="V140" s="741"/>
      <c r="W140" s="741"/>
      <c r="X140" s="741"/>
      <c r="Y140" s="741"/>
      <c r="Z140" s="741"/>
      <c r="AA140" s="741"/>
      <c r="AB140" s="741"/>
      <c r="AC140" s="741"/>
      <c r="AD140" s="741"/>
      <c r="AE140" s="741"/>
    </row>
    <row r="141" spans="1:31" x14ac:dyDescent="0.2">
      <c r="C141" s="741"/>
      <c r="D141" s="741"/>
      <c r="E141" s="741"/>
      <c r="F141" s="741"/>
      <c r="G141" s="741"/>
      <c r="H141" s="741"/>
      <c r="I141" s="741"/>
      <c r="J141" s="741"/>
      <c r="K141" s="741"/>
      <c r="L141" s="741"/>
      <c r="M141" s="741"/>
      <c r="N141" s="741"/>
      <c r="O141" s="741"/>
      <c r="P141" s="741"/>
      <c r="Q141" s="741"/>
      <c r="R141" s="741"/>
      <c r="S141" s="741"/>
      <c r="T141" s="741"/>
      <c r="U141" s="741"/>
      <c r="V141" s="741"/>
      <c r="W141" s="741"/>
      <c r="X141" s="741"/>
      <c r="Y141" s="741"/>
      <c r="Z141" s="741"/>
      <c r="AA141" s="741"/>
      <c r="AB141" s="741"/>
      <c r="AC141" s="741"/>
      <c r="AD141" s="741"/>
      <c r="AE141" s="741"/>
    </row>
    <row r="142" spans="1:31" x14ac:dyDescent="0.2">
      <c r="AA142" s="781"/>
    </row>
    <row r="143" spans="1:31" x14ac:dyDescent="0.2">
      <c r="A143" s="766"/>
    </row>
    <row r="144" spans="1:31" x14ac:dyDescent="0.2">
      <c r="C144" s="741"/>
      <c r="D144" s="741"/>
      <c r="E144" s="741"/>
      <c r="F144" s="741"/>
      <c r="G144" s="741"/>
      <c r="H144" s="741"/>
      <c r="I144" s="741"/>
      <c r="J144" s="741"/>
      <c r="K144" s="741"/>
      <c r="L144" s="741"/>
      <c r="M144" s="741"/>
      <c r="N144" s="741"/>
      <c r="O144" s="741"/>
      <c r="P144" s="741"/>
      <c r="Q144" s="741"/>
      <c r="R144" s="741"/>
      <c r="S144" s="741"/>
      <c r="T144" s="741"/>
      <c r="U144" s="741"/>
      <c r="V144" s="741"/>
      <c r="W144" s="741"/>
      <c r="X144" s="741"/>
      <c r="Y144" s="741"/>
      <c r="Z144" s="741"/>
      <c r="AA144" s="741"/>
      <c r="AB144" s="741"/>
      <c r="AC144" s="741"/>
      <c r="AD144" s="741"/>
      <c r="AE144" s="741"/>
    </row>
    <row r="145" spans="1:31" x14ac:dyDescent="0.2">
      <c r="C145" s="741"/>
      <c r="D145" s="741"/>
      <c r="E145" s="741"/>
      <c r="F145" s="741"/>
      <c r="G145" s="741"/>
      <c r="H145" s="741"/>
      <c r="I145" s="741"/>
      <c r="J145" s="741"/>
      <c r="K145" s="741"/>
      <c r="L145" s="741"/>
      <c r="M145" s="741"/>
      <c r="N145" s="741"/>
      <c r="O145" s="741"/>
      <c r="P145" s="741"/>
      <c r="Q145" s="741"/>
      <c r="R145" s="741"/>
      <c r="S145" s="741"/>
      <c r="T145" s="741"/>
      <c r="U145" s="741"/>
      <c r="V145" s="741"/>
      <c r="W145" s="741"/>
      <c r="X145" s="741"/>
      <c r="Y145" s="741"/>
      <c r="Z145" s="741"/>
      <c r="AA145" s="741"/>
      <c r="AB145" s="741"/>
      <c r="AC145" s="741"/>
      <c r="AD145" s="741"/>
      <c r="AE145" s="741"/>
    </row>
    <row r="146" spans="1:31" x14ac:dyDescent="0.2">
      <c r="C146" s="741"/>
      <c r="D146" s="741"/>
      <c r="E146" s="741"/>
      <c r="F146" s="741"/>
      <c r="G146" s="741"/>
      <c r="H146" s="741"/>
      <c r="I146" s="741"/>
      <c r="J146" s="741"/>
      <c r="K146" s="741"/>
      <c r="L146" s="741"/>
      <c r="M146" s="741"/>
      <c r="N146" s="741"/>
      <c r="O146" s="741"/>
      <c r="P146" s="741"/>
      <c r="Q146" s="741"/>
      <c r="R146" s="741"/>
      <c r="S146" s="741"/>
      <c r="T146" s="741"/>
      <c r="U146" s="741"/>
      <c r="V146" s="741"/>
      <c r="W146" s="741"/>
      <c r="X146" s="741"/>
      <c r="Y146" s="741"/>
      <c r="Z146" s="741"/>
      <c r="AA146" s="741"/>
      <c r="AB146" s="741"/>
      <c r="AC146" s="741"/>
      <c r="AD146" s="741"/>
      <c r="AE146" s="741"/>
    </row>
    <row r="147" spans="1:31" x14ac:dyDescent="0.2">
      <c r="AA147" s="781"/>
    </row>
    <row r="148" spans="1:31" x14ac:dyDescent="0.2">
      <c r="A148" s="766"/>
    </row>
    <row r="149" spans="1:31" x14ac:dyDescent="0.2">
      <c r="C149" s="741"/>
      <c r="D149" s="741"/>
      <c r="E149" s="741"/>
      <c r="F149" s="741"/>
      <c r="G149" s="741"/>
      <c r="H149" s="741"/>
      <c r="I149" s="741"/>
      <c r="J149" s="741"/>
      <c r="K149" s="741"/>
      <c r="L149" s="741"/>
      <c r="M149" s="741"/>
      <c r="N149" s="741"/>
      <c r="O149" s="741"/>
      <c r="P149" s="741"/>
      <c r="Q149" s="741"/>
      <c r="R149" s="741"/>
      <c r="S149" s="741"/>
      <c r="T149" s="741"/>
      <c r="U149" s="741"/>
      <c r="V149" s="741"/>
      <c r="W149" s="741"/>
      <c r="X149" s="741"/>
      <c r="Y149" s="741"/>
      <c r="Z149" s="741"/>
      <c r="AA149" s="741"/>
      <c r="AB149" s="741"/>
      <c r="AC149" s="741"/>
      <c r="AD149" s="741"/>
      <c r="AE149" s="741"/>
    </row>
    <row r="150" spans="1:31" x14ac:dyDescent="0.2">
      <c r="C150" s="741"/>
      <c r="D150" s="741"/>
      <c r="E150" s="741"/>
      <c r="F150" s="741"/>
      <c r="G150" s="741"/>
      <c r="H150" s="741"/>
      <c r="I150" s="741"/>
      <c r="J150" s="741"/>
      <c r="K150" s="741"/>
      <c r="L150" s="741"/>
      <c r="M150" s="741"/>
      <c r="N150" s="741"/>
      <c r="O150" s="741"/>
      <c r="P150" s="741"/>
      <c r="Q150" s="741"/>
      <c r="R150" s="741"/>
      <c r="S150" s="741"/>
      <c r="T150" s="741"/>
      <c r="U150" s="741"/>
      <c r="V150" s="741"/>
      <c r="W150" s="741"/>
      <c r="X150" s="741"/>
      <c r="Y150" s="741"/>
      <c r="Z150" s="741"/>
      <c r="AA150" s="741"/>
      <c r="AB150" s="741"/>
      <c r="AC150" s="741"/>
      <c r="AD150" s="741"/>
      <c r="AE150" s="741"/>
    </row>
    <row r="151" spans="1:31" x14ac:dyDescent="0.2">
      <c r="C151" s="741"/>
      <c r="D151" s="741"/>
      <c r="E151" s="741"/>
      <c r="F151" s="741"/>
      <c r="G151" s="741"/>
      <c r="H151" s="741"/>
      <c r="I151" s="741"/>
      <c r="J151" s="741"/>
      <c r="K151" s="741"/>
      <c r="L151" s="741"/>
      <c r="M151" s="741"/>
      <c r="N151" s="741"/>
      <c r="O151" s="741"/>
      <c r="P151" s="741"/>
      <c r="Q151" s="741"/>
      <c r="R151" s="741"/>
      <c r="S151" s="741"/>
      <c r="T151" s="741"/>
      <c r="U151" s="741"/>
      <c r="V151" s="741"/>
      <c r="W151" s="741"/>
      <c r="X151" s="741"/>
      <c r="Y151" s="741"/>
      <c r="Z151" s="741"/>
      <c r="AA151" s="741"/>
      <c r="AB151" s="741"/>
      <c r="AC151" s="741"/>
      <c r="AD151" s="741"/>
      <c r="AE151" s="741"/>
    </row>
    <row r="152" spans="1:31" x14ac:dyDescent="0.2">
      <c r="AA152" s="781"/>
    </row>
    <row r="153" spans="1:31" x14ac:dyDescent="0.2">
      <c r="A153" s="766"/>
      <c r="H153" s="782"/>
      <c r="J153" s="787"/>
      <c r="L153" s="782"/>
    </row>
    <row r="154" spans="1:31" x14ac:dyDescent="0.2">
      <c r="C154" s="741"/>
      <c r="D154" s="741"/>
      <c r="E154" s="741"/>
      <c r="F154" s="741"/>
      <c r="G154" s="741"/>
      <c r="H154" s="741"/>
      <c r="I154" s="741"/>
      <c r="J154" s="741"/>
      <c r="K154" s="741"/>
      <c r="L154" s="741"/>
      <c r="M154" s="741"/>
      <c r="N154" s="741"/>
      <c r="O154" s="741"/>
      <c r="P154" s="741"/>
      <c r="Q154" s="741"/>
      <c r="R154" s="741"/>
      <c r="S154" s="741"/>
      <c r="T154" s="741"/>
      <c r="U154" s="741"/>
      <c r="V154" s="741"/>
      <c r="W154" s="741"/>
      <c r="X154" s="741"/>
      <c r="Y154" s="741"/>
      <c r="Z154" s="741"/>
      <c r="AA154" s="741"/>
      <c r="AB154" s="741"/>
      <c r="AC154" s="741"/>
      <c r="AD154" s="741"/>
      <c r="AE154" s="741"/>
    </row>
    <row r="155" spans="1:31" x14ac:dyDescent="0.2">
      <c r="C155" s="741"/>
      <c r="D155" s="741"/>
      <c r="E155" s="741"/>
      <c r="F155" s="741"/>
      <c r="G155" s="741"/>
      <c r="H155" s="741"/>
      <c r="I155" s="741"/>
      <c r="J155" s="741"/>
      <c r="K155" s="741"/>
      <c r="L155" s="741"/>
      <c r="M155" s="741"/>
      <c r="N155" s="741"/>
      <c r="O155" s="741"/>
      <c r="P155" s="741"/>
      <c r="Q155" s="741"/>
      <c r="R155" s="741"/>
      <c r="S155" s="741"/>
      <c r="T155" s="741"/>
      <c r="U155" s="741"/>
      <c r="V155" s="741"/>
      <c r="W155" s="741"/>
      <c r="X155" s="741"/>
      <c r="Y155" s="741"/>
      <c r="Z155" s="741"/>
      <c r="AA155" s="741"/>
      <c r="AB155" s="741"/>
      <c r="AC155" s="741"/>
      <c r="AD155" s="741"/>
      <c r="AE155" s="741"/>
    </row>
    <row r="156" spans="1:31" x14ac:dyDescent="0.2">
      <c r="C156" s="741"/>
      <c r="D156" s="741"/>
      <c r="E156" s="741"/>
      <c r="F156" s="741"/>
      <c r="G156" s="741"/>
      <c r="H156" s="741"/>
      <c r="I156" s="741"/>
      <c r="J156" s="741"/>
      <c r="K156" s="741"/>
      <c r="L156" s="741"/>
      <c r="M156" s="741"/>
      <c r="N156" s="741"/>
      <c r="O156" s="741"/>
      <c r="P156" s="741"/>
      <c r="Q156" s="741"/>
      <c r="R156" s="741"/>
      <c r="S156" s="741"/>
      <c r="T156" s="741"/>
      <c r="U156" s="741"/>
      <c r="V156" s="741"/>
      <c r="W156" s="741"/>
      <c r="X156" s="741"/>
      <c r="Y156" s="741"/>
      <c r="Z156" s="741"/>
      <c r="AA156" s="741"/>
      <c r="AB156" s="741"/>
      <c r="AC156" s="741"/>
      <c r="AD156" s="741"/>
      <c r="AE156" s="741"/>
    </row>
    <row r="157" spans="1:31" x14ac:dyDescent="0.2">
      <c r="AA157" s="781"/>
    </row>
    <row r="158" spans="1:31" x14ac:dyDescent="0.2">
      <c r="A158" s="766"/>
      <c r="H158" s="782"/>
      <c r="J158" s="787"/>
      <c r="L158" s="782"/>
    </row>
    <row r="159" spans="1:31" x14ac:dyDescent="0.2">
      <c r="C159" s="741"/>
      <c r="D159" s="741"/>
      <c r="E159" s="741"/>
      <c r="F159" s="741"/>
      <c r="G159" s="741"/>
      <c r="H159" s="741"/>
      <c r="I159" s="741"/>
      <c r="J159" s="741"/>
      <c r="K159" s="741"/>
      <c r="L159" s="741"/>
      <c r="M159" s="741"/>
      <c r="N159" s="741"/>
      <c r="O159" s="741"/>
      <c r="P159" s="741"/>
      <c r="Q159" s="741"/>
      <c r="R159" s="741"/>
      <c r="S159" s="741"/>
      <c r="T159" s="741"/>
      <c r="U159" s="741"/>
      <c r="V159" s="741"/>
      <c r="W159" s="741"/>
      <c r="X159" s="741"/>
      <c r="Y159" s="741"/>
      <c r="Z159" s="741"/>
      <c r="AA159" s="741"/>
      <c r="AB159" s="741"/>
      <c r="AC159" s="741"/>
      <c r="AD159" s="741"/>
      <c r="AE159" s="741"/>
    </row>
    <row r="160" spans="1:31" x14ac:dyDescent="0.2">
      <c r="C160" s="741"/>
      <c r="D160" s="741"/>
      <c r="E160" s="741"/>
      <c r="F160" s="741"/>
      <c r="G160" s="741"/>
      <c r="H160" s="741"/>
      <c r="I160" s="741"/>
      <c r="J160" s="741"/>
      <c r="K160" s="741"/>
      <c r="L160" s="741"/>
      <c r="M160" s="741"/>
      <c r="N160" s="741"/>
      <c r="O160" s="741"/>
      <c r="P160" s="741"/>
      <c r="Q160" s="741"/>
      <c r="R160" s="741"/>
      <c r="S160" s="741"/>
      <c r="T160" s="741"/>
      <c r="U160" s="741"/>
      <c r="V160" s="741"/>
      <c r="W160" s="741"/>
      <c r="X160" s="741"/>
      <c r="Y160" s="741"/>
      <c r="Z160" s="741"/>
      <c r="AA160" s="741"/>
      <c r="AB160" s="741"/>
      <c r="AC160" s="741"/>
      <c r="AD160" s="741"/>
      <c r="AE160" s="741"/>
    </row>
    <row r="161" spans="1:31" x14ac:dyDescent="0.2">
      <c r="C161" s="741"/>
      <c r="D161" s="741"/>
      <c r="E161" s="741"/>
      <c r="F161" s="741"/>
      <c r="G161" s="741"/>
      <c r="H161" s="741"/>
      <c r="I161" s="741"/>
      <c r="J161" s="741"/>
      <c r="K161" s="741"/>
      <c r="L161" s="741"/>
      <c r="M161" s="741"/>
      <c r="N161" s="741"/>
      <c r="O161" s="741"/>
      <c r="P161" s="741"/>
      <c r="Q161" s="741"/>
      <c r="R161" s="741"/>
      <c r="S161" s="741"/>
      <c r="T161" s="741"/>
      <c r="U161" s="741"/>
      <c r="V161" s="741"/>
      <c r="W161" s="741"/>
      <c r="X161" s="741"/>
      <c r="Y161" s="741"/>
      <c r="Z161" s="741"/>
      <c r="AA161" s="741"/>
      <c r="AB161" s="741"/>
      <c r="AC161" s="741"/>
      <c r="AD161" s="741"/>
      <c r="AE161" s="741"/>
    </row>
    <row r="162" spans="1:31" x14ac:dyDescent="0.2">
      <c r="AA162" s="781"/>
    </row>
    <row r="163" spans="1:31" x14ac:dyDescent="0.2">
      <c r="A163" s="766"/>
      <c r="H163" s="782"/>
      <c r="J163" s="787"/>
      <c r="L163" s="782"/>
    </row>
    <row r="164" spans="1:31" x14ac:dyDescent="0.2">
      <c r="C164" s="741"/>
      <c r="D164" s="741"/>
      <c r="E164" s="741"/>
      <c r="F164" s="741"/>
      <c r="G164" s="741"/>
      <c r="H164" s="741"/>
      <c r="I164" s="741"/>
      <c r="J164" s="741"/>
      <c r="K164" s="741"/>
      <c r="L164" s="741"/>
      <c r="M164" s="741"/>
      <c r="N164" s="741"/>
      <c r="O164" s="741"/>
      <c r="P164" s="741"/>
      <c r="Q164" s="741"/>
      <c r="R164" s="741"/>
      <c r="S164" s="741"/>
      <c r="T164" s="741"/>
      <c r="U164" s="741"/>
      <c r="V164" s="741"/>
      <c r="W164" s="741"/>
      <c r="X164" s="741"/>
      <c r="Y164" s="741"/>
      <c r="Z164" s="741"/>
      <c r="AA164" s="741"/>
      <c r="AB164" s="741"/>
      <c r="AC164" s="741"/>
      <c r="AD164" s="741"/>
      <c r="AE164" s="741"/>
    </row>
    <row r="165" spans="1:31" x14ac:dyDescent="0.2">
      <c r="C165" s="741"/>
      <c r="D165" s="741"/>
      <c r="E165" s="741"/>
      <c r="F165" s="741"/>
      <c r="G165" s="741"/>
      <c r="H165" s="741"/>
      <c r="I165" s="741"/>
      <c r="J165" s="741"/>
      <c r="K165" s="741"/>
      <c r="L165" s="741"/>
      <c r="M165" s="741"/>
      <c r="N165" s="741"/>
      <c r="O165" s="741"/>
      <c r="P165" s="741"/>
      <c r="Q165" s="741"/>
      <c r="R165" s="741"/>
      <c r="S165" s="741"/>
      <c r="T165" s="741"/>
      <c r="U165" s="741"/>
      <c r="V165" s="741"/>
      <c r="W165" s="741"/>
      <c r="X165" s="741"/>
      <c r="Y165" s="741"/>
      <c r="Z165" s="741"/>
      <c r="AA165" s="741"/>
      <c r="AB165" s="741"/>
      <c r="AC165" s="741"/>
      <c r="AD165" s="741"/>
      <c r="AE165" s="741"/>
    </row>
    <row r="166" spans="1:31" x14ac:dyDescent="0.2">
      <c r="C166" s="741"/>
      <c r="D166" s="741"/>
      <c r="E166" s="741"/>
      <c r="F166" s="741"/>
      <c r="G166" s="741"/>
      <c r="H166" s="741"/>
      <c r="I166" s="741"/>
      <c r="J166" s="741"/>
      <c r="K166" s="741"/>
      <c r="L166" s="741"/>
      <c r="M166" s="741"/>
      <c r="N166" s="741"/>
      <c r="O166" s="741"/>
      <c r="P166" s="741"/>
      <c r="Q166" s="741"/>
      <c r="R166" s="741"/>
      <c r="S166" s="741"/>
      <c r="T166" s="741"/>
      <c r="U166" s="741"/>
      <c r="V166" s="741"/>
      <c r="W166" s="741"/>
      <c r="X166" s="741"/>
      <c r="Y166" s="741"/>
      <c r="Z166" s="741"/>
      <c r="AA166" s="741"/>
      <c r="AB166" s="741"/>
      <c r="AC166" s="741"/>
      <c r="AD166" s="741"/>
      <c r="AE166" s="741"/>
    </row>
    <row r="167" spans="1:31" x14ac:dyDescent="0.2">
      <c r="AA167" s="781"/>
    </row>
    <row r="170" spans="1:31" x14ac:dyDescent="0.2">
      <c r="C170" s="784"/>
    </row>
    <row r="171" spans="1:31" x14ac:dyDescent="0.2">
      <c r="C171" s="785"/>
      <c r="J171" s="786"/>
      <c r="K171" s="786"/>
    </row>
    <row r="172" spans="1:31" x14ac:dyDescent="0.2">
      <c r="C172" s="766"/>
    </row>
    <row r="173" spans="1:31" x14ac:dyDescent="0.2">
      <c r="W173" s="766"/>
    </row>
    <row r="174" spans="1:31" x14ac:dyDescent="0.2">
      <c r="A174" s="759"/>
      <c r="B174" s="759"/>
      <c r="C174" s="759"/>
      <c r="D174" s="759"/>
      <c r="E174" s="759"/>
      <c r="F174" s="759"/>
      <c r="G174" s="759"/>
      <c r="H174" s="759"/>
      <c r="I174" s="759"/>
      <c r="J174" s="759"/>
      <c r="K174" s="759"/>
      <c r="L174" s="759"/>
      <c r="M174" s="759"/>
      <c r="N174" s="759"/>
      <c r="O174" s="759"/>
      <c r="P174" s="759"/>
      <c r="Q174" s="759"/>
      <c r="R174" s="759"/>
      <c r="S174" s="759"/>
      <c r="T174" s="759"/>
      <c r="U174" s="759"/>
      <c r="V174" s="759"/>
      <c r="W174" s="772"/>
      <c r="X174" s="759"/>
      <c r="Y174" s="759"/>
      <c r="Z174" s="759"/>
      <c r="AA174" s="759"/>
    </row>
    <row r="175" spans="1:31" x14ac:dyDescent="0.2">
      <c r="W175" s="766"/>
    </row>
    <row r="176" spans="1:31" x14ac:dyDescent="0.2">
      <c r="A176" s="772"/>
      <c r="B176" s="759"/>
      <c r="C176" s="772"/>
      <c r="D176" s="759"/>
      <c r="E176" s="759"/>
      <c r="F176" s="759"/>
      <c r="G176" s="759"/>
      <c r="H176" s="772"/>
      <c r="I176" s="759"/>
      <c r="J176" s="772"/>
      <c r="K176" s="759"/>
      <c r="L176" s="772"/>
      <c r="M176" s="759"/>
      <c r="N176" s="759"/>
      <c r="O176" s="759"/>
      <c r="P176" s="759"/>
      <c r="Q176" s="759"/>
      <c r="R176" s="759"/>
      <c r="S176" s="759"/>
      <c r="T176" s="759"/>
      <c r="U176" s="759"/>
      <c r="V176" s="759"/>
      <c r="W176" s="759"/>
      <c r="X176" s="759"/>
      <c r="Y176" s="759"/>
      <c r="Z176" s="759"/>
      <c r="AA176" s="759"/>
    </row>
    <row r="177" spans="1:37" x14ac:dyDescent="0.2">
      <c r="A177" s="766"/>
      <c r="C177" s="766"/>
      <c r="H177" s="766"/>
      <c r="J177" s="766"/>
      <c r="L177" s="766"/>
    </row>
    <row r="180" spans="1:37" x14ac:dyDescent="0.2">
      <c r="A180" s="766"/>
      <c r="H180" s="782"/>
      <c r="J180" s="787"/>
      <c r="K180" s="782"/>
      <c r="L180" s="782"/>
    </row>
    <row r="181" spans="1:37" x14ac:dyDescent="0.2">
      <c r="C181" s="741"/>
      <c r="D181" s="741"/>
      <c r="E181" s="741"/>
      <c r="F181" s="741"/>
      <c r="G181" s="741"/>
      <c r="H181" s="741"/>
      <c r="I181" s="741"/>
      <c r="J181" s="741"/>
      <c r="K181" s="741"/>
      <c r="L181" s="741"/>
      <c r="M181" s="741"/>
      <c r="N181" s="741"/>
      <c r="O181" s="741"/>
      <c r="P181" s="741"/>
      <c r="Q181" s="741"/>
      <c r="R181" s="741"/>
      <c r="S181" s="741"/>
      <c r="T181" s="741"/>
      <c r="U181" s="741"/>
      <c r="V181" s="741"/>
      <c r="W181" s="741"/>
      <c r="X181" s="741"/>
      <c r="Y181" s="741"/>
      <c r="Z181" s="741"/>
      <c r="AA181" s="741"/>
      <c r="AB181" s="741"/>
      <c r="AC181" s="741"/>
      <c r="AD181" s="741"/>
      <c r="AE181" s="741"/>
    </row>
    <row r="182" spans="1:37" x14ac:dyDescent="0.2">
      <c r="C182" s="741"/>
      <c r="D182" s="741"/>
      <c r="E182" s="741"/>
      <c r="F182" s="741"/>
      <c r="G182" s="741"/>
      <c r="H182" s="741"/>
      <c r="I182" s="741"/>
      <c r="J182" s="741"/>
      <c r="K182" s="741"/>
      <c r="L182" s="741"/>
      <c r="M182" s="741"/>
      <c r="N182" s="741"/>
      <c r="O182" s="741"/>
      <c r="P182" s="741"/>
      <c r="Q182" s="741"/>
      <c r="R182" s="741"/>
      <c r="S182" s="741"/>
      <c r="T182" s="741"/>
      <c r="U182" s="741"/>
      <c r="V182" s="741"/>
      <c r="W182" s="741"/>
      <c r="X182" s="741"/>
      <c r="Y182" s="741"/>
      <c r="Z182" s="741"/>
      <c r="AA182" s="741"/>
      <c r="AB182" s="741"/>
      <c r="AC182" s="741"/>
      <c r="AD182" s="741"/>
      <c r="AE182" s="741"/>
    </row>
    <row r="183" spans="1:37" x14ac:dyDescent="0.2">
      <c r="C183" s="741"/>
      <c r="D183" s="741"/>
      <c r="E183" s="741"/>
      <c r="F183" s="741"/>
      <c r="G183" s="741"/>
      <c r="H183" s="741"/>
      <c r="I183" s="741"/>
      <c r="J183" s="741"/>
      <c r="K183" s="741"/>
      <c r="L183" s="741"/>
      <c r="M183" s="741"/>
      <c r="N183" s="741"/>
      <c r="O183" s="741"/>
      <c r="P183" s="741"/>
      <c r="Q183" s="741"/>
      <c r="R183" s="741"/>
      <c r="S183" s="741"/>
      <c r="T183" s="741"/>
      <c r="U183" s="741"/>
      <c r="V183" s="741"/>
      <c r="W183" s="741"/>
      <c r="X183" s="741"/>
      <c r="Y183" s="741"/>
      <c r="Z183" s="741"/>
      <c r="AA183" s="741"/>
      <c r="AB183" s="741"/>
      <c r="AC183" s="741"/>
      <c r="AD183" s="741"/>
      <c r="AE183" s="741"/>
    </row>
    <row r="184" spans="1:37" x14ac:dyDescent="0.2">
      <c r="AA184" s="781"/>
    </row>
    <row r="185" spans="1:37" x14ac:dyDescent="0.2">
      <c r="A185" s="766"/>
      <c r="H185" s="782"/>
      <c r="J185" s="787"/>
      <c r="L185" s="782"/>
    </row>
    <row r="186" spans="1:37" x14ac:dyDescent="0.2">
      <c r="C186" s="741"/>
      <c r="D186" s="741"/>
      <c r="E186" s="741"/>
      <c r="F186" s="741"/>
      <c r="G186" s="741"/>
      <c r="H186" s="741"/>
      <c r="I186" s="741"/>
      <c r="J186" s="741"/>
      <c r="K186" s="741"/>
      <c r="L186" s="741"/>
      <c r="M186" s="741"/>
      <c r="N186" s="741"/>
      <c r="O186" s="741"/>
      <c r="P186" s="741"/>
      <c r="Q186" s="741"/>
      <c r="R186" s="741"/>
      <c r="S186" s="741"/>
      <c r="T186" s="741"/>
      <c r="U186" s="741"/>
      <c r="V186" s="741"/>
      <c r="W186" s="741"/>
      <c r="X186" s="741"/>
      <c r="Y186" s="741"/>
      <c r="Z186" s="741"/>
      <c r="AA186" s="741"/>
      <c r="AB186" s="741"/>
      <c r="AC186" s="741"/>
      <c r="AD186" s="741"/>
      <c r="AE186" s="741"/>
    </row>
    <row r="187" spans="1:37" x14ac:dyDescent="0.2">
      <c r="C187" s="741"/>
      <c r="D187" s="741"/>
      <c r="E187" s="741"/>
      <c r="F187" s="741"/>
      <c r="G187" s="741"/>
      <c r="H187" s="741"/>
      <c r="I187" s="741"/>
      <c r="J187" s="741"/>
      <c r="K187" s="741"/>
      <c r="L187" s="741"/>
      <c r="M187" s="741"/>
      <c r="N187" s="741"/>
      <c r="O187" s="741"/>
      <c r="P187" s="741"/>
      <c r="Q187" s="741"/>
      <c r="R187" s="741"/>
      <c r="S187" s="741"/>
      <c r="T187" s="741"/>
      <c r="U187" s="741"/>
      <c r="V187" s="741"/>
      <c r="W187" s="741"/>
      <c r="X187" s="741"/>
      <c r="Y187" s="741"/>
      <c r="Z187" s="741"/>
      <c r="AA187" s="741"/>
      <c r="AB187" s="741"/>
      <c r="AC187" s="741"/>
      <c r="AD187" s="741"/>
      <c r="AE187" s="741"/>
    </row>
    <row r="188" spans="1:37" x14ac:dyDescent="0.2">
      <c r="C188" s="741"/>
      <c r="D188" s="741"/>
      <c r="E188" s="741"/>
      <c r="F188" s="741"/>
      <c r="G188" s="741"/>
      <c r="H188" s="741"/>
      <c r="I188" s="741"/>
      <c r="J188" s="741"/>
      <c r="K188" s="741"/>
      <c r="L188" s="741"/>
      <c r="M188" s="741"/>
      <c r="N188" s="741"/>
      <c r="O188" s="741"/>
      <c r="P188" s="741"/>
      <c r="Q188" s="741"/>
      <c r="R188" s="741"/>
      <c r="S188" s="741"/>
      <c r="T188" s="741"/>
      <c r="U188" s="741"/>
      <c r="V188" s="741"/>
      <c r="W188" s="741"/>
      <c r="X188" s="741"/>
      <c r="Y188" s="741"/>
      <c r="Z188" s="741"/>
      <c r="AA188" s="741"/>
      <c r="AB188" s="741"/>
      <c r="AC188" s="741"/>
      <c r="AD188" s="741"/>
      <c r="AE188" s="741"/>
    </row>
    <row r="189" spans="1:37" x14ac:dyDescent="0.2">
      <c r="AA189" s="781"/>
    </row>
    <row r="190" spans="1:37" x14ac:dyDescent="0.2">
      <c r="A190" s="766"/>
      <c r="H190" s="782"/>
      <c r="J190" s="787"/>
      <c r="L190" s="782"/>
    </row>
    <row r="191" spans="1:37" x14ac:dyDescent="0.2">
      <c r="C191" s="741"/>
      <c r="D191" s="741"/>
      <c r="E191" s="741"/>
      <c r="F191" s="741"/>
      <c r="G191" s="741"/>
      <c r="H191" s="741"/>
      <c r="I191" s="741"/>
      <c r="J191" s="741"/>
      <c r="K191" s="741"/>
      <c r="L191" s="741"/>
      <c r="M191" s="741"/>
      <c r="N191" s="741"/>
      <c r="O191" s="741"/>
      <c r="P191" s="741"/>
      <c r="Q191" s="741"/>
      <c r="R191" s="741"/>
      <c r="S191" s="741"/>
      <c r="T191" s="741"/>
      <c r="U191" s="741"/>
      <c r="V191" s="741"/>
      <c r="W191" s="741"/>
      <c r="X191" s="741"/>
      <c r="Y191" s="741"/>
      <c r="Z191" s="741"/>
      <c r="AA191" s="741"/>
      <c r="AB191" s="741"/>
      <c r="AC191" s="741"/>
      <c r="AD191" s="741"/>
      <c r="AE191" s="741"/>
      <c r="AF191" s="741"/>
      <c r="AG191" s="741"/>
      <c r="AH191" s="741"/>
      <c r="AI191" s="741"/>
      <c r="AJ191" s="741"/>
      <c r="AK191" s="741"/>
    </row>
    <row r="192" spans="1:37" x14ac:dyDescent="0.2">
      <c r="C192" s="741"/>
      <c r="D192" s="741"/>
      <c r="E192" s="741"/>
      <c r="F192" s="741"/>
      <c r="G192" s="741"/>
      <c r="H192" s="741"/>
      <c r="I192" s="741"/>
      <c r="J192" s="741"/>
      <c r="K192" s="741"/>
      <c r="L192" s="741"/>
      <c r="M192" s="741"/>
      <c r="N192" s="741"/>
      <c r="O192" s="741"/>
      <c r="P192" s="741"/>
      <c r="Q192" s="741"/>
      <c r="R192" s="741"/>
      <c r="S192" s="741"/>
      <c r="T192" s="741"/>
      <c r="U192" s="741"/>
      <c r="V192" s="741"/>
      <c r="W192" s="741"/>
      <c r="X192" s="741"/>
      <c r="Y192" s="741"/>
      <c r="Z192" s="741"/>
      <c r="AA192" s="741"/>
      <c r="AB192" s="741"/>
      <c r="AC192" s="741"/>
      <c r="AD192" s="741"/>
      <c r="AE192" s="741"/>
      <c r="AF192" s="741"/>
      <c r="AG192" s="741"/>
      <c r="AH192" s="741"/>
      <c r="AI192" s="741"/>
      <c r="AJ192" s="741"/>
      <c r="AK192" s="741"/>
    </row>
    <row r="193" spans="1:37" x14ac:dyDescent="0.2">
      <c r="C193" s="741"/>
      <c r="D193" s="741"/>
      <c r="E193" s="741"/>
      <c r="F193" s="741"/>
      <c r="G193" s="741"/>
      <c r="H193" s="741"/>
      <c r="I193" s="741"/>
      <c r="J193" s="741"/>
      <c r="K193" s="741"/>
      <c r="L193" s="741"/>
      <c r="M193" s="741"/>
      <c r="N193" s="741"/>
      <c r="O193" s="741"/>
      <c r="P193" s="741"/>
      <c r="Q193" s="741"/>
      <c r="R193" s="741"/>
      <c r="S193" s="741"/>
      <c r="T193" s="741"/>
      <c r="U193" s="741"/>
      <c r="V193" s="741"/>
      <c r="W193" s="741"/>
      <c r="X193" s="741"/>
      <c r="Y193" s="741"/>
      <c r="Z193" s="741"/>
      <c r="AA193" s="741"/>
      <c r="AB193" s="741"/>
      <c r="AC193" s="741"/>
      <c r="AD193" s="741"/>
      <c r="AE193" s="741"/>
      <c r="AF193" s="741"/>
      <c r="AG193" s="741"/>
      <c r="AH193" s="741"/>
      <c r="AI193" s="741"/>
      <c r="AJ193" s="741"/>
      <c r="AK193" s="741"/>
    </row>
    <row r="194" spans="1:37" x14ac:dyDescent="0.2">
      <c r="AA194" s="781"/>
    </row>
    <row r="195" spans="1:37" x14ac:dyDescent="0.2">
      <c r="A195" s="766"/>
      <c r="H195" s="782"/>
      <c r="J195" s="787"/>
      <c r="L195" s="782"/>
    </row>
    <row r="196" spans="1:37" x14ac:dyDescent="0.2">
      <c r="C196" s="741"/>
      <c r="D196" s="741"/>
      <c r="E196" s="741"/>
      <c r="F196" s="741"/>
      <c r="G196" s="741"/>
      <c r="H196" s="741"/>
      <c r="I196" s="741"/>
      <c r="J196" s="741"/>
      <c r="K196" s="741"/>
      <c r="L196" s="741"/>
      <c r="M196" s="741"/>
      <c r="N196" s="741"/>
      <c r="O196" s="741"/>
      <c r="P196" s="741"/>
      <c r="Q196" s="741"/>
      <c r="R196" s="741"/>
      <c r="S196" s="741"/>
      <c r="T196" s="741"/>
      <c r="U196" s="741"/>
      <c r="V196" s="741"/>
      <c r="W196" s="741"/>
      <c r="X196" s="741"/>
      <c r="Y196" s="741"/>
      <c r="Z196" s="741"/>
      <c r="AA196" s="741"/>
      <c r="AB196" s="741"/>
      <c r="AC196" s="741"/>
      <c r="AD196" s="741"/>
      <c r="AE196" s="741"/>
    </row>
    <row r="197" spans="1:37" x14ac:dyDescent="0.2">
      <c r="C197" s="741"/>
      <c r="D197" s="741"/>
      <c r="E197" s="741"/>
      <c r="F197" s="741"/>
      <c r="G197" s="741"/>
      <c r="H197" s="741"/>
      <c r="I197" s="741"/>
      <c r="J197" s="741"/>
      <c r="K197" s="741"/>
      <c r="L197" s="741"/>
      <c r="M197" s="741"/>
      <c r="N197" s="741"/>
      <c r="O197" s="741"/>
      <c r="P197" s="741"/>
      <c r="Q197" s="741"/>
      <c r="R197" s="741"/>
      <c r="S197" s="741"/>
      <c r="T197" s="741"/>
      <c r="U197" s="741"/>
      <c r="V197" s="741"/>
      <c r="W197" s="741"/>
      <c r="X197" s="741"/>
      <c r="Y197" s="741"/>
      <c r="Z197" s="741"/>
      <c r="AA197" s="741"/>
      <c r="AB197" s="741"/>
      <c r="AC197" s="741"/>
      <c r="AD197" s="741"/>
      <c r="AE197" s="741"/>
    </row>
    <row r="198" spans="1:37" x14ac:dyDescent="0.2">
      <c r="C198" s="741"/>
      <c r="D198" s="741"/>
      <c r="E198" s="741"/>
      <c r="F198" s="741"/>
      <c r="G198" s="741"/>
      <c r="H198" s="741"/>
      <c r="I198" s="741"/>
      <c r="J198" s="741"/>
      <c r="K198" s="741"/>
      <c r="L198" s="741"/>
      <c r="M198" s="741"/>
      <c r="N198" s="741"/>
      <c r="O198" s="741"/>
      <c r="P198" s="741"/>
      <c r="Q198" s="741"/>
      <c r="R198" s="741"/>
      <c r="S198" s="741"/>
      <c r="T198" s="741"/>
      <c r="U198" s="741"/>
      <c r="V198" s="741"/>
      <c r="W198" s="741"/>
      <c r="X198" s="741"/>
      <c r="Y198" s="741"/>
      <c r="Z198" s="741"/>
      <c r="AA198" s="741"/>
      <c r="AB198" s="741"/>
      <c r="AC198" s="741"/>
      <c r="AD198" s="741"/>
      <c r="AE198" s="741"/>
    </row>
    <row r="199" spans="1:37" x14ac:dyDescent="0.2">
      <c r="AA199" s="781"/>
    </row>
    <row r="200" spans="1:37" x14ac:dyDescent="0.2">
      <c r="A200" s="766"/>
      <c r="H200" s="782"/>
      <c r="J200" s="787"/>
      <c r="K200" s="766"/>
      <c r="L200" s="782"/>
    </row>
    <row r="201" spans="1:37" x14ac:dyDescent="0.2">
      <c r="C201" s="741"/>
      <c r="D201" s="741"/>
      <c r="E201" s="741"/>
      <c r="F201" s="741"/>
      <c r="G201" s="741"/>
      <c r="H201" s="741"/>
      <c r="I201" s="741"/>
      <c r="J201" s="741"/>
      <c r="K201" s="741"/>
      <c r="L201" s="741"/>
      <c r="M201" s="741"/>
      <c r="N201" s="741"/>
      <c r="O201" s="741"/>
      <c r="P201" s="741"/>
      <c r="Q201" s="741"/>
      <c r="R201" s="741"/>
      <c r="S201" s="741"/>
      <c r="T201" s="741"/>
      <c r="U201" s="741"/>
      <c r="V201" s="741"/>
      <c r="W201" s="741"/>
      <c r="X201" s="741"/>
      <c r="Y201" s="741"/>
      <c r="Z201" s="741"/>
      <c r="AA201" s="741"/>
      <c r="AB201" s="741"/>
      <c r="AC201" s="741"/>
      <c r="AD201" s="741"/>
      <c r="AE201" s="741"/>
    </row>
    <row r="202" spans="1:37" x14ac:dyDescent="0.2">
      <c r="C202" s="741"/>
      <c r="D202" s="741"/>
      <c r="E202" s="741"/>
      <c r="F202" s="741"/>
      <c r="G202" s="741"/>
      <c r="H202" s="741"/>
      <c r="I202" s="741"/>
      <c r="J202" s="741"/>
      <c r="K202" s="741"/>
      <c r="L202" s="741"/>
      <c r="M202" s="741"/>
      <c r="N202" s="741"/>
      <c r="O202" s="741"/>
      <c r="P202" s="741"/>
      <c r="Q202" s="741"/>
      <c r="R202" s="741"/>
      <c r="S202" s="741"/>
      <c r="T202" s="741"/>
      <c r="U202" s="741"/>
      <c r="V202" s="741"/>
      <c r="W202" s="741"/>
      <c r="X202" s="741"/>
      <c r="Y202" s="741"/>
      <c r="Z202" s="741"/>
      <c r="AA202" s="741"/>
      <c r="AB202" s="741"/>
      <c r="AC202" s="741"/>
      <c r="AD202" s="741"/>
      <c r="AE202" s="741"/>
    </row>
    <row r="203" spans="1:37" x14ac:dyDescent="0.2">
      <c r="C203" s="741"/>
      <c r="D203" s="741"/>
      <c r="E203" s="741"/>
      <c r="F203" s="741"/>
      <c r="G203" s="741"/>
      <c r="H203" s="741"/>
      <c r="I203" s="741"/>
      <c r="J203" s="741"/>
      <c r="K203" s="741"/>
      <c r="L203" s="741"/>
      <c r="M203" s="741"/>
      <c r="N203" s="741"/>
      <c r="O203" s="741"/>
      <c r="P203" s="741"/>
      <c r="Q203" s="741"/>
      <c r="R203" s="741"/>
      <c r="S203" s="741"/>
      <c r="T203" s="741"/>
      <c r="U203" s="741"/>
      <c r="V203" s="741"/>
      <c r="W203" s="741"/>
      <c r="X203" s="741"/>
      <c r="Y203" s="741"/>
      <c r="Z203" s="741"/>
      <c r="AA203" s="741"/>
      <c r="AB203" s="741"/>
      <c r="AC203" s="741"/>
      <c r="AD203" s="741"/>
      <c r="AE203" s="741"/>
    </row>
    <row r="204" spans="1:37" x14ac:dyDescent="0.2">
      <c r="AA204" s="781"/>
    </row>
    <row r="205" spans="1:37" x14ac:dyDescent="0.2">
      <c r="A205" s="766"/>
      <c r="H205" s="782"/>
      <c r="J205" s="787"/>
      <c r="L205" s="782"/>
    </row>
    <row r="210" spans="1:31" x14ac:dyDescent="0.2">
      <c r="A210" s="766"/>
      <c r="H210" s="782"/>
      <c r="J210" s="787"/>
      <c r="L210" s="782"/>
    </row>
    <row r="211" spans="1:31" x14ac:dyDescent="0.2">
      <c r="C211" s="741"/>
      <c r="D211" s="741"/>
      <c r="E211" s="741"/>
      <c r="F211" s="741"/>
      <c r="G211" s="741"/>
      <c r="H211" s="741"/>
      <c r="I211" s="741"/>
      <c r="J211" s="741"/>
      <c r="K211" s="741"/>
      <c r="L211" s="741"/>
      <c r="M211" s="741"/>
      <c r="N211" s="741"/>
      <c r="O211" s="741"/>
      <c r="P211" s="741"/>
      <c r="Q211" s="741"/>
      <c r="R211" s="741"/>
      <c r="S211" s="741"/>
      <c r="T211" s="741"/>
      <c r="U211" s="741"/>
      <c r="V211" s="741"/>
      <c r="W211" s="741"/>
      <c r="X211" s="741"/>
      <c r="Y211" s="741"/>
      <c r="Z211" s="741"/>
      <c r="AA211" s="741"/>
      <c r="AB211" s="741"/>
      <c r="AC211" s="741"/>
      <c r="AD211" s="741"/>
      <c r="AE211" s="741"/>
    </row>
    <row r="212" spans="1:31" x14ac:dyDescent="0.2">
      <c r="C212" s="741"/>
      <c r="D212" s="741"/>
      <c r="E212" s="741"/>
      <c r="F212" s="741"/>
      <c r="G212" s="741"/>
      <c r="H212" s="741"/>
      <c r="I212" s="741"/>
      <c r="J212" s="741"/>
      <c r="K212" s="741"/>
      <c r="L212" s="741"/>
      <c r="M212" s="741"/>
      <c r="N212" s="741"/>
      <c r="O212" s="741"/>
      <c r="P212" s="741"/>
      <c r="Q212" s="741"/>
      <c r="R212" s="741"/>
      <c r="S212" s="741"/>
      <c r="T212" s="741"/>
      <c r="U212" s="741"/>
      <c r="V212" s="741"/>
      <c r="W212" s="741"/>
      <c r="X212" s="741"/>
      <c r="Y212" s="741"/>
      <c r="Z212" s="741"/>
      <c r="AA212" s="741"/>
      <c r="AB212" s="741"/>
      <c r="AC212" s="741"/>
      <c r="AD212" s="741"/>
      <c r="AE212" s="741"/>
    </row>
    <row r="213" spans="1:31" x14ac:dyDescent="0.2">
      <c r="C213" s="741"/>
      <c r="D213" s="741"/>
      <c r="E213" s="741"/>
      <c r="F213" s="741"/>
      <c r="G213" s="741"/>
      <c r="H213" s="741"/>
      <c r="I213" s="741"/>
      <c r="J213" s="741"/>
      <c r="K213" s="741"/>
      <c r="L213" s="741"/>
      <c r="M213" s="741"/>
      <c r="N213" s="741"/>
      <c r="O213" s="741"/>
      <c r="P213" s="741"/>
      <c r="Q213" s="741"/>
      <c r="R213" s="741"/>
      <c r="S213" s="741"/>
      <c r="T213" s="741"/>
      <c r="U213" s="741"/>
      <c r="V213" s="741"/>
      <c r="W213" s="741"/>
      <c r="X213" s="741"/>
      <c r="Y213" s="741"/>
      <c r="Z213" s="741"/>
      <c r="AA213" s="741"/>
      <c r="AB213" s="741"/>
      <c r="AC213" s="741"/>
      <c r="AD213" s="741"/>
      <c r="AE213" s="741"/>
    </row>
    <row r="214" spans="1:31" x14ac:dyDescent="0.2">
      <c r="AA214" s="781"/>
    </row>
    <row r="215" spans="1:31" x14ac:dyDescent="0.2">
      <c r="A215" s="766"/>
      <c r="F215" s="766"/>
      <c r="H215" s="741"/>
      <c r="J215" s="787"/>
      <c r="L215" s="741"/>
    </row>
    <row r="216" spans="1:31" x14ac:dyDescent="0.2">
      <c r="C216" s="741"/>
      <c r="D216" s="741"/>
      <c r="E216" s="741"/>
      <c r="F216" s="741"/>
      <c r="G216" s="741"/>
      <c r="H216" s="741"/>
      <c r="I216" s="741"/>
      <c r="J216" s="741"/>
      <c r="K216" s="741"/>
      <c r="L216" s="741"/>
      <c r="M216" s="741"/>
      <c r="N216" s="741"/>
      <c r="O216" s="741"/>
      <c r="P216" s="741"/>
      <c r="Q216" s="741"/>
      <c r="R216" s="741"/>
      <c r="S216" s="741"/>
      <c r="T216" s="741"/>
      <c r="U216" s="741"/>
      <c r="V216" s="741"/>
      <c r="W216" s="741"/>
      <c r="X216" s="741"/>
      <c r="Y216" s="741"/>
      <c r="Z216" s="741"/>
      <c r="AA216" s="741"/>
      <c r="AB216" s="741"/>
      <c r="AC216" s="741"/>
      <c r="AD216" s="741"/>
      <c r="AE216" s="741"/>
    </row>
    <row r="217" spans="1:31" x14ac:dyDescent="0.2">
      <c r="C217" s="741"/>
      <c r="D217" s="741"/>
      <c r="E217" s="741"/>
      <c r="F217" s="741"/>
      <c r="G217" s="741"/>
      <c r="H217" s="741"/>
      <c r="I217" s="741"/>
      <c r="J217" s="741"/>
      <c r="K217" s="741"/>
      <c r="L217" s="741"/>
      <c r="M217" s="741"/>
      <c r="N217" s="741"/>
      <c r="O217" s="741"/>
      <c r="P217" s="741"/>
      <c r="Q217" s="741"/>
      <c r="R217" s="741"/>
      <c r="S217" s="741"/>
      <c r="T217" s="741"/>
      <c r="U217" s="741"/>
      <c r="V217" s="741"/>
      <c r="W217" s="741"/>
      <c r="X217" s="741"/>
      <c r="Y217" s="741"/>
      <c r="Z217" s="741"/>
      <c r="AA217" s="741"/>
      <c r="AB217" s="741"/>
      <c r="AC217" s="741"/>
      <c r="AD217" s="741"/>
      <c r="AE217" s="741"/>
    </row>
    <row r="218" spans="1:31" x14ac:dyDescent="0.2">
      <c r="C218" s="741"/>
      <c r="D218" s="741"/>
      <c r="E218" s="741"/>
      <c r="F218" s="741"/>
      <c r="G218" s="741"/>
      <c r="H218" s="741"/>
      <c r="I218" s="741"/>
      <c r="J218" s="741"/>
      <c r="K218" s="741"/>
      <c r="L218" s="741"/>
      <c r="M218" s="741"/>
      <c r="N218" s="741"/>
      <c r="O218" s="741"/>
      <c r="P218" s="741"/>
      <c r="Q218" s="741"/>
      <c r="R218" s="741"/>
      <c r="S218" s="741"/>
      <c r="T218" s="741"/>
      <c r="U218" s="741"/>
      <c r="V218" s="741"/>
      <c r="W218" s="741"/>
      <c r="X218" s="741"/>
      <c r="Y218" s="741"/>
      <c r="Z218" s="741"/>
      <c r="AA218" s="741"/>
      <c r="AB218" s="741"/>
      <c r="AC218" s="741"/>
      <c r="AD218" s="741"/>
      <c r="AE218" s="741"/>
    </row>
    <row r="219" spans="1:31" x14ac:dyDescent="0.2">
      <c r="AA219" s="781"/>
    </row>
    <row r="222" spans="1:31" x14ac:dyDescent="0.2">
      <c r="C222" s="784"/>
    </row>
    <row r="223" spans="1:31" x14ac:dyDescent="0.2">
      <c r="C223" s="785"/>
      <c r="J223" s="786"/>
      <c r="K223" s="786"/>
    </row>
    <row r="224" spans="1:31" x14ac:dyDescent="0.2">
      <c r="C224" s="766"/>
    </row>
    <row r="225" spans="1:31" x14ac:dyDescent="0.2">
      <c r="W225" s="766"/>
    </row>
    <row r="226" spans="1:31" x14ac:dyDescent="0.2">
      <c r="A226" s="759"/>
      <c r="B226" s="759"/>
      <c r="C226" s="759"/>
      <c r="D226" s="759"/>
      <c r="E226" s="759"/>
      <c r="F226" s="759"/>
      <c r="G226" s="759"/>
      <c r="H226" s="759"/>
      <c r="I226" s="759"/>
      <c r="J226" s="759"/>
      <c r="K226" s="759"/>
      <c r="L226" s="759"/>
      <c r="M226" s="759"/>
      <c r="N226" s="759"/>
      <c r="O226" s="759"/>
      <c r="P226" s="759"/>
      <c r="Q226" s="759"/>
      <c r="R226" s="759"/>
      <c r="S226" s="759"/>
      <c r="T226" s="759"/>
      <c r="U226" s="759"/>
      <c r="V226" s="759"/>
      <c r="W226" s="772"/>
      <c r="X226" s="759"/>
      <c r="Y226" s="759"/>
      <c r="Z226" s="759"/>
      <c r="AA226" s="759"/>
    </row>
    <row r="227" spans="1:31" x14ac:dyDescent="0.2">
      <c r="W227" s="766"/>
    </row>
    <row r="228" spans="1:31" x14ac:dyDescent="0.2">
      <c r="A228" s="772"/>
      <c r="B228" s="759"/>
      <c r="C228" s="772"/>
      <c r="D228" s="759"/>
      <c r="E228" s="759"/>
      <c r="F228" s="759"/>
      <c r="G228" s="759"/>
      <c r="H228" s="772"/>
      <c r="I228" s="759"/>
      <c r="J228" s="772"/>
      <c r="K228" s="759"/>
      <c r="L228" s="772"/>
      <c r="M228" s="759"/>
      <c r="N228" s="759"/>
      <c r="O228" s="759"/>
      <c r="P228" s="759"/>
      <c r="Q228" s="759"/>
      <c r="R228" s="759"/>
      <c r="S228" s="759"/>
      <c r="T228" s="759"/>
      <c r="U228" s="759"/>
      <c r="V228" s="759"/>
      <c r="W228" s="759"/>
      <c r="X228" s="759"/>
      <c r="Y228" s="759"/>
      <c r="Z228" s="759"/>
      <c r="AA228" s="759"/>
    </row>
    <row r="229" spans="1:31" x14ac:dyDescent="0.2">
      <c r="A229" s="766"/>
      <c r="C229" s="766"/>
      <c r="H229" s="766"/>
      <c r="J229" s="766"/>
      <c r="L229" s="766"/>
    </row>
    <row r="232" spans="1:31" x14ac:dyDescent="0.2">
      <c r="A232" s="766"/>
      <c r="C232" s="766"/>
      <c r="J232" s="788"/>
    </row>
    <row r="233" spans="1:31" x14ac:dyDescent="0.2">
      <c r="C233" s="741"/>
      <c r="D233" s="741"/>
      <c r="E233" s="741"/>
      <c r="F233" s="741"/>
      <c r="G233" s="741"/>
      <c r="H233" s="741"/>
      <c r="I233" s="741"/>
      <c r="J233" s="741"/>
      <c r="K233" s="741"/>
      <c r="L233" s="741"/>
      <c r="M233" s="741"/>
      <c r="N233" s="741"/>
      <c r="O233" s="741"/>
      <c r="P233" s="741"/>
      <c r="Q233" s="741"/>
      <c r="R233" s="741"/>
      <c r="S233" s="741"/>
      <c r="T233" s="741"/>
      <c r="U233" s="741"/>
      <c r="V233" s="741"/>
      <c r="W233" s="741"/>
      <c r="X233" s="741"/>
      <c r="Y233" s="741"/>
      <c r="Z233" s="741"/>
      <c r="AA233" s="741"/>
      <c r="AB233" s="741"/>
      <c r="AC233" s="741"/>
      <c r="AD233" s="741"/>
      <c r="AE233" s="741"/>
    </row>
    <row r="234" spans="1:31" x14ac:dyDescent="0.2">
      <c r="C234" s="741"/>
      <c r="D234" s="741"/>
      <c r="E234" s="741"/>
      <c r="F234" s="741"/>
      <c r="G234" s="741"/>
      <c r="H234" s="741"/>
      <c r="I234" s="741"/>
      <c r="J234" s="741"/>
      <c r="K234" s="741"/>
      <c r="L234" s="741"/>
      <c r="M234" s="741"/>
      <c r="N234" s="741"/>
      <c r="O234" s="741"/>
      <c r="P234" s="741"/>
      <c r="Q234" s="741"/>
      <c r="R234" s="741"/>
      <c r="S234" s="741"/>
      <c r="T234" s="741"/>
      <c r="U234" s="741"/>
      <c r="V234" s="741"/>
      <c r="W234" s="741"/>
      <c r="X234" s="741"/>
      <c r="Y234" s="741"/>
      <c r="Z234" s="741"/>
      <c r="AA234" s="741"/>
      <c r="AB234" s="741"/>
      <c r="AC234" s="741"/>
      <c r="AD234" s="741"/>
      <c r="AE234" s="741"/>
    </row>
    <row r="235" spans="1:31" x14ac:dyDescent="0.2">
      <c r="C235" s="741"/>
      <c r="D235" s="741"/>
      <c r="E235" s="741"/>
      <c r="F235" s="741"/>
      <c r="G235" s="741"/>
      <c r="H235" s="741"/>
      <c r="I235" s="741"/>
      <c r="J235" s="741"/>
      <c r="K235" s="741"/>
      <c r="L235" s="741"/>
      <c r="M235" s="741"/>
      <c r="N235" s="741"/>
      <c r="O235" s="741"/>
      <c r="P235" s="741"/>
      <c r="Q235" s="741"/>
      <c r="R235" s="741"/>
      <c r="S235" s="741"/>
      <c r="T235" s="741"/>
      <c r="U235" s="741"/>
      <c r="V235" s="741"/>
      <c r="W235" s="741"/>
      <c r="X235" s="741"/>
      <c r="Y235" s="741"/>
      <c r="Z235" s="741"/>
      <c r="AA235" s="741"/>
      <c r="AB235" s="741"/>
      <c r="AC235" s="741"/>
      <c r="AD235" s="741"/>
      <c r="AE235" s="741"/>
    </row>
    <row r="236" spans="1:31" x14ac:dyDescent="0.2">
      <c r="AA236" s="781"/>
    </row>
    <row r="237" spans="1:31" x14ac:dyDescent="0.2">
      <c r="A237" s="766"/>
      <c r="C237" s="766"/>
      <c r="F237" s="766"/>
      <c r="H237" s="782"/>
      <c r="J237" s="788"/>
      <c r="L237" s="782"/>
    </row>
    <row r="238" spans="1:31" x14ac:dyDescent="0.2">
      <c r="C238" s="741"/>
      <c r="D238" s="741"/>
      <c r="E238" s="741"/>
      <c r="F238" s="741"/>
      <c r="G238" s="741"/>
      <c r="H238" s="741"/>
      <c r="I238" s="741"/>
      <c r="J238" s="741"/>
      <c r="K238" s="741"/>
      <c r="L238" s="741"/>
      <c r="M238" s="741"/>
      <c r="N238" s="741"/>
      <c r="O238" s="741"/>
      <c r="P238" s="741"/>
      <c r="Q238" s="741"/>
      <c r="R238" s="741"/>
      <c r="S238" s="741"/>
      <c r="T238" s="741"/>
      <c r="U238" s="741"/>
      <c r="V238" s="741"/>
      <c r="W238" s="741"/>
      <c r="X238" s="741"/>
      <c r="Y238" s="741"/>
      <c r="Z238" s="741"/>
      <c r="AA238" s="741"/>
      <c r="AB238" s="741"/>
      <c r="AC238" s="741"/>
      <c r="AD238" s="741"/>
      <c r="AE238" s="741"/>
    </row>
    <row r="239" spans="1:31" x14ac:dyDescent="0.2">
      <c r="C239" s="741"/>
      <c r="D239" s="741"/>
      <c r="E239" s="741"/>
      <c r="F239" s="741"/>
      <c r="G239" s="741"/>
      <c r="H239" s="741"/>
      <c r="I239" s="741"/>
      <c r="J239" s="741"/>
      <c r="K239" s="741"/>
      <c r="L239" s="741"/>
      <c r="M239" s="741"/>
      <c r="N239" s="741"/>
      <c r="O239" s="741"/>
      <c r="P239" s="741"/>
      <c r="Q239" s="741"/>
      <c r="R239" s="741"/>
      <c r="S239" s="741"/>
      <c r="T239" s="741"/>
      <c r="U239" s="741"/>
      <c r="V239" s="741"/>
      <c r="W239" s="741"/>
      <c r="X239" s="741"/>
      <c r="Y239" s="741"/>
      <c r="Z239" s="741"/>
      <c r="AA239" s="741"/>
      <c r="AB239" s="741"/>
      <c r="AC239" s="741"/>
      <c r="AD239" s="741"/>
      <c r="AE239" s="741"/>
    </row>
    <row r="240" spans="1:31" x14ac:dyDescent="0.2">
      <c r="C240" s="741"/>
      <c r="D240" s="741"/>
      <c r="E240" s="741"/>
      <c r="F240" s="741"/>
      <c r="G240" s="741"/>
      <c r="H240" s="741"/>
      <c r="I240" s="741"/>
      <c r="J240" s="741"/>
      <c r="K240" s="741"/>
      <c r="L240" s="741"/>
      <c r="M240" s="741"/>
      <c r="N240" s="741"/>
      <c r="O240" s="741"/>
      <c r="P240" s="741"/>
      <c r="Q240" s="741"/>
      <c r="R240" s="741"/>
      <c r="S240" s="741"/>
      <c r="T240" s="741"/>
      <c r="U240" s="741"/>
      <c r="V240" s="741"/>
      <c r="W240" s="741"/>
      <c r="X240" s="741"/>
      <c r="Y240" s="741"/>
      <c r="Z240" s="741"/>
      <c r="AA240" s="741"/>
      <c r="AB240" s="741"/>
      <c r="AC240" s="741"/>
      <c r="AD240" s="741"/>
      <c r="AE240" s="741"/>
    </row>
    <row r="241" spans="1:50" x14ac:dyDescent="0.2">
      <c r="AA241" s="781"/>
    </row>
    <row r="242" spans="1:50" x14ac:dyDescent="0.2">
      <c r="A242" s="766"/>
      <c r="C242" s="766"/>
      <c r="H242" s="782"/>
      <c r="J242" s="787"/>
      <c r="L242" s="782"/>
    </row>
    <row r="243" spans="1:50" x14ac:dyDescent="0.2">
      <c r="C243" s="741"/>
      <c r="D243" s="741"/>
      <c r="E243" s="741"/>
      <c r="F243" s="741"/>
      <c r="G243" s="741"/>
      <c r="H243" s="741"/>
      <c r="I243" s="741"/>
      <c r="J243" s="741"/>
      <c r="K243" s="741"/>
      <c r="L243" s="741"/>
      <c r="M243" s="741"/>
      <c r="N243" s="741"/>
      <c r="O243" s="741"/>
      <c r="P243" s="741"/>
      <c r="Q243" s="741"/>
      <c r="R243" s="741"/>
      <c r="S243" s="741"/>
      <c r="T243" s="741"/>
      <c r="U243" s="741"/>
      <c r="V243" s="741"/>
      <c r="W243" s="741"/>
      <c r="X243" s="741"/>
      <c r="Y243" s="741"/>
      <c r="Z243" s="741"/>
      <c r="AA243" s="741"/>
      <c r="AB243" s="741"/>
    </row>
    <row r="244" spans="1:50" x14ac:dyDescent="0.2">
      <c r="C244" s="741"/>
      <c r="D244" s="741"/>
      <c r="E244" s="741"/>
      <c r="F244" s="741"/>
      <c r="G244" s="741"/>
      <c r="H244" s="741"/>
      <c r="I244" s="741"/>
      <c r="J244" s="741"/>
      <c r="K244" s="741"/>
      <c r="L244" s="741"/>
      <c r="M244" s="741"/>
      <c r="N244" s="741"/>
      <c r="O244" s="741"/>
      <c r="P244" s="741"/>
      <c r="Q244" s="741"/>
      <c r="R244" s="741"/>
      <c r="S244" s="741"/>
      <c r="T244" s="741"/>
      <c r="U244" s="741"/>
      <c r="V244" s="741"/>
      <c r="W244" s="741"/>
      <c r="X244" s="741"/>
      <c r="Y244" s="741"/>
      <c r="Z244" s="741"/>
      <c r="AA244" s="741"/>
      <c r="AB244" s="741"/>
    </row>
    <row r="245" spans="1:50" x14ac:dyDescent="0.2">
      <c r="C245" s="741"/>
      <c r="D245" s="741"/>
      <c r="E245" s="741"/>
      <c r="F245" s="741"/>
      <c r="G245" s="741"/>
      <c r="H245" s="741"/>
      <c r="I245" s="741"/>
      <c r="J245" s="741"/>
      <c r="K245" s="741"/>
      <c r="L245" s="741"/>
      <c r="M245" s="741"/>
      <c r="N245" s="741"/>
      <c r="O245" s="741"/>
      <c r="P245" s="741"/>
      <c r="Q245" s="741"/>
      <c r="R245" s="741"/>
      <c r="S245" s="741"/>
      <c r="T245" s="741"/>
      <c r="U245" s="741"/>
      <c r="V245" s="741"/>
      <c r="W245" s="741"/>
      <c r="X245" s="741"/>
      <c r="Y245" s="741"/>
      <c r="Z245" s="741"/>
      <c r="AA245" s="741"/>
      <c r="AB245" s="741"/>
    </row>
    <row r="246" spans="1:50" x14ac:dyDescent="0.2">
      <c r="AA246" s="781"/>
    </row>
    <row r="247" spans="1:50" x14ac:dyDescent="0.2">
      <c r="A247" s="766"/>
      <c r="C247" s="766"/>
      <c r="H247" s="782"/>
      <c r="J247" s="787"/>
      <c r="L247" s="782"/>
    </row>
    <row r="248" spans="1:50" x14ac:dyDescent="0.2">
      <c r="C248" s="741"/>
      <c r="D248" s="741"/>
      <c r="E248" s="741"/>
      <c r="F248" s="741"/>
      <c r="G248" s="741"/>
      <c r="H248" s="741"/>
      <c r="I248" s="741"/>
      <c r="J248" s="741"/>
      <c r="K248" s="741"/>
      <c r="L248" s="741"/>
      <c r="M248" s="741"/>
      <c r="N248" s="741"/>
      <c r="O248" s="741"/>
      <c r="P248" s="741"/>
      <c r="Q248" s="741"/>
      <c r="R248" s="741"/>
      <c r="S248" s="741"/>
      <c r="T248" s="741"/>
      <c r="U248" s="741"/>
      <c r="V248" s="741"/>
      <c r="W248" s="741"/>
      <c r="X248" s="741"/>
      <c r="Y248" s="741"/>
      <c r="Z248" s="741"/>
      <c r="AA248" s="741"/>
      <c r="AB248" s="741"/>
      <c r="AC248" s="741"/>
      <c r="AD248" s="741"/>
      <c r="AE248" s="741"/>
      <c r="AF248" s="741"/>
      <c r="AG248" s="741"/>
      <c r="AH248" s="741"/>
      <c r="AI248" s="741"/>
      <c r="AJ248" s="741"/>
      <c r="AK248" s="741"/>
      <c r="AL248" s="741"/>
      <c r="AM248" s="741"/>
      <c r="AN248" s="741"/>
      <c r="AO248" s="741"/>
      <c r="AP248" s="741"/>
      <c r="AQ248" s="741"/>
      <c r="AR248" s="741"/>
    </row>
    <row r="249" spans="1:50" x14ac:dyDescent="0.2">
      <c r="C249" s="741"/>
      <c r="D249" s="741"/>
      <c r="E249" s="741"/>
      <c r="F249" s="741"/>
      <c r="G249" s="741"/>
      <c r="H249" s="741"/>
      <c r="I249" s="741"/>
      <c r="J249" s="741"/>
      <c r="K249" s="741"/>
      <c r="L249" s="741"/>
      <c r="M249" s="741"/>
      <c r="N249" s="741"/>
      <c r="O249" s="741"/>
      <c r="P249" s="741"/>
      <c r="Q249" s="741"/>
      <c r="R249" s="741"/>
      <c r="S249" s="741"/>
      <c r="T249" s="741"/>
      <c r="U249" s="741"/>
      <c r="V249" s="741"/>
      <c r="W249" s="741"/>
      <c r="X249" s="741"/>
      <c r="Y249" s="741"/>
      <c r="Z249" s="741"/>
      <c r="AA249" s="741"/>
      <c r="AB249" s="741"/>
      <c r="AC249" s="741"/>
      <c r="AD249" s="741"/>
      <c r="AE249" s="741"/>
      <c r="AF249" s="741"/>
      <c r="AG249" s="741"/>
      <c r="AH249" s="741"/>
      <c r="AI249" s="741"/>
      <c r="AJ249" s="741"/>
      <c r="AK249" s="741"/>
      <c r="AL249" s="741"/>
      <c r="AM249" s="741"/>
      <c r="AN249" s="741"/>
      <c r="AO249" s="741"/>
      <c r="AP249" s="741"/>
      <c r="AQ249" s="741"/>
      <c r="AR249" s="741"/>
    </row>
    <row r="250" spans="1:50" x14ac:dyDescent="0.2">
      <c r="C250" s="741"/>
      <c r="D250" s="741"/>
      <c r="E250" s="741"/>
      <c r="F250" s="741"/>
      <c r="G250" s="741"/>
      <c r="H250" s="741"/>
      <c r="I250" s="741"/>
      <c r="J250" s="741"/>
      <c r="K250" s="741"/>
      <c r="L250" s="741"/>
      <c r="M250" s="741"/>
      <c r="N250" s="741"/>
      <c r="O250" s="741"/>
      <c r="P250" s="741"/>
      <c r="Q250" s="741"/>
      <c r="R250" s="741"/>
      <c r="S250" s="741"/>
      <c r="T250" s="741"/>
      <c r="U250" s="741"/>
      <c r="V250" s="741"/>
      <c r="W250" s="741"/>
      <c r="X250" s="741"/>
      <c r="Y250" s="741"/>
      <c r="Z250" s="741"/>
      <c r="AA250" s="741"/>
      <c r="AB250" s="741"/>
      <c r="AC250" s="741"/>
      <c r="AD250" s="741"/>
      <c r="AE250" s="741"/>
      <c r="AF250" s="741"/>
      <c r="AG250" s="741"/>
      <c r="AH250" s="741"/>
      <c r="AI250" s="741"/>
      <c r="AJ250" s="741"/>
      <c r="AK250" s="741"/>
      <c r="AL250" s="741"/>
      <c r="AM250" s="741"/>
      <c r="AN250" s="741"/>
      <c r="AO250" s="741"/>
      <c r="AP250" s="741"/>
      <c r="AQ250" s="741"/>
      <c r="AR250" s="741"/>
    </row>
    <row r="251" spans="1:50" x14ac:dyDescent="0.2">
      <c r="AA251" s="781"/>
    </row>
    <row r="252" spans="1:50" x14ac:dyDescent="0.2">
      <c r="A252" s="766"/>
      <c r="C252" s="766"/>
      <c r="H252" s="782"/>
      <c r="J252" s="787"/>
      <c r="L252" s="782"/>
    </row>
    <row r="253" spans="1:50" x14ac:dyDescent="0.2">
      <c r="C253" s="741"/>
      <c r="D253" s="741"/>
      <c r="E253" s="741"/>
      <c r="F253" s="741"/>
      <c r="G253" s="741"/>
      <c r="H253" s="741"/>
      <c r="I253" s="741"/>
      <c r="J253" s="741"/>
      <c r="K253" s="741"/>
      <c r="L253" s="741"/>
      <c r="M253" s="741"/>
      <c r="N253" s="741"/>
      <c r="O253" s="741"/>
      <c r="P253" s="741"/>
      <c r="Q253" s="741"/>
      <c r="R253" s="741"/>
      <c r="S253" s="741"/>
      <c r="T253" s="741"/>
      <c r="U253" s="741"/>
      <c r="V253" s="741"/>
      <c r="W253" s="741"/>
      <c r="X253" s="741"/>
      <c r="Y253" s="741"/>
      <c r="Z253" s="741"/>
      <c r="AA253" s="741"/>
      <c r="AB253" s="741"/>
      <c r="AC253" s="741"/>
      <c r="AD253" s="741"/>
      <c r="AE253" s="741"/>
      <c r="AF253" s="741"/>
      <c r="AG253" s="741"/>
      <c r="AH253" s="741"/>
      <c r="AI253" s="741"/>
      <c r="AJ253" s="741"/>
      <c r="AK253" s="741"/>
      <c r="AL253" s="741"/>
      <c r="AM253" s="741"/>
      <c r="AN253" s="741"/>
      <c r="AO253" s="741"/>
      <c r="AP253" s="741"/>
      <c r="AQ253" s="741"/>
      <c r="AR253" s="741"/>
      <c r="AS253" s="741"/>
      <c r="AT253" s="741"/>
      <c r="AU253" s="741"/>
      <c r="AV253" s="741"/>
      <c r="AW253" s="741"/>
      <c r="AX253" s="741"/>
    </row>
    <row r="254" spans="1:50" x14ac:dyDescent="0.2">
      <c r="C254" s="741"/>
      <c r="D254" s="741"/>
      <c r="E254" s="741"/>
      <c r="F254" s="741"/>
      <c r="G254" s="741"/>
      <c r="H254" s="741"/>
      <c r="I254" s="741"/>
      <c r="J254" s="741"/>
      <c r="K254" s="741"/>
      <c r="L254" s="741"/>
      <c r="M254" s="741"/>
      <c r="N254" s="741"/>
      <c r="O254" s="741"/>
      <c r="P254" s="741"/>
      <c r="Q254" s="741"/>
      <c r="R254" s="741"/>
      <c r="S254" s="741"/>
      <c r="T254" s="741"/>
      <c r="U254" s="741"/>
      <c r="V254" s="741"/>
      <c r="W254" s="741"/>
      <c r="X254" s="741"/>
      <c r="Y254" s="741"/>
      <c r="Z254" s="741"/>
      <c r="AA254" s="741"/>
      <c r="AB254" s="741"/>
      <c r="AC254" s="741"/>
      <c r="AD254" s="741"/>
      <c r="AE254" s="741"/>
      <c r="AF254" s="741"/>
      <c r="AG254" s="741"/>
      <c r="AH254" s="741"/>
      <c r="AI254" s="741"/>
      <c r="AJ254" s="741"/>
      <c r="AK254" s="741"/>
      <c r="AL254" s="741"/>
      <c r="AM254" s="741"/>
      <c r="AN254" s="741"/>
      <c r="AO254" s="741"/>
      <c r="AP254" s="741"/>
      <c r="AQ254" s="741"/>
      <c r="AR254" s="741"/>
      <c r="AS254" s="741"/>
      <c r="AT254" s="741"/>
      <c r="AU254" s="741"/>
      <c r="AV254" s="741"/>
      <c r="AW254" s="741"/>
      <c r="AX254" s="741"/>
    </row>
    <row r="255" spans="1:50" x14ac:dyDescent="0.2">
      <c r="C255" s="741"/>
      <c r="D255" s="741"/>
      <c r="E255" s="741"/>
      <c r="F255" s="741"/>
      <c r="G255" s="741"/>
      <c r="H255" s="741"/>
      <c r="I255" s="741"/>
      <c r="J255" s="741"/>
      <c r="K255" s="741"/>
      <c r="L255" s="741"/>
      <c r="M255" s="741"/>
      <c r="N255" s="741"/>
      <c r="O255" s="741"/>
      <c r="P255" s="741"/>
      <c r="Q255" s="741"/>
      <c r="R255" s="741"/>
      <c r="S255" s="741"/>
      <c r="T255" s="741"/>
      <c r="U255" s="741"/>
      <c r="V255" s="741"/>
      <c r="W255" s="741"/>
      <c r="X255" s="741"/>
      <c r="Y255" s="741"/>
      <c r="Z255" s="741"/>
      <c r="AA255" s="741"/>
      <c r="AB255" s="741"/>
      <c r="AC255" s="741"/>
      <c r="AD255" s="741"/>
      <c r="AE255" s="741"/>
      <c r="AF255" s="741"/>
      <c r="AG255" s="741"/>
      <c r="AH255" s="741"/>
      <c r="AI255" s="741"/>
      <c r="AJ255" s="741"/>
      <c r="AK255" s="741"/>
      <c r="AL255" s="741"/>
      <c r="AM255" s="741"/>
      <c r="AN255" s="741"/>
      <c r="AO255" s="741"/>
      <c r="AP255" s="741"/>
      <c r="AQ255" s="741"/>
      <c r="AR255" s="741"/>
      <c r="AS255" s="741"/>
      <c r="AT255" s="741"/>
      <c r="AU255" s="741"/>
      <c r="AV255" s="741"/>
      <c r="AW255" s="741"/>
      <c r="AX255" s="741"/>
    </row>
    <row r="256" spans="1:50" x14ac:dyDescent="0.2">
      <c r="AA256" s="781"/>
    </row>
    <row r="257" spans="1:31" x14ac:dyDescent="0.2">
      <c r="A257" s="766"/>
      <c r="C257" s="766"/>
      <c r="H257" s="782"/>
      <c r="I257" s="766"/>
      <c r="J257" s="787"/>
      <c r="L257" s="782"/>
    </row>
    <row r="258" spans="1:31" x14ac:dyDescent="0.2">
      <c r="C258" s="741"/>
      <c r="D258" s="741"/>
      <c r="E258" s="741"/>
      <c r="F258" s="741"/>
      <c r="G258" s="741"/>
      <c r="H258" s="741"/>
      <c r="I258" s="741"/>
      <c r="J258" s="741"/>
      <c r="K258" s="741"/>
      <c r="L258" s="741"/>
      <c r="M258" s="741"/>
      <c r="N258" s="741"/>
      <c r="O258" s="741"/>
      <c r="P258" s="741"/>
      <c r="Q258" s="741"/>
      <c r="R258" s="741"/>
      <c r="S258" s="741"/>
      <c r="T258" s="741"/>
      <c r="U258" s="741"/>
      <c r="V258" s="741"/>
      <c r="W258" s="741"/>
      <c r="X258" s="741"/>
      <c r="Y258" s="741"/>
      <c r="Z258" s="741"/>
      <c r="AA258" s="741"/>
      <c r="AB258" s="741"/>
      <c r="AC258" s="741"/>
      <c r="AD258" s="741"/>
      <c r="AE258" s="741"/>
    </row>
    <row r="259" spans="1:31" x14ac:dyDescent="0.2">
      <c r="C259" s="741"/>
      <c r="D259" s="741"/>
      <c r="E259" s="741"/>
      <c r="F259" s="741"/>
      <c r="G259" s="741"/>
      <c r="H259" s="741"/>
      <c r="I259" s="741"/>
      <c r="J259" s="741"/>
      <c r="K259" s="741"/>
      <c r="L259" s="741"/>
      <c r="M259" s="741"/>
      <c r="N259" s="741"/>
      <c r="O259" s="741"/>
      <c r="P259" s="741"/>
      <c r="Q259" s="741"/>
      <c r="R259" s="741"/>
      <c r="S259" s="741"/>
      <c r="T259" s="741"/>
      <c r="U259" s="741"/>
      <c r="V259" s="741"/>
      <c r="W259" s="741"/>
      <c r="X259" s="741"/>
      <c r="Y259" s="741"/>
      <c r="Z259" s="741"/>
      <c r="AA259" s="741"/>
      <c r="AB259" s="741"/>
      <c r="AC259" s="741"/>
      <c r="AD259" s="741"/>
      <c r="AE259" s="741"/>
    </row>
    <row r="260" spans="1:31" x14ac:dyDescent="0.2">
      <c r="C260" s="741"/>
      <c r="D260" s="741"/>
      <c r="E260" s="741"/>
      <c r="F260" s="741"/>
      <c r="G260" s="741"/>
      <c r="H260" s="741"/>
      <c r="I260" s="741"/>
      <c r="J260" s="741"/>
      <c r="K260" s="741"/>
      <c r="L260" s="741"/>
      <c r="M260" s="741"/>
      <c r="N260" s="741"/>
      <c r="O260" s="741"/>
      <c r="P260" s="741"/>
      <c r="Q260" s="741"/>
      <c r="R260" s="741"/>
      <c r="S260" s="741"/>
      <c r="T260" s="741"/>
      <c r="U260" s="741"/>
      <c r="V260" s="741"/>
      <c r="W260" s="741"/>
      <c r="X260" s="741"/>
      <c r="Y260" s="741"/>
      <c r="Z260" s="741"/>
      <c r="AA260" s="741"/>
      <c r="AB260" s="741"/>
      <c r="AC260" s="741"/>
      <c r="AD260" s="741"/>
      <c r="AE260" s="741"/>
    </row>
    <row r="261" spans="1:31" x14ac:dyDescent="0.2">
      <c r="AA261" s="781"/>
    </row>
    <row r="262" spans="1:31" x14ac:dyDescent="0.2">
      <c r="A262" s="766"/>
      <c r="C262" s="766"/>
      <c r="H262" s="782"/>
      <c r="J262" s="787"/>
      <c r="L262" s="782"/>
    </row>
    <row r="263" spans="1:31" x14ac:dyDescent="0.2">
      <c r="C263" s="741"/>
      <c r="D263" s="741"/>
      <c r="E263" s="741"/>
      <c r="F263" s="741"/>
      <c r="G263" s="741"/>
      <c r="H263" s="741"/>
      <c r="I263" s="741"/>
      <c r="J263" s="741"/>
      <c r="K263" s="741"/>
      <c r="L263" s="741"/>
      <c r="M263" s="741"/>
      <c r="N263" s="741"/>
      <c r="O263" s="741"/>
      <c r="P263" s="741"/>
      <c r="Q263" s="741"/>
      <c r="R263" s="741"/>
      <c r="S263" s="741"/>
      <c r="T263" s="741"/>
      <c r="U263" s="741"/>
      <c r="V263" s="741"/>
      <c r="W263" s="741"/>
      <c r="X263" s="741"/>
      <c r="Y263" s="741"/>
      <c r="Z263" s="741"/>
      <c r="AA263" s="741"/>
      <c r="AB263" s="741"/>
      <c r="AC263" s="741"/>
      <c r="AD263" s="741"/>
      <c r="AE263" s="741"/>
    </row>
    <row r="264" spans="1:31" x14ac:dyDescent="0.2">
      <c r="C264" s="741"/>
      <c r="D264" s="741"/>
      <c r="E264" s="741"/>
      <c r="F264" s="741"/>
      <c r="G264" s="741"/>
      <c r="H264" s="741"/>
      <c r="I264" s="741"/>
      <c r="J264" s="741"/>
      <c r="K264" s="741"/>
      <c r="L264" s="741"/>
      <c r="M264" s="741"/>
      <c r="N264" s="741"/>
      <c r="O264" s="741"/>
      <c r="P264" s="741"/>
      <c r="Q264" s="741"/>
      <c r="R264" s="741"/>
      <c r="S264" s="741"/>
      <c r="T264" s="741"/>
      <c r="U264" s="741"/>
      <c r="V264" s="741"/>
      <c r="W264" s="741"/>
      <c r="X264" s="741"/>
      <c r="Y264" s="741"/>
      <c r="Z264" s="741"/>
      <c r="AA264" s="741"/>
      <c r="AB264" s="741"/>
      <c r="AC264" s="741"/>
      <c r="AD264" s="741"/>
      <c r="AE264" s="741"/>
    </row>
    <row r="265" spans="1:31" x14ac:dyDescent="0.2">
      <c r="C265" s="741"/>
      <c r="D265" s="741"/>
      <c r="E265" s="741"/>
      <c r="F265" s="741"/>
      <c r="G265" s="741"/>
      <c r="H265" s="741"/>
      <c r="I265" s="741"/>
      <c r="J265" s="741"/>
      <c r="K265" s="741"/>
      <c r="L265" s="741"/>
      <c r="M265" s="741"/>
      <c r="N265" s="741"/>
      <c r="O265" s="741"/>
      <c r="P265" s="741"/>
      <c r="Q265" s="741"/>
      <c r="R265" s="741"/>
      <c r="S265" s="741"/>
      <c r="T265" s="741"/>
      <c r="U265" s="741"/>
      <c r="V265" s="741"/>
      <c r="W265" s="741"/>
      <c r="X265" s="741"/>
      <c r="Y265" s="741"/>
      <c r="Z265" s="741"/>
      <c r="AA265" s="741"/>
      <c r="AB265" s="741"/>
      <c r="AC265" s="741"/>
      <c r="AD265" s="741"/>
      <c r="AE265" s="741"/>
    </row>
    <row r="266" spans="1:31" x14ac:dyDescent="0.2">
      <c r="AA266" s="781"/>
    </row>
    <row r="267" spans="1:31" x14ac:dyDescent="0.2">
      <c r="A267" s="766"/>
      <c r="C267" s="766"/>
      <c r="H267" s="782"/>
      <c r="J267" s="787"/>
      <c r="L267" s="782"/>
    </row>
    <row r="268" spans="1:31" x14ac:dyDescent="0.2">
      <c r="C268" s="741"/>
      <c r="D268" s="741"/>
      <c r="E268" s="741"/>
      <c r="F268" s="741"/>
      <c r="G268" s="741"/>
      <c r="H268" s="741"/>
      <c r="I268" s="741"/>
      <c r="J268" s="741"/>
      <c r="K268" s="741"/>
      <c r="L268" s="741"/>
      <c r="M268" s="741"/>
      <c r="N268" s="741"/>
      <c r="O268" s="741"/>
      <c r="P268" s="741"/>
      <c r="Q268" s="741"/>
      <c r="R268" s="741"/>
      <c r="S268" s="741"/>
      <c r="T268" s="741"/>
      <c r="U268" s="741"/>
      <c r="V268" s="741"/>
      <c r="W268" s="741"/>
      <c r="X268" s="741"/>
      <c r="Y268" s="741"/>
      <c r="Z268" s="741"/>
      <c r="AA268" s="741"/>
      <c r="AB268" s="741"/>
      <c r="AC268" s="741"/>
      <c r="AD268" s="741"/>
      <c r="AE268" s="741"/>
    </row>
    <row r="269" spans="1:31" x14ac:dyDescent="0.2">
      <c r="C269" s="741"/>
      <c r="D269" s="741"/>
      <c r="E269" s="741"/>
      <c r="F269" s="741"/>
      <c r="G269" s="741"/>
      <c r="H269" s="741"/>
      <c r="I269" s="741"/>
      <c r="J269" s="741"/>
      <c r="K269" s="741"/>
      <c r="L269" s="741"/>
      <c r="M269" s="741"/>
      <c r="N269" s="741"/>
      <c r="O269" s="741"/>
      <c r="P269" s="741"/>
      <c r="Q269" s="741"/>
      <c r="R269" s="741"/>
      <c r="S269" s="741"/>
      <c r="T269" s="741"/>
      <c r="U269" s="741"/>
      <c r="V269" s="741"/>
      <c r="W269" s="741"/>
      <c r="X269" s="741"/>
      <c r="Y269" s="741"/>
      <c r="Z269" s="741"/>
      <c r="AA269" s="741"/>
      <c r="AB269" s="741"/>
      <c r="AC269" s="741"/>
      <c r="AD269" s="741"/>
      <c r="AE269" s="741"/>
    </row>
    <row r="270" spans="1:31" x14ac:dyDescent="0.2">
      <c r="C270" s="741"/>
      <c r="D270" s="741"/>
      <c r="E270" s="741"/>
      <c r="F270" s="741"/>
      <c r="G270" s="741"/>
      <c r="H270" s="741"/>
      <c r="I270" s="741"/>
      <c r="J270" s="741"/>
      <c r="K270" s="741"/>
      <c r="L270" s="741"/>
      <c r="M270" s="741"/>
      <c r="N270" s="741"/>
      <c r="O270" s="741"/>
      <c r="P270" s="741"/>
      <c r="Q270" s="741"/>
      <c r="R270" s="741"/>
      <c r="S270" s="741"/>
      <c r="T270" s="741"/>
      <c r="U270" s="741"/>
      <c r="V270" s="741"/>
      <c r="W270" s="741"/>
      <c r="X270" s="741"/>
      <c r="Y270" s="741"/>
      <c r="Z270" s="741"/>
      <c r="AA270" s="741"/>
      <c r="AB270" s="741"/>
      <c r="AC270" s="741"/>
      <c r="AD270" s="741"/>
      <c r="AE270" s="741"/>
    </row>
    <row r="271" spans="1:31" x14ac:dyDescent="0.2">
      <c r="AA271" s="781"/>
    </row>
    <row r="274" spans="1:50" x14ac:dyDescent="0.2">
      <c r="C274" s="784"/>
    </row>
    <row r="275" spans="1:50" x14ac:dyDescent="0.2">
      <c r="C275" s="785"/>
      <c r="J275" s="786"/>
      <c r="K275" s="786"/>
    </row>
    <row r="276" spans="1:50" x14ac:dyDescent="0.2">
      <c r="C276" s="766"/>
    </row>
    <row r="277" spans="1:50" x14ac:dyDescent="0.2">
      <c r="W277" s="766"/>
    </row>
    <row r="278" spans="1:50" x14ac:dyDescent="0.2">
      <c r="A278" s="759"/>
      <c r="B278" s="759"/>
      <c r="C278" s="759"/>
      <c r="D278" s="759"/>
      <c r="E278" s="759"/>
      <c r="F278" s="759"/>
      <c r="G278" s="759"/>
      <c r="H278" s="759"/>
      <c r="I278" s="759"/>
      <c r="J278" s="759"/>
      <c r="K278" s="759"/>
      <c r="L278" s="759"/>
      <c r="M278" s="759"/>
      <c r="N278" s="759"/>
      <c r="O278" s="759"/>
      <c r="P278" s="759"/>
      <c r="Q278" s="759"/>
      <c r="R278" s="759"/>
      <c r="S278" s="759"/>
      <c r="T278" s="759"/>
      <c r="U278" s="759"/>
      <c r="V278" s="759"/>
      <c r="W278" s="772"/>
      <c r="X278" s="759"/>
      <c r="Y278" s="759"/>
      <c r="Z278" s="759"/>
      <c r="AA278" s="759"/>
    </row>
    <row r="279" spans="1:50" x14ac:dyDescent="0.2">
      <c r="W279" s="766"/>
    </row>
    <row r="280" spans="1:50" x14ac:dyDescent="0.2">
      <c r="A280" s="772"/>
      <c r="B280" s="759"/>
      <c r="C280" s="772"/>
      <c r="D280" s="759"/>
      <c r="E280" s="759"/>
      <c r="F280" s="759"/>
      <c r="G280" s="759"/>
      <c r="H280" s="772"/>
      <c r="I280" s="759"/>
      <c r="J280" s="772"/>
      <c r="K280" s="759"/>
      <c r="L280" s="772"/>
      <c r="M280" s="759"/>
      <c r="N280" s="759"/>
      <c r="O280" s="759"/>
      <c r="P280" s="759"/>
      <c r="Q280" s="759"/>
      <c r="R280" s="759"/>
      <c r="S280" s="759"/>
      <c r="T280" s="759"/>
      <c r="U280" s="759"/>
      <c r="V280" s="759"/>
      <c r="W280" s="759"/>
      <c r="X280" s="759"/>
      <c r="Y280" s="759"/>
      <c r="Z280" s="759"/>
      <c r="AA280" s="759"/>
    </row>
    <row r="281" spans="1:50" x14ac:dyDescent="0.2">
      <c r="A281" s="766"/>
      <c r="C281" s="766"/>
      <c r="H281" s="766"/>
      <c r="J281" s="766"/>
      <c r="L281" s="766"/>
    </row>
    <row r="284" spans="1:50" x14ac:dyDescent="0.2">
      <c r="A284" s="766"/>
    </row>
    <row r="285" spans="1:50" x14ac:dyDescent="0.2">
      <c r="C285" s="741"/>
      <c r="D285" s="741"/>
      <c r="E285" s="741"/>
      <c r="F285" s="741"/>
      <c r="G285" s="741"/>
      <c r="H285" s="741"/>
      <c r="I285" s="741"/>
      <c r="J285" s="741"/>
      <c r="K285" s="741"/>
      <c r="L285" s="741"/>
      <c r="M285" s="741"/>
      <c r="N285" s="741"/>
      <c r="O285" s="741"/>
      <c r="P285" s="741"/>
      <c r="Q285" s="741"/>
      <c r="R285" s="741"/>
      <c r="S285" s="741"/>
      <c r="T285" s="741"/>
      <c r="U285" s="741"/>
      <c r="V285" s="741"/>
      <c r="W285" s="741"/>
      <c r="X285" s="741"/>
      <c r="Y285" s="741"/>
      <c r="Z285" s="741"/>
      <c r="AA285" s="741"/>
      <c r="AB285" s="741"/>
      <c r="AC285" s="741"/>
      <c r="AD285" s="741"/>
      <c r="AE285" s="741"/>
      <c r="AF285" s="741"/>
      <c r="AG285" s="741"/>
      <c r="AH285" s="741"/>
      <c r="AI285" s="741"/>
      <c r="AJ285" s="741"/>
      <c r="AK285" s="741"/>
      <c r="AL285" s="741"/>
      <c r="AM285" s="741"/>
      <c r="AN285" s="741"/>
      <c r="AO285" s="741"/>
      <c r="AP285" s="741"/>
      <c r="AQ285" s="741"/>
      <c r="AR285" s="741"/>
      <c r="AS285" s="741"/>
      <c r="AT285" s="741"/>
      <c r="AU285" s="741"/>
      <c r="AV285" s="741"/>
      <c r="AW285" s="741"/>
      <c r="AX285" s="741"/>
    </row>
    <row r="286" spans="1:50" x14ac:dyDescent="0.2">
      <c r="C286" s="741"/>
      <c r="D286" s="741"/>
      <c r="E286" s="741"/>
      <c r="F286" s="741"/>
      <c r="G286" s="741"/>
      <c r="H286" s="741"/>
      <c r="I286" s="741"/>
      <c r="J286" s="741"/>
      <c r="K286" s="741"/>
      <c r="L286" s="741"/>
      <c r="M286" s="741"/>
      <c r="N286" s="741"/>
      <c r="O286" s="741"/>
      <c r="P286" s="741"/>
      <c r="Q286" s="741"/>
      <c r="R286" s="741"/>
      <c r="S286" s="741"/>
      <c r="T286" s="741"/>
      <c r="U286" s="741"/>
      <c r="V286" s="741"/>
      <c r="W286" s="741"/>
      <c r="X286" s="741"/>
      <c r="Y286" s="741"/>
      <c r="Z286" s="741"/>
      <c r="AA286" s="741"/>
      <c r="AB286" s="741"/>
      <c r="AC286" s="741"/>
      <c r="AD286" s="741"/>
      <c r="AE286" s="741"/>
      <c r="AF286" s="741"/>
      <c r="AG286" s="741"/>
      <c r="AH286" s="741"/>
      <c r="AI286" s="741"/>
      <c r="AJ286" s="741"/>
      <c r="AK286" s="741"/>
      <c r="AL286" s="741"/>
      <c r="AM286" s="741"/>
      <c r="AN286" s="741"/>
      <c r="AO286" s="741"/>
      <c r="AP286" s="741"/>
      <c r="AQ286" s="741"/>
      <c r="AR286" s="741"/>
      <c r="AS286" s="741"/>
      <c r="AT286" s="741"/>
      <c r="AU286" s="741"/>
      <c r="AV286" s="741"/>
      <c r="AW286" s="741"/>
      <c r="AX286" s="741"/>
    </row>
    <row r="287" spans="1:50" x14ac:dyDescent="0.2">
      <c r="C287" s="741"/>
      <c r="D287" s="741"/>
      <c r="E287" s="741"/>
      <c r="F287" s="741"/>
      <c r="G287" s="741"/>
      <c r="H287" s="741"/>
      <c r="I287" s="741"/>
      <c r="J287" s="741"/>
      <c r="K287" s="741"/>
      <c r="L287" s="741"/>
      <c r="M287" s="741"/>
      <c r="N287" s="741"/>
      <c r="O287" s="741"/>
      <c r="P287" s="741"/>
      <c r="Q287" s="741"/>
      <c r="R287" s="741"/>
      <c r="S287" s="741"/>
      <c r="T287" s="741"/>
      <c r="U287" s="741"/>
      <c r="V287" s="741"/>
      <c r="W287" s="741"/>
      <c r="X287" s="741"/>
      <c r="Y287" s="741"/>
      <c r="Z287" s="741"/>
      <c r="AA287" s="741"/>
      <c r="AB287" s="741"/>
      <c r="AC287" s="741"/>
      <c r="AD287" s="741"/>
      <c r="AE287" s="741"/>
      <c r="AF287" s="741"/>
      <c r="AG287" s="741"/>
      <c r="AH287" s="741"/>
      <c r="AI287" s="741"/>
      <c r="AJ287" s="741"/>
      <c r="AK287" s="741"/>
      <c r="AL287" s="741"/>
      <c r="AM287" s="741"/>
      <c r="AN287" s="741"/>
      <c r="AO287" s="741"/>
      <c r="AP287" s="741"/>
      <c r="AQ287" s="741"/>
      <c r="AR287" s="741"/>
      <c r="AS287" s="741"/>
      <c r="AT287" s="741"/>
      <c r="AU287" s="741"/>
      <c r="AV287" s="741"/>
      <c r="AW287" s="741"/>
      <c r="AX287" s="741"/>
    </row>
    <row r="288" spans="1:50" x14ac:dyDescent="0.2">
      <c r="AA288" s="781"/>
    </row>
    <row r="289" spans="1:32" x14ac:dyDescent="0.2">
      <c r="A289" s="766"/>
      <c r="C289" s="766"/>
      <c r="H289" s="782"/>
      <c r="J289" s="787"/>
      <c r="L289" s="782"/>
    </row>
    <row r="290" spans="1:32" x14ac:dyDescent="0.2">
      <c r="C290" s="741"/>
      <c r="D290" s="741"/>
      <c r="E290" s="741"/>
      <c r="F290" s="741"/>
      <c r="G290" s="741"/>
      <c r="H290" s="741"/>
      <c r="I290" s="741"/>
      <c r="J290" s="741"/>
      <c r="K290" s="741"/>
      <c r="L290" s="741"/>
      <c r="M290" s="741"/>
      <c r="N290" s="741"/>
      <c r="O290" s="741"/>
      <c r="P290" s="741"/>
      <c r="Q290" s="741"/>
      <c r="R290" s="741"/>
      <c r="S290" s="741"/>
      <c r="T290" s="741"/>
      <c r="U290" s="741"/>
      <c r="V290" s="741"/>
      <c r="W290" s="741"/>
      <c r="X290" s="741"/>
      <c r="Y290" s="741"/>
      <c r="Z290" s="741"/>
      <c r="AA290" s="741"/>
      <c r="AB290" s="741"/>
      <c r="AC290" s="741"/>
      <c r="AD290" s="741"/>
      <c r="AE290" s="741"/>
      <c r="AF290" s="741"/>
    </row>
    <row r="291" spans="1:32" x14ac:dyDescent="0.2">
      <c r="C291" s="741"/>
      <c r="D291" s="741"/>
      <c r="E291" s="741"/>
      <c r="F291" s="741"/>
      <c r="G291" s="741"/>
      <c r="H291" s="741"/>
      <c r="I291" s="741"/>
      <c r="J291" s="741"/>
      <c r="K291" s="741"/>
      <c r="L291" s="741"/>
      <c r="M291" s="741"/>
      <c r="N291" s="741"/>
      <c r="O291" s="741"/>
      <c r="P291" s="741"/>
      <c r="Q291" s="741"/>
      <c r="R291" s="741"/>
      <c r="S291" s="741"/>
      <c r="T291" s="741"/>
      <c r="U291" s="741"/>
      <c r="V291" s="741"/>
      <c r="W291" s="741"/>
      <c r="X291" s="741"/>
      <c r="Y291" s="741"/>
      <c r="Z291" s="741"/>
      <c r="AA291" s="741"/>
      <c r="AB291" s="741"/>
      <c r="AC291" s="741"/>
      <c r="AD291" s="741"/>
      <c r="AE291" s="741"/>
      <c r="AF291" s="741"/>
    </row>
    <row r="292" spans="1:32" x14ac:dyDescent="0.2">
      <c r="C292" s="741"/>
      <c r="D292" s="741"/>
      <c r="E292" s="741"/>
      <c r="F292" s="741"/>
      <c r="G292" s="741"/>
      <c r="H292" s="741"/>
      <c r="I292" s="741"/>
      <c r="J292" s="741"/>
      <c r="K292" s="741"/>
      <c r="L292" s="741"/>
      <c r="M292" s="741"/>
      <c r="N292" s="741"/>
      <c r="O292" s="741"/>
      <c r="P292" s="741"/>
      <c r="Q292" s="741"/>
      <c r="R292" s="741"/>
      <c r="S292" s="741"/>
      <c r="T292" s="741"/>
      <c r="U292" s="741"/>
      <c r="V292" s="741"/>
      <c r="W292" s="741"/>
      <c r="X292" s="741"/>
      <c r="Y292" s="741"/>
      <c r="Z292" s="741"/>
      <c r="AA292" s="741"/>
      <c r="AB292" s="741"/>
      <c r="AC292" s="741"/>
      <c r="AD292" s="741"/>
      <c r="AE292" s="741"/>
      <c r="AF292" s="741"/>
    </row>
    <row r="293" spans="1:32" x14ac:dyDescent="0.2">
      <c r="AA293" s="781"/>
    </row>
    <row r="294" spans="1:32" x14ac:dyDescent="0.2">
      <c r="A294" s="766"/>
      <c r="C294" s="766"/>
      <c r="H294" s="782"/>
      <c r="J294" s="787"/>
      <c r="L294" s="782"/>
    </row>
    <row r="295" spans="1:32" x14ac:dyDescent="0.2">
      <c r="C295" s="741"/>
      <c r="D295" s="741"/>
      <c r="E295" s="741"/>
      <c r="F295" s="741"/>
      <c r="G295" s="741"/>
      <c r="H295" s="741"/>
      <c r="I295" s="741"/>
      <c r="J295" s="741"/>
      <c r="K295" s="741"/>
      <c r="L295" s="741"/>
      <c r="M295" s="741"/>
      <c r="N295" s="741"/>
      <c r="O295" s="741"/>
      <c r="P295" s="741"/>
      <c r="Q295" s="741"/>
      <c r="R295" s="741"/>
      <c r="S295" s="741"/>
      <c r="T295" s="741"/>
      <c r="U295" s="741"/>
      <c r="V295" s="741"/>
      <c r="W295" s="741"/>
      <c r="X295" s="741"/>
      <c r="Y295" s="741"/>
      <c r="Z295" s="741"/>
      <c r="AA295" s="741"/>
      <c r="AB295" s="741"/>
      <c r="AC295" s="741"/>
      <c r="AD295" s="741"/>
    </row>
    <row r="296" spans="1:32" x14ac:dyDescent="0.2">
      <c r="C296" s="741"/>
      <c r="D296" s="741"/>
      <c r="E296" s="741"/>
      <c r="F296" s="741"/>
      <c r="G296" s="741"/>
      <c r="H296" s="741"/>
      <c r="I296" s="741"/>
      <c r="J296" s="741"/>
      <c r="K296" s="741"/>
      <c r="L296" s="741"/>
      <c r="M296" s="741"/>
      <c r="N296" s="741"/>
      <c r="O296" s="741"/>
      <c r="P296" s="741"/>
      <c r="Q296" s="741"/>
      <c r="R296" s="741"/>
      <c r="S296" s="741"/>
      <c r="T296" s="741"/>
      <c r="U296" s="741"/>
      <c r="V296" s="741"/>
      <c r="W296" s="741"/>
      <c r="X296" s="741"/>
      <c r="Y296" s="741"/>
      <c r="Z296" s="741"/>
      <c r="AA296" s="741"/>
      <c r="AB296" s="741"/>
      <c r="AC296" s="741"/>
      <c r="AD296" s="741"/>
    </row>
    <row r="297" spans="1:32" x14ac:dyDescent="0.2">
      <c r="C297" s="741"/>
      <c r="D297" s="741"/>
      <c r="E297" s="741"/>
      <c r="F297" s="741"/>
      <c r="G297" s="741"/>
      <c r="H297" s="741"/>
      <c r="I297" s="741"/>
      <c r="J297" s="741"/>
      <c r="K297" s="741"/>
      <c r="L297" s="741"/>
      <c r="M297" s="741"/>
      <c r="N297" s="741"/>
      <c r="O297" s="741"/>
      <c r="P297" s="741"/>
      <c r="Q297" s="741"/>
      <c r="R297" s="741"/>
      <c r="S297" s="741"/>
      <c r="T297" s="741"/>
      <c r="U297" s="741"/>
      <c r="V297" s="741"/>
      <c r="W297" s="741"/>
      <c r="X297" s="741"/>
      <c r="Y297" s="741"/>
      <c r="Z297" s="741"/>
      <c r="AA297" s="741"/>
      <c r="AB297" s="741"/>
      <c r="AC297" s="741"/>
      <c r="AD297" s="741"/>
    </row>
    <row r="298" spans="1:32" x14ac:dyDescent="0.2">
      <c r="AA298" s="781"/>
    </row>
    <row r="299" spans="1:32" x14ac:dyDescent="0.2">
      <c r="A299" s="766"/>
      <c r="H299" s="782"/>
      <c r="J299" s="787"/>
      <c r="L299" s="782"/>
    </row>
    <row r="300" spans="1:32" x14ac:dyDescent="0.2">
      <c r="C300" s="741"/>
      <c r="D300" s="741"/>
      <c r="E300" s="741"/>
      <c r="F300" s="741"/>
      <c r="G300" s="741"/>
      <c r="H300" s="741"/>
      <c r="I300" s="741"/>
      <c r="J300" s="741"/>
      <c r="K300" s="741"/>
      <c r="L300" s="741"/>
      <c r="M300" s="741"/>
      <c r="N300" s="741"/>
      <c r="O300" s="741"/>
      <c r="P300" s="741"/>
      <c r="Q300" s="741"/>
      <c r="R300" s="741"/>
      <c r="S300" s="741"/>
      <c r="T300" s="741"/>
      <c r="U300" s="741"/>
      <c r="V300" s="741"/>
      <c r="W300" s="741"/>
      <c r="X300" s="741"/>
      <c r="Y300" s="741"/>
      <c r="Z300" s="741"/>
      <c r="AA300" s="741"/>
      <c r="AB300" s="741"/>
      <c r="AC300" s="741"/>
      <c r="AD300" s="741"/>
      <c r="AE300" s="741"/>
      <c r="AF300" s="741"/>
    </row>
    <row r="301" spans="1:32" x14ac:dyDescent="0.2">
      <c r="C301" s="741"/>
      <c r="D301" s="741"/>
      <c r="E301" s="741"/>
      <c r="F301" s="741"/>
      <c r="G301" s="741"/>
      <c r="H301" s="741"/>
      <c r="I301" s="741"/>
      <c r="J301" s="741"/>
      <c r="K301" s="741"/>
      <c r="L301" s="741"/>
      <c r="M301" s="741"/>
      <c r="N301" s="741"/>
      <c r="O301" s="741"/>
      <c r="P301" s="741"/>
      <c r="Q301" s="741"/>
      <c r="R301" s="741"/>
      <c r="S301" s="741"/>
      <c r="T301" s="741"/>
      <c r="U301" s="741"/>
      <c r="V301" s="741"/>
      <c r="W301" s="741"/>
      <c r="X301" s="741"/>
      <c r="Y301" s="741"/>
      <c r="Z301" s="741"/>
      <c r="AA301" s="741"/>
      <c r="AB301" s="741"/>
      <c r="AC301" s="741"/>
      <c r="AD301" s="741"/>
      <c r="AE301" s="741"/>
      <c r="AF301" s="741"/>
    </row>
    <row r="302" spans="1:32" x14ac:dyDescent="0.2">
      <c r="C302" s="741"/>
      <c r="D302" s="741"/>
      <c r="E302" s="741"/>
      <c r="F302" s="741"/>
      <c r="G302" s="741"/>
      <c r="H302" s="741"/>
      <c r="I302" s="741"/>
      <c r="J302" s="741"/>
      <c r="K302" s="741"/>
      <c r="L302" s="741"/>
      <c r="M302" s="741"/>
      <c r="N302" s="741"/>
      <c r="O302" s="741"/>
      <c r="P302" s="741"/>
      <c r="Q302" s="741"/>
      <c r="R302" s="741"/>
      <c r="S302" s="741"/>
      <c r="T302" s="741"/>
      <c r="U302" s="741"/>
      <c r="V302" s="741"/>
      <c r="W302" s="741"/>
      <c r="X302" s="741"/>
      <c r="Y302" s="741"/>
      <c r="Z302" s="741"/>
      <c r="AA302" s="741"/>
      <c r="AB302" s="741"/>
      <c r="AC302" s="741"/>
      <c r="AD302" s="741"/>
      <c r="AE302" s="741"/>
      <c r="AF302" s="741"/>
    </row>
    <row r="303" spans="1:32" x14ac:dyDescent="0.2">
      <c r="AA303" s="781"/>
    </row>
    <row r="304" spans="1:32" x14ac:dyDescent="0.2">
      <c r="A304" s="766"/>
      <c r="F304" s="766"/>
      <c r="H304" s="741"/>
      <c r="J304" s="787"/>
      <c r="L304" s="741"/>
    </row>
    <row r="305" spans="1:31" x14ac:dyDescent="0.2">
      <c r="C305" s="741"/>
      <c r="D305" s="741"/>
      <c r="E305" s="741"/>
      <c r="F305" s="741"/>
      <c r="G305" s="741"/>
      <c r="H305" s="741"/>
      <c r="I305" s="741"/>
      <c r="J305" s="741"/>
      <c r="K305" s="741"/>
      <c r="L305" s="741"/>
      <c r="M305" s="741"/>
      <c r="N305" s="741"/>
      <c r="O305" s="741"/>
      <c r="P305" s="741"/>
      <c r="Q305" s="741"/>
      <c r="R305" s="741"/>
      <c r="S305" s="741"/>
      <c r="T305" s="741"/>
      <c r="U305" s="741"/>
      <c r="V305" s="741"/>
      <c r="W305" s="741"/>
      <c r="X305" s="741"/>
      <c r="Y305" s="741"/>
      <c r="Z305" s="741"/>
      <c r="AA305" s="741"/>
      <c r="AB305" s="741"/>
      <c r="AC305" s="741"/>
      <c r="AD305" s="741"/>
      <c r="AE305" s="741"/>
    </row>
    <row r="306" spans="1:31" x14ac:dyDescent="0.2">
      <c r="C306" s="741"/>
      <c r="D306" s="741"/>
      <c r="E306" s="741"/>
      <c r="F306" s="741"/>
      <c r="G306" s="741"/>
      <c r="H306" s="741"/>
      <c r="I306" s="741"/>
      <c r="J306" s="741"/>
      <c r="K306" s="741"/>
      <c r="L306" s="741"/>
      <c r="M306" s="741"/>
      <c r="N306" s="741"/>
      <c r="O306" s="741"/>
      <c r="P306" s="741"/>
      <c r="Q306" s="741"/>
      <c r="R306" s="741"/>
      <c r="S306" s="741"/>
      <c r="T306" s="741"/>
      <c r="U306" s="741"/>
      <c r="V306" s="741"/>
      <c r="W306" s="741"/>
      <c r="X306" s="741"/>
      <c r="Y306" s="741"/>
      <c r="Z306" s="741"/>
      <c r="AA306" s="741"/>
      <c r="AB306" s="741"/>
      <c r="AC306" s="741"/>
      <c r="AD306" s="741"/>
      <c r="AE306" s="741"/>
    </row>
    <row r="307" spans="1:31" x14ac:dyDescent="0.2">
      <c r="C307" s="741"/>
      <c r="D307" s="741"/>
      <c r="E307" s="741"/>
      <c r="F307" s="741"/>
      <c r="G307" s="741"/>
      <c r="H307" s="741"/>
      <c r="I307" s="741"/>
      <c r="J307" s="741"/>
      <c r="K307" s="741"/>
      <c r="L307" s="741"/>
      <c r="M307" s="741"/>
      <c r="N307" s="741"/>
      <c r="O307" s="741"/>
      <c r="P307" s="741"/>
      <c r="Q307" s="741"/>
      <c r="R307" s="741"/>
      <c r="S307" s="741"/>
      <c r="T307" s="741"/>
      <c r="U307" s="741"/>
      <c r="V307" s="741"/>
      <c r="W307" s="741"/>
      <c r="X307" s="741"/>
      <c r="Y307" s="741"/>
      <c r="Z307" s="741"/>
      <c r="AA307" s="741"/>
      <c r="AB307" s="741"/>
      <c r="AC307" s="741"/>
      <c r="AD307" s="741"/>
      <c r="AE307" s="741"/>
    </row>
    <row r="308" spans="1:31" x14ac:dyDescent="0.2">
      <c r="AA308" s="781"/>
    </row>
    <row r="309" spans="1:31" x14ac:dyDescent="0.2">
      <c r="A309" s="766"/>
      <c r="G309" s="766"/>
    </row>
    <row r="310" spans="1:31" x14ac:dyDescent="0.2">
      <c r="C310" s="741"/>
      <c r="D310" s="741"/>
      <c r="E310" s="741"/>
      <c r="F310" s="741"/>
      <c r="G310" s="741"/>
      <c r="H310" s="741"/>
      <c r="I310" s="741"/>
      <c r="J310" s="741"/>
      <c r="K310" s="741"/>
      <c r="L310" s="741"/>
      <c r="M310" s="741"/>
      <c r="N310" s="741"/>
      <c r="O310" s="741"/>
      <c r="P310" s="741"/>
      <c r="Q310" s="741"/>
      <c r="R310" s="741"/>
      <c r="S310" s="741"/>
      <c r="T310" s="741"/>
      <c r="U310" s="741"/>
      <c r="V310" s="741"/>
      <c r="W310" s="741"/>
      <c r="X310" s="741"/>
      <c r="Y310" s="741"/>
      <c r="Z310" s="741"/>
      <c r="AA310" s="741"/>
      <c r="AB310" s="741"/>
      <c r="AC310" s="741"/>
      <c r="AD310" s="741"/>
      <c r="AE310" s="741"/>
    </row>
    <row r="311" spans="1:31" x14ac:dyDescent="0.2">
      <c r="C311" s="741"/>
      <c r="D311" s="741"/>
      <c r="E311" s="741"/>
      <c r="F311" s="741"/>
      <c r="G311" s="741"/>
      <c r="H311" s="741"/>
      <c r="I311" s="741"/>
      <c r="J311" s="741"/>
      <c r="K311" s="741"/>
      <c r="L311" s="741"/>
      <c r="M311" s="741"/>
      <c r="N311" s="741"/>
      <c r="O311" s="741"/>
      <c r="P311" s="741"/>
      <c r="Q311" s="741"/>
      <c r="R311" s="741"/>
      <c r="S311" s="741"/>
      <c r="T311" s="741"/>
      <c r="U311" s="741"/>
      <c r="V311" s="741"/>
      <c r="W311" s="741"/>
      <c r="X311" s="741"/>
      <c r="Y311" s="741"/>
      <c r="Z311" s="741"/>
      <c r="AA311" s="741"/>
      <c r="AB311" s="741"/>
      <c r="AC311" s="741"/>
      <c r="AD311" s="741"/>
      <c r="AE311" s="741"/>
    </row>
    <row r="312" spans="1:31" x14ac:dyDescent="0.2">
      <c r="C312" s="741"/>
      <c r="D312" s="741"/>
      <c r="E312" s="741"/>
      <c r="F312" s="741"/>
      <c r="G312" s="741"/>
      <c r="H312" s="741"/>
      <c r="I312" s="741"/>
      <c r="J312" s="741"/>
      <c r="K312" s="741"/>
      <c r="L312" s="741"/>
      <c r="M312" s="741"/>
      <c r="N312" s="741"/>
      <c r="O312" s="741"/>
      <c r="P312" s="741"/>
      <c r="Q312" s="741"/>
      <c r="R312" s="741"/>
      <c r="S312" s="741"/>
      <c r="T312" s="741"/>
      <c r="U312" s="741"/>
      <c r="V312" s="741"/>
      <c r="W312" s="741"/>
      <c r="X312" s="741"/>
      <c r="Y312" s="741"/>
      <c r="Z312" s="741"/>
      <c r="AA312" s="741"/>
      <c r="AB312" s="741"/>
      <c r="AC312" s="741"/>
      <c r="AD312" s="741"/>
      <c r="AE312" s="741"/>
    </row>
    <row r="313" spans="1:31" x14ac:dyDescent="0.2">
      <c r="AA313" s="781"/>
    </row>
    <row r="314" spans="1:31" x14ac:dyDescent="0.2">
      <c r="A314" s="766"/>
      <c r="C314" s="766"/>
      <c r="H314" s="782"/>
      <c r="J314" s="787"/>
      <c r="L314" s="782"/>
      <c r="AA314" s="741"/>
    </row>
    <row r="315" spans="1:31" x14ac:dyDescent="0.2">
      <c r="A315" s="766"/>
      <c r="C315" s="766"/>
      <c r="H315" s="782"/>
      <c r="J315" s="787"/>
      <c r="L315" s="782"/>
      <c r="AA315" s="741"/>
      <c r="AB315" s="741"/>
      <c r="AC315" s="741"/>
    </row>
    <row r="316" spans="1:31" x14ac:dyDescent="0.2">
      <c r="A316" s="766"/>
      <c r="C316" s="766"/>
      <c r="H316" s="782"/>
      <c r="J316" s="787"/>
      <c r="L316" s="782"/>
      <c r="AA316" s="741"/>
      <c r="AB316" s="741"/>
      <c r="AC316" s="741"/>
    </row>
    <row r="317" spans="1:31" x14ac:dyDescent="0.2">
      <c r="H317" s="741"/>
      <c r="J317" s="787"/>
      <c r="L317" s="741"/>
    </row>
    <row r="318" spans="1:31" x14ac:dyDescent="0.2">
      <c r="A318" s="766"/>
      <c r="C318" s="766"/>
      <c r="J318" s="788"/>
    </row>
    <row r="319" spans="1:31" x14ac:dyDescent="0.2">
      <c r="F319" s="766"/>
      <c r="H319" s="741"/>
      <c r="J319" s="787"/>
      <c r="L319" s="741"/>
    </row>
    <row r="320" spans="1:31" x14ac:dyDescent="0.2">
      <c r="C320" s="766"/>
    </row>
    <row r="321" spans="1:13" x14ac:dyDescent="0.2">
      <c r="F321" s="766"/>
      <c r="H321" s="741"/>
      <c r="J321" s="787"/>
      <c r="L321" s="741"/>
    </row>
    <row r="322" spans="1:13" x14ac:dyDescent="0.2">
      <c r="C322" s="784"/>
      <c r="G322" s="766"/>
    </row>
    <row r="323" spans="1:13" x14ac:dyDescent="0.2">
      <c r="C323" s="785"/>
      <c r="G323" s="766"/>
    </row>
    <row r="324" spans="1:13" x14ac:dyDescent="0.2">
      <c r="C324" s="766"/>
      <c r="G324" s="766"/>
    </row>
    <row r="325" spans="1:13" x14ac:dyDescent="0.2">
      <c r="G325" s="766"/>
    </row>
    <row r="326" spans="1:13" x14ac:dyDescent="0.2">
      <c r="M326" s="766"/>
    </row>
    <row r="327" spans="1:13" x14ac:dyDescent="0.2">
      <c r="M327" s="766"/>
    </row>
    <row r="328" spans="1:13" x14ac:dyDescent="0.2">
      <c r="M328" s="766"/>
    </row>
    <row r="329" spans="1:13" x14ac:dyDescent="0.2">
      <c r="A329" s="766"/>
      <c r="C329" s="766"/>
      <c r="H329" s="766"/>
    </row>
    <row r="330" spans="1:13" x14ac:dyDescent="0.2">
      <c r="A330" s="766"/>
      <c r="C330" s="766"/>
      <c r="F330" s="766"/>
      <c r="H330" s="766"/>
      <c r="J330" s="766"/>
      <c r="L330" s="766"/>
    </row>
    <row r="331" spans="1:13" x14ac:dyDescent="0.2">
      <c r="F331" s="766"/>
      <c r="H331" s="766"/>
      <c r="J331" s="766"/>
      <c r="L331" s="766"/>
    </row>
    <row r="332" spans="1:13" x14ac:dyDescent="0.2">
      <c r="H332" s="766"/>
      <c r="J332" s="766"/>
      <c r="L332" s="766"/>
    </row>
    <row r="333" spans="1:13" x14ac:dyDescent="0.2">
      <c r="A333" s="766"/>
      <c r="C333" s="766"/>
      <c r="H333" s="766"/>
      <c r="J333" s="766"/>
      <c r="L333" s="766"/>
    </row>
    <row r="334" spans="1:13" x14ac:dyDescent="0.2">
      <c r="A334" s="766"/>
      <c r="C334" s="766"/>
      <c r="F334" s="766"/>
    </row>
    <row r="335" spans="1:13" x14ac:dyDescent="0.2">
      <c r="A335" s="766"/>
      <c r="C335" s="766"/>
      <c r="F335" s="766"/>
    </row>
    <row r="336" spans="1:13" x14ac:dyDescent="0.2">
      <c r="A336" s="766"/>
      <c r="C336" s="766"/>
      <c r="F336" s="766"/>
      <c r="H336" s="782"/>
      <c r="J336" s="783"/>
      <c r="L336" s="782"/>
    </row>
    <row r="337" spans="1:12" x14ac:dyDescent="0.2">
      <c r="A337" s="766"/>
      <c r="C337" s="766"/>
      <c r="F337" s="766"/>
      <c r="H337" s="782"/>
      <c r="J337" s="783"/>
      <c r="L337" s="782"/>
    </row>
    <row r="338" spans="1:12" x14ac:dyDescent="0.2">
      <c r="A338" s="766"/>
      <c r="C338" s="766"/>
      <c r="F338" s="766"/>
      <c r="H338" s="782"/>
      <c r="J338" s="783"/>
      <c r="L338" s="782"/>
    </row>
    <row r="339" spans="1:12" x14ac:dyDescent="0.2">
      <c r="A339" s="766"/>
      <c r="C339" s="766"/>
      <c r="F339" s="766"/>
      <c r="H339" s="782"/>
      <c r="J339" s="783"/>
      <c r="L339" s="782"/>
    </row>
    <row r="340" spans="1:12" x14ac:dyDescent="0.2">
      <c r="A340" s="766"/>
      <c r="C340" s="766"/>
      <c r="F340" s="766"/>
      <c r="H340" s="782"/>
      <c r="J340" s="783"/>
      <c r="L340" s="782"/>
    </row>
    <row r="341" spans="1:12" x14ac:dyDescent="0.2">
      <c r="A341" s="766"/>
      <c r="F341" s="766"/>
      <c r="H341" s="782"/>
      <c r="J341" s="783"/>
      <c r="L341" s="782"/>
    </row>
    <row r="342" spans="1:12" x14ac:dyDescent="0.2">
      <c r="F342" s="766"/>
      <c r="H342" s="741"/>
      <c r="J342" s="783"/>
      <c r="L342" s="741"/>
    </row>
    <row r="343" spans="1:12" x14ac:dyDescent="0.2">
      <c r="A343" s="766"/>
      <c r="H343" s="782"/>
      <c r="J343" s="789"/>
      <c r="L343" s="782"/>
    </row>
    <row r="344" spans="1:12" x14ac:dyDescent="0.2">
      <c r="A344" s="766"/>
      <c r="C344" s="766"/>
      <c r="F344" s="766"/>
      <c r="H344" s="782"/>
      <c r="J344" s="789"/>
      <c r="L344" s="782"/>
    </row>
    <row r="345" spans="1:12" x14ac:dyDescent="0.2">
      <c r="A345" s="766"/>
      <c r="C345" s="766"/>
      <c r="F345" s="766"/>
      <c r="H345" s="782"/>
      <c r="J345" s="783"/>
      <c r="L345" s="782"/>
    </row>
    <row r="346" spans="1:12" x14ac:dyDescent="0.2">
      <c r="A346" s="766"/>
      <c r="C346" s="766"/>
      <c r="F346" s="766"/>
      <c r="H346" s="782"/>
      <c r="J346" s="783"/>
      <c r="L346" s="782"/>
    </row>
    <row r="347" spans="1:12" x14ac:dyDescent="0.2">
      <c r="A347" s="766"/>
      <c r="C347" s="766"/>
      <c r="F347" s="766"/>
      <c r="H347" s="782"/>
      <c r="J347" s="783"/>
      <c r="L347" s="782"/>
    </row>
    <row r="348" spans="1:12" x14ac:dyDescent="0.2">
      <c r="A348" s="766"/>
      <c r="C348" s="766"/>
      <c r="F348" s="766"/>
      <c r="H348" s="782"/>
      <c r="J348" s="783"/>
      <c r="L348" s="782"/>
    </row>
    <row r="349" spans="1:12" x14ac:dyDescent="0.2">
      <c r="A349" s="766"/>
      <c r="F349" s="766"/>
      <c r="H349" s="782"/>
      <c r="J349" s="783"/>
      <c r="L349" s="782"/>
    </row>
    <row r="350" spans="1:12" x14ac:dyDescent="0.2">
      <c r="F350" s="766"/>
      <c r="H350" s="741"/>
      <c r="J350" s="783"/>
      <c r="L350" s="741"/>
    </row>
    <row r="351" spans="1:12" x14ac:dyDescent="0.2">
      <c r="A351" s="766"/>
      <c r="C351" s="766"/>
      <c r="H351" s="782"/>
      <c r="J351" s="789"/>
      <c r="L351" s="782"/>
    </row>
    <row r="352" spans="1:12" x14ac:dyDescent="0.2">
      <c r="F352" s="766"/>
      <c r="H352" s="741"/>
      <c r="J352" s="783"/>
      <c r="L352" s="741"/>
    </row>
    <row r="353" spans="1:13" x14ac:dyDescent="0.2">
      <c r="A353" s="766"/>
      <c r="H353" s="782"/>
      <c r="J353" s="789"/>
      <c r="L353" s="782"/>
    </row>
    <row r="354" spans="1:13" x14ac:dyDescent="0.2">
      <c r="F354" s="766"/>
      <c r="H354" s="782"/>
      <c r="J354" s="789"/>
      <c r="L354" s="782"/>
    </row>
    <row r="355" spans="1:13" x14ac:dyDescent="0.2">
      <c r="A355" s="766"/>
      <c r="H355" s="782"/>
      <c r="J355" s="789"/>
      <c r="L355" s="782"/>
    </row>
    <row r="356" spans="1:13" x14ac:dyDescent="0.2">
      <c r="A356" s="766"/>
    </row>
    <row r="357" spans="1:13" x14ac:dyDescent="0.2">
      <c r="A357" s="766"/>
      <c r="F357" s="766"/>
      <c r="H357" s="741"/>
      <c r="J357" s="783"/>
      <c r="L357" s="741"/>
    </row>
    <row r="358" spans="1:13" x14ac:dyDescent="0.2">
      <c r="A358" s="766"/>
      <c r="F358" s="766"/>
      <c r="H358" s="741"/>
      <c r="J358" s="783"/>
      <c r="L358" s="741"/>
    </row>
    <row r="359" spans="1:13" x14ac:dyDescent="0.2">
      <c r="A359" s="766"/>
      <c r="F359" s="766"/>
      <c r="H359" s="741"/>
      <c r="J359" s="783"/>
      <c r="L359" s="741"/>
    </row>
    <row r="360" spans="1:13" x14ac:dyDescent="0.2">
      <c r="A360" s="766"/>
      <c r="F360" s="766"/>
      <c r="H360" s="741"/>
      <c r="J360" s="783"/>
      <c r="L360" s="741"/>
    </row>
    <row r="361" spans="1:13" x14ac:dyDescent="0.2">
      <c r="A361" s="766"/>
      <c r="F361" s="766"/>
      <c r="H361" s="741"/>
      <c r="J361" s="783"/>
      <c r="L361" s="741"/>
    </row>
    <row r="362" spans="1:13" x14ac:dyDescent="0.2">
      <c r="H362" s="741"/>
      <c r="L362" s="741"/>
    </row>
    <row r="363" spans="1:13" x14ac:dyDescent="0.2">
      <c r="C363" s="784"/>
      <c r="G363" s="766"/>
    </row>
    <row r="364" spans="1:13" x14ac:dyDescent="0.2">
      <c r="C364" s="785"/>
      <c r="G364" s="766"/>
    </row>
    <row r="365" spans="1:13" x14ac:dyDescent="0.2">
      <c r="C365" s="766"/>
      <c r="G365" s="766"/>
    </row>
    <row r="366" spans="1:13" x14ac:dyDescent="0.2">
      <c r="G366" s="766"/>
    </row>
    <row r="367" spans="1:13" x14ac:dyDescent="0.2">
      <c r="M367" s="766"/>
    </row>
    <row r="368" spans="1:13" x14ac:dyDescent="0.2">
      <c r="M368" s="766"/>
    </row>
    <row r="369" spans="1:14" x14ac:dyDescent="0.2">
      <c r="M369" s="766"/>
    </row>
    <row r="370" spans="1:14" x14ac:dyDescent="0.2">
      <c r="A370" s="766"/>
      <c r="C370" s="766"/>
      <c r="H370" s="766"/>
    </row>
    <row r="371" spans="1:14" x14ac:dyDescent="0.2">
      <c r="A371" s="766"/>
      <c r="C371" s="766"/>
      <c r="F371" s="766"/>
      <c r="H371" s="766"/>
      <c r="J371" s="766"/>
      <c r="L371" s="766"/>
    </row>
    <row r="372" spans="1:14" x14ac:dyDescent="0.2">
      <c r="F372" s="766"/>
      <c r="H372" s="766"/>
      <c r="J372" s="766"/>
      <c r="L372" s="766"/>
    </row>
    <row r="373" spans="1:14" x14ac:dyDescent="0.2">
      <c r="A373" s="766"/>
      <c r="C373" s="766"/>
      <c r="H373" s="766"/>
      <c r="J373" s="766"/>
      <c r="L373" s="766"/>
    </row>
    <row r="374" spans="1:14" x14ac:dyDescent="0.2">
      <c r="A374" s="766"/>
      <c r="F374" s="766"/>
      <c r="H374" s="766"/>
      <c r="J374" s="766"/>
      <c r="L374" s="766"/>
    </row>
    <row r="375" spans="1:14" x14ac:dyDescent="0.2">
      <c r="A375" s="766"/>
      <c r="F375" s="766"/>
      <c r="H375" s="782"/>
      <c r="J375" s="789"/>
      <c r="L375" s="782"/>
    </row>
    <row r="376" spans="1:14" x14ac:dyDescent="0.2">
      <c r="A376" s="766"/>
      <c r="C376" s="766"/>
      <c r="F376" s="766"/>
      <c r="H376" s="782"/>
      <c r="J376" s="789"/>
      <c r="L376" s="782"/>
    </row>
    <row r="377" spans="1:14" x14ac:dyDescent="0.2">
      <c r="A377" s="766"/>
      <c r="C377" s="766"/>
      <c r="F377" s="766"/>
      <c r="H377" s="782"/>
      <c r="J377" s="783"/>
      <c r="L377" s="782"/>
      <c r="N377" s="766"/>
    </row>
    <row r="378" spans="1:14" x14ac:dyDescent="0.2">
      <c r="A378" s="766"/>
      <c r="C378" s="766"/>
      <c r="F378" s="766"/>
      <c r="H378" s="782"/>
      <c r="J378" s="783"/>
      <c r="L378" s="782"/>
    </row>
    <row r="379" spans="1:14" x14ac:dyDescent="0.2">
      <c r="A379" s="766"/>
      <c r="C379" s="766"/>
      <c r="F379" s="766"/>
      <c r="H379" s="782"/>
      <c r="J379" s="783"/>
      <c r="L379" s="782"/>
    </row>
    <row r="380" spans="1:14" x14ac:dyDescent="0.2">
      <c r="A380" s="766"/>
      <c r="C380" s="766"/>
      <c r="F380" s="766"/>
      <c r="H380" s="782"/>
      <c r="J380" s="783"/>
      <c r="L380" s="782"/>
    </row>
    <row r="381" spans="1:14" x14ac:dyDescent="0.2">
      <c r="A381" s="766"/>
      <c r="C381" s="766"/>
      <c r="F381" s="766"/>
      <c r="H381" s="782"/>
      <c r="J381" s="783"/>
      <c r="L381" s="782"/>
    </row>
    <row r="382" spans="1:14" x14ac:dyDescent="0.2">
      <c r="A382" s="766"/>
      <c r="C382" s="766"/>
      <c r="F382" s="766"/>
      <c r="H382" s="782"/>
      <c r="J382" s="783"/>
      <c r="L382" s="782"/>
    </row>
    <row r="383" spans="1:14" x14ac:dyDescent="0.2">
      <c r="A383" s="766"/>
      <c r="F383" s="766"/>
      <c r="H383" s="782"/>
      <c r="J383" s="783"/>
      <c r="L383" s="782"/>
    </row>
    <row r="384" spans="1:14" x14ac:dyDescent="0.2">
      <c r="F384" s="766"/>
      <c r="H384" s="741"/>
      <c r="J384" s="783"/>
      <c r="L384" s="741"/>
    </row>
    <row r="385" spans="1:12" x14ac:dyDescent="0.2">
      <c r="A385" s="766"/>
    </row>
    <row r="386" spans="1:12" x14ac:dyDescent="0.2">
      <c r="A386" s="766"/>
      <c r="C386" s="766"/>
      <c r="F386" s="766"/>
    </row>
    <row r="387" spans="1:12" x14ac:dyDescent="0.2">
      <c r="A387" s="766"/>
      <c r="C387" s="766"/>
      <c r="F387" s="766"/>
      <c r="H387" s="782"/>
      <c r="J387" s="787"/>
      <c r="L387" s="782"/>
    </row>
    <row r="388" spans="1:12" x14ac:dyDescent="0.2">
      <c r="A388" s="766"/>
      <c r="C388" s="766"/>
      <c r="F388" s="766"/>
      <c r="H388" s="782"/>
      <c r="J388" s="787"/>
      <c r="L388" s="782"/>
    </row>
    <row r="389" spans="1:12" x14ac:dyDescent="0.2">
      <c r="A389" s="766"/>
      <c r="C389" s="766"/>
      <c r="F389" s="766"/>
      <c r="H389" s="782"/>
      <c r="J389" s="787"/>
      <c r="L389" s="782"/>
    </row>
    <row r="390" spans="1:12" x14ac:dyDescent="0.2">
      <c r="A390" s="766"/>
      <c r="C390" s="766"/>
      <c r="F390" s="766"/>
      <c r="H390" s="782"/>
      <c r="J390" s="787"/>
      <c r="K390" s="766"/>
      <c r="L390" s="782"/>
    </row>
    <row r="391" spans="1:12" x14ac:dyDescent="0.2">
      <c r="A391" s="766"/>
      <c r="C391" s="766"/>
      <c r="F391" s="766"/>
      <c r="H391" s="782"/>
      <c r="J391" s="787"/>
      <c r="L391" s="782"/>
    </row>
    <row r="392" spans="1:12" x14ac:dyDescent="0.2">
      <c r="A392" s="766"/>
      <c r="F392" s="766"/>
      <c r="H392" s="782"/>
      <c r="J392" s="787"/>
      <c r="L392" s="782"/>
    </row>
    <row r="393" spans="1:12" x14ac:dyDescent="0.2">
      <c r="F393" s="766"/>
      <c r="H393" s="741"/>
      <c r="J393" s="787"/>
      <c r="L393" s="741"/>
    </row>
    <row r="394" spans="1:12" x14ac:dyDescent="0.2">
      <c r="A394" s="766"/>
      <c r="C394" s="766"/>
      <c r="J394" s="788"/>
    </row>
    <row r="395" spans="1:12" x14ac:dyDescent="0.2">
      <c r="A395" s="766"/>
      <c r="C395" s="766"/>
      <c r="F395" s="766"/>
      <c r="H395" s="782"/>
      <c r="J395" s="788"/>
      <c r="L395" s="782"/>
    </row>
    <row r="396" spans="1:12" x14ac:dyDescent="0.2">
      <c r="A396" s="766"/>
      <c r="C396" s="766"/>
      <c r="F396" s="766"/>
      <c r="H396" s="782"/>
      <c r="J396" s="787"/>
      <c r="L396" s="782"/>
    </row>
    <row r="397" spans="1:12" x14ac:dyDescent="0.2">
      <c r="A397" s="766"/>
      <c r="C397" s="766"/>
      <c r="F397" s="766"/>
      <c r="H397" s="782"/>
      <c r="J397" s="787"/>
      <c r="L397" s="782"/>
    </row>
    <row r="398" spans="1:12" x14ac:dyDescent="0.2">
      <c r="A398" s="766"/>
      <c r="C398" s="766"/>
      <c r="F398" s="766"/>
      <c r="H398" s="782"/>
      <c r="J398" s="787"/>
      <c r="L398" s="782"/>
    </row>
    <row r="399" spans="1:12" x14ac:dyDescent="0.2">
      <c r="A399" s="766"/>
      <c r="C399" s="766"/>
      <c r="F399" s="766"/>
      <c r="H399" s="782"/>
      <c r="I399" s="766"/>
      <c r="J399" s="787"/>
      <c r="L399" s="782"/>
    </row>
    <row r="400" spans="1:12" x14ac:dyDescent="0.2">
      <c r="A400" s="766"/>
      <c r="C400" s="766"/>
      <c r="F400" s="766"/>
      <c r="H400" s="782"/>
      <c r="J400" s="787"/>
      <c r="L400" s="782"/>
    </row>
    <row r="401" spans="1:13" x14ac:dyDescent="0.2">
      <c r="A401" s="766"/>
      <c r="C401" s="766"/>
      <c r="F401" s="766"/>
      <c r="H401" s="782"/>
      <c r="J401" s="787"/>
      <c r="L401" s="782"/>
    </row>
    <row r="402" spans="1:13" x14ac:dyDescent="0.2">
      <c r="C402" s="766"/>
      <c r="F402" s="766"/>
      <c r="H402" s="782"/>
      <c r="J402" s="787"/>
      <c r="L402" s="782"/>
    </row>
    <row r="403" spans="1:13" x14ac:dyDescent="0.2">
      <c r="C403" s="766"/>
      <c r="F403" s="766"/>
      <c r="H403" s="782"/>
      <c r="J403" s="787"/>
      <c r="L403" s="782"/>
    </row>
    <row r="404" spans="1:13" x14ac:dyDescent="0.2">
      <c r="F404" s="766"/>
      <c r="H404" s="782"/>
      <c r="J404" s="787"/>
      <c r="L404" s="782"/>
    </row>
    <row r="405" spans="1:13" x14ac:dyDescent="0.2">
      <c r="F405" s="766"/>
      <c r="H405" s="741"/>
      <c r="J405" s="787"/>
      <c r="L405" s="741"/>
    </row>
    <row r="406" spans="1:13" x14ac:dyDescent="0.2">
      <c r="C406" s="784"/>
      <c r="G406" s="766"/>
    </row>
    <row r="407" spans="1:13" x14ac:dyDescent="0.2">
      <c r="C407" s="766"/>
      <c r="G407" s="766"/>
    </row>
    <row r="408" spans="1:13" x14ac:dyDescent="0.2">
      <c r="G408" s="766"/>
    </row>
    <row r="409" spans="1:13" x14ac:dyDescent="0.2">
      <c r="M409" s="766"/>
    </row>
    <row r="410" spans="1:13" x14ac:dyDescent="0.2">
      <c r="M410" s="766"/>
    </row>
    <row r="411" spans="1:13" x14ac:dyDescent="0.2">
      <c r="M411" s="766"/>
    </row>
    <row r="412" spans="1:13" x14ac:dyDescent="0.2">
      <c r="A412" s="766"/>
      <c r="C412" s="766"/>
      <c r="H412" s="766"/>
    </row>
    <row r="413" spans="1:13" x14ac:dyDescent="0.2">
      <c r="A413" s="766"/>
      <c r="C413" s="766"/>
      <c r="F413" s="766"/>
      <c r="H413" s="766"/>
      <c r="J413" s="766"/>
      <c r="L413" s="766"/>
    </row>
    <row r="414" spans="1:13" x14ac:dyDescent="0.2">
      <c r="F414" s="766"/>
      <c r="H414" s="766"/>
      <c r="J414" s="766"/>
      <c r="L414" s="766"/>
    </row>
    <row r="415" spans="1:13" x14ac:dyDescent="0.2">
      <c r="A415" s="766"/>
      <c r="C415" s="766"/>
      <c r="H415" s="766"/>
      <c r="J415" s="766"/>
      <c r="L415" s="766"/>
    </row>
    <row r="416" spans="1:13" x14ac:dyDescent="0.2">
      <c r="A416" s="766"/>
      <c r="C416" s="766"/>
      <c r="F416" s="766"/>
      <c r="H416" s="782"/>
      <c r="J416" s="788"/>
      <c r="L416" s="782"/>
    </row>
    <row r="417" spans="1:13" x14ac:dyDescent="0.2">
      <c r="A417" s="766"/>
      <c r="C417" s="766"/>
      <c r="F417" s="766"/>
      <c r="H417" s="782"/>
      <c r="J417" s="787"/>
      <c r="L417" s="782"/>
      <c r="M417" s="766"/>
    </row>
    <row r="418" spans="1:13" x14ac:dyDescent="0.2">
      <c r="A418" s="766"/>
      <c r="C418" s="766"/>
      <c r="F418" s="766"/>
      <c r="H418" s="782"/>
      <c r="J418" s="787"/>
      <c r="L418" s="782"/>
    </row>
    <row r="419" spans="1:13" x14ac:dyDescent="0.2">
      <c r="A419" s="766"/>
      <c r="C419" s="766"/>
      <c r="F419" s="766"/>
      <c r="H419" s="782"/>
      <c r="J419" s="787"/>
      <c r="L419" s="782"/>
    </row>
    <row r="420" spans="1:13" x14ac:dyDescent="0.2">
      <c r="A420" s="766"/>
      <c r="C420" s="766"/>
      <c r="F420" s="766"/>
      <c r="H420" s="782"/>
      <c r="J420" s="787"/>
      <c r="L420" s="782"/>
    </row>
    <row r="421" spans="1:13" x14ac:dyDescent="0.2">
      <c r="A421" s="766"/>
      <c r="C421" s="766"/>
      <c r="F421" s="766"/>
      <c r="H421" s="782"/>
      <c r="J421" s="787"/>
      <c r="L421" s="782"/>
    </row>
    <row r="422" spans="1:13" x14ac:dyDescent="0.2">
      <c r="F422" s="766"/>
      <c r="H422" s="741"/>
      <c r="J422" s="787"/>
      <c r="L422" s="741"/>
    </row>
    <row r="424" spans="1:13" x14ac:dyDescent="0.2">
      <c r="A424" s="766"/>
    </row>
    <row r="425" spans="1:13" x14ac:dyDescent="0.2">
      <c r="A425" s="766"/>
      <c r="C425" s="766"/>
      <c r="F425" s="766"/>
    </row>
    <row r="426" spans="1:13" x14ac:dyDescent="0.2">
      <c r="A426" s="766"/>
      <c r="C426" s="766"/>
      <c r="F426" s="766"/>
      <c r="H426" s="782"/>
      <c r="J426" s="787"/>
      <c r="L426" s="782"/>
    </row>
    <row r="427" spans="1:13" x14ac:dyDescent="0.2">
      <c r="A427" s="766"/>
      <c r="C427" s="766"/>
      <c r="F427" s="766"/>
      <c r="H427" s="782"/>
      <c r="J427" s="787"/>
      <c r="L427" s="782"/>
    </row>
    <row r="428" spans="1:13" x14ac:dyDescent="0.2">
      <c r="A428" s="766"/>
      <c r="C428" s="766"/>
      <c r="F428" s="766"/>
      <c r="H428" s="782"/>
      <c r="J428" s="787"/>
      <c r="K428" s="782"/>
      <c r="L428" s="782"/>
    </row>
    <row r="429" spans="1:13" x14ac:dyDescent="0.2">
      <c r="A429" s="766"/>
      <c r="C429" s="766"/>
      <c r="F429" s="766"/>
      <c r="H429" s="782"/>
      <c r="J429" s="787"/>
      <c r="L429" s="782"/>
    </row>
    <row r="430" spans="1:13" x14ac:dyDescent="0.2">
      <c r="A430" s="766"/>
      <c r="C430" s="766"/>
      <c r="F430" s="766"/>
      <c r="H430" s="741"/>
      <c r="J430" s="787"/>
      <c r="L430" s="741"/>
    </row>
    <row r="431" spans="1:13" x14ac:dyDescent="0.2">
      <c r="A431" s="766"/>
      <c r="C431" s="766"/>
      <c r="F431" s="766"/>
      <c r="H431" s="782"/>
      <c r="J431" s="788"/>
      <c r="L431" s="782"/>
    </row>
    <row r="432" spans="1:13" x14ac:dyDescent="0.2">
      <c r="A432" s="766"/>
      <c r="C432" s="766"/>
      <c r="F432" s="766"/>
      <c r="H432" s="782"/>
      <c r="J432" s="788"/>
      <c r="L432" s="782"/>
    </row>
    <row r="433" spans="1:12" x14ac:dyDescent="0.2">
      <c r="A433" s="766"/>
      <c r="C433" s="766"/>
      <c r="F433" s="766"/>
      <c r="H433" s="782"/>
      <c r="J433" s="787"/>
      <c r="L433" s="782"/>
    </row>
    <row r="434" spans="1:12" x14ac:dyDescent="0.2">
      <c r="A434" s="766"/>
      <c r="C434" s="766"/>
      <c r="F434" s="766"/>
      <c r="H434" s="782"/>
      <c r="J434" s="787"/>
      <c r="L434" s="782"/>
    </row>
    <row r="435" spans="1:12" x14ac:dyDescent="0.2">
      <c r="A435" s="766"/>
      <c r="C435" s="766"/>
      <c r="F435" s="766"/>
      <c r="H435" s="782"/>
      <c r="J435" s="787"/>
      <c r="L435" s="782"/>
    </row>
    <row r="436" spans="1:12" x14ac:dyDescent="0.2">
      <c r="A436" s="766"/>
      <c r="C436" s="766"/>
      <c r="F436" s="766"/>
      <c r="H436" s="782"/>
      <c r="J436" s="787"/>
      <c r="L436" s="782"/>
    </row>
    <row r="437" spans="1:12" x14ac:dyDescent="0.2">
      <c r="F437" s="766"/>
      <c r="H437" s="741"/>
      <c r="J437" s="787"/>
      <c r="L437" s="741"/>
    </row>
    <row r="438" spans="1:12" x14ac:dyDescent="0.2">
      <c r="A438" s="766"/>
      <c r="C438" s="766"/>
      <c r="H438" s="782"/>
      <c r="J438" s="788"/>
      <c r="L438" s="782"/>
    </row>
    <row r="439" spans="1:12" x14ac:dyDescent="0.2">
      <c r="A439" s="766"/>
      <c r="C439" s="766"/>
      <c r="F439" s="766"/>
      <c r="H439" s="782"/>
      <c r="J439" s="788"/>
      <c r="L439" s="782"/>
    </row>
    <row r="440" spans="1:12" x14ac:dyDescent="0.2">
      <c r="A440" s="766"/>
      <c r="C440" s="766"/>
      <c r="F440" s="766"/>
      <c r="H440" s="782"/>
      <c r="I440" s="766"/>
      <c r="J440" s="787"/>
      <c r="L440" s="782"/>
    </row>
    <row r="441" spans="1:12" x14ac:dyDescent="0.2">
      <c r="A441" s="766"/>
      <c r="C441" s="766"/>
      <c r="F441" s="766"/>
      <c r="H441" s="782"/>
      <c r="J441" s="787"/>
      <c r="L441" s="782"/>
    </row>
    <row r="442" spans="1:12" x14ac:dyDescent="0.2">
      <c r="A442" s="766"/>
      <c r="C442" s="766"/>
      <c r="F442" s="766"/>
      <c r="H442" s="782"/>
      <c r="J442" s="787"/>
      <c r="L442" s="782"/>
    </row>
    <row r="443" spans="1:12" x14ac:dyDescent="0.2">
      <c r="A443" s="766"/>
      <c r="C443" s="766"/>
      <c r="F443" s="766"/>
      <c r="H443" s="782"/>
      <c r="J443" s="787"/>
      <c r="L443" s="782"/>
    </row>
    <row r="444" spans="1:12" x14ac:dyDescent="0.2">
      <c r="A444" s="766"/>
      <c r="C444" s="766"/>
      <c r="F444" s="766"/>
      <c r="H444" s="782"/>
      <c r="J444" s="787"/>
      <c r="L444" s="782"/>
    </row>
    <row r="445" spans="1:12" x14ac:dyDescent="0.2">
      <c r="A445" s="766"/>
      <c r="C445" s="766"/>
      <c r="F445" s="766"/>
      <c r="H445" s="782"/>
      <c r="J445" s="787"/>
      <c r="L445" s="782"/>
    </row>
    <row r="446" spans="1:12" x14ac:dyDescent="0.2">
      <c r="A446" s="766"/>
      <c r="C446" s="766"/>
      <c r="F446" s="766"/>
      <c r="H446" s="782"/>
      <c r="J446" s="787"/>
      <c r="L446" s="782"/>
    </row>
    <row r="447" spans="1:12" x14ac:dyDescent="0.2">
      <c r="A447" s="766"/>
      <c r="C447" s="766"/>
      <c r="F447" s="766"/>
      <c r="H447" s="782"/>
      <c r="J447" s="787"/>
      <c r="L447" s="782"/>
    </row>
    <row r="448" spans="1:12" x14ac:dyDescent="0.2">
      <c r="A448" s="766"/>
      <c r="C448" s="766"/>
      <c r="F448" s="766"/>
      <c r="H448" s="782"/>
      <c r="J448" s="787"/>
      <c r="L448" s="782"/>
    </row>
    <row r="449" spans="1:13" x14ac:dyDescent="0.2">
      <c r="F449" s="766"/>
      <c r="H449" s="741"/>
      <c r="J449" s="787"/>
      <c r="L449" s="741"/>
      <c r="M449" s="766"/>
    </row>
    <row r="450" spans="1:13" x14ac:dyDescent="0.2">
      <c r="C450" s="784"/>
      <c r="G450" s="766"/>
    </row>
    <row r="451" spans="1:13" x14ac:dyDescent="0.2">
      <c r="C451" s="785"/>
      <c r="G451" s="766"/>
    </row>
    <row r="452" spans="1:13" x14ac:dyDescent="0.2">
      <c r="C452" s="766"/>
      <c r="G452" s="766"/>
    </row>
    <row r="453" spans="1:13" x14ac:dyDescent="0.2">
      <c r="G453" s="766"/>
    </row>
    <row r="454" spans="1:13" x14ac:dyDescent="0.2">
      <c r="M454" s="766"/>
    </row>
    <row r="455" spans="1:13" x14ac:dyDescent="0.2">
      <c r="M455" s="766"/>
    </row>
    <row r="456" spans="1:13" x14ac:dyDescent="0.2">
      <c r="M456" s="766"/>
    </row>
    <row r="457" spans="1:13" x14ac:dyDescent="0.2">
      <c r="A457" s="766"/>
      <c r="C457" s="766"/>
      <c r="H457" s="766"/>
    </row>
    <row r="458" spans="1:13" x14ac:dyDescent="0.2">
      <c r="A458" s="766"/>
      <c r="C458" s="766"/>
      <c r="F458" s="766"/>
      <c r="H458" s="766"/>
      <c r="J458" s="766"/>
      <c r="L458" s="766"/>
    </row>
    <row r="459" spans="1:13" x14ac:dyDescent="0.2">
      <c r="F459" s="766"/>
      <c r="H459" s="766"/>
      <c r="J459" s="766"/>
      <c r="L459" s="766"/>
    </row>
    <row r="460" spans="1:13" x14ac:dyDescent="0.2">
      <c r="A460" s="766"/>
      <c r="C460" s="766"/>
      <c r="H460" s="766"/>
      <c r="J460" s="766"/>
      <c r="L460" s="766"/>
    </row>
    <row r="461" spans="1:13" x14ac:dyDescent="0.2">
      <c r="A461" s="766"/>
      <c r="F461" s="766"/>
      <c r="H461" s="766"/>
      <c r="J461" s="766"/>
      <c r="L461" s="766"/>
    </row>
    <row r="462" spans="1:13" x14ac:dyDescent="0.2">
      <c r="A462" s="766"/>
      <c r="C462" s="766"/>
      <c r="F462" s="766"/>
    </row>
    <row r="463" spans="1:13" x14ac:dyDescent="0.2">
      <c r="A463" s="766"/>
      <c r="C463" s="766"/>
      <c r="F463" s="766"/>
      <c r="H463" s="782"/>
      <c r="J463" s="788"/>
      <c r="L463" s="782"/>
    </row>
    <row r="464" spans="1:13" x14ac:dyDescent="0.2">
      <c r="A464" s="766"/>
      <c r="C464" s="766"/>
      <c r="F464" s="766"/>
      <c r="H464" s="782"/>
      <c r="J464" s="788"/>
      <c r="L464" s="782"/>
    </row>
    <row r="465" spans="1:12" x14ac:dyDescent="0.2">
      <c r="A465" s="766"/>
      <c r="C465" s="766"/>
      <c r="F465" s="766"/>
      <c r="H465" s="782"/>
      <c r="J465" s="787"/>
      <c r="L465" s="782"/>
    </row>
    <row r="466" spans="1:12" x14ac:dyDescent="0.2">
      <c r="F466" s="766"/>
      <c r="H466" s="782"/>
      <c r="J466" s="787"/>
      <c r="L466" s="741"/>
    </row>
    <row r="467" spans="1:12" x14ac:dyDescent="0.2">
      <c r="A467" s="766"/>
      <c r="C467" s="766"/>
    </row>
    <row r="468" spans="1:12" x14ac:dyDescent="0.2">
      <c r="F468" s="766"/>
      <c r="H468" s="741"/>
      <c r="J468" s="787"/>
      <c r="L468" s="741"/>
    </row>
    <row r="469" spans="1:12" x14ac:dyDescent="0.2">
      <c r="A469" s="766"/>
      <c r="C469" s="766"/>
    </row>
    <row r="470" spans="1:12" x14ac:dyDescent="0.2">
      <c r="A470" s="766"/>
      <c r="C470" s="766"/>
      <c r="F470" s="766"/>
      <c r="H470" s="782"/>
      <c r="J470" s="787"/>
      <c r="L470" s="782"/>
    </row>
    <row r="471" spans="1:12" x14ac:dyDescent="0.2">
      <c r="A471" s="766"/>
      <c r="C471" s="766"/>
      <c r="F471" s="766"/>
      <c r="H471" s="782"/>
      <c r="J471" s="787"/>
      <c r="L471" s="782"/>
    </row>
    <row r="472" spans="1:12" x14ac:dyDescent="0.2">
      <c r="A472" s="766"/>
      <c r="C472" s="766"/>
      <c r="F472" s="766"/>
      <c r="H472" s="782"/>
      <c r="J472" s="787"/>
      <c r="L472" s="782"/>
    </row>
    <row r="473" spans="1:12" x14ac:dyDescent="0.2">
      <c r="F473" s="766"/>
      <c r="H473" s="741"/>
      <c r="J473" s="787"/>
      <c r="L473" s="741"/>
    </row>
    <row r="474" spans="1:12" x14ac:dyDescent="0.2">
      <c r="A474" s="766"/>
      <c r="C474" s="766"/>
      <c r="J474" s="788"/>
    </row>
    <row r="475" spans="1:12" x14ac:dyDescent="0.2">
      <c r="F475" s="766"/>
      <c r="H475" s="741"/>
      <c r="J475" s="787"/>
      <c r="L475" s="741"/>
    </row>
    <row r="476" spans="1:12" x14ac:dyDescent="0.2">
      <c r="C476" s="766"/>
    </row>
    <row r="480" spans="1:12" x14ac:dyDescent="0.2">
      <c r="A480" s="766"/>
    </row>
    <row r="481" spans="1:1" x14ac:dyDescent="0.2">
      <c r="A481" s="766"/>
    </row>
    <row r="482" spans="1:1" x14ac:dyDescent="0.2">
      <c r="A482" s="766"/>
    </row>
    <row r="483" spans="1:1" x14ac:dyDescent="0.2">
      <c r="A483" s="766"/>
    </row>
    <row r="485" spans="1:1" x14ac:dyDescent="0.2">
      <c r="A485" s="766"/>
    </row>
  </sheetData>
  <mergeCells count="10">
    <mergeCell ref="A61:S61"/>
    <mergeCell ref="A62:S62"/>
    <mergeCell ref="A1:S1"/>
    <mergeCell ref="A2:S2"/>
    <mergeCell ref="A3:S3"/>
    <mergeCell ref="A4:S4"/>
    <mergeCell ref="A59:S59"/>
    <mergeCell ref="A60:S60"/>
    <mergeCell ref="O10:P10"/>
    <mergeCell ref="O11:P11"/>
  </mergeCells>
  <phoneticPr fontId="0" type="noConversion"/>
  <printOptions horizontalCentered="1"/>
  <pageMargins left="0.5" right="0.5" top="0.75" bottom="0" header="0.5" footer="0.5"/>
  <pageSetup scale="79" orientation="landscape" r:id="rId1"/>
  <headerFooter alignWithMargins="0"/>
  <rowBreaks count="1" manualBreakCount="1">
    <brk id="58" max="18" man="1"/>
  </rowBreaks>
  <ignoredErrors>
    <ignoredError sqref="S66" unlockedFormula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57"/>
  <dimension ref="A1:AV733"/>
  <sheetViews>
    <sheetView showGridLines="0" zoomScale="90" zoomScaleNormal="90" zoomScaleSheetLayoutView="90" workbookViewId="0">
      <selection activeCell="V19" sqref="V19"/>
    </sheetView>
  </sheetViews>
  <sheetFormatPr defaultColWidth="8.33203125" defaultRowHeight="12" x14ac:dyDescent="0.2"/>
  <cols>
    <col min="1" max="1" width="8.33203125" style="730" customWidth="1"/>
    <col min="2" max="2" width="8.33203125" style="730"/>
    <col min="3" max="3" width="8.33203125" style="730" customWidth="1"/>
    <col min="4" max="4" width="8.33203125" style="730"/>
    <col min="5" max="5" width="8.33203125" style="730" customWidth="1"/>
    <col min="6" max="6" width="8.33203125" style="730"/>
    <col min="7" max="7" width="8.33203125" style="730" customWidth="1"/>
    <col min="8" max="8" width="8.33203125" style="730"/>
    <col min="9" max="9" width="8.33203125" style="730" customWidth="1"/>
    <col min="10" max="10" width="8.33203125" style="730"/>
    <col min="11" max="11" width="8.33203125" style="730" customWidth="1"/>
    <col min="12" max="12" width="8.33203125" style="730"/>
    <col min="13" max="13" width="14.83203125" style="730" customWidth="1"/>
    <col min="14" max="14" width="8.33203125" style="730"/>
    <col min="15" max="15" width="5" style="730" customWidth="1"/>
    <col min="16" max="16" width="5.83203125" style="730" customWidth="1"/>
    <col min="17" max="17" width="8.33203125" style="730"/>
    <col min="18" max="18" width="10" style="730" customWidth="1"/>
    <col min="19" max="19" width="17" style="730" bestFit="1" customWidth="1"/>
    <col min="20" max="20" width="8.33203125" style="730"/>
    <col min="21" max="21" width="10.5" style="730" bestFit="1" customWidth="1"/>
    <col min="22" max="22" width="14.1640625" style="730" bestFit="1" customWidth="1"/>
    <col min="23" max="23" width="14.1640625" style="730" customWidth="1"/>
    <col min="24" max="25" width="8.33203125" style="730" customWidth="1"/>
    <col min="26" max="26" width="9.1640625" style="730" customWidth="1"/>
    <col min="27" max="27" width="10" style="730" customWidth="1"/>
    <col min="28" max="16384" width="8.33203125" style="730"/>
  </cols>
  <sheetData>
    <row r="1" spans="1:19" ht="12.75" customHeight="1" x14ac:dyDescent="0.2">
      <c r="A1" s="2160" t="s">
        <v>624</v>
      </c>
      <c r="B1" s="2160"/>
      <c r="C1" s="2160"/>
      <c r="D1" s="2160"/>
      <c r="E1" s="2160"/>
      <c r="F1" s="2160"/>
      <c r="G1" s="2160"/>
      <c r="H1" s="2160"/>
      <c r="I1" s="2160"/>
      <c r="J1" s="2160"/>
      <c r="K1" s="2160"/>
      <c r="L1" s="2160"/>
      <c r="M1" s="2160"/>
      <c r="N1" s="2160"/>
      <c r="O1" s="2160"/>
      <c r="P1" s="2160"/>
      <c r="Q1" s="2160"/>
      <c r="R1" s="2160"/>
      <c r="S1" s="2160"/>
    </row>
    <row r="2" spans="1:19" ht="12.75" customHeight="1" x14ac:dyDescent="0.2">
      <c r="A2" s="2159" t="str">
        <f>case</f>
        <v>CASE NO. 2016 - 00162</v>
      </c>
      <c r="B2" s="2159"/>
      <c r="C2" s="2159"/>
      <c r="D2" s="2159"/>
      <c r="E2" s="2159"/>
      <c r="F2" s="2159"/>
      <c r="G2" s="2159"/>
      <c r="H2" s="2159"/>
      <c r="I2" s="2159"/>
      <c r="J2" s="2159"/>
      <c r="K2" s="2159"/>
      <c r="L2" s="2159"/>
      <c r="M2" s="2159"/>
      <c r="N2" s="2159"/>
      <c r="O2" s="2159"/>
      <c r="P2" s="2159"/>
      <c r="Q2" s="2159"/>
      <c r="R2" s="2159"/>
      <c r="S2" s="2159"/>
    </row>
    <row r="3" spans="1:19" ht="12.75" customHeight="1" x14ac:dyDescent="0.2">
      <c r="A3" s="2160" t="s">
        <v>1294</v>
      </c>
      <c r="B3" s="2160"/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</row>
    <row r="4" spans="1:19" ht="12.75" customHeight="1" x14ac:dyDescent="0.2">
      <c r="A4" s="2159" t="str">
        <f>'D-1'!A5:O5</f>
        <v>FOR THE TWELVE MONTHS ENDED AUGUST 31, 2016 AND THE TWELVE MONTHS ENDED DECEMBER 31, 2017</v>
      </c>
      <c r="B4" s="2159"/>
      <c r="C4" s="2159"/>
      <c r="D4" s="2159"/>
      <c r="E4" s="2159"/>
      <c r="F4" s="2159"/>
      <c r="G4" s="2159"/>
      <c r="H4" s="2159"/>
      <c r="I4" s="2159"/>
      <c r="J4" s="2159"/>
      <c r="K4" s="2159"/>
      <c r="L4" s="2159"/>
      <c r="M4" s="2159"/>
      <c r="N4" s="2159"/>
      <c r="O4" s="2159"/>
      <c r="P4" s="2159"/>
      <c r="Q4" s="2159"/>
      <c r="R4" s="2159"/>
      <c r="S4" s="2159"/>
    </row>
    <row r="5" spans="1:19" x14ac:dyDescent="0.2">
      <c r="C5" s="766"/>
      <c r="J5" s="724"/>
    </row>
    <row r="6" spans="1:19" x14ac:dyDescent="0.2">
      <c r="A6" s="767" t="s">
        <v>1602</v>
      </c>
      <c r="S6" s="768" t="s">
        <v>156</v>
      </c>
    </row>
    <row r="7" spans="1:19" x14ac:dyDescent="0.2">
      <c r="A7" s="767" t="s">
        <v>1604</v>
      </c>
      <c r="S7" s="768" t="s">
        <v>157</v>
      </c>
    </row>
    <row r="8" spans="1:19" x14ac:dyDescent="0.2">
      <c r="A8" s="767" t="s">
        <v>1938</v>
      </c>
      <c r="S8" s="769" t="str">
        <f>JTC</f>
        <v>WITNESS:  J. T. CROOM</v>
      </c>
    </row>
    <row r="9" spans="1:19" x14ac:dyDescent="0.2">
      <c r="A9" s="766"/>
      <c r="C9" s="766"/>
      <c r="H9" s="766"/>
      <c r="J9" s="766"/>
      <c r="L9" s="766"/>
    </row>
    <row r="10" spans="1:19" x14ac:dyDescent="0.2">
      <c r="A10" s="758"/>
      <c r="B10" s="758"/>
      <c r="C10" s="758"/>
      <c r="D10" s="758"/>
      <c r="E10" s="758"/>
      <c r="F10" s="758"/>
      <c r="G10" s="758"/>
      <c r="H10" s="758"/>
      <c r="I10" s="758"/>
      <c r="J10" s="758"/>
      <c r="K10" s="758"/>
      <c r="L10" s="758"/>
      <c r="M10" s="758"/>
      <c r="N10" s="758"/>
      <c r="O10" s="734" t="s">
        <v>134</v>
      </c>
      <c r="P10" s="758"/>
      <c r="Q10" s="758"/>
      <c r="R10" s="758"/>
      <c r="S10" s="758"/>
    </row>
    <row r="11" spans="1:19" x14ac:dyDescent="0.2">
      <c r="A11" s="1936" t="s">
        <v>135</v>
      </c>
      <c r="B11" s="1937"/>
      <c r="C11" s="1938"/>
      <c r="D11" s="759"/>
      <c r="E11" s="759"/>
      <c r="F11" s="759"/>
      <c r="G11" s="759"/>
      <c r="H11" s="759"/>
      <c r="I11" s="759"/>
      <c r="J11" s="759"/>
      <c r="K11" s="759"/>
      <c r="L11" s="759"/>
      <c r="M11" s="759"/>
      <c r="N11" s="759"/>
      <c r="O11" s="737" t="s">
        <v>136</v>
      </c>
      <c r="P11" s="759"/>
      <c r="Q11" s="759"/>
      <c r="R11" s="759"/>
      <c r="S11" s="737" t="s">
        <v>137</v>
      </c>
    </row>
    <row r="14" spans="1:19" x14ac:dyDescent="0.2">
      <c r="A14" s="773" t="s">
        <v>1609</v>
      </c>
    </row>
    <row r="15" spans="1:19" x14ac:dyDescent="0.2">
      <c r="A15" s="775" t="s">
        <v>1928</v>
      </c>
      <c r="O15" s="1512"/>
      <c r="Q15" s="767" t="s">
        <v>1112</v>
      </c>
      <c r="S15" s="776">
        <f>S16+S17</f>
        <v>9358726.4399999995</v>
      </c>
    </row>
    <row r="16" spans="1:19" x14ac:dyDescent="0.2">
      <c r="A16" s="775" t="s">
        <v>1929</v>
      </c>
      <c r="Q16" s="767" t="s">
        <v>634</v>
      </c>
      <c r="S16" s="741">
        <f>'D-1'!D124</f>
        <v>8641279.9700000007</v>
      </c>
    </row>
    <row r="17" spans="1:19" x14ac:dyDescent="0.2">
      <c r="A17" s="775" t="s">
        <v>2399</v>
      </c>
      <c r="Q17" s="767" t="s">
        <v>760</v>
      </c>
      <c r="S17" s="777">
        <f>'D-1'!E120</f>
        <v>717446.46999999962</v>
      </c>
    </row>
    <row r="18" spans="1:19" x14ac:dyDescent="0.2">
      <c r="A18" s="775" t="s">
        <v>1964</v>
      </c>
      <c r="S18" s="778">
        <f>ROUND(S17/S16,4)</f>
        <v>8.3000000000000004E-2</v>
      </c>
    </row>
    <row r="19" spans="1:19" x14ac:dyDescent="0.2">
      <c r="A19" s="775" t="s">
        <v>1965</v>
      </c>
      <c r="S19" s="778"/>
    </row>
    <row r="20" spans="1:19" x14ac:dyDescent="0.2">
      <c r="A20" s="775" t="s">
        <v>2380</v>
      </c>
      <c r="S20" s="778"/>
    </row>
    <row r="21" spans="1:19" x14ac:dyDescent="0.2">
      <c r="A21" s="775" t="s">
        <v>1966</v>
      </c>
      <c r="S21" s="778"/>
    </row>
    <row r="22" spans="1:19" x14ac:dyDescent="0.2">
      <c r="A22" s="775"/>
      <c r="S22" s="778"/>
    </row>
    <row r="23" spans="1:19" x14ac:dyDescent="0.2">
      <c r="A23" s="773" t="s">
        <v>1610</v>
      </c>
      <c r="C23" s="766"/>
    </row>
    <row r="24" spans="1:19" x14ac:dyDescent="0.2">
      <c r="A24" s="775" t="s">
        <v>158</v>
      </c>
      <c r="Q24" s="767" t="s">
        <v>1112</v>
      </c>
      <c r="S24" s="776">
        <f>S25+S26</f>
        <v>1929978</v>
      </c>
    </row>
    <row r="25" spans="1:19" x14ac:dyDescent="0.2">
      <c r="A25" s="775" t="s">
        <v>2390</v>
      </c>
      <c r="Q25" s="767" t="s">
        <v>634</v>
      </c>
      <c r="S25" s="741">
        <f>'D-1'!D125</f>
        <v>1895204.77</v>
      </c>
    </row>
    <row r="26" spans="1:19" x14ac:dyDescent="0.2">
      <c r="A26" s="775"/>
      <c r="Q26" s="767" t="s">
        <v>760</v>
      </c>
      <c r="S26" s="777">
        <f>'D-1'!F120</f>
        <v>34773.229999999967</v>
      </c>
    </row>
    <row r="27" spans="1:19" x14ac:dyDescent="0.2">
      <c r="A27" s="775"/>
      <c r="S27" s="778">
        <f>ROUND(S26/S25,4)</f>
        <v>1.83E-2</v>
      </c>
    </row>
    <row r="28" spans="1:19" x14ac:dyDescent="0.2">
      <c r="A28" s="775"/>
      <c r="C28" s="766"/>
    </row>
    <row r="29" spans="1:19" x14ac:dyDescent="0.2">
      <c r="A29" s="774"/>
    </row>
    <row r="30" spans="1:19" x14ac:dyDescent="0.2">
      <c r="A30" s="773" t="s">
        <v>1611</v>
      </c>
    </row>
    <row r="31" spans="1:19" x14ac:dyDescent="0.2">
      <c r="A31" s="775" t="s">
        <v>159</v>
      </c>
      <c r="Q31" s="767" t="s">
        <v>1112</v>
      </c>
      <c r="S31" s="776">
        <f>S32+S33</f>
        <v>6836256</v>
      </c>
    </row>
    <row r="32" spans="1:19" x14ac:dyDescent="0.2">
      <c r="A32" s="775" t="s">
        <v>1936</v>
      </c>
      <c r="Q32" s="767" t="s">
        <v>634</v>
      </c>
      <c r="S32" s="741">
        <f>'D-1'!D126</f>
        <v>5500817.2999999998</v>
      </c>
    </row>
    <row r="33" spans="1:29" x14ac:dyDescent="0.2">
      <c r="A33" s="775" t="s">
        <v>1937</v>
      </c>
      <c r="Q33" s="767" t="s">
        <v>760</v>
      </c>
      <c r="S33" s="777">
        <f>'D-1'!G120</f>
        <v>1335438.7000000002</v>
      </c>
    </row>
    <row r="34" spans="1:29" x14ac:dyDescent="0.2">
      <c r="A34" s="775" t="s">
        <v>2368</v>
      </c>
      <c r="S34" s="778">
        <f>ROUND(S33/S32,4)</f>
        <v>0.24279999999999999</v>
      </c>
    </row>
    <row r="35" spans="1:29" x14ac:dyDescent="0.2">
      <c r="A35" s="775" t="s">
        <v>2391</v>
      </c>
    </row>
    <row r="36" spans="1:29" x14ac:dyDescent="0.2">
      <c r="A36" s="775" t="s">
        <v>2392</v>
      </c>
    </row>
    <row r="37" spans="1:29" x14ac:dyDescent="0.2">
      <c r="A37" s="775" t="s">
        <v>1966</v>
      </c>
    </row>
    <row r="38" spans="1:29" x14ac:dyDescent="0.2">
      <c r="A38" s="775"/>
    </row>
    <row r="39" spans="1:29" x14ac:dyDescent="0.2">
      <c r="A39" s="774"/>
    </row>
    <row r="40" spans="1:29" x14ac:dyDescent="0.2">
      <c r="A40" s="1931" t="s">
        <v>107</v>
      </c>
      <c r="B40" s="1768"/>
      <c r="C40" s="1768"/>
      <c r="D40" s="1768"/>
      <c r="E40" s="1768"/>
      <c r="F40" s="1768"/>
      <c r="G40" s="1768"/>
      <c r="H40" s="1768"/>
      <c r="I40" s="1768"/>
      <c r="J40" s="1768"/>
      <c r="K40" s="1768"/>
      <c r="L40" s="1768"/>
      <c r="M40" s="1768"/>
      <c r="N40" s="1768"/>
    </row>
    <row r="41" spans="1:29" x14ac:dyDescent="0.2">
      <c r="A41" s="1929" t="s">
        <v>1930</v>
      </c>
      <c r="B41" s="1768"/>
      <c r="C41" s="1769"/>
      <c r="D41" s="1769"/>
      <c r="E41" s="1769"/>
      <c r="F41" s="1769"/>
      <c r="G41" s="1769"/>
      <c r="H41" s="1769"/>
      <c r="I41" s="1769"/>
      <c r="J41" s="1769"/>
      <c r="K41" s="1769"/>
      <c r="L41" s="1769"/>
      <c r="M41" s="1769"/>
      <c r="N41" s="1769"/>
      <c r="O41" s="741"/>
      <c r="P41" s="741"/>
      <c r="Q41" s="767" t="s">
        <v>1112</v>
      </c>
      <c r="S41" s="776">
        <f>S42+S43</f>
        <v>108725.00000000001</v>
      </c>
      <c r="T41" s="741"/>
      <c r="U41" s="741"/>
      <c r="V41" s="741"/>
      <c r="W41" s="741"/>
      <c r="X41" s="741"/>
      <c r="Y41" s="741"/>
    </row>
    <row r="42" spans="1:29" x14ac:dyDescent="0.2">
      <c r="A42" s="1929" t="s">
        <v>1931</v>
      </c>
      <c r="B42" s="1768"/>
      <c r="C42" s="1769"/>
      <c r="D42" s="1769"/>
      <c r="E42" s="1769"/>
      <c r="F42" s="1769"/>
      <c r="G42" s="1769"/>
      <c r="H42" s="1769"/>
      <c r="I42" s="1769"/>
      <c r="J42" s="1769"/>
      <c r="K42" s="1769"/>
      <c r="L42" s="1769"/>
      <c r="M42" s="1769"/>
      <c r="N42" s="1769"/>
      <c r="O42" s="741"/>
      <c r="P42" s="741"/>
      <c r="Q42" s="767" t="s">
        <v>634</v>
      </c>
      <c r="S42" s="741">
        <f>'D-1'!D127</f>
        <v>120557.98</v>
      </c>
      <c r="T42" s="741"/>
      <c r="U42" s="741"/>
      <c r="V42" s="741"/>
      <c r="W42" s="741"/>
      <c r="X42" s="741"/>
      <c r="Y42" s="741"/>
    </row>
    <row r="43" spans="1:29" x14ac:dyDescent="0.2">
      <c r="A43" s="1929" t="s">
        <v>2377</v>
      </c>
      <c r="B43" s="1768"/>
      <c r="C43" s="1768"/>
      <c r="D43" s="1768"/>
      <c r="E43" s="1768"/>
      <c r="F43" s="1768"/>
      <c r="G43" s="1768"/>
      <c r="H43" s="1769"/>
      <c r="I43" s="1768"/>
      <c r="J43" s="1930"/>
      <c r="K43" s="1768"/>
      <c r="L43" s="1769"/>
      <c r="M43" s="1768"/>
      <c r="N43" s="1932"/>
      <c r="Q43" s="767" t="s">
        <v>760</v>
      </c>
      <c r="S43" s="777">
        <f>'D-1'!H120</f>
        <v>-11832.979999999987</v>
      </c>
    </row>
    <row r="44" spans="1:29" x14ac:dyDescent="0.2">
      <c r="A44" s="1929"/>
      <c r="B44" s="1768"/>
      <c r="C44" s="1769"/>
      <c r="D44" s="1769"/>
      <c r="E44" s="1769"/>
      <c r="F44" s="1769"/>
      <c r="G44" s="1769"/>
      <c r="H44" s="1769"/>
      <c r="I44" s="1769"/>
      <c r="J44" s="1769"/>
      <c r="K44" s="1769"/>
      <c r="L44" s="1769"/>
      <c r="M44" s="1769"/>
      <c r="N44" s="1769"/>
      <c r="O44" s="741"/>
      <c r="P44" s="741"/>
      <c r="S44" s="778">
        <f>ROUND(S43/S42,4)</f>
        <v>-9.8199999999999996E-2</v>
      </c>
      <c r="T44" s="741"/>
      <c r="U44" s="741"/>
      <c r="V44" s="741"/>
      <c r="W44" s="741"/>
      <c r="X44" s="741"/>
      <c r="Y44" s="741"/>
      <c r="Z44" s="741"/>
    </row>
    <row r="45" spans="1:29" x14ac:dyDescent="0.2">
      <c r="A45" s="1935"/>
      <c r="B45" s="1768"/>
      <c r="C45" s="1768"/>
      <c r="D45" s="1768"/>
      <c r="E45" s="1768"/>
      <c r="F45" s="1768"/>
      <c r="G45" s="1768"/>
      <c r="H45" s="1768"/>
      <c r="I45" s="1768"/>
      <c r="J45" s="1768"/>
      <c r="K45" s="1768"/>
      <c r="L45" s="1768"/>
      <c r="M45" s="1768"/>
      <c r="N45" s="1768"/>
    </row>
    <row r="46" spans="1:29" x14ac:dyDescent="0.2">
      <c r="A46" s="773" t="s">
        <v>108</v>
      </c>
      <c r="T46" s="741"/>
      <c r="U46" s="741"/>
      <c r="V46" s="741"/>
      <c r="W46" s="741"/>
      <c r="X46" s="741"/>
      <c r="Y46" s="741"/>
      <c r="Z46" s="741"/>
      <c r="AA46" s="741"/>
      <c r="AB46" s="741"/>
      <c r="AC46" s="741"/>
    </row>
    <row r="47" spans="1:29" x14ac:dyDescent="0.2">
      <c r="A47" s="1929" t="s">
        <v>1841</v>
      </c>
      <c r="B47" s="1768"/>
      <c r="C47" s="1768"/>
      <c r="D47" s="1768"/>
      <c r="E47" s="1768"/>
      <c r="F47" s="1768"/>
      <c r="G47" s="1768"/>
      <c r="H47" s="1768"/>
      <c r="I47" s="1768"/>
      <c r="J47" s="1768"/>
      <c r="K47" s="1768"/>
      <c r="L47" s="1768"/>
      <c r="M47" s="1768"/>
      <c r="Q47" s="767" t="s">
        <v>1112</v>
      </c>
      <c r="S47" s="776">
        <f>S48+S49</f>
        <v>1076975</v>
      </c>
      <c r="T47" s="741"/>
      <c r="U47" s="741"/>
      <c r="V47" s="741"/>
      <c r="W47" s="741"/>
      <c r="X47" s="741"/>
      <c r="Y47" s="741"/>
      <c r="Z47" s="741"/>
      <c r="AA47" s="741"/>
      <c r="AB47" s="741"/>
      <c r="AC47" s="741"/>
    </row>
    <row r="48" spans="1:29" x14ac:dyDescent="0.2">
      <c r="A48" s="1929" t="s">
        <v>1842</v>
      </c>
      <c r="B48" s="1768"/>
      <c r="C48" s="1768"/>
      <c r="D48" s="1768"/>
      <c r="E48" s="1768"/>
      <c r="F48" s="1768"/>
      <c r="G48" s="1768"/>
      <c r="H48" s="1768"/>
      <c r="I48" s="1768"/>
      <c r="J48" s="1768"/>
      <c r="K48" s="1768"/>
      <c r="L48" s="1768"/>
      <c r="M48" s="1768"/>
      <c r="Q48" s="767" t="s">
        <v>634</v>
      </c>
      <c r="S48" s="741">
        <f>'D-1'!D128</f>
        <v>963843.63</v>
      </c>
      <c r="T48" s="741"/>
      <c r="U48" s="741"/>
      <c r="V48" s="741"/>
      <c r="W48" s="741"/>
      <c r="X48" s="741"/>
      <c r="Y48" s="741"/>
      <c r="Z48" s="741"/>
      <c r="AA48" s="741"/>
      <c r="AB48" s="741"/>
      <c r="AC48" s="741"/>
    </row>
    <row r="49" spans="1:25" x14ac:dyDescent="0.2">
      <c r="A49" s="1929" t="s">
        <v>1913</v>
      </c>
      <c r="B49" s="1768"/>
      <c r="C49" s="1768"/>
      <c r="D49" s="1768"/>
      <c r="E49" s="1768"/>
      <c r="F49" s="1768"/>
      <c r="G49" s="1768"/>
      <c r="H49" s="1768"/>
      <c r="I49" s="1768"/>
      <c r="J49" s="1768"/>
      <c r="K49" s="1768"/>
      <c r="L49" s="1768"/>
      <c r="M49" s="1768"/>
      <c r="Q49" s="767" t="s">
        <v>760</v>
      </c>
      <c r="S49" s="777">
        <f>'D-1'!I120</f>
        <v>113131.37</v>
      </c>
      <c r="Y49" s="781"/>
    </row>
    <row r="50" spans="1:25" x14ac:dyDescent="0.2">
      <c r="A50" s="1929" t="s">
        <v>1914</v>
      </c>
      <c r="B50" s="1768"/>
      <c r="C50" s="1768"/>
      <c r="D50" s="1768"/>
      <c r="E50" s="1768"/>
      <c r="F50" s="1768"/>
      <c r="G50" s="1768"/>
      <c r="H50" s="1768"/>
      <c r="I50" s="1768"/>
      <c r="J50" s="1768"/>
      <c r="K50" s="1768"/>
      <c r="L50" s="1768"/>
      <c r="M50" s="1768"/>
      <c r="S50" s="778">
        <f>ROUND(S49/S48,4)</f>
        <v>0.1174</v>
      </c>
    </row>
    <row r="51" spans="1:25" x14ac:dyDescent="0.2">
      <c r="A51" s="1929" t="s">
        <v>2372</v>
      </c>
      <c r="B51" s="1768"/>
      <c r="C51" s="1768"/>
      <c r="D51" s="1768"/>
      <c r="E51" s="1768"/>
      <c r="F51" s="1768"/>
      <c r="G51" s="1768"/>
      <c r="H51" s="1768"/>
      <c r="I51" s="1768"/>
      <c r="J51" s="1768"/>
      <c r="K51" s="1768"/>
      <c r="L51" s="1768"/>
      <c r="M51" s="1768"/>
      <c r="S51" s="778"/>
    </row>
    <row r="52" spans="1:25" x14ac:dyDescent="0.2">
      <c r="A52" s="775"/>
      <c r="S52" s="778"/>
    </row>
    <row r="53" spans="1:25" ht="12.75" customHeight="1" x14ac:dyDescent="0.2">
      <c r="A53" s="2160" t="s">
        <v>624</v>
      </c>
      <c r="B53" s="2160"/>
      <c r="C53" s="2160"/>
      <c r="D53" s="2160"/>
      <c r="E53" s="2160"/>
      <c r="F53" s="2160"/>
      <c r="G53" s="2160"/>
      <c r="H53" s="2160"/>
      <c r="I53" s="2160"/>
      <c r="J53" s="2160"/>
      <c r="K53" s="2160"/>
      <c r="L53" s="2160"/>
      <c r="M53" s="2160"/>
      <c r="N53" s="2160"/>
      <c r="O53" s="2160"/>
      <c r="P53" s="2160"/>
      <c r="Q53" s="2160"/>
      <c r="R53" s="2160"/>
      <c r="S53" s="2160"/>
    </row>
    <row r="54" spans="1:25" ht="12.75" customHeight="1" x14ac:dyDescent="0.2">
      <c r="A54" s="2159" t="str">
        <f>case</f>
        <v>CASE NO. 2016 - 00162</v>
      </c>
      <c r="B54" s="2159"/>
      <c r="C54" s="2159"/>
      <c r="D54" s="2159"/>
      <c r="E54" s="2159"/>
      <c r="F54" s="2159"/>
      <c r="G54" s="2159"/>
      <c r="H54" s="2159"/>
      <c r="I54" s="2159"/>
      <c r="J54" s="2159"/>
      <c r="K54" s="2159"/>
      <c r="L54" s="2159"/>
      <c r="M54" s="2159"/>
      <c r="N54" s="2159"/>
      <c r="O54" s="2159"/>
      <c r="P54" s="2159"/>
      <c r="Q54" s="2159"/>
      <c r="R54" s="2159"/>
      <c r="S54" s="2159"/>
    </row>
    <row r="55" spans="1:25" ht="12.75" customHeight="1" x14ac:dyDescent="0.2">
      <c r="A55" s="2160" t="s">
        <v>1294</v>
      </c>
      <c r="B55" s="2160"/>
      <c r="C55" s="2160"/>
      <c r="D55" s="2160"/>
      <c r="E55" s="2160"/>
      <c r="F55" s="2160"/>
      <c r="G55" s="2160"/>
      <c r="H55" s="2160"/>
      <c r="I55" s="2160"/>
      <c r="J55" s="2160"/>
      <c r="K55" s="2160"/>
      <c r="L55" s="2160"/>
      <c r="M55" s="2160"/>
      <c r="N55" s="2160"/>
      <c r="O55" s="2160"/>
      <c r="P55" s="2160"/>
      <c r="Q55" s="2160"/>
      <c r="R55" s="2160"/>
      <c r="S55" s="2160"/>
    </row>
    <row r="56" spans="1:25" ht="12.75" customHeight="1" x14ac:dyDescent="0.2">
      <c r="A56" s="2159" t="str">
        <f>A4</f>
        <v>FOR THE TWELVE MONTHS ENDED AUGUST 31, 2016 AND THE TWELVE MONTHS ENDED DECEMBER 31, 2017</v>
      </c>
      <c r="B56" s="2159"/>
      <c r="C56" s="2159"/>
      <c r="D56" s="2159"/>
      <c r="E56" s="2159"/>
      <c r="F56" s="2159"/>
      <c r="G56" s="2159"/>
      <c r="H56" s="2159"/>
      <c r="I56" s="2159"/>
      <c r="J56" s="2159"/>
      <c r="K56" s="2159"/>
      <c r="L56" s="2159"/>
      <c r="M56" s="2159"/>
      <c r="N56" s="2159"/>
      <c r="O56" s="2159"/>
      <c r="P56" s="2159"/>
      <c r="Q56" s="2159"/>
      <c r="R56" s="2159"/>
      <c r="S56" s="2159"/>
    </row>
    <row r="57" spans="1:25" x14ac:dyDescent="0.2">
      <c r="C57" s="766"/>
      <c r="J57" s="724"/>
    </row>
    <row r="58" spans="1:25" x14ac:dyDescent="0.2">
      <c r="A58" s="767" t="s">
        <v>1602</v>
      </c>
      <c r="S58" s="768" t="s">
        <v>156</v>
      </c>
      <c r="U58" s="766"/>
    </row>
    <row r="59" spans="1:25" x14ac:dyDescent="0.2">
      <c r="A59" s="767" t="s">
        <v>1604</v>
      </c>
      <c r="S59" s="768" t="s">
        <v>160</v>
      </c>
      <c r="U59" s="766"/>
    </row>
    <row r="60" spans="1:25" x14ac:dyDescent="0.2">
      <c r="A60" s="767" t="s">
        <v>1938</v>
      </c>
      <c r="S60" s="769" t="str">
        <f>S8</f>
        <v>WITNESS:  J. T. CROOM</v>
      </c>
      <c r="U60" s="766"/>
    </row>
    <row r="61" spans="1:25" x14ac:dyDescent="0.2">
      <c r="A61" s="766"/>
      <c r="C61" s="766"/>
      <c r="H61" s="766"/>
      <c r="J61" s="766"/>
      <c r="L61" s="766"/>
    </row>
    <row r="62" spans="1:25" x14ac:dyDescent="0.2">
      <c r="A62" s="758"/>
      <c r="B62" s="758"/>
      <c r="C62" s="758"/>
      <c r="D62" s="758"/>
      <c r="E62" s="758"/>
      <c r="F62" s="758"/>
      <c r="G62" s="758"/>
      <c r="H62" s="758"/>
      <c r="I62" s="758"/>
      <c r="J62" s="758"/>
      <c r="K62" s="758"/>
      <c r="L62" s="758"/>
      <c r="M62" s="758"/>
      <c r="N62" s="758"/>
      <c r="O62" s="734" t="s">
        <v>134</v>
      </c>
      <c r="P62" s="758"/>
      <c r="Q62" s="758"/>
      <c r="R62" s="758"/>
      <c r="S62" s="758"/>
    </row>
    <row r="63" spans="1:25" x14ac:dyDescent="0.2">
      <c r="A63" s="771" t="s">
        <v>135</v>
      </c>
      <c r="B63" s="759"/>
      <c r="C63" s="772"/>
      <c r="D63" s="759"/>
      <c r="E63" s="759"/>
      <c r="F63" s="759"/>
      <c r="G63" s="759"/>
      <c r="H63" s="759"/>
      <c r="I63" s="759"/>
      <c r="J63" s="759"/>
      <c r="K63" s="759"/>
      <c r="L63" s="759"/>
      <c r="M63" s="759"/>
      <c r="N63" s="759"/>
      <c r="O63" s="737" t="s">
        <v>136</v>
      </c>
      <c r="P63" s="759"/>
      <c r="Q63" s="759"/>
      <c r="R63" s="759"/>
      <c r="S63" s="737" t="s">
        <v>137</v>
      </c>
    </row>
    <row r="64" spans="1:25" x14ac:dyDescent="0.2">
      <c r="A64" s="766"/>
    </row>
    <row r="66" spans="1:29" x14ac:dyDescent="0.2">
      <c r="A66" s="773" t="s">
        <v>109</v>
      </c>
      <c r="C66" s="741"/>
      <c r="D66" s="741"/>
      <c r="E66" s="741"/>
      <c r="F66" s="741"/>
      <c r="G66" s="741"/>
      <c r="H66" s="741"/>
      <c r="I66" s="741"/>
      <c r="J66" s="741"/>
      <c r="K66" s="741"/>
      <c r="L66" s="741"/>
      <c r="M66" s="741"/>
      <c r="N66" s="741"/>
      <c r="O66" s="741"/>
      <c r="P66" s="741"/>
      <c r="Q66" s="741"/>
      <c r="R66" s="741"/>
      <c r="S66" s="741"/>
      <c r="T66" s="741"/>
      <c r="U66" s="741"/>
      <c r="V66" s="741"/>
      <c r="W66" s="741"/>
      <c r="X66" s="741"/>
      <c r="Y66" s="741"/>
      <c r="Z66" s="741"/>
      <c r="AA66" s="741"/>
      <c r="AB66" s="741"/>
      <c r="AC66" s="741"/>
    </row>
    <row r="67" spans="1:29" x14ac:dyDescent="0.2">
      <c r="A67" s="1929" t="s">
        <v>161</v>
      </c>
      <c r="B67" s="1768"/>
      <c r="C67" s="1768"/>
      <c r="D67" s="1768"/>
      <c r="E67" s="1768"/>
      <c r="F67" s="1768"/>
      <c r="G67" s="1768"/>
      <c r="H67" s="1769"/>
      <c r="I67" s="1768"/>
      <c r="J67" s="1930"/>
      <c r="K67" s="1768"/>
      <c r="L67" s="1769"/>
      <c r="M67" s="1768"/>
      <c r="N67" s="766"/>
      <c r="Q67" s="767" t="s">
        <v>1112</v>
      </c>
      <c r="S67" s="776">
        <f>S68+S69</f>
        <v>514241.99996000004</v>
      </c>
      <c r="T67" s="741"/>
      <c r="U67" s="741"/>
      <c r="V67" s="741"/>
      <c r="W67" s="741"/>
      <c r="X67" s="741"/>
      <c r="Y67" s="741"/>
      <c r="Z67" s="741"/>
      <c r="AA67" s="741"/>
      <c r="AB67" s="741"/>
      <c r="AC67" s="741"/>
    </row>
    <row r="68" spans="1:29" x14ac:dyDescent="0.2">
      <c r="A68" s="1929" t="s">
        <v>162</v>
      </c>
      <c r="B68" s="1768"/>
      <c r="C68" s="1769"/>
      <c r="D68" s="1769"/>
      <c r="E68" s="1769"/>
      <c r="F68" s="1769"/>
      <c r="G68" s="1769"/>
      <c r="H68" s="1769"/>
      <c r="I68" s="1769"/>
      <c r="J68" s="1769"/>
      <c r="K68" s="1769"/>
      <c r="L68" s="1769"/>
      <c r="M68" s="1769"/>
      <c r="N68" s="741"/>
      <c r="O68" s="741"/>
      <c r="P68" s="741"/>
      <c r="Q68" s="767" t="s">
        <v>634</v>
      </c>
      <c r="S68" s="741">
        <f>'D-1'!D129</f>
        <v>402754.41000000003</v>
      </c>
      <c r="T68" s="741"/>
      <c r="U68" s="741"/>
      <c r="V68" s="741"/>
      <c r="W68" s="741"/>
      <c r="X68" s="741"/>
      <c r="Y68" s="741"/>
      <c r="Z68" s="741"/>
      <c r="AA68" s="741"/>
      <c r="AB68" s="741"/>
      <c r="AC68" s="741"/>
    </row>
    <row r="69" spans="1:29" x14ac:dyDescent="0.2">
      <c r="A69" s="1929" t="s">
        <v>2369</v>
      </c>
      <c r="B69" s="1768"/>
      <c r="C69" s="1769"/>
      <c r="D69" s="1769"/>
      <c r="E69" s="1769"/>
      <c r="F69" s="1769"/>
      <c r="G69" s="1769"/>
      <c r="H69" s="1769"/>
      <c r="I69" s="1769"/>
      <c r="J69" s="1769"/>
      <c r="K69" s="1769"/>
      <c r="L69" s="1769"/>
      <c r="M69" s="1769"/>
      <c r="N69" s="741"/>
      <c r="O69" s="741"/>
      <c r="P69" s="741"/>
      <c r="Q69" s="767" t="s">
        <v>760</v>
      </c>
      <c r="S69" s="777">
        <f>'D-1'!J120</f>
        <v>111487.58996000001</v>
      </c>
      <c r="Y69" s="781"/>
    </row>
    <row r="70" spans="1:29" x14ac:dyDescent="0.2">
      <c r="A70" s="1929" t="s">
        <v>2381</v>
      </c>
      <c r="B70" s="1768"/>
      <c r="C70" s="1769"/>
      <c r="D70" s="1769"/>
      <c r="E70" s="1769"/>
      <c r="F70" s="1769"/>
      <c r="G70" s="1769"/>
      <c r="H70" s="1769"/>
      <c r="I70" s="1769"/>
      <c r="J70" s="1769"/>
      <c r="K70" s="1769"/>
      <c r="L70" s="1769"/>
      <c r="M70" s="1769"/>
      <c r="N70" s="741"/>
      <c r="O70" s="741"/>
      <c r="P70" s="741"/>
      <c r="Q70" s="767"/>
      <c r="S70" s="778">
        <f>ROUND(S69/S68,4)</f>
        <v>0.27679999999999999</v>
      </c>
      <c r="Y70" s="781"/>
    </row>
    <row r="71" spans="1:29" x14ac:dyDescent="0.2">
      <c r="A71" s="1929" t="s">
        <v>2393</v>
      </c>
      <c r="B71" s="1768"/>
      <c r="C71" s="1769"/>
      <c r="D71" s="1769"/>
      <c r="E71" s="1769"/>
      <c r="F71" s="1769"/>
      <c r="G71" s="1769"/>
      <c r="H71" s="1769"/>
      <c r="I71" s="1769"/>
      <c r="J71" s="1769"/>
      <c r="K71" s="1769"/>
      <c r="L71" s="1769"/>
      <c r="M71" s="1769"/>
      <c r="N71" s="741"/>
      <c r="O71" s="741"/>
      <c r="P71" s="741"/>
      <c r="Q71" s="767"/>
      <c r="S71" s="778"/>
      <c r="Y71" s="781"/>
    </row>
    <row r="72" spans="1:29" x14ac:dyDescent="0.2">
      <c r="A72" s="774"/>
      <c r="C72" s="741"/>
      <c r="D72" s="741"/>
      <c r="E72" s="741"/>
      <c r="F72" s="741"/>
      <c r="G72" s="741"/>
      <c r="H72" s="741"/>
      <c r="I72" s="741"/>
      <c r="J72" s="741"/>
      <c r="K72" s="741"/>
      <c r="L72" s="741"/>
      <c r="M72" s="741"/>
      <c r="N72" s="741"/>
      <c r="O72" s="741"/>
      <c r="P72" s="741"/>
      <c r="Q72" s="741"/>
      <c r="R72" s="741"/>
      <c r="S72" s="741"/>
    </row>
    <row r="73" spans="1:29" x14ac:dyDescent="0.2">
      <c r="A73" s="1931" t="s">
        <v>110</v>
      </c>
      <c r="B73" s="1768"/>
      <c r="C73" s="1768"/>
      <c r="D73" s="1768"/>
      <c r="E73" s="1768"/>
      <c r="F73" s="1768"/>
      <c r="G73" s="1768"/>
      <c r="H73" s="1768"/>
      <c r="I73" s="1768"/>
      <c r="J73" s="1768"/>
      <c r="K73" s="1768"/>
      <c r="L73" s="1768"/>
      <c r="M73" s="1768"/>
    </row>
    <row r="74" spans="1:29" x14ac:dyDescent="0.2">
      <c r="A74" s="1929" t="s">
        <v>163</v>
      </c>
      <c r="B74" s="1768"/>
      <c r="C74" s="1769"/>
      <c r="D74" s="1769"/>
      <c r="E74" s="1769"/>
      <c r="F74" s="1769"/>
      <c r="G74" s="1769"/>
      <c r="H74" s="1769"/>
      <c r="I74" s="1769"/>
      <c r="J74" s="1769"/>
      <c r="K74" s="1769"/>
      <c r="L74" s="1769"/>
      <c r="M74" s="1769"/>
      <c r="N74" s="741"/>
      <c r="O74" s="741"/>
      <c r="P74" s="741"/>
      <c r="Q74" s="767" t="s">
        <v>1112</v>
      </c>
      <c r="S74" s="776">
        <f>S75+S76</f>
        <v>83416</v>
      </c>
      <c r="Y74" s="741"/>
    </row>
    <row r="75" spans="1:29" x14ac:dyDescent="0.2">
      <c r="A75" s="1929" t="s">
        <v>1926</v>
      </c>
      <c r="B75" s="1768"/>
      <c r="C75" s="1769"/>
      <c r="D75" s="1769"/>
      <c r="E75" s="1769"/>
      <c r="F75" s="1769"/>
      <c r="G75" s="1769"/>
      <c r="H75" s="1769"/>
      <c r="I75" s="1769"/>
      <c r="J75" s="1769"/>
      <c r="K75" s="1769"/>
      <c r="L75" s="1769"/>
      <c r="M75" s="1769"/>
      <c r="N75" s="741"/>
      <c r="O75" s="741"/>
      <c r="P75" s="741"/>
      <c r="Q75" s="767" t="s">
        <v>634</v>
      </c>
      <c r="S75" s="741">
        <f>'D-1'!D130</f>
        <v>74122.03</v>
      </c>
    </row>
    <row r="76" spans="1:29" x14ac:dyDescent="0.2">
      <c r="A76" s="1929" t="s">
        <v>1927</v>
      </c>
      <c r="B76" s="1768"/>
      <c r="C76" s="1768"/>
      <c r="D76" s="1768"/>
      <c r="E76" s="1768"/>
      <c r="F76" s="1768"/>
      <c r="G76" s="1768"/>
      <c r="H76" s="1768"/>
      <c r="I76" s="1768"/>
      <c r="J76" s="1768"/>
      <c r="K76" s="1768"/>
      <c r="L76" s="1768"/>
      <c r="M76" s="1768"/>
      <c r="Q76" s="767" t="s">
        <v>760</v>
      </c>
      <c r="S76" s="777">
        <f>'D-1'!K120</f>
        <v>9293.9700000000012</v>
      </c>
    </row>
    <row r="77" spans="1:29" x14ac:dyDescent="0.2">
      <c r="A77" s="1929" t="s">
        <v>2370</v>
      </c>
      <c r="B77" s="1768"/>
      <c r="C77" s="1768"/>
      <c r="D77" s="1768"/>
      <c r="E77" s="1768"/>
      <c r="F77" s="1768"/>
      <c r="G77" s="1768"/>
      <c r="H77" s="1768"/>
      <c r="I77" s="1768"/>
      <c r="J77" s="1768"/>
      <c r="K77" s="1768"/>
      <c r="L77" s="1768"/>
      <c r="M77" s="1768"/>
      <c r="S77" s="778">
        <f>ROUND(S76/S75,4)</f>
        <v>0.12540000000000001</v>
      </c>
    </row>
    <row r="78" spans="1:29" x14ac:dyDescent="0.2">
      <c r="A78" s="1929" t="s">
        <v>2371</v>
      </c>
      <c r="B78" s="1768"/>
      <c r="C78" s="1768"/>
      <c r="D78" s="1768"/>
      <c r="E78" s="1768"/>
      <c r="F78" s="1768"/>
      <c r="G78" s="1768"/>
      <c r="H78" s="1768"/>
      <c r="I78" s="1768"/>
      <c r="J78" s="1768"/>
      <c r="K78" s="1768"/>
      <c r="L78" s="1768"/>
      <c r="M78" s="1768"/>
      <c r="Y78" s="741"/>
    </row>
    <row r="79" spans="1:29" x14ac:dyDescent="0.2">
      <c r="A79" s="1929" t="s">
        <v>2398</v>
      </c>
      <c r="B79" s="1768"/>
      <c r="C79" s="1768"/>
      <c r="D79" s="1768"/>
      <c r="E79" s="1768"/>
      <c r="F79" s="1768"/>
      <c r="G79" s="1768"/>
      <c r="H79" s="1768"/>
      <c r="I79" s="1768"/>
      <c r="J79" s="1768"/>
      <c r="K79" s="1768"/>
      <c r="L79" s="1768"/>
      <c r="M79" s="1768"/>
    </row>
    <row r="80" spans="1:29" x14ac:dyDescent="0.2">
      <c r="A80" s="774"/>
    </row>
    <row r="81" spans="1:29" x14ac:dyDescent="0.2">
      <c r="A81" s="773" t="s">
        <v>111</v>
      </c>
    </row>
    <row r="82" spans="1:29" x14ac:dyDescent="0.2">
      <c r="A82" s="1929" t="s">
        <v>164</v>
      </c>
      <c r="B82" s="1768"/>
      <c r="C82" s="1768"/>
      <c r="D82" s="1768"/>
      <c r="E82" s="1768"/>
      <c r="F82" s="1768"/>
      <c r="G82" s="1768"/>
      <c r="H82" s="1768"/>
      <c r="I82" s="1768"/>
      <c r="J82" s="1768"/>
      <c r="K82" s="1768"/>
      <c r="L82" s="1768"/>
      <c r="M82" s="1768"/>
      <c r="Q82" s="767" t="s">
        <v>1112</v>
      </c>
      <c r="S82" s="776">
        <f>S83+S84</f>
        <v>439260</v>
      </c>
    </row>
    <row r="83" spans="1:29" x14ac:dyDescent="0.2">
      <c r="A83" s="1929" t="s">
        <v>2384</v>
      </c>
      <c r="B83" s="1768"/>
      <c r="C83" s="1768"/>
      <c r="D83" s="1768"/>
      <c r="E83" s="1768"/>
      <c r="F83" s="1768"/>
      <c r="G83" s="1768"/>
      <c r="H83" s="1768"/>
      <c r="I83" s="1768"/>
      <c r="J83" s="1768"/>
      <c r="K83" s="1768"/>
      <c r="L83" s="1768"/>
      <c r="M83" s="1768"/>
      <c r="Q83" s="767" t="s">
        <v>634</v>
      </c>
      <c r="S83" s="741">
        <f>'D-1'!D131</f>
        <v>470250.82</v>
      </c>
    </row>
    <row r="84" spans="1:29" x14ac:dyDescent="0.2">
      <c r="A84" s="775"/>
      <c r="Q84" s="767" t="s">
        <v>760</v>
      </c>
      <c r="S84" s="777">
        <f>'D-1'!L120</f>
        <v>-30990.820000000036</v>
      </c>
    </row>
    <row r="85" spans="1:29" x14ac:dyDescent="0.2">
      <c r="A85" s="775"/>
      <c r="S85" s="778">
        <f>ROUND(S84/S83,4)</f>
        <v>-6.59E-2</v>
      </c>
    </row>
    <row r="86" spans="1:29" x14ac:dyDescent="0.2">
      <c r="A86" s="775"/>
    </row>
    <row r="87" spans="1:29" x14ac:dyDescent="0.2">
      <c r="A87" s="773" t="s">
        <v>112</v>
      </c>
    </row>
    <row r="88" spans="1:29" x14ac:dyDescent="0.2">
      <c r="A88" s="775" t="s">
        <v>1932</v>
      </c>
      <c r="Q88" s="767" t="s">
        <v>1112</v>
      </c>
      <c r="S88" s="776">
        <v>17441586</v>
      </c>
    </row>
    <row r="89" spans="1:29" x14ac:dyDescent="0.2">
      <c r="A89" s="775" t="s">
        <v>1933</v>
      </c>
      <c r="Q89" s="767" t="s">
        <v>634</v>
      </c>
      <c r="S89" s="741">
        <f>'D-1'!D132</f>
        <v>15900947.359999999</v>
      </c>
    </row>
    <row r="90" spans="1:29" x14ac:dyDescent="0.2">
      <c r="A90" s="775" t="s">
        <v>1934</v>
      </c>
      <c r="Q90" s="767" t="s">
        <v>760</v>
      </c>
      <c r="S90" s="777">
        <f>'D-1'!M120</f>
        <v>1540638.6500000006</v>
      </c>
    </row>
    <row r="91" spans="1:29" x14ac:dyDescent="0.2">
      <c r="A91" s="775" t="s">
        <v>1935</v>
      </c>
      <c r="H91" s="741"/>
      <c r="J91" s="783"/>
      <c r="L91" s="741"/>
      <c r="N91" s="766"/>
      <c r="S91" s="778">
        <f>ROUND(S90/S89,4)</f>
        <v>9.69E-2</v>
      </c>
      <c r="T91" s="741"/>
      <c r="U91" s="741"/>
      <c r="V91" s="741"/>
      <c r="W91" s="741"/>
      <c r="X91" s="741"/>
      <c r="Y91" s="741"/>
      <c r="Z91" s="741"/>
      <c r="AA91" s="741"/>
      <c r="AB91" s="741"/>
      <c r="AC91" s="741"/>
    </row>
    <row r="92" spans="1:29" x14ac:dyDescent="0.2">
      <c r="A92" s="775" t="s">
        <v>2394</v>
      </c>
      <c r="T92" s="741"/>
      <c r="U92" s="741"/>
      <c r="V92" s="741"/>
      <c r="W92" s="741"/>
      <c r="X92" s="741"/>
      <c r="Y92" s="741"/>
      <c r="Z92" s="741"/>
      <c r="AA92" s="741"/>
      <c r="AB92" s="741"/>
      <c r="AC92" s="741"/>
    </row>
    <row r="93" spans="1:29" x14ac:dyDescent="0.2">
      <c r="A93" s="775" t="s">
        <v>2395</v>
      </c>
      <c r="T93" s="741"/>
      <c r="U93" s="741"/>
      <c r="V93" s="741"/>
      <c r="W93" s="741"/>
      <c r="X93" s="741"/>
      <c r="Y93" s="741"/>
      <c r="Z93" s="741"/>
      <c r="AA93" s="741"/>
      <c r="AB93" s="741"/>
      <c r="AC93" s="741"/>
    </row>
    <row r="94" spans="1:29" x14ac:dyDescent="0.2">
      <c r="A94" s="775" t="s">
        <v>1966</v>
      </c>
      <c r="T94" s="741"/>
      <c r="U94" s="741"/>
      <c r="V94" s="741"/>
      <c r="W94" s="741"/>
      <c r="X94" s="741"/>
      <c r="Y94" s="741"/>
      <c r="Z94" s="741"/>
      <c r="AA94" s="741"/>
      <c r="AB94" s="741"/>
      <c r="AC94" s="741"/>
    </row>
    <row r="95" spans="1:29" x14ac:dyDescent="0.2">
      <c r="A95" s="774"/>
      <c r="T95" s="741"/>
      <c r="U95" s="741"/>
      <c r="V95" s="741"/>
      <c r="W95" s="741"/>
      <c r="X95" s="741"/>
      <c r="Y95" s="741"/>
      <c r="Z95" s="741"/>
      <c r="AA95" s="741"/>
      <c r="AB95" s="741"/>
      <c r="AC95" s="741"/>
    </row>
    <row r="96" spans="1:29" x14ac:dyDescent="0.2">
      <c r="A96" s="773" t="s">
        <v>113</v>
      </c>
      <c r="Y96" s="781"/>
    </row>
    <row r="97" spans="1:25" x14ac:dyDescent="0.2">
      <c r="A97" s="1929" t="s">
        <v>165</v>
      </c>
      <c r="B97" s="1768"/>
      <c r="C97" s="1768"/>
      <c r="D97" s="1768"/>
      <c r="E97" s="1768"/>
      <c r="F97" s="1768"/>
      <c r="G97" s="1768"/>
      <c r="H97" s="1769"/>
      <c r="I97" s="1768"/>
      <c r="J97" s="1768"/>
      <c r="K97" s="1768"/>
      <c r="L97" s="1769"/>
      <c r="M97" s="1768"/>
      <c r="Q97" s="767" t="s">
        <v>1112</v>
      </c>
      <c r="S97" s="776">
        <f>S98+S99</f>
        <v>1655463</v>
      </c>
      <c r="U97" s="779"/>
    </row>
    <row r="98" spans="1:25" x14ac:dyDescent="0.2">
      <c r="A98" s="1929" t="s">
        <v>166</v>
      </c>
      <c r="B98" s="1768"/>
      <c r="C98" s="1768"/>
      <c r="D98" s="1768"/>
      <c r="E98" s="1768"/>
      <c r="F98" s="1768"/>
      <c r="G98" s="1768"/>
      <c r="H98" s="1768"/>
      <c r="I98" s="1768"/>
      <c r="J98" s="1768"/>
      <c r="K98" s="1768"/>
      <c r="L98" s="1768"/>
      <c r="M98" s="1768"/>
      <c r="Q98" s="767" t="s">
        <v>634</v>
      </c>
      <c r="S98" s="741">
        <f>'D-1'!D133</f>
        <v>811974.07000000007</v>
      </c>
      <c r="U98" s="780"/>
    </row>
    <row r="99" spans="1:25" x14ac:dyDescent="0.2">
      <c r="A99" s="1929" t="s">
        <v>2373</v>
      </c>
      <c r="B99" s="1768"/>
      <c r="C99" s="1768"/>
      <c r="D99" s="1768"/>
      <c r="E99" s="1768"/>
      <c r="F99" s="1768"/>
      <c r="G99" s="1768"/>
      <c r="H99" s="1768"/>
      <c r="I99" s="1768"/>
      <c r="J99" s="1768"/>
      <c r="K99" s="1768"/>
      <c r="L99" s="1768"/>
      <c r="M99" s="1768"/>
      <c r="Q99" s="767" t="s">
        <v>760</v>
      </c>
      <c r="S99" s="777">
        <f>'D-1'!N120</f>
        <v>843488.92999999993</v>
      </c>
      <c r="Y99" s="741"/>
    </row>
    <row r="100" spans="1:25" x14ac:dyDescent="0.2">
      <c r="A100" s="1929" t="s">
        <v>1843</v>
      </c>
      <c r="B100" s="1768"/>
      <c r="C100" s="1768"/>
      <c r="D100" s="1768"/>
      <c r="E100" s="1768"/>
      <c r="F100" s="1768"/>
      <c r="G100" s="1768"/>
      <c r="H100" s="1768"/>
      <c r="I100" s="1768"/>
      <c r="J100" s="1768"/>
      <c r="K100" s="1768"/>
      <c r="L100" s="1768"/>
      <c r="M100" s="1768"/>
      <c r="S100" s="778">
        <f>ROUND(S99/S98,4)</f>
        <v>1.0387999999999999</v>
      </c>
    </row>
    <row r="101" spans="1:25" x14ac:dyDescent="0.2">
      <c r="A101" s="1929" t="s">
        <v>1915</v>
      </c>
      <c r="B101" s="1768"/>
      <c r="C101" s="1768"/>
      <c r="D101" s="1768"/>
      <c r="E101" s="1768"/>
      <c r="F101" s="1768"/>
      <c r="G101" s="1768"/>
      <c r="H101" s="1768"/>
      <c r="I101" s="1768"/>
      <c r="J101" s="1768"/>
      <c r="K101" s="1768"/>
      <c r="L101" s="1768"/>
      <c r="M101" s="1768"/>
    </row>
    <row r="103" spans="1:25" ht="12.75" customHeight="1" x14ac:dyDescent="0.2">
      <c r="A103" s="2160" t="s">
        <v>624</v>
      </c>
      <c r="B103" s="2160"/>
      <c r="C103" s="2160"/>
      <c r="D103" s="2160"/>
      <c r="E103" s="2160"/>
      <c r="F103" s="2160"/>
      <c r="G103" s="2160"/>
      <c r="H103" s="2160"/>
      <c r="I103" s="2160"/>
      <c r="J103" s="2160"/>
      <c r="K103" s="2160"/>
      <c r="L103" s="2160"/>
      <c r="M103" s="2160"/>
      <c r="N103" s="2160"/>
      <c r="O103" s="2160"/>
      <c r="P103" s="2160"/>
      <c r="Q103" s="2160"/>
      <c r="R103" s="2160"/>
      <c r="S103" s="2160"/>
    </row>
    <row r="104" spans="1:25" ht="12.75" customHeight="1" x14ac:dyDescent="0.2">
      <c r="A104" s="2159" t="str">
        <f>case</f>
        <v>CASE NO. 2016 - 00162</v>
      </c>
      <c r="B104" s="2159"/>
      <c r="C104" s="2159"/>
      <c r="D104" s="2159"/>
      <c r="E104" s="2159"/>
      <c r="F104" s="2159"/>
      <c r="G104" s="2159"/>
      <c r="H104" s="2159"/>
      <c r="I104" s="2159"/>
      <c r="J104" s="2159"/>
      <c r="K104" s="2159"/>
      <c r="L104" s="2159"/>
      <c r="M104" s="2159"/>
      <c r="N104" s="2159"/>
      <c r="O104" s="2159"/>
      <c r="P104" s="2159"/>
      <c r="Q104" s="2159"/>
      <c r="R104" s="2159"/>
      <c r="S104" s="2159"/>
    </row>
    <row r="105" spans="1:25" ht="12.75" customHeight="1" x14ac:dyDescent="0.2">
      <c r="A105" s="2160" t="s">
        <v>1294</v>
      </c>
      <c r="B105" s="2160"/>
      <c r="C105" s="2160"/>
      <c r="D105" s="2160"/>
      <c r="E105" s="2160"/>
      <c r="F105" s="2160"/>
      <c r="G105" s="2160"/>
      <c r="H105" s="2160"/>
      <c r="I105" s="2160"/>
      <c r="J105" s="2160"/>
      <c r="K105" s="2160"/>
      <c r="L105" s="2160"/>
      <c r="M105" s="2160"/>
      <c r="N105" s="2160"/>
      <c r="O105" s="2160"/>
      <c r="P105" s="2160"/>
      <c r="Q105" s="2160"/>
      <c r="R105" s="2160"/>
      <c r="S105" s="2160"/>
    </row>
    <row r="106" spans="1:25" ht="12.75" customHeight="1" x14ac:dyDescent="0.2">
      <c r="A106" s="2159" t="str">
        <f>A4</f>
        <v>FOR THE TWELVE MONTHS ENDED AUGUST 31, 2016 AND THE TWELVE MONTHS ENDED DECEMBER 31, 2017</v>
      </c>
      <c r="B106" s="2159"/>
      <c r="C106" s="2159"/>
      <c r="D106" s="2159"/>
      <c r="E106" s="2159"/>
      <c r="F106" s="2159"/>
      <c r="G106" s="2159"/>
      <c r="H106" s="2159"/>
      <c r="I106" s="2159"/>
      <c r="J106" s="2159"/>
      <c r="K106" s="2159"/>
      <c r="L106" s="2159"/>
      <c r="M106" s="2159"/>
      <c r="N106" s="2159"/>
      <c r="O106" s="2159"/>
      <c r="P106" s="2159"/>
      <c r="Q106" s="2159"/>
      <c r="R106" s="2159"/>
      <c r="S106" s="2159"/>
    </row>
    <row r="107" spans="1:25" x14ac:dyDescent="0.2">
      <c r="C107" s="766"/>
      <c r="J107" s="724"/>
    </row>
    <row r="108" spans="1:25" x14ac:dyDescent="0.2">
      <c r="A108" s="767" t="s">
        <v>1602</v>
      </c>
      <c r="S108" s="768" t="s">
        <v>156</v>
      </c>
      <c r="U108" s="766"/>
    </row>
    <row r="109" spans="1:25" x14ac:dyDescent="0.2">
      <c r="A109" s="767" t="s">
        <v>1604</v>
      </c>
      <c r="S109" s="768" t="s">
        <v>167</v>
      </c>
      <c r="U109" s="766"/>
    </row>
    <row r="110" spans="1:25" x14ac:dyDescent="0.2">
      <c r="A110" s="767" t="s">
        <v>1938</v>
      </c>
      <c r="S110" s="769" t="str">
        <f>S60</f>
        <v>WITNESS:  J. T. CROOM</v>
      </c>
      <c r="U110" s="766"/>
    </row>
    <row r="111" spans="1:25" x14ac:dyDescent="0.2">
      <c r="A111" s="766"/>
      <c r="C111" s="766"/>
      <c r="H111" s="766"/>
      <c r="J111" s="766"/>
      <c r="L111" s="766"/>
    </row>
    <row r="112" spans="1:25" x14ac:dyDescent="0.2">
      <c r="A112" s="758"/>
      <c r="B112" s="758"/>
      <c r="C112" s="758"/>
      <c r="D112" s="758"/>
      <c r="E112" s="758"/>
      <c r="F112" s="758"/>
      <c r="G112" s="758"/>
      <c r="H112" s="758"/>
      <c r="I112" s="758"/>
      <c r="J112" s="758"/>
      <c r="K112" s="758"/>
      <c r="L112" s="758"/>
      <c r="M112" s="758"/>
      <c r="N112" s="758"/>
      <c r="O112" s="734" t="s">
        <v>134</v>
      </c>
      <c r="P112" s="758"/>
      <c r="Q112" s="758"/>
      <c r="R112" s="758"/>
      <c r="S112" s="758"/>
    </row>
    <row r="113" spans="1:29" x14ac:dyDescent="0.2">
      <c r="A113" s="771" t="s">
        <v>135</v>
      </c>
      <c r="B113" s="759"/>
      <c r="C113" s="772"/>
      <c r="D113" s="759"/>
      <c r="E113" s="759"/>
      <c r="F113" s="759"/>
      <c r="G113" s="759"/>
      <c r="H113" s="759"/>
      <c r="I113" s="759"/>
      <c r="J113" s="759"/>
      <c r="K113" s="759"/>
      <c r="L113" s="759"/>
      <c r="M113" s="759"/>
      <c r="N113" s="759"/>
      <c r="O113" s="737" t="s">
        <v>136</v>
      </c>
      <c r="P113" s="759"/>
      <c r="Q113" s="759"/>
      <c r="R113" s="759"/>
      <c r="S113" s="737" t="s">
        <v>137</v>
      </c>
    </row>
    <row r="116" spans="1:29" x14ac:dyDescent="0.2">
      <c r="A116" s="773" t="s">
        <v>121</v>
      </c>
      <c r="G116" s="766"/>
    </row>
    <row r="117" spans="1:29" x14ac:dyDescent="0.2">
      <c r="A117" s="775" t="s">
        <v>1838</v>
      </c>
      <c r="C117" s="741"/>
      <c r="D117" s="741"/>
      <c r="E117" s="741"/>
      <c r="F117" s="741"/>
      <c r="G117" s="741"/>
      <c r="H117" s="741"/>
      <c r="I117" s="741"/>
      <c r="J117" s="741"/>
      <c r="K117" s="741"/>
      <c r="L117" s="741"/>
      <c r="M117" s="741"/>
      <c r="N117" s="741"/>
      <c r="O117" s="741"/>
      <c r="P117" s="741"/>
      <c r="Q117" s="767" t="s">
        <v>1112</v>
      </c>
      <c r="S117" s="776">
        <f>S118+S119</f>
        <v>-98654.999999999971</v>
      </c>
      <c r="V117" s="779"/>
    </row>
    <row r="118" spans="1:29" x14ac:dyDescent="0.2">
      <c r="A118" s="775" t="s">
        <v>1839</v>
      </c>
      <c r="C118" s="741"/>
      <c r="D118" s="741"/>
      <c r="E118" s="741"/>
      <c r="F118" s="741"/>
      <c r="G118" s="741"/>
      <c r="H118" s="741"/>
      <c r="I118" s="741"/>
      <c r="J118" s="741"/>
      <c r="K118" s="741"/>
      <c r="L118" s="741"/>
      <c r="M118" s="741"/>
      <c r="N118" s="741"/>
      <c r="O118" s="741"/>
      <c r="P118" s="741"/>
      <c r="Q118" s="767" t="s">
        <v>634</v>
      </c>
      <c r="S118" s="741">
        <f>'D-1'!D134</f>
        <v>-158296.62</v>
      </c>
      <c r="V118" s="780"/>
    </row>
    <row r="119" spans="1:29" x14ac:dyDescent="0.2">
      <c r="A119" s="775" t="s">
        <v>2385</v>
      </c>
      <c r="Q119" s="767" t="s">
        <v>760</v>
      </c>
      <c r="S119" s="777">
        <f>'D-1'!E218</f>
        <v>59641.620000000024</v>
      </c>
    </row>
    <row r="120" spans="1:29" x14ac:dyDescent="0.2">
      <c r="A120" s="775"/>
      <c r="Q120" s="767"/>
      <c r="S120" s="1400"/>
    </row>
    <row r="121" spans="1:29" x14ac:dyDescent="0.2">
      <c r="A121" s="766"/>
      <c r="G121" s="766"/>
      <c r="S121" s="778">
        <f>ROUND(S119/S118,4)</f>
        <v>-0.37680000000000002</v>
      </c>
    </row>
    <row r="122" spans="1:29" x14ac:dyDescent="0.2">
      <c r="A122" s="773" t="s">
        <v>122</v>
      </c>
    </row>
    <row r="123" spans="1:29" x14ac:dyDescent="0.2">
      <c r="A123" s="775" t="s">
        <v>1951</v>
      </c>
      <c r="Q123" s="767" t="s">
        <v>1112</v>
      </c>
      <c r="S123" s="776">
        <f>S124+S125</f>
        <v>1590823</v>
      </c>
      <c r="T123" s="741"/>
      <c r="V123" s="741"/>
      <c r="W123" s="741"/>
      <c r="X123" s="741"/>
      <c r="Y123" s="741"/>
      <c r="Z123" s="741"/>
      <c r="AA123" s="741"/>
      <c r="AB123" s="741"/>
      <c r="AC123" s="741"/>
    </row>
    <row r="124" spans="1:29" x14ac:dyDescent="0.2">
      <c r="A124" s="775" t="s">
        <v>2383</v>
      </c>
      <c r="Q124" s="767" t="s">
        <v>634</v>
      </c>
      <c r="S124" s="741">
        <f>'D-1'!D233</f>
        <v>1520957.98</v>
      </c>
      <c r="T124" s="741"/>
      <c r="V124" s="741"/>
      <c r="W124" s="741"/>
      <c r="X124" s="741"/>
      <c r="Y124" s="741"/>
      <c r="Z124" s="741"/>
      <c r="AA124" s="741"/>
      <c r="AB124" s="741"/>
      <c r="AC124" s="741"/>
    </row>
    <row r="125" spans="1:29" x14ac:dyDescent="0.2">
      <c r="A125" s="775" t="s">
        <v>2396</v>
      </c>
      <c r="Q125" s="767" t="s">
        <v>760</v>
      </c>
      <c r="S125" s="777">
        <f>'D-1'!F218</f>
        <v>69865.019999999931</v>
      </c>
      <c r="T125" s="741"/>
      <c r="U125" s="741"/>
      <c r="V125" s="741"/>
      <c r="W125" s="741"/>
      <c r="X125" s="741"/>
      <c r="Y125" s="741"/>
      <c r="Z125" s="741"/>
      <c r="AA125" s="741"/>
      <c r="AB125" s="741"/>
      <c r="AC125" s="741"/>
    </row>
    <row r="126" spans="1:29" x14ac:dyDescent="0.2">
      <c r="A126" s="775"/>
      <c r="S126" s="778">
        <f>ROUND(S125/S124,4)</f>
        <v>4.5900000000000003E-2</v>
      </c>
      <c r="Y126" s="781"/>
    </row>
    <row r="127" spans="1:29" x14ac:dyDescent="0.2">
      <c r="A127" s="774"/>
      <c r="T127" s="741"/>
      <c r="U127" s="741"/>
      <c r="V127" s="741"/>
      <c r="W127" s="741"/>
      <c r="X127" s="741"/>
      <c r="Y127" s="741"/>
      <c r="Z127" s="741"/>
      <c r="AA127" s="741"/>
      <c r="AB127" s="741"/>
      <c r="AC127" s="741"/>
    </row>
    <row r="128" spans="1:29" x14ac:dyDescent="0.2">
      <c r="A128" s="773" t="s">
        <v>123</v>
      </c>
      <c r="Y128" s="781"/>
    </row>
    <row r="129" spans="1:29" x14ac:dyDescent="0.2">
      <c r="A129" s="775" t="s">
        <v>1923</v>
      </c>
      <c r="C129" s="741"/>
      <c r="D129" s="741"/>
      <c r="E129" s="741"/>
      <c r="F129" s="741"/>
      <c r="G129" s="741"/>
      <c r="H129" s="741"/>
      <c r="I129" s="741"/>
      <c r="J129" s="741"/>
      <c r="K129" s="741"/>
      <c r="L129" s="741"/>
      <c r="M129" s="741"/>
      <c r="N129" s="741"/>
      <c r="O129" s="741"/>
      <c r="P129" s="741"/>
      <c r="Q129" s="767" t="s">
        <v>1112</v>
      </c>
      <c r="S129" s="776">
        <f>S130+S131</f>
        <v>1781776.0000000002</v>
      </c>
    </row>
    <row r="130" spans="1:29" x14ac:dyDescent="0.2">
      <c r="A130" s="775" t="s">
        <v>1924</v>
      </c>
      <c r="C130" s="741"/>
      <c r="D130" s="741"/>
      <c r="E130" s="741"/>
      <c r="F130" s="741"/>
      <c r="G130" s="741"/>
      <c r="H130" s="741"/>
      <c r="I130" s="741"/>
      <c r="J130" s="741"/>
      <c r="K130" s="741"/>
      <c r="L130" s="741"/>
      <c r="M130" s="741"/>
      <c r="N130" s="741"/>
      <c r="O130" s="741"/>
      <c r="P130" s="741"/>
      <c r="Q130" s="767" t="s">
        <v>634</v>
      </c>
      <c r="S130" s="741">
        <f>'D-1'!D234</f>
        <v>1539703.6700000002</v>
      </c>
      <c r="T130" s="741"/>
      <c r="U130" s="741"/>
      <c r="V130" s="741"/>
      <c r="W130" s="741"/>
      <c r="X130" s="741"/>
      <c r="Y130" s="741"/>
      <c r="Z130" s="741"/>
      <c r="AA130" s="741"/>
      <c r="AB130" s="741"/>
      <c r="AC130" s="741"/>
    </row>
    <row r="131" spans="1:29" x14ac:dyDescent="0.2">
      <c r="A131" s="775" t="s">
        <v>1925</v>
      </c>
      <c r="Q131" s="767" t="s">
        <v>760</v>
      </c>
      <c r="S131" s="777">
        <f>'D-1'!G218</f>
        <v>242072.33000000002</v>
      </c>
      <c r="T131" s="741"/>
      <c r="U131" s="741"/>
      <c r="V131" s="741"/>
      <c r="W131" s="741"/>
      <c r="X131" s="741"/>
      <c r="Y131" s="741"/>
      <c r="Z131" s="741"/>
      <c r="AA131" s="741"/>
      <c r="AB131" s="741"/>
      <c r="AC131" s="741"/>
    </row>
    <row r="132" spans="1:29" x14ac:dyDescent="0.2">
      <c r="A132" s="775" t="s">
        <v>2378</v>
      </c>
      <c r="M132" s="766"/>
      <c r="S132" s="778">
        <f>ROUND(S131/S130,4)</f>
        <v>0.15720000000000001</v>
      </c>
      <c r="T132" s="741"/>
      <c r="U132" s="741"/>
      <c r="V132" s="741"/>
      <c r="W132" s="741"/>
      <c r="X132" s="741"/>
      <c r="Y132" s="741"/>
      <c r="Z132" s="741"/>
      <c r="AA132" s="741"/>
      <c r="AB132" s="741"/>
      <c r="AC132" s="741"/>
    </row>
    <row r="133" spans="1:29" x14ac:dyDescent="0.2">
      <c r="A133" s="775" t="s">
        <v>2397</v>
      </c>
      <c r="C133" s="741"/>
      <c r="D133" s="741"/>
      <c r="E133" s="741"/>
      <c r="F133" s="741"/>
      <c r="G133" s="741"/>
      <c r="H133" s="741"/>
      <c r="I133" s="741"/>
      <c r="J133" s="741"/>
      <c r="K133" s="741"/>
      <c r="L133" s="741"/>
      <c r="M133" s="741"/>
      <c r="N133" s="741"/>
      <c r="O133" s="741"/>
      <c r="P133" s="741"/>
      <c r="Q133" s="741"/>
      <c r="R133" s="741"/>
      <c r="S133" s="741"/>
      <c r="Y133" s="781"/>
    </row>
    <row r="134" spans="1:29" x14ac:dyDescent="0.2">
      <c r="A134" s="775"/>
      <c r="C134" s="741"/>
      <c r="D134" s="741"/>
      <c r="E134" s="741"/>
      <c r="F134" s="741"/>
      <c r="G134" s="741"/>
      <c r="H134" s="741"/>
      <c r="I134" s="741"/>
      <c r="J134" s="741"/>
      <c r="K134" s="741"/>
      <c r="L134" s="741"/>
      <c r="M134" s="741"/>
      <c r="N134" s="741"/>
      <c r="O134" s="741"/>
      <c r="P134" s="741"/>
      <c r="Q134" s="741"/>
      <c r="R134" s="741"/>
      <c r="S134" s="741"/>
      <c r="Y134" s="781"/>
    </row>
    <row r="135" spans="1:29" x14ac:dyDescent="0.2">
      <c r="A135" s="775"/>
      <c r="C135" s="741"/>
      <c r="D135" s="741"/>
      <c r="E135" s="741"/>
      <c r="F135" s="741"/>
      <c r="G135" s="741"/>
      <c r="H135" s="741"/>
      <c r="I135" s="741"/>
      <c r="J135" s="741"/>
      <c r="K135" s="741"/>
      <c r="L135" s="741"/>
      <c r="M135" s="741"/>
      <c r="N135" s="741"/>
      <c r="O135" s="741"/>
      <c r="P135" s="741"/>
      <c r="Q135" s="741"/>
      <c r="R135" s="741"/>
      <c r="S135" s="741"/>
      <c r="Y135" s="781"/>
    </row>
    <row r="136" spans="1:29" x14ac:dyDescent="0.2">
      <c r="A136" s="1931" t="s">
        <v>124</v>
      </c>
      <c r="B136" s="1768"/>
      <c r="C136" s="1769"/>
      <c r="D136" s="1769"/>
      <c r="E136" s="1769"/>
      <c r="F136" s="1769"/>
      <c r="G136" s="1769"/>
      <c r="H136" s="1769"/>
      <c r="I136" s="1769"/>
      <c r="J136" s="1769"/>
      <c r="K136" s="1769"/>
      <c r="L136" s="1769"/>
      <c r="M136" s="1769"/>
      <c r="N136" s="1769"/>
      <c r="O136" s="741"/>
      <c r="P136" s="741"/>
      <c r="Q136" s="741"/>
      <c r="R136" s="741"/>
      <c r="S136" s="741"/>
      <c r="T136" s="741"/>
      <c r="U136" s="741"/>
      <c r="V136" s="741"/>
      <c r="W136" s="741"/>
      <c r="X136" s="741"/>
      <c r="Y136" s="741"/>
      <c r="Z136" s="741"/>
      <c r="AA136" s="741"/>
      <c r="AB136" s="741"/>
      <c r="AC136" s="741"/>
    </row>
    <row r="137" spans="1:29" x14ac:dyDescent="0.2">
      <c r="A137" s="1929" t="s">
        <v>1840</v>
      </c>
      <c r="B137" s="1768"/>
      <c r="C137" s="1769"/>
      <c r="D137" s="1769"/>
      <c r="E137" s="1769"/>
      <c r="F137" s="1769"/>
      <c r="G137" s="1769"/>
      <c r="H137" s="1769"/>
      <c r="I137" s="1769"/>
      <c r="J137" s="1769"/>
      <c r="K137" s="1769"/>
      <c r="L137" s="1769"/>
      <c r="M137" s="1769"/>
      <c r="N137" s="1769"/>
      <c r="O137" s="741"/>
      <c r="P137" s="741"/>
      <c r="Q137" s="767" t="s">
        <v>1112</v>
      </c>
      <c r="S137" s="776">
        <f>S138+S139</f>
        <v>189996</v>
      </c>
      <c r="T137" s="741"/>
      <c r="U137" s="741"/>
      <c r="V137" s="741"/>
      <c r="W137" s="741"/>
      <c r="X137" s="741"/>
      <c r="Y137" s="741"/>
      <c r="Z137" s="741"/>
      <c r="AA137" s="741"/>
      <c r="AB137" s="741"/>
      <c r="AC137" s="741"/>
    </row>
    <row r="138" spans="1:29" x14ac:dyDescent="0.2">
      <c r="A138" s="1929" t="s">
        <v>1968</v>
      </c>
      <c r="B138" s="1768"/>
      <c r="C138" s="1768"/>
      <c r="D138" s="1768"/>
      <c r="E138" s="1768"/>
      <c r="F138" s="1768"/>
      <c r="G138" s="1768"/>
      <c r="H138" s="1768"/>
      <c r="I138" s="1768"/>
      <c r="J138" s="1768"/>
      <c r="K138" s="1768"/>
      <c r="L138" s="1768"/>
      <c r="M138" s="1768"/>
      <c r="N138" s="1768"/>
      <c r="Q138" s="767" t="s">
        <v>634</v>
      </c>
      <c r="S138" s="741">
        <f>'D-1'!D235</f>
        <v>79230.19</v>
      </c>
      <c r="T138" s="741"/>
      <c r="U138" s="741"/>
      <c r="V138" s="741"/>
      <c r="W138" s="741"/>
      <c r="X138" s="741"/>
      <c r="Y138" s="741"/>
      <c r="Z138" s="741"/>
      <c r="AA138" s="741"/>
      <c r="AB138" s="741"/>
      <c r="AC138" s="741"/>
    </row>
    <row r="139" spans="1:29" x14ac:dyDescent="0.2">
      <c r="A139" s="1929" t="s">
        <v>1967</v>
      </c>
      <c r="B139" s="1768"/>
      <c r="C139" s="1768"/>
      <c r="D139" s="1768"/>
      <c r="E139" s="1768"/>
      <c r="F139" s="1768"/>
      <c r="G139" s="1768"/>
      <c r="H139" s="1932"/>
      <c r="I139" s="1768"/>
      <c r="J139" s="1768"/>
      <c r="K139" s="1768"/>
      <c r="L139" s="1768"/>
      <c r="M139" s="1768"/>
      <c r="N139" s="1768"/>
      <c r="Q139" s="767" t="s">
        <v>760</v>
      </c>
      <c r="S139" s="777">
        <f>'D-1'!H218</f>
        <v>110765.81000000001</v>
      </c>
      <c r="Y139" s="781"/>
    </row>
    <row r="140" spans="1:29" x14ac:dyDescent="0.2">
      <c r="A140" s="1929" t="s">
        <v>2382</v>
      </c>
      <c r="B140" s="1768"/>
      <c r="C140" s="1768"/>
      <c r="D140" s="1768"/>
      <c r="E140" s="1768"/>
      <c r="F140" s="1768"/>
      <c r="G140" s="1768"/>
      <c r="H140" s="1932"/>
      <c r="I140" s="1768"/>
      <c r="J140" s="1768"/>
      <c r="K140" s="1768"/>
      <c r="L140" s="1768"/>
      <c r="M140" s="1768"/>
      <c r="N140" s="1768"/>
      <c r="Q140" s="767"/>
      <c r="S140" s="778">
        <f>ROUND(S139/S138,4)</f>
        <v>1.3979999999999999</v>
      </c>
      <c r="Y140" s="781"/>
    </row>
    <row r="141" spans="1:29" x14ac:dyDescent="0.2">
      <c r="A141" s="1929"/>
      <c r="B141" s="1768"/>
      <c r="C141" s="1768"/>
      <c r="D141" s="1768"/>
      <c r="E141" s="1768"/>
      <c r="F141" s="1768"/>
      <c r="G141" s="1768"/>
      <c r="H141" s="1932"/>
      <c r="I141" s="1768"/>
      <c r="J141" s="1768"/>
      <c r="K141" s="1768"/>
      <c r="L141" s="1768"/>
      <c r="M141" s="1768"/>
      <c r="N141" s="1768"/>
      <c r="Q141" s="767"/>
      <c r="S141" s="1400"/>
      <c r="Y141" s="781"/>
    </row>
    <row r="142" spans="1:29" x14ac:dyDescent="0.2">
      <c r="A142" s="1768"/>
      <c r="B142" s="1768"/>
      <c r="C142" s="1768"/>
      <c r="D142" s="1768"/>
      <c r="E142" s="1768"/>
      <c r="F142" s="1768"/>
      <c r="G142" s="1768"/>
      <c r="H142" s="1932"/>
      <c r="I142" s="1768"/>
      <c r="J142" s="1768"/>
      <c r="K142" s="1768"/>
      <c r="L142" s="1768"/>
      <c r="M142" s="1768"/>
      <c r="N142" s="1768"/>
      <c r="Q142" s="767"/>
      <c r="S142" s="1400"/>
      <c r="Y142" s="781"/>
    </row>
    <row r="143" spans="1:29" x14ac:dyDescent="0.2">
      <c r="A143" s="774"/>
      <c r="C143" s="741"/>
      <c r="D143" s="741"/>
      <c r="E143" s="741"/>
      <c r="F143" s="741"/>
      <c r="G143" s="741"/>
      <c r="H143" s="741"/>
      <c r="I143" s="741"/>
      <c r="J143" s="741"/>
      <c r="K143" s="741"/>
      <c r="L143" s="741"/>
      <c r="M143" s="741"/>
      <c r="N143" s="741"/>
      <c r="O143" s="741"/>
      <c r="P143" s="741"/>
    </row>
    <row r="144" spans="1:29" x14ac:dyDescent="0.2">
      <c r="A144" s="773" t="s">
        <v>125</v>
      </c>
      <c r="C144" s="741"/>
      <c r="D144" s="741"/>
      <c r="E144" s="741"/>
      <c r="F144" s="741"/>
      <c r="G144" s="741"/>
      <c r="H144" s="741"/>
      <c r="I144" s="741"/>
      <c r="J144" s="741"/>
      <c r="K144" s="741"/>
      <c r="L144" s="741"/>
      <c r="M144" s="741"/>
      <c r="N144" s="741"/>
      <c r="O144" s="741"/>
      <c r="P144" s="741"/>
      <c r="Q144" s="741"/>
      <c r="R144" s="741"/>
      <c r="S144" s="741"/>
      <c r="V144" s="779"/>
    </row>
    <row r="145" spans="1:29" x14ac:dyDescent="0.2">
      <c r="A145" s="1929" t="s">
        <v>168</v>
      </c>
      <c r="B145" s="1768"/>
      <c r="C145" s="1768"/>
      <c r="D145" s="1768"/>
      <c r="E145" s="1768"/>
      <c r="F145" s="1768"/>
      <c r="G145" s="1768"/>
      <c r="H145" s="1768"/>
      <c r="I145" s="1768"/>
      <c r="J145" s="1768"/>
      <c r="K145" s="1768"/>
      <c r="L145" s="1768"/>
      <c r="M145" s="1768"/>
      <c r="Q145" s="767" t="s">
        <v>1112</v>
      </c>
      <c r="S145" s="776">
        <f>S146+S147</f>
        <v>1261442</v>
      </c>
      <c r="V145" s="779"/>
      <c r="Y145" s="741"/>
    </row>
    <row r="146" spans="1:29" x14ac:dyDescent="0.2">
      <c r="A146" s="1929" t="s">
        <v>1836</v>
      </c>
      <c r="B146" s="1768"/>
      <c r="C146" s="1768"/>
      <c r="D146" s="1768"/>
      <c r="E146" s="1768"/>
      <c r="F146" s="1932"/>
      <c r="G146" s="1768"/>
      <c r="H146" s="1932"/>
      <c r="I146" s="1768"/>
      <c r="J146" s="1932"/>
      <c r="K146" s="1768"/>
      <c r="L146" s="1932"/>
      <c r="M146" s="1768"/>
      <c r="Q146" s="767" t="s">
        <v>634</v>
      </c>
      <c r="S146" s="741">
        <f>'D-1'!D236</f>
        <v>1303125.24</v>
      </c>
      <c r="V146" s="779"/>
    </row>
    <row r="147" spans="1:29" x14ac:dyDescent="0.2">
      <c r="A147" s="1929" t="s">
        <v>1921</v>
      </c>
      <c r="B147" s="1768"/>
      <c r="C147" s="1769"/>
      <c r="D147" s="1769"/>
      <c r="E147" s="1769"/>
      <c r="F147" s="1769"/>
      <c r="G147" s="1769"/>
      <c r="H147" s="1769"/>
      <c r="I147" s="1769"/>
      <c r="J147" s="1769"/>
      <c r="K147" s="1769"/>
      <c r="L147" s="1769"/>
      <c r="M147" s="1769"/>
      <c r="N147" s="741"/>
      <c r="O147" s="741"/>
      <c r="P147" s="741"/>
      <c r="Q147" s="767" t="s">
        <v>760</v>
      </c>
      <c r="S147" s="777">
        <f>'D-1'!I218</f>
        <v>-41683.239999999947</v>
      </c>
      <c r="V147" s="779"/>
    </row>
    <row r="148" spans="1:29" x14ac:dyDescent="0.2">
      <c r="A148" s="1929" t="s">
        <v>1922</v>
      </c>
      <c r="B148" s="1768"/>
      <c r="C148" s="1769"/>
      <c r="D148" s="1769"/>
      <c r="E148" s="1769"/>
      <c r="F148" s="1769"/>
      <c r="G148" s="1769"/>
      <c r="H148" s="1769"/>
      <c r="I148" s="1769"/>
      <c r="J148" s="1769"/>
      <c r="K148" s="1769"/>
      <c r="L148" s="1769"/>
      <c r="M148" s="1769"/>
      <c r="N148" s="741"/>
      <c r="O148" s="741"/>
      <c r="P148" s="741"/>
      <c r="S148" s="778">
        <f>ROUND(S147/S146,4)</f>
        <v>-3.2000000000000001E-2</v>
      </c>
      <c r="V148" s="779"/>
    </row>
    <row r="149" spans="1:29" x14ac:dyDescent="0.2">
      <c r="A149" s="775"/>
      <c r="C149" s="741"/>
      <c r="D149" s="741"/>
      <c r="E149" s="741"/>
      <c r="F149" s="741"/>
      <c r="G149" s="741"/>
      <c r="H149" s="741"/>
      <c r="I149" s="741"/>
      <c r="J149" s="741"/>
      <c r="K149" s="741"/>
      <c r="L149" s="741"/>
      <c r="M149" s="741"/>
      <c r="N149" s="741"/>
      <c r="O149" s="741"/>
      <c r="P149" s="741"/>
      <c r="Q149" s="741"/>
      <c r="R149" s="741"/>
      <c r="S149" s="741"/>
      <c r="T149" s="741"/>
      <c r="U149" s="741"/>
      <c r="V149" s="741"/>
      <c r="W149" s="741"/>
      <c r="X149" s="741"/>
      <c r="Y149" s="741"/>
      <c r="Z149" s="741"/>
      <c r="AA149" s="741"/>
      <c r="AB149" s="741"/>
      <c r="AC149" s="741"/>
    </row>
    <row r="150" spans="1:29" x14ac:dyDescent="0.2">
      <c r="A150" s="775"/>
      <c r="T150" s="741"/>
      <c r="U150" s="741"/>
      <c r="V150" s="741"/>
      <c r="W150" s="741"/>
      <c r="X150" s="741"/>
      <c r="Y150" s="741"/>
      <c r="Z150" s="741"/>
      <c r="AA150" s="741"/>
      <c r="AB150" s="741"/>
      <c r="AC150" s="741"/>
    </row>
    <row r="151" spans="1:29" ht="9.9499999999999993" customHeight="1" x14ac:dyDescent="0.2">
      <c r="T151" s="741"/>
      <c r="U151" s="741"/>
      <c r="V151" s="741"/>
      <c r="W151" s="741"/>
      <c r="X151" s="741"/>
      <c r="Y151" s="741"/>
      <c r="Z151" s="741"/>
      <c r="AA151" s="741"/>
      <c r="AB151" s="741"/>
      <c r="AC151" s="741"/>
    </row>
    <row r="152" spans="1:29" ht="9.9499999999999993" customHeight="1" x14ac:dyDescent="0.2">
      <c r="S152" s="779"/>
      <c r="V152" s="780"/>
      <c r="Y152" s="781"/>
    </row>
    <row r="153" spans="1:29" x14ac:dyDescent="0.2">
      <c r="S153" s="779"/>
      <c r="V153" s="780"/>
    </row>
    <row r="154" spans="1:29" x14ac:dyDescent="0.2">
      <c r="A154" s="767"/>
      <c r="N154" s="766"/>
      <c r="S154" s="779"/>
      <c r="V154" s="780"/>
    </row>
    <row r="155" spans="1:29" x14ac:dyDescent="0.2">
      <c r="C155" s="784"/>
      <c r="N155" s="766"/>
    </row>
    <row r="156" spans="1:29" x14ac:dyDescent="0.2">
      <c r="C156" s="785"/>
      <c r="J156" s="786"/>
      <c r="K156" s="786"/>
      <c r="N156" s="766"/>
    </row>
    <row r="157" spans="1:29" x14ac:dyDescent="0.2">
      <c r="C157" s="766"/>
      <c r="N157" s="766"/>
    </row>
    <row r="158" spans="1:29" x14ac:dyDescent="0.2">
      <c r="U158" s="766"/>
    </row>
    <row r="159" spans="1:29" s="770" customFormat="1" x14ac:dyDescent="0.2">
      <c r="S159" s="1882"/>
      <c r="U159" s="790"/>
    </row>
    <row r="160" spans="1:29" s="770" customFormat="1" x14ac:dyDescent="0.2">
      <c r="U160" s="790"/>
    </row>
    <row r="161" spans="1:29" s="770" customFormat="1" x14ac:dyDescent="0.2">
      <c r="A161" s="790"/>
      <c r="C161" s="790"/>
      <c r="H161" s="790"/>
      <c r="J161" s="790"/>
      <c r="L161" s="790"/>
    </row>
    <row r="162" spans="1:29" s="770" customFormat="1" x14ac:dyDescent="0.2">
      <c r="A162" s="790"/>
      <c r="C162" s="790"/>
      <c r="H162" s="790"/>
      <c r="J162" s="790"/>
      <c r="L162" s="790"/>
      <c r="N162" s="790"/>
    </row>
    <row r="163" spans="1:29" s="770" customFormat="1" x14ac:dyDescent="0.2"/>
    <row r="164" spans="1:29" s="770" customFormat="1" x14ac:dyDescent="0.2"/>
    <row r="165" spans="1:29" s="770" customFormat="1" x14ac:dyDescent="0.2">
      <c r="A165" s="790"/>
      <c r="F165" s="790"/>
      <c r="H165" s="790"/>
      <c r="J165" s="790"/>
      <c r="L165" s="790"/>
    </row>
    <row r="166" spans="1:29" s="770" customFormat="1" x14ac:dyDescent="0.2">
      <c r="C166" s="745"/>
      <c r="D166" s="745"/>
      <c r="E166" s="745"/>
      <c r="F166" s="745"/>
      <c r="G166" s="745"/>
      <c r="H166" s="745"/>
      <c r="I166" s="745"/>
      <c r="J166" s="745"/>
      <c r="K166" s="745"/>
      <c r="L166" s="745"/>
      <c r="M166" s="745"/>
      <c r="N166" s="745"/>
      <c r="O166" s="745"/>
      <c r="P166" s="745"/>
      <c r="Q166" s="745"/>
      <c r="R166" s="745"/>
      <c r="S166" s="745"/>
      <c r="T166" s="745"/>
      <c r="U166" s="745"/>
      <c r="V166" s="745"/>
      <c r="W166" s="745"/>
      <c r="X166" s="745"/>
      <c r="Y166" s="745"/>
      <c r="Z166" s="745"/>
      <c r="AA166" s="745"/>
      <c r="AB166" s="745"/>
      <c r="AC166" s="745"/>
    </row>
    <row r="167" spans="1:29" s="770" customFormat="1" x14ac:dyDescent="0.2">
      <c r="C167" s="745"/>
      <c r="D167" s="745"/>
      <c r="E167" s="745"/>
      <c r="F167" s="745"/>
      <c r="G167" s="745"/>
      <c r="H167" s="745"/>
      <c r="I167" s="745"/>
      <c r="J167" s="745"/>
      <c r="K167" s="745"/>
      <c r="L167" s="745"/>
      <c r="M167" s="745"/>
      <c r="N167" s="745"/>
      <c r="O167" s="745"/>
      <c r="P167" s="745"/>
      <c r="Q167" s="745"/>
      <c r="R167" s="745"/>
      <c r="S167" s="745"/>
      <c r="T167" s="745"/>
      <c r="U167" s="745"/>
      <c r="V167" s="745"/>
      <c r="W167" s="745"/>
      <c r="X167" s="745"/>
      <c r="Y167" s="745"/>
      <c r="Z167" s="745"/>
      <c r="AA167" s="745"/>
      <c r="AB167" s="745"/>
      <c r="AC167" s="745"/>
    </row>
    <row r="168" spans="1:29" s="770" customFormat="1" x14ac:dyDescent="0.2">
      <c r="C168" s="745"/>
      <c r="D168" s="745"/>
      <c r="E168" s="745"/>
      <c r="F168" s="745"/>
      <c r="G168" s="745"/>
      <c r="H168" s="745"/>
      <c r="I168" s="745"/>
      <c r="J168" s="745"/>
      <c r="K168" s="745"/>
      <c r="L168" s="745"/>
      <c r="M168" s="745"/>
      <c r="N168" s="745"/>
      <c r="O168" s="745"/>
      <c r="P168" s="745"/>
      <c r="Q168" s="745"/>
      <c r="R168" s="745"/>
      <c r="S168" s="745"/>
      <c r="T168" s="745"/>
      <c r="U168" s="745"/>
      <c r="V168" s="745"/>
      <c r="W168" s="745"/>
      <c r="X168" s="745"/>
      <c r="Y168" s="745"/>
      <c r="Z168" s="745"/>
      <c r="AA168" s="745"/>
      <c r="AB168" s="745"/>
      <c r="AC168" s="745"/>
    </row>
    <row r="169" spans="1:29" s="770" customFormat="1" x14ac:dyDescent="0.2">
      <c r="Y169" s="791"/>
    </row>
    <row r="170" spans="1:29" s="770" customFormat="1" x14ac:dyDescent="0.2">
      <c r="A170" s="790"/>
      <c r="F170" s="790"/>
      <c r="H170" s="792"/>
      <c r="J170" s="793"/>
      <c r="L170" s="792"/>
      <c r="N170" s="790"/>
    </row>
    <row r="171" spans="1:29" s="770" customFormat="1" x14ac:dyDescent="0.2">
      <c r="C171" s="745"/>
      <c r="D171" s="745"/>
      <c r="E171" s="745"/>
      <c r="F171" s="745"/>
      <c r="G171" s="745"/>
      <c r="H171" s="745"/>
      <c r="I171" s="745"/>
      <c r="J171" s="745"/>
      <c r="K171" s="745"/>
      <c r="L171" s="745"/>
      <c r="M171" s="745"/>
      <c r="N171" s="745"/>
      <c r="O171" s="745"/>
      <c r="P171" s="745"/>
      <c r="Q171" s="745"/>
      <c r="R171" s="745"/>
      <c r="S171" s="745"/>
      <c r="T171" s="745"/>
      <c r="U171" s="745"/>
      <c r="V171" s="745"/>
      <c r="W171" s="745"/>
      <c r="X171" s="745"/>
      <c r="Y171" s="745"/>
      <c r="Z171" s="745"/>
      <c r="AA171" s="745"/>
      <c r="AB171" s="745"/>
      <c r="AC171" s="745"/>
    </row>
    <row r="172" spans="1:29" s="770" customFormat="1" x14ac:dyDescent="0.2">
      <c r="C172" s="745"/>
      <c r="D172" s="745"/>
      <c r="E172" s="745"/>
      <c r="F172" s="745"/>
      <c r="G172" s="745"/>
      <c r="H172" s="745"/>
      <c r="I172" s="745"/>
      <c r="J172" s="745"/>
      <c r="K172" s="745"/>
      <c r="L172" s="745"/>
      <c r="M172" s="745"/>
      <c r="N172" s="745"/>
      <c r="O172" s="745"/>
      <c r="P172" s="745"/>
      <c r="Q172" s="745"/>
      <c r="R172" s="745"/>
      <c r="S172" s="745"/>
      <c r="T172" s="745"/>
      <c r="U172" s="745"/>
      <c r="V172" s="745"/>
      <c r="W172" s="745"/>
      <c r="X172" s="745"/>
      <c r="Y172" s="745"/>
      <c r="Z172" s="745"/>
      <c r="AA172" s="745"/>
      <c r="AB172" s="745"/>
      <c r="AC172" s="745"/>
    </row>
    <row r="173" spans="1:29" s="770" customFormat="1" x14ac:dyDescent="0.2">
      <c r="C173" s="745"/>
      <c r="D173" s="745"/>
      <c r="E173" s="745"/>
      <c r="F173" s="745"/>
      <c r="G173" s="745"/>
      <c r="H173" s="745"/>
      <c r="I173" s="745"/>
      <c r="J173" s="745"/>
      <c r="K173" s="745"/>
      <c r="L173" s="745"/>
      <c r="M173" s="745"/>
      <c r="N173" s="745"/>
      <c r="O173" s="745"/>
      <c r="P173" s="745"/>
      <c r="Q173" s="745"/>
      <c r="R173" s="745"/>
      <c r="S173" s="745"/>
      <c r="T173" s="745"/>
      <c r="U173" s="745"/>
      <c r="V173" s="745"/>
      <c r="W173" s="745"/>
      <c r="X173" s="745"/>
      <c r="Y173" s="745"/>
      <c r="Z173" s="745"/>
      <c r="AA173" s="745"/>
      <c r="AB173" s="745"/>
      <c r="AC173" s="745"/>
    </row>
    <row r="174" spans="1:29" s="770" customFormat="1" x14ac:dyDescent="0.2">
      <c r="Y174" s="791"/>
    </row>
    <row r="175" spans="1:29" s="770" customFormat="1" x14ac:dyDescent="0.2">
      <c r="A175" s="790"/>
      <c r="F175" s="790"/>
      <c r="H175" s="792"/>
      <c r="J175" s="793"/>
      <c r="L175" s="792"/>
    </row>
    <row r="176" spans="1:29" s="770" customFormat="1" x14ac:dyDescent="0.2">
      <c r="C176" s="745"/>
      <c r="D176" s="745"/>
      <c r="E176" s="745"/>
      <c r="F176" s="745"/>
      <c r="G176" s="745"/>
      <c r="H176" s="745"/>
      <c r="I176" s="745"/>
      <c r="J176" s="745"/>
      <c r="K176" s="745"/>
      <c r="L176" s="745"/>
      <c r="M176" s="745"/>
      <c r="N176" s="745"/>
      <c r="O176" s="745"/>
      <c r="P176" s="745"/>
      <c r="Q176" s="745"/>
      <c r="R176" s="745"/>
      <c r="S176" s="745"/>
      <c r="T176" s="745"/>
      <c r="U176" s="745"/>
      <c r="V176" s="745"/>
      <c r="W176" s="745"/>
      <c r="X176" s="745"/>
      <c r="Y176" s="745"/>
      <c r="Z176" s="745"/>
      <c r="AA176" s="745"/>
      <c r="AB176" s="745"/>
      <c r="AC176" s="745"/>
    </row>
    <row r="177" spans="1:29" s="770" customFormat="1" x14ac:dyDescent="0.2">
      <c r="C177" s="745"/>
      <c r="D177" s="745"/>
      <c r="E177" s="745"/>
      <c r="F177" s="745"/>
      <c r="G177" s="745"/>
      <c r="H177" s="745"/>
      <c r="I177" s="745"/>
      <c r="J177" s="745"/>
      <c r="K177" s="745"/>
      <c r="L177" s="745"/>
      <c r="M177" s="745"/>
      <c r="N177" s="745"/>
      <c r="O177" s="745"/>
      <c r="P177" s="745"/>
      <c r="Q177" s="745"/>
      <c r="R177" s="745"/>
      <c r="S177" s="745"/>
      <c r="T177" s="745"/>
      <c r="U177" s="745"/>
      <c r="V177" s="745"/>
      <c r="W177" s="745"/>
      <c r="X177" s="745"/>
      <c r="Y177" s="745"/>
      <c r="Z177" s="745"/>
      <c r="AA177" s="745"/>
      <c r="AB177" s="745"/>
      <c r="AC177" s="745"/>
    </row>
    <row r="178" spans="1:29" s="770" customFormat="1" x14ac:dyDescent="0.2">
      <c r="C178" s="745"/>
      <c r="D178" s="745"/>
      <c r="E178" s="745"/>
      <c r="F178" s="745"/>
      <c r="G178" s="745"/>
      <c r="H178" s="745"/>
      <c r="I178" s="745"/>
      <c r="J178" s="745"/>
      <c r="K178" s="745"/>
      <c r="L178" s="745"/>
      <c r="M178" s="745"/>
      <c r="N178" s="745"/>
      <c r="O178" s="745"/>
      <c r="P178" s="745"/>
      <c r="Q178" s="745"/>
      <c r="R178" s="745"/>
      <c r="S178" s="745"/>
      <c r="T178" s="745"/>
      <c r="U178" s="745"/>
      <c r="V178" s="745"/>
      <c r="W178" s="745"/>
      <c r="X178" s="745"/>
      <c r="Y178" s="745"/>
      <c r="Z178" s="745"/>
      <c r="AA178" s="745"/>
      <c r="AB178" s="745"/>
      <c r="AC178" s="745"/>
    </row>
    <row r="179" spans="1:29" s="770" customFormat="1" x14ac:dyDescent="0.2">
      <c r="Y179" s="791"/>
    </row>
    <row r="180" spans="1:29" s="770" customFormat="1" x14ac:dyDescent="0.2">
      <c r="A180" s="790"/>
      <c r="H180" s="792"/>
      <c r="J180" s="794"/>
      <c r="L180" s="792"/>
      <c r="N180" s="790"/>
    </row>
    <row r="181" spans="1:29" s="770" customFormat="1" x14ac:dyDescent="0.2">
      <c r="C181" s="745"/>
      <c r="D181" s="745"/>
      <c r="E181" s="745"/>
      <c r="F181" s="745"/>
      <c r="G181" s="745"/>
      <c r="H181" s="745"/>
      <c r="I181" s="745"/>
      <c r="J181" s="745"/>
      <c r="K181" s="745"/>
      <c r="L181" s="745"/>
      <c r="M181" s="745"/>
      <c r="N181" s="745"/>
      <c r="O181" s="745"/>
      <c r="P181" s="745"/>
      <c r="Q181" s="745"/>
      <c r="R181" s="745"/>
      <c r="S181" s="745"/>
      <c r="T181" s="745"/>
      <c r="U181" s="745"/>
      <c r="V181" s="745"/>
      <c r="W181" s="745"/>
      <c r="X181" s="745"/>
      <c r="Y181" s="745"/>
      <c r="Z181" s="745"/>
      <c r="AA181" s="745"/>
      <c r="AB181" s="745"/>
      <c r="AC181" s="745"/>
    </row>
    <row r="182" spans="1:29" s="770" customFormat="1" x14ac:dyDescent="0.2">
      <c r="C182" s="745"/>
      <c r="D182" s="745"/>
      <c r="E182" s="745"/>
      <c r="F182" s="745"/>
      <c r="G182" s="745"/>
      <c r="H182" s="745"/>
      <c r="I182" s="745"/>
      <c r="J182" s="745"/>
      <c r="K182" s="745"/>
      <c r="L182" s="745"/>
      <c r="M182" s="745"/>
      <c r="N182" s="745"/>
      <c r="O182" s="745"/>
      <c r="P182" s="745"/>
      <c r="Q182" s="745"/>
      <c r="R182" s="745"/>
      <c r="S182" s="745"/>
      <c r="T182" s="745"/>
      <c r="U182" s="745"/>
      <c r="V182" s="745"/>
      <c r="W182" s="745"/>
      <c r="X182" s="745"/>
      <c r="Y182" s="745"/>
      <c r="Z182" s="745"/>
      <c r="AA182" s="745"/>
      <c r="AB182" s="745"/>
      <c r="AC182" s="745"/>
    </row>
    <row r="183" spans="1:29" s="770" customFormat="1" x14ac:dyDescent="0.2">
      <c r="C183" s="745"/>
      <c r="D183" s="745"/>
      <c r="E183" s="745"/>
      <c r="F183" s="745"/>
      <c r="G183" s="745"/>
      <c r="H183" s="745"/>
      <c r="I183" s="745"/>
      <c r="J183" s="745"/>
      <c r="K183" s="745"/>
      <c r="L183" s="745"/>
      <c r="M183" s="745"/>
      <c r="N183" s="745"/>
      <c r="O183" s="745"/>
      <c r="P183" s="745"/>
      <c r="Q183" s="745"/>
      <c r="R183" s="745"/>
      <c r="S183" s="745"/>
      <c r="T183" s="745"/>
      <c r="U183" s="745"/>
      <c r="V183" s="745"/>
      <c r="W183" s="745"/>
      <c r="X183" s="745"/>
      <c r="Y183" s="745"/>
      <c r="Z183" s="745"/>
      <c r="AA183" s="745"/>
      <c r="AB183" s="745"/>
      <c r="AC183" s="745"/>
    </row>
    <row r="184" spans="1:29" s="770" customFormat="1" x14ac:dyDescent="0.2">
      <c r="Y184" s="791"/>
    </row>
    <row r="185" spans="1:29" s="770" customFormat="1" x14ac:dyDescent="0.2">
      <c r="A185" s="790"/>
      <c r="H185" s="792"/>
      <c r="J185" s="794"/>
      <c r="L185" s="792"/>
      <c r="N185" s="790"/>
    </row>
    <row r="186" spans="1:29" s="770" customFormat="1" x14ac:dyDescent="0.2">
      <c r="C186" s="745"/>
      <c r="D186" s="745"/>
      <c r="E186" s="745"/>
      <c r="F186" s="745"/>
      <c r="G186" s="745"/>
      <c r="H186" s="745"/>
      <c r="I186" s="745"/>
      <c r="J186" s="745"/>
      <c r="K186" s="745"/>
      <c r="L186" s="745"/>
      <c r="M186" s="745"/>
      <c r="N186" s="745"/>
      <c r="O186" s="745"/>
      <c r="P186" s="745"/>
      <c r="Q186" s="745"/>
      <c r="R186" s="745"/>
      <c r="S186" s="745"/>
      <c r="T186" s="745"/>
      <c r="U186" s="745"/>
      <c r="V186" s="745"/>
      <c r="W186" s="745"/>
      <c r="X186" s="745"/>
      <c r="Y186" s="745"/>
      <c r="Z186" s="745"/>
      <c r="AA186" s="745"/>
      <c r="AB186" s="745"/>
      <c r="AC186" s="745"/>
    </row>
    <row r="187" spans="1:29" s="770" customFormat="1" x14ac:dyDescent="0.2">
      <c r="C187" s="745"/>
      <c r="D187" s="745"/>
      <c r="E187" s="745"/>
      <c r="F187" s="745"/>
      <c r="G187" s="745"/>
      <c r="H187" s="745"/>
      <c r="I187" s="745"/>
      <c r="J187" s="745"/>
      <c r="K187" s="745"/>
      <c r="L187" s="745"/>
      <c r="M187" s="745"/>
      <c r="N187" s="745"/>
      <c r="O187" s="745"/>
      <c r="P187" s="745"/>
      <c r="Q187" s="745"/>
      <c r="R187" s="745"/>
      <c r="S187" s="745"/>
      <c r="T187" s="745"/>
      <c r="U187" s="745"/>
      <c r="V187" s="745"/>
      <c r="W187" s="745"/>
      <c r="X187" s="745"/>
      <c r="Y187" s="745"/>
      <c r="Z187" s="745"/>
      <c r="AA187" s="745"/>
      <c r="AB187" s="745"/>
      <c r="AC187" s="745"/>
    </row>
    <row r="188" spans="1:29" s="770" customFormat="1" x14ac:dyDescent="0.2">
      <c r="C188" s="745"/>
      <c r="D188" s="745"/>
      <c r="E188" s="745"/>
      <c r="F188" s="745"/>
      <c r="G188" s="745"/>
      <c r="H188" s="745"/>
      <c r="I188" s="745"/>
      <c r="J188" s="745"/>
      <c r="K188" s="745"/>
      <c r="L188" s="745"/>
      <c r="M188" s="745"/>
      <c r="N188" s="745"/>
      <c r="O188" s="745"/>
      <c r="P188" s="745"/>
      <c r="Q188" s="745"/>
      <c r="R188" s="745"/>
      <c r="S188" s="745"/>
      <c r="T188" s="745"/>
      <c r="U188" s="745"/>
      <c r="V188" s="745"/>
      <c r="W188" s="745"/>
      <c r="X188" s="745"/>
      <c r="Y188" s="745"/>
      <c r="Z188" s="745"/>
      <c r="AA188" s="745"/>
      <c r="AB188" s="745"/>
      <c r="AC188" s="745"/>
    </row>
    <row r="189" spans="1:29" s="770" customFormat="1" x14ac:dyDescent="0.2">
      <c r="Y189" s="791"/>
    </row>
    <row r="190" spans="1:29" s="770" customFormat="1" x14ac:dyDescent="0.2">
      <c r="A190" s="790"/>
      <c r="H190" s="792"/>
      <c r="J190" s="794"/>
      <c r="L190" s="792"/>
      <c r="N190" s="790"/>
    </row>
    <row r="191" spans="1:29" s="770" customFormat="1" x14ac:dyDescent="0.2">
      <c r="C191" s="745"/>
      <c r="D191" s="745"/>
      <c r="E191" s="745"/>
      <c r="F191" s="745"/>
      <c r="G191" s="745"/>
      <c r="H191" s="745"/>
      <c r="I191" s="745"/>
      <c r="J191" s="745"/>
      <c r="K191" s="745"/>
      <c r="L191" s="745"/>
      <c r="M191" s="745"/>
      <c r="N191" s="745"/>
      <c r="O191" s="745"/>
      <c r="P191" s="745"/>
      <c r="Q191" s="745"/>
      <c r="R191" s="745"/>
      <c r="S191" s="745"/>
      <c r="T191" s="745"/>
      <c r="U191" s="745"/>
      <c r="V191" s="745"/>
      <c r="W191" s="745"/>
      <c r="X191" s="745"/>
      <c r="Y191" s="745"/>
      <c r="Z191" s="745"/>
      <c r="AA191" s="745"/>
      <c r="AB191" s="745"/>
      <c r="AC191" s="745"/>
    </row>
    <row r="192" spans="1:29" s="770" customFormat="1" x14ac:dyDescent="0.2">
      <c r="C192" s="745"/>
      <c r="D192" s="745"/>
      <c r="E192" s="745"/>
      <c r="F192" s="745"/>
      <c r="G192" s="745"/>
      <c r="H192" s="745"/>
      <c r="I192" s="745"/>
      <c r="J192" s="745"/>
      <c r="K192" s="745"/>
      <c r="L192" s="745"/>
      <c r="M192" s="745"/>
      <c r="N192" s="745"/>
      <c r="O192" s="745"/>
      <c r="P192" s="745"/>
      <c r="Q192" s="745"/>
      <c r="R192" s="745"/>
      <c r="S192" s="745"/>
      <c r="T192" s="745"/>
      <c r="U192" s="745"/>
      <c r="V192" s="745"/>
      <c r="W192" s="745"/>
      <c r="X192" s="745"/>
      <c r="Y192" s="745"/>
      <c r="Z192" s="745"/>
      <c r="AA192" s="745"/>
      <c r="AB192" s="745"/>
      <c r="AC192" s="745"/>
    </row>
    <row r="193" spans="1:29" s="770" customFormat="1" x14ac:dyDescent="0.2">
      <c r="C193" s="745"/>
      <c r="D193" s="745"/>
      <c r="E193" s="745"/>
      <c r="F193" s="745"/>
      <c r="G193" s="745"/>
      <c r="H193" s="745"/>
      <c r="I193" s="745"/>
      <c r="J193" s="745"/>
      <c r="K193" s="745"/>
      <c r="L193" s="745"/>
      <c r="M193" s="745"/>
      <c r="N193" s="745"/>
      <c r="O193" s="745"/>
      <c r="P193" s="745"/>
      <c r="Q193" s="745"/>
      <c r="R193" s="745"/>
      <c r="S193" s="745"/>
      <c r="T193" s="745"/>
      <c r="U193" s="745"/>
      <c r="V193" s="745"/>
      <c r="W193" s="745"/>
      <c r="X193" s="745"/>
      <c r="Y193" s="745"/>
      <c r="Z193" s="745"/>
      <c r="AA193" s="745"/>
      <c r="AB193" s="745"/>
      <c r="AC193" s="745"/>
    </row>
    <row r="194" spans="1:29" s="770" customFormat="1" x14ac:dyDescent="0.2">
      <c r="Y194" s="791"/>
    </row>
    <row r="195" spans="1:29" s="770" customFormat="1" x14ac:dyDescent="0.2">
      <c r="A195" s="790"/>
      <c r="H195" s="792"/>
      <c r="J195" s="794"/>
      <c r="L195" s="792"/>
      <c r="N195" s="790"/>
    </row>
    <row r="196" spans="1:29" s="770" customFormat="1" x14ac:dyDescent="0.2">
      <c r="C196" s="745"/>
      <c r="D196" s="745"/>
      <c r="E196" s="745"/>
      <c r="F196" s="745"/>
      <c r="G196" s="745"/>
      <c r="H196" s="745"/>
      <c r="I196" s="745"/>
      <c r="J196" s="745"/>
      <c r="K196" s="745"/>
      <c r="L196" s="745"/>
      <c r="M196" s="745"/>
      <c r="N196" s="745"/>
      <c r="O196" s="745"/>
      <c r="P196" s="745"/>
      <c r="Q196" s="745"/>
      <c r="R196" s="745"/>
      <c r="S196" s="745"/>
      <c r="T196" s="745"/>
      <c r="U196" s="745"/>
      <c r="V196" s="745"/>
      <c r="W196" s="745"/>
      <c r="X196" s="745"/>
      <c r="Y196" s="745"/>
      <c r="Z196" s="745"/>
      <c r="AA196" s="745"/>
      <c r="AB196" s="745"/>
      <c r="AC196" s="745"/>
    </row>
    <row r="197" spans="1:29" s="770" customFormat="1" x14ac:dyDescent="0.2">
      <c r="C197" s="745"/>
      <c r="D197" s="745"/>
      <c r="E197" s="745"/>
      <c r="F197" s="745"/>
      <c r="G197" s="745"/>
      <c r="H197" s="745"/>
      <c r="I197" s="745"/>
      <c r="J197" s="745"/>
      <c r="K197" s="745"/>
      <c r="L197" s="745"/>
      <c r="M197" s="745"/>
      <c r="N197" s="745"/>
      <c r="O197" s="745"/>
      <c r="P197" s="745"/>
      <c r="Q197" s="745"/>
      <c r="R197" s="745"/>
      <c r="S197" s="745"/>
      <c r="T197" s="745"/>
      <c r="U197" s="745"/>
      <c r="V197" s="745"/>
      <c r="W197" s="745"/>
      <c r="X197" s="745"/>
      <c r="Y197" s="745"/>
      <c r="Z197" s="745"/>
      <c r="AA197" s="745"/>
      <c r="AB197" s="745"/>
      <c r="AC197" s="745"/>
    </row>
    <row r="198" spans="1:29" s="770" customFormat="1" x14ac:dyDescent="0.2">
      <c r="C198" s="745"/>
      <c r="D198" s="745"/>
      <c r="E198" s="745"/>
      <c r="F198" s="745"/>
      <c r="G198" s="745"/>
      <c r="H198" s="745"/>
      <c r="I198" s="745"/>
      <c r="J198" s="745"/>
      <c r="K198" s="745"/>
      <c r="L198" s="745"/>
      <c r="M198" s="745"/>
      <c r="N198" s="745"/>
      <c r="O198" s="745"/>
      <c r="P198" s="745"/>
      <c r="Q198" s="745"/>
      <c r="R198" s="745"/>
      <c r="S198" s="745"/>
      <c r="T198" s="745"/>
      <c r="U198" s="745"/>
      <c r="V198" s="745"/>
      <c r="W198" s="745"/>
      <c r="X198" s="745"/>
      <c r="Y198" s="745"/>
      <c r="Z198" s="745"/>
      <c r="AA198" s="745"/>
      <c r="AB198" s="745"/>
      <c r="AC198" s="745"/>
    </row>
    <row r="199" spans="1:29" s="770" customFormat="1" x14ac:dyDescent="0.2">
      <c r="Y199" s="791"/>
    </row>
    <row r="200" spans="1:29" s="770" customFormat="1" x14ac:dyDescent="0.2">
      <c r="A200" s="790"/>
      <c r="H200" s="792"/>
      <c r="J200" s="794"/>
      <c r="L200" s="792"/>
      <c r="N200" s="790"/>
    </row>
    <row r="201" spans="1:29" s="770" customFormat="1" x14ac:dyDescent="0.2">
      <c r="C201" s="745"/>
      <c r="D201" s="745"/>
      <c r="E201" s="745"/>
      <c r="F201" s="745"/>
      <c r="G201" s="745"/>
      <c r="H201" s="745"/>
      <c r="I201" s="745"/>
      <c r="J201" s="745"/>
      <c r="K201" s="745"/>
      <c r="L201" s="745"/>
      <c r="M201" s="745"/>
      <c r="N201" s="745"/>
      <c r="O201" s="745"/>
      <c r="P201" s="745"/>
      <c r="Q201" s="745"/>
      <c r="R201" s="745"/>
      <c r="S201" s="745"/>
      <c r="T201" s="745"/>
      <c r="U201" s="745"/>
      <c r="V201" s="745"/>
      <c r="W201" s="745"/>
      <c r="X201" s="745"/>
      <c r="Y201" s="745"/>
      <c r="Z201" s="745"/>
      <c r="AA201" s="745"/>
      <c r="AB201" s="745"/>
      <c r="AC201" s="745"/>
    </row>
    <row r="202" spans="1:29" s="770" customFormat="1" x14ac:dyDescent="0.2">
      <c r="C202" s="745"/>
      <c r="D202" s="745"/>
      <c r="E202" s="745"/>
      <c r="F202" s="745"/>
      <c r="G202" s="745"/>
      <c r="H202" s="745"/>
      <c r="I202" s="745"/>
      <c r="J202" s="745"/>
      <c r="K202" s="745"/>
      <c r="L202" s="745"/>
      <c r="M202" s="745"/>
      <c r="N202" s="745"/>
      <c r="O202" s="745"/>
      <c r="P202" s="745"/>
      <c r="Q202" s="745"/>
      <c r="R202" s="745"/>
      <c r="S202" s="745"/>
      <c r="T202" s="745"/>
      <c r="U202" s="745"/>
      <c r="V202" s="745"/>
      <c r="W202" s="745"/>
      <c r="X202" s="745"/>
      <c r="Y202" s="745"/>
      <c r="Z202" s="745"/>
      <c r="AA202" s="745"/>
      <c r="AB202" s="745"/>
      <c r="AC202" s="745"/>
    </row>
    <row r="203" spans="1:29" s="770" customFormat="1" x14ac:dyDescent="0.2">
      <c r="C203" s="745"/>
      <c r="D203" s="745"/>
      <c r="E203" s="745"/>
      <c r="F203" s="745"/>
      <c r="G203" s="745"/>
      <c r="H203" s="745"/>
      <c r="I203" s="745"/>
      <c r="J203" s="745"/>
      <c r="K203" s="745"/>
      <c r="L203" s="745"/>
      <c r="M203" s="745"/>
      <c r="N203" s="745"/>
      <c r="O203" s="745"/>
      <c r="P203" s="745"/>
      <c r="Q203" s="745"/>
      <c r="R203" s="745"/>
      <c r="S203" s="745"/>
      <c r="T203" s="745"/>
      <c r="U203" s="745"/>
      <c r="V203" s="745"/>
      <c r="W203" s="745"/>
      <c r="X203" s="745"/>
      <c r="Y203" s="745"/>
      <c r="Z203" s="745"/>
      <c r="AA203" s="745"/>
      <c r="AB203" s="745"/>
      <c r="AC203" s="745"/>
    </row>
    <row r="204" spans="1:29" s="770" customFormat="1" x14ac:dyDescent="0.2">
      <c r="Y204" s="791"/>
    </row>
    <row r="205" spans="1:29" s="770" customFormat="1" x14ac:dyDescent="0.2"/>
    <row r="206" spans="1:29" s="770" customFormat="1" x14ac:dyDescent="0.2">
      <c r="N206" s="790"/>
    </row>
    <row r="207" spans="1:29" s="770" customFormat="1" x14ac:dyDescent="0.2">
      <c r="C207" s="795"/>
      <c r="N207" s="790"/>
    </row>
    <row r="208" spans="1:29" s="770" customFormat="1" x14ac:dyDescent="0.2">
      <c r="C208" s="796"/>
      <c r="J208" s="797"/>
      <c r="K208" s="797"/>
      <c r="N208" s="790"/>
    </row>
    <row r="209" spans="1:29" s="770" customFormat="1" x14ac:dyDescent="0.2">
      <c r="C209" s="790"/>
      <c r="N209" s="790"/>
    </row>
    <row r="210" spans="1:29" s="770" customFormat="1" x14ac:dyDescent="0.2">
      <c r="U210" s="790"/>
    </row>
    <row r="211" spans="1:29" s="770" customFormat="1" x14ac:dyDescent="0.2">
      <c r="U211" s="790"/>
    </row>
    <row r="212" spans="1:29" s="770" customFormat="1" x14ac:dyDescent="0.2">
      <c r="U212" s="790"/>
    </row>
    <row r="213" spans="1:29" s="770" customFormat="1" x14ac:dyDescent="0.2">
      <c r="A213" s="790"/>
      <c r="C213" s="790"/>
      <c r="H213" s="790"/>
      <c r="J213" s="790"/>
      <c r="L213" s="790"/>
    </row>
    <row r="214" spans="1:29" s="770" customFormat="1" x14ac:dyDescent="0.2">
      <c r="A214" s="790"/>
      <c r="C214" s="790"/>
      <c r="H214" s="790"/>
      <c r="J214" s="790"/>
      <c r="L214" s="790"/>
      <c r="N214" s="790"/>
    </row>
    <row r="215" spans="1:29" s="770" customFormat="1" x14ac:dyDescent="0.2"/>
    <row r="216" spans="1:29" s="770" customFormat="1" x14ac:dyDescent="0.2"/>
    <row r="217" spans="1:29" s="770" customFormat="1" x14ac:dyDescent="0.2">
      <c r="A217" s="790"/>
      <c r="H217" s="792"/>
      <c r="J217" s="794"/>
      <c r="L217" s="792"/>
      <c r="N217" s="790"/>
    </row>
    <row r="218" spans="1:29" s="770" customFormat="1" x14ac:dyDescent="0.2"/>
    <row r="219" spans="1:29" s="770" customFormat="1" x14ac:dyDescent="0.2">
      <c r="Y219" s="745"/>
    </row>
    <row r="220" spans="1:29" s="770" customFormat="1" x14ac:dyDescent="0.2"/>
    <row r="221" spans="1:29" s="770" customFormat="1" x14ac:dyDescent="0.2"/>
    <row r="222" spans="1:29" s="770" customFormat="1" x14ac:dyDescent="0.2">
      <c r="A222" s="790"/>
      <c r="H222" s="792"/>
      <c r="J222" s="794"/>
      <c r="L222" s="792"/>
      <c r="N222" s="790"/>
    </row>
    <row r="223" spans="1:29" s="770" customFormat="1" x14ac:dyDescent="0.2">
      <c r="C223" s="745"/>
      <c r="D223" s="745"/>
      <c r="E223" s="745"/>
      <c r="F223" s="745"/>
      <c r="G223" s="745"/>
      <c r="H223" s="745"/>
      <c r="I223" s="745"/>
      <c r="J223" s="745"/>
      <c r="K223" s="745"/>
      <c r="L223" s="745"/>
      <c r="M223" s="745"/>
      <c r="N223" s="745"/>
      <c r="O223" s="745"/>
      <c r="P223" s="745"/>
      <c r="Q223" s="745"/>
      <c r="R223" s="745"/>
      <c r="S223" s="745"/>
      <c r="T223" s="745"/>
      <c r="U223" s="745"/>
      <c r="V223" s="745"/>
      <c r="W223" s="745"/>
      <c r="X223" s="745"/>
      <c r="Y223" s="745"/>
      <c r="Z223" s="745"/>
      <c r="AA223" s="745"/>
      <c r="AB223" s="745"/>
      <c r="AC223" s="745"/>
    </row>
    <row r="224" spans="1:29" s="770" customFormat="1" x14ac:dyDescent="0.2">
      <c r="C224" s="745"/>
      <c r="D224" s="745"/>
      <c r="E224" s="745"/>
      <c r="F224" s="745"/>
      <c r="G224" s="745"/>
      <c r="H224" s="745"/>
      <c r="I224" s="745"/>
      <c r="J224" s="745"/>
      <c r="K224" s="745"/>
      <c r="L224" s="745"/>
      <c r="M224" s="745"/>
      <c r="N224" s="745"/>
      <c r="O224" s="745"/>
      <c r="P224" s="745"/>
      <c r="Q224" s="745"/>
      <c r="R224" s="745"/>
      <c r="S224" s="745"/>
      <c r="T224" s="745"/>
      <c r="U224" s="745"/>
      <c r="V224" s="745"/>
      <c r="W224" s="745"/>
      <c r="X224" s="745"/>
      <c r="Y224" s="745"/>
      <c r="Z224" s="745"/>
      <c r="AA224" s="745"/>
      <c r="AB224" s="745"/>
      <c r="AC224" s="745"/>
    </row>
    <row r="225" spans="1:29" s="770" customFormat="1" x14ac:dyDescent="0.2">
      <c r="C225" s="745"/>
      <c r="D225" s="745"/>
      <c r="E225" s="745"/>
      <c r="F225" s="745"/>
      <c r="G225" s="745"/>
      <c r="H225" s="745"/>
      <c r="I225" s="745"/>
      <c r="J225" s="745"/>
      <c r="K225" s="745"/>
      <c r="L225" s="745"/>
      <c r="M225" s="745"/>
      <c r="N225" s="745"/>
      <c r="O225" s="745"/>
      <c r="P225" s="745"/>
      <c r="Q225" s="745"/>
      <c r="R225" s="745"/>
      <c r="S225" s="745"/>
      <c r="T225" s="745"/>
      <c r="U225" s="745"/>
      <c r="V225" s="745"/>
      <c r="W225" s="745"/>
      <c r="X225" s="745"/>
      <c r="Y225" s="745"/>
      <c r="Z225" s="745"/>
      <c r="AA225" s="745"/>
      <c r="AB225" s="745"/>
      <c r="AC225" s="745"/>
    </row>
    <row r="226" spans="1:29" s="770" customFormat="1" x14ac:dyDescent="0.2">
      <c r="Y226" s="791"/>
    </row>
    <row r="227" spans="1:29" s="770" customFormat="1" x14ac:dyDescent="0.2">
      <c r="A227" s="790"/>
      <c r="H227" s="745"/>
      <c r="J227" s="794"/>
      <c r="L227" s="745"/>
      <c r="N227" s="790"/>
    </row>
    <row r="228" spans="1:29" s="770" customFormat="1" x14ac:dyDescent="0.2">
      <c r="C228" s="745"/>
      <c r="D228" s="745"/>
      <c r="E228" s="745"/>
      <c r="F228" s="745"/>
      <c r="G228" s="745"/>
      <c r="H228" s="745"/>
      <c r="I228" s="745"/>
      <c r="J228" s="745"/>
      <c r="K228" s="745"/>
      <c r="L228" s="745"/>
      <c r="M228" s="745"/>
      <c r="N228" s="745"/>
      <c r="O228" s="745"/>
      <c r="P228" s="745"/>
      <c r="Q228" s="745"/>
      <c r="R228" s="745"/>
      <c r="S228" s="745"/>
      <c r="T228" s="745"/>
      <c r="U228" s="745"/>
      <c r="V228" s="745"/>
      <c r="W228" s="745"/>
      <c r="X228" s="745"/>
      <c r="Y228" s="745"/>
      <c r="Z228" s="745"/>
      <c r="AA228" s="745"/>
      <c r="AB228" s="745"/>
      <c r="AC228" s="745"/>
    </row>
    <row r="229" spans="1:29" s="770" customFormat="1" x14ac:dyDescent="0.2">
      <c r="C229" s="745"/>
      <c r="D229" s="745"/>
      <c r="E229" s="745"/>
      <c r="F229" s="745"/>
      <c r="G229" s="745"/>
      <c r="H229" s="745"/>
      <c r="I229" s="745"/>
      <c r="J229" s="745"/>
      <c r="K229" s="745"/>
      <c r="L229" s="745"/>
      <c r="M229" s="745"/>
      <c r="N229" s="745"/>
      <c r="O229" s="745"/>
      <c r="P229" s="745"/>
      <c r="Q229" s="745"/>
      <c r="R229" s="745"/>
      <c r="S229" s="745"/>
      <c r="T229" s="745"/>
      <c r="U229" s="745"/>
      <c r="V229" s="745"/>
      <c r="W229" s="745"/>
      <c r="X229" s="745"/>
      <c r="Y229" s="745"/>
      <c r="Z229" s="745"/>
      <c r="AA229" s="745"/>
      <c r="AB229" s="745"/>
      <c r="AC229" s="745"/>
    </row>
    <row r="230" spans="1:29" s="770" customFormat="1" x14ac:dyDescent="0.2">
      <c r="C230" s="745"/>
      <c r="D230" s="745"/>
      <c r="E230" s="745"/>
      <c r="F230" s="745"/>
      <c r="G230" s="745"/>
      <c r="H230" s="745"/>
      <c r="I230" s="745"/>
      <c r="J230" s="745"/>
      <c r="K230" s="745"/>
      <c r="L230" s="745"/>
      <c r="M230" s="745"/>
      <c r="N230" s="745"/>
      <c r="O230" s="745"/>
      <c r="P230" s="745"/>
      <c r="Q230" s="745"/>
      <c r="R230" s="745"/>
      <c r="S230" s="745"/>
      <c r="T230" s="745"/>
      <c r="U230" s="745"/>
      <c r="V230" s="745"/>
      <c r="W230" s="745"/>
      <c r="X230" s="745"/>
      <c r="Y230" s="745"/>
      <c r="Z230" s="745"/>
      <c r="AA230" s="745"/>
      <c r="AB230" s="745"/>
      <c r="AC230" s="745"/>
    </row>
    <row r="231" spans="1:29" s="770" customFormat="1" x14ac:dyDescent="0.2">
      <c r="Y231" s="791"/>
    </row>
    <row r="232" spans="1:29" s="770" customFormat="1" x14ac:dyDescent="0.2">
      <c r="A232" s="790"/>
    </row>
    <row r="233" spans="1:29" s="770" customFormat="1" x14ac:dyDescent="0.2">
      <c r="C233" s="745"/>
      <c r="D233" s="745"/>
      <c r="E233" s="745"/>
      <c r="F233" s="745"/>
      <c r="G233" s="745"/>
      <c r="H233" s="745"/>
      <c r="I233" s="745"/>
      <c r="J233" s="745"/>
      <c r="K233" s="745"/>
      <c r="L233" s="745"/>
      <c r="M233" s="745"/>
      <c r="N233" s="745"/>
      <c r="O233" s="745"/>
      <c r="P233" s="745"/>
      <c r="Q233" s="745"/>
      <c r="R233" s="745"/>
      <c r="S233" s="745"/>
      <c r="T233" s="745"/>
      <c r="U233" s="745"/>
      <c r="V233" s="745"/>
      <c r="W233" s="745"/>
      <c r="X233" s="745"/>
      <c r="Y233" s="745"/>
      <c r="Z233" s="745"/>
      <c r="AA233" s="745"/>
      <c r="AB233" s="745"/>
      <c r="AC233" s="745"/>
    </row>
    <row r="234" spans="1:29" s="770" customFormat="1" x14ac:dyDescent="0.2">
      <c r="C234" s="745"/>
      <c r="D234" s="745"/>
      <c r="E234" s="745"/>
      <c r="F234" s="745"/>
      <c r="G234" s="745"/>
      <c r="H234" s="745"/>
      <c r="I234" s="745"/>
      <c r="J234" s="745"/>
      <c r="K234" s="745"/>
      <c r="L234" s="745"/>
      <c r="M234" s="745"/>
      <c r="N234" s="745"/>
      <c r="O234" s="745"/>
      <c r="P234" s="745"/>
      <c r="Q234" s="745"/>
      <c r="R234" s="745"/>
      <c r="S234" s="745"/>
      <c r="T234" s="745"/>
      <c r="U234" s="745"/>
      <c r="V234" s="745"/>
      <c r="W234" s="745"/>
      <c r="X234" s="745"/>
      <c r="Y234" s="745"/>
      <c r="Z234" s="745"/>
      <c r="AA234" s="745"/>
      <c r="AB234" s="745"/>
      <c r="AC234" s="745"/>
    </row>
    <row r="235" spans="1:29" s="770" customFormat="1" x14ac:dyDescent="0.2">
      <c r="C235" s="745"/>
      <c r="D235" s="745"/>
      <c r="E235" s="745"/>
      <c r="F235" s="745"/>
      <c r="G235" s="745"/>
      <c r="H235" s="745"/>
      <c r="I235" s="745"/>
      <c r="J235" s="745"/>
      <c r="K235" s="745"/>
      <c r="L235" s="745"/>
      <c r="M235" s="745"/>
      <c r="N235" s="745"/>
      <c r="O235" s="745"/>
      <c r="P235" s="745"/>
      <c r="Q235" s="745"/>
      <c r="R235" s="745"/>
      <c r="S235" s="745"/>
      <c r="T235" s="745"/>
      <c r="U235" s="745"/>
      <c r="V235" s="745"/>
      <c r="W235" s="745"/>
      <c r="X235" s="745"/>
      <c r="Y235" s="745"/>
      <c r="Z235" s="745"/>
      <c r="AA235" s="745"/>
      <c r="AB235" s="745"/>
      <c r="AC235" s="745"/>
    </row>
    <row r="236" spans="1:29" s="770" customFormat="1" x14ac:dyDescent="0.2">
      <c r="Y236" s="791"/>
    </row>
    <row r="237" spans="1:29" s="770" customFormat="1" x14ac:dyDescent="0.2">
      <c r="A237" s="790"/>
    </row>
    <row r="238" spans="1:29" s="770" customFormat="1" x14ac:dyDescent="0.2">
      <c r="C238" s="745"/>
      <c r="D238" s="745"/>
      <c r="E238" s="745"/>
      <c r="F238" s="745"/>
      <c r="G238" s="745"/>
      <c r="H238" s="745"/>
      <c r="I238" s="745"/>
      <c r="J238" s="745"/>
      <c r="K238" s="745"/>
      <c r="L238" s="745"/>
      <c r="M238" s="745"/>
      <c r="N238" s="745"/>
      <c r="O238" s="745"/>
      <c r="P238" s="745"/>
      <c r="Q238" s="745"/>
      <c r="R238" s="745"/>
      <c r="S238" s="745"/>
      <c r="T238" s="745"/>
      <c r="U238" s="745"/>
      <c r="V238" s="745"/>
      <c r="W238" s="745"/>
      <c r="X238" s="745"/>
      <c r="Y238" s="745"/>
      <c r="Z238" s="745"/>
      <c r="AA238" s="745"/>
      <c r="AB238" s="745"/>
      <c r="AC238" s="745"/>
    </row>
    <row r="239" spans="1:29" s="770" customFormat="1" x14ac:dyDescent="0.2">
      <c r="C239" s="745"/>
      <c r="D239" s="745"/>
      <c r="E239" s="745"/>
      <c r="F239" s="745"/>
      <c r="G239" s="745"/>
      <c r="H239" s="745"/>
      <c r="I239" s="745"/>
      <c r="J239" s="745"/>
      <c r="K239" s="745"/>
      <c r="L239" s="745"/>
      <c r="M239" s="745"/>
      <c r="N239" s="745"/>
      <c r="O239" s="745"/>
      <c r="P239" s="745"/>
      <c r="Q239" s="745"/>
      <c r="R239" s="745"/>
      <c r="S239" s="745"/>
      <c r="T239" s="745"/>
      <c r="U239" s="745"/>
      <c r="V239" s="745"/>
      <c r="W239" s="745"/>
      <c r="X239" s="745"/>
      <c r="Y239" s="745"/>
      <c r="Z239" s="745"/>
      <c r="AA239" s="745"/>
      <c r="AB239" s="745"/>
      <c r="AC239" s="745"/>
    </row>
    <row r="240" spans="1:29" s="770" customFormat="1" x14ac:dyDescent="0.2">
      <c r="C240" s="745"/>
      <c r="D240" s="745"/>
      <c r="E240" s="745"/>
      <c r="F240" s="745"/>
      <c r="G240" s="745"/>
      <c r="H240" s="745"/>
      <c r="I240" s="745"/>
      <c r="J240" s="745"/>
      <c r="K240" s="745"/>
      <c r="L240" s="745"/>
      <c r="M240" s="745"/>
      <c r="N240" s="745"/>
      <c r="O240" s="745"/>
      <c r="P240" s="745"/>
      <c r="Q240" s="745"/>
      <c r="R240" s="745"/>
      <c r="S240" s="745"/>
      <c r="T240" s="745"/>
      <c r="U240" s="745"/>
      <c r="V240" s="745"/>
      <c r="W240" s="745"/>
      <c r="X240" s="745"/>
      <c r="Y240" s="745"/>
      <c r="Z240" s="745"/>
      <c r="AA240" s="745"/>
      <c r="AB240" s="745"/>
      <c r="AC240" s="745"/>
    </row>
    <row r="241" spans="1:29" s="770" customFormat="1" x14ac:dyDescent="0.2">
      <c r="Y241" s="791"/>
    </row>
    <row r="242" spans="1:29" s="770" customFormat="1" x14ac:dyDescent="0.2">
      <c r="A242" s="790"/>
      <c r="H242" s="792"/>
      <c r="J242" s="798"/>
      <c r="L242" s="792"/>
      <c r="N242" s="790"/>
    </row>
    <row r="243" spans="1:29" s="770" customFormat="1" x14ac:dyDescent="0.2">
      <c r="C243" s="745"/>
      <c r="D243" s="745"/>
      <c r="E243" s="745"/>
      <c r="F243" s="745"/>
      <c r="G243" s="745"/>
      <c r="H243" s="745"/>
      <c r="I243" s="745"/>
      <c r="J243" s="745"/>
      <c r="K243" s="745"/>
      <c r="L243" s="745"/>
      <c r="M243" s="745"/>
      <c r="N243" s="745"/>
      <c r="O243" s="745"/>
      <c r="P243" s="745"/>
      <c r="Q243" s="745"/>
      <c r="R243" s="745"/>
      <c r="S243" s="745"/>
      <c r="T243" s="745"/>
      <c r="U243" s="745"/>
      <c r="V243" s="745"/>
      <c r="W243" s="745"/>
      <c r="X243" s="745"/>
      <c r="Y243" s="745"/>
      <c r="Z243" s="745"/>
      <c r="AA243" s="745"/>
      <c r="AB243" s="745"/>
      <c r="AC243" s="745"/>
    </row>
    <row r="244" spans="1:29" s="770" customFormat="1" x14ac:dyDescent="0.2">
      <c r="C244" s="745"/>
      <c r="D244" s="745"/>
      <c r="E244" s="745"/>
      <c r="F244" s="745"/>
      <c r="G244" s="745"/>
      <c r="H244" s="745"/>
      <c r="I244" s="745"/>
      <c r="J244" s="745"/>
      <c r="K244" s="745"/>
      <c r="L244" s="745"/>
      <c r="M244" s="745"/>
      <c r="N244" s="745"/>
      <c r="O244" s="745"/>
      <c r="P244" s="745"/>
      <c r="Q244" s="745"/>
      <c r="R244" s="745"/>
      <c r="S244" s="745"/>
      <c r="T244" s="745"/>
      <c r="U244" s="745"/>
      <c r="V244" s="745"/>
      <c r="W244" s="745"/>
      <c r="X244" s="745"/>
      <c r="Y244" s="745"/>
      <c r="Z244" s="745"/>
      <c r="AA244" s="745"/>
      <c r="AB244" s="745"/>
      <c r="AC244" s="745"/>
    </row>
    <row r="245" spans="1:29" s="770" customFormat="1" x14ac:dyDescent="0.2">
      <c r="C245" s="745"/>
      <c r="D245" s="745"/>
      <c r="E245" s="745"/>
      <c r="F245" s="745"/>
      <c r="G245" s="745"/>
      <c r="H245" s="745"/>
      <c r="I245" s="745"/>
      <c r="J245" s="745"/>
      <c r="K245" s="745"/>
      <c r="L245" s="745"/>
      <c r="M245" s="745"/>
      <c r="N245" s="745"/>
      <c r="O245" s="745"/>
      <c r="P245" s="745"/>
      <c r="Q245" s="745"/>
      <c r="R245" s="745"/>
      <c r="S245" s="745"/>
      <c r="T245" s="745"/>
      <c r="U245" s="745"/>
      <c r="V245" s="745"/>
      <c r="W245" s="745"/>
      <c r="X245" s="745"/>
      <c r="Y245" s="745"/>
      <c r="Z245" s="745"/>
      <c r="AA245" s="745"/>
      <c r="AB245" s="745"/>
      <c r="AC245" s="745"/>
    </row>
    <row r="246" spans="1:29" s="770" customFormat="1" x14ac:dyDescent="0.2">
      <c r="Y246" s="791"/>
    </row>
    <row r="247" spans="1:29" s="770" customFormat="1" x14ac:dyDescent="0.2">
      <c r="A247" s="790"/>
      <c r="H247" s="792"/>
      <c r="J247" s="798"/>
      <c r="L247" s="792"/>
      <c r="N247" s="790"/>
    </row>
    <row r="248" spans="1:29" s="770" customFormat="1" x14ac:dyDescent="0.2">
      <c r="C248" s="745"/>
      <c r="D248" s="745"/>
      <c r="E248" s="745"/>
      <c r="F248" s="745"/>
      <c r="G248" s="745"/>
      <c r="H248" s="745"/>
      <c r="I248" s="745"/>
      <c r="J248" s="745"/>
      <c r="K248" s="745"/>
      <c r="L248" s="745"/>
      <c r="M248" s="745"/>
      <c r="N248" s="745"/>
      <c r="O248" s="745"/>
      <c r="P248" s="745"/>
      <c r="Q248" s="745"/>
      <c r="R248" s="745"/>
      <c r="S248" s="745"/>
      <c r="T248" s="745"/>
      <c r="U248" s="745"/>
      <c r="V248" s="745"/>
      <c r="W248" s="745"/>
      <c r="X248" s="745"/>
      <c r="Y248" s="745"/>
      <c r="Z248" s="745"/>
      <c r="AA248" s="745"/>
      <c r="AB248" s="745"/>
      <c r="AC248" s="745"/>
    </row>
    <row r="249" spans="1:29" s="770" customFormat="1" x14ac:dyDescent="0.2">
      <c r="C249" s="745"/>
      <c r="D249" s="745"/>
      <c r="E249" s="745"/>
      <c r="F249" s="745"/>
      <c r="G249" s="745"/>
      <c r="H249" s="745"/>
      <c r="I249" s="745"/>
      <c r="J249" s="745"/>
      <c r="K249" s="745"/>
      <c r="L249" s="745"/>
      <c r="M249" s="745"/>
      <c r="N249" s="745"/>
      <c r="O249" s="745"/>
      <c r="P249" s="745"/>
      <c r="Q249" s="745"/>
      <c r="R249" s="745"/>
      <c r="S249" s="745"/>
      <c r="T249" s="745"/>
      <c r="U249" s="745"/>
      <c r="V249" s="745"/>
      <c r="W249" s="745"/>
      <c r="X249" s="745"/>
      <c r="Y249" s="745"/>
      <c r="Z249" s="745"/>
      <c r="AA249" s="745"/>
      <c r="AB249" s="745"/>
      <c r="AC249" s="745"/>
    </row>
    <row r="250" spans="1:29" s="770" customFormat="1" x14ac:dyDescent="0.2">
      <c r="C250" s="745"/>
      <c r="D250" s="745"/>
      <c r="E250" s="745"/>
      <c r="F250" s="745"/>
      <c r="G250" s="745"/>
      <c r="H250" s="745"/>
      <c r="I250" s="745"/>
      <c r="J250" s="745"/>
      <c r="K250" s="745"/>
      <c r="L250" s="745"/>
      <c r="M250" s="745"/>
      <c r="N250" s="745"/>
      <c r="O250" s="745"/>
      <c r="P250" s="745"/>
      <c r="Q250" s="745"/>
      <c r="R250" s="745"/>
      <c r="S250" s="745"/>
      <c r="T250" s="745"/>
      <c r="U250" s="745"/>
      <c r="V250" s="745"/>
      <c r="W250" s="745"/>
      <c r="X250" s="745"/>
      <c r="Y250" s="745"/>
      <c r="Z250" s="745"/>
      <c r="AA250" s="745"/>
      <c r="AB250" s="745"/>
      <c r="AC250" s="745"/>
    </row>
    <row r="251" spans="1:29" s="770" customFormat="1" x14ac:dyDescent="0.2">
      <c r="Y251" s="791"/>
    </row>
    <row r="252" spans="1:29" s="770" customFormat="1" x14ac:dyDescent="0.2">
      <c r="A252" s="790"/>
      <c r="H252" s="792"/>
      <c r="J252" s="798"/>
      <c r="L252" s="792"/>
      <c r="N252" s="790"/>
    </row>
    <row r="253" spans="1:29" s="770" customFormat="1" x14ac:dyDescent="0.2">
      <c r="C253" s="745"/>
      <c r="D253" s="745"/>
      <c r="E253" s="745"/>
      <c r="F253" s="745"/>
      <c r="G253" s="745"/>
      <c r="H253" s="745"/>
      <c r="I253" s="745"/>
      <c r="J253" s="745"/>
      <c r="K253" s="745"/>
      <c r="L253" s="745"/>
      <c r="M253" s="745"/>
      <c r="N253" s="745"/>
      <c r="O253" s="745"/>
      <c r="P253" s="745"/>
      <c r="Q253" s="745"/>
      <c r="R253" s="745"/>
      <c r="S253" s="745"/>
      <c r="T253" s="745"/>
      <c r="U253" s="745"/>
      <c r="V253" s="745"/>
      <c r="W253" s="745"/>
      <c r="X253" s="745"/>
      <c r="Y253" s="745"/>
      <c r="Z253" s="745"/>
      <c r="AA253" s="745"/>
      <c r="AB253" s="745"/>
      <c r="AC253" s="745"/>
    </row>
    <row r="254" spans="1:29" s="770" customFormat="1" x14ac:dyDescent="0.2">
      <c r="C254" s="745"/>
      <c r="D254" s="745"/>
      <c r="E254" s="745"/>
      <c r="F254" s="745"/>
      <c r="G254" s="745"/>
      <c r="H254" s="745"/>
      <c r="I254" s="745"/>
      <c r="J254" s="745"/>
      <c r="K254" s="745"/>
      <c r="L254" s="745"/>
      <c r="M254" s="745"/>
      <c r="N254" s="745"/>
      <c r="O254" s="745"/>
      <c r="P254" s="745"/>
      <c r="Q254" s="745"/>
      <c r="R254" s="745"/>
      <c r="S254" s="745"/>
      <c r="T254" s="745"/>
      <c r="U254" s="745"/>
      <c r="V254" s="745"/>
      <c r="W254" s="745"/>
      <c r="X254" s="745"/>
      <c r="Y254" s="745"/>
      <c r="Z254" s="745"/>
      <c r="AA254" s="745"/>
      <c r="AB254" s="745"/>
      <c r="AC254" s="745"/>
    </row>
    <row r="255" spans="1:29" s="770" customFormat="1" x14ac:dyDescent="0.2">
      <c r="C255" s="745"/>
      <c r="D255" s="745"/>
      <c r="E255" s="745"/>
      <c r="F255" s="745"/>
      <c r="G255" s="745"/>
      <c r="H255" s="745"/>
      <c r="I255" s="745"/>
      <c r="J255" s="745"/>
      <c r="K255" s="745"/>
      <c r="L255" s="745"/>
      <c r="M255" s="745"/>
      <c r="N255" s="745"/>
      <c r="O255" s="745"/>
      <c r="P255" s="745"/>
      <c r="Q255" s="745"/>
      <c r="R255" s="745"/>
      <c r="S255" s="745"/>
      <c r="T255" s="745"/>
      <c r="U255" s="745"/>
      <c r="V255" s="745"/>
      <c r="W255" s="745"/>
      <c r="X255" s="745"/>
      <c r="Y255" s="745"/>
      <c r="Z255" s="745"/>
      <c r="AA255" s="745"/>
      <c r="AB255" s="745"/>
      <c r="AC255" s="745"/>
    </row>
    <row r="256" spans="1:29" s="770" customFormat="1" x14ac:dyDescent="0.2">
      <c r="Y256" s="791"/>
    </row>
    <row r="257" spans="1:29" s="770" customFormat="1" x14ac:dyDescent="0.2"/>
    <row r="258" spans="1:29" s="770" customFormat="1" x14ac:dyDescent="0.2">
      <c r="N258" s="790"/>
    </row>
    <row r="259" spans="1:29" s="770" customFormat="1" x14ac:dyDescent="0.2">
      <c r="C259" s="795"/>
      <c r="N259" s="790"/>
    </row>
    <row r="260" spans="1:29" s="770" customFormat="1" x14ac:dyDescent="0.2">
      <c r="C260" s="796"/>
      <c r="J260" s="797"/>
      <c r="K260" s="797"/>
      <c r="N260" s="790"/>
    </row>
    <row r="261" spans="1:29" s="770" customFormat="1" x14ac:dyDescent="0.2">
      <c r="C261" s="790"/>
      <c r="N261" s="790"/>
    </row>
    <row r="262" spans="1:29" s="770" customFormat="1" x14ac:dyDescent="0.2">
      <c r="U262" s="790"/>
    </row>
    <row r="263" spans="1:29" s="770" customFormat="1" x14ac:dyDescent="0.2">
      <c r="U263" s="790"/>
    </row>
    <row r="264" spans="1:29" s="770" customFormat="1" x14ac:dyDescent="0.2">
      <c r="U264" s="790"/>
    </row>
    <row r="265" spans="1:29" s="770" customFormat="1" x14ac:dyDescent="0.2">
      <c r="A265" s="790"/>
      <c r="C265" s="790"/>
      <c r="H265" s="790"/>
      <c r="J265" s="790"/>
      <c r="L265" s="790"/>
    </row>
    <row r="266" spans="1:29" s="770" customFormat="1" x14ac:dyDescent="0.2">
      <c r="A266" s="790"/>
      <c r="C266" s="790"/>
      <c r="H266" s="790"/>
      <c r="J266" s="790"/>
      <c r="L266" s="790"/>
      <c r="N266" s="790"/>
    </row>
    <row r="267" spans="1:29" s="770" customFormat="1" x14ac:dyDescent="0.2"/>
    <row r="268" spans="1:29" s="770" customFormat="1" x14ac:dyDescent="0.2"/>
    <row r="269" spans="1:29" s="770" customFormat="1" x14ac:dyDescent="0.2">
      <c r="A269" s="790"/>
      <c r="H269" s="792"/>
      <c r="J269" s="798"/>
      <c r="K269" s="792"/>
      <c r="L269" s="792"/>
      <c r="N269" s="790"/>
    </row>
    <row r="270" spans="1:29" s="770" customFormat="1" x14ac:dyDescent="0.2">
      <c r="C270" s="745"/>
      <c r="D270" s="745"/>
      <c r="E270" s="745"/>
      <c r="F270" s="745"/>
      <c r="G270" s="745"/>
      <c r="H270" s="745"/>
      <c r="I270" s="745"/>
      <c r="J270" s="745"/>
      <c r="K270" s="745"/>
      <c r="L270" s="745"/>
      <c r="M270" s="745"/>
      <c r="N270" s="745"/>
      <c r="O270" s="745"/>
      <c r="P270" s="745"/>
      <c r="Q270" s="745"/>
      <c r="R270" s="745"/>
      <c r="S270" s="745"/>
      <c r="T270" s="745"/>
      <c r="U270" s="745"/>
      <c r="V270" s="745"/>
      <c r="W270" s="745"/>
      <c r="X270" s="745"/>
      <c r="Y270" s="745"/>
      <c r="Z270" s="745"/>
      <c r="AA270" s="745"/>
      <c r="AB270" s="745"/>
      <c r="AC270" s="745"/>
    </row>
    <row r="271" spans="1:29" s="770" customFormat="1" x14ac:dyDescent="0.2">
      <c r="C271" s="745"/>
      <c r="D271" s="745"/>
      <c r="E271" s="745"/>
      <c r="F271" s="745"/>
      <c r="G271" s="745"/>
      <c r="H271" s="745"/>
      <c r="I271" s="745"/>
      <c r="J271" s="745"/>
      <c r="K271" s="745"/>
      <c r="L271" s="745"/>
      <c r="M271" s="745"/>
      <c r="N271" s="745"/>
      <c r="O271" s="745"/>
      <c r="P271" s="745"/>
      <c r="Q271" s="745"/>
      <c r="R271" s="745"/>
      <c r="S271" s="745"/>
      <c r="T271" s="745"/>
      <c r="U271" s="745"/>
      <c r="V271" s="745"/>
      <c r="W271" s="745"/>
      <c r="X271" s="745"/>
      <c r="Y271" s="745"/>
      <c r="Z271" s="745"/>
      <c r="AA271" s="745"/>
      <c r="AB271" s="745"/>
      <c r="AC271" s="745"/>
    </row>
    <row r="272" spans="1:29" s="770" customFormat="1" x14ac:dyDescent="0.2">
      <c r="C272" s="745"/>
      <c r="D272" s="745"/>
      <c r="E272" s="745"/>
      <c r="F272" s="745"/>
      <c r="G272" s="745"/>
      <c r="H272" s="745"/>
      <c r="I272" s="745"/>
      <c r="J272" s="745"/>
      <c r="K272" s="745"/>
      <c r="L272" s="745"/>
      <c r="M272" s="745"/>
      <c r="N272" s="745"/>
      <c r="O272" s="745"/>
      <c r="P272" s="745"/>
      <c r="Q272" s="745"/>
      <c r="R272" s="745"/>
      <c r="S272" s="745"/>
      <c r="T272" s="745"/>
      <c r="U272" s="745"/>
      <c r="V272" s="745"/>
      <c r="W272" s="745"/>
      <c r="X272" s="745"/>
      <c r="Y272" s="745"/>
      <c r="Z272" s="745"/>
      <c r="AA272" s="745"/>
      <c r="AB272" s="745"/>
      <c r="AC272" s="745"/>
    </row>
    <row r="273" spans="1:35" s="770" customFormat="1" x14ac:dyDescent="0.2">
      <c r="Y273" s="791"/>
    </row>
    <row r="274" spans="1:35" s="770" customFormat="1" x14ac:dyDescent="0.2">
      <c r="A274" s="790"/>
      <c r="H274" s="792"/>
      <c r="J274" s="798"/>
      <c r="L274" s="792"/>
      <c r="N274" s="790"/>
    </row>
    <row r="275" spans="1:35" s="770" customFormat="1" x14ac:dyDescent="0.2">
      <c r="C275" s="745"/>
      <c r="D275" s="745"/>
      <c r="E275" s="745"/>
      <c r="F275" s="745"/>
      <c r="G275" s="745"/>
      <c r="H275" s="745"/>
      <c r="I275" s="745"/>
      <c r="J275" s="745"/>
      <c r="K275" s="745"/>
      <c r="L275" s="745"/>
      <c r="M275" s="745"/>
      <c r="N275" s="745"/>
      <c r="O275" s="745"/>
      <c r="P275" s="745"/>
      <c r="Q275" s="745"/>
      <c r="R275" s="745"/>
      <c r="S275" s="745"/>
      <c r="T275" s="745"/>
      <c r="U275" s="745"/>
      <c r="V275" s="745"/>
      <c r="W275" s="745"/>
      <c r="X275" s="745"/>
      <c r="Y275" s="745"/>
      <c r="Z275" s="745"/>
      <c r="AA275" s="745"/>
      <c r="AB275" s="745"/>
      <c r="AC275" s="745"/>
    </row>
    <row r="276" spans="1:35" s="770" customFormat="1" x14ac:dyDescent="0.2">
      <c r="C276" s="745"/>
      <c r="D276" s="745"/>
      <c r="E276" s="745"/>
      <c r="F276" s="745"/>
      <c r="G276" s="745"/>
      <c r="H276" s="745"/>
      <c r="I276" s="745"/>
      <c r="J276" s="745"/>
      <c r="K276" s="745"/>
      <c r="L276" s="745"/>
      <c r="M276" s="745"/>
      <c r="N276" s="745"/>
      <c r="O276" s="745"/>
      <c r="P276" s="745"/>
      <c r="Q276" s="745"/>
      <c r="R276" s="745"/>
      <c r="S276" s="745"/>
      <c r="T276" s="745"/>
      <c r="U276" s="745"/>
      <c r="V276" s="745"/>
      <c r="W276" s="745"/>
      <c r="X276" s="745"/>
      <c r="Y276" s="745"/>
      <c r="Z276" s="745"/>
      <c r="AA276" s="745"/>
      <c r="AB276" s="745"/>
      <c r="AC276" s="745"/>
    </row>
    <row r="277" spans="1:35" s="770" customFormat="1" x14ac:dyDescent="0.2">
      <c r="C277" s="745"/>
      <c r="D277" s="745"/>
      <c r="E277" s="745"/>
      <c r="F277" s="745"/>
      <c r="G277" s="745"/>
      <c r="H277" s="745"/>
      <c r="I277" s="745"/>
      <c r="J277" s="745"/>
      <c r="K277" s="745"/>
      <c r="L277" s="745"/>
      <c r="M277" s="745"/>
      <c r="N277" s="745"/>
      <c r="O277" s="745"/>
      <c r="P277" s="745"/>
      <c r="Q277" s="745"/>
      <c r="R277" s="745"/>
      <c r="S277" s="745"/>
      <c r="T277" s="745"/>
      <c r="U277" s="745"/>
      <c r="V277" s="745"/>
      <c r="W277" s="745"/>
      <c r="X277" s="745"/>
      <c r="Y277" s="745"/>
      <c r="Z277" s="745"/>
      <c r="AA277" s="745"/>
      <c r="AB277" s="745"/>
      <c r="AC277" s="745"/>
    </row>
    <row r="278" spans="1:35" s="770" customFormat="1" x14ac:dyDescent="0.2">
      <c r="Y278" s="791"/>
    </row>
    <row r="279" spans="1:35" s="770" customFormat="1" x14ac:dyDescent="0.2">
      <c r="A279" s="790"/>
      <c r="H279" s="792"/>
      <c r="J279" s="798"/>
      <c r="L279" s="792"/>
      <c r="N279" s="790"/>
    </row>
    <row r="280" spans="1:35" s="770" customFormat="1" x14ac:dyDescent="0.2">
      <c r="C280" s="745"/>
      <c r="D280" s="745"/>
      <c r="E280" s="745"/>
      <c r="F280" s="745"/>
      <c r="G280" s="745"/>
      <c r="H280" s="745"/>
      <c r="I280" s="745"/>
      <c r="J280" s="745"/>
      <c r="K280" s="745"/>
      <c r="L280" s="745"/>
      <c r="M280" s="745"/>
      <c r="N280" s="745"/>
      <c r="O280" s="745"/>
      <c r="P280" s="745"/>
      <c r="Q280" s="745"/>
      <c r="R280" s="745"/>
      <c r="S280" s="745"/>
      <c r="T280" s="745"/>
      <c r="U280" s="745"/>
      <c r="V280" s="745"/>
      <c r="W280" s="745"/>
      <c r="X280" s="745"/>
      <c r="Y280" s="745"/>
      <c r="Z280" s="745"/>
      <c r="AA280" s="745"/>
      <c r="AB280" s="745"/>
      <c r="AC280" s="745"/>
      <c r="AD280" s="745"/>
      <c r="AE280" s="745"/>
      <c r="AF280" s="745"/>
      <c r="AG280" s="745"/>
      <c r="AH280" s="745"/>
      <c r="AI280" s="745"/>
    </row>
    <row r="281" spans="1:35" s="770" customFormat="1" x14ac:dyDescent="0.2">
      <c r="C281" s="745"/>
      <c r="D281" s="745"/>
      <c r="E281" s="745"/>
      <c r="F281" s="745"/>
      <c r="G281" s="745"/>
      <c r="H281" s="745"/>
      <c r="I281" s="745"/>
      <c r="J281" s="745"/>
      <c r="K281" s="745"/>
      <c r="L281" s="745"/>
      <c r="M281" s="745"/>
      <c r="N281" s="745"/>
      <c r="O281" s="745"/>
      <c r="P281" s="745"/>
      <c r="Q281" s="745"/>
      <c r="R281" s="745"/>
      <c r="S281" s="745"/>
      <c r="T281" s="745"/>
      <c r="U281" s="745"/>
      <c r="V281" s="745"/>
      <c r="W281" s="745"/>
      <c r="X281" s="745"/>
      <c r="Y281" s="745"/>
      <c r="Z281" s="745"/>
      <c r="AA281" s="745"/>
      <c r="AB281" s="745"/>
      <c r="AC281" s="745"/>
      <c r="AD281" s="745"/>
      <c r="AE281" s="745"/>
      <c r="AF281" s="745"/>
      <c r="AG281" s="745"/>
      <c r="AH281" s="745"/>
      <c r="AI281" s="745"/>
    </row>
    <row r="282" spans="1:35" s="770" customFormat="1" x14ac:dyDescent="0.2">
      <c r="C282" s="745"/>
      <c r="D282" s="745"/>
      <c r="E282" s="745"/>
      <c r="F282" s="745"/>
      <c r="G282" s="745"/>
      <c r="H282" s="745"/>
      <c r="I282" s="745"/>
      <c r="J282" s="745"/>
      <c r="K282" s="745"/>
      <c r="L282" s="745"/>
      <c r="M282" s="745"/>
      <c r="N282" s="745"/>
      <c r="O282" s="745"/>
      <c r="P282" s="745"/>
      <c r="Q282" s="745"/>
      <c r="R282" s="745"/>
      <c r="S282" s="745"/>
      <c r="T282" s="745"/>
      <c r="U282" s="745"/>
      <c r="V282" s="745"/>
      <c r="W282" s="745"/>
      <c r="X282" s="745"/>
      <c r="Y282" s="745"/>
      <c r="Z282" s="745"/>
      <c r="AA282" s="745"/>
      <c r="AB282" s="745"/>
      <c r="AC282" s="745"/>
      <c r="AD282" s="745"/>
      <c r="AE282" s="745"/>
      <c r="AF282" s="745"/>
      <c r="AG282" s="745"/>
      <c r="AH282" s="745"/>
      <c r="AI282" s="745"/>
    </row>
    <row r="283" spans="1:35" s="770" customFormat="1" x14ac:dyDescent="0.2">
      <c r="Y283" s="791"/>
    </row>
    <row r="284" spans="1:35" s="770" customFormat="1" x14ac:dyDescent="0.2">
      <c r="A284" s="790"/>
      <c r="H284" s="792"/>
      <c r="J284" s="798"/>
      <c r="L284" s="792"/>
      <c r="N284" s="790"/>
    </row>
    <row r="285" spans="1:35" s="770" customFormat="1" x14ac:dyDescent="0.2">
      <c r="C285" s="745"/>
      <c r="D285" s="745"/>
      <c r="E285" s="745"/>
      <c r="F285" s="745"/>
      <c r="G285" s="745"/>
      <c r="H285" s="745"/>
      <c r="I285" s="745"/>
      <c r="J285" s="745"/>
      <c r="K285" s="745"/>
      <c r="L285" s="745"/>
      <c r="M285" s="745"/>
      <c r="N285" s="745"/>
      <c r="O285" s="745"/>
      <c r="P285" s="745"/>
      <c r="Q285" s="745"/>
      <c r="R285" s="745"/>
      <c r="S285" s="745"/>
      <c r="T285" s="745"/>
      <c r="U285" s="745"/>
      <c r="V285" s="745"/>
      <c r="W285" s="745"/>
      <c r="X285" s="745"/>
      <c r="Y285" s="745"/>
      <c r="Z285" s="745"/>
      <c r="AA285" s="745"/>
      <c r="AB285" s="745"/>
      <c r="AC285" s="745"/>
    </row>
    <row r="286" spans="1:35" s="770" customFormat="1" x14ac:dyDescent="0.2">
      <c r="C286" s="745"/>
      <c r="D286" s="745"/>
      <c r="E286" s="745"/>
      <c r="F286" s="745"/>
      <c r="G286" s="745"/>
      <c r="H286" s="745"/>
      <c r="I286" s="745"/>
      <c r="J286" s="745"/>
      <c r="K286" s="745"/>
      <c r="L286" s="745"/>
      <c r="M286" s="745"/>
      <c r="N286" s="745"/>
      <c r="O286" s="745"/>
      <c r="P286" s="745"/>
      <c r="Q286" s="745"/>
      <c r="R286" s="745"/>
      <c r="S286" s="745"/>
      <c r="T286" s="745"/>
      <c r="U286" s="745"/>
      <c r="V286" s="745"/>
      <c r="W286" s="745"/>
      <c r="X286" s="745"/>
      <c r="Y286" s="745"/>
      <c r="Z286" s="745"/>
      <c r="AA286" s="745"/>
      <c r="AB286" s="745"/>
      <c r="AC286" s="745"/>
    </row>
    <row r="287" spans="1:35" s="770" customFormat="1" x14ac:dyDescent="0.2">
      <c r="C287" s="745"/>
      <c r="D287" s="745"/>
      <c r="E287" s="745"/>
      <c r="F287" s="745"/>
      <c r="G287" s="745"/>
      <c r="H287" s="745"/>
      <c r="I287" s="745"/>
      <c r="J287" s="745"/>
      <c r="K287" s="745"/>
      <c r="L287" s="745"/>
      <c r="M287" s="745"/>
      <c r="N287" s="745"/>
      <c r="O287" s="745"/>
      <c r="P287" s="745"/>
      <c r="Q287" s="745"/>
      <c r="R287" s="745"/>
      <c r="S287" s="745"/>
      <c r="T287" s="745"/>
      <c r="U287" s="745"/>
      <c r="V287" s="745"/>
      <c r="W287" s="745"/>
      <c r="X287" s="745"/>
      <c r="Y287" s="745"/>
      <c r="Z287" s="745"/>
      <c r="AA287" s="745"/>
      <c r="AB287" s="745"/>
      <c r="AC287" s="745"/>
    </row>
    <row r="288" spans="1:35" s="770" customFormat="1" x14ac:dyDescent="0.2">
      <c r="Y288" s="791"/>
    </row>
    <row r="289" spans="1:29" s="770" customFormat="1" x14ac:dyDescent="0.2">
      <c r="A289" s="790"/>
      <c r="H289" s="792"/>
      <c r="J289" s="798"/>
      <c r="K289" s="790"/>
      <c r="L289" s="792"/>
      <c r="N289" s="790"/>
    </row>
    <row r="290" spans="1:29" s="770" customFormat="1" x14ac:dyDescent="0.2">
      <c r="C290" s="745"/>
      <c r="D290" s="745"/>
      <c r="E290" s="745"/>
      <c r="F290" s="745"/>
      <c r="G290" s="745"/>
      <c r="H290" s="745"/>
      <c r="I290" s="745"/>
      <c r="J290" s="745"/>
      <c r="K290" s="745"/>
      <c r="L290" s="745"/>
      <c r="M290" s="745"/>
      <c r="N290" s="745"/>
      <c r="O290" s="745"/>
      <c r="P290" s="745"/>
      <c r="Q290" s="745"/>
      <c r="R290" s="745"/>
      <c r="S290" s="745"/>
      <c r="T290" s="745"/>
      <c r="U290" s="745"/>
      <c r="V290" s="745"/>
      <c r="W290" s="745"/>
      <c r="X290" s="745"/>
      <c r="Y290" s="745"/>
      <c r="Z290" s="745"/>
      <c r="AA290" s="745"/>
      <c r="AB290" s="745"/>
      <c r="AC290" s="745"/>
    </row>
    <row r="291" spans="1:29" s="770" customFormat="1" x14ac:dyDescent="0.2">
      <c r="C291" s="745"/>
      <c r="D291" s="745"/>
      <c r="E291" s="745"/>
      <c r="F291" s="745"/>
      <c r="G291" s="745"/>
      <c r="H291" s="745"/>
      <c r="I291" s="745"/>
      <c r="J291" s="745"/>
      <c r="K291" s="745"/>
      <c r="L291" s="745"/>
      <c r="M291" s="745"/>
      <c r="N291" s="745"/>
      <c r="O291" s="745"/>
      <c r="P291" s="745"/>
      <c r="Q291" s="745"/>
      <c r="R291" s="745"/>
      <c r="S291" s="745"/>
      <c r="T291" s="745"/>
      <c r="U291" s="745"/>
      <c r="V291" s="745"/>
      <c r="W291" s="745"/>
      <c r="X291" s="745"/>
      <c r="Y291" s="745"/>
      <c r="Z291" s="745"/>
      <c r="AA291" s="745"/>
      <c r="AB291" s="745"/>
      <c r="AC291" s="745"/>
    </row>
    <row r="292" spans="1:29" s="770" customFormat="1" x14ac:dyDescent="0.2">
      <c r="C292" s="745"/>
      <c r="D292" s="745"/>
      <c r="E292" s="745"/>
      <c r="F292" s="745"/>
      <c r="G292" s="745"/>
      <c r="H292" s="745"/>
      <c r="I292" s="745"/>
      <c r="J292" s="745"/>
      <c r="K292" s="745"/>
      <c r="L292" s="745"/>
      <c r="M292" s="745"/>
      <c r="N292" s="745"/>
      <c r="O292" s="745"/>
      <c r="P292" s="745"/>
      <c r="Q292" s="745"/>
      <c r="R292" s="745"/>
      <c r="S292" s="745"/>
      <c r="T292" s="745"/>
      <c r="U292" s="745"/>
      <c r="V292" s="745"/>
      <c r="W292" s="745"/>
      <c r="X292" s="745"/>
      <c r="Y292" s="745"/>
      <c r="Z292" s="745"/>
      <c r="AA292" s="745"/>
      <c r="AB292" s="745"/>
      <c r="AC292" s="745"/>
    </row>
    <row r="293" spans="1:29" s="770" customFormat="1" x14ac:dyDescent="0.2">
      <c r="Y293" s="791"/>
    </row>
    <row r="294" spans="1:29" s="770" customFormat="1" x14ac:dyDescent="0.2">
      <c r="A294" s="790"/>
      <c r="H294" s="792"/>
      <c r="J294" s="798"/>
      <c r="L294" s="792"/>
      <c r="N294" s="790"/>
    </row>
    <row r="295" spans="1:29" s="770" customFormat="1" x14ac:dyDescent="0.2"/>
    <row r="296" spans="1:29" s="770" customFormat="1" x14ac:dyDescent="0.2"/>
    <row r="297" spans="1:29" s="770" customFormat="1" x14ac:dyDescent="0.2"/>
    <row r="298" spans="1:29" s="770" customFormat="1" x14ac:dyDescent="0.2"/>
    <row r="299" spans="1:29" s="770" customFormat="1" x14ac:dyDescent="0.2">
      <c r="A299" s="790"/>
      <c r="H299" s="792"/>
      <c r="J299" s="798"/>
      <c r="L299" s="792"/>
      <c r="N299" s="790"/>
    </row>
    <row r="300" spans="1:29" s="770" customFormat="1" x14ac:dyDescent="0.2">
      <c r="C300" s="745"/>
      <c r="D300" s="745"/>
      <c r="E300" s="745"/>
      <c r="F300" s="745"/>
      <c r="G300" s="745"/>
      <c r="H300" s="745"/>
      <c r="I300" s="745"/>
      <c r="J300" s="745"/>
      <c r="K300" s="745"/>
      <c r="L300" s="745"/>
      <c r="M300" s="745"/>
      <c r="N300" s="745"/>
      <c r="O300" s="745"/>
      <c r="P300" s="745"/>
      <c r="Q300" s="745"/>
      <c r="R300" s="745"/>
      <c r="S300" s="745"/>
      <c r="T300" s="745"/>
      <c r="U300" s="745"/>
      <c r="V300" s="745"/>
      <c r="W300" s="745"/>
      <c r="X300" s="745"/>
      <c r="Y300" s="745"/>
      <c r="Z300" s="745"/>
      <c r="AA300" s="745"/>
      <c r="AB300" s="745"/>
      <c r="AC300" s="745"/>
    </row>
    <row r="301" spans="1:29" s="770" customFormat="1" x14ac:dyDescent="0.2">
      <c r="C301" s="745"/>
      <c r="D301" s="745"/>
      <c r="E301" s="745"/>
      <c r="F301" s="745"/>
      <c r="G301" s="745"/>
      <c r="H301" s="745"/>
      <c r="I301" s="745"/>
      <c r="J301" s="745"/>
      <c r="K301" s="745"/>
      <c r="L301" s="745"/>
      <c r="M301" s="745"/>
      <c r="N301" s="745"/>
      <c r="O301" s="745"/>
      <c r="P301" s="745"/>
      <c r="Q301" s="745"/>
      <c r="R301" s="745"/>
      <c r="S301" s="745"/>
      <c r="T301" s="745"/>
      <c r="U301" s="745"/>
      <c r="V301" s="745"/>
      <c r="W301" s="745"/>
      <c r="X301" s="745"/>
      <c r="Y301" s="745"/>
      <c r="Z301" s="745"/>
      <c r="AA301" s="745"/>
      <c r="AB301" s="745"/>
      <c r="AC301" s="745"/>
    </row>
    <row r="302" spans="1:29" s="770" customFormat="1" x14ac:dyDescent="0.2">
      <c r="C302" s="745"/>
      <c r="D302" s="745"/>
      <c r="E302" s="745"/>
      <c r="F302" s="745"/>
      <c r="G302" s="745"/>
      <c r="H302" s="745"/>
      <c r="I302" s="745"/>
      <c r="J302" s="745"/>
      <c r="K302" s="745"/>
      <c r="L302" s="745"/>
      <c r="M302" s="745"/>
      <c r="N302" s="745"/>
      <c r="O302" s="745"/>
      <c r="P302" s="745"/>
      <c r="Q302" s="745"/>
      <c r="R302" s="745"/>
      <c r="S302" s="745"/>
      <c r="T302" s="745"/>
      <c r="U302" s="745"/>
      <c r="V302" s="745"/>
      <c r="W302" s="745"/>
      <c r="X302" s="745"/>
      <c r="Y302" s="745"/>
      <c r="Z302" s="745"/>
      <c r="AA302" s="745"/>
      <c r="AB302" s="745"/>
      <c r="AC302" s="745"/>
    </row>
    <row r="303" spans="1:29" s="770" customFormat="1" x14ac:dyDescent="0.2">
      <c r="Y303" s="791"/>
    </row>
    <row r="304" spans="1:29" s="770" customFormat="1" x14ac:dyDescent="0.2">
      <c r="A304" s="790"/>
      <c r="F304" s="790"/>
      <c r="H304" s="745"/>
      <c r="J304" s="798"/>
      <c r="L304" s="745"/>
      <c r="N304" s="790"/>
    </row>
    <row r="305" spans="1:29" s="770" customFormat="1" x14ac:dyDescent="0.2">
      <c r="C305" s="745"/>
      <c r="D305" s="745"/>
      <c r="E305" s="745"/>
      <c r="F305" s="745"/>
      <c r="G305" s="745"/>
      <c r="H305" s="745"/>
      <c r="I305" s="745"/>
      <c r="J305" s="745"/>
      <c r="K305" s="745"/>
      <c r="L305" s="745"/>
      <c r="M305" s="745"/>
      <c r="N305" s="745"/>
      <c r="O305" s="745"/>
      <c r="P305" s="745"/>
      <c r="Q305" s="745"/>
      <c r="R305" s="745"/>
      <c r="S305" s="745"/>
      <c r="T305" s="745"/>
      <c r="U305" s="745"/>
      <c r="V305" s="745"/>
      <c r="W305" s="745"/>
      <c r="X305" s="745"/>
      <c r="Y305" s="745"/>
      <c r="Z305" s="745"/>
      <c r="AA305" s="745"/>
      <c r="AB305" s="745"/>
      <c r="AC305" s="745"/>
    </row>
    <row r="306" spans="1:29" s="770" customFormat="1" x14ac:dyDescent="0.2">
      <c r="C306" s="745"/>
      <c r="D306" s="745"/>
      <c r="E306" s="745"/>
      <c r="F306" s="745"/>
      <c r="G306" s="745"/>
      <c r="H306" s="745"/>
      <c r="I306" s="745"/>
      <c r="J306" s="745"/>
      <c r="K306" s="745"/>
      <c r="L306" s="745"/>
      <c r="M306" s="745"/>
      <c r="N306" s="745"/>
      <c r="O306" s="745"/>
      <c r="P306" s="745"/>
      <c r="Q306" s="745"/>
      <c r="R306" s="745"/>
      <c r="S306" s="745"/>
      <c r="T306" s="745"/>
      <c r="U306" s="745"/>
      <c r="V306" s="745"/>
      <c r="W306" s="745"/>
      <c r="X306" s="745"/>
      <c r="Y306" s="745"/>
      <c r="Z306" s="745"/>
      <c r="AA306" s="745"/>
      <c r="AB306" s="745"/>
      <c r="AC306" s="745"/>
    </row>
    <row r="307" spans="1:29" s="770" customFormat="1" x14ac:dyDescent="0.2">
      <c r="C307" s="745"/>
      <c r="D307" s="745"/>
      <c r="E307" s="745"/>
      <c r="F307" s="745"/>
      <c r="G307" s="745"/>
      <c r="H307" s="745"/>
      <c r="I307" s="745"/>
      <c r="J307" s="745"/>
      <c r="K307" s="745"/>
      <c r="L307" s="745"/>
      <c r="M307" s="745"/>
      <c r="N307" s="745"/>
      <c r="O307" s="745"/>
      <c r="P307" s="745"/>
      <c r="Q307" s="745"/>
      <c r="R307" s="745"/>
      <c r="S307" s="745"/>
      <c r="T307" s="745"/>
      <c r="U307" s="745"/>
      <c r="V307" s="745"/>
      <c r="W307" s="745"/>
      <c r="X307" s="745"/>
      <c r="Y307" s="745"/>
      <c r="Z307" s="745"/>
      <c r="AA307" s="745"/>
      <c r="AB307" s="745"/>
      <c r="AC307" s="745"/>
    </row>
    <row r="308" spans="1:29" s="770" customFormat="1" x14ac:dyDescent="0.2">
      <c r="Y308" s="791"/>
    </row>
    <row r="309" spans="1:29" s="770" customFormat="1" x14ac:dyDescent="0.2"/>
    <row r="310" spans="1:29" s="770" customFormat="1" x14ac:dyDescent="0.2">
      <c r="N310" s="790"/>
    </row>
    <row r="311" spans="1:29" s="770" customFormat="1" x14ac:dyDescent="0.2">
      <c r="C311" s="795"/>
      <c r="N311" s="790"/>
    </row>
    <row r="312" spans="1:29" s="770" customFormat="1" x14ac:dyDescent="0.2">
      <c r="C312" s="796"/>
      <c r="J312" s="797"/>
      <c r="K312" s="797"/>
      <c r="N312" s="790"/>
    </row>
    <row r="313" spans="1:29" s="770" customFormat="1" x14ac:dyDescent="0.2">
      <c r="C313" s="790"/>
      <c r="N313" s="790"/>
    </row>
    <row r="314" spans="1:29" s="770" customFormat="1" x14ac:dyDescent="0.2">
      <c r="U314" s="790"/>
    </row>
    <row r="315" spans="1:29" s="770" customFormat="1" x14ac:dyDescent="0.2">
      <c r="U315" s="790"/>
    </row>
    <row r="316" spans="1:29" s="770" customFormat="1" x14ac:dyDescent="0.2">
      <c r="U316" s="790"/>
    </row>
    <row r="317" spans="1:29" s="770" customFormat="1" x14ac:dyDescent="0.2">
      <c r="A317" s="790"/>
      <c r="C317" s="790"/>
      <c r="H317" s="790"/>
      <c r="J317" s="790"/>
      <c r="L317" s="790"/>
    </row>
    <row r="318" spans="1:29" s="770" customFormat="1" x14ac:dyDescent="0.2">
      <c r="A318" s="790"/>
      <c r="C318" s="790"/>
      <c r="H318" s="790"/>
      <c r="J318" s="790"/>
      <c r="L318" s="790"/>
      <c r="N318" s="790"/>
    </row>
    <row r="319" spans="1:29" s="770" customFormat="1" x14ac:dyDescent="0.2"/>
    <row r="320" spans="1:29" s="770" customFormat="1" x14ac:dyDescent="0.2"/>
    <row r="321" spans="1:29" s="770" customFormat="1" x14ac:dyDescent="0.2">
      <c r="A321" s="790"/>
      <c r="C321" s="790"/>
      <c r="J321" s="799"/>
      <c r="N321" s="790"/>
    </row>
    <row r="322" spans="1:29" s="770" customFormat="1" x14ac:dyDescent="0.2">
      <c r="C322" s="745"/>
      <c r="D322" s="745"/>
      <c r="E322" s="745"/>
      <c r="F322" s="745"/>
      <c r="G322" s="745"/>
      <c r="H322" s="745"/>
      <c r="I322" s="745"/>
      <c r="J322" s="745"/>
      <c r="K322" s="745"/>
      <c r="L322" s="745"/>
      <c r="M322" s="745"/>
      <c r="N322" s="745"/>
      <c r="O322" s="745"/>
      <c r="P322" s="745"/>
      <c r="Q322" s="745"/>
      <c r="R322" s="745"/>
      <c r="S322" s="745"/>
      <c r="T322" s="745"/>
      <c r="U322" s="745"/>
      <c r="V322" s="745"/>
      <c r="W322" s="745"/>
      <c r="X322" s="745"/>
      <c r="Y322" s="745"/>
      <c r="Z322" s="745"/>
      <c r="AA322" s="745"/>
      <c r="AB322" s="745"/>
      <c r="AC322" s="745"/>
    </row>
    <row r="323" spans="1:29" s="770" customFormat="1" x14ac:dyDescent="0.2">
      <c r="C323" s="745"/>
      <c r="D323" s="745"/>
      <c r="E323" s="745"/>
      <c r="F323" s="745"/>
      <c r="G323" s="745"/>
      <c r="H323" s="745"/>
      <c r="I323" s="745"/>
      <c r="J323" s="745"/>
      <c r="K323" s="745"/>
      <c r="L323" s="745"/>
      <c r="M323" s="745"/>
      <c r="N323" s="745"/>
      <c r="O323" s="745"/>
      <c r="P323" s="745"/>
      <c r="Q323" s="745"/>
      <c r="R323" s="745"/>
      <c r="S323" s="745"/>
      <c r="T323" s="745"/>
      <c r="U323" s="745"/>
      <c r="V323" s="745"/>
      <c r="W323" s="745"/>
      <c r="X323" s="745"/>
      <c r="Y323" s="745"/>
      <c r="Z323" s="745"/>
      <c r="AA323" s="745"/>
      <c r="AB323" s="745"/>
      <c r="AC323" s="745"/>
    </row>
    <row r="324" spans="1:29" s="770" customFormat="1" x14ac:dyDescent="0.2">
      <c r="C324" s="745"/>
      <c r="D324" s="745"/>
      <c r="E324" s="745"/>
      <c r="F324" s="745"/>
      <c r="G324" s="745"/>
      <c r="H324" s="745"/>
      <c r="I324" s="745"/>
      <c r="J324" s="745"/>
      <c r="K324" s="745"/>
      <c r="L324" s="745"/>
      <c r="M324" s="745"/>
      <c r="N324" s="745"/>
      <c r="O324" s="745"/>
      <c r="P324" s="745"/>
      <c r="Q324" s="745"/>
      <c r="R324" s="745"/>
      <c r="S324" s="745"/>
      <c r="T324" s="745"/>
      <c r="U324" s="745"/>
      <c r="V324" s="745"/>
      <c r="W324" s="745"/>
      <c r="X324" s="745"/>
      <c r="Y324" s="745"/>
      <c r="Z324" s="745"/>
      <c r="AA324" s="745"/>
      <c r="AB324" s="745"/>
      <c r="AC324" s="745"/>
    </row>
    <row r="325" spans="1:29" s="770" customFormat="1" x14ac:dyDescent="0.2">
      <c r="Y325" s="791"/>
    </row>
    <row r="326" spans="1:29" s="770" customFormat="1" x14ac:dyDescent="0.2">
      <c r="A326" s="790"/>
      <c r="C326" s="790"/>
      <c r="F326" s="790"/>
      <c r="H326" s="792"/>
      <c r="J326" s="799"/>
      <c r="L326" s="792"/>
      <c r="N326" s="790"/>
    </row>
    <row r="327" spans="1:29" s="770" customFormat="1" x14ac:dyDescent="0.2">
      <c r="C327" s="745"/>
      <c r="D327" s="745"/>
      <c r="E327" s="745"/>
      <c r="F327" s="745"/>
      <c r="G327" s="745"/>
      <c r="H327" s="745"/>
      <c r="I327" s="745"/>
      <c r="J327" s="745"/>
      <c r="K327" s="745"/>
      <c r="L327" s="745"/>
      <c r="M327" s="745"/>
      <c r="N327" s="745"/>
      <c r="O327" s="745"/>
      <c r="P327" s="745"/>
      <c r="Q327" s="745"/>
      <c r="R327" s="745"/>
      <c r="S327" s="745"/>
      <c r="T327" s="745"/>
      <c r="U327" s="745"/>
      <c r="V327" s="745"/>
      <c r="W327" s="745"/>
      <c r="X327" s="745"/>
      <c r="Y327" s="745"/>
      <c r="Z327" s="745"/>
      <c r="AA327" s="745"/>
      <c r="AB327" s="745"/>
      <c r="AC327" s="745"/>
    </row>
    <row r="328" spans="1:29" s="770" customFormat="1" x14ac:dyDescent="0.2">
      <c r="C328" s="745"/>
      <c r="D328" s="745"/>
      <c r="E328" s="745"/>
      <c r="F328" s="745"/>
      <c r="G328" s="745"/>
      <c r="H328" s="745"/>
      <c r="I328" s="745"/>
      <c r="J328" s="745"/>
      <c r="K328" s="745"/>
      <c r="L328" s="745"/>
      <c r="M328" s="745"/>
      <c r="N328" s="745"/>
      <c r="O328" s="745"/>
      <c r="P328" s="745"/>
      <c r="Q328" s="745"/>
      <c r="R328" s="745"/>
      <c r="S328" s="745"/>
      <c r="T328" s="745"/>
      <c r="U328" s="745"/>
      <c r="V328" s="745"/>
      <c r="W328" s="745"/>
      <c r="X328" s="745"/>
      <c r="Y328" s="745"/>
      <c r="Z328" s="745"/>
      <c r="AA328" s="745"/>
      <c r="AB328" s="745"/>
      <c r="AC328" s="745"/>
    </row>
    <row r="329" spans="1:29" s="770" customFormat="1" x14ac:dyDescent="0.2">
      <c r="C329" s="745"/>
      <c r="D329" s="745"/>
      <c r="E329" s="745"/>
      <c r="F329" s="745"/>
      <c r="G329" s="745"/>
      <c r="H329" s="745"/>
      <c r="I329" s="745"/>
      <c r="J329" s="745"/>
      <c r="K329" s="745"/>
      <c r="L329" s="745"/>
      <c r="M329" s="745"/>
      <c r="N329" s="745"/>
      <c r="O329" s="745"/>
      <c r="P329" s="745"/>
      <c r="Q329" s="745"/>
      <c r="R329" s="745"/>
      <c r="S329" s="745"/>
      <c r="T329" s="745"/>
      <c r="U329" s="745"/>
      <c r="V329" s="745"/>
      <c r="W329" s="745"/>
      <c r="X329" s="745"/>
      <c r="Y329" s="745"/>
      <c r="Z329" s="745"/>
      <c r="AA329" s="745"/>
      <c r="AB329" s="745"/>
      <c r="AC329" s="745"/>
    </row>
    <row r="330" spans="1:29" s="770" customFormat="1" x14ac:dyDescent="0.2">
      <c r="Y330" s="791"/>
    </row>
    <row r="331" spans="1:29" s="770" customFormat="1" x14ac:dyDescent="0.2">
      <c r="A331" s="790"/>
      <c r="C331" s="790"/>
      <c r="H331" s="792"/>
      <c r="J331" s="798"/>
      <c r="L331" s="792"/>
      <c r="N331" s="790"/>
    </row>
    <row r="332" spans="1:29" s="770" customFormat="1" x14ac:dyDescent="0.2">
      <c r="C332" s="745"/>
      <c r="D332" s="745"/>
      <c r="E332" s="745"/>
      <c r="F332" s="745"/>
      <c r="G332" s="745"/>
      <c r="H332" s="745"/>
      <c r="I332" s="745"/>
      <c r="J332" s="745"/>
      <c r="K332" s="745"/>
      <c r="L332" s="745"/>
      <c r="M332" s="745"/>
      <c r="N332" s="745"/>
      <c r="O332" s="745"/>
      <c r="P332" s="745"/>
      <c r="Q332" s="745"/>
      <c r="R332" s="745"/>
      <c r="S332" s="745"/>
      <c r="T332" s="745"/>
      <c r="U332" s="745"/>
      <c r="V332" s="745"/>
      <c r="W332" s="745"/>
      <c r="X332" s="745"/>
      <c r="Y332" s="745"/>
      <c r="Z332" s="745"/>
    </row>
    <row r="333" spans="1:29" s="770" customFormat="1" x14ac:dyDescent="0.2">
      <c r="C333" s="745"/>
      <c r="D333" s="745"/>
      <c r="E333" s="745"/>
      <c r="F333" s="745"/>
      <c r="G333" s="745"/>
      <c r="H333" s="745"/>
      <c r="I333" s="745"/>
      <c r="J333" s="745"/>
      <c r="K333" s="745"/>
      <c r="L333" s="745"/>
      <c r="M333" s="745"/>
      <c r="N333" s="745"/>
      <c r="O333" s="745"/>
      <c r="P333" s="745"/>
      <c r="Q333" s="745"/>
      <c r="R333" s="745"/>
      <c r="S333" s="745"/>
      <c r="T333" s="745"/>
      <c r="U333" s="745"/>
      <c r="V333" s="745"/>
      <c r="W333" s="745"/>
      <c r="X333" s="745"/>
      <c r="Y333" s="745"/>
      <c r="Z333" s="745"/>
    </row>
    <row r="334" spans="1:29" s="770" customFormat="1" x14ac:dyDescent="0.2">
      <c r="C334" s="745"/>
      <c r="D334" s="745"/>
      <c r="E334" s="745"/>
      <c r="F334" s="745"/>
      <c r="G334" s="745"/>
      <c r="H334" s="745"/>
      <c r="I334" s="745"/>
      <c r="J334" s="745"/>
      <c r="K334" s="745"/>
      <c r="L334" s="745"/>
      <c r="M334" s="745"/>
      <c r="N334" s="745"/>
      <c r="O334" s="745"/>
      <c r="P334" s="745"/>
      <c r="Q334" s="745"/>
      <c r="R334" s="745"/>
      <c r="S334" s="745"/>
      <c r="T334" s="745"/>
      <c r="U334" s="745"/>
      <c r="V334" s="745"/>
      <c r="W334" s="745"/>
      <c r="X334" s="745"/>
      <c r="Y334" s="745"/>
      <c r="Z334" s="745"/>
    </row>
    <row r="335" spans="1:29" s="770" customFormat="1" x14ac:dyDescent="0.2">
      <c r="Y335" s="791"/>
    </row>
    <row r="336" spans="1:29" s="770" customFormat="1" x14ac:dyDescent="0.2">
      <c r="A336" s="790"/>
      <c r="C336" s="790"/>
      <c r="H336" s="792"/>
      <c r="J336" s="798"/>
      <c r="L336" s="792"/>
      <c r="N336" s="790"/>
    </row>
    <row r="337" spans="1:48" s="770" customFormat="1" x14ac:dyDescent="0.2">
      <c r="C337" s="745"/>
      <c r="D337" s="745"/>
      <c r="E337" s="745"/>
      <c r="F337" s="745"/>
      <c r="G337" s="745"/>
      <c r="H337" s="745"/>
      <c r="I337" s="745"/>
      <c r="J337" s="745"/>
      <c r="K337" s="745"/>
      <c r="L337" s="745"/>
      <c r="M337" s="745"/>
      <c r="N337" s="745"/>
      <c r="O337" s="745"/>
      <c r="P337" s="745"/>
      <c r="Q337" s="745"/>
      <c r="R337" s="745"/>
      <c r="S337" s="745"/>
      <c r="T337" s="745"/>
      <c r="U337" s="745"/>
      <c r="V337" s="745"/>
      <c r="W337" s="745"/>
      <c r="X337" s="745"/>
      <c r="Y337" s="745"/>
      <c r="Z337" s="745"/>
      <c r="AA337" s="745"/>
      <c r="AB337" s="745"/>
      <c r="AC337" s="745"/>
      <c r="AD337" s="745"/>
      <c r="AE337" s="745"/>
      <c r="AF337" s="745"/>
      <c r="AG337" s="745"/>
      <c r="AH337" s="745"/>
      <c r="AI337" s="745"/>
      <c r="AJ337" s="745"/>
      <c r="AK337" s="745"/>
      <c r="AL337" s="745"/>
      <c r="AM337" s="745"/>
      <c r="AN337" s="745"/>
      <c r="AO337" s="745"/>
      <c r="AP337" s="745"/>
    </row>
    <row r="338" spans="1:48" s="770" customFormat="1" x14ac:dyDescent="0.2">
      <c r="C338" s="745"/>
      <c r="D338" s="745"/>
      <c r="E338" s="745"/>
      <c r="F338" s="745"/>
      <c r="G338" s="745"/>
      <c r="H338" s="745"/>
      <c r="I338" s="745"/>
      <c r="J338" s="745"/>
      <c r="K338" s="745"/>
      <c r="L338" s="745"/>
      <c r="M338" s="745"/>
      <c r="N338" s="745"/>
      <c r="O338" s="745"/>
      <c r="P338" s="745"/>
      <c r="Q338" s="745"/>
      <c r="R338" s="745"/>
      <c r="S338" s="745"/>
      <c r="T338" s="745"/>
      <c r="U338" s="745"/>
      <c r="V338" s="745"/>
      <c r="W338" s="745"/>
      <c r="X338" s="745"/>
      <c r="Y338" s="745"/>
      <c r="Z338" s="745"/>
      <c r="AA338" s="745"/>
      <c r="AB338" s="745"/>
      <c r="AC338" s="745"/>
      <c r="AD338" s="745"/>
      <c r="AE338" s="745"/>
      <c r="AF338" s="745"/>
      <c r="AG338" s="745"/>
      <c r="AH338" s="745"/>
      <c r="AI338" s="745"/>
      <c r="AJ338" s="745"/>
      <c r="AK338" s="745"/>
      <c r="AL338" s="745"/>
      <c r="AM338" s="745"/>
      <c r="AN338" s="745"/>
      <c r="AO338" s="745"/>
      <c r="AP338" s="745"/>
    </row>
    <row r="339" spans="1:48" s="770" customFormat="1" x14ac:dyDescent="0.2">
      <c r="C339" s="745"/>
      <c r="D339" s="745"/>
      <c r="E339" s="745"/>
      <c r="F339" s="745"/>
      <c r="G339" s="745"/>
      <c r="H339" s="745"/>
      <c r="I339" s="745"/>
      <c r="J339" s="745"/>
      <c r="K339" s="745"/>
      <c r="L339" s="745"/>
      <c r="M339" s="745"/>
      <c r="N339" s="745"/>
      <c r="O339" s="745"/>
      <c r="P339" s="745"/>
      <c r="Q339" s="745"/>
      <c r="R339" s="745"/>
      <c r="S339" s="745"/>
      <c r="T339" s="745"/>
      <c r="U339" s="745"/>
      <c r="V339" s="745"/>
      <c r="W339" s="745"/>
      <c r="X339" s="745"/>
      <c r="Y339" s="745"/>
      <c r="Z339" s="745"/>
      <c r="AA339" s="745"/>
      <c r="AB339" s="745"/>
      <c r="AC339" s="745"/>
      <c r="AD339" s="745"/>
      <c r="AE339" s="745"/>
      <c r="AF339" s="745"/>
      <c r="AG339" s="745"/>
      <c r="AH339" s="745"/>
      <c r="AI339" s="745"/>
      <c r="AJ339" s="745"/>
      <c r="AK339" s="745"/>
      <c r="AL339" s="745"/>
      <c r="AM339" s="745"/>
      <c r="AN339" s="745"/>
      <c r="AO339" s="745"/>
      <c r="AP339" s="745"/>
    </row>
    <row r="340" spans="1:48" s="770" customFormat="1" x14ac:dyDescent="0.2">
      <c r="Y340" s="791"/>
    </row>
    <row r="341" spans="1:48" s="770" customFormat="1" x14ac:dyDescent="0.2">
      <c r="A341" s="790"/>
      <c r="C341" s="790"/>
      <c r="H341" s="792"/>
      <c r="J341" s="798"/>
      <c r="L341" s="792"/>
      <c r="N341" s="790"/>
    </row>
    <row r="342" spans="1:48" s="770" customFormat="1" x14ac:dyDescent="0.2">
      <c r="C342" s="745"/>
      <c r="D342" s="745"/>
      <c r="E342" s="745"/>
      <c r="F342" s="745"/>
      <c r="G342" s="745"/>
      <c r="H342" s="745"/>
      <c r="I342" s="745"/>
      <c r="J342" s="745"/>
      <c r="K342" s="745"/>
      <c r="L342" s="745"/>
      <c r="M342" s="745"/>
      <c r="N342" s="745"/>
      <c r="O342" s="745"/>
      <c r="P342" s="745"/>
      <c r="Q342" s="745"/>
      <c r="R342" s="745"/>
      <c r="S342" s="745"/>
      <c r="T342" s="745"/>
      <c r="U342" s="745"/>
      <c r="V342" s="745"/>
      <c r="W342" s="745"/>
      <c r="X342" s="745"/>
      <c r="Y342" s="745"/>
      <c r="Z342" s="745"/>
      <c r="AA342" s="745"/>
      <c r="AB342" s="745"/>
      <c r="AC342" s="745"/>
      <c r="AD342" s="745"/>
      <c r="AE342" s="745"/>
      <c r="AF342" s="745"/>
      <c r="AG342" s="745"/>
      <c r="AH342" s="745"/>
      <c r="AI342" s="745"/>
      <c r="AJ342" s="745"/>
      <c r="AK342" s="745"/>
      <c r="AL342" s="745"/>
      <c r="AM342" s="745"/>
      <c r="AN342" s="745"/>
      <c r="AO342" s="745"/>
      <c r="AP342" s="745"/>
      <c r="AQ342" s="745"/>
      <c r="AR342" s="745"/>
      <c r="AS342" s="745"/>
      <c r="AT342" s="745"/>
      <c r="AU342" s="745"/>
      <c r="AV342" s="745"/>
    </row>
    <row r="343" spans="1:48" s="770" customFormat="1" x14ac:dyDescent="0.2">
      <c r="C343" s="745"/>
      <c r="D343" s="745"/>
      <c r="E343" s="745"/>
      <c r="F343" s="745"/>
      <c r="G343" s="745"/>
      <c r="H343" s="745"/>
      <c r="I343" s="745"/>
      <c r="J343" s="745"/>
      <c r="K343" s="745"/>
      <c r="L343" s="745"/>
      <c r="M343" s="745"/>
      <c r="N343" s="745"/>
      <c r="O343" s="745"/>
      <c r="P343" s="745"/>
      <c r="Q343" s="745"/>
      <c r="R343" s="745"/>
      <c r="S343" s="745"/>
      <c r="T343" s="745"/>
      <c r="U343" s="745"/>
      <c r="V343" s="745"/>
      <c r="W343" s="745"/>
      <c r="X343" s="745"/>
      <c r="Y343" s="745"/>
      <c r="Z343" s="745"/>
      <c r="AA343" s="745"/>
      <c r="AB343" s="745"/>
      <c r="AC343" s="745"/>
      <c r="AD343" s="745"/>
      <c r="AE343" s="745"/>
      <c r="AF343" s="745"/>
      <c r="AG343" s="745"/>
      <c r="AH343" s="745"/>
      <c r="AI343" s="745"/>
      <c r="AJ343" s="745"/>
      <c r="AK343" s="745"/>
      <c r="AL343" s="745"/>
      <c r="AM343" s="745"/>
      <c r="AN343" s="745"/>
      <c r="AO343" s="745"/>
      <c r="AP343" s="745"/>
      <c r="AQ343" s="745"/>
      <c r="AR343" s="745"/>
      <c r="AS343" s="745"/>
      <c r="AT343" s="745"/>
      <c r="AU343" s="745"/>
      <c r="AV343" s="745"/>
    </row>
    <row r="344" spans="1:48" s="770" customFormat="1" x14ac:dyDescent="0.2">
      <c r="C344" s="745"/>
      <c r="D344" s="745"/>
      <c r="E344" s="745"/>
      <c r="F344" s="745"/>
      <c r="G344" s="745"/>
      <c r="H344" s="745"/>
      <c r="I344" s="745"/>
      <c r="J344" s="745"/>
      <c r="K344" s="745"/>
      <c r="L344" s="745"/>
      <c r="M344" s="745"/>
      <c r="N344" s="745"/>
      <c r="O344" s="745"/>
      <c r="P344" s="745"/>
      <c r="Q344" s="745"/>
      <c r="R344" s="745"/>
      <c r="S344" s="745"/>
      <c r="T344" s="745"/>
      <c r="U344" s="745"/>
      <c r="V344" s="745"/>
      <c r="W344" s="745"/>
      <c r="X344" s="745"/>
      <c r="Y344" s="745"/>
      <c r="Z344" s="745"/>
      <c r="AA344" s="745"/>
      <c r="AB344" s="745"/>
      <c r="AC344" s="745"/>
      <c r="AD344" s="745"/>
      <c r="AE344" s="745"/>
      <c r="AF344" s="745"/>
      <c r="AG344" s="745"/>
      <c r="AH344" s="745"/>
      <c r="AI344" s="745"/>
      <c r="AJ344" s="745"/>
      <c r="AK344" s="745"/>
      <c r="AL344" s="745"/>
      <c r="AM344" s="745"/>
      <c r="AN344" s="745"/>
      <c r="AO344" s="745"/>
      <c r="AP344" s="745"/>
      <c r="AQ344" s="745"/>
      <c r="AR344" s="745"/>
      <c r="AS344" s="745"/>
      <c r="AT344" s="745"/>
      <c r="AU344" s="745"/>
      <c r="AV344" s="745"/>
    </row>
    <row r="345" spans="1:48" s="770" customFormat="1" x14ac:dyDescent="0.2">
      <c r="Y345" s="791"/>
    </row>
    <row r="346" spans="1:48" s="770" customFormat="1" x14ac:dyDescent="0.2">
      <c r="A346" s="790"/>
      <c r="C346" s="790"/>
      <c r="H346" s="792"/>
      <c r="I346" s="790"/>
      <c r="J346" s="798"/>
      <c r="L346" s="792"/>
      <c r="N346" s="790"/>
    </row>
    <row r="347" spans="1:48" s="770" customFormat="1" x14ac:dyDescent="0.2">
      <c r="C347" s="745"/>
      <c r="D347" s="745"/>
      <c r="E347" s="745"/>
      <c r="F347" s="745"/>
      <c r="G347" s="745"/>
      <c r="H347" s="745"/>
      <c r="I347" s="745"/>
      <c r="J347" s="745"/>
      <c r="K347" s="745"/>
      <c r="L347" s="745"/>
      <c r="M347" s="745"/>
      <c r="N347" s="745"/>
      <c r="O347" s="745"/>
      <c r="P347" s="745"/>
      <c r="Q347" s="745"/>
      <c r="R347" s="745"/>
      <c r="S347" s="745"/>
      <c r="T347" s="745"/>
      <c r="U347" s="745"/>
      <c r="V347" s="745"/>
      <c r="W347" s="745"/>
      <c r="X347" s="745"/>
      <c r="Y347" s="745"/>
      <c r="Z347" s="745"/>
      <c r="AA347" s="745"/>
      <c r="AB347" s="745"/>
      <c r="AC347" s="745"/>
    </row>
    <row r="348" spans="1:48" s="770" customFormat="1" x14ac:dyDescent="0.2">
      <c r="C348" s="745"/>
      <c r="D348" s="745"/>
      <c r="E348" s="745"/>
      <c r="F348" s="745"/>
      <c r="G348" s="745"/>
      <c r="H348" s="745"/>
      <c r="I348" s="745"/>
      <c r="J348" s="745"/>
      <c r="K348" s="745"/>
      <c r="L348" s="745"/>
      <c r="M348" s="745"/>
      <c r="N348" s="745"/>
      <c r="O348" s="745"/>
      <c r="P348" s="745"/>
      <c r="Q348" s="745"/>
      <c r="R348" s="745"/>
      <c r="S348" s="745"/>
      <c r="T348" s="745"/>
      <c r="U348" s="745"/>
      <c r="V348" s="745"/>
      <c r="W348" s="745"/>
      <c r="X348" s="745"/>
      <c r="Y348" s="745"/>
      <c r="Z348" s="745"/>
      <c r="AA348" s="745"/>
      <c r="AB348" s="745"/>
      <c r="AC348" s="745"/>
    </row>
    <row r="349" spans="1:48" s="770" customFormat="1" x14ac:dyDescent="0.2">
      <c r="C349" s="745"/>
      <c r="D349" s="745"/>
      <c r="E349" s="745"/>
      <c r="F349" s="745"/>
      <c r="G349" s="745"/>
      <c r="H349" s="745"/>
      <c r="I349" s="745"/>
      <c r="J349" s="745"/>
      <c r="K349" s="745"/>
      <c r="L349" s="745"/>
      <c r="M349" s="745"/>
      <c r="N349" s="745"/>
      <c r="O349" s="745"/>
      <c r="P349" s="745"/>
      <c r="Q349" s="745"/>
      <c r="R349" s="745"/>
      <c r="S349" s="745"/>
      <c r="T349" s="745"/>
      <c r="U349" s="745"/>
      <c r="V349" s="745"/>
      <c r="W349" s="745"/>
      <c r="X349" s="745"/>
      <c r="Y349" s="745"/>
      <c r="Z349" s="745"/>
      <c r="AA349" s="745"/>
      <c r="AB349" s="745"/>
      <c r="AC349" s="745"/>
    </row>
    <row r="350" spans="1:48" s="770" customFormat="1" x14ac:dyDescent="0.2">
      <c r="Y350" s="791"/>
    </row>
    <row r="351" spans="1:48" s="770" customFormat="1" x14ac:dyDescent="0.2">
      <c r="A351" s="790"/>
      <c r="C351" s="790"/>
      <c r="H351" s="792"/>
      <c r="J351" s="798"/>
      <c r="L351" s="792"/>
      <c r="N351" s="790"/>
    </row>
    <row r="352" spans="1:48" s="770" customFormat="1" x14ac:dyDescent="0.2">
      <c r="C352" s="745"/>
      <c r="D352" s="745"/>
      <c r="E352" s="745"/>
      <c r="F352" s="745"/>
      <c r="G352" s="745"/>
      <c r="H352" s="745"/>
      <c r="I352" s="745"/>
      <c r="J352" s="745"/>
      <c r="K352" s="745"/>
      <c r="L352" s="745"/>
      <c r="M352" s="745"/>
      <c r="N352" s="745"/>
      <c r="O352" s="745"/>
      <c r="P352" s="745"/>
      <c r="Q352" s="745"/>
      <c r="R352" s="745"/>
      <c r="S352" s="745"/>
      <c r="T352" s="745"/>
      <c r="U352" s="745"/>
      <c r="V352" s="745"/>
      <c r="W352" s="745"/>
      <c r="X352" s="745"/>
      <c r="Y352" s="745"/>
      <c r="Z352" s="745"/>
      <c r="AA352" s="745"/>
      <c r="AB352" s="745"/>
      <c r="AC352" s="745"/>
    </row>
    <row r="353" spans="1:29" s="770" customFormat="1" x14ac:dyDescent="0.2">
      <c r="C353" s="745"/>
      <c r="D353" s="745"/>
      <c r="E353" s="745"/>
      <c r="F353" s="745"/>
      <c r="G353" s="745"/>
      <c r="H353" s="745"/>
      <c r="I353" s="745"/>
      <c r="J353" s="745"/>
      <c r="K353" s="745"/>
      <c r="L353" s="745"/>
      <c r="M353" s="745"/>
      <c r="N353" s="745"/>
      <c r="O353" s="745"/>
      <c r="P353" s="745"/>
      <c r="Q353" s="745"/>
      <c r="R353" s="745"/>
      <c r="S353" s="745"/>
      <c r="T353" s="745"/>
      <c r="U353" s="745"/>
      <c r="V353" s="745"/>
      <c r="W353" s="745"/>
      <c r="X353" s="745"/>
      <c r="Y353" s="745"/>
      <c r="Z353" s="745"/>
      <c r="AA353" s="745"/>
      <c r="AB353" s="745"/>
      <c r="AC353" s="745"/>
    </row>
    <row r="354" spans="1:29" s="770" customFormat="1" x14ac:dyDescent="0.2">
      <c r="C354" s="745"/>
      <c r="D354" s="745"/>
      <c r="E354" s="745"/>
      <c r="F354" s="745"/>
      <c r="G354" s="745"/>
      <c r="H354" s="745"/>
      <c r="I354" s="745"/>
      <c r="J354" s="745"/>
      <c r="K354" s="745"/>
      <c r="L354" s="745"/>
      <c r="M354" s="745"/>
      <c r="N354" s="745"/>
      <c r="O354" s="745"/>
      <c r="P354" s="745"/>
      <c r="Q354" s="745"/>
      <c r="R354" s="745"/>
      <c r="S354" s="745"/>
      <c r="T354" s="745"/>
      <c r="U354" s="745"/>
      <c r="V354" s="745"/>
      <c r="W354" s="745"/>
      <c r="X354" s="745"/>
      <c r="Y354" s="745"/>
      <c r="Z354" s="745"/>
      <c r="AA354" s="745"/>
      <c r="AB354" s="745"/>
      <c r="AC354" s="745"/>
    </row>
    <row r="355" spans="1:29" s="770" customFormat="1" x14ac:dyDescent="0.2">
      <c r="Y355" s="791"/>
    </row>
    <row r="356" spans="1:29" s="770" customFormat="1" x14ac:dyDescent="0.2">
      <c r="A356" s="790"/>
      <c r="C356" s="790"/>
      <c r="H356" s="792"/>
      <c r="J356" s="798"/>
      <c r="L356" s="792"/>
      <c r="N356" s="790"/>
    </row>
    <row r="357" spans="1:29" s="770" customFormat="1" x14ac:dyDescent="0.2">
      <c r="C357" s="745"/>
      <c r="D357" s="745"/>
      <c r="E357" s="745"/>
      <c r="F357" s="745"/>
      <c r="G357" s="745"/>
      <c r="H357" s="745"/>
      <c r="I357" s="745"/>
      <c r="J357" s="745"/>
      <c r="K357" s="745"/>
      <c r="L357" s="745"/>
      <c r="M357" s="745"/>
      <c r="N357" s="745"/>
      <c r="O357" s="745"/>
      <c r="P357" s="745"/>
      <c r="Q357" s="745"/>
      <c r="R357" s="745"/>
      <c r="S357" s="745"/>
      <c r="T357" s="745"/>
      <c r="U357" s="745"/>
      <c r="V357" s="745"/>
      <c r="W357" s="745"/>
      <c r="X357" s="745"/>
      <c r="Y357" s="745"/>
      <c r="Z357" s="745"/>
      <c r="AA357" s="745"/>
      <c r="AB357" s="745"/>
      <c r="AC357" s="745"/>
    </row>
    <row r="358" spans="1:29" s="770" customFormat="1" x14ac:dyDescent="0.2">
      <c r="C358" s="745"/>
      <c r="D358" s="745"/>
      <c r="E358" s="745"/>
      <c r="F358" s="745"/>
      <c r="G358" s="745"/>
      <c r="H358" s="745"/>
      <c r="I358" s="745"/>
      <c r="J358" s="745"/>
      <c r="K358" s="745"/>
      <c r="L358" s="745"/>
      <c r="M358" s="745"/>
      <c r="N358" s="745"/>
      <c r="O358" s="745"/>
      <c r="P358" s="745"/>
      <c r="Q358" s="745"/>
      <c r="R358" s="745"/>
      <c r="S358" s="745"/>
      <c r="T358" s="745"/>
      <c r="U358" s="745"/>
      <c r="V358" s="745"/>
      <c r="W358" s="745"/>
      <c r="X358" s="745"/>
      <c r="Y358" s="745"/>
      <c r="Z358" s="745"/>
      <c r="AA358" s="745"/>
      <c r="AB358" s="745"/>
      <c r="AC358" s="745"/>
    </row>
    <row r="359" spans="1:29" s="770" customFormat="1" x14ac:dyDescent="0.2">
      <c r="C359" s="745"/>
      <c r="D359" s="745"/>
      <c r="E359" s="745"/>
      <c r="F359" s="745"/>
      <c r="G359" s="745"/>
      <c r="H359" s="745"/>
      <c r="I359" s="745"/>
      <c r="J359" s="745"/>
      <c r="K359" s="745"/>
      <c r="L359" s="745"/>
      <c r="M359" s="745"/>
      <c r="N359" s="745"/>
      <c r="O359" s="745"/>
      <c r="P359" s="745"/>
      <c r="Q359" s="745"/>
      <c r="R359" s="745"/>
      <c r="S359" s="745"/>
      <c r="T359" s="745"/>
      <c r="U359" s="745"/>
      <c r="V359" s="745"/>
      <c r="W359" s="745"/>
      <c r="X359" s="745"/>
      <c r="Y359" s="745"/>
      <c r="Z359" s="745"/>
      <c r="AA359" s="745"/>
      <c r="AB359" s="745"/>
      <c r="AC359" s="745"/>
    </row>
    <row r="360" spans="1:29" s="770" customFormat="1" x14ac:dyDescent="0.2">
      <c r="Y360" s="791"/>
    </row>
    <row r="361" spans="1:29" s="770" customFormat="1" x14ac:dyDescent="0.2"/>
    <row r="362" spans="1:29" s="770" customFormat="1" x14ac:dyDescent="0.2">
      <c r="N362" s="790"/>
    </row>
    <row r="363" spans="1:29" s="770" customFormat="1" x14ac:dyDescent="0.2">
      <c r="C363" s="795"/>
      <c r="N363" s="790"/>
    </row>
    <row r="364" spans="1:29" s="770" customFormat="1" x14ac:dyDescent="0.2">
      <c r="C364" s="796"/>
      <c r="J364" s="797"/>
      <c r="K364" s="797"/>
      <c r="N364" s="790"/>
    </row>
    <row r="365" spans="1:29" s="770" customFormat="1" x14ac:dyDescent="0.2">
      <c r="C365" s="790"/>
      <c r="N365" s="790"/>
    </row>
    <row r="366" spans="1:29" s="770" customFormat="1" x14ac:dyDescent="0.2">
      <c r="U366" s="790"/>
    </row>
    <row r="367" spans="1:29" s="770" customFormat="1" x14ac:dyDescent="0.2">
      <c r="U367" s="790"/>
    </row>
    <row r="368" spans="1:29" s="770" customFormat="1" x14ac:dyDescent="0.2">
      <c r="U368" s="790"/>
    </row>
    <row r="369" spans="1:48" s="770" customFormat="1" x14ac:dyDescent="0.2">
      <c r="A369" s="790"/>
      <c r="C369" s="790"/>
      <c r="H369" s="790"/>
      <c r="J369" s="790"/>
      <c r="L369" s="790"/>
    </row>
    <row r="370" spans="1:48" s="770" customFormat="1" x14ac:dyDescent="0.2">
      <c r="A370" s="790"/>
      <c r="C370" s="790"/>
      <c r="H370" s="790"/>
      <c r="J370" s="790"/>
      <c r="L370" s="790"/>
      <c r="N370" s="790"/>
    </row>
    <row r="371" spans="1:48" s="770" customFormat="1" x14ac:dyDescent="0.2"/>
    <row r="372" spans="1:48" s="770" customFormat="1" x14ac:dyDescent="0.2"/>
    <row r="373" spans="1:48" s="770" customFormat="1" x14ac:dyDescent="0.2">
      <c r="A373" s="790"/>
    </row>
    <row r="374" spans="1:48" s="770" customFormat="1" x14ac:dyDescent="0.2">
      <c r="C374" s="745"/>
      <c r="D374" s="745"/>
      <c r="E374" s="745"/>
      <c r="F374" s="745"/>
      <c r="G374" s="745"/>
      <c r="H374" s="745"/>
      <c r="I374" s="745"/>
      <c r="J374" s="745"/>
      <c r="K374" s="745"/>
      <c r="L374" s="745"/>
      <c r="M374" s="745"/>
      <c r="N374" s="745"/>
      <c r="O374" s="745"/>
      <c r="P374" s="745"/>
      <c r="Q374" s="745"/>
      <c r="R374" s="745"/>
      <c r="S374" s="745"/>
      <c r="T374" s="745"/>
      <c r="U374" s="745"/>
      <c r="V374" s="745"/>
      <c r="W374" s="745"/>
      <c r="X374" s="745"/>
      <c r="Y374" s="745"/>
      <c r="Z374" s="745"/>
      <c r="AA374" s="745"/>
      <c r="AB374" s="745"/>
      <c r="AC374" s="745"/>
      <c r="AD374" s="745"/>
      <c r="AE374" s="745"/>
      <c r="AF374" s="745"/>
      <c r="AG374" s="745"/>
      <c r="AH374" s="745"/>
      <c r="AI374" s="745"/>
      <c r="AJ374" s="745"/>
      <c r="AK374" s="745"/>
      <c r="AL374" s="745"/>
      <c r="AM374" s="745"/>
      <c r="AN374" s="745"/>
      <c r="AO374" s="745"/>
      <c r="AP374" s="745"/>
      <c r="AQ374" s="745"/>
      <c r="AR374" s="745"/>
      <c r="AS374" s="745"/>
      <c r="AT374" s="745"/>
      <c r="AU374" s="745"/>
      <c r="AV374" s="745"/>
    </row>
    <row r="375" spans="1:48" s="770" customFormat="1" x14ac:dyDescent="0.2">
      <c r="C375" s="745"/>
      <c r="D375" s="745"/>
      <c r="E375" s="745"/>
      <c r="F375" s="745"/>
      <c r="G375" s="745"/>
      <c r="H375" s="745"/>
      <c r="I375" s="745"/>
      <c r="J375" s="745"/>
      <c r="K375" s="745"/>
      <c r="L375" s="745"/>
      <c r="M375" s="745"/>
      <c r="N375" s="745"/>
      <c r="O375" s="745"/>
      <c r="P375" s="745"/>
      <c r="Q375" s="745"/>
      <c r="R375" s="745"/>
      <c r="S375" s="745"/>
      <c r="T375" s="745"/>
      <c r="U375" s="745"/>
      <c r="V375" s="745"/>
      <c r="W375" s="745"/>
      <c r="X375" s="745"/>
      <c r="Y375" s="745"/>
      <c r="Z375" s="745"/>
      <c r="AA375" s="745"/>
      <c r="AB375" s="745"/>
      <c r="AC375" s="745"/>
      <c r="AD375" s="745"/>
      <c r="AE375" s="745"/>
      <c r="AF375" s="745"/>
      <c r="AG375" s="745"/>
      <c r="AH375" s="745"/>
      <c r="AI375" s="745"/>
      <c r="AJ375" s="745"/>
      <c r="AK375" s="745"/>
      <c r="AL375" s="745"/>
      <c r="AM375" s="745"/>
      <c r="AN375" s="745"/>
      <c r="AO375" s="745"/>
      <c r="AP375" s="745"/>
      <c r="AQ375" s="745"/>
      <c r="AR375" s="745"/>
      <c r="AS375" s="745"/>
      <c r="AT375" s="745"/>
      <c r="AU375" s="745"/>
      <c r="AV375" s="745"/>
    </row>
    <row r="376" spans="1:48" s="770" customFormat="1" x14ac:dyDescent="0.2">
      <c r="C376" s="745"/>
      <c r="D376" s="745"/>
      <c r="E376" s="745"/>
      <c r="F376" s="745"/>
      <c r="G376" s="745"/>
      <c r="H376" s="745"/>
      <c r="I376" s="745"/>
      <c r="J376" s="745"/>
      <c r="K376" s="745"/>
      <c r="L376" s="745"/>
      <c r="M376" s="745"/>
      <c r="N376" s="745"/>
      <c r="O376" s="745"/>
      <c r="P376" s="745"/>
      <c r="Q376" s="745"/>
      <c r="R376" s="745"/>
      <c r="S376" s="745"/>
      <c r="T376" s="745"/>
      <c r="U376" s="745"/>
      <c r="V376" s="745"/>
      <c r="W376" s="745"/>
      <c r="X376" s="745"/>
      <c r="Y376" s="745"/>
      <c r="Z376" s="745"/>
      <c r="AA376" s="745"/>
      <c r="AB376" s="745"/>
      <c r="AC376" s="745"/>
      <c r="AD376" s="745"/>
      <c r="AE376" s="745"/>
      <c r="AF376" s="745"/>
      <c r="AG376" s="745"/>
      <c r="AH376" s="745"/>
      <c r="AI376" s="745"/>
      <c r="AJ376" s="745"/>
      <c r="AK376" s="745"/>
      <c r="AL376" s="745"/>
      <c r="AM376" s="745"/>
      <c r="AN376" s="745"/>
      <c r="AO376" s="745"/>
      <c r="AP376" s="745"/>
      <c r="AQ376" s="745"/>
      <c r="AR376" s="745"/>
      <c r="AS376" s="745"/>
      <c r="AT376" s="745"/>
      <c r="AU376" s="745"/>
      <c r="AV376" s="745"/>
    </row>
    <row r="377" spans="1:48" s="770" customFormat="1" x14ac:dyDescent="0.2">
      <c r="Y377" s="791"/>
    </row>
    <row r="378" spans="1:48" s="770" customFormat="1" x14ac:dyDescent="0.2">
      <c r="A378" s="790"/>
      <c r="C378" s="790"/>
      <c r="H378" s="792"/>
      <c r="J378" s="798"/>
      <c r="L378" s="792"/>
      <c r="N378" s="790"/>
    </row>
    <row r="379" spans="1:48" s="770" customFormat="1" x14ac:dyDescent="0.2">
      <c r="C379" s="745"/>
      <c r="D379" s="745"/>
      <c r="E379" s="745"/>
      <c r="F379" s="745"/>
      <c r="G379" s="745"/>
      <c r="H379" s="745"/>
      <c r="I379" s="745"/>
      <c r="J379" s="745"/>
      <c r="K379" s="745"/>
      <c r="L379" s="745"/>
      <c r="M379" s="745"/>
      <c r="N379" s="745"/>
      <c r="O379" s="745"/>
      <c r="P379" s="745"/>
      <c r="Q379" s="745"/>
      <c r="R379" s="745"/>
      <c r="S379" s="745"/>
      <c r="T379" s="745"/>
      <c r="U379" s="745"/>
      <c r="V379" s="745"/>
      <c r="W379" s="745"/>
      <c r="X379" s="745"/>
      <c r="Y379" s="745"/>
      <c r="Z379" s="745"/>
      <c r="AA379" s="745"/>
      <c r="AB379" s="745"/>
      <c r="AC379" s="745"/>
      <c r="AD379" s="745"/>
    </row>
    <row r="380" spans="1:48" s="770" customFormat="1" x14ac:dyDescent="0.2">
      <c r="C380" s="745"/>
      <c r="D380" s="745"/>
      <c r="E380" s="745"/>
      <c r="F380" s="745"/>
      <c r="G380" s="745"/>
      <c r="H380" s="745"/>
      <c r="I380" s="745"/>
      <c r="J380" s="745"/>
      <c r="K380" s="745"/>
      <c r="L380" s="745"/>
      <c r="M380" s="745"/>
      <c r="N380" s="745"/>
      <c r="O380" s="745"/>
      <c r="P380" s="745"/>
      <c r="Q380" s="745"/>
      <c r="R380" s="745"/>
      <c r="S380" s="745"/>
      <c r="T380" s="745"/>
      <c r="U380" s="745"/>
      <c r="V380" s="745"/>
      <c r="W380" s="745"/>
      <c r="X380" s="745"/>
      <c r="Y380" s="745"/>
      <c r="Z380" s="745"/>
      <c r="AA380" s="745"/>
      <c r="AB380" s="745"/>
      <c r="AC380" s="745"/>
      <c r="AD380" s="745"/>
    </row>
    <row r="381" spans="1:48" s="770" customFormat="1" x14ac:dyDescent="0.2">
      <c r="C381" s="745"/>
      <c r="D381" s="745"/>
      <c r="E381" s="745"/>
      <c r="F381" s="745"/>
      <c r="G381" s="745"/>
      <c r="H381" s="745"/>
      <c r="I381" s="745"/>
      <c r="J381" s="745"/>
      <c r="K381" s="745"/>
      <c r="L381" s="745"/>
      <c r="M381" s="745"/>
      <c r="N381" s="745"/>
      <c r="O381" s="745"/>
      <c r="P381" s="745"/>
      <c r="Q381" s="745"/>
      <c r="R381" s="745"/>
      <c r="S381" s="745"/>
      <c r="T381" s="745"/>
      <c r="U381" s="745"/>
      <c r="V381" s="745"/>
      <c r="W381" s="745"/>
      <c r="X381" s="745"/>
      <c r="Y381" s="745"/>
      <c r="Z381" s="745"/>
      <c r="AA381" s="745"/>
      <c r="AB381" s="745"/>
      <c r="AC381" s="745"/>
      <c r="AD381" s="745"/>
    </row>
    <row r="382" spans="1:48" s="770" customFormat="1" x14ac:dyDescent="0.2">
      <c r="Y382" s="791"/>
    </row>
    <row r="383" spans="1:48" s="770" customFormat="1" x14ac:dyDescent="0.2">
      <c r="A383" s="790"/>
      <c r="C383" s="790"/>
      <c r="H383" s="792"/>
      <c r="J383" s="798"/>
      <c r="L383" s="792"/>
      <c r="N383" s="790"/>
    </row>
    <row r="384" spans="1:48" s="770" customFormat="1" x14ac:dyDescent="0.2">
      <c r="C384" s="745"/>
      <c r="D384" s="745"/>
      <c r="E384" s="745"/>
      <c r="F384" s="745"/>
      <c r="G384" s="745"/>
      <c r="H384" s="745"/>
      <c r="I384" s="745"/>
      <c r="J384" s="745"/>
      <c r="K384" s="745"/>
      <c r="L384" s="745"/>
      <c r="M384" s="745"/>
      <c r="N384" s="745"/>
      <c r="O384" s="745"/>
      <c r="P384" s="745"/>
      <c r="Q384" s="745"/>
      <c r="R384" s="745"/>
      <c r="S384" s="745"/>
      <c r="T384" s="745"/>
      <c r="U384" s="745"/>
      <c r="V384" s="745"/>
      <c r="W384" s="745"/>
      <c r="X384" s="745"/>
      <c r="Y384" s="745"/>
      <c r="Z384" s="745"/>
      <c r="AA384" s="745"/>
      <c r="AB384" s="745"/>
    </row>
    <row r="385" spans="1:30" s="770" customFormat="1" x14ac:dyDescent="0.2">
      <c r="C385" s="745"/>
      <c r="D385" s="745"/>
      <c r="E385" s="745"/>
      <c r="F385" s="745"/>
      <c r="G385" s="745"/>
      <c r="H385" s="745"/>
      <c r="I385" s="745"/>
      <c r="J385" s="745"/>
      <c r="K385" s="745"/>
      <c r="L385" s="745"/>
      <c r="M385" s="745"/>
      <c r="N385" s="745"/>
      <c r="O385" s="745"/>
      <c r="P385" s="745"/>
      <c r="Q385" s="745"/>
      <c r="R385" s="745"/>
      <c r="S385" s="745"/>
      <c r="T385" s="745"/>
      <c r="U385" s="745"/>
      <c r="V385" s="745"/>
      <c r="W385" s="745"/>
      <c r="X385" s="745"/>
      <c r="Y385" s="745"/>
      <c r="Z385" s="745"/>
      <c r="AA385" s="745"/>
      <c r="AB385" s="745"/>
    </row>
    <row r="386" spans="1:30" s="770" customFormat="1" x14ac:dyDescent="0.2">
      <c r="C386" s="745"/>
      <c r="D386" s="745"/>
      <c r="E386" s="745"/>
      <c r="F386" s="745"/>
      <c r="G386" s="745"/>
      <c r="H386" s="745"/>
      <c r="I386" s="745"/>
      <c r="J386" s="745"/>
      <c r="K386" s="745"/>
      <c r="L386" s="745"/>
      <c r="M386" s="745"/>
      <c r="N386" s="745"/>
      <c r="O386" s="745"/>
      <c r="P386" s="745"/>
      <c r="Q386" s="745"/>
      <c r="R386" s="745"/>
      <c r="S386" s="745"/>
      <c r="T386" s="745"/>
      <c r="U386" s="745"/>
      <c r="V386" s="745"/>
      <c r="W386" s="745"/>
      <c r="X386" s="745"/>
      <c r="Y386" s="745"/>
      <c r="Z386" s="745"/>
      <c r="AA386" s="745"/>
      <c r="AB386" s="745"/>
    </row>
    <row r="387" spans="1:30" s="770" customFormat="1" x14ac:dyDescent="0.2">
      <c r="Y387" s="791"/>
    </row>
    <row r="388" spans="1:30" s="770" customFormat="1" x14ac:dyDescent="0.2">
      <c r="A388" s="790"/>
      <c r="H388" s="792"/>
      <c r="J388" s="798"/>
      <c r="L388" s="792"/>
      <c r="N388" s="790"/>
    </row>
    <row r="389" spans="1:30" s="770" customFormat="1" x14ac:dyDescent="0.2">
      <c r="C389" s="745"/>
      <c r="D389" s="745"/>
      <c r="E389" s="745"/>
      <c r="F389" s="745"/>
      <c r="G389" s="745"/>
      <c r="H389" s="745"/>
      <c r="I389" s="745"/>
      <c r="J389" s="745"/>
      <c r="K389" s="745"/>
      <c r="L389" s="745"/>
      <c r="M389" s="745"/>
      <c r="N389" s="745"/>
      <c r="O389" s="745"/>
      <c r="P389" s="745"/>
      <c r="Q389" s="745"/>
      <c r="R389" s="745"/>
      <c r="S389" s="745"/>
      <c r="T389" s="745"/>
      <c r="U389" s="745"/>
      <c r="V389" s="745"/>
      <c r="W389" s="745"/>
      <c r="X389" s="745"/>
      <c r="Y389" s="745"/>
      <c r="Z389" s="745"/>
      <c r="AA389" s="745"/>
      <c r="AB389" s="745"/>
      <c r="AC389" s="745"/>
      <c r="AD389" s="745"/>
    </row>
    <row r="390" spans="1:30" s="770" customFormat="1" x14ac:dyDescent="0.2">
      <c r="C390" s="745"/>
      <c r="D390" s="745"/>
      <c r="E390" s="745"/>
      <c r="F390" s="745"/>
      <c r="G390" s="745"/>
      <c r="H390" s="745"/>
      <c r="I390" s="745"/>
      <c r="J390" s="745"/>
      <c r="K390" s="745"/>
      <c r="L390" s="745"/>
      <c r="M390" s="745"/>
      <c r="N390" s="745"/>
      <c r="O390" s="745"/>
      <c r="P390" s="745"/>
      <c r="Q390" s="745"/>
      <c r="R390" s="745"/>
      <c r="S390" s="745"/>
      <c r="T390" s="745"/>
      <c r="U390" s="745"/>
      <c r="V390" s="745"/>
      <c r="W390" s="745"/>
      <c r="X390" s="745"/>
      <c r="Y390" s="745"/>
      <c r="Z390" s="745"/>
      <c r="AA390" s="745"/>
      <c r="AB390" s="745"/>
      <c r="AC390" s="745"/>
      <c r="AD390" s="745"/>
    </row>
    <row r="391" spans="1:30" s="770" customFormat="1" x14ac:dyDescent="0.2">
      <c r="C391" s="745"/>
      <c r="D391" s="745"/>
      <c r="E391" s="745"/>
      <c r="F391" s="745"/>
      <c r="G391" s="745"/>
      <c r="H391" s="745"/>
      <c r="I391" s="745"/>
      <c r="J391" s="745"/>
      <c r="K391" s="745"/>
      <c r="L391" s="745"/>
      <c r="M391" s="745"/>
      <c r="N391" s="745"/>
      <c r="O391" s="745"/>
      <c r="P391" s="745"/>
      <c r="Q391" s="745"/>
      <c r="R391" s="745"/>
      <c r="S391" s="745"/>
      <c r="T391" s="745"/>
      <c r="U391" s="745"/>
      <c r="V391" s="745"/>
      <c r="W391" s="745"/>
      <c r="X391" s="745"/>
      <c r="Y391" s="745"/>
      <c r="Z391" s="745"/>
      <c r="AA391" s="745"/>
      <c r="AB391" s="745"/>
      <c r="AC391" s="745"/>
      <c r="AD391" s="745"/>
    </row>
    <row r="392" spans="1:30" s="770" customFormat="1" x14ac:dyDescent="0.2">
      <c r="Y392" s="791"/>
    </row>
    <row r="393" spans="1:30" s="770" customFormat="1" x14ac:dyDescent="0.2">
      <c r="A393" s="790"/>
      <c r="F393" s="790"/>
      <c r="H393" s="745"/>
      <c r="J393" s="798"/>
      <c r="L393" s="745"/>
      <c r="N393" s="790"/>
    </row>
    <row r="394" spans="1:30" s="770" customFormat="1" x14ac:dyDescent="0.2">
      <c r="C394" s="745"/>
      <c r="D394" s="745"/>
      <c r="E394" s="745"/>
      <c r="F394" s="745"/>
      <c r="G394" s="745"/>
      <c r="H394" s="745"/>
      <c r="I394" s="745"/>
      <c r="J394" s="745"/>
      <c r="K394" s="745"/>
      <c r="L394" s="745"/>
      <c r="M394" s="745"/>
      <c r="N394" s="745"/>
      <c r="O394" s="745"/>
      <c r="P394" s="745"/>
      <c r="Q394" s="745"/>
      <c r="R394" s="745"/>
      <c r="S394" s="745"/>
      <c r="T394" s="745"/>
      <c r="U394" s="745"/>
      <c r="V394" s="745"/>
      <c r="W394" s="745"/>
      <c r="X394" s="745"/>
      <c r="Y394" s="745"/>
      <c r="Z394" s="745"/>
      <c r="AA394" s="745"/>
      <c r="AB394" s="745"/>
      <c r="AC394" s="745"/>
    </row>
    <row r="395" spans="1:30" s="770" customFormat="1" x14ac:dyDescent="0.2">
      <c r="C395" s="745"/>
      <c r="D395" s="745"/>
      <c r="E395" s="745"/>
      <c r="F395" s="745"/>
      <c r="G395" s="745"/>
      <c r="H395" s="745"/>
      <c r="I395" s="745"/>
      <c r="J395" s="745"/>
      <c r="K395" s="745"/>
      <c r="L395" s="745"/>
      <c r="M395" s="745"/>
      <c r="N395" s="745"/>
      <c r="O395" s="745"/>
      <c r="P395" s="745"/>
      <c r="Q395" s="745"/>
      <c r="R395" s="745"/>
      <c r="S395" s="745"/>
      <c r="T395" s="745"/>
      <c r="U395" s="745"/>
      <c r="V395" s="745"/>
      <c r="W395" s="745"/>
      <c r="X395" s="745"/>
      <c r="Y395" s="745"/>
      <c r="Z395" s="745"/>
      <c r="AA395" s="745"/>
      <c r="AB395" s="745"/>
      <c r="AC395" s="745"/>
    </row>
    <row r="396" spans="1:30" s="770" customFormat="1" x14ac:dyDescent="0.2">
      <c r="C396" s="745"/>
      <c r="D396" s="745"/>
      <c r="E396" s="745"/>
      <c r="F396" s="745"/>
      <c r="G396" s="745"/>
      <c r="H396" s="745"/>
      <c r="I396" s="745"/>
      <c r="J396" s="745"/>
      <c r="K396" s="745"/>
      <c r="L396" s="745"/>
      <c r="M396" s="745"/>
      <c r="N396" s="745"/>
      <c r="O396" s="745"/>
      <c r="P396" s="745"/>
      <c r="Q396" s="745"/>
      <c r="R396" s="745"/>
      <c r="S396" s="745"/>
      <c r="T396" s="745"/>
      <c r="U396" s="745"/>
      <c r="V396" s="745"/>
      <c r="W396" s="745"/>
      <c r="X396" s="745"/>
      <c r="Y396" s="745"/>
      <c r="Z396" s="745"/>
      <c r="AA396" s="745"/>
      <c r="AB396" s="745"/>
      <c r="AC396" s="745"/>
    </row>
    <row r="397" spans="1:30" s="770" customFormat="1" x14ac:dyDescent="0.2">
      <c r="Y397" s="791"/>
    </row>
    <row r="398" spans="1:30" s="770" customFormat="1" x14ac:dyDescent="0.2">
      <c r="A398" s="790"/>
      <c r="G398" s="790"/>
    </row>
    <row r="399" spans="1:30" s="770" customFormat="1" x14ac:dyDescent="0.2">
      <c r="C399" s="745"/>
      <c r="D399" s="745"/>
      <c r="E399" s="745"/>
      <c r="F399" s="745"/>
      <c r="G399" s="745"/>
      <c r="H399" s="745"/>
      <c r="I399" s="745"/>
      <c r="J399" s="745"/>
      <c r="K399" s="745"/>
      <c r="L399" s="745"/>
      <c r="M399" s="745"/>
      <c r="N399" s="745"/>
      <c r="O399" s="745"/>
      <c r="P399" s="745"/>
      <c r="Q399" s="745"/>
      <c r="R399" s="745"/>
      <c r="S399" s="745"/>
      <c r="T399" s="745"/>
      <c r="U399" s="745"/>
      <c r="V399" s="745"/>
      <c r="W399" s="745"/>
      <c r="X399" s="745"/>
      <c r="Y399" s="745"/>
      <c r="Z399" s="745"/>
      <c r="AA399" s="745"/>
      <c r="AB399" s="745"/>
      <c r="AC399" s="745"/>
    </row>
    <row r="400" spans="1:30" s="770" customFormat="1" x14ac:dyDescent="0.2">
      <c r="C400" s="745"/>
      <c r="D400" s="745"/>
      <c r="E400" s="745"/>
      <c r="F400" s="745"/>
      <c r="G400" s="745"/>
      <c r="H400" s="745"/>
      <c r="I400" s="745"/>
      <c r="J400" s="745"/>
      <c r="K400" s="745"/>
      <c r="L400" s="745"/>
      <c r="M400" s="745"/>
      <c r="N400" s="745"/>
      <c r="O400" s="745"/>
      <c r="P400" s="745"/>
      <c r="Q400" s="745"/>
      <c r="R400" s="745"/>
      <c r="S400" s="745"/>
      <c r="T400" s="745"/>
      <c r="U400" s="745"/>
      <c r="V400" s="745"/>
      <c r="W400" s="745"/>
      <c r="X400" s="745"/>
      <c r="Y400" s="745"/>
      <c r="Z400" s="745"/>
      <c r="AA400" s="745"/>
      <c r="AB400" s="745"/>
      <c r="AC400" s="745"/>
    </row>
    <row r="401" spans="1:29" s="770" customFormat="1" x14ac:dyDescent="0.2">
      <c r="C401" s="745"/>
      <c r="D401" s="745"/>
      <c r="E401" s="745"/>
      <c r="F401" s="745"/>
      <c r="G401" s="745"/>
      <c r="H401" s="745"/>
      <c r="I401" s="745"/>
      <c r="J401" s="745"/>
      <c r="K401" s="745"/>
      <c r="L401" s="745"/>
      <c r="M401" s="745"/>
      <c r="N401" s="745"/>
      <c r="O401" s="745"/>
      <c r="P401" s="745"/>
      <c r="Q401" s="745"/>
      <c r="R401" s="745"/>
      <c r="S401" s="745"/>
      <c r="T401" s="745"/>
      <c r="U401" s="745"/>
      <c r="V401" s="745"/>
      <c r="W401" s="745"/>
      <c r="X401" s="745"/>
      <c r="Y401" s="745"/>
      <c r="Z401" s="745"/>
      <c r="AA401" s="745"/>
      <c r="AB401" s="745"/>
      <c r="AC401" s="745"/>
    </row>
    <row r="402" spans="1:29" s="770" customFormat="1" x14ac:dyDescent="0.2">
      <c r="Y402" s="791"/>
    </row>
    <row r="403" spans="1:29" s="770" customFormat="1" x14ac:dyDescent="0.2">
      <c r="A403" s="790"/>
      <c r="C403" s="790"/>
      <c r="H403" s="792"/>
      <c r="J403" s="798"/>
      <c r="L403" s="792"/>
      <c r="N403" s="790"/>
      <c r="Y403" s="745"/>
    </row>
    <row r="404" spans="1:29" s="770" customFormat="1" x14ac:dyDescent="0.2">
      <c r="A404" s="790"/>
      <c r="C404" s="790"/>
      <c r="H404" s="792"/>
      <c r="J404" s="798"/>
      <c r="L404" s="792"/>
      <c r="N404" s="790"/>
      <c r="Y404" s="745"/>
      <c r="Z404" s="745"/>
      <c r="AA404" s="745"/>
    </row>
    <row r="405" spans="1:29" s="770" customFormat="1" x14ac:dyDescent="0.2">
      <c r="A405" s="790"/>
      <c r="C405" s="790"/>
      <c r="H405" s="792"/>
      <c r="J405" s="798"/>
      <c r="L405" s="792"/>
      <c r="N405" s="790"/>
      <c r="Y405" s="745"/>
      <c r="Z405" s="745"/>
      <c r="AA405" s="745"/>
    </row>
    <row r="406" spans="1:29" s="770" customFormat="1" x14ac:dyDescent="0.2">
      <c r="H406" s="745"/>
      <c r="J406" s="798"/>
      <c r="L406" s="745"/>
      <c r="N406" s="790"/>
    </row>
    <row r="407" spans="1:29" s="770" customFormat="1" x14ac:dyDescent="0.2">
      <c r="A407" s="790"/>
      <c r="C407" s="790"/>
      <c r="J407" s="799"/>
    </row>
    <row r="408" spans="1:29" s="770" customFormat="1" x14ac:dyDescent="0.2">
      <c r="F408" s="790"/>
      <c r="H408" s="745"/>
      <c r="J408" s="798"/>
      <c r="L408" s="745"/>
      <c r="N408" s="790"/>
    </row>
    <row r="409" spans="1:29" s="770" customFormat="1" x14ac:dyDescent="0.2">
      <c r="C409" s="790"/>
    </row>
    <row r="410" spans="1:29" s="770" customFormat="1" x14ac:dyDescent="0.2">
      <c r="F410" s="790"/>
      <c r="H410" s="745"/>
      <c r="J410" s="798"/>
      <c r="L410" s="745"/>
      <c r="N410" s="790"/>
    </row>
    <row r="411" spans="1:29" s="770" customFormat="1" x14ac:dyDescent="0.2">
      <c r="C411" s="795"/>
      <c r="G411" s="790"/>
    </row>
    <row r="412" spans="1:29" s="770" customFormat="1" x14ac:dyDescent="0.2">
      <c r="C412" s="796"/>
      <c r="G412" s="790"/>
    </row>
    <row r="413" spans="1:29" s="770" customFormat="1" x14ac:dyDescent="0.2">
      <c r="C413" s="790"/>
      <c r="G413" s="790"/>
    </row>
    <row r="414" spans="1:29" s="770" customFormat="1" x14ac:dyDescent="0.2">
      <c r="G414" s="790"/>
    </row>
    <row r="415" spans="1:29" s="770" customFormat="1" x14ac:dyDescent="0.2">
      <c r="M415" s="790"/>
    </row>
    <row r="416" spans="1:29" s="770" customFormat="1" x14ac:dyDescent="0.2">
      <c r="M416" s="790"/>
    </row>
    <row r="417" spans="1:14" s="770" customFormat="1" x14ac:dyDescent="0.2">
      <c r="M417" s="790"/>
    </row>
    <row r="418" spans="1:14" s="770" customFormat="1" x14ac:dyDescent="0.2">
      <c r="A418" s="790"/>
      <c r="C418" s="790"/>
      <c r="H418" s="790"/>
    </row>
    <row r="419" spans="1:14" s="770" customFormat="1" x14ac:dyDescent="0.2">
      <c r="A419" s="790"/>
      <c r="C419" s="790"/>
      <c r="F419" s="790"/>
      <c r="H419" s="790"/>
      <c r="J419" s="790"/>
      <c r="L419" s="790"/>
    </row>
    <row r="420" spans="1:14" s="770" customFormat="1" x14ac:dyDescent="0.2">
      <c r="F420" s="790"/>
      <c r="H420" s="790"/>
      <c r="J420" s="790"/>
      <c r="L420" s="790"/>
      <c r="N420" s="790"/>
    </row>
    <row r="421" spans="1:14" s="770" customFormat="1" x14ac:dyDescent="0.2">
      <c r="H421" s="790"/>
      <c r="J421" s="790"/>
      <c r="L421" s="790"/>
      <c r="N421" s="790"/>
    </row>
    <row r="422" spans="1:14" s="770" customFormat="1" x14ac:dyDescent="0.2">
      <c r="A422" s="790"/>
      <c r="C422" s="790"/>
      <c r="H422" s="790"/>
      <c r="J422" s="790"/>
      <c r="L422" s="790"/>
    </row>
    <row r="423" spans="1:14" s="770" customFormat="1" x14ac:dyDescent="0.2">
      <c r="A423" s="790"/>
      <c r="C423" s="790"/>
      <c r="F423" s="790"/>
    </row>
    <row r="424" spans="1:14" s="770" customFormat="1" x14ac:dyDescent="0.2">
      <c r="A424" s="790"/>
      <c r="C424" s="790"/>
      <c r="F424" s="790"/>
    </row>
    <row r="425" spans="1:14" s="770" customFormat="1" x14ac:dyDescent="0.2">
      <c r="A425" s="790"/>
      <c r="C425" s="790"/>
      <c r="F425" s="790"/>
      <c r="H425" s="792"/>
      <c r="J425" s="794"/>
      <c r="L425" s="792"/>
      <c r="N425" s="790"/>
    </row>
    <row r="426" spans="1:14" s="770" customFormat="1" x14ac:dyDescent="0.2">
      <c r="A426" s="790"/>
      <c r="C426" s="790"/>
      <c r="F426" s="790"/>
      <c r="H426" s="792"/>
      <c r="J426" s="794"/>
      <c r="L426" s="792"/>
      <c r="N426" s="790"/>
    </row>
    <row r="427" spans="1:14" s="770" customFormat="1" x14ac:dyDescent="0.2">
      <c r="A427" s="790"/>
      <c r="C427" s="790"/>
      <c r="F427" s="790"/>
      <c r="H427" s="792"/>
      <c r="J427" s="794"/>
      <c r="L427" s="792"/>
      <c r="N427" s="790"/>
    </row>
    <row r="428" spans="1:14" s="770" customFormat="1" x14ac:dyDescent="0.2">
      <c r="A428" s="790"/>
      <c r="C428" s="790"/>
      <c r="F428" s="790"/>
      <c r="H428" s="792"/>
      <c r="J428" s="794"/>
      <c r="L428" s="792"/>
      <c r="N428" s="790"/>
    </row>
    <row r="429" spans="1:14" s="770" customFormat="1" x14ac:dyDescent="0.2">
      <c r="A429" s="790"/>
      <c r="C429" s="790"/>
      <c r="F429" s="790"/>
      <c r="H429" s="792"/>
      <c r="J429" s="794"/>
      <c r="L429" s="792"/>
      <c r="N429" s="790"/>
    </row>
    <row r="430" spans="1:14" s="770" customFormat="1" x14ac:dyDescent="0.2">
      <c r="A430" s="790"/>
      <c r="F430" s="790"/>
      <c r="H430" s="792"/>
      <c r="J430" s="794"/>
      <c r="L430" s="792"/>
      <c r="N430" s="790"/>
    </row>
    <row r="431" spans="1:14" s="770" customFormat="1" x14ac:dyDescent="0.2">
      <c r="F431" s="790"/>
      <c r="H431" s="745"/>
      <c r="J431" s="794"/>
      <c r="L431" s="745"/>
      <c r="N431" s="790"/>
    </row>
    <row r="432" spans="1:14" s="770" customFormat="1" x14ac:dyDescent="0.2">
      <c r="A432" s="790"/>
      <c r="H432" s="792"/>
      <c r="J432" s="793"/>
      <c r="L432" s="792"/>
      <c r="N432" s="790"/>
    </row>
    <row r="433" spans="1:14" s="770" customFormat="1" x14ac:dyDescent="0.2">
      <c r="A433" s="790"/>
      <c r="C433" s="790"/>
      <c r="F433" s="790"/>
      <c r="H433" s="792"/>
      <c r="J433" s="793"/>
      <c r="L433" s="792"/>
      <c r="N433" s="790"/>
    </row>
    <row r="434" spans="1:14" s="770" customFormat="1" x14ac:dyDescent="0.2">
      <c r="A434" s="790"/>
      <c r="C434" s="790"/>
      <c r="F434" s="790"/>
      <c r="H434" s="792"/>
      <c r="J434" s="794"/>
      <c r="L434" s="792"/>
      <c r="N434" s="790"/>
    </row>
    <row r="435" spans="1:14" s="770" customFormat="1" x14ac:dyDescent="0.2">
      <c r="A435" s="790"/>
      <c r="C435" s="790"/>
      <c r="F435" s="790"/>
      <c r="H435" s="792"/>
      <c r="J435" s="794"/>
      <c r="L435" s="792"/>
      <c r="N435" s="790"/>
    </row>
    <row r="436" spans="1:14" s="770" customFormat="1" x14ac:dyDescent="0.2">
      <c r="A436" s="790"/>
      <c r="C436" s="790"/>
      <c r="F436" s="790"/>
      <c r="H436" s="792"/>
      <c r="J436" s="794"/>
      <c r="L436" s="792"/>
      <c r="N436" s="790"/>
    </row>
    <row r="437" spans="1:14" s="770" customFormat="1" x14ac:dyDescent="0.2">
      <c r="A437" s="790"/>
      <c r="C437" s="790"/>
      <c r="F437" s="790"/>
      <c r="H437" s="792"/>
      <c r="J437" s="794"/>
      <c r="L437" s="792"/>
      <c r="N437" s="790"/>
    </row>
    <row r="438" spans="1:14" s="770" customFormat="1" x14ac:dyDescent="0.2">
      <c r="A438" s="790"/>
      <c r="F438" s="790"/>
      <c r="H438" s="792"/>
      <c r="J438" s="794"/>
      <c r="L438" s="792"/>
      <c r="N438" s="790"/>
    </row>
    <row r="439" spans="1:14" s="770" customFormat="1" x14ac:dyDescent="0.2">
      <c r="F439" s="790"/>
      <c r="H439" s="745"/>
      <c r="J439" s="794"/>
      <c r="L439" s="745"/>
      <c r="N439" s="790"/>
    </row>
    <row r="440" spans="1:14" s="770" customFormat="1" x14ac:dyDescent="0.2">
      <c r="A440" s="790"/>
      <c r="C440" s="790"/>
      <c r="H440" s="792"/>
      <c r="J440" s="793"/>
      <c r="L440" s="792"/>
      <c r="N440" s="790"/>
    </row>
    <row r="441" spans="1:14" s="770" customFormat="1" x14ac:dyDescent="0.2">
      <c r="F441" s="790"/>
      <c r="H441" s="745"/>
      <c r="J441" s="794"/>
      <c r="L441" s="745"/>
      <c r="N441" s="790"/>
    </row>
    <row r="442" spans="1:14" s="770" customFormat="1" x14ac:dyDescent="0.2">
      <c r="A442" s="790"/>
      <c r="H442" s="792"/>
      <c r="J442" s="793"/>
      <c r="L442" s="792"/>
    </row>
    <row r="443" spans="1:14" s="770" customFormat="1" x14ac:dyDescent="0.2">
      <c r="F443" s="790"/>
      <c r="H443" s="792"/>
      <c r="J443" s="793"/>
      <c r="L443" s="792"/>
    </row>
    <row r="444" spans="1:14" s="770" customFormat="1" x14ac:dyDescent="0.2">
      <c r="A444" s="790"/>
      <c r="H444" s="792"/>
      <c r="J444" s="793"/>
      <c r="L444" s="792"/>
      <c r="N444" s="745"/>
    </row>
    <row r="445" spans="1:14" s="770" customFormat="1" x14ac:dyDescent="0.2">
      <c r="A445" s="790"/>
    </row>
    <row r="446" spans="1:14" s="770" customFormat="1" x14ac:dyDescent="0.2">
      <c r="A446" s="790"/>
      <c r="F446" s="790"/>
      <c r="H446" s="745"/>
      <c r="J446" s="794"/>
      <c r="L446" s="745"/>
      <c r="N446" s="790"/>
    </row>
    <row r="447" spans="1:14" s="770" customFormat="1" x14ac:dyDescent="0.2">
      <c r="A447" s="790"/>
      <c r="F447" s="790"/>
      <c r="H447" s="745"/>
      <c r="J447" s="794"/>
      <c r="L447" s="745"/>
      <c r="N447" s="790"/>
    </row>
    <row r="448" spans="1:14" s="770" customFormat="1" x14ac:dyDescent="0.2">
      <c r="A448" s="790"/>
      <c r="F448" s="790"/>
      <c r="H448" s="745"/>
      <c r="J448" s="794"/>
      <c r="L448" s="745"/>
      <c r="N448" s="790"/>
    </row>
    <row r="449" spans="1:14" s="770" customFormat="1" x14ac:dyDescent="0.2">
      <c r="A449" s="790"/>
      <c r="F449" s="790"/>
      <c r="H449" s="745"/>
      <c r="J449" s="794"/>
      <c r="L449" s="745"/>
      <c r="N449" s="790"/>
    </row>
    <row r="450" spans="1:14" s="770" customFormat="1" x14ac:dyDescent="0.2">
      <c r="A450" s="790"/>
      <c r="F450" s="790"/>
      <c r="H450" s="745"/>
      <c r="J450" s="794"/>
      <c r="L450" s="745"/>
      <c r="N450" s="790"/>
    </row>
    <row r="451" spans="1:14" s="770" customFormat="1" x14ac:dyDescent="0.2">
      <c r="H451" s="745"/>
      <c r="L451" s="745"/>
    </row>
    <row r="452" spans="1:14" s="770" customFormat="1" x14ac:dyDescent="0.2">
      <c r="C452" s="795"/>
      <c r="G452" s="790"/>
    </row>
    <row r="453" spans="1:14" s="770" customFormat="1" x14ac:dyDescent="0.2">
      <c r="C453" s="796"/>
      <c r="G453" s="790"/>
    </row>
    <row r="454" spans="1:14" s="770" customFormat="1" x14ac:dyDescent="0.2">
      <c r="C454" s="790"/>
      <c r="G454" s="790"/>
    </row>
    <row r="455" spans="1:14" s="770" customFormat="1" x14ac:dyDescent="0.2">
      <c r="G455" s="790"/>
    </row>
    <row r="456" spans="1:14" s="770" customFormat="1" x14ac:dyDescent="0.2">
      <c r="M456" s="790"/>
    </row>
    <row r="457" spans="1:14" s="770" customFormat="1" x14ac:dyDescent="0.2">
      <c r="M457" s="790"/>
    </row>
    <row r="458" spans="1:14" s="770" customFormat="1" x14ac:dyDescent="0.2">
      <c r="M458" s="790"/>
    </row>
    <row r="459" spans="1:14" s="770" customFormat="1" x14ac:dyDescent="0.2">
      <c r="A459" s="790"/>
      <c r="C459" s="790"/>
      <c r="H459" s="790"/>
    </row>
    <row r="460" spans="1:14" s="770" customFormat="1" x14ac:dyDescent="0.2">
      <c r="A460" s="790"/>
      <c r="C460" s="790"/>
      <c r="F460" s="790"/>
      <c r="H460" s="790"/>
      <c r="J460" s="790"/>
      <c r="L460" s="790"/>
    </row>
    <row r="461" spans="1:14" s="770" customFormat="1" x14ac:dyDescent="0.2">
      <c r="F461" s="790"/>
      <c r="H461" s="790"/>
      <c r="J461" s="790"/>
      <c r="L461" s="790"/>
      <c r="N461" s="790"/>
    </row>
    <row r="462" spans="1:14" s="770" customFormat="1" x14ac:dyDescent="0.2">
      <c r="A462" s="790"/>
      <c r="C462" s="790"/>
      <c r="H462" s="790"/>
      <c r="J462" s="790"/>
      <c r="L462" s="790"/>
      <c r="N462" s="790"/>
    </row>
    <row r="463" spans="1:14" s="770" customFormat="1" x14ac:dyDescent="0.2">
      <c r="A463" s="790"/>
      <c r="F463" s="790"/>
      <c r="H463" s="790"/>
      <c r="J463" s="790"/>
      <c r="L463" s="790"/>
    </row>
    <row r="464" spans="1:14" s="770" customFormat="1" x14ac:dyDescent="0.2">
      <c r="A464" s="790"/>
      <c r="F464" s="790"/>
      <c r="H464" s="792"/>
      <c r="J464" s="793"/>
      <c r="L464" s="792"/>
      <c r="N464" s="790"/>
    </row>
    <row r="465" spans="1:14" s="770" customFormat="1" x14ac:dyDescent="0.2">
      <c r="A465" s="790"/>
      <c r="C465" s="790"/>
      <c r="F465" s="790"/>
      <c r="H465" s="792"/>
      <c r="J465" s="793"/>
      <c r="L465" s="792"/>
    </row>
    <row r="466" spans="1:14" s="770" customFormat="1" x14ac:dyDescent="0.2">
      <c r="A466" s="790"/>
      <c r="C466" s="790"/>
      <c r="F466" s="790"/>
      <c r="H466" s="792"/>
      <c r="J466" s="794"/>
      <c r="L466" s="792"/>
      <c r="N466" s="790"/>
    </row>
    <row r="467" spans="1:14" s="770" customFormat="1" x14ac:dyDescent="0.2">
      <c r="A467" s="790"/>
      <c r="C467" s="790"/>
      <c r="F467" s="790"/>
      <c r="H467" s="792"/>
      <c r="J467" s="794"/>
      <c r="L467" s="792"/>
      <c r="N467" s="790"/>
    </row>
    <row r="468" spans="1:14" s="770" customFormat="1" x14ac:dyDescent="0.2">
      <c r="A468" s="790"/>
      <c r="C468" s="790"/>
      <c r="F468" s="790"/>
      <c r="H468" s="792"/>
      <c r="J468" s="794"/>
      <c r="L468" s="792"/>
      <c r="N468" s="790"/>
    </row>
    <row r="469" spans="1:14" s="770" customFormat="1" x14ac:dyDescent="0.2">
      <c r="A469" s="790"/>
      <c r="C469" s="790"/>
      <c r="F469" s="790"/>
      <c r="H469" s="792"/>
      <c r="J469" s="794"/>
      <c r="L469" s="792"/>
      <c r="N469" s="790"/>
    </row>
    <row r="470" spans="1:14" s="770" customFormat="1" x14ac:dyDescent="0.2">
      <c r="A470" s="790"/>
      <c r="C470" s="790"/>
      <c r="F470" s="790"/>
      <c r="H470" s="792"/>
      <c r="J470" s="794"/>
      <c r="L470" s="792"/>
      <c r="N470" s="790"/>
    </row>
    <row r="471" spans="1:14" s="770" customFormat="1" x14ac:dyDescent="0.2">
      <c r="A471" s="790"/>
      <c r="C471" s="790"/>
      <c r="F471" s="790"/>
      <c r="H471" s="792"/>
      <c r="J471" s="794"/>
      <c r="L471" s="792"/>
      <c r="N471" s="790"/>
    </row>
    <row r="472" spans="1:14" s="770" customFormat="1" x14ac:dyDescent="0.2">
      <c r="A472" s="790"/>
      <c r="F472" s="790"/>
      <c r="H472" s="792"/>
      <c r="J472" s="794"/>
      <c r="L472" s="792"/>
      <c r="N472" s="790"/>
    </row>
    <row r="473" spans="1:14" s="770" customFormat="1" x14ac:dyDescent="0.2">
      <c r="F473" s="790"/>
      <c r="H473" s="745"/>
      <c r="J473" s="794"/>
      <c r="L473" s="745"/>
      <c r="N473" s="790"/>
    </row>
    <row r="474" spans="1:14" s="770" customFormat="1" x14ac:dyDescent="0.2">
      <c r="A474" s="790"/>
    </row>
    <row r="475" spans="1:14" s="770" customFormat="1" x14ac:dyDescent="0.2">
      <c r="A475" s="790"/>
      <c r="C475" s="790"/>
      <c r="F475" s="790"/>
    </row>
    <row r="476" spans="1:14" s="770" customFormat="1" x14ac:dyDescent="0.2">
      <c r="A476" s="790"/>
      <c r="C476" s="790"/>
      <c r="F476" s="790"/>
      <c r="H476" s="792"/>
      <c r="J476" s="798"/>
      <c r="L476" s="792"/>
      <c r="N476" s="790"/>
    </row>
    <row r="477" spans="1:14" s="770" customFormat="1" x14ac:dyDescent="0.2">
      <c r="A477" s="790"/>
      <c r="C477" s="790"/>
      <c r="F477" s="790"/>
      <c r="H477" s="792"/>
      <c r="J477" s="798"/>
      <c r="L477" s="792"/>
      <c r="N477" s="790"/>
    </row>
    <row r="478" spans="1:14" s="770" customFormat="1" x14ac:dyDescent="0.2">
      <c r="A478" s="790"/>
      <c r="C478" s="790"/>
      <c r="F478" s="790"/>
      <c r="H478" s="792"/>
      <c r="J478" s="798"/>
      <c r="L478" s="792"/>
      <c r="N478" s="790"/>
    </row>
    <row r="479" spans="1:14" s="770" customFormat="1" x14ac:dyDescent="0.2">
      <c r="A479" s="790"/>
      <c r="C479" s="790"/>
      <c r="F479" s="790"/>
      <c r="H479" s="792"/>
      <c r="J479" s="798"/>
      <c r="K479" s="790"/>
      <c r="L479" s="792"/>
      <c r="N479" s="790"/>
    </row>
    <row r="480" spans="1:14" s="770" customFormat="1" x14ac:dyDescent="0.2">
      <c r="A480" s="790"/>
      <c r="C480" s="790"/>
      <c r="F480" s="790"/>
      <c r="H480" s="792"/>
      <c r="J480" s="798"/>
      <c r="L480" s="792"/>
      <c r="N480" s="790"/>
    </row>
    <row r="481" spans="1:14" s="770" customFormat="1" x14ac:dyDescent="0.2">
      <c r="A481" s="790"/>
      <c r="F481" s="790"/>
      <c r="H481" s="792"/>
      <c r="J481" s="798"/>
      <c r="L481" s="792"/>
      <c r="N481" s="790"/>
    </row>
    <row r="482" spans="1:14" s="770" customFormat="1" x14ac:dyDescent="0.2">
      <c r="F482" s="790"/>
      <c r="H482" s="745"/>
      <c r="J482" s="798"/>
      <c r="L482" s="745"/>
      <c r="N482" s="790"/>
    </row>
    <row r="483" spans="1:14" s="770" customFormat="1" x14ac:dyDescent="0.2">
      <c r="A483" s="790"/>
      <c r="C483" s="790"/>
      <c r="J483" s="799"/>
      <c r="N483" s="790"/>
    </row>
    <row r="484" spans="1:14" s="770" customFormat="1" x14ac:dyDescent="0.2">
      <c r="A484" s="790"/>
      <c r="C484" s="790"/>
      <c r="F484" s="790"/>
      <c r="H484" s="792"/>
      <c r="J484" s="799"/>
      <c r="L484" s="792"/>
      <c r="N484" s="790"/>
    </row>
    <row r="485" spans="1:14" s="770" customFormat="1" x14ac:dyDescent="0.2">
      <c r="A485" s="790"/>
      <c r="C485" s="790"/>
      <c r="F485" s="790"/>
      <c r="H485" s="792"/>
      <c r="J485" s="798"/>
      <c r="L485" s="792"/>
      <c r="N485" s="790"/>
    </row>
    <row r="486" spans="1:14" s="770" customFormat="1" x14ac:dyDescent="0.2">
      <c r="A486" s="790"/>
      <c r="C486" s="790"/>
      <c r="F486" s="790"/>
      <c r="H486" s="792"/>
      <c r="J486" s="798"/>
      <c r="L486" s="792"/>
      <c r="N486" s="790"/>
    </row>
    <row r="487" spans="1:14" s="770" customFormat="1" x14ac:dyDescent="0.2">
      <c r="A487" s="790"/>
      <c r="C487" s="790"/>
      <c r="F487" s="790"/>
      <c r="H487" s="792"/>
      <c r="J487" s="798"/>
      <c r="L487" s="792"/>
      <c r="N487" s="790"/>
    </row>
    <row r="488" spans="1:14" s="770" customFormat="1" x14ac:dyDescent="0.2">
      <c r="A488" s="790"/>
      <c r="C488" s="790"/>
      <c r="F488" s="790"/>
      <c r="H488" s="792"/>
      <c r="I488" s="790"/>
      <c r="J488" s="798"/>
      <c r="L488" s="792"/>
      <c r="N488" s="790"/>
    </row>
    <row r="489" spans="1:14" s="770" customFormat="1" x14ac:dyDescent="0.2">
      <c r="A489" s="790"/>
      <c r="C489" s="790"/>
      <c r="F489" s="790"/>
      <c r="H489" s="792"/>
      <c r="J489" s="798"/>
      <c r="L489" s="792"/>
      <c r="N489" s="790"/>
    </row>
    <row r="490" spans="1:14" s="770" customFormat="1" x14ac:dyDescent="0.2">
      <c r="A490" s="790"/>
      <c r="C490" s="790"/>
      <c r="F490" s="790"/>
      <c r="H490" s="792"/>
      <c r="J490" s="798"/>
      <c r="L490" s="792"/>
      <c r="N490" s="790"/>
    </row>
    <row r="491" spans="1:14" s="770" customFormat="1" x14ac:dyDescent="0.2">
      <c r="C491" s="790"/>
      <c r="F491" s="790"/>
      <c r="H491" s="792"/>
      <c r="J491" s="798"/>
      <c r="L491" s="792"/>
      <c r="N491" s="790"/>
    </row>
    <row r="492" spans="1:14" s="770" customFormat="1" x14ac:dyDescent="0.2">
      <c r="C492" s="790"/>
      <c r="F492" s="790"/>
      <c r="H492" s="792"/>
      <c r="J492" s="798"/>
      <c r="L492" s="792"/>
      <c r="N492" s="790"/>
    </row>
    <row r="493" spans="1:14" s="770" customFormat="1" x14ac:dyDescent="0.2">
      <c r="F493" s="790"/>
      <c r="H493" s="792"/>
      <c r="J493" s="798"/>
      <c r="L493" s="792"/>
      <c r="N493" s="790"/>
    </row>
    <row r="494" spans="1:14" s="770" customFormat="1" x14ac:dyDescent="0.2">
      <c r="F494" s="790"/>
      <c r="H494" s="745"/>
      <c r="J494" s="798"/>
      <c r="L494" s="745"/>
      <c r="N494" s="790"/>
    </row>
    <row r="495" spans="1:14" s="770" customFormat="1" x14ac:dyDescent="0.2">
      <c r="C495" s="795"/>
      <c r="G495" s="790"/>
    </row>
    <row r="496" spans="1:14" s="770" customFormat="1" x14ac:dyDescent="0.2">
      <c r="C496" s="790"/>
      <c r="G496" s="790"/>
    </row>
    <row r="497" spans="1:14" s="770" customFormat="1" x14ac:dyDescent="0.2">
      <c r="G497" s="790"/>
    </row>
    <row r="498" spans="1:14" s="770" customFormat="1" x14ac:dyDescent="0.2">
      <c r="M498" s="790"/>
    </row>
    <row r="499" spans="1:14" s="770" customFormat="1" x14ac:dyDescent="0.2">
      <c r="M499" s="790"/>
    </row>
    <row r="500" spans="1:14" s="770" customFormat="1" x14ac:dyDescent="0.2">
      <c r="M500" s="790"/>
    </row>
    <row r="501" spans="1:14" s="770" customFormat="1" x14ac:dyDescent="0.2">
      <c r="A501" s="790"/>
      <c r="C501" s="790"/>
      <c r="H501" s="790"/>
    </row>
    <row r="502" spans="1:14" s="770" customFormat="1" x14ac:dyDescent="0.2">
      <c r="A502" s="790"/>
      <c r="C502" s="790"/>
      <c r="F502" s="790"/>
      <c r="H502" s="790"/>
      <c r="J502" s="790"/>
      <c r="L502" s="790"/>
    </row>
    <row r="503" spans="1:14" s="770" customFormat="1" x14ac:dyDescent="0.2">
      <c r="F503" s="790"/>
      <c r="H503" s="790"/>
      <c r="J503" s="790"/>
      <c r="L503" s="790"/>
      <c r="N503" s="790"/>
    </row>
    <row r="504" spans="1:14" s="770" customFormat="1" x14ac:dyDescent="0.2">
      <c r="A504" s="790"/>
      <c r="C504" s="790"/>
      <c r="H504" s="790"/>
      <c r="J504" s="790"/>
      <c r="L504" s="790"/>
      <c r="N504" s="790"/>
    </row>
    <row r="505" spans="1:14" s="770" customFormat="1" x14ac:dyDescent="0.2">
      <c r="A505" s="790"/>
      <c r="C505" s="790"/>
      <c r="F505" s="790"/>
      <c r="H505" s="792"/>
      <c r="J505" s="799"/>
      <c r="L505" s="792"/>
    </row>
    <row r="506" spans="1:14" s="770" customFormat="1" x14ac:dyDescent="0.2">
      <c r="A506" s="790"/>
      <c r="C506" s="790"/>
      <c r="F506" s="790"/>
      <c r="H506" s="792"/>
      <c r="J506" s="798"/>
      <c r="L506" s="792"/>
      <c r="M506" s="790"/>
      <c r="N506" s="790"/>
    </row>
    <row r="507" spans="1:14" s="770" customFormat="1" x14ac:dyDescent="0.2">
      <c r="A507" s="790"/>
      <c r="C507" s="790"/>
      <c r="F507" s="790"/>
      <c r="H507" s="792"/>
      <c r="J507" s="798"/>
      <c r="L507" s="792"/>
      <c r="N507" s="790"/>
    </row>
    <row r="508" spans="1:14" s="770" customFormat="1" x14ac:dyDescent="0.2">
      <c r="A508" s="790"/>
      <c r="C508" s="790"/>
      <c r="F508" s="790"/>
      <c r="H508" s="792"/>
      <c r="J508" s="798"/>
      <c r="L508" s="792"/>
      <c r="N508" s="790"/>
    </row>
    <row r="509" spans="1:14" s="770" customFormat="1" x14ac:dyDescent="0.2">
      <c r="A509" s="790"/>
      <c r="C509" s="790"/>
      <c r="F509" s="790"/>
      <c r="H509" s="792"/>
      <c r="J509" s="798"/>
      <c r="L509" s="792"/>
      <c r="N509" s="790"/>
    </row>
    <row r="510" spans="1:14" s="770" customFormat="1" x14ac:dyDescent="0.2">
      <c r="A510" s="790"/>
      <c r="C510" s="790"/>
      <c r="F510" s="790"/>
      <c r="H510" s="792"/>
      <c r="J510" s="798"/>
      <c r="L510" s="792"/>
      <c r="N510" s="790"/>
    </row>
    <row r="511" spans="1:14" s="770" customFormat="1" x14ac:dyDescent="0.2">
      <c r="F511" s="790"/>
      <c r="H511" s="745"/>
      <c r="J511" s="798"/>
      <c r="L511" s="745"/>
      <c r="N511" s="790"/>
    </row>
    <row r="512" spans="1:14" s="770" customFormat="1" x14ac:dyDescent="0.2"/>
    <row r="513" spans="1:14" s="770" customFormat="1" x14ac:dyDescent="0.2">
      <c r="A513" s="790"/>
    </row>
    <row r="514" spans="1:14" s="770" customFormat="1" x14ac:dyDescent="0.2">
      <c r="A514" s="790"/>
      <c r="C514" s="790"/>
      <c r="F514" s="790"/>
    </row>
    <row r="515" spans="1:14" s="770" customFormat="1" x14ac:dyDescent="0.2">
      <c r="A515" s="790"/>
      <c r="C515" s="790"/>
      <c r="F515" s="790"/>
      <c r="H515" s="792"/>
      <c r="J515" s="798"/>
      <c r="L515" s="792"/>
      <c r="N515" s="790"/>
    </row>
    <row r="516" spans="1:14" s="770" customFormat="1" x14ac:dyDescent="0.2">
      <c r="A516" s="790"/>
      <c r="C516" s="790"/>
      <c r="F516" s="790"/>
      <c r="H516" s="792"/>
      <c r="J516" s="798"/>
      <c r="L516" s="792"/>
      <c r="N516" s="790"/>
    </row>
    <row r="517" spans="1:14" s="770" customFormat="1" x14ac:dyDescent="0.2">
      <c r="A517" s="790"/>
      <c r="C517" s="790"/>
      <c r="F517" s="790"/>
      <c r="H517" s="792"/>
      <c r="J517" s="798"/>
      <c r="K517" s="792"/>
      <c r="L517" s="792"/>
      <c r="N517" s="790"/>
    </row>
    <row r="518" spans="1:14" s="770" customFormat="1" x14ac:dyDescent="0.2">
      <c r="A518" s="790"/>
      <c r="C518" s="790"/>
      <c r="F518" s="790"/>
      <c r="H518" s="792"/>
      <c r="J518" s="798"/>
      <c r="L518" s="792"/>
      <c r="N518" s="790"/>
    </row>
    <row r="519" spans="1:14" s="770" customFormat="1" x14ac:dyDescent="0.2">
      <c r="A519" s="790"/>
      <c r="C519" s="790"/>
      <c r="F519" s="790"/>
      <c r="H519" s="745"/>
      <c r="J519" s="798"/>
      <c r="L519" s="745"/>
      <c r="N519" s="790"/>
    </row>
    <row r="520" spans="1:14" s="770" customFormat="1" x14ac:dyDescent="0.2">
      <c r="A520" s="790"/>
      <c r="C520" s="790"/>
      <c r="F520" s="790"/>
      <c r="H520" s="792"/>
      <c r="J520" s="799"/>
      <c r="L520" s="792"/>
      <c r="N520" s="790"/>
    </row>
    <row r="521" spans="1:14" s="770" customFormat="1" x14ac:dyDescent="0.2">
      <c r="A521" s="790"/>
      <c r="C521" s="790"/>
      <c r="F521" s="790"/>
      <c r="H521" s="792"/>
      <c r="J521" s="799"/>
      <c r="L521" s="792"/>
      <c r="N521" s="790"/>
    </row>
    <row r="522" spans="1:14" s="770" customFormat="1" x14ac:dyDescent="0.2">
      <c r="A522" s="790"/>
      <c r="C522" s="790"/>
      <c r="F522" s="790"/>
      <c r="H522" s="792"/>
      <c r="J522" s="798"/>
      <c r="L522" s="792"/>
      <c r="N522" s="790"/>
    </row>
    <row r="523" spans="1:14" s="770" customFormat="1" x14ac:dyDescent="0.2">
      <c r="A523" s="790"/>
      <c r="C523" s="790"/>
      <c r="F523" s="790"/>
      <c r="H523" s="792"/>
      <c r="J523" s="798"/>
      <c r="L523" s="792"/>
      <c r="N523" s="790"/>
    </row>
    <row r="524" spans="1:14" s="770" customFormat="1" x14ac:dyDescent="0.2">
      <c r="A524" s="790"/>
      <c r="C524" s="790"/>
      <c r="F524" s="790"/>
      <c r="H524" s="792"/>
      <c r="J524" s="798"/>
      <c r="L524" s="792"/>
      <c r="N524" s="790"/>
    </row>
    <row r="525" spans="1:14" s="770" customFormat="1" x14ac:dyDescent="0.2">
      <c r="A525" s="790"/>
      <c r="C525" s="790"/>
      <c r="F525" s="790"/>
      <c r="H525" s="792"/>
      <c r="J525" s="798"/>
      <c r="L525" s="792"/>
      <c r="N525" s="790"/>
    </row>
    <row r="526" spans="1:14" s="770" customFormat="1" x14ac:dyDescent="0.2">
      <c r="F526" s="790"/>
      <c r="H526" s="745"/>
      <c r="J526" s="798"/>
      <c r="L526" s="745"/>
      <c r="N526" s="790"/>
    </row>
    <row r="527" spans="1:14" s="770" customFormat="1" x14ac:dyDescent="0.2">
      <c r="A527" s="790"/>
      <c r="C527" s="790"/>
      <c r="H527" s="792"/>
      <c r="J527" s="799"/>
      <c r="L527" s="792"/>
      <c r="N527" s="790"/>
    </row>
    <row r="528" spans="1:14" s="770" customFormat="1" x14ac:dyDescent="0.2">
      <c r="A528" s="790"/>
      <c r="C528" s="790"/>
      <c r="F528" s="790"/>
      <c r="H528" s="792"/>
      <c r="J528" s="799"/>
      <c r="L528" s="792"/>
      <c r="N528" s="790"/>
    </row>
    <row r="529" spans="1:14" s="770" customFormat="1" x14ac:dyDescent="0.2">
      <c r="A529" s="790"/>
      <c r="C529" s="790"/>
      <c r="F529" s="790"/>
      <c r="H529" s="792"/>
      <c r="I529" s="790"/>
      <c r="J529" s="798"/>
      <c r="L529" s="792"/>
      <c r="N529" s="790"/>
    </row>
    <row r="530" spans="1:14" s="770" customFormat="1" x14ac:dyDescent="0.2">
      <c r="A530" s="790"/>
      <c r="C530" s="790"/>
      <c r="F530" s="790"/>
      <c r="H530" s="792"/>
      <c r="J530" s="798"/>
      <c r="L530" s="792"/>
      <c r="N530" s="790"/>
    </row>
    <row r="531" spans="1:14" s="770" customFormat="1" x14ac:dyDescent="0.2">
      <c r="A531" s="790"/>
      <c r="C531" s="790"/>
      <c r="F531" s="790"/>
      <c r="H531" s="792"/>
      <c r="J531" s="798"/>
      <c r="L531" s="792"/>
      <c r="N531" s="790"/>
    </row>
    <row r="532" spans="1:14" s="770" customFormat="1" x14ac:dyDescent="0.2">
      <c r="A532" s="790"/>
      <c r="C532" s="790"/>
      <c r="F532" s="790"/>
      <c r="H532" s="792"/>
      <c r="J532" s="798"/>
      <c r="L532" s="792"/>
      <c r="N532" s="790"/>
    </row>
    <row r="533" spans="1:14" s="770" customFormat="1" x14ac:dyDescent="0.2">
      <c r="A533" s="790"/>
      <c r="C533" s="790"/>
      <c r="F533" s="790"/>
      <c r="H533" s="792"/>
      <c r="J533" s="798"/>
      <c r="L533" s="792"/>
      <c r="N533" s="790"/>
    </row>
    <row r="534" spans="1:14" s="770" customFormat="1" x14ac:dyDescent="0.2">
      <c r="A534" s="790"/>
      <c r="C534" s="790"/>
      <c r="F534" s="790"/>
      <c r="H534" s="792"/>
      <c r="J534" s="798"/>
      <c r="L534" s="792"/>
      <c r="N534" s="790"/>
    </row>
    <row r="535" spans="1:14" s="770" customFormat="1" x14ac:dyDescent="0.2">
      <c r="A535" s="790"/>
      <c r="C535" s="790"/>
      <c r="F535" s="790"/>
      <c r="H535" s="792"/>
      <c r="J535" s="798"/>
      <c r="L535" s="792"/>
      <c r="N535" s="790"/>
    </row>
    <row r="536" spans="1:14" s="770" customFormat="1" x14ac:dyDescent="0.2">
      <c r="A536" s="790"/>
      <c r="C536" s="790"/>
      <c r="F536" s="790"/>
      <c r="H536" s="792"/>
      <c r="J536" s="798"/>
      <c r="L536" s="792"/>
      <c r="N536" s="790"/>
    </row>
    <row r="537" spans="1:14" s="770" customFormat="1" x14ac:dyDescent="0.2">
      <c r="A537" s="790"/>
      <c r="C537" s="790"/>
      <c r="F537" s="790"/>
      <c r="H537" s="792"/>
      <c r="J537" s="798"/>
      <c r="L537" s="792"/>
      <c r="N537" s="790"/>
    </row>
    <row r="538" spans="1:14" s="770" customFormat="1" x14ac:dyDescent="0.2">
      <c r="F538" s="790"/>
      <c r="H538" s="745"/>
      <c r="J538" s="798"/>
      <c r="L538" s="745"/>
      <c r="M538" s="790"/>
      <c r="N538" s="790"/>
    </row>
    <row r="539" spans="1:14" s="770" customFormat="1" x14ac:dyDescent="0.2">
      <c r="C539" s="795"/>
      <c r="G539" s="790"/>
    </row>
    <row r="540" spans="1:14" s="770" customFormat="1" x14ac:dyDescent="0.2">
      <c r="C540" s="796"/>
      <c r="G540" s="790"/>
    </row>
    <row r="541" spans="1:14" s="770" customFormat="1" x14ac:dyDescent="0.2">
      <c r="C541" s="790"/>
      <c r="G541" s="790"/>
    </row>
    <row r="542" spans="1:14" s="770" customFormat="1" x14ac:dyDescent="0.2">
      <c r="G542" s="790"/>
    </row>
    <row r="543" spans="1:14" s="770" customFormat="1" x14ac:dyDescent="0.2">
      <c r="M543" s="790"/>
    </row>
    <row r="544" spans="1:14" s="770" customFormat="1" x14ac:dyDescent="0.2">
      <c r="M544" s="790"/>
    </row>
    <row r="545" spans="1:14" s="770" customFormat="1" x14ac:dyDescent="0.2">
      <c r="M545" s="790"/>
    </row>
    <row r="546" spans="1:14" s="770" customFormat="1" x14ac:dyDescent="0.2">
      <c r="A546" s="790"/>
      <c r="C546" s="790"/>
      <c r="H546" s="790"/>
    </row>
    <row r="547" spans="1:14" s="770" customFormat="1" x14ac:dyDescent="0.2">
      <c r="A547" s="790"/>
      <c r="C547" s="790"/>
      <c r="F547" s="790"/>
      <c r="H547" s="790"/>
      <c r="J547" s="790"/>
      <c r="L547" s="790"/>
    </row>
    <row r="548" spans="1:14" s="770" customFormat="1" x14ac:dyDescent="0.2">
      <c r="F548" s="790"/>
      <c r="H548" s="790"/>
      <c r="J548" s="790"/>
      <c r="L548" s="790"/>
      <c r="N548" s="790"/>
    </row>
    <row r="549" spans="1:14" s="770" customFormat="1" x14ac:dyDescent="0.2">
      <c r="A549" s="790"/>
      <c r="C549" s="790"/>
      <c r="H549" s="790"/>
      <c r="J549" s="790"/>
      <c r="L549" s="790"/>
      <c r="N549" s="790"/>
    </row>
    <row r="550" spans="1:14" s="770" customFormat="1" x14ac:dyDescent="0.2">
      <c r="A550" s="790"/>
      <c r="F550" s="790"/>
      <c r="H550" s="790"/>
      <c r="J550" s="790"/>
      <c r="L550" s="790"/>
    </row>
    <row r="551" spans="1:14" s="770" customFormat="1" x14ac:dyDescent="0.2">
      <c r="A551" s="790"/>
      <c r="C551" s="790"/>
      <c r="F551" s="790"/>
    </row>
    <row r="552" spans="1:14" s="770" customFormat="1" x14ac:dyDescent="0.2">
      <c r="A552" s="790"/>
      <c r="C552" s="790"/>
      <c r="F552" s="790"/>
      <c r="H552" s="792"/>
      <c r="J552" s="799"/>
      <c r="L552" s="792"/>
      <c r="N552" s="790"/>
    </row>
    <row r="553" spans="1:14" s="770" customFormat="1" x14ac:dyDescent="0.2">
      <c r="A553" s="790"/>
      <c r="C553" s="790"/>
      <c r="F553" s="790"/>
      <c r="H553" s="792"/>
      <c r="J553" s="799"/>
      <c r="L553" s="792"/>
      <c r="N553" s="790"/>
    </row>
    <row r="554" spans="1:14" s="770" customFormat="1" x14ac:dyDescent="0.2">
      <c r="A554" s="790"/>
      <c r="C554" s="790"/>
      <c r="F554" s="790"/>
      <c r="H554" s="792"/>
      <c r="J554" s="798"/>
      <c r="L554" s="792"/>
      <c r="N554" s="790"/>
    </row>
    <row r="555" spans="1:14" s="770" customFormat="1" x14ac:dyDescent="0.2">
      <c r="F555" s="790"/>
      <c r="H555" s="792"/>
      <c r="J555" s="798"/>
      <c r="L555" s="745"/>
      <c r="N555" s="790"/>
    </row>
    <row r="556" spans="1:14" s="770" customFormat="1" x14ac:dyDescent="0.2">
      <c r="A556" s="790"/>
      <c r="C556" s="790"/>
    </row>
    <row r="557" spans="1:14" s="770" customFormat="1" x14ac:dyDescent="0.2">
      <c r="F557" s="790"/>
      <c r="H557" s="745"/>
      <c r="J557" s="798"/>
      <c r="L557" s="745"/>
      <c r="N557" s="790"/>
    </row>
    <row r="558" spans="1:14" s="770" customFormat="1" x14ac:dyDescent="0.2">
      <c r="A558" s="790"/>
      <c r="C558" s="790"/>
    </row>
    <row r="559" spans="1:14" s="770" customFormat="1" x14ac:dyDescent="0.2">
      <c r="A559" s="790"/>
      <c r="C559" s="790"/>
      <c r="F559" s="790"/>
      <c r="H559" s="792"/>
      <c r="J559" s="798"/>
      <c r="L559" s="792"/>
      <c r="N559" s="790"/>
    </row>
    <row r="560" spans="1:14" s="770" customFormat="1" x14ac:dyDescent="0.2">
      <c r="A560" s="790"/>
      <c r="C560" s="790"/>
      <c r="F560" s="790"/>
      <c r="H560" s="792"/>
      <c r="J560" s="798"/>
      <c r="L560" s="792"/>
      <c r="N560" s="790"/>
    </row>
    <row r="561" spans="1:14" s="770" customFormat="1" x14ac:dyDescent="0.2">
      <c r="A561" s="790"/>
      <c r="C561" s="790"/>
      <c r="F561" s="790"/>
      <c r="H561" s="792"/>
      <c r="J561" s="798"/>
      <c r="L561" s="792"/>
      <c r="N561" s="790"/>
    </row>
    <row r="562" spans="1:14" s="770" customFormat="1" x14ac:dyDescent="0.2">
      <c r="F562" s="790"/>
      <c r="H562" s="745"/>
      <c r="J562" s="798"/>
      <c r="L562" s="745"/>
      <c r="N562" s="790"/>
    </row>
    <row r="563" spans="1:14" s="770" customFormat="1" x14ac:dyDescent="0.2">
      <c r="A563" s="790"/>
      <c r="C563" s="790"/>
      <c r="J563" s="799"/>
    </row>
    <row r="564" spans="1:14" s="770" customFormat="1" x14ac:dyDescent="0.2">
      <c r="F564" s="790"/>
      <c r="H564" s="745"/>
      <c r="J564" s="798"/>
      <c r="L564" s="745"/>
      <c r="N564" s="790"/>
    </row>
    <row r="565" spans="1:14" s="770" customFormat="1" x14ac:dyDescent="0.2">
      <c r="C565" s="790"/>
    </row>
    <row r="566" spans="1:14" s="770" customFormat="1" x14ac:dyDescent="0.2"/>
    <row r="567" spans="1:14" s="770" customFormat="1" x14ac:dyDescent="0.2"/>
    <row r="568" spans="1:14" s="770" customFormat="1" x14ac:dyDescent="0.2"/>
    <row r="569" spans="1:14" s="770" customFormat="1" x14ac:dyDescent="0.2">
      <c r="A569" s="790"/>
    </row>
    <row r="570" spans="1:14" s="770" customFormat="1" x14ac:dyDescent="0.2">
      <c r="A570" s="790"/>
    </row>
    <row r="571" spans="1:14" s="770" customFormat="1" x14ac:dyDescent="0.2">
      <c r="A571" s="790"/>
    </row>
    <row r="572" spans="1:14" s="770" customFormat="1" x14ac:dyDescent="0.2">
      <c r="A572" s="790"/>
    </row>
    <row r="573" spans="1:14" s="770" customFormat="1" x14ac:dyDescent="0.2"/>
    <row r="574" spans="1:14" s="770" customFormat="1" x14ac:dyDescent="0.2">
      <c r="A574" s="790"/>
    </row>
    <row r="575" spans="1:14" s="770" customFormat="1" x14ac:dyDescent="0.2"/>
    <row r="576" spans="1:14" s="770" customFormat="1" x14ac:dyDescent="0.2"/>
    <row r="577" s="770" customFormat="1" x14ac:dyDescent="0.2"/>
    <row r="578" s="770" customFormat="1" x14ac:dyDescent="0.2"/>
    <row r="579" s="770" customFormat="1" x14ac:dyDescent="0.2"/>
    <row r="580" s="770" customFormat="1" x14ac:dyDescent="0.2"/>
    <row r="581" s="770" customFormat="1" x14ac:dyDescent="0.2"/>
    <row r="582" s="770" customFormat="1" x14ac:dyDescent="0.2"/>
    <row r="583" s="770" customFormat="1" x14ac:dyDescent="0.2"/>
    <row r="584" s="770" customFormat="1" x14ac:dyDescent="0.2"/>
    <row r="585" s="770" customFormat="1" x14ac:dyDescent="0.2"/>
    <row r="586" s="770" customFormat="1" x14ac:dyDescent="0.2"/>
    <row r="587" s="770" customFormat="1" x14ac:dyDescent="0.2"/>
    <row r="588" s="770" customFormat="1" x14ac:dyDescent="0.2"/>
    <row r="589" s="770" customFormat="1" x14ac:dyDescent="0.2"/>
    <row r="590" s="770" customFormat="1" x14ac:dyDescent="0.2"/>
    <row r="591" s="770" customFormat="1" x14ac:dyDescent="0.2"/>
    <row r="592" s="770" customFormat="1" x14ac:dyDescent="0.2"/>
    <row r="593" s="770" customFormat="1" x14ac:dyDescent="0.2"/>
    <row r="594" s="770" customFormat="1" x14ac:dyDescent="0.2"/>
    <row r="595" s="770" customFormat="1" x14ac:dyDescent="0.2"/>
    <row r="596" s="770" customFormat="1" x14ac:dyDescent="0.2"/>
    <row r="597" s="770" customFormat="1" x14ac:dyDescent="0.2"/>
    <row r="598" s="770" customFormat="1" x14ac:dyDescent="0.2"/>
    <row r="599" s="770" customFormat="1" x14ac:dyDescent="0.2"/>
    <row r="600" s="770" customFormat="1" x14ac:dyDescent="0.2"/>
    <row r="601" s="770" customFormat="1" x14ac:dyDescent="0.2"/>
    <row r="602" s="770" customFormat="1" x14ac:dyDescent="0.2"/>
    <row r="603" s="770" customFormat="1" x14ac:dyDescent="0.2"/>
    <row r="604" s="770" customFormat="1" x14ac:dyDescent="0.2"/>
    <row r="605" s="770" customFormat="1" x14ac:dyDescent="0.2"/>
    <row r="606" s="770" customFormat="1" x14ac:dyDescent="0.2"/>
    <row r="607" s="770" customFormat="1" x14ac:dyDescent="0.2"/>
    <row r="608" s="770" customFormat="1" x14ac:dyDescent="0.2"/>
    <row r="609" s="770" customFormat="1" x14ac:dyDescent="0.2"/>
    <row r="610" s="770" customFormat="1" x14ac:dyDescent="0.2"/>
    <row r="611" s="770" customFormat="1" x14ac:dyDescent="0.2"/>
    <row r="612" s="770" customFormat="1" x14ac:dyDescent="0.2"/>
    <row r="613" s="770" customFormat="1" x14ac:dyDescent="0.2"/>
    <row r="614" s="770" customFormat="1" x14ac:dyDescent="0.2"/>
    <row r="615" s="770" customFormat="1" x14ac:dyDescent="0.2"/>
    <row r="616" s="770" customFormat="1" x14ac:dyDescent="0.2"/>
    <row r="617" s="770" customFormat="1" x14ac:dyDescent="0.2"/>
    <row r="618" s="770" customFormat="1" x14ac:dyDescent="0.2"/>
    <row r="619" s="770" customFormat="1" x14ac:dyDescent="0.2"/>
    <row r="620" s="770" customFormat="1" x14ac:dyDescent="0.2"/>
    <row r="621" s="770" customFormat="1" x14ac:dyDescent="0.2"/>
    <row r="622" s="770" customFormat="1" x14ac:dyDescent="0.2"/>
    <row r="623" s="770" customFormat="1" x14ac:dyDescent="0.2"/>
    <row r="624" s="770" customFormat="1" x14ac:dyDescent="0.2"/>
    <row r="625" s="770" customFormat="1" x14ac:dyDescent="0.2"/>
    <row r="626" s="770" customFormat="1" x14ac:dyDescent="0.2"/>
    <row r="627" s="770" customFormat="1" x14ac:dyDescent="0.2"/>
    <row r="628" s="770" customFormat="1" x14ac:dyDescent="0.2"/>
    <row r="629" s="770" customFormat="1" x14ac:dyDescent="0.2"/>
    <row r="630" s="770" customFormat="1" x14ac:dyDescent="0.2"/>
    <row r="631" s="770" customFormat="1" x14ac:dyDescent="0.2"/>
    <row r="632" s="770" customFormat="1" x14ac:dyDescent="0.2"/>
    <row r="633" s="770" customFormat="1" x14ac:dyDescent="0.2"/>
    <row r="634" s="770" customFormat="1" x14ac:dyDescent="0.2"/>
    <row r="635" s="770" customFormat="1" x14ac:dyDescent="0.2"/>
    <row r="636" s="770" customFormat="1" x14ac:dyDescent="0.2"/>
    <row r="637" s="770" customFormat="1" x14ac:dyDescent="0.2"/>
    <row r="638" s="770" customFormat="1" x14ac:dyDescent="0.2"/>
    <row r="639" s="770" customFormat="1" x14ac:dyDescent="0.2"/>
    <row r="640" s="770" customFormat="1" x14ac:dyDescent="0.2"/>
    <row r="641" s="770" customFormat="1" x14ac:dyDescent="0.2"/>
    <row r="642" s="770" customFormat="1" x14ac:dyDescent="0.2"/>
    <row r="643" s="770" customFormat="1" x14ac:dyDescent="0.2"/>
    <row r="644" s="770" customFormat="1" x14ac:dyDescent="0.2"/>
    <row r="645" s="770" customFormat="1" x14ac:dyDescent="0.2"/>
    <row r="646" s="770" customFormat="1" x14ac:dyDescent="0.2"/>
    <row r="647" s="770" customFormat="1" x14ac:dyDescent="0.2"/>
    <row r="648" s="770" customFormat="1" x14ac:dyDescent="0.2"/>
    <row r="649" s="770" customFormat="1" x14ac:dyDescent="0.2"/>
    <row r="650" s="770" customFormat="1" x14ac:dyDescent="0.2"/>
    <row r="651" s="770" customFormat="1" x14ac:dyDescent="0.2"/>
    <row r="652" s="770" customFormat="1" x14ac:dyDescent="0.2"/>
    <row r="653" s="770" customFormat="1" x14ac:dyDescent="0.2"/>
    <row r="654" s="770" customFormat="1" x14ac:dyDescent="0.2"/>
    <row r="655" s="770" customFormat="1" x14ac:dyDescent="0.2"/>
    <row r="656" s="770" customFormat="1" x14ac:dyDescent="0.2"/>
    <row r="657" s="770" customFormat="1" x14ac:dyDescent="0.2"/>
    <row r="658" s="770" customFormat="1" x14ac:dyDescent="0.2"/>
    <row r="659" s="770" customFormat="1" x14ac:dyDescent="0.2"/>
    <row r="660" s="770" customFormat="1" x14ac:dyDescent="0.2"/>
    <row r="661" s="770" customFormat="1" x14ac:dyDescent="0.2"/>
    <row r="662" s="770" customFormat="1" x14ac:dyDescent="0.2"/>
    <row r="663" s="770" customFormat="1" x14ac:dyDescent="0.2"/>
    <row r="664" s="770" customFormat="1" x14ac:dyDescent="0.2"/>
    <row r="665" s="770" customFormat="1" x14ac:dyDescent="0.2"/>
    <row r="666" s="770" customFormat="1" x14ac:dyDescent="0.2"/>
    <row r="667" s="770" customFormat="1" x14ac:dyDescent="0.2"/>
    <row r="668" s="770" customFormat="1" x14ac:dyDescent="0.2"/>
    <row r="669" s="770" customFormat="1" x14ac:dyDescent="0.2"/>
    <row r="670" s="770" customFormat="1" x14ac:dyDescent="0.2"/>
    <row r="671" s="770" customFormat="1" x14ac:dyDescent="0.2"/>
    <row r="672" s="770" customFormat="1" x14ac:dyDescent="0.2"/>
    <row r="673" s="770" customFormat="1" x14ac:dyDescent="0.2"/>
    <row r="674" s="770" customFormat="1" x14ac:dyDescent="0.2"/>
    <row r="675" s="770" customFormat="1" x14ac:dyDescent="0.2"/>
    <row r="676" s="770" customFormat="1" x14ac:dyDescent="0.2"/>
    <row r="677" s="770" customFormat="1" x14ac:dyDescent="0.2"/>
    <row r="678" s="770" customFormat="1" x14ac:dyDescent="0.2"/>
    <row r="679" s="770" customFormat="1" x14ac:dyDescent="0.2"/>
    <row r="680" s="770" customFormat="1" x14ac:dyDescent="0.2"/>
    <row r="681" s="770" customFormat="1" x14ac:dyDescent="0.2"/>
    <row r="682" s="770" customFormat="1" x14ac:dyDescent="0.2"/>
    <row r="683" s="770" customFormat="1" x14ac:dyDescent="0.2"/>
    <row r="684" s="770" customFormat="1" x14ac:dyDescent="0.2"/>
    <row r="685" s="770" customFormat="1" x14ac:dyDescent="0.2"/>
    <row r="686" s="770" customFormat="1" x14ac:dyDescent="0.2"/>
    <row r="687" s="770" customFormat="1" x14ac:dyDescent="0.2"/>
    <row r="688" s="770" customFormat="1" x14ac:dyDescent="0.2"/>
    <row r="689" s="770" customFormat="1" x14ac:dyDescent="0.2"/>
    <row r="690" s="770" customFormat="1" x14ac:dyDescent="0.2"/>
    <row r="691" s="770" customFormat="1" x14ac:dyDescent="0.2"/>
    <row r="692" s="770" customFormat="1" x14ac:dyDescent="0.2"/>
    <row r="693" s="770" customFormat="1" x14ac:dyDescent="0.2"/>
    <row r="694" s="770" customFormat="1" x14ac:dyDescent="0.2"/>
    <row r="695" s="770" customFormat="1" x14ac:dyDescent="0.2"/>
    <row r="696" s="770" customFormat="1" x14ac:dyDescent="0.2"/>
    <row r="697" s="770" customFormat="1" x14ac:dyDescent="0.2"/>
    <row r="698" s="770" customFormat="1" x14ac:dyDescent="0.2"/>
    <row r="699" s="770" customFormat="1" x14ac:dyDescent="0.2"/>
    <row r="700" s="770" customFormat="1" x14ac:dyDescent="0.2"/>
    <row r="701" s="770" customFormat="1" x14ac:dyDescent="0.2"/>
    <row r="702" s="770" customFormat="1" x14ac:dyDescent="0.2"/>
    <row r="703" s="770" customFormat="1" x14ac:dyDescent="0.2"/>
    <row r="704" s="770" customFormat="1" x14ac:dyDescent="0.2"/>
    <row r="705" s="770" customFormat="1" x14ac:dyDescent="0.2"/>
    <row r="706" s="770" customFormat="1" x14ac:dyDescent="0.2"/>
    <row r="707" s="770" customFormat="1" x14ac:dyDescent="0.2"/>
    <row r="708" s="770" customFormat="1" x14ac:dyDescent="0.2"/>
    <row r="709" s="770" customFormat="1" x14ac:dyDescent="0.2"/>
    <row r="710" s="770" customFormat="1" x14ac:dyDescent="0.2"/>
    <row r="711" s="770" customFormat="1" x14ac:dyDescent="0.2"/>
    <row r="712" s="770" customFormat="1" x14ac:dyDescent="0.2"/>
    <row r="713" s="770" customFormat="1" x14ac:dyDescent="0.2"/>
    <row r="714" s="770" customFormat="1" x14ac:dyDescent="0.2"/>
    <row r="715" s="770" customFormat="1" x14ac:dyDescent="0.2"/>
    <row r="716" s="770" customFormat="1" x14ac:dyDescent="0.2"/>
    <row r="717" s="770" customFormat="1" x14ac:dyDescent="0.2"/>
    <row r="718" s="770" customFormat="1" x14ac:dyDescent="0.2"/>
    <row r="719" s="770" customFormat="1" x14ac:dyDescent="0.2"/>
    <row r="720" s="770" customFormat="1" x14ac:dyDescent="0.2"/>
    <row r="721" s="770" customFormat="1" x14ac:dyDescent="0.2"/>
    <row r="722" s="770" customFormat="1" x14ac:dyDescent="0.2"/>
    <row r="723" s="770" customFormat="1" x14ac:dyDescent="0.2"/>
    <row r="724" s="770" customFormat="1" x14ac:dyDescent="0.2"/>
    <row r="725" s="770" customFormat="1" x14ac:dyDescent="0.2"/>
    <row r="726" s="770" customFormat="1" x14ac:dyDescent="0.2"/>
    <row r="727" s="770" customFormat="1" x14ac:dyDescent="0.2"/>
    <row r="728" s="770" customFormat="1" x14ac:dyDescent="0.2"/>
    <row r="729" s="770" customFormat="1" x14ac:dyDescent="0.2"/>
    <row r="730" s="770" customFormat="1" x14ac:dyDescent="0.2"/>
    <row r="731" s="770" customFormat="1" x14ac:dyDescent="0.2"/>
    <row r="732" s="770" customFormat="1" x14ac:dyDescent="0.2"/>
    <row r="733" s="770" customFormat="1" x14ac:dyDescent="0.2"/>
  </sheetData>
  <mergeCells count="12">
    <mergeCell ref="A106:S106"/>
    <mergeCell ref="A1:S1"/>
    <mergeCell ref="A2:S2"/>
    <mergeCell ref="A3:S3"/>
    <mergeCell ref="A4:S4"/>
    <mergeCell ref="A53:S53"/>
    <mergeCell ref="A54:S54"/>
    <mergeCell ref="A55:S55"/>
    <mergeCell ref="A56:S56"/>
    <mergeCell ref="A103:S103"/>
    <mergeCell ref="A104:S104"/>
    <mergeCell ref="A105:S105"/>
  </mergeCells>
  <phoneticPr fontId="0" type="noConversion"/>
  <printOptions horizontalCentered="1"/>
  <pageMargins left="0.25" right="0.25" top="0.75" bottom="0" header="0.5" footer="0.5"/>
  <pageSetup scale="86" orientation="landscape" r:id="rId1"/>
  <headerFooter alignWithMargins="0"/>
  <rowBreaks count="3" manualBreakCount="3">
    <brk id="52" max="16383" man="1"/>
    <brk id="102" max="16383" man="1"/>
    <brk id="152" max="16383" man="1"/>
  </rowBreaks>
  <ignoredErrors>
    <ignoredError sqref="A104:S106 S110" unlockedFormula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58"/>
  <dimension ref="A1:AW415"/>
  <sheetViews>
    <sheetView showGridLines="0" zoomScale="90" zoomScaleNormal="90" zoomScaleSheetLayoutView="90" workbookViewId="0">
      <selection activeCell="P18" sqref="P18"/>
    </sheetView>
  </sheetViews>
  <sheetFormatPr defaultColWidth="8.33203125" defaultRowHeight="12" x14ac:dyDescent="0.2"/>
  <cols>
    <col min="1" max="1" width="8.33203125" style="730" customWidth="1"/>
    <col min="2" max="2" width="8.33203125" style="730"/>
    <col min="3" max="3" width="8.33203125" style="730" customWidth="1"/>
    <col min="4" max="4" width="8.33203125" style="730"/>
    <col min="5" max="5" width="8.33203125" style="730" customWidth="1"/>
    <col min="6" max="6" width="8.33203125" style="730"/>
    <col min="7" max="7" width="8.33203125" style="730" customWidth="1"/>
    <col min="8" max="8" width="8.33203125" style="730"/>
    <col min="9" max="9" width="8.33203125" style="730" customWidth="1"/>
    <col min="10" max="10" width="8.33203125" style="730"/>
    <col min="11" max="11" width="8.33203125" style="730" customWidth="1"/>
    <col min="12" max="12" width="8.33203125" style="730"/>
    <col min="13" max="13" width="8.33203125" style="730" customWidth="1"/>
    <col min="14" max="14" width="8.33203125" style="730"/>
    <col min="15" max="15" width="5" style="730" customWidth="1"/>
    <col min="16" max="17" width="8.33203125" style="730"/>
    <col min="18" max="18" width="8" style="730" customWidth="1"/>
    <col min="19" max="19" width="13.83203125" style="730" customWidth="1"/>
    <col min="20" max="22" width="8.33203125" style="730"/>
    <col min="23" max="26" width="8.33203125" style="730" customWidth="1"/>
    <col min="27" max="27" width="9.1640625" style="730" customWidth="1"/>
    <col min="28" max="28" width="10" style="730" customWidth="1"/>
    <col min="29" max="16384" width="8.33203125" style="730"/>
  </cols>
  <sheetData>
    <row r="1" spans="1:26" ht="12.75" customHeight="1" x14ac:dyDescent="0.2">
      <c r="A1" s="2160" t="s">
        <v>624</v>
      </c>
      <c r="B1" s="2160"/>
      <c r="C1" s="2160"/>
      <c r="D1" s="2160"/>
      <c r="E1" s="2160"/>
      <c r="F1" s="2160"/>
      <c r="G1" s="2160"/>
      <c r="H1" s="2160"/>
      <c r="I1" s="2160"/>
      <c r="J1" s="2160"/>
      <c r="K1" s="2160"/>
      <c r="L1" s="2160"/>
      <c r="M1" s="2160"/>
      <c r="N1" s="2160"/>
      <c r="O1" s="2160"/>
      <c r="P1" s="2160"/>
      <c r="Q1" s="2160"/>
      <c r="R1" s="2160"/>
      <c r="S1" s="2160"/>
    </row>
    <row r="2" spans="1:26" ht="12.75" customHeight="1" x14ac:dyDescent="0.2">
      <c r="A2" s="2159" t="str">
        <f>case</f>
        <v>CASE NO. 2016 - 00162</v>
      </c>
      <c r="B2" s="2159"/>
      <c r="C2" s="2159"/>
      <c r="D2" s="2159"/>
      <c r="E2" s="2159"/>
      <c r="F2" s="2159"/>
      <c r="G2" s="2159"/>
      <c r="H2" s="2159"/>
      <c r="I2" s="2159"/>
      <c r="J2" s="2159"/>
      <c r="K2" s="2159"/>
      <c r="L2" s="2159"/>
      <c r="M2" s="2159"/>
      <c r="N2" s="2159"/>
      <c r="O2" s="2159"/>
      <c r="P2" s="2159"/>
      <c r="Q2" s="2159"/>
      <c r="R2" s="2159"/>
      <c r="S2" s="2159"/>
    </row>
    <row r="3" spans="1:26" ht="12.75" customHeight="1" x14ac:dyDescent="0.2">
      <c r="A3" s="2160" t="s">
        <v>1294</v>
      </c>
      <c r="B3" s="2160"/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</row>
    <row r="4" spans="1:26" ht="12.75" customHeight="1" x14ac:dyDescent="0.2">
      <c r="A4" s="2159" t="str">
        <f>'D-1'!A5:O5</f>
        <v>FOR THE TWELVE MONTHS ENDED AUGUST 31, 2016 AND THE TWELVE MONTHS ENDED DECEMBER 31, 2017</v>
      </c>
      <c r="B4" s="2159"/>
      <c r="C4" s="2159"/>
      <c r="D4" s="2159"/>
      <c r="E4" s="2159"/>
      <c r="F4" s="2159"/>
      <c r="G4" s="2159"/>
      <c r="H4" s="2159"/>
      <c r="I4" s="2159"/>
      <c r="J4" s="2159"/>
      <c r="K4" s="2159"/>
      <c r="L4" s="2159"/>
      <c r="M4" s="2159"/>
      <c r="N4" s="2159"/>
      <c r="O4" s="2159"/>
      <c r="P4" s="2159"/>
      <c r="Q4" s="2159"/>
      <c r="R4" s="2159"/>
      <c r="S4" s="2159"/>
    </row>
    <row r="5" spans="1:26" x14ac:dyDescent="0.2">
      <c r="C5" s="766"/>
      <c r="J5" s="724"/>
    </row>
    <row r="6" spans="1:26" x14ac:dyDescent="0.2">
      <c r="A6" s="767" t="s">
        <v>1602</v>
      </c>
      <c r="S6" s="768" t="s">
        <v>169</v>
      </c>
      <c r="V6" s="766"/>
    </row>
    <row r="7" spans="1:26" x14ac:dyDescent="0.2">
      <c r="A7" s="767" t="s">
        <v>1604</v>
      </c>
      <c r="S7" s="768" t="s">
        <v>170</v>
      </c>
      <c r="T7" s="770"/>
      <c r="U7" s="770"/>
      <c r="V7" s="766"/>
    </row>
    <row r="8" spans="1:26" x14ac:dyDescent="0.2">
      <c r="A8" s="767" t="s">
        <v>1606</v>
      </c>
      <c r="S8" s="769" t="str">
        <f>JTC</f>
        <v>WITNESS:  J. T. CROOM</v>
      </c>
      <c r="T8" s="770"/>
      <c r="U8" s="770"/>
      <c r="V8" s="766"/>
    </row>
    <row r="9" spans="1:26" x14ac:dyDescent="0.2">
      <c r="A9" s="766"/>
      <c r="C9" s="766"/>
      <c r="H9" s="766"/>
      <c r="J9" s="766"/>
      <c r="L9" s="766"/>
      <c r="T9" s="770"/>
      <c r="U9" s="770"/>
    </row>
    <row r="10" spans="1:26" x14ac:dyDescent="0.2">
      <c r="A10" s="758"/>
      <c r="B10" s="758"/>
      <c r="C10" s="758"/>
      <c r="D10" s="758"/>
      <c r="E10" s="758"/>
      <c r="F10" s="758"/>
      <c r="G10" s="758"/>
      <c r="H10" s="758"/>
      <c r="I10" s="758"/>
      <c r="J10" s="758"/>
      <c r="K10" s="758"/>
      <c r="L10" s="758"/>
      <c r="M10" s="758"/>
      <c r="N10" s="758"/>
      <c r="O10" s="734" t="s">
        <v>134</v>
      </c>
      <c r="P10" s="758"/>
      <c r="Q10" s="758"/>
      <c r="R10" s="758"/>
      <c r="S10" s="758"/>
      <c r="T10" s="770"/>
      <c r="U10" s="770"/>
    </row>
    <row r="11" spans="1:26" x14ac:dyDescent="0.2">
      <c r="A11" s="771" t="s">
        <v>135</v>
      </c>
      <c r="B11" s="759"/>
      <c r="C11" s="772"/>
      <c r="D11" s="759"/>
      <c r="E11" s="759"/>
      <c r="F11" s="759"/>
      <c r="G11" s="759"/>
      <c r="H11" s="759"/>
      <c r="I11" s="759"/>
      <c r="J11" s="759"/>
      <c r="K11" s="759"/>
      <c r="L11" s="759"/>
      <c r="M11" s="759"/>
      <c r="N11" s="759"/>
      <c r="O11" s="737" t="s">
        <v>136</v>
      </c>
      <c r="P11" s="759"/>
      <c r="Q11" s="759"/>
      <c r="R11" s="759"/>
      <c r="S11" s="737" t="s">
        <v>137</v>
      </c>
      <c r="T11" s="770"/>
      <c r="U11" s="770"/>
    </row>
    <row r="12" spans="1:26" x14ac:dyDescent="0.2">
      <c r="T12" s="770"/>
      <c r="U12" s="770"/>
    </row>
    <row r="13" spans="1:26" x14ac:dyDescent="0.2">
      <c r="A13" s="773" t="s">
        <v>138</v>
      </c>
      <c r="T13" s="770"/>
      <c r="U13" s="770"/>
    </row>
    <row r="14" spans="1:26" x14ac:dyDescent="0.2">
      <c r="A14" s="775" t="s">
        <v>95</v>
      </c>
      <c r="C14" s="766"/>
      <c r="Q14" s="767" t="s">
        <v>1112</v>
      </c>
      <c r="S14" s="776">
        <f>S15+S16</f>
        <v>15828137.157035036</v>
      </c>
      <c r="Z14" s="741"/>
    </row>
    <row r="15" spans="1:26" x14ac:dyDescent="0.2">
      <c r="A15" s="775" t="s">
        <v>2351</v>
      </c>
      <c r="Q15" s="767" t="s">
        <v>634</v>
      </c>
      <c r="S15" s="741">
        <f>'D-1'!D258</f>
        <v>8846618.3807191737</v>
      </c>
    </row>
    <row r="16" spans="1:26" x14ac:dyDescent="0.2">
      <c r="A16" s="774"/>
      <c r="Q16" s="767" t="s">
        <v>760</v>
      </c>
      <c r="S16" s="777">
        <f>'D-1'!E258</f>
        <v>6981518.7763158623</v>
      </c>
    </row>
    <row r="17" spans="1:30" x14ac:dyDescent="0.2">
      <c r="A17" s="774"/>
      <c r="S17" s="778">
        <f>ROUND(S16/S15,4)</f>
        <v>0.78920000000000001</v>
      </c>
    </row>
    <row r="18" spans="1:30" x14ac:dyDescent="0.2">
      <c r="A18" s="774"/>
      <c r="S18" s="776"/>
      <c r="Z18" s="741"/>
    </row>
    <row r="19" spans="1:30" x14ac:dyDescent="0.2">
      <c r="A19" s="773" t="s">
        <v>143</v>
      </c>
    </row>
    <row r="20" spans="1:30" x14ac:dyDescent="0.2">
      <c r="A20" s="775" t="s">
        <v>171</v>
      </c>
      <c r="Q20" s="767" t="s">
        <v>1112</v>
      </c>
      <c r="S20" s="776">
        <f>S21+S22</f>
        <v>4596000</v>
      </c>
    </row>
    <row r="21" spans="1:30" x14ac:dyDescent="0.2">
      <c r="A21" s="775" t="s">
        <v>2311</v>
      </c>
      <c r="Q21" s="767" t="s">
        <v>634</v>
      </c>
      <c r="S21" s="741">
        <f>'D-1'!D264+'D-1'!D265+'D-1'!D266</f>
        <v>4010989.3299999996</v>
      </c>
    </row>
    <row r="22" spans="1:30" x14ac:dyDescent="0.2">
      <c r="A22" s="775" t="s">
        <v>1966</v>
      </c>
      <c r="Q22" s="767" t="s">
        <v>760</v>
      </c>
      <c r="S22" s="777">
        <f>'D-1'!F264+'D-1'!F265+'D-1'!F266</f>
        <v>585010.67000000016</v>
      </c>
    </row>
    <row r="23" spans="1:30" ht="9.9499999999999993" customHeight="1" x14ac:dyDescent="0.2">
      <c r="S23" s="778">
        <f>ROUND(S22/S21,4)</f>
        <v>0.1459</v>
      </c>
    </row>
    <row r="24" spans="1:30" ht="9.9499999999999993" customHeight="1" x14ac:dyDescent="0.2">
      <c r="C24" s="741"/>
      <c r="D24" s="741"/>
      <c r="E24" s="741"/>
      <c r="F24" s="741"/>
      <c r="G24" s="741"/>
      <c r="H24" s="741"/>
      <c r="I24" s="741"/>
      <c r="J24" s="741"/>
      <c r="K24" s="741"/>
      <c r="L24" s="741"/>
      <c r="M24" s="741"/>
      <c r="N24" s="741"/>
      <c r="O24" s="741"/>
      <c r="P24" s="741"/>
      <c r="S24" s="776"/>
    </row>
    <row r="25" spans="1:30" ht="9.9499999999999993" customHeight="1" x14ac:dyDescent="0.2">
      <c r="C25" s="741"/>
      <c r="D25" s="741"/>
      <c r="E25" s="741"/>
      <c r="F25" s="741"/>
      <c r="G25" s="741"/>
      <c r="H25" s="741"/>
      <c r="I25" s="741"/>
      <c r="J25" s="741"/>
      <c r="K25" s="741"/>
      <c r="L25" s="741"/>
      <c r="M25" s="741"/>
      <c r="N25" s="741"/>
      <c r="O25" s="741"/>
      <c r="P25" s="741"/>
    </row>
    <row r="26" spans="1:30" x14ac:dyDescent="0.2">
      <c r="A26" s="766"/>
      <c r="H26" s="782"/>
      <c r="J26" s="783"/>
      <c r="L26" s="782"/>
      <c r="N26" s="766"/>
    </row>
    <row r="27" spans="1:30" x14ac:dyDescent="0.2">
      <c r="C27" s="741"/>
      <c r="D27" s="741"/>
      <c r="E27" s="741"/>
      <c r="F27" s="741"/>
      <c r="G27" s="741"/>
      <c r="H27" s="741"/>
      <c r="I27" s="741"/>
      <c r="J27" s="741"/>
      <c r="K27" s="741"/>
      <c r="L27" s="741"/>
      <c r="M27" s="741"/>
      <c r="N27" s="741"/>
      <c r="O27" s="741"/>
      <c r="P27" s="741"/>
      <c r="Q27" s="741"/>
      <c r="R27" s="741"/>
      <c r="S27" s="741"/>
      <c r="T27" s="741"/>
      <c r="U27" s="741"/>
      <c r="V27" s="741"/>
      <c r="W27" s="741"/>
      <c r="X27" s="741"/>
      <c r="Y27" s="741"/>
      <c r="Z27" s="741"/>
      <c r="AA27" s="741"/>
      <c r="AB27" s="741"/>
      <c r="AC27" s="741"/>
      <c r="AD27" s="741"/>
    </row>
    <row r="28" spans="1:30" x14ac:dyDescent="0.2">
      <c r="C28" s="741"/>
      <c r="D28" s="741"/>
      <c r="E28" s="741"/>
      <c r="F28" s="741"/>
      <c r="G28" s="741"/>
      <c r="H28" s="741"/>
      <c r="I28" s="741"/>
      <c r="J28" s="741"/>
      <c r="K28" s="741"/>
      <c r="L28" s="741"/>
      <c r="M28" s="741"/>
      <c r="N28" s="741"/>
      <c r="O28" s="741"/>
      <c r="P28" s="741"/>
      <c r="Q28" s="741"/>
      <c r="R28" s="741"/>
      <c r="S28" s="741"/>
      <c r="T28" s="741"/>
      <c r="U28" s="741"/>
      <c r="V28" s="741"/>
      <c r="W28" s="741"/>
      <c r="X28" s="741"/>
      <c r="Y28" s="741"/>
      <c r="Z28" s="741"/>
      <c r="AA28" s="741"/>
      <c r="AB28" s="741"/>
      <c r="AC28" s="741"/>
      <c r="AD28" s="741"/>
    </row>
    <row r="29" spans="1:30" x14ac:dyDescent="0.2">
      <c r="C29" s="741"/>
      <c r="D29" s="741"/>
      <c r="E29" s="741"/>
      <c r="F29" s="741"/>
      <c r="G29" s="741"/>
      <c r="H29" s="741"/>
      <c r="I29" s="741"/>
      <c r="J29" s="741"/>
      <c r="K29" s="741"/>
      <c r="L29" s="741"/>
      <c r="M29" s="741"/>
      <c r="N29" s="741"/>
      <c r="O29" s="741"/>
      <c r="P29" s="741"/>
      <c r="Q29" s="741"/>
      <c r="R29" s="741"/>
      <c r="S29" s="741"/>
      <c r="T29" s="741"/>
      <c r="U29" s="741"/>
      <c r="V29" s="741"/>
      <c r="W29" s="741"/>
      <c r="X29" s="741"/>
      <c r="Y29" s="741"/>
      <c r="Z29" s="741"/>
      <c r="AA29" s="741"/>
      <c r="AB29" s="741"/>
      <c r="AC29" s="741"/>
      <c r="AD29" s="741"/>
    </row>
    <row r="30" spans="1:30" x14ac:dyDescent="0.2">
      <c r="Z30" s="781"/>
    </row>
    <row r="31" spans="1:30" x14ac:dyDescent="0.2">
      <c r="A31" s="766"/>
      <c r="H31" s="782"/>
      <c r="J31" s="783"/>
      <c r="L31" s="782"/>
      <c r="N31" s="766"/>
    </row>
    <row r="32" spans="1:30" x14ac:dyDescent="0.2">
      <c r="C32" s="741"/>
      <c r="D32" s="741"/>
      <c r="E32" s="741"/>
      <c r="F32" s="741"/>
      <c r="G32" s="741"/>
      <c r="H32" s="741"/>
      <c r="I32" s="741"/>
      <c r="J32" s="741"/>
      <c r="K32" s="741"/>
      <c r="L32" s="741"/>
      <c r="M32" s="741"/>
      <c r="N32" s="741"/>
      <c r="O32" s="741"/>
      <c r="P32" s="741"/>
      <c r="Q32" s="741"/>
      <c r="R32" s="741"/>
      <c r="S32" s="741"/>
      <c r="T32" s="741"/>
      <c r="U32" s="741"/>
      <c r="V32" s="741"/>
      <c r="W32" s="741"/>
      <c r="X32" s="741"/>
      <c r="Y32" s="741"/>
      <c r="Z32" s="741"/>
      <c r="AA32" s="741"/>
      <c r="AB32" s="741"/>
      <c r="AC32" s="741"/>
      <c r="AD32" s="741"/>
    </row>
    <row r="33" spans="1:30" x14ac:dyDescent="0.2">
      <c r="C33" s="741"/>
      <c r="D33" s="741"/>
      <c r="E33" s="741"/>
      <c r="F33" s="741"/>
      <c r="G33" s="741"/>
      <c r="H33" s="741"/>
      <c r="I33" s="741"/>
      <c r="J33" s="741"/>
      <c r="K33" s="741"/>
      <c r="L33" s="741"/>
      <c r="M33" s="741"/>
      <c r="N33" s="741"/>
      <c r="O33" s="741"/>
      <c r="P33" s="741"/>
      <c r="Q33" s="741"/>
      <c r="R33" s="741"/>
      <c r="S33" s="741"/>
      <c r="T33" s="741"/>
      <c r="U33" s="741"/>
      <c r="V33" s="741"/>
      <c r="W33" s="741"/>
      <c r="X33" s="741"/>
      <c r="Y33" s="741"/>
      <c r="Z33" s="741"/>
      <c r="AA33" s="741"/>
      <c r="AB33" s="741"/>
      <c r="AC33" s="741"/>
      <c r="AD33" s="741"/>
    </row>
    <row r="34" spans="1:30" x14ac:dyDescent="0.2">
      <c r="C34" s="741"/>
      <c r="D34" s="741"/>
      <c r="E34" s="741"/>
      <c r="F34" s="741"/>
      <c r="G34" s="741"/>
      <c r="H34" s="741"/>
      <c r="I34" s="741"/>
      <c r="J34" s="741"/>
      <c r="K34" s="741"/>
      <c r="L34" s="741"/>
      <c r="M34" s="741"/>
      <c r="N34" s="741"/>
      <c r="O34" s="741"/>
      <c r="P34" s="741"/>
      <c r="Q34" s="741"/>
      <c r="R34" s="741"/>
      <c r="S34" s="741"/>
      <c r="T34" s="741"/>
      <c r="U34" s="741"/>
      <c r="V34" s="741"/>
      <c r="W34" s="741"/>
      <c r="X34" s="741"/>
      <c r="Y34" s="741"/>
      <c r="Z34" s="741"/>
      <c r="AA34" s="741"/>
      <c r="AB34" s="741"/>
      <c r="AC34" s="741"/>
      <c r="AD34" s="741"/>
    </row>
    <row r="35" spans="1:30" x14ac:dyDescent="0.2">
      <c r="Z35" s="781"/>
    </row>
    <row r="36" spans="1:30" x14ac:dyDescent="0.2">
      <c r="A36" s="766"/>
      <c r="H36" s="782"/>
      <c r="J36" s="783"/>
      <c r="L36" s="782"/>
      <c r="N36" s="766"/>
    </row>
    <row r="37" spans="1:30" x14ac:dyDescent="0.2">
      <c r="C37" s="741"/>
      <c r="D37" s="741"/>
      <c r="E37" s="741"/>
      <c r="F37" s="741"/>
      <c r="G37" s="741"/>
      <c r="H37" s="741"/>
      <c r="I37" s="741"/>
      <c r="J37" s="741"/>
      <c r="K37" s="741"/>
      <c r="L37" s="741"/>
      <c r="M37" s="741"/>
      <c r="N37" s="741"/>
      <c r="O37" s="741"/>
      <c r="P37" s="741"/>
      <c r="Q37" s="741"/>
      <c r="R37" s="741"/>
      <c r="S37" s="741"/>
      <c r="T37" s="741"/>
      <c r="U37" s="741"/>
      <c r="V37" s="741"/>
      <c r="W37" s="741"/>
      <c r="X37" s="741"/>
      <c r="Y37" s="741"/>
      <c r="Z37" s="741"/>
      <c r="AA37" s="741"/>
      <c r="AB37" s="741"/>
      <c r="AC37" s="741"/>
      <c r="AD37" s="741"/>
    </row>
    <row r="38" spans="1:30" x14ac:dyDescent="0.2">
      <c r="C38" s="741"/>
      <c r="D38" s="741"/>
      <c r="E38" s="741"/>
      <c r="F38" s="741"/>
      <c r="G38" s="741"/>
      <c r="H38" s="741"/>
      <c r="I38" s="741"/>
      <c r="J38" s="741"/>
      <c r="K38" s="741"/>
      <c r="L38" s="741"/>
      <c r="M38" s="741"/>
      <c r="N38" s="741"/>
      <c r="O38" s="741"/>
      <c r="P38" s="741"/>
      <c r="Q38" s="741"/>
      <c r="R38" s="741"/>
      <c r="S38" s="741"/>
      <c r="T38" s="741"/>
      <c r="U38" s="741"/>
      <c r="V38" s="741"/>
      <c r="W38" s="741"/>
      <c r="X38" s="741"/>
      <c r="Y38" s="741"/>
      <c r="Z38" s="741"/>
      <c r="AA38" s="741"/>
      <c r="AB38" s="741"/>
      <c r="AC38" s="741"/>
      <c r="AD38" s="741"/>
    </row>
    <row r="39" spans="1:30" x14ac:dyDescent="0.2">
      <c r="C39" s="741"/>
      <c r="D39" s="741"/>
      <c r="E39" s="741"/>
      <c r="F39" s="741"/>
      <c r="G39" s="741"/>
      <c r="H39" s="741"/>
      <c r="I39" s="741"/>
      <c r="J39" s="741"/>
      <c r="K39" s="741"/>
      <c r="L39" s="741"/>
      <c r="M39" s="741"/>
      <c r="N39" s="741"/>
      <c r="O39" s="741"/>
      <c r="P39" s="741"/>
      <c r="Q39" s="741"/>
      <c r="R39" s="741"/>
      <c r="S39" s="741"/>
      <c r="T39" s="741"/>
      <c r="U39" s="741"/>
      <c r="V39" s="741"/>
      <c r="W39" s="741"/>
      <c r="X39" s="741"/>
      <c r="Y39" s="741"/>
      <c r="Z39" s="741"/>
      <c r="AA39" s="741"/>
      <c r="AB39" s="741"/>
      <c r="AC39" s="741"/>
      <c r="AD39" s="741"/>
    </row>
    <row r="40" spans="1:30" x14ac:dyDescent="0.2">
      <c r="Z40" s="781"/>
    </row>
    <row r="41" spans="1:30" x14ac:dyDescent="0.2">
      <c r="A41" s="766"/>
      <c r="H41" s="782"/>
      <c r="J41" s="783"/>
      <c r="L41" s="782"/>
      <c r="N41" s="766"/>
    </row>
    <row r="42" spans="1:30" x14ac:dyDescent="0.2">
      <c r="C42" s="741"/>
      <c r="D42" s="741"/>
      <c r="E42" s="741"/>
      <c r="F42" s="741"/>
      <c r="G42" s="741"/>
      <c r="H42" s="741"/>
      <c r="I42" s="741"/>
      <c r="J42" s="741"/>
      <c r="K42" s="741"/>
      <c r="L42" s="741"/>
      <c r="M42" s="741"/>
      <c r="N42" s="741"/>
      <c r="O42" s="741"/>
      <c r="P42" s="741"/>
      <c r="Q42" s="741"/>
      <c r="R42" s="741"/>
      <c r="S42" s="741"/>
      <c r="T42" s="741"/>
      <c r="U42" s="741"/>
      <c r="V42" s="741"/>
      <c r="W42" s="741"/>
      <c r="X42" s="741"/>
      <c r="Y42" s="741"/>
      <c r="Z42" s="741"/>
      <c r="AA42" s="741"/>
      <c r="AB42" s="741"/>
      <c r="AC42" s="741"/>
      <c r="AD42" s="741"/>
    </row>
    <row r="43" spans="1:30" x14ac:dyDescent="0.2">
      <c r="C43" s="741"/>
      <c r="D43" s="741"/>
      <c r="E43" s="741"/>
      <c r="F43" s="741"/>
      <c r="G43" s="741"/>
      <c r="H43" s="741"/>
      <c r="I43" s="741"/>
      <c r="J43" s="741"/>
      <c r="K43" s="741"/>
      <c r="L43" s="741"/>
      <c r="M43" s="741"/>
      <c r="N43" s="741"/>
      <c r="O43" s="741"/>
      <c r="P43" s="741"/>
      <c r="Q43" s="741"/>
      <c r="R43" s="741"/>
      <c r="S43" s="741"/>
      <c r="T43" s="741"/>
      <c r="U43" s="741"/>
      <c r="V43" s="741"/>
      <c r="W43" s="741"/>
      <c r="X43" s="741"/>
      <c r="Y43" s="741"/>
      <c r="Z43" s="741"/>
      <c r="AA43" s="741"/>
      <c r="AB43" s="741"/>
      <c r="AC43" s="741"/>
      <c r="AD43" s="741"/>
    </row>
    <row r="44" spans="1:30" x14ac:dyDescent="0.2">
      <c r="C44" s="741"/>
      <c r="D44" s="741"/>
      <c r="E44" s="741"/>
      <c r="F44" s="741"/>
      <c r="G44" s="741"/>
      <c r="H44" s="741"/>
      <c r="I44" s="741"/>
      <c r="J44" s="741"/>
      <c r="K44" s="741"/>
      <c r="L44" s="741"/>
      <c r="M44" s="741"/>
      <c r="N44" s="741"/>
      <c r="O44" s="741"/>
      <c r="P44" s="741"/>
      <c r="Q44" s="741"/>
      <c r="R44" s="741"/>
      <c r="S44" s="741"/>
      <c r="T44" s="741"/>
      <c r="U44" s="741"/>
      <c r="V44" s="741"/>
      <c r="W44" s="741"/>
      <c r="X44" s="741"/>
      <c r="Y44" s="741"/>
      <c r="Z44" s="741"/>
      <c r="AA44" s="741"/>
      <c r="AB44" s="741"/>
      <c r="AC44" s="741"/>
      <c r="AD44" s="741"/>
    </row>
    <row r="45" spans="1:30" x14ac:dyDescent="0.2">
      <c r="Z45" s="781"/>
    </row>
    <row r="47" spans="1:30" x14ac:dyDescent="0.2">
      <c r="N47" s="766"/>
    </row>
    <row r="48" spans="1:30" x14ac:dyDescent="0.2">
      <c r="C48" s="784"/>
      <c r="N48" s="766"/>
    </row>
    <row r="49" spans="1:30" x14ac:dyDescent="0.2">
      <c r="C49" s="785"/>
      <c r="J49" s="786"/>
      <c r="K49" s="786"/>
      <c r="N49" s="766"/>
    </row>
    <row r="50" spans="1:30" x14ac:dyDescent="0.2">
      <c r="C50" s="766"/>
      <c r="N50" s="766"/>
    </row>
    <row r="51" spans="1:30" x14ac:dyDescent="0.2">
      <c r="V51" s="766"/>
    </row>
    <row r="52" spans="1:30" x14ac:dyDescent="0.2">
      <c r="A52" s="759"/>
      <c r="B52" s="759"/>
      <c r="C52" s="759"/>
      <c r="D52" s="759"/>
      <c r="E52" s="759"/>
      <c r="F52" s="759"/>
      <c r="G52" s="759"/>
      <c r="H52" s="759"/>
      <c r="I52" s="759"/>
      <c r="J52" s="759"/>
      <c r="K52" s="759"/>
      <c r="L52" s="759"/>
      <c r="M52" s="759"/>
      <c r="N52" s="759"/>
      <c r="O52" s="759"/>
      <c r="P52" s="759"/>
      <c r="Q52" s="759"/>
      <c r="R52" s="759"/>
      <c r="S52" s="759"/>
      <c r="T52" s="759"/>
      <c r="U52" s="759"/>
      <c r="V52" s="772"/>
      <c r="W52" s="759"/>
      <c r="X52" s="759"/>
      <c r="Y52" s="759"/>
      <c r="Z52" s="759"/>
    </row>
    <row r="53" spans="1:30" x14ac:dyDescent="0.2">
      <c r="V53" s="766"/>
    </row>
    <row r="54" spans="1:30" x14ac:dyDescent="0.2">
      <c r="A54" s="772"/>
      <c r="B54" s="759"/>
      <c r="C54" s="772"/>
      <c r="D54" s="759"/>
      <c r="E54" s="759"/>
      <c r="F54" s="759"/>
      <c r="G54" s="759"/>
      <c r="H54" s="772"/>
      <c r="I54" s="759"/>
      <c r="J54" s="772"/>
      <c r="K54" s="759"/>
      <c r="L54" s="772"/>
      <c r="M54" s="759"/>
      <c r="N54" s="759"/>
      <c r="O54" s="759"/>
      <c r="P54" s="759"/>
      <c r="Q54" s="759"/>
      <c r="R54" s="759"/>
      <c r="S54" s="759"/>
      <c r="T54" s="759"/>
      <c r="U54" s="759"/>
      <c r="V54" s="759"/>
      <c r="W54" s="759"/>
      <c r="X54" s="759"/>
      <c r="Y54" s="759"/>
      <c r="Z54" s="759"/>
    </row>
    <row r="55" spans="1:30" x14ac:dyDescent="0.2">
      <c r="A55" s="766"/>
      <c r="C55" s="766"/>
      <c r="H55" s="766"/>
      <c r="J55" s="766"/>
      <c r="L55" s="766"/>
      <c r="N55" s="766"/>
    </row>
    <row r="58" spans="1:30" x14ac:dyDescent="0.2">
      <c r="A58" s="766"/>
      <c r="H58" s="782"/>
      <c r="J58" s="783"/>
      <c r="L58" s="782"/>
      <c r="N58" s="766"/>
    </row>
    <row r="60" spans="1:30" x14ac:dyDescent="0.2">
      <c r="Z60" s="741"/>
    </row>
    <row r="63" spans="1:30" x14ac:dyDescent="0.2">
      <c r="A63" s="766"/>
      <c r="H63" s="782"/>
      <c r="J63" s="783"/>
      <c r="L63" s="782"/>
      <c r="N63" s="766"/>
    </row>
    <row r="64" spans="1:30" x14ac:dyDescent="0.2">
      <c r="C64" s="741"/>
      <c r="D64" s="741"/>
      <c r="E64" s="741"/>
      <c r="F64" s="741"/>
      <c r="G64" s="741"/>
      <c r="H64" s="741"/>
      <c r="I64" s="741"/>
      <c r="J64" s="741"/>
      <c r="K64" s="741"/>
      <c r="L64" s="741"/>
      <c r="M64" s="741"/>
      <c r="N64" s="741"/>
      <c r="O64" s="741"/>
      <c r="P64" s="741"/>
      <c r="Q64" s="741"/>
      <c r="R64" s="741"/>
      <c r="S64" s="741"/>
      <c r="T64" s="741"/>
      <c r="U64" s="741"/>
      <c r="V64" s="741"/>
      <c r="W64" s="741"/>
      <c r="X64" s="741"/>
      <c r="Y64" s="741"/>
      <c r="Z64" s="741"/>
      <c r="AA64" s="741"/>
      <c r="AB64" s="741"/>
      <c r="AC64" s="741"/>
      <c r="AD64" s="741"/>
    </row>
    <row r="65" spans="1:30" x14ac:dyDescent="0.2">
      <c r="C65" s="741"/>
      <c r="D65" s="741"/>
      <c r="E65" s="741"/>
      <c r="F65" s="741"/>
      <c r="G65" s="741"/>
      <c r="H65" s="741"/>
      <c r="I65" s="741"/>
      <c r="J65" s="741"/>
      <c r="K65" s="741"/>
      <c r="L65" s="741"/>
      <c r="M65" s="741"/>
      <c r="N65" s="741"/>
      <c r="O65" s="741"/>
      <c r="P65" s="741"/>
      <c r="Q65" s="741"/>
      <c r="R65" s="741"/>
      <c r="S65" s="741"/>
      <c r="T65" s="741"/>
      <c r="U65" s="741"/>
      <c r="V65" s="741"/>
      <c r="W65" s="741"/>
      <c r="X65" s="741"/>
      <c r="Y65" s="741"/>
      <c r="Z65" s="741"/>
      <c r="AA65" s="741"/>
      <c r="AB65" s="741"/>
      <c r="AC65" s="741"/>
      <c r="AD65" s="741"/>
    </row>
    <row r="66" spans="1:30" x14ac:dyDescent="0.2">
      <c r="C66" s="741"/>
      <c r="D66" s="741"/>
      <c r="E66" s="741"/>
      <c r="F66" s="741"/>
      <c r="G66" s="741"/>
      <c r="H66" s="741"/>
      <c r="I66" s="741"/>
      <c r="J66" s="741"/>
      <c r="K66" s="741"/>
      <c r="L66" s="741"/>
      <c r="M66" s="741"/>
      <c r="N66" s="741"/>
      <c r="O66" s="741"/>
      <c r="P66" s="741"/>
      <c r="Q66" s="741"/>
      <c r="R66" s="741"/>
      <c r="S66" s="741"/>
      <c r="T66" s="741"/>
      <c r="U66" s="741"/>
      <c r="V66" s="741"/>
      <c r="W66" s="741"/>
      <c r="X66" s="741"/>
      <c r="Y66" s="741"/>
      <c r="Z66" s="741"/>
      <c r="AA66" s="741"/>
      <c r="AB66" s="741"/>
      <c r="AC66" s="741"/>
      <c r="AD66" s="741"/>
    </row>
    <row r="67" spans="1:30" x14ac:dyDescent="0.2">
      <c r="Z67" s="781"/>
    </row>
    <row r="68" spans="1:30" x14ac:dyDescent="0.2">
      <c r="A68" s="766"/>
      <c r="H68" s="741"/>
      <c r="J68" s="783"/>
      <c r="L68" s="741"/>
      <c r="N68" s="766"/>
    </row>
    <row r="69" spans="1:30" x14ac:dyDescent="0.2">
      <c r="C69" s="741"/>
      <c r="D69" s="741"/>
      <c r="E69" s="741"/>
      <c r="F69" s="741"/>
      <c r="G69" s="741"/>
      <c r="H69" s="741"/>
      <c r="I69" s="741"/>
      <c r="J69" s="741"/>
      <c r="K69" s="741"/>
      <c r="L69" s="741"/>
      <c r="M69" s="741"/>
      <c r="N69" s="741"/>
      <c r="O69" s="741"/>
      <c r="P69" s="741"/>
      <c r="Q69" s="741"/>
      <c r="R69" s="741"/>
      <c r="S69" s="741"/>
      <c r="T69" s="741"/>
      <c r="U69" s="741"/>
      <c r="V69" s="741"/>
      <c r="W69" s="741"/>
      <c r="X69" s="741"/>
      <c r="Y69" s="741"/>
      <c r="Z69" s="741"/>
      <c r="AA69" s="741"/>
      <c r="AB69" s="741"/>
      <c r="AC69" s="741"/>
      <c r="AD69" s="741"/>
    </row>
    <row r="70" spans="1:30" x14ac:dyDescent="0.2">
      <c r="C70" s="741"/>
      <c r="D70" s="741"/>
      <c r="E70" s="741"/>
      <c r="F70" s="741"/>
      <c r="G70" s="741"/>
      <c r="H70" s="741"/>
      <c r="I70" s="741"/>
      <c r="J70" s="741"/>
      <c r="K70" s="741"/>
      <c r="L70" s="741"/>
      <c r="M70" s="741"/>
      <c r="N70" s="741"/>
      <c r="O70" s="741"/>
      <c r="P70" s="741"/>
      <c r="Q70" s="741"/>
      <c r="R70" s="741"/>
      <c r="S70" s="741"/>
      <c r="T70" s="741"/>
      <c r="U70" s="741"/>
      <c r="V70" s="741"/>
      <c r="W70" s="741"/>
      <c r="X70" s="741"/>
      <c r="Y70" s="741"/>
      <c r="Z70" s="741"/>
      <c r="AA70" s="741"/>
      <c r="AB70" s="741"/>
      <c r="AC70" s="741"/>
      <c r="AD70" s="741"/>
    </row>
    <row r="71" spans="1:30" x14ac:dyDescent="0.2">
      <c r="C71" s="741"/>
      <c r="D71" s="741"/>
      <c r="E71" s="741"/>
      <c r="F71" s="741"/>
      <c r="G71" s="741"/>
      <c r="H71" s="741"/>
      <c r="I71" s="741"/>
      <c r="J71" s="741"/>
      <c r="K71" s="741"/>
      <c r="L71" s="741"/>
      <c r="M71" s="741"/>
      <c r="N71" s="741"/>
      <c r="O71" s="741"/>
      <c r="P71" s="741"/>
      <c r="Q71" s="741"/>
      <c r="R71" s="741"/>
      <c r="S71" s="741"/>
      <c r="T71" s="741"/>
      <c r="U71" s="741"/>
      <c r="V71" s="741"/>
      <c r="W71" s="741"/>
      <c r="X71" s="741"/>
      <c r="Y71" s="741"/>
      <c r="Z71" s="741"/>
      <c r="AA71" s="741"/>
      <c r="AB71" s="741"/>
      <c r="AC71" s="741"/>
      <c r="AD71" s="741"/>
    </row>
    <row r="72" spans="1:30" x14ac:dyDescent="0.2">
      <c r="Z72" s="781"/>
    </row>
    <row r="73" spans="1:30" x14ac:dyDescent="0.2">
      <c r="A73" s="766"/>
    </row>
    <row r="74" spans="1:30" x14ac:dyDescent="0.2">
      <c r="C74" s="741"/>
      <c r="D74" s="741"/>
      <c r="E74" s="741"/>
      <c r="F74" s="741"/>
      <c r="G74" s="741"/>
      <c r="H74" s="741"/>
      <c r="I74" s="741"/>
      <c r="J74" s="741"/>
      <c r="K74" s="741"/>
      <c r="L74" s="741"/>
      <c r="M74" s="741"/>
      <c r="N74" s="741"/>
      <c r="O74" s="741"/>
      <c r="P74" s="741"/>
      <c r="Q74" s="741"/>
      <c r="R74" s="741"/>
      <c r="S74" s="741"/>
      <c r="T74" s="741"/>
      <c r="U74" s="741"/>
      <c r="V74" s="741"/>
      <c r="W74" s="741"/>
      <c r="X74" s="741"/>
      <c r="Y74" s="741"/>
      <c r="Z74" s="741"/>
      <c r="AA74" s="741"/>
      <c r="AB74" s="741"/>
      <c r="AC74" s="741"/>
      <c r="AD74" s="741"/>
    </row>
    <row r="75" spans="1:30" x14ac:dyDescent="0.2">
      <c r="C75" s="741"/>
      <c r="D75" s="741"/>
      <c r="E75" s="741"/>
      <c r="F75" s="741"/>
      <c r="G75" s="741"/>
      <c r="H75" s="741"/>
      <c r="I75" s="741"/>
      <c r="J75" s="741"/>
      <c r="K75" s="741"/>
      <c r="L75" s="741"/>
      <c r="M75" s="741"/>
      <c r="N75" s="741"/>
      <c r="O75" s="741"/>
      <c r="P75" s="741"/>
      <c r="Q75" s="741"/>
      <c r="R75" s="741"/>
      <c r="S75" s="741"/>
      <c r="T75" s="741"/>
      <c r="U75" s="741"/>
      <c r="V75" s="741"/>
      <c r="W75" s="741"/>
      <c r="X75" s="741"/>
      <c r="Y75" s="741"/>
      <c r="Z75" s="741"/>
      <c r="AA75" s="741"/>
      <c r="AB75" s="741"/>
      <c r="AC75" s="741"/>
      <c r="AD75" s="741"/>
    </row>
    <row r="76" spans="1:30" x14ac:dyDescent="0.2">
      <c r="C76" s="741"/>
      <c r="D76" s="741"/>
      <c r="E76" s="741"/>
      <c r="F76" s="741"/>
      <c r="G76" s="741"/>
      <c r="H76" s="741"/>
      <c r="I76" s="741"/>
      <c r="J76" s="741"/>
      <c r="K76" s="741"/>
      <c r="L76" s="741"/>
      <c r="M76" s="741"/>
      <c r="N76" s="741"/>
      <c r="O76" s="741"/>
      <c r="P76" s="741"/>
      <c r="Q76" s="741"/>
      <c r="R76" s="741"/>
      <c r="S76" s="741"/>
      <c r="T76" s="741"/>
      <c r="U76" s="741"/>
      <c r="V76" s="741"/>
      <c r="W76" s="741"/>
      <c r="X76" s="741"/>
      <c r="Y76" s="741"/>
      <c r="Z76" s="741"/>
      <c r="AA76" s="741"/>
      <c r="AB76" s="741"/>
      <c r="AC76" s="741"/>
      <c r="AD76" s="741"/>
    </row>
    <row r="77" spans="1:30" x14ac:dyDescent="0.2">
      <c r="Z77" s="781"/>
    </row>
    <row r="78" spans="1:30" x14ac:dyDescent="0.2">
      <c r="A78" s="766"/>
    </row>
    <row r="79" spans="1:30" x14ac:dyDescent="0.2">
      <c r="C79" s="741"/>
      <c r="D79" s="741"/>
      <c r="E79" s="741"/>
      <c r="F79" s="741"/>
      <c r="G79" s="741"/>
      <c r="H79" s="741"/>
      <c r="I79" s="741"/>
      <c r="J79" s="741"/>
      <c r="K79" s="741"/>
      <c r="L79" s="741"/>
      <c r="M79" s="741"/>
      <c r="N79" s="741"/>
      <c r="O79" s="741"/>
      <c r="P79" s="741"/>
      <c r="Q79" s="741"/>
      <c r="R79" s="741"/>
      <c r="S79" s="741"/>
      <c r="T79" s="741"/>
      <c r="U79" s="741"/>
      <c r="V79" s="741"/>
      <c r="W79" s="741"/>
      <c r="X79" s="741"/>
      <c r="Y79" s="741"/>
      <c r="Z79" s="741"/>
      <c r="AA79" s="741"/>
      <c r="AB79" s="741"/>
      <c r="AC79" s="741"/>
      <c r="AD79" s="741"/>
    </row>
    <row r="80" spans="1:30" x14ac:dyDescent="0.2">
      <c r="C80" s="741"/>
      <c r="D80" s="741"/>
      <c r="E80" s="741"/>
      <c r="F80" s="741"/>
      <c r="G80" s="741"/>
      <c r="H80" s="741"/>
      <c r="I80" s="741"/>
      <c r="J80" s="741"/>
      <c r="K80" s="741"/>
      <c r="L80" s="741"/>
      <c r="M80" s="741"/>
      <c r="N80" s="741"/>
      <c r="O80" s="741"/>
      <c r="P80" s="741"/>
      <c r="Q80" s="741"/>
      <c r="R80" s="741"/>
      <c r="S80" s="741"/>
      <c r="T80" s="741"/>
      <c r="U80" s="741"/>
      <c r="V80" s="741"/>
      <c r="W80" s="741"/>
      <c r="X80" s="741"/>
      <c r="Y80" s="741"/>
      <c r="Z80" s="741"/>
      <c r="AA80" s="741"/>
      <c r="AB80" s="741"/>
      <c r="AC80" s="741"/>
      <c r="AD80" s="741"/>
    </row>
    <row r="81" spans="1:30" x14ac:dyDescent="0.2">
      <c r="C81" s="741"/>
      <c r="D81" s="741"/>
      <c r="E81" s="741"/>
      <c r="F81" s="741"/>
      <c r="G81" s="741"/>
      <c r="H81" s="741"/>
      <c r="I81" s="741"/>
      <c r="J81" s="741"/>
      <c r="K81" s="741"/>
      <c r="L81" s="741"/>
      <c r="M81" s="741"/>
      <c r="N81" s="741"/>
      <c r="O81" s="741"/>
      <c r="P81" s="741"/>
      <c r="Q81" s="741"/>
      <c r="R81" s="741"/>
      <c r="S81" s="741"/>
      <c r="T81" s="741"/>
      <c r="U81" s="741"/>
      <c r="V81" s="741"/>
      <c r="W81" s="741"/>
      <c r="X81" s="741"/>
      <c r="Y81" s="741"/>
      <c r="Z81" s="741"/>
      <c r="AA81" s="741"/>
      <c r="AB81" s="741"/>
      <c r="AC81" s="741"/>
      <c r="AD81" s="741"/>
    </row>
    <row r="82" spans="1:30" x14ac:dyDescent="0.2">
      <c r="Z82" s="781"/>
    </row>
    <row r="83" spans="1:30" x14ac:dyDescent="0.2">
      <c r="A83" s="766"/>
      <c r="H83" s="782"/>
      <c r="J83" s="787"/>
      <c r="L83" s="782"/>
      <c r="N83" s="766"/>
    </row>
    <row r="84" spans="1:30" x14ac:dyDescent="0.2">
      <c r="C84" s="741"/>
      <c r="D84" s="741"/>
      <c r="E84" s="741"/>
      <c r="F84" s="741"/>
      <c r="G84" s="741"/>
      <c r="H84" s="741"/>
      <c r="I84" s="741"/>
      <c r="J84" s="741"/>
      <c r="K84" s="741"/>
      <c r="L84" s="741"/>
      <c r="M84" s="741"/>
      <c r="N84" s="741"/>
      <c r="O84" s="741"/>
      <c r="P84" s="741"/>
      <c r="Q84" s="741"/>
      <c r="R84" s="741"/>
      <c r="S84" s="741"/>
      <c r="T84" s="741"/>
      <c r="U84" s="741"/>
      <c r="V84" s="741"/>
      <c r="W84" s="741"/>
      <c r="X84" s="741"/>
      <c r="Y84" s="741"/>
      <c r="Z84" s="741"/>
      <c r="AA84" s="741"/>
      <c r="AB84" s="741"/>
      <c r="AC84" s="741"/>
      <c r="AD84" s="741"/>
    </row>
    <row r="85" spans="1:30" x14ac:dyDescent="0.2">
      <c r="C85" s="741"/>
      <c r="D85" s="741"/>
      <c r="E85" s="741"/>
      <c r="F85" s="741"/>
      <c r="G85" s="741"/>
      <c r="H85" s="741"/>
      <c r="I85" s="741"/>
      <c r="J85" s="741"/>
      <c r="K85" s="741"/>
      <c r="L85" s="741"/>
      <c r="M85" s="741"/>
      <c r="N85" s="741"/>
      <c r="O85" s="741"/>
      <c r="P85" s="741"/>
      <c r="Q85" s="741"/>
      <c r="R85" s="741"/>
      <c r="S85" s="741"/>
      <c r="T85" s="741"/>
      <c r="U85" s="741"/>
      <c r="V85" s="741"/>
      <c r="W85" s="741"/>
      <c r="X85" s="741"/>
      <c r="Y85" s="741"/>
      <c r="Z85" s="741"/>
      <c r="AA85" s="741"/>
      <c r="AB85" s="741"/>
      <c r="AC85" s="741"/>
      <c r="AD85" s="741"/>
    </row>
    <row r="86" spans="1:30" x14ac:dyDescent="0.2">
      <c r="C86" s="741"/>
      <c r="D86" s="741"/>
      <c r="E86" s="741"/>
      <c r="F86" s="741"/>
      <c r="G86" s="741"/>
      <c r="H86" s="741"/>
      <c r="I86" s="741"/>
      <c r="J86" s="741"/>
      <c r="K86" s="741"/>
      <c r="L86" s="741"/>
      <c r="M86" s="741"/>
      <c r="N86" s="741"/>
      <c r="O86" s="741"/>
      <c r="P86" s="741"/>
      <c r="Q86" s="741"/>
      <c r="R86" s="741"/>
      <c r="S86" s="741"/>
      <c r="T86" s="741"/>
      <c r="U86" s="741"/>
      <c r="V86" s="741"/>
      <c r="W86" s="741"/>
      <c r="X86" s="741"/>
      <c r="Y86" s="741"/>
      <c r="Z86" s="741"/>
      <c r="AA86" s="741"/>
      <c r="AB86" s="741"/>
      <c r="AC86" s="741"/>
      <c r="AD86" s="741"/>
    </row>
    <row r="87" spans="1:30" x14ac:dyDescent="0.2">
      <c r="Z87" s="781"/>
    </row>
    <row r="88" spans="1:30" x14ac:dyDescent="0.2">
      <c r="A88" s="766"/>
      <c r="H88" s="782"/>
      <c r="J88" s="787"/>
      <c r="L88" s="782"/>
      <c r="N88" s="766"/>
    </row>
    <row r="89" spans="1:30" x14ac:dyDescent="0.2">
      <c r="C89" s="741"/>
      <c r="D89" s="741"/>
      <c r="E89" s="741"/>
      <c r="F89" s="741"/>
      <c r="G89" s="741"/>
      <c r="H89" s="741"/>
      <c r="I89" s="741"/>
      <c r="J89" s="741"/>
      <c r="K89" s="741"/>
      <c r="L89" s="741"/>
      <c r="M89" s="741"/>
      <c r="N89" s="741"/>
      <c r="O89" s="741"/>
      <c r="P89" s="741"/>
      <c r="Q89" s="741"/>
      <c r="R89" s="741"/>
      <c r="S89" s="741"/>
      <c r="T89" s="741"/>
      <c r="U89" s="741"/>
      <c r="V89" s="741"/>
      <c r="W89" s="741"/>
      <c r="X89" s="741"/>
      <c r="Y89" s="741"/>
      <c r="Z89" s="741"/>
      <c r="AA89" s="741"/>
      <c r="AB89" s="741"/>
      <c r="AC89" s="741"/>
      <c r="AD89" s="741"/>
    </row>
    <row r="90" spans="1:30" x14ac:dyDescent="0.2">
      <c r="C90" s="741"/>
      <c r="D90" s="741"/>
      <c r="E90" s="741"/>
      <c r="F90" s="741"/>
      <c r="G90" s="741"/>
      <c r="H90" s="741"/>
      <c r="I90" s="741"/>
      <c r="J90" s="741"/>
      <c r="K90" s="741"/>
      <c r="L90" s="741"/>
      <c r="M90" s="741"/>
      <c r="N90" s="741"/>
      <c r="O90" s="741"/>
      <c r="P90" s="741"/>
      <c r="Q90" s="741"/>
      <c r="R90" s="741"/>
      <c r="S90" s="741"/>
      <c r="T90" s="741"/>
      <c r="U90" s="741"/>
      <c r="V90" s="741"/>
      <c r="W90" s="741"/>
      <c r="X90" s="741"/>
      <c r="Y90" s="741"/>
      <c r="Z90" s="741"/>
      <c r="AA90" s="741"/>
      <c r="AB90" s="741"/>
      <c r="AC90" s="741"/>
      <c r="AD90" s="741"/>
    </row>
    <row r="91" spans="1:30" x14ac:dyDescent="0.2">
      <c r="C91" s="741"/>
      <c r="D91" s="741"/>
      <c r="E91" s="741"/>
      <c r="F91" s="741"/>
      <c r="G91" s="741"/>
      <c r="H91" s="741"/>
      <c r="I91" s="741"/>
      <c r="J91" s="741"/>
      <c r="K91" s="741"/>
      <c r="L91" s="741"/>
      <c r="M91" s="741"/>
      <c r="N91" s="741"/>
      <c r="O91" s="741"/>
      <c r="P91" s="741"/>
      <c r="Q91" s="741"/>
      <c r="R91" s="741"/>
      <c r="S91" s="741"/>
      <c r="T91" s="741"/>
      <c r="U91" s="741"/>
      <c r="V91" s="741"/>
      <c r="W91" s="741"/>
      <c r="X91" s="741"/>
      <c r="Y91" s="741"/>
      <c r="Z91" s="741"/>
      <c r="AA91" s="741"/>
      <c r="AB91" s="741"/>
      <c r="AC91" s="741"/>
      <c r="AD91" s="741"/>
    </row>
    <row r="92" spans="1:30" x14ac:dyDescent="0.2">
      <c r="Z92" s="781"/>
    </row>
    <row r="93" spans="1:30" x14ac:dyDescent="0.2">
      <c r="A93" s="766"/>
      <c r="H93" s="782"/>
      <c r="J93" s="787"/>
      <c r="L93" s="782"/>
      <c r="N93" s="766"/>
    </row>
    <row r="94" spans="1:30" x14ac:dyDescent="0.2">
      <c r="C94" s="741"/>
      <c r="D94" s="741"/>
      <c r="E94" s="741"/>
      <c r="F94" s="741"/>
      <c r="G94" s="741"/>
      <c r="H94" s="741"/>
      <c r="I94" s="741"/>
      <c r="J94" s="741"/>
      <c r="K94" s="741"/>
      <c r="L94" s="741"/>
      <c r="M94" s="741"/>
      <c r="N94" s="741"/>
      <c r="O94" s="741"/>
      <c r="P94" s="741"/>
      <c r="Q94" s="741"/>
      <c r="R94" s="741"/>
      <c r="S94" s="741"/>
      <c r="T94" s="741"/>
      <c r="U94" s="741"/>
      <c r="V94" s="741"/>
      <c r="W94" s="741"/>
      <c r="X94" s="741"/>
      <c r="Y94" s="741"/>
      <c r="Z94" s="741"/>
      <c r="AA94" s="741"/>
      <c r="AB94" s="741"/>
      <c r="AC94" s="741"/>
      <c r="AD94" s="741"/>
    </row>
    <row r="95" spans="1:30" x14ac:dyDescent="0.2">
      <c r="C95" s="741"/>
      <c r="D95" s="741"/>
      <c r="E95" s="741"/>
      <c r="F95" s="741"/>
      <c r="G95" s="741"/>
      <c r="H95" s="741"/>
      <c r="I95" s="741"/>
      <c r="J95" s="741"/>
      <c r="K95" s="741"/>
      <c r="L95" s="741"/>
      <c r="M95" s="741"/>
      <c r="N95" s="741"/>
      <c r="O95" s="741"/>
      <c r="P95" s="741"/>
      <c r="Q95" s="741"/>
      <c r="R95" s="741"/>
      <c r="S95" s="741"/>
      <c r="T95" s="741"/>
      <c r="U95" s="741"/>
      <c r="V95" s="741"/>
      <c r="W95" s="741"/>
      <c r="X95" s="741"/>
      <c r="Y95" s="741"/>
      <c r="Z95" s="741"/>
      <c r="AA95" s="741"/>
      <c r="AB95" s="741"/>
      <c r="AC95" s="741"/>
      <c r="AD95" s="741"/>
    </row>
    <row r="96" spans="1:30" x14ac:dyDescent="0.2">
      <c r="C96" s="741"/>
      <c r="D96" s="741"/>
      <c r="E96" s="741"/>
      <c r="F96" s="741"/>
      <c r="G96" s="741"/>
      <c r="H96" s="741"/>
      <c r="I96" s="741"/>
      <c r="J96" s="741"/>
      <c r="K96" s="741"/>
      <c r="L96" s="741"/>
      <c r="M96" s="741"/>
      <c r="N96" s="741"/>
      <c r="O96" s="741"/>
      <c r="P96" s="741"/>
      <c r="Q96" s="741"/>
      <c r="R96" s="741"/>
      <c r="S96" s="741"/>
      <c r="T96" s="741"/>
      <c r="U96" s="741"/>
      <c r="V96" s="741"/>
      <c r="W96" s="741"/>
      <c r="X96" s="741"/>
      <c r="Y96" s="741"/>
      <c r="Z96" s="741"/>
      <c r="AA96" s="741"/>
      <c r="AB96" s="741"/>
      <c r="AC96" s="741"/>
      <c r="AD96" s="741"/>
    </row>
    <row r="97" spans="1:30" x14ac:dyDescent="0.2">
      <c r="Z97" s="781"/>
    </row>
    <row r="99" spans="1:30" x14ac:dyDescent="0.2">
      <c r="N99" s="766"/>
    </row>
    <row r="100" spans="1:30" x14ac:dyDescent="0.2">
      <c r="C100" s="784"/>
      <c r="N100" s="766"/>
    </row>
    <row r="101" spans="1:30" x14ac:dyDescent="0.2">
      <c r="C101" s="785"/>
      <c r="J101" s="786"/>
      <c r="K101" s="786"/>
      <c r="N101" s="766"/>
    </row>
    <row r="102" spans="1:30" x14ac:dyDescent="0.2">
      <c r="C102" s="766"/>
      <c r="N102" s="766"/>
    </row>
    <row r="103" spans="1:30" x14ac:dyDescent="0.2">
      <c r="V103" s="766"/>
    </row>
    <row r="104" spans="1:30" x14ac:dyDescent="0.2">
      <c r="A104" s="759"/>
      <c r="B104" s="759"/>
      <c r="C104" s="759"/>
      <c r="D104" s="759"/>
      <c r="E104" s="759"/>
      <c r="F104" s="759"/>
      <c r="G104" s="759"/>
      <c r="H104" s="759"/>
      <c r="I104" s="759"/>
      <c r="J104" s="759"/>
      <c r="K104" s="759"/>
      <c r="L104" s="759"/>
      <c r="M104" s="759"/>
      <c r="N104" s="759"/>
      <c r="O104" s="759"/>
      <c r="P104" s="759"/>
      <c r="Q104" s="759"/>
      <c r="R104" s="759"/>
      <c r="S104" s="759"/>
      <c r="T104" s="759"/>
      <c r="U104" s="759"/>
      <c r="V104" s="772"/>
      <c r="W104" s="759"/>
      <c r="X104" s="759"/>
      <c r="Y104" s="759"/>
      <c r="Z104" s="759"/>
    </row>
    <row r="105" spans="1:30" x14ac:dyDescent="0.2">
      <c r="V105" s="766"/>
    </row>
    <row r="106" spans="1:30" x14ac:dyDescent="0.2">
      <c r="A106" s="772"/>
      <c r="B106" s="759"/>
      <c r="C106" s="772"/>
      <c r="D106" s="759"/>
      <c r="E106" s="759"/>
      <c r="F106" s="759"/>
      <c r="G106" s="759"/>
      <c r="H106" s="772"/>
      <c r="I106" s="759"/>
      <c r="J106" s="772"/>
      <c r="K106" s="759"/>
      <c r="L106" s="772"/>
      <c r="M106" s="759"/>
      <c r="N106" s="759"/>
      <c r="O106" s="759"/>
      <c r="P106" s="759"/>
      <c r="Q106" s="759"/>
      <c r="R106" s="759"/>
      <c r="S106" s="759"/>
      <c r="T106" s="759"/>
      <c r="U106" s="759"/>
      <c r="V106" s="759"/>
      <c r="W106" s="759"/>
      <c r="X106" s="759"/>
      <c r="Y106" s="759"/>
      <c r="Z106" s="759"/>
    </row>
    <row r="107" spans="1:30" x14ac:dyDescent="0.2">
      <c r="A107" s="766"/>
      <c r="C107" s="766"/>
      <c r="H107" s="766"/>
      <c r="J107" s="766"/>
      <c r="L107" s="766"/>
      <c r="N107" s="766"/>
    </row>
    <row r="110" spans="1:30" x14ac:dyDescent="0.2">
      <c r="A110" s="766"/>
      <c r="H110" s="782"/>
      <c r="J110" s="787"/>
      <c r="K110" s="782"/>
      <c r="L110" s="782"/>
      <c r="N110" s="766"/>
    </row>
    <row r="111" spans="1:30" x14ac:dyDescent="0.2">
      <c r="C111" s="741"/>
      <c r="D111" s="741"/>
      <c r="E111" s="741"/>
      <c r="F111" s="741"/>
      <c r="G111" s="741"/>
      <c r="H111" s="741"/>
      <c r="I111" s="741"/>
      <c r="J111" s="741"/>
      <c r="K111" s="741"/>
      <c r="L111" s="741"/>
      <c r="M111" s="741"/>
      <c r="N111" s="741"/>
      <c r="O111" s="741"/>
      <c r="P111" s="741"/>
      <c r="Q111" s="741"/>
      <c r="R111" s="741"/>
      <c r="S111" s="741"/>
      <c r="T111" s="741"/>
      <c r="U111" s="741"/>
      <c r="V111" s="741"/>
      <c r="W111" s="741"/>
      <c r="X111" s="741"/>
      <c r="Y111" s="741"/>
      <c r="Z111" s="741"/>
      <c r="AA111" s="741"/>
      <c r="AB111" s="741"/>
      <c r="AC111" s="741"/>
      <c r="AD111" s="741"/>
    </row>
    <row r="112" spans="1:30" x14ac:dyDescent="0.2">
      <c r="C112" s="741"/>
      <c r="D112" s="741"/>
      <c r="E112" s="741"/>
      <c r="F112" s="741"/>
      <c r="G112" s="741"/>
      <c r="H112" s="741"/>
      <c r="I112" s="741"/>
      <c r="J112" s="741"/>
      <c r="K112" s="741"/>
      <c r="L112" s="741"/>
      <c r="M112" s="741"/>
      <c r="N112" s="741"/>
      <c r="O112" s="741"/>
      <c r="P112" s="741"/>
      <c r="Q112" s="741"/>
      <c r="R112" s="741"/>
      <c r="S112" s="741"/>
      <c r="T112" s="741"/>
      <c r="U112" s="741"/>
      <c r="V112" s="741"/>
      <c r="W112" s="741"/>
      <c r="X112" s="741"/>
      <c r="Y112" s="741"/>
      <c r="Z112" s="741"/>
      <c r="AA112" s="741"/>
      <c r="AB112" s="741"/>
      <c r="AC112" s="741"/>
      <c r="AD112" s="741"/>
    </row>
    <row r="113" spans="1:36" x14ac:dyDescent="0.2">
      <c r="C113" s="741"/>
      <c r="D113" s="741"/>
      <c r="E113" s="741"/>
      <c r="F113" s="741"/>
      <c r="G113" s="741"/>
      <c r="H113" s="741"/>
      <c r="I113" s="741"/>
      <c r="J113" s="741"/>
      <c r="K113" s="741"/>
      <c r="L113" s="741"/>
      <c r="M113" s="741"/>
      <c r="N113" s="741"/>
      <c r="O113" s="741"/>
      <c r="P113" s="741"/>
      <c r="Q113" s="741"/>
      <c r="R113" s="741"/>
      <c r="S113" s="741"/>
      <c r="T113" s="741"/>
      <c r="U113" s="741"/>
      <c r="V113" s="741"/>
      <c r="W113" s="741"/>
      <c r="X113" s="741"/>
      <c r="Y113" s="741"/>
      <c r="Z113" s="741"/>
      <c r="AA113" s="741"/>
      <c r="AB113" s="741"/>
      <c r="AC113" s="741"/>
      <c r="AD113" s="741"/>
    </row>
    <row r="114" spans="1:36" x14ac:dyDescent="0.2">
      <c r="Z114" s="781"/>
    </row>
    <row r="115" spans="1:36" x14ac:dyDescent="0.2">
      <c r="A115" s="766"/>
      <c r="H115" s="782"/>
      <c r="J115" s="787"/>
      <c r="L115" s="782"/>
      <c r="N115" s="766"/>
    </row>
    <row r="116" spans="1:36" x14ac:dyDescent="0.2">
      <c r="C116" s="741"/>
      <c r="D116" s="741"/>
      <c r="E116" s="741"/>
      <c r="F116" s="741"/>
      <c r="G116" s="741"/>
      <c r="H116" s="741"/>
      <c r="I116" s="741"/>
      <c r="J116" s="741"/>
      <c r="K116" s="741"/>
      <c r="L116" s="741"/>
      <c r="M116" s="741"/>
      <c r="N116" s="741"/>
      <c r="O116" s="741"/>
      <c r="P116" s="741"/>
      <c r="Q116" s="741"/>
      <c r="R116" s="741"/>
      <c r="S116" s="741"/>
      <c r="T116" s="741"/>
      <c r="U116" s="741"/>
      <c r="V116" s="741"/>
      <c r="W116" s="741"/>
      <c r="X116" s="741"/>
      <c r="Y116" s="741"/>
      <c r="Z116" s="741"/>
      <c r="AA116" s="741"/>
      <c r="AB116" s="741"/>
      <c r="AC116" s="741"/>
      <c r="AD116" s="741"/>
    </row>
    <row r="117" spans="1:36" x14ac:dyDescent="0.2">
      <c r="C117" s="741"/>
      <c r="D117" s="741"/>
      <c r="E117" s="741"/>
      <c r="F117" s="741"/>
      <c r="G117" s="741"/>
      <c r="H117" s="741"/>
      <c r="I117" s="741"/>
      <c r="J117" s="741"/>
      <c r="K117" s="741"/>
      <c r="L117" s="741"/>
      <c r="M117" s="741"/>
      <c r="N117" s="741"/>
      <c r="O117" s="741"/>
      <c r="P117" s="741"/>
      <c r="Q117" s="741"/>
      <c r="R117" s="741"/>
      <c r="S117" s="741"/>
      <c r="T117" s="741"/>
      <c r="U117" s="741"/>
      <c r="V117" s="741"/>
      <c r="W117" s="741"/>
      <c r="X117" s="741"/>
      <c r="Y117" s="741"/>
      <c r="Z117" s="741"/>
      <c r="AA117" s="741"/>
      <c r="AB117" s="741"/>
      <c r="AC117" s="741"/>
      <c r="AD117" s="741"/>
    </row>
    <row r="118" spans="1:36" x14ac:dyDescent="0.2">
      <c r="C118" s="741"/>
      <c r="D118" s="741"/>
      <c r="E118" s="741"/>
      <c r="F118" s="741"/>
      <c r="G118" s="741"/>
      <c r="H118" s="741"/>
      <c r="I118" s="741"/>
      <c r="J118" s="741"/>
      <c r="K118" s="741"/>
      <c r="L118" s="741"/>
      <c r="M118" s="741"/>
      <c r="N118" s="741"/>
      <c r="O118" s="741"/>
      <c r="P118" s="741"/>
      <c r="Q118" s="741"/>
      <c r="R118" s="741"/>
      <c r="S118" s="741"/>
      <c r="T118" s="741"/>
      <c r="U118" s="741"/>
      <c r="V118" s="741"/>
      <c r="W118" s="741"/>
      <c r="X118" s="741"/>
      <c r="Y118" s="741"/>
      <c r="Z118" s="741"/>
      <c r="AA118" s="741"/>
      <c r="AB118" s="741"/>
      <c r="AC118" s="741"/>
      <c r="AD118" s="741"/>
    </row>
    <row r="119" spans="1:36" x14ac:dyDescent="0.2">
      <c r="Z119" s="781"/>
    </row>
    <row r="120" spans="1:36" x14ac:dyDescent="0.2">
      <c r="A120" s="766"/>
      <c r="H120" s="782"/>
      <c r="J120" s="787"/>
      <c r="L120" s="782"/>
      <c r="N120" s="766"/>
    </row>
    <row r="121" spans="1:36" x14ac:dyDescent="0.2">
      <c r="C121" s="741"/>
      <c r="D121" s="741"/>
      <c r="E121" s="741"/>
      <c r="F121" s="741"/>
      <c r="G121" s="741"/>
      <c r="H121" s="741"/>
      <c r="I121" s="741"/>
      <c r="J121" s="741"/>
      <c r="K121" s="741"/>
      <c r="L121" s="741"/>
      <c r="M121" s="741"/>
      <c r="N121" s="741"/>
      <c r="O121" s="741"/>
      <c r="P121" s="741"/>
      <c r="Q121" s="741"/>
      <c r="R121" s="741"/>
      <c r="S121" s="741"/>
      <c r="T121" s="741"/>
      <c r="U121" s="741"/>
      <c r="V121" s="741"/>
      <c r="W121" s="741"/>
      <c r="X121" s="741"/>
      <c r="Y121" s="741"/>
      <c r="Z121" s="741"/>
      <c r="AA121" s="741"/>
      <c r="AB121" s="741"/>
      <c r="AC121" s="741"/>
      <c r="AD121" s="741"/>
      <c r="AE121" s="741"/>
      <c r="AF121" s="741"/>
      <c r="AG121" s="741"/>
      <c r="AH121" s="741"/>
      <c r="AI121" s="741"/>
      <c r="AJ121" s="741"/>
    </row>
    <row r="122" spans="1:36" x14ac:dyDescent="0.2">
      <c r="C122" s="741"/>
      <c r="D122" s="741"/>
      <c r="E122" s="741"/>
      <c r="F122" s="741"/>
      <c r="G122" s="741"/>
      <c r="H122" s="741"/>
      <c r="I122" s="741"/>
      <c r="J122" s="741"/>
      <c r="K122" s="741"/>
      <c r="L122" s="741"/>
      <c r="M122" s="741"/>
      <c r="N122" s="741"/>
      <c r="O122" s="741"/>
      <c r="P122" s="741"/>
      <c r="Q122" s="741"/>
      <c r="R122" s="741"/>
      <c r="S122" s="741"/>
      <c r="T122" s="741"/>
      <c r="U122" s="741"/>
      <c r="V122" s="741"/>
      <c r="W122" s="741"/>
      <c r="X122" s="741"/>
      <c r="Y122" s="741"/>
      <c r="Z122" s="741"/>
      <c r="AA122" s="741"/>
      <c r="AB122" s="741"/>
      <c r="AC122" s="741"/>
      <c r="AD122" s="741"/>
      <c r="AE122" s="741"/>
      <c r="AF122" s="741"/>
      <c r="AG122" s="741"/>
      <c r="AH122" s="741"/>
      <c r="AI122" s="741"/>
      <c r="AJ122" s="741"/>
    </row>
    <row r="123" spans="1:36" x14ac:dyDescent="0.2">
      <c r="C123" s="741"/>
      <c r="D123" s="741"/>
      <c r="E123" s="741"/>
      <c r="F123" s="741"/>
      <c r="G123" s="741"/>
      <c r="H123" s="741"/>
      <c r="I123" s="741"/>
      <c r="J123" s="741"/>
      <c r="K123" s="741"/>
      <c r="L123" s="741"/>
      <c r="M123" s="741"/>
      <c r="N123" s="741"/>
      <c r="O123" s="741"/>
      <c r="P123" s="741"/>
      <c r="Q123" s="741"/>
      <c r="R123" s="741"/>
      <c r="S123" s="741"/>
      <c r="T123" s="741"/>
      <c r="U123" s="741"/>
      <c r="V123" s="741"/>
      <c r="W123" s="741"/>
      <c r="X123" s="741"/>
      <c r="Y123" s="741"/>
      <c r="Z123" s="741"/>
      <c r="AA123" s="741"/>
      <c r="AB123" s="741"/>
      <c r="AC123" s="741"/>
      <c r="AD123" s="741"/>
      <c r="AE123" s="741"/>
      <c r="AF123" s="741"/>
      <c r="AG123" s="741"/>
      <c r="AH123" s="741"/>
      <c r="AI123" s="741"/>
      <c r="AJ123" s="741"/>
    </row>
    <row r="124" spans="1:36" x14ac:dyDescent="0.2">
      <c r="Z124" s="781"/>
    </row>
    <row r="125" spans="1:36" x14ac:dyDescent="0.2">
      <c r="A125" s="766"/>
      <c r="H125" s="782"/>
      <c r="J125" s="787"/>
      <c r="L125" s="782"/>
      <c r="N125" s="766"/>
    </row>
    <row r="126" spans="1:36" x14ac:dyDescent="0.2">
      <c r="C126" s="741"/>
      <c r="D126" s="741"/>
      <c r="E126" s="741"/>
      <c r="F126" s="741"/>
      <c r="G126" s="741"/>
      <c r="H126" s="741"/>
      <c r="I126" s="741"/>
      <c r="J126" s="741"/>
      <c r="K126" s="741"/>
      <c r="L126" s="741"/>
      <c r="M126" s="741"/>
      <c r="N126" s="741"/>
      <c r="O126" s="741"/>
      <c r="P126" s="741"/>
      <c r="Q126" s="741"/>
      <c r="R126" s="741"/>
      <c r="S126" s="741"/>
      <c r="T126" s="741"/>
      <c r="U126" s="741"/>
      <c r="V126" s="741"/>
      <c r="W126" s="741"/>
      <c r="X126" s="741"/>
      <c r="Y126" s="741"/>
      <c r="Z126" s="741"/>
      <c r="AA126" s="741"/>
      <c r="AB126" s="741"/>
      <c r="AC126" s="741"/>
      <c r="AD126" s="741"/>
    </row>
    <row r="127" spans="1:36" x14ac:dyDescent="0.2">
      <c r="C127" s="741"/>
      <c r="D127" s="741"/>
      <c r="E127" s="741"/>
      <c r="F127" s="741"/>
      <c r="G127" s="741"/>
      <c r="H127" s="741"/>
      <c r="I127" s="741"/>
      <c r="J127" s="741"/>
      <c r="K127" s="741"/>
      <c r="L127" s="741"/>
      <c r="M127" s="741"/>
      <c r="N127" s="741"/>
      <c r="O127" s="741"/>
      <c r="P127" s="741"/>
      <c r="Q127" s="741"/>
      <c r="R127" s="741"/>
      <c r="S127" s="741"/>
      <c r="T127" s="741"/>
      <c r="U127" s="741"/>
      <c r="V127" s="741"/>
      <c r="W127" s="741"/>
      <c r="X127" s="741"/>
      <c r="Y127" s="741"/>
      <c r="Z127" s="741"/>
      <c r="AA127" s="741"/>
      <c r="AB127" s="741"/>
      <c r="AC127" s="741"/>
      <c r="AD127" s="741"/>
    </row>
    <row r="128" spans="1:36" x14ac:dyDescent="0.2">
      <c r="C128" s="741"/>
      <c r="D128" s="741"/>
      <c r="E128" s="741"/>
      <c r="F128" s="741"/>
      <c r="G128" s="741"/>
      <c r="H128" s="741"/>
      <c r="I128" s="741"/>
      <c r="J128" s="741"/>
      <c r="K128" s="741"/>
      <c r="L128" s="741"/>
      <c r="M128" s="741"/>
      <c r="N128" s="741"/>
      <c r="O128" s="741"/>
      <c r="P128" s="741"/>
      <c r="Q128" s="741"/>
      <c r="R128" s="741"/>
      <c r="S128" s="741"/>
      <c r="T128" s="741"/>
      <c r="U128" s="741"/>
      <c r="V128" s="741"/>
      <c r="W128" s="741"/>
      <c r="X128" s="741"/>
      <c r="Y128" s="741"/>
      <c r="Z128" s="741"/>
      <c r="AA128" s="741"/>
      <c r="AB128" s="741"/>
      <c r="AC128" s="741"/>
      <c r="AD128" s="741"/>
    </row>
    <row r="129" spans="1:30" x14ac:dyDescent="0.2">
      <c r="Z129" s="781"/>
    </row>
    <row r="130" spans="1:30" x14ac:dyDescent="0.2">
      <c r="A130" s="766"/>
      <c r="H130" s="782"/>
      <c r="J130" s="787"/>
      <c r="K130" s="766"/>
      <c r="L130" s="782"/>
      <c r="N130" s="766"/>
    </row>
    <row r="131" spans="1:30" x14ac:dyDescent="0.2">
      <c r="C131" s="741"/>
      <c r="D131" s="741"/>
      <c r="E131" s="741"/>
      <c r="F131" s="741"/>
      <c r="G131" s="741"/>
      <c r="H131" s="741"/>
      <c r="I131" s="741"/>
      <c r="J131" s="741"/>
      <c r="K131" s="741"/>
      <c r="L131" s="741"/>
      <c r="M131" s="741"/>
      <c r="N131" s="741"/>
      <c r="O131" s="741"/>
      <c r="P131" s="741"/>
      <c r="Q131" s="741"/>
      <c r="R131" s="741"/>
      <c r="S131" s="741"/>
      <c r="T131" s="741"/>
      <c r="U131" s="741"/>
      <c r="V131" s="741"/>
      <c r="W131" s="741"/>
      <c r="X131" s="741"/>
      <c r="Y131" s="741"/>
      <c r="Z131" s="741"/>
      <c r="AA131" s="741"/>
      <c r="AB131" s="741"/>
      <c r="AC131" s="741"/>
      <c r="AD131" s="741"/>
    </row>
    <row r="132" spans="1:30" x14ac:dyDescent="0.2">
      <c r="C132" s="741"/>
      <c r="D132" s="741"/>
      <c r="E132" s="741"/>
      <c r="F132" s="741"/>
      <c r="G132" s="741"/>
      <c r="H132" s="741"/>
      <c r="I132" s="741"/>
      <c r="J132" s="741"/>
      <c r="K132" s="741"/>
      <c r="L132" s="741"/>
      <c r="M132" s="741"/>
      <c r="N132" s="741"/>
      <c r="O132" s="741"/>
      <c r="P132" s="741"/>
      <c r="Q132" s="741"/>
      <c r="R132" s="741"/>
      <c r="S132" s="741"/>
      <c r="T132" s="741"/>
      <c r="U132" s="741"/>
      <c r="V132" s="741"/>
      <c r="W132" s="741"/>
      <c r="X132" s="741"/>
      <c r="Y132" s="741"/>
      <c r="Z132" s="741"/>
      <c r="AA132" s="741"/>
      <c r="AB132" s="741"/>
      <c r="AC132" s="741"/>
      <c r="AD132" s="741"/>
    </row>
    <row r="133" spans="1:30" x14ac:dyDescent="0.2">
      <c r="C133" s="741"/>
      <c r="D133" s="741"/>
      <c r="E133" s="741"/>
      <c r="F133" s="741"/>
      <c r="G133" s="741"/>
      <c r="H133" s="741"/>
      <c r="I133" s="741"/>
      <c r="J133" s="741"/>
      <c r="K133" s="741"/>
      <c r="L133" s="741"/>
      <c r="M133" s="741"/>
      <c r="N133" s="741"/>
      <c r="O133" s="741"/>
      <c r="P133" s="741"/>
      <c r="Q133" s="741"/>
      <c r="R133" s="741"/>
      <c r="S133" s="741"/>
      <c r="T133" s="741"/>
      <c r="U133" s="741"/>
      <c r="V133" s="741"/>
      <c r="W133" s="741"/>
      <c r="X133" s="741"/>
      <c r="Y133" s="741"/>
      <c r="Z133" s="741"/>
      <c r="AA133" s="741"/>
      <c r="AB133" s="741"/>
      <c r="AC133" s="741"/>
      <c r="AD133" s="741"/>
    </row>
    <row r="134" spans="1:30" x14ac:dyDescent="0.2">
      <c r="Z134" s="781"/>
    </row>
    <row r="135" spans="1:30" x14ac:dyDescent="0.2">
      <c r="A135" s="766"/>
      <c r="H135" s="782"/>
      <c r="J135" s="787"/>
      <c r="L135" s="782"/>
      <c r="N135" s="766"/>
    </row>
    <row r="140" spans="1:30" x14ac:dyDescent="0.2">
      <c r="A140" s="766"/>
      <c r="H140" s="782"/>
      <c r="J140" s="787"/>
      <c r="L140" s="782"/>
      <c r="N140" s="766"/>
    </row>
    <row r="141" spans="1:30" x14ac:dyDescent="0.2">
      <c r="C141" s="741"/>
      <c r="D141" s="741"/>
      <c r="E141" s="741"/>
      <c r="F141" s="741"/>
      <c r="G141" s="741"/>
      <c r="H141" s="741"/>
      <c r="I141" s="741"/>
      <c r="J141" s="741"/>
      <c r="K141" s="741"/>
      <c r="L141" s="741"/>
      <c r="M141" s="741"/>
      <c r="N141" s="741"/>
      <c r="O141" s="741"/>
      <c r="P141" s="741"/>
      <c r="Q141" s="741"/>
      <c r="R141" s="741"/>
      <c r="S141" s="741"/>
      <c r="T141" s="741"/>
      <c r="U141" s="741"/>
      <c r="V141" s="741"/>
      <c r="W141" s="741"/>
      <c r="X141" s="741"/>
      <c r="Y141" s="741"/>
      <c r="Z141" s="741"/>
      <c r="AA141" s="741"/>
      <c r="AB141" s="741"/>
      <c r="AC141" s="741"/>
      <c r="AD141" s="741"/>
    </row>
    <row r="142" spans="1:30" x14ac:dyDescent="0.2">
      <c r="C142" s="741"/>
      <c r="D142" s="741"/>
      <c r="E142" s="741"/>
      <c r="F142" s="741"/>
      <c r="G142" s="741"/>
      <c r="H142" s="741"/>
      <c r="I142" s="741"/>
      <c r="J142" s="741"/>
      <c r="K142" s="741"/>
      <c r="L142" s="741"/>
      <c r="M142" s="741"/>
      <c r="N142" s="741"/>
      <c r="O142" s="741"/>
      <c r="P142" s="741"/>
      <c r="Q142" s="741"/>
      <c r="R142" s="741"/>
      <c r="S142" s="741"/>
      <c r="T142" s="741"/>
      <c r="U142" s="741"/>
      <c r="V142" s="741"/>
      <c r="W142" s="741"/>
      <c r="X142" s="741"/>
      <c r="Y142" s="741"/>
      <c r="Z142" s="741"/>
      <c r="AA142" s="741"/>
      <c r="AB142" s="741"/>
      <c r="AC142" s="741"/>
      <c r="AD142" s="741"/>
    </row>
    <row r="143" spans="1:30" x14ac:dyDescent="0.2">
      <c r="C143" s="741"/>
      <c r="D143" s="741"/>
      <c r="E143" s="741"/>
      <c r="F143" s="741"/>
      <c r="G143" s="741"/>
      <c r="H143" s="741"/>
      <c r="I143" s="741"/>
      <c r="J143" s="741"/>
      <c r="K143" s="741"/>
      <c r="L143" s="741"/>
      <c r="M143" s="741"/>
      <c r="N143" s="741"/>
      <c r="O143" s="741"/>
      <c r="P143" s="741"/>
      <c r="Q143" s="741"/>
      <c r="R143" s="741"/>
      <c r="S143" s="741"/>
      <c r="T143" s="741"/>
      <c r="U143" s="741"/>
      <c r="V143" s="741"/>
      <c r="W143" s="741"/>
      <c r="X143" s="741"/>
      <c r="Y143" s="741"/>
      <c r="Z143" s="741"/>
      <c r="AA143" s="741"/>
      <c r="AB143" s="741"/>
      <c r="AC143" s="741"/>
      <c r="AD143" s="741"/>
    </row>
    <row r="144" spans="1:30" x14ac:dyDescent="0.2">
      <c r="Z144" s="781"/>
    </row>
    <row r="145" spans="1:30" x14ac:dyDescent="0.2">
      <c r="A145" s="766"/>
      <c r="F145" s="766"/>
      <c r="H145" s="741"/>
      <c r="J145" s="787"/>
      <c r="L145" s="741"/>
      <c r="N145" s="766"/>
    </row>
    <row r="146" spans="1:30" x14ac:dyDescent="0.2">
      <c r="C146" s="741"/>
      <c r="D146" s="741"/>
      <c r="E146" s="741"/>
      <c r="F146" s="741"/>
      <c r="G146" s="741"/>
      <c r="H146" s="741"/>
      <c r="I146" s="741"/>
      <c r="J146" s="741"/>
      <c r="K146" s="741"/>
      <c r="L146" s="741"/>
      <c r="M146" s="741"/>
      <c r="N146" s="741"/>
      <c r="O146" s="741"/>
      <c r="P146" s="741"/>
      <c r="Q146" s="741"/>
      <c r="R146" s="741"/>
      <c r="S146" s="741"/>
      <c r="T146" s="741"/>
      <c r="U146" s="741"/>
      <c r="V146" s="741"/>
      <c r="W146" s="741"/>
      <c r="X146" s="741"/>
      <c r="Y146" s="741"/>
      <c r="Z146" s="741"/>
      <c r="AA146" s="741"/>
      <c r="AB146" s="741"/>
      <c r="AC146" s="741"/>
      <c r="AD146" s="741"/>
    </row>
    <row r="147" spans="1:30" x14ac:dyDescent="0.2">
      <c r="C147" s="741"/>
      <c r="D147" s="741"/>
      <c r="E147" s="741"/>
      <c r="F147" s="741"/>
      <c r="G147" s="741"/>
      <c r="H147" s="741"/>
      <c r="I147" s="741"/>
      <c r="J147" s="741"/>
      <c r="K147" s="741"/>
      <c r="L147" s="741"/>
      <c r="M147" s="741"/>
      <c r="N147" s="741"/>
      <c r="O147" s="741"/>
      <c r="P147" s="741"/>
      <c r="Q147" s="741"/>
      <c r="R147" s="741"/>
      <c r="S147" s="741"/>
      <c r="T147" s="741"/>
      <c r="U147" s="741"/>
      <c r="V147" s="741"/>
      <c r="W147" s="741"/>
      <c r="X147" s="741"/>
      <c r="Y147" s="741"/>
      <c r="Z147" s="741"/>
      <c r="AA147" s="741"/>
      <c r="AB147" s="741"/>
      <c r="AC147" s="741"/>
      <c r="AD147" s="741"/>
    </row>
    <row r="148" spans="1:30" x14ac:dyDescent="0.2">
      <c r="C148" s="741"/>
      <c r="D148" s="741"/>
      <c r="E148" s="741"/>
      <c r="F148" s="741"/>
      <c r="G148" s="741"/>
      <c r="H148" s="741"/>
      <c r="I148" s="741"/>
      <c r="J148" s="741"/>
      <c r="K148" s="741"/>
      <c r="L148" s="741"/>
      <c r="M148" s="741"/>
      <c r="N148" s="741"/>
      <c r="O148" s="741"/>
      <c r="P148" s="741"/>
      <c r="Q148" s="741"/>
      <c r="R148" s="741"/>
      <c r="S148" s="741"/>
      <c r="T148" s="741"/>
      <c r="U148" s="741"/>
      <c r="V148" s="741"/>
      <c r="W148" s="741"/>
      <c r="X148" s="741"/>
      <c r="Y148" s="741"/>
      <c r="Z148" s="741"/>
      <c r="AA148" s="741"/>
      <c r="AB148" s="741"/>
      <c r="AC148" s="741"/>
      <c r="AD148" s="741"/>
    </row>
    <row r="149" spans="1:30" x14ac:dyDescent="0.2">
      <c r="Z149" s="781"/>
    </row>
    <row r="151" spans="1:30" x14ac:dyDescent="0.2">
      <c r="N151" s="766"/>
    </row>
    <row r="152" spans="1:30" x14ac:dyDescent="0.2">
      <c r="C152" s="784"/>
      <c r="N152" s="766"/>
    </row>
    <row r="153" spans="1:30" x14ac:dyDescent="0.2">
      <c r="C153" s="785"/>
      <c r="J153" s="786"/>
      <c r="K153" s="786"/>
      <c r="N153" s="766"/>
    </row>
    <row r="154" spans="1:30" x14ac:dyDescent="0.2">
      <c r="C154" s="766"/>
      <c r="N154" s="766"/>
    </row>
    <row r="155" spans="1:30" x14ac:dyDescent="0.2">
      <c r="V155" s="766"/>
    </row>
    <row r="156" spans="1:30" x14ac:dyDescent="0.2">
      <c r="A156" s="759"/>
      <c r="B156" s="759"/>
      <c r="C156" s="759"/>
      <c r="D156" s="759"/>
      <c r="E156" s="759"/>
      <c r="F156" s="759"/>
      <c r="G156" s="759"/>
      <c r="H156" s="759"/>
      <c r="I156" s="759"/>
      <c r="J156" s="759"/>
      <c r="K156" s="759"/>
      <c r="L156" s="759"/>
      <c r="M156" s="759"/>
      <c r="N156" s="759"/>
      <c r="O156" s="759"/>
      <c r="P156" s="759"/>
      <c r="Q156" s="759"/>
      <c r="R156" s="759"/>
      <c r="S156" s="759"/>
      <c r="T156" s="759"/>
      <c r="U156" s="759"/>
      <c r="V156" s="772"/>
      <c r="W156" s="759"/>
      <c r="X156" s="759"/>
      <c r="Y156" s="759"/>
      <c r="Z156" s="759"/>
    </row>
    <row r="157" spans="1:30" x14ac:dyDescent="0.2">
      <c r="V157" s="766"/>
    </row>
    <row r="158" spans="1:30" x14ac:dyDescent="0.2">
      <c r="A158" s="772"/>
      <c r="B158" s="759"/>
      <c r="C158" s="772"/>
      <c r="D158" s="759"/>
      <c r="E158" s="759"/>
      <c r="F158" s="759"/>
      <c r="G158" s="759"/>
      <c r="H158" s="772"/>
      <c r="I158" s="759"/>
      <c r="J158" s="772"/>
      <c r="K158" s="759"/>
      <c r="L158" s="772"/>
      <c r="M158" s="759"/>
      <c r="N158" s="759"/>
      <c r="O158" s="759"/>
      <c r="P158" s="759"/>
      <c r="Q158" s="759"/>
      <c r="R158" s="759"/>
      <c r="S158" s="759"/>
      <c r="T158" s="759"/>
      <c r="U158" s="759"/>
      <c r="V158" s="759"/>
      <c r="W158" s="759"/>
      <c r="X158" s="759"/>
      <c r="Y158" s="759"/>
      <c r="Z158" s="759"/>
    </row>
    <row r="159" spans="1:30" x14ac:dyDescent="0.2">
      <c r="A159" s="766"/>
      <c r="C159" s="766"/>
      <c r="H159" s="766"/>
      <c r="J159" s="766"/>
      <c r="L159" s="766"/>
      <c r="N159" s="766"/>
    </row>
    <row r="162" spans="1:30" x14ac:dyDescent="0.2">
      <c r="A162" s="766"/>
      <c r="C162" s="766"/>
      <c r="J162" s="788"/>
      <c r="N162" s="766"/>
    </row>
    <row r="163" spans="1:30" x14ac:dyDescent="0.2">
      <c r="C163" s="741"/>
      <c r="D163" s="741"/>
      <c r="E163" s="741"/>
      <c r="F163" s="741"/>
      <c r="G163" s="741"/>
      <c r="H163" s="741"/>
      <c r="I163" s="741"/>
      <c r="J163" s="741"/>
      <c r="K163" s="741"/>
      <c r="L163" s="741"/>
      <c r="M163" s="741"/>
      <c r="N163" s="741"/>
      <c r="O163" s="741"/>
      <c r="P163" s="741"/>
      <c r="Q163" s="741"/>
      <c r="R163" s="741"/>
      <c r="S163" s="741"/>
      <c r="T163" s="741"/>
      <c r="U163" s="741"/>
      <c r="V163" s="741"/>
      <c r="W163" s="741"/>
      <c r="X163" s="741"/>
      <c r="Y163" s="741"/>
      <c r="Z163" s="741"/>
      <c r="AA163" s="741"/>
      <c r="AB163" s="741"/>
      <c r="AC163" s="741"/>
      <c r="AD163" s="741"/>
    </row>
    <row r="164" spans="1:30" x14ac:dyDescent="0.2">
      <c r="C164" s="741"/>
      <c r="D164" s="741"/>
      <c r="E164" s="741"/>
      <c r="F164" s="741"/>
      <c r="G164" s="741"/>
      <c r="H164" s="741"/>
      <c r="I164" s="741"/>
      <c r="J164" s="741"/>
      <c r="K164" s="741"/>
      <c r="L164" s="741"/>
      <c r="M164" s="741"/>
      <c r="N164" s="741"/>
      <c r="O164" s="741"/>
      <c r="P164" s="741"/>
      <c r="Q164" s="741"/>
      <c r="R164" s="741"/>
      <c r="S164" s="741"/>
      <c r="T164" s="741"/>
      <c r="U164" s="741"/>
      <c r="V164" s="741"/>
      <c r="W164" s="741"/>
      <c r="X164" s="741"/>
      <c r="Y164" s="741"/>
      <c r="Z164" s="741"/>
      <c r="AA164" s="741"/>
      <c r="AB164" s="741"/>
      <c r="AC164" s="741"/>
      <c r="AD164" s="741"/>
    </row>
    <row r="165" spans="1:30" x14ac:dyDescent="0.2">
      <c r="C165" s="741"/>
      <c r="D165" s="741"/>
      <c r="E165" s="741"/>
      <c r="F165" s="741"/>
      <c r="G165" s="741"/>
      <c r="H165" s="741"/>
      <c r="I165" s="741"/>
      <c r="J165" s="741"/>
      <c r="K165" s="741"/>
      <c r="L165" s="741"/>
      <c r="M165" s="741"/>
      <c r="N165" s="741"/>
      <c r="O165" s="741"/>
      <c r="P165" s="741"/>
      <c r="Q165" s="741"/>
      <c r="R165" s="741"/>
      <c r="S165" s="741"/>
      <c r="T165" s="741"/>
      <c r="U165" s="741"/>
      <c r="V165" s="741"/>
      <c r="W165" s="741"/>
      <c r="X165" s="741"/>
      <c r="Y165" s="741"/>
      <c r="Z165" s="741"/>
      <c r="AA165" s="741"/>
      <c r="AB165" s="741"/>
      <c r="AC165" s="741"/>
      <c r="AD165" s="741"/>
    </row>
    <row r="166" spans="1:30" x14ac:dyDescent="0.2">
      <c r="Z166" s="781"/>
    </row>
    <row r="167" spans="1:30" x14ac:dyDescent="0.2">
      <c r="A167" s="766"/>
      <c r="C167" s="766"/>
      <c r="F167" s="766"/>
      <c r="H167" s="782"/>
      <c r="J167" s="788"/>
      <c r="L167" s="782"/>
      <c r="N167" s="766"/>
    </row>
    <row r="168" spans="1:30" x14ac:dyDescent="0.2">
      <c r="C168" s="741"/>
      <c r="D168" s="741"/>
      <c r="E168" s="741"/>
      <c r="F168" s="741"/>
      <c r="G168" s="741"/>
      <c r="H168" s="741"/>
      <c r="I168" s="741"/>
      <c r="J168" s="741"/>
      <c r="K168" s="741"/>
      <c r="L168" s="741"/>
      <c r="M168" s="741"/>
      <c r="N168" s="741"/>
      <c r="O168" s="741"/>
      <c r="P168" s="741"/>
      <c r="Q168" s="741"/>
      <c r="R168" s="741"/>
      <c r="S168" s="741"/>
      <c r="T168" s="741"/>
      <c r="U168" s="741"/>
      <c r="V168" s="741"/>
      <c r="W168" s="741"/>
      <c r="X168" s="741"/>
      <c r="Y168" s="741"/>
      <c r="Z168" s="741"/>
      <c r="AA168" s="741"/>
      <c r="AB168" s="741"/>
      <c r="AC168" s="741"/>
      <c r="AD168" s="741"/>
    </row>
    <row r="169" spans="1:30" x14ac:dyDescent="0.2">
      <c r="C169" s="741"/>
      <c r="D169" s="741"/>
      <c r="E169" s="741"/>
      <c r="F169" s="741"/>
      <c r="G169" s="741"/>
      <c r="H169" s="741"/>
      <c r="I169" s="741"/>
      <c r="J169" s="741"/>
      <c r="K169" s="741"/>
      <c r="L169" s="741"/>
      <c r="M169" s="741"/>
      <c r="N169" s="741"/>
      <c r="O169" s="741"/>
      <c r="P169" s="741"/>
      <c r="Q169" s="741"/>
      <c r="R169" s="741"/>
      <c r="S169" s="741"/>
      <c r="T169" s="741"/>
      <c r="U169" s="741"/>
      <c r="V169" s="741"/>
      <c r="W169" s="741"/>
      <c r="X169" s="741"/>
      <c r="Y169" s="741"/>
      <c r="Z169" s="741"/>
      <c r="AA169" s="741"/>
      <c r="AB169" s="741"/>
      <c r="AC169" s="741"/>
      <c r="AD169" s="741"/>
    </row>
    <row r="170" spans="1:30" x14ac:dyDescent="0.2">
      <c r="C170" s="741"/>
      <c r="D170" s="741"/>
      <c r="E170" s="741"/>
      <c r="F170" s="741"/>
      <c r="G170" s="741"/>
      <c r="H170" s="741"/>
      <c r="I170" s="741"/>
      <c r="J170" s="741"/>
      <c r="K170" s="741"/>
      <c r="L170" s="741"/>
      <c r="M170" s="741"/>
      <c r="N170" s="741"/>
      <c r="O170" s="741"/>
      <c r="P170" s="741"/>
      <c r="Q170" s="741"/>
      <c r="R170" s="741"/>
      <c r="S170" s="741"/>
      <c r="T170" s="741"/>
      <c r="U170" s="741"/>
      <c r="V170" s="741"/>
      <c r="W170" s="741"/>
      <c r="X170" s="741"/>
      <c r="Y170" s="741"/>
      <c r="Z170" s="741"/>
      <c r="AA170" s="741"/>
      <c r="AB170" s="741"/>
      <c r="AC170" s="741"/>
      <c r="AD170" s="741"/>
    </row>
    <row r="171" spans="1:30" x14ac:dyDescent="0.2">
      <c r="Z171" s="781"/>
    </row>
    <row r="172" spans="1:30" x14ac:dyDescent="0.2">
      <c r="A172" s="766"/>
      <c r="C172" s="766"/>
      <c r="H172" s="782"/>
      <c r="J172" s="787"/>
      <c r="L172" s="782"/>
      <c r="N172" s="766"/>
    </row>
    <row r="173" spans="1:30" x14ac:dyDescent="0.2">
      <c r="C173" s="741"/>
      <c r="D173" s="741"/>
      <c r="E173" s="741"/>
      <c r="F173" s="741"/>
      <c r="G173" s="741"/>
      <c r="H173" s="741"/>
      <c r="I173" s="741"/>
      <c r="J173" s="741"/>
      <c r="K173" s="741"/>
      <c r="L173" s="741"/>
      <c r="M173" s="741"/>
      <c r="N173" s="741"/>
      <c r="O173" s="741"/>
      <c r="P173" s="741"/>
      <c r="Q173" s="741"/>
      <c r="R173" s="741"/>
      <c r="S173" s="741"/>
      <c r="T173" s="741"/>
      <c r="U173" s="741"/>
      <c r="V173" s="741"/>
      <c r="W173" s="741"/>
      <c r="X173" s="741"/>
      <c r="Y173" s="741"/>
      <c r="Z173" s="741"/>
      <c r="AA173" s="741"/>
    </row>
    <row r="174" spans="1:30" x14ac:dyDescent="0.2">
      <c r="C174" s="741"/>
      <c r="D174" s="741"/>
      <c r="E174" s="741"/>
      <c r="F174" s="741"/>
      <c r="G174" s="741"/>
      <c r="H174" s="741"/>
      <c r="I174" s="741"/>
      <c r="J174" s="741"/>
      <c r="K174" s="741"/>
      <c r="L174" s="741"/>
      <c r="M174" s="741"/>
      <c r="N174" s="741"/>
      <c r="O174" s="741"/>
      <c r="P174" s="741"/>
      <c r="Q174" s="741"/>
      <c r="R174" s="741"/>
      <c r="S174" s="741"/>
      <c r="T174" s="741"/>
      <c r="U174" s="741"/>
      <c r="V174" s="741"/>
      <c r="W174" s="741"/>
      <c r="X174" s="741"/>
      <c r="Y174" s="741"/>
      <c r="Z174" s="741"/>
      <c r="AA174" s="741"/>
    </row>
    <row r="175" spans="1:30" x14ac:dyDescent="0.2">
      <c r="C175" s="741"/>
      <c r="D175" s="741"/>
      <c r="E175" s="741"/>
      <c r="F175" s="741"/>
      <c r="G175" s="741"/>
      <c r="H175" s="741"/>
      <c r="I175" s="741"/>
      <c r="J175" s="741"/>
      <c r="K175" s="741"/>
      <c r="L175" s="741"/>
      <c r="M175" s="741"/>
      <c r="N175" s="741"/>
      <c r="O175" s="741"/>
      <c r="P175" s="741"/>
      <c r="Q175" s="741"/>
      <c r="R175" s="741"/>
      <c r="S175" s="741"/>
      <c r="T175" s="741"/>
      <c r="U175" s="741"/>
      <c r="V175" s="741"/>
      <c r="W175" s="741"/>
      <c r="X175" s="741"/>
      <c r="Y175" s="741"/>
      <c r="Z175" s="741"/>
      <c r="AA175" s="741"/>
    </row>
    <row r="176" spans="1:30" x14ac:dyDescent="0.2">
      <c r="Z176" s="781"/>
    </row>
    <row r="177" spans="1:49" x14ac:dyDescent="0.2">
      <c r="A177" s="766"/>
      <c r="C177" s="766"/>
      <c r="H177" s="782"/>
      <c r="J177" s="787"/>
      <c r="L177" s="782"/>
      <c r="N177" s="766"/>
    </row>
    <row r="178" spans="1:49" x14ac:dyDescent="0.2">
      <c r="C178" s="741"/>
      <c r="D178" s="741"/>
      <c r="E178" s="741"/>
      <c r="F178" s="741"/>
      <c r="G178" s="741"/>
      <c r="H178" s="741"/>
      <c r="I178" s="741"/>
      <c r="J178" s="741"/>
      <c r="K178" s="741"/>
      <c r="L178" s="741"/>
      <c r="M178" s="741"/>
      <c r="N178" s="741"/>
      <c r="O178" s="741"/>
      <c r="P178" s="741"/>
      <c r="Q178" s="741"/>
      <c r="R178" s="741"/>
      <c r="S178" s="741"/>
      <c r="T178" s="741"/>
      <c r="U178" s="741"/>
      <c r="V178" s="741"/>
      <c r="W178" s="741"/>
      <c r="X178" s="741"/>
      <c r="Y178" s="741"/>
      <c r="Z178" s="741"/>
      <c r="AA178" s="741"/>
      <c r="AB178" s="741"/>
      <c r="AC178" s="741"/>
      <c r="AD178" s="741"/>
      <c r="AE178" s="741"/>
      <c r="AF178" s="741"/>
      <c r="AG178" s="741"/>
      <c r="AH178" s="741"/>
      <c r="AI178" s="741"/>
      <c r="AJ178" s="741"/>
      <c r="AK178" s="741"/>
      <c r="AL178" s="741"/>
      <c r="AM178" s="741"/>
      <c r="AN178" s="741"/>
      <c r="AO178" s="741"/>
      <c r="AP178" s="741"/>
      <c r="AQ178" s="741"/>
    </row>
    <row r="179" spans="1:49" x14ac:dyDescent="0.2">
      <c r="C179" s="741"/>
      <c r="D179" s="741"/>
      <c r="E179" s="741"/>
      <c r="F179" s="741"/>
      <c r="G179" s="741"/>
      <c r="H179" s="741"/>
      <c r="I179" s="741"/>
      <c r="J179" s="741"/>
      <c r="K179" s="741"/>
      <c r="L179" s="741"/>
      <c r="M179" s="741"/>
      <c r="N179" s="741"/>
      <c r="O179" s="741"/>
      <c r="P179" s="741"/>
      <c r="Q179" s="741"/>
      <c r="R179" s="741"/>
      <c r="S179" s="741"/>
      <c r="T179" s="741"/>
      <c r="U179" s="741"/>
      <c r="V179" s="741"/>
      <c r="W179" s="741"/>
      <c r="X179" s="741"/>
      <c r="Y179" s="741"/>
      <c r="Z179" s="741"/>
      <c r="AA179" s="741"/>
      <c r="AB179" s="741"/>
      <c r="AC179" s="741"/>
      <c r="AD179" s="741"/>
      <c r="AE179" s="741"/>
      <c r="AF179" s="741"/>
      <c r="AG179" s="741"/>
      <c r="AH179" s="741"/>
      <c r="AI179" s="741"/>
      <c r="AJ179" s="741"/>
      <c r="AK179" s="741"/>
      <c r="AL179" s="741"/>
      <c r="AM179" s="741"/>
      <c r="AN179" s="741"/>
      <c r="AO179" s="741"/>
      <c r="AP179" s="741"/>
      <c r="AQ179" s="741"/>
    </row>
    <row r="180" spans="1:49" x14ac:dyDescent="0.2">
      <c r="C180" s="741"/>
      <c r="D180" s="741"/>
      <c r="E180" s="741"/>
      <c r="F180" s="741"/>
      <c r="G180" s="741"/>
      <c r="H180" s="741"/>
      <c r="I180" s="741"/>
      <c r="J180" s="741"/>
      <c r="K180" s="741"/>
      <c r="L180" s="741"/>
      <c r="M180" s="741"/>
      <c r="N180" s="741"/>
      <c r="O180" s="741"/>
      <c r="P180" s="741"/>
      <c r="Q180" s="741"/>
      <c r="R180" s="741"/>
      <c r="S180" s="741"/>
      <c r="T180" s="741"/>
      <c r="U180" s="741"/>
      <c r="V180" s="741"/>
      <c r="W180" s="741"/>
      <c r="X180" s="741"/>
      <c r="Y180" s="741"/>
      <c r="Z180" s="741"/>
      <c r="AA180" s="741"/>
      <c r="AB180" s="741"/>
      <c r="AC180" s="741"/>
      <c r="AD180" s="741"/>
      <c r="AE180" s="741"/>
      <c r="AF180" s="741"/>
      <c r="AG180" s="741"/>
      <c r="AH180" s="741"/>
      <c r="AI180" s="741"/>
      <c r="AJ180" s="741"/>
      <c r="AK180" s="741"/>
      <c r="AL180" s="741"/>
      <c r="AM180" s="741"/>
      <c r="AN180" s="741"/>
      <c r="AO180" s="741"/>
      <c r="AP180" s="741"/>
      <c r="AQ180" s="741"/>
    </row>
    <row r="181" spans="1:49" x14ac:dyDescent="0.2">
      <c r="Z181" s="781"/>
    </row>
    <row r="182" spans="1:49" x14ac:dyDescent="0.2">
      <c r="A182" s="766"/>
      <c r="C182" s="766"/>
      <c r="H182" s="782"/>
      <c r="J182" s="787"/>
      <c r="L182" s="782"/>
      <c r="N182" s="766"/>
    </row>
    <row r="183" spans="1:49" x14ac:dyDescent="0.2">
      <c r="C183" s="741"/>
      <c r="D183" s="741"/>
      <c r="E183" s="741"/>
      <c r="F183" s="741"/>
      <c r="G183" s="741"/>
      <c r="H183" s="741"/>
      <c r="I183" s="741"/>
      <c r="J183" s="741"/>
      <c r="K183" s="741"/>
      <c r="L183" s="741"/>
      <c r="M183" s="741"/>
      <c r="N183" s="741"/>
      <c r="O183" s="741"/>
      <c r="P183" s="741"/>
      <c r="Q183" s="741"/>
      <c r="R183" s="741"/>
      <c r="S183" s="741"/>
      <c r="T183" s="741"/>
      <c r="U183" s="741"/>
      <c r="V183" s="741"/>
      <c r="W183" s="741"/>
      <c r="X183" s="741"/>
      <c r="Y183" s="741"/>
      <c r="Z183" s="741"/>
      <c r="AA183" s="741"/>
      <c r="AB183" s="741"/>
      <c r="AC183" s="741"/>
      <c r="AD183" s="741"/>
      <c r="AE183" s="741"/>
      <c r="AF183" s="741"/>
      <c r="AG183" s="741"/>
      <c r="AH183" s="741"/>
      <c r="AI183" s="741"/>
      <c r="AJ183" s="741"/>
      <c r="AK183" s="741"/>
      <c r="AL183" s="741"/>
      <c r="AM183" s="741"/>
      <c r="AN183" s="741"/>
      <c r="AO183" s="741"/>
      <c r="AP183" s="741"/>
      <c r="AQ183" s="741"/>
      <c r="AR183" s="741"/>
      <c r="AS183" s="741"/>
      <c r="AT183" s="741"/>
      <c r="AU183" s="741"/>
      <c r="AV183" s="741"/>
      <c r="AW183" s="741"/>
    </row>
    <row r="184" spans="1:49" x14ac:dyDescent="0.2">
      <c r="C184" s="741"/>
      <c r="D184" s="741"/>
      <c r="E184" s="741"/>
      <c r="F184" s="741"/>
      <c r="G184" s="741"/>
      <c r="H184" s="741"/>
      <c r="I184" s="741"/>
      <c r="J184" s="741"/>
      <c r="K184" s="741"/>
      <c r="L184" s="741"/>
      <c r="M184" s="741"/>
      <c r="N184" s="741"/>
      <c r="O184" s="741"/>
      <c r="P184" s="741"/>
      <c r="Q184" s="741"/>
      <c r="R184" s="741"/>
      <c r="S184" s="741"/>
      <c r="T184" s="741"/>
      <c r="U184" s="741"/>
      <c r="V184" s="741"/>
      <c r="W184" s="741"/>
      <c r="X184" s="741"/>
      <c r="Y184" s="741"/>
      <c r="Z184" s="741"/>
      <c r="AA184" s="741"/>
      <c r="AB184" s="741"/>
      <c r="AC184" s="741"/>
      <c r="AD184" s="741"/>
      <c r="AE184" s="741"/>
      <c r="AF184" s="741"/>
      <c r="AG184" s="741"/>
      <c r="AH184" s="741"/>
      <c r="AI184" s="741"/>
      <c r="AJ184" s="741"/>
      <c r="AK184" s="741"/>
      <c r="AL184" s="741"/>
      <c r="AM184" s="741"/>
      <c r="AN184" s="741"/>
      <c r="AO184" s="741"/>
      <c r="AP184" s="741"/>
      <c r="AQ184" s="741"/>
      <c r="AR184" s="741"/>
      <c r="AS184" s="741"/>
      <c r="AT184" s="741"/>
      <c r="AU184" s="741"/>
      <c r="AV184" s="741"/>
      <c r="AW184" s="741"/>
    </row>
    <row r="185" spans="1:49" x14ac:dyDescent="0.2">
      <c r="C185" s="741"/>
      <c r="D185" s="741"/>
      <c r="E185" s="741"/>
      <c r="F185" s="741"/>
      <c r="G185" s="741"/>
      <c r="H185" s="741"/>
      <c r="I185" s="741"/>
      <c r="J185" s="741"/>
      <c r="K185" s="741"/>
      <c r="L185" s="741"/>
      <c r="M185" s="741"/>
      <c r="N185" s="741"/>
      <c r="O185" s="741"/>
      <c r="P185" s="741"/>
      <c r="Q185" s="741"/>
      <c r="R185" s="741"/>
      <c r="S185" s="741"/>
      <c r="T185" s="741"/>
      <c r="U185" s="741"/>
      <c r="V185" s="741"/>
      <c r="W185" s="741"/>
      <c r="X185" s="741"/>
      <c r="Y185" s="741"/>
      <c r="Z185" s="741"/>
      <c r="AA185" s="741"/>
      <c r="AB185" s="741"/>
      <c r="AC185" s="741"/>
      <c r="AD185" s="741"/>
      <c r="AE185" s="741"/>
      <c r="AF185" s="741"/>
      <c r="AG185" s="741"/>
      <c r="AH185" s="741"/>
      <c r="AI185" s="741"/>
      <c r="AJ185" s="741"/>
      <c r="AK185" s="741"/>
      <c r="AL185" s="741"/>
      <c r="AM185" s="741"/>
      <c r="AN185" s="741"/>
      <c r="AO185" s="741"/>
      <c r="AP185" s="741"/>
      <c r="AQ185" s="741"/>
      <c r="AR185" s="741"/>
      <c r="AS185" s="741"/>
      <c r="AT185" s="741"/>
      <c r="AU185" s="741"/>
      <c r="AV185" s="741"/>
      <c r="AW185" s="741"/>
    </row>
    <row r="186" spans="1:49" x14ac:dyDescent="0.2">
      <c r="Z186" s="781"/>
    </row>
    <row r="187" spans="1:49" x14ac:dyDescent="0.2">
      <c r="A187" s="766"/>
      <c r="C187" s="766"/>
      <c r="H187" s="782"/>
      <c r="I187" s="766"/>
      <c r="J187" s="787"/>
      <c r="L187" s="782"/>
      <c r="N187" s="766"/>
    </row>
    <row r="188" spans="1:49" x14ac:dyDescent="0.2">
      <c r="C188" s="741"/>
      <c r="D188" s="741"/>
      <c r="E188" s="741"/>
      <c r="F188" s="741"/>
      <c r="G188" s="741"/>
      <c r="H188" s="741"/>
      <c r="I188" s="741"/>
      <c r="J188" s="741"/>
      <c r="K188" s="741"/>
      <c r="L188" s="741"/>
      <c r="M188" s="741"/>
      <c r="N188" s="741"/>
      <c r="O188" s="741"/>
      <c r="P188" s="741"/>
      <c r="Q188" s="741"/>
      <c r="R188" s="741"/>
      <c r="S188" s="741"/>
      <c r="T188" s="741"/>
      <c r="U188" s="741"/>
      <c r="V188" s="741"/>
      <c r="W188" s="741"/>
      <c r="X188" s="741"/>
      <c r="Y188" s="741"/>
      <c r="Z188" s="741"/>
      <c r="AA188" s="741"/>
      <c r="AB188" s="741"/>
      <c r="AC188" s="741"/>
      <c r="AD188" s="741"/>
    </row>
    <row r="189" spans="1:49" x14ac:dyDescent="0.2">
      <c r="C189" s="741"/>
      <c r="D189" s="741"/>
      <c r="E189" s="741"/>
      <c r="F189" s="741"/>
      <c r="G189" s="741"/>
      <c r="H189" s="741"/>
      <c r="I189" s="741"/>
      <c r="J189" s="741"/>
      <c r="K189" s="741"/>
      <c r="L189" s="741"/>
      <c r="M189" s="741"/>
      <c r="N189" s="741"/>
      <c r="O189" s="741"/>
      <c r="P189" s="741"/>
      <c r="Q189" s="741"/>
      <c r="R189" s="741"/>
      <c r="S189" s="741"/>
      <c r="T189" s="741"/>
      <c r="U189" s="741"/>
      <c r="V189" s="741"/>
      <c r="W189" s="741"/>
      <c r="X189" s="741"/>
      <c r="Y189" s="741"/>
      <c r="Z189" s="741"/>
      <c r="AA189" s="741"/>
      <c r="AB189" s="741"/>
      <c r="AC189" s="741"/>
      <c r="AD189" s="741"/>
    </row>
    <row r="190" spans="1:49" x14ac:dyDescent="0.2">
      <c r="C190" s="741"/>
      <c r="D190" s="741"/>
      <c r="E190" s="741"/>
      <c r="F190" s="741"/>
      <c r="G190" s="741"/>
      <c r="H190" s="741"/>
      <c r="I190" s="741"/>
      <c r="J190" s="741"/>
      <c r="K190" s="741"/>
      <c r="L190" s="741"/>
      <c r="M190" s="741"/>
      <c r="N190" s="741"/>
      <c r="O190" s="741"/>
      <c r="P190" s="741"/>
      <c r="Q190" s="741"/>
      <c r="R190" s="741"/>
      <c r="S190" s="741"/>
      <c r="T190" s="741"/>
      <c r="U190" s="741"/>
      <c r="V190" s="741"/>
      <c r="W190" s="741"/>
      <c r="X190" s="741"/>
      <c r="Y190" s="741"/>
      <c r="Z190" s="741"/>
      <c r="AA190" s="741"/>
      <c r="AB190" s="741"/>
      <c r="AC190" s="741"/>
      <c r="AD190" s="741"/>
    </row>
    <row r="191" spans="1:49" x14ac:dyDescent="0.2">
      <c r="Z191" s="781"/>
    </row>
    <row r="192" spans="1:49" x14ac:dyDescent="0.2">
      <c r="A192" s="766"/>
      <c r="C192" s="766"/>
      <c r="H192" s="782"/>
      <c r="J192" s="787"/>
      <c r="L192" s="782"/>
      <c r="N192" s="766"/>
    </row>
    <row r="193" spans="1:30" x14ac:dyDescent="0.2">
      <c r="C193" s="741"/>
      <c r="D193" s="741"/>
      <c r="E193" s="741"/>
      <c r="F193" s="741"/>
      <c r="G193" s="741"/>
      <c r="H193" s="741"/>
      <c r="I193" s="741"/>
      <c r="J193" s="741"/>
      <c r="K193" s="741"/>
      <c r="L193" s="741"/>
      <c r="M193" s="741"/>
      <c r="N193" s="741"/>
      <c r="O193" s="741"/>
      <c r="P193" s="741"/>
      <c r="Q193" s="741"/>
      <c r="R193" s="741"/>
      <c r="S193" s="741"/>
      <c r="T193" s="741"/>
      <c r="U193" s="741"/>
      <c r="V193" s="741"/>
      <c r="W193" s="741"/>
      <c r="X193" s="741"/>
      <c r="Y193" s="741"/>
      <c r="Z193" s="741"/>
      <c r="AA193" s="741"/>
      <c r="AB193" s="741"/>
      <c r="AC193" s="741"/>
      <c r="AD193" s="741"/>
    </row>
    <row r="194" spans="1:30" x14ac:dyDescent="0.2">
      <c r="C194" s="741"/>
      <c r="D194" s="741"/>
      <c r="E194" s="741"/>
      <c r="F194" s="741"/>
      <c r="G194" s="741"/>
      <c r="H194" s="741"/>
      <c r="I194" s="741"/>
      <c r="J194" s="741"/>
      <c r="K194" s="741"/>
      <c r="L194" s="741"/>
      <c r="M194" s="741"/>
      <c r="N194" s="741"/>
      <c r="O194" s="741"/>
      <c r="P194" s="741"/>
      <c r="Q194" s="741"/>
      <c r="R194" s="741"/>
      <c r="S194" s="741"/>
      <c r="T194" s="741"/>
      <c r="U194" s="741"/>
      <c r="V194" s="741"/>
      <c r="W194" s="741"/>
      <c r="X194" s="741"/>
      <c r="Y194" s="741"/>
      <c r="Z194" s="741"/>
      <c r="AA194" s="741"/>
      <c r="AB194" s="741"/>
      <c r="AC194" s="741"/>
      <c r="AD194" s="741"/>
    </row>
    <row r="195" spans="1:30" x14ac:dyDescent="0.2">
      <c r="C195" s="741"/>
      <c r="D195" s="741"/>
      <c r="E195" s="741"/>
      <c r="F195" s="741"/>
      <c r="G195" s="741"/>
      <c r="H195" s="741"/>
      <c r="I195" s="741"/>
      <c r="J195" s="741"/>
      <c r="K195" s="741"/>
      <c r="L195" s="741"/>
      <c r="M195" s="741"/>
      <c r="N195" s="741"/>
      <c r="O195" s="741"/>
      <c r="P195" s="741"/>
      <c r="Q195" s="741"/>
      <c r="R195" s="741"/>
      <c r="S195" s="741"/>
      <c r="T195" s="741"/>
      <c r="U195" s="741"/>
      <c r="V195" s="741"/>
      <c r="W195" s="741"/>
      <c r="X195" s="741"/>
      <c r="Y195" s="741"/>
      <c r="Z195" s="741"/>
      <c r="AA195" s="741"/>
      <c r="AB195" s="741"/>
      <c r="AC195" s="741"/>
      <c r="AD195" s="741"/>
    </row>
    <row r="196" spans="1:30" x14ac:dyDescent="0.2">
      <c r="Z196" s="781"/>
    </row>
    <row r="197" spans="1:30" x14ac:dyDescent="0.2">
      <c r="A197" s="766"/>
      <c r="C197" s="766"/>
      <c r="H197" s="782"/>
      <c r="J197" s="787"/>
      <c r="L197" s="782"/>
      <c r="N197" s="766"/>
    </row>
    <row r="198" spans="1:30" x14ac:dyDescent="0.2">
      <c r="C198" s="741"/>
      <c r="D198" s="741"/>
      <c r="E198" s="741"/>
      <c r="F198" s="741"/>
      <c r="G198" s="741"/>
      <c r="H198" s="741"/>
      <c r="I198" s="741"/>
      <c r="J198" s="741"/>
      <c r="K198" s="741"/>
      <c r="L198" s="741"/>
      <c r="M198" s="741"/>
      <c r="N198" s="741"/>
      <c r="O198" s="741"/>
      <c r="P198" s="741"/>
      <c r="Q198" s="741"/>
      <c r="R198" s="741"/>
      <c r="S198" s="741"/>
      <c r="T198" s="741"/>
      <c r="U198" s="741"/>
      <c r="V198" s="741"/>
      <c r="W198" s="741"/>
      <c r="X198" s="741"/>
      <c r="Y198" s="741"/>
      <c r="Z198" s="741"/>
      <c r="AA198" s="741"/>
      <c r="AB198" s="741"/>
      <c r="AC198" s="741"/>
      <c r="AD198" s="741"/>
    </row>
    <row r="199" spans="1:30" x14ac:dyDescent="0.2">
      <c r="C199" s="741"/>
      <c r="D199" s="741"/>
      <c r="E199" s="741"/>
      <c r="F199" s="741"/>
      <c r="G199" s="741"/>
      <c r="H199" s="741"/>
      <c r="I199" s="741"/>
      <c r="J199" s="741"/>
      <c r="K199" s="741"/>
      <c r="L199" s="741"/>
      <c r="M199" s="741"/>
      <c r="N199" s="741"/>
      <c r="O199" s="741"/>
      <c r="P199" s="741"/>
      <c r="Q199" s="741"/>
      <c r="R199" s="741"/>
      <c r="S199" s="741"/>
      <c r="T199" s="741"/>
      <c r="U199" s="741"/>
      <c r="V199" s="741"/>
      <c r="W199" s="741"/>
      <c r="X199" s="741"/>
      <c r="Y199" s="741"/>
      <c r="Z199" s="741"/>
      <c r="AA199" s="741"/>
      <c r="AB199" s="741"/>
      <c r="AC199" s="741"/>
      <c r="AD199" s="741"/>
    </row>
    <row r="200" spans="1:30" x14ac:dyDescent="0.2">
      <c r="C200" s="741"/>
      <c r="D200" s="741"/>
      <c r="E200" s="741"/>
      <c r="F200" s="741"/>
      <c r="G200" s="741"/>
      <c r="H200" s="741"/>
      <c r="I200" s="741"/>
      <c r="J200" s="741"/>
      <c r="K200" s="741"/>
      <c r="L200" s="741"/>
      <c r="M200" s="741"/>
      <c r="N200" s="741"/>
      <c r="O200" s="741"/>
      <c r="P200" s="741"/>
      <c r="Q200" s="741"/>
      <c r="R200" s="741"/>
      <c r="S200" s="741"/>
      <c r="T200" s="741"/>
      <c r="U200" s="741"/>
      <c r="V200" s="741"/>
      <c r="W200" s="741"/>
      <c r="X200" s="741"/>
      <c r="Y200" s="741"/>
      <c r="Z200" s="741"/>
      <c r="AA200" s="741"/>
      <c r="AB200" s="741"/>
      <c r="AC200" s="741"/>
      <c r="AD200" s="741"/>
    </row>
    <row r="201" spans="1:30" x14ac:dyDescent="0.2">
      <c r="Z201" s="781"/>
    </row>
    <row r="203" spans="1:30" x14ac:dyDescent="0.2">
      <c r="N203" s="766"/>
    </row>
    <row r="204" spans="1:30" x14ac:dyDescent="0.2">
      <c r="C204" s="784"/>
      <c r="N204" s="766"/>
    </row>
    <row r="205" spans="1:30" x14ac:dyDescent="0.2">
      <c r="C205" s="785"/>
      <c r="J205" s="786"/>
      <c r="K205" s="786"/>
      <c r="N205" s="766"/>
    </row>
    <row r="206" spans="1:30" x14ac:dyDescent="0.2">
      <c r="C206" s="766"/>
      <c r="N206" s="766"/>
    </row>
    <row r="207" spans="1:30" x14ac:dyDescent="0.2">
      <c r="V207" s="766"/>
    </row>
    <row r="208" spans="1:30" x14ac:dyDescent="0.2">
      <c r="A208" s="759"/>
      <c r="B208" s="759"/>
      <c r="C208" s="759"/>
      <c r="D208" s="759"/>
      <c r="E208" s="759"/>
      <c r="F208" s="759"/>
      <c r="G208" s="759"/>
      <c r="H208" s="759"/>
      <c r="I208" s="759"/>
      <c r="J208" s="759"/>
      <c r="K208" s="759"/>
      <c r="L208" s="759"/>
      <c r="M208" s="759"/>
      <c r="N208" s="759"/>
      <c r="O208" s="759"/>
      <c r="P208" s="759"/>
      <c r="Q208" s="759"/>
      <c r="R208" s="759"/>
      <c r="S208" s="759"/>
      <c r="T208" s="759"/>
      <c r="U208" s="759"/>
      <c r="V208" s="772"/>
      <c r="W208" s="759"/>
      <c r="X208" s="759"/>
      <c r="Y208" s="759"/>
      <c r="Z208" s="759"/>
    </row>
    <row r="209" spans="1:49" x14ac:dyDescent="0.2">
      <c r="V209" s="766"/>
    </row>
    <row r="210" spans="1:49" x14ac:dyDescent="0.2">
      <c r="A210" s="772"/>
      <c r="B210" s="759"/>
      <c r="C210" s="772"/>
      <c r="D210" s="759"/>
      <c r="E210" s="759"/>
      <c r="F210" s="759"/>
      <c r="G210" s="759"/>
      <c r="H210" s="772"/>
      <c r="I210" s="759"/>
      <c r="J210" s="772"/>
      <c r="K210" s="759"/>
      <c r="L210" s="772"/>
      <c r="M210" s="759"/>
      <c r="N210" s="759"/>
      <c r="O210" s="759"/>
      <c r="P210" s="759"/>
      <c r="Q210" s="759"/>
      <c r="R210" s="759"/>
      <c r="S210" s="759"/>
      <c r="T210" s="759"/>
      <c r="U210" s="759"/>
      <c r="V210" s="759"/>
      <c r="W210" s="759"/>
      <c r="X210" s="759"/>
      <c r="Y210" s="759"/>
      <c r="Z210" s="759"/>
    </row>
    <row r="211" spans="1:49" x14ac:dyDescent="0.2">
      <c r="A211" s="766"/>
      <c r="C211" s="766"/>
      <c r="H211" s="766"/>
      <c r="J211" s="766"/>
      <c r="L211" s="766"/>
      <c r="N211" s="766"/>
    </row>
    <row r="214" spans="1:49" x14ac:dyDescent="0.2">
      <c r="A214" s="766"/>
    </row>
    <row r="215" spans="1:49" x14ac:dyDescent="0.2">
      <c r="C215" s="741"/>
      <c r="D215" s="741"/>
      <c r="E215" s="741"/>
      <c r="F215" s="741"/>
      <c r="G215" s="741"/>
      <c r="H215" s="741"/>
      <c r="I215" s="741"/>
      <c r="J215" s="741"/>
      <c r="K215" s="741"/>
      <c r="L215" s="741"/>
      <c r="M215" s="741"/>
      <c r="N215" s="741"/>
      <c r="O215" s="741"/>
      <c r="P215" s="741"/>
      <c r="Q215" s="741"/>
      <c r="R215" s="741"/>
      <c r="S215" s="741"/>
      <c r="T215" s="741"/>
      <c r="U215" s="741"/>
      <c r="V215" s="741"/>
      <c r="W215" s="741"/>
      <c r="X215" s="741"/>
      <c r="Y215" s="741"/>
      <c r="Z215" s="741"/>
      <c r="AA215" s="741"/>
      <c r="AB215" s="741"/>
      <c r="AC215" s="741"/>
      <c r="AD215" s="741"/>
      <c r="AE215" s="741"/>
      <c r="AF215" s="741"/>
      <c r="AG215" s="741"/>
      <c r="AH215" s="741"/>
      <c r="AI215" s="741"/>
      <c r="AJ215" s="741"/>
      <c r="AK215" s="741"/>
      <c r="AL215" s="741"/>
      <c r="AM215" s="741"/>
      <c r="AN215" s="741"/>
      <c r="AO215" s="741"/>
      <c r="AP215" s="741"/>
      <c r="AQ215" s="741"/>
      <c r="AR215" s="741"/>
      <c r="AS215" s="741"/>
      <c r="AT215" s="741"/>
      <c r="AU215" s="741"/>
      <c r="AV215" s="741"/>
      <c r="AW215" s="741"/>
    </row>
    <row r="216" spans="1:49" x14ac:dyDescent="0.2">
      <c r="C216" s="741"/>
      <c r="D216" s="741"/>
      <c r="E216" s="741"/>
      <c r="F216" s="741"/>
      <c r="G216" s="741"/>
      <c r="H216" s="741"/>
      <c r="I216" s="741"/>
      <c r="J216" s="741"/>
      <c r="K216" s="741"/>
      <c r="L216" s="741"/>
      <c r="M216" s="741"/>
      <c r="N216" s="741"/>
      <c r="O216" s="741"/>
      <c r="P216" s="741"/>
      <c r="Q216" s="741"/>
      <c r="R216" s="741"/>
      <c r="S216" s="741"/>
      <c r="T216" s="741"/>
      <c r="U216" s="741"/>
      <c r="V216" s="741"/>
      <c r="W216" s="741"/>
      <c r="X216" s="741"/>
      <c r="Y216" s="741"/>
      <c r="Z216" s="741"/>
      <c r="AA216" s="741"/>
      <c r="AB216" s="741"/>
      <c r="AC216" s="741"/>
      <c r="AD216" s="741"/>
      <c r="AE216" s="741"/>
      <c r="AF216" s="741"/>
      <c r="AG216" s="741"/>
      <c r="AH216" s="741"/>
      <c r="AI216" s="741"/>
      <c r="AJ216" s="741"/>
      <c r="AK216" s="741"/>
      <c r="AL216" s="741"/>
      <c r="AM216" s="741"/>
      <c r="AN216" s="741"/>
      <c r="AO216" s="741"/>
      <c r="AP216" s="741"/>
      <c r="AQ216" s="741"/>
      <c r="AR216" s="741"/>
      <c r="AS216" s="741"/>
      <c r="AT216" s="741"/>
      <c r="AU216" s="741"/>
      <c r="AV216" s="741"/>
      <c r="AW216" s="741"/>
    </row>
    <row r="217" spans="1:49" x14ac:dyDescent="0.2">
      <c r="C217" s="741"/>
      <c r="D217" s="741"/>
      <c r="E217" s="741"/>
      <c r="F217" s="741"/>
      <c r="G217" s="741"/>
      <c r="H217" s="741"/>
      <c r="I217" s="741"/>
      <c r="J217" s="741"/>
      <c r="K217" s="741"/>
      <c r="L217" s="741"/>
      <c r="M217" s="741"/>
      <c r="N217" s="741"/>
      <c r="O217" s="741"/>
      <c r="P217" s="741"/>
      <c r="Q217" s="741"/>
      <c r="R217" s="741"/>
      <c r="S217" s="741"/>
      <c r="T217" s="741"/>
      <c r="U217" s="741"/>
      <c r="V217" s="741"/>
      <c r="W217" s="741"/>
      <c r="X217" s="741"/>
      <c r="Y217" s="741"/>
      <c r="Z217" s="741"/>
      <c r="AA217" s="741"/>
      <c r="AB217" s="741"/>
      <c r="AC217" s="741"/>
      <c r="AD217" s="741"/>
      <c r="AE217" s="741"/>
      <c r="AF217" s="741"/>
      <c r="AG217" s="741"/>
      <c r="AH217" s="741"/>
      <c r="AI217" s="741"/>
      <c r="AJ217" s="741"/>
      <c r="AK217" s="741"/>
      <c r="AL217" s="741"/>
      <c r="AM217" s="741"/>
      <c r="AN217" s="741"/>
      <c r="AO217" s="741"/>
      <c r="AP217" s="741"/>
      <c r="AQ217" s="741"/>
      <c r="AR217" s="741"/>
      <c r="AS217" s="741"/>
      <c r="AT217" s="741"/>
      <c r="AU217" s="741"/>
      <c r="AV217" s="741"/>
      <c r="AW217" s="741"/>
    </row>
    <row r="218" spans="1:49" x14ac:dyDescent="0.2">
      <c r="Z218" s="781"/>
    </row>
    <row r="219" spans="1:49" x14ac:dyDescent="0.2">
      <c r="A219" s="766"/>
      <c r="C219" s="766"/>
      <c r="H219" s="782"/>
      <c r="J219" s="787"/>
      <c r="L219" s="782"/>
      <c r="N219" s="766"/>
    </row>
    <row r="220" spans="1:49" x14ac:dyDescent="0.2">
      <c r="C220" s="741"/>
      <c r="D220" s="741"/>
      <c r="E220" s="741"/>
      <c r="F220" s="741"/>
      <c r="G220" s="741"/>
      <c r="H220" s="741"/>
      <c r="I220" s="741"/>
      <c r="J220" s="741"/>
      <c r="K220" s="741"/>
      <c r="L220" s="741"/>
      <c r="M220" s="741"/>
      <c r="N220" s="741"/>
      <c r="O220" s="741"/>
      <c r="P220" s="741"/>
      <c r="Q220" s="741"/>
      <c r="R220" s="741"/>
      <c r="S220" s="741"/>
      <c r="T220" s="741"/>
      <c r="U220" s="741"/>
      <c r="V220" s="741"/>
      <c r="W220" s="741"/>
      <c r="X220" s="741"/>
      <c r="Y220" s="741"/>
      <c r="Z220" s="741"/>
      <c r="AA220" s="741"/>
      <c r="AB220" s="741"/>
      <c r="AC220" s="741"/>
      <c r="AD220" s="741"/>
      <c r="AE220" s="741"/>
    </row>
    <row r="221" spans="1:49" x14ac:dyDescent="0.2">
      <c r="C221" s="741"/>
      <c r="D221" s="741"/>
      <c r="E221" s="741"/>
      <c r="F221" s="741"/>
      <c r="G221" s="741"/>
      <c r="H221" s="741"/>
      <c r="I221" s="741"/>
      <c r="J221" s="741"/>
      <c r="K221" s="741"/>
      <c r="L221" s="741"/>
      <c r="M221" s="741"/>
      <c r="N221" s="741"/>
      <c r="O221" s="741"/>
      <c r="P221" s="741"/>
      <c r="Q221" s="741"/>
      <c r="R221" s="741"/>
      <c r="S221" s="741"/>
      <c r="T221" s="741"/>
      <c r="U221" s="741"/>
      <c r="V221" s="741"/>
      <c r="W221" s="741"/>
      <c r="X221" s="741"/>
      <c r="Y221" s="741"/>
      <c r="Z221" s="741"/>
      <c r="AA221" s="741"/>
      <c r="AB221" s="741"/>
      <c r="AC221" s="741"/>
      <c r="AD221" s="741"/>
      <c r="AE221" s="741"/>
    </row>
    <row r="222" spans="1:49" x14ac:dyDescent="0.2">
      <c r="C222" s="741"/>
      <c r="D222" s="741"/>
      <c r="E222" s="741"/>
      <c r="F222" s="741"/>
      <c r="G222" s="741"/>
      <c r="H222" s="741"/>
      <c r="I222" s="741"/>
      <c r="J222" s="741"/>
      <c r="K222" s="741"/>
      <c r="L222" s="741"/>
      <c r="M222" s="741"/>
      <c r="N222" s="741"/>
      <c r="O222" s="741"/>
      <c r="P222" s="741"/>
      <c r="Q222" s="741"/>
      <c r="R222" s="741"/>
      <c r="S222" s="741"/>
      <c r="T222" s="741"/>
      <c r="U222" s="741"/>
      <c r="V222" s="741"/>
      <c r="W222" s="741"/>
      <c r="X222" s="741"/>
      <c r="Y222" s="741"/>
      <c r="Z222" s="741"/>
      <c r="AA222" s="741"/>
      <c r="AB222" s="741"/>
      <c r="AC222" s="741"/>
      <c r="AD222" s="741"/>
      <c r="AE222" s="741"/>
    </row>
    <row r="223" spans="1:49" x14ac:dyDescent="0.2">
      <c r="Z223" s="781"/>
    </row>
    <row r="224" spans="1:49" x14ac:dyDescent="0.2">
      <c r="A224" s="766"/>
      <c r="C224" s="766"/>
      <c r="H224" s="782"/>
      <c r="J224" s="787"/>
      <c r="L224" s="782"/>
      <c r="N224" s="766"/>
    </row>
    <row r="225" spans="1:31" x14ac:dyDescent="0.2">
      <c r="C225" s="741"/>
      <c r="D225" s="741"/>
      <c r="E225" s="741"/>
      <c r="F225" s="741"/>
      <c r="G225" s="741"/>
      <c r="H225" s="741"/>
      <c r="I225" s="741"/>
      <c r="J225" s="741"/>
      <c r="K225" s="741"/>
      <c r="L225" s="741"/>
      <c r="M225" s="741"/>
      <c r="N225" s="741"/>
      <c r="O225" s="741"/>
      <c r="P225" s="741"/>
      <c r="Q225" s="741"/>
      <c r="R225" s="741"/>
      <c r="S225" s="741"/>
      <c r="T225" s="741"/>
      <c r="U225" s="741"/>
      <c r="V225" s="741"/>
      <c r="W225" s="741"/>
      <c r="X225" s="741"/>
      <c r="Y225" s="741"/>
      <c r="Z225" s="741"/>
      <c r="AA225" s="741"/>
      <c r="AB225" s="741"/>
      <c r="AC225" s="741"/>
    </row>
    <row r="226" spans="1:31" x14ac:dyDescent="0.2">
      <c r="C226" s="741"/>
      <c r="D226" s="741"/>
      <c r="E226" s="741"/>
      <c r="F226" s="741"/>
      <c r="G226" s="741"/>
      <c r="H226" s="741"/>
      <c r="I226" s="741"/>
      <c r="J226" s="741"/>
      <c r="K226" s="741"/>
      <c r="L226" s="741"/>
      <c r="M226" s="741"/>
      <c r="N226" s="741"/>
      <c r="O226" s="741"/>
      <c r="P226" s="741"/>
      <c r="Q226" s="741"/>
      <c r="R226" s="741"/>
      <c r="S226" s="741"/>
      <c r="T226" s="741"/>
      <c r="U226" s="741"/>
      <c r="V226" s="741"/>
      <c r="W226" s="741"/>
      <c r="X226" s="741"/>
      <c r="Y226" s="741"/>
      <c r="Z226" s="741"/>
      <c r="AA226" s="741"/>
      <c r="AB226" s="741"/>
      <c r="AC226" s="741"/>
    </row>
    <row r="227" spans="1:31" x14ac:dyDescent="0.2">
      <c r="C227" s="741"/>
      <c r="D227" s="741"/>
      <c r="E227" s="741"/>
      <c r="F227" s="741"/>
      <c r="G227" s="741"/>
      <c r="H227" s="741"/>
      <c r="I227" s="741"/>
      <c r="J227" s="741"/>
      <c r="K227" s="741"/>
      <c r="L227" s="741"/>
      <c r="M227" s="741"/>
      <c r="N227" s="741"/>
      <c r="O227" s="741"/>
      <c r="P227" s="741"/>
      <c r="Q227" s="741"/>
      <c r="R227" s="741"/>
      <c r="S227" s="741"/>
      <c r="T227" s="741"/>
      <c r="U227" s="741"/>
      <c r="V227" s="741"/>
      <c r="W227" s="741"/>
      <c r="X227" s="741"/>
      <c r="Y227" s="741"/>
      <c r="Z227" s="741"/>
      <c r="AA227" s="741"/>
      <c r="AB227" s="741"/>
      <c r="AC227" s="741"/>
    </row>
    <row r="228" spans="1:31" x14ac:dyDescent="0.2">
      <c r="Z228" s="781"/>
    </row>
    <row r="229" spans="1:31" x14ac:dyDescent="0.2">
      <c r="A229" s="766"/>
      <c r="H229" s="782"/>
      <c r="J229" s="787"/>
      <c r="L229" s="782"/>
      <c r="N229" s="766"/>
    </row>
    <row r="230" spans="1:31" x14ac:dyDescent="0.2">
      <c r="C230" s="741"/>
      <c r="D230" s="741"/>
      <c r="E230" s="741"/>
      <c r="F230" s="741"/>
      <c r="G230" s="741"/>
      <c r="H230" s="741"/>
      <c r="I230" s="741"/>
      <c r="J230" s="741"/>
      <c r="K230" s="741"/>
      <c r="L230" s="741"/>
      <c r="M230" s="741"/>
      <c r="N230" s="741"/>
      <c r="O230" s="741"/>
      <c r="P230" s="741"/>
      <c r="Q230" s="741"/>
      <c r="R230" s="741"/>
      <c r="S230" s="741"/>
      <c r="T230" s="741"/>
      <c r="U230" s="741"/>
      <c r="V230" s="741"/>
      <c r="W230" s="741"/>
      <c r="X230" s="741"/>
      <c r="Y230" s="741"/>
      <c r="Z230" s="741"/>
      <c r="AA230" s="741"/>
      <c r="AB230" s="741"/>
      <c r="AC230" s="741"/>
      <c r="AD230" s="741"/>
      <c r="AE230" s="741"/>
    </row>
    <row r="231" spans="1:31" x14ac:dyDescent="0.2">
      <c r="C231" s="741"/>
      <c r="D231" s="741"/>
      <c r="E231" s="741"/>
      <c r="F231" s="741"/>
      <c r="G231" s="741"/>
      <c r="H231" s="741"/>
      <c r="I231" s="741"/>
      <c r="J231" s="741"/>
      <c r="K231" s="741"/>
      <c r="L231" s="741"/>
      <c r="M231" s="741"/>
      <c r="N231" s="741"/>
      <c r="O231" s="741"/>
      <c r="P231" s="741"/>
      <c r="Q231" s="741"/>
      <c r="R231" s="741"/>
      <c r="S231" s="741"/>
      <c r="T231" s="741"/>
      <c r="U231" s="741"/>
      <c r="V231" s="741"/>
      <c r="W231" s="741"/>
      <c r="X231" s="741"/>
      <c r="Y231" s="741"/>
      <c r="Z231" s="741"/>
      <c r="AA231" s="741"/>
      <c r="AB231" s="741"/>
      <c r="AC231" s="741"/>
      <c r="AD231" s="741"/>
      <c r="AE231" s="741"/>
    </row>
    <row r="232" spans="1:31" x14ac:dyDescent="0.2">
      <c r="C232" s="741"/>
      <c r="D232" s="741"/>
      <c r="E232" s="741"/>
      <c r="F232" s="741"/>
      <c r="G232" s="741"/>
      <c r="H232" s="741"/>
      <c r="I232" s="741"/>
      <c r="J232" s="741"/>
      <c r="K232" s="741"/>
      <c r="L232" s="741"/>
      <c r="M232" s="741"/>
      <c r="N232" s="741"/>
      <c r="O232" s="741"/>
      <c r="P232" s="741"/>
      <c r="Q232" s="741"/>
      <c r="R232" s="741"/>
      <c r="S232" s="741"/>
      <c r="T232" s="741"/>
      <c r="U232" s="741"/>
      <c r="V232" s="741"/>
      <c r="W232" s="741"/>
      <c r="X232" s="741"/>
      <c r="Y232" s="741"/>
      <c r="Z232" s="741"/>
      <c r="AA232" s="741"/>
      <c r="AB232" s="741"/>
      <c r="AC232" s="741"/>
      <c r="AD232" s="741"/>
      <c r="AE232" s="741"/>
    </row>
    <row r="233" spans="1:31" x14ac:dyDescent="0.2">
      <c r="Z233" s="781"/>
    </row>
    <row r="234" spans="1:31" x14ac:dyDescent="0.2">
      <c r="A234" s="766"/>
      <c r="F234" s="766"/>
      <c r="H234" s="741"/>
      <c r="J234" s="787"/>
      <c r="L234" s="741"/>
      <c r="N234" s="766"/>
    </row>
    <row r="235" spans="1:31" x14ac:dyDescent="0.2">
      <c r="C235" s="741"/>
      <c r="D235" s="741"/>
      <c r="E235" s="741"/>
      <c r="F235" s="741"/>
      <c r="G235" s="741"/>
      <c r="H235" s="741"/>
      <c r="I235" s="741"/>
      <c r="J235" s="741"/>
      <c r="K235" s="741"/>
      <c r="L235" s="741"/>
      <c r="M235" s="741"/>
      <c r="N235" s="741"/>
      <c r="O235" s="741"/>
      <c r="P235" s="741"/>
      <c r="Q235" s="741"/>
      <c r="R235" s="741"/>
      <c r="S235" s="741"/>
      <c r="T235" s="741"/>
      <c r="U235" s="741"/>
      <c r="V235" s="741"/>
      <c r="W235" s="741"/>
      <c r="X235" s="741"/>
      <c r="Y235" s="741"/>
      <c r="Z235" s="741"/>
      <c r="AA235" s="741"/>
      <c r="AB235" s="741"/>
      <c r="AC235" s="741"/>
      <c r="AD235" s="741"/>
    </row>
    <row r="236" spans="1:31" x14ac:dyDescent="0.2">
      <c r="C236" s="741"/>
      <c r="D236" s="741"/>
      <c r="E236" s="741"/>
      <c r="F236" s="741"/>
      <c r="G236" s="741"/>
      <c r="H236" s="741"/>
      <c r="I236" s="741"/>
      <c r="J236" s="741"/>
      <c r="K236" s="741"/>
      <c r="L236" s="741"/>
      <c r="M236" s="741"/>
      <c r="N236" s="741"/>
      <c r="O236" s="741"/>
      <c r="P236" s="741"/>
      <c r="Q236" s="741"/>
      <c r="R236" s="741"/>
      <c r="S236" s="741"/>
      <c r="T236" s="741"/>
      <c r="U236" s="741"/>
      <c r="V236" s="741"/>
      <c r="W236" s="741"/>
      <c r="X236" s="741"/>
      <c r="Y236" s="741"/>
      <c r="Z236" s="741"/>
      <c r="AA236" s="741"/>
      <c r="AB236" s="741"/>
      <c r="AC236" s="741"/>
      <c r="AD236" s="741"/>
    </row>
    <row r="237" spans="1:31" x14ac:dyDescent="0.2">
      <c r="C237" s="741"/>
      <c r="D237" s="741"/>
      <c r="E237" s="741"/>
      <c r="F237" s="741"/>
      <c r="G237" s="741"/>
      <c r="H237" s="741"/>
      <c r="I237" s="741"/>
      <c r="J237" s="741"/>
      <c r="K237" s="741"/>
      <c r="L237" s="741"/>
      <c r="M237" s="741"/>
      <c r="N237" s="741"/>
      <c r="O237" s="741"/>
      <c r="P237" s="741"/>
      <c r="Q237" s="741"/>
      <c r="R237" s="741"/>
      <c r="S237" s="741"/>
      <c r="T237" s="741"/>
      <c r="U237" s="741"/>
      <c r="V237" s="741"/>
      <c r="W237" s="741"/>
      <c r="X237" s="741"/>
      <c r="Y237" s="741"/>
      <c r="Z237" s="741"/>
      <c r="AA237" s="741"/>
      <c r="AB237" s="741"/>
      <c r="AC237" s="741"/>
      <c r="AD237" s="741"/>
    </row>
    <row r="238" spans="1:31" x14ac:dyDescent="0.2">
      <c r="Z238" s="781"/>
    </row>
    <row r="239" spans="1:31" x14ac:dyDescent="0.2">
      <c r="A239" s="766"/>
      <c r="G239" s="766"/>
    </row>
    <row r="240" spans="1:31" x14ac:dyDescent="0.2">
      <c r="C240" s="741"/>
      <c r="D240" s="741"/>
      <c r="E240" s="741"/>
      <c r="F240" s="741"/>
      <c r="G240" s="741"/>
      <c r="H240" s="741"/>
      <c r="I240" s="741"/>
      <c r="J240" s="741"/>
      <c r="K240" s="741"/>
      <c r="L240" s="741"/>
      <c r="M240" s="741"/>
      <c r="N240" s="741"/>
      <c r="O240" s="741"/>
      <c r="P240" s="741"/>
      <c r="Q240" s="741"/>
      <c r="R240" s="741"/>
      <c r="S240" s="741"/>
      <c r="T240" s="741"/>
      <c r="U240" s="741"/>
      <c r="V240" s="741"/>
      <c r="W240" s="741"/>
      <c r="X240" s="741"/>
      <c r="Y240" s="741"/>
      <c r="Z240" s="741"/>
      <c r="AA240" s="741"/>
      <c r="AB240" s="741"/>
      <c r="AC240" s="741"/>
      <c r="AD240" s="741"/>
    </row>
    <row r="241" spans="1:30" x14ac:dyDescent="0.2">
      <c r="C241" s="741"/>
      <c r="D241" s="741"/>
      <c r="E241" s="741"/>
      <c r="F241" s="741"/>
      <c r="G241" s="741"/>
      <c r="H241" s="741"/>
      <c r="I241" s="741"/>
      <c r="J241" s="741"/>
      <c r="K241" s="741"/>
      <c r="L241" s="741"/>
      <c r="M241" s="741"/>
      <c r="N241" s="741"/>
      <c r="O241" s="741"/>
      <c r="P241" s="741"/>
      <c r="Q241" s="741"/>
      <c r="R241" s="741"/>
      <c r="S241" s="741"/>
      <c r="T241" s="741"/>
      <c r="U241" s="741"/>
      <c r="V241" s="741"/>
      <c r="W241" s="741"/>
      <c r="X241" s="741"/>
      <c r="Y241" s="741"/>
      <c r="Z241" s="741"/>
      <c r="AA241" s="741"/>
      <c r="AB241" s="741"/>
      <c r="AC241" s="741"/>
      <c r="AD241" s="741"/>
    </row>
    <row r="242" spans="1:30" x14ac:dyDescent="0.2">
      <c r="C242" s="741"/>
      <c r="D242" s="741"/>
      <c r="E242" s="741"/>
      <c r="F242" s="741"/>
      <c r="G242" s="741"/>
      <c r="H242" s="741"/>
      <c r="I242" s="741"/>
      <c r="J242" s="741"/>
      <c r="K242" s="741"/>
      <c r="L242" s="741"/>
      <c r="M242" s="741"/>
      <c r="N242" s="741"/>
      <c r="O242" s="741"/>
      <c r="P242" s="741"/>
      <c r="Q242" s="741"/>
      <c r="R242" s="741"/>
      <c r="S242" s="741"/>
      <c r="T242" s="741"/>
      <c r="U242" s="741"/>
      <c r="V242" s="741"/>
      <c r="W242" s="741"/>
      <c r="X242" s="741"/>
      <c r="Y242" s="741"/>
      <c r="Z242" s="741"/>
      <c r="AA242" s="741"/>
      <c r="AB242" s="741"/>
      <c r="AC242" s="741"/>
      <c r="AD242" s="741"/>
    </row>
    <row r="243" spans="1:30" x14ac:dyDescent="0.2">
      <c r="Z243" s="781"/>
    </row>
    <row r="244" spans="1:30" x14ac:dyDescent="0.2">
      <c r="A244" s="766"/>
      <c r="C244" s="766"/>
      <c r="H244" s="782"/>
      <c r="J244" s="787"/>
      <c r="L244" s="782"/>
      <c r="N244" s="766"/>
      <c r="Z244" s="741"/>
    </row>
    <row r="245" spans="1:30" x14ac:dyDescent="0.2">
      <c r="A245" s="766"/>
      <c r="C245" s="766"/>
      <c r="H245" s="782"/>
      <c r="J245" s="787"/>
      <c r="L245" s="782"/>
      <c r="N245" s="766"/>
      <c r="Z245" s="741"/>
      <c r="AA245" s="741"/>
      <c r="AB245" s="741"/>
    </row>
    <row r="246" spans="1:30" x14ac:dyDescent="0.2">
      <c r="A246" s="766"/>
      <c r="C246" s="766"/>
      <c r="H246" s="782"/>
      <c r="J246" s="787"/>
      <c r="L246" s="782"/>
      <c r="N246" s="766"/>
      <c r="Z246" s="741"/>
      <c r="AA246" s="741"/>
      <c r="AB246" s="741"/>
    </row>
    <row r="247" spans="1:30" x14ac:dyDescent="0.2">
      <c r="H247" s="741"/>
      <c r="J247" s="787"/>
      <c r="L247" s="741"/>
      <c r="N247" s="766"/>
    </row>
    <row r="248" spans="1:30" x14ac:dyDescent="0.2">
      <c r="A248" s="766"/>
      <c r="C248" s="766"/>
      <c r="J248" s="788"/>
    </row>
    <row r="249" spans="1:30" x14ac:dyDescent="0.2">
      <c r="F249" s="766"/>
      <c r="H249" s="741"/>
      <c r="J249" s="787"/>
      <c r="L249" s="741"/>
      <c r="N249" s="766"/>
    </row>
    <row r="250" spans="1:30" x14ac:dyDescent="0.2">
      <c r="C250" s="766"/>
    </row>
    <row r="251" spans="1:30" x14ac:dyDescent="0.2">
      <c r="F251" s="766"/>
      <c r="H251" s="741"/>
      <c r="J251" s="787"/>
      <c r="L251" s="741"/>
      <c r="N251" s="766"/>
    </row>
    <row r="252" spans="1:30" x14ac:dyDescent="0.2">
      <c r="C252" s="784"/>
      <c r="G252" s="766"/>
    </row>
    <row r="253" spans="1:30" x14ac:dyDescent="0.2">
      <c r="C253" s="785"/>
      <c r="G253" s="766"/>
    </row>
    <row r="254" spans="1:30" x14ac:dyDescent="0.2">
      <c r="C254" s="766"/>
      <c r="G254" s="766"/>
    </row>
    <row r="255" spans="1:30" x14ac:dyDescent="0.2">
      <c r="G255" s="766"/>
    </row>
    <row r="256" spans="1:30" x14ac:dyDescent="0.2">
      <c r="M256" s="766"/>
    </row>
    <row r="257" spans="1:14" x14ac:dyDescent="0.2">
      <c r="M257" s="766"/>
    </row>
    <row r="258" spans="1:14" x14ac:dyDescent="0.2">
      <c r="M258" s="766"/>
    </row>
    <row r="259" spans="1:14" x14ac:dyDescent="0.2">
      <c r="A259" s="766"/>
      <c r="C259" s="766"/>
      <c r="H259" s="766"/>
    </row>
    <row r="260" spans="1:14" x14ac:dyDescent="0.2">
      <c r="A260" s="766"/>
      <c r="C260" s="766"/>
      <c r="F260" s="766"/>
      <c r="H260" s="766"/>
      <c r="J260" s="766"/>
      <c r="L260" s="766"/>
    </row>
    <row r="261" spans="1:14" x14ac:dyDescent="0.2">
      <c r="F261" s="766"/>
      <c r="H261" s="766"/>
      <c r="J261" s="766"/>
      <c r="L261" s="766"/>
      <c r="N261" s="766"/>
    </row>
    <row r="262" spans="1:14" x14ac:dyDescent="0.2">
      <c r="H262" s="766"/>
      <c r="J262" s="766"/>
      <c r="L262" s="766"/>
      <c r="N262" s="766"/>
    </row>
    <row r="263" spans="1:14" x14ac:dyDescent="0.2">
      <c r="A263" s="766"/>
      <c r="C263" s="766"/>
      <c r="H263" s="766"/>
      <c r="J263" s="766"/>
      <c r="L263" s="766"/>
    </row>
    <row r="264" spans="1:14" x14ac:dyDescent="0.2">
      <c r="A264" s="766"/>
      <c r="C264" s="766"/>
      <c r="F264" s="766"/>
    </row>
    <row r="265" spans="1:14" x14ac:dyDescent="0.2">
      <c r="A265" s="766"/>
      <c r="C265" s="766"/>
      <c r="F265" s="766"/>
    </row>
    <row r="266" spans="1:14" x14ac:dyDescent="0.2">
      <c r="A266" s="766"/>
      <c r="C266" s="766"/>
      <c r="F266" s="766"/>
      <c r="H266" s="782"/>
      <c r="J266" s="783"/>
      <c r="L266" s="782"/>
      <c r="N266" s="766"/>
    </row>
    <row r="267" spans="1:14" x14ac:dyDescent="0.2">
      <c r="A267" s="766"/>
      <c r="C267" s="766"/>
      <c r="F267" s="766"/>
      <c r="H267" s="782"/>
      <c r="J267" s="783"/>
      <c r="L267" s="782"/>
      <c r="N267" s="766"/>
    </row>
    <row r="268" spans="1:14" x14ac:dyDescent="0.2">
      <c r="A268" s="766"/>
      <c r="C268" s="766"/>
      <c r="F268" s="766"/>
      <c r="H268" s="782"/>
      <c r="J268" s="783"/>
      <c r="L268" s="782"/>
      <c r="N268" s="766"/>
    </row>
    <row r="269" spans="1:14" x14ac:dyDescent="0.2">
      <c r="A269" s="766"/>
      <c r="C269" s="766"/>
      <c r="F269" s="766"/>
      <c r="H269" s="782"/>
      <c r="J269" s="783"/>
      <c r="L269" s="782"/>
      <c r="N269" s="766"/>
    </row>
    <row r="270" spans="1:14" x14ac:dyDescent="0.2">
      <c r="A270" s="766"/>
      <c r="C270" s="766"/>
      <c r="F270" s="766"/>
      <c r="H270" s="782"/>
      <c r="J270" s="783"/>
      <c r="L270" s="782"/>
      <c r="N270" s="766"/>
    </row>
    <row r="271" spans="1:14" x14ac:dyDescent="0.2">
      <c r="A271" s="766"/>
      <c r="F271" s="766"/>
      <c r="H271" s="782"/>
      <c r="J271" s="783"/>
      <c r="L271" s="782"/>
      <c r="N271" s="766"/>
    </row>
    <row r="272" spans="1:14" x14ac:dyDescent="0.2">
      <c r="F272" s="766"/>
      <c r="H272" s="741"/>
      <c r="J272" s="783"/>
      <c r="L272" s="741"/>
      <c r="N272" s="766"/>
    </row>
    <row r="273" spans="1:14" x14ac:dyDescent="0.2">
      <c r="A273" s="766"/>
      <c r="H273" s="782"/>
      <c r="J273" s="789"/>
      <c r="L273" s="782"/>
      <c r="N273" s="766"/>
    </row>
    <row r="274" spans="1:14" x14ac:dyDescent="0.2">
      <c r="A274" s="766"/>
      <c r="C274" s="766"/>
      <c r="F274" s="766"/>
      <c r="H274" s="782"/>
      <c r="J274" s="789"/>
      <c r="L274" s="782"/>
      <c r="N274" s="766"/>
    </row>
    <row r="275" spans="1:14" x14ac:dyDescent="0.2">
      <c r="A275" s="766"/>
      <c r="C275" s="766"/>
      <c r="F275" s="766"/>
      <c r="H275" s="782"/>
      <c r="J275" s="783"/>
      <c r="L275" s="782"/>
      <c r="N275" s="766"/>
    </row>
    <row r="276" spans="1:14" x14ac:dyDescent="0.2">
      <c r="A276" s="766"/>
      <c r="C276" s="766"/>
      <c r="F276" s="766"/>
      <c r="H276" s="782"/>
      <c r="J276" s="783"/>
      <c r="L276" s="782"/>
      <c r="N276" s="766"/>
    </row>
    <row r="277" spans="1:14" x14ac:dyDescent="0.2">
      <c r="A277" s="766"/>
      <c r="C277" s="766"/>
      <c r="F277" s="766"/>
      <c r="H277" s="782"/>
      <c r="J277" s="783"/>
      <c r="L277" s="782"/>
      <c r="N277" s="766"/>
    </row>
    <row r="278" spans="1:14" x14ac:dyDescent="0.2">
      <c r="A278" s="766"/>
      <c r="C278" s="766"/>
      <c r="F278" s="766"/>
      <c r="H278" s="782"/>
      <c r="J278" s="783"/>
      <c r="L278" s="782"/>
      <c r="N278" s="766"/>
    </row>
    <row r="279" spans="1:14" x14ac:dyDescent="0.2">
      <c r="A279" s="766"/>
      <c r="F279" s="766"/>
      <c r="H279" s="782"/>
      <c r="J279" s="783"/>
      <c r="L279" s="782"/>
      <c r="N279" s="766"/>
    </row>
    <row r="280" spans="1:14" x14ac:dyDescent="0.2">
      <c r="F280" s="766"/>
      <c r="H280" s="741"/>
      <c r="J280" s="783"/>
      <c r="L280" s="741"/>
      <c r="N280" s="766"/>
    </row>
    <row r="281" spans="1:14" x14ac:dyDescent="0.2">
      <c r="A281" s="766"/>
      <c r="C281" s="766"/>
      <c r="H281" s="782"/>
      <c r="J281" s="789"/>
      <c r="L281" s="782"/>
      <c r="N281" s="766"/>
    </row>
    <row r="282" spans="1:14" x14ac:dyDescent="0.2">
      <c r="F282" s="766"/>
      <c r="H282" s="741"/>
      <c r="J282" s="783"/>
      <c r="L282" s="741"/>
      <c r="N282" s="766"/>
    </row>
    <row r="283" spans="1:14" x14ac:dyDescent="0.2">
      <c r="A283" s="766"/>
      <c r="H283" s="782"/>
      <c r="J283" s="789"/>
      <c r="L283" s="782"/>
    </row>
    <row r="284" spans="1:14" x14ac:dyDescent="0.2">
      <c r="F284" s="766"/>
      <c r="H284" s="782"/>
      <c r="J284" s="789"/>
      <c r="L284" s="782"/>
    </row>
    <row r="285" spans="1:14" x14ac:dyDescent="0.2">
      <c r="A285" s="766"/>
      <c r="H285" s="782"/>
      <c r="J285" s="789"/>
      <c r="L285" s="782"/>
      <c r="N285" s="741"/>
    </row>
    <row r="286" spans="1:14" x14ac:dyDescent="0.2">
      <c r="A286" s="766"/>
    </row>
    <row r="287" spans="1:14" x14ac:dyDescent="0.2">
      <c r="A287" s="766"/>
      <c r="F287" s="766"/>
      <c r="H287" s="741"/>
      <c r="J287" s="783"/>
      <c r="L287" s="741"/>
      <c r="N287" s="766"/>
    </row>
    <row r="288" spans="1:14" x14ac:dyDescent="0.2">
      <c r="A288" s="766"/>
      <c r="F288" s="766"/>
      <c r="H288" s="741"/>
      <c r="J288" s="783"/>
      <c r="L288" s="741"/>
      <c r="N288" s="766"/>
    </row>
    <row r="289" spans="1:14" x14ac:dyDescent="0.2">
      <c r="A289" s="766"/>
      <c r="F289" s="766"/>
      <c r="H289" s="741"/>
      <c r="J289" s="783"/>
      <c r="L289" s="741"/>
      <c r="N289" s="766"/>
    </row>
    <row r="290" spans="1:14" x14ac:dyDescent="0.2">
      <c r="A290" s="766"/>
      <c r="F290" s="766"/>
      <c r="H290" s="741"/>
      <c r="J290" s="783"/>
      <c r="L290" s="741"/>
      <c r="N290" s="766"/>
    </row>
    <row r="291" spans="1:14" x14ac:dyDescent="0.2">
      <c r="A291" s="766"/>
      <c r="F291" s="766"/>
      <c r="H291" s="741"/>
      <c r="J291" s="783"/>
      <c r="L291" s="741"/>
      <c r="N291" s="766"/>
    </row>
    <row r="292" spans="1:14" x14ac:dyDescent="0.2">
      <c r="H292" s="741"/>
      <c r="L292" s="741"/>
    </row>
    <row r="293" spans="1:14" x14ac:dyDescent="0.2">
      <c r="C293" s="784"/>
      <c r="G293" s="766"/>
    </row>
    <row r="294" spans="1:14" x14ac:dyDescent="0.2">
      <c r="C294" s="785"/>
      <c r="G294" s="766"/>
    </row>
    <row r="295" spans="1:14" x14ac:dyDescent="0.2">
      <c r="C295" s="766"/>
      <c r="G295" s="766"/>
    </row>
    <row r="296" spans="1:14" x14ac:dyDescent="0.2">
      <c r="G296" s="766"/>
    </row>
    <row r="297" spans="1:14" x14ac:dyDescent="0.2">
      <c r="M297" s="766"/>
    </row>
    <row r="298" spans="1:14" x14ac:dyDescent="0.2">
      <c r="M298" s="766"/>
    </row>
    <row r="299" spans="1:14" x14ac:dyDescent="0.2">
      <c r="M299" s="766"/>
    </row>
    <row r="300" spans="1:14" x14ac:dyDescent="0.2">
      <c r="A300" s="766"/>
      <c r="C300" s="766"/>
      <c r="H300" s="766"/>
    </row>
    <row r="301" spans="1:14" x14ac:dyDescent="0.2">
      <c r="A301" s="766"/>
      <c r="C301" s="766"/>
      <c r="F301" s="766"/>
      <c r="H301" s="766"/>
      <c r="J301" s="766"/>
      <c r="L301" s="766"/>
    </row>
    <row r="302" spans="1:14" x14ac:dyDescent="0.2">
      <c r="F302" s="766"/>
      <c r="H302" s="766"/>
      <c r="J302" s="766"/>
      <c r="L302" s="766"/>
      <c r="N302" s="766"/>
    </row>
    <row r="303" spans="1:14" x14ac:dyDescent="0.2">
      <c r="A303" s="766"/>
      <c r="C303" s="766"/>
      <c r="H303" s="766"/>
      <c r="J303" s="766"/>
      <c r="L303" s="766"/>
      <c r="N303" s="766"/>
    </row>
    <row r="304" spans="1:14" x14ac:dyDescent="0.2">
      <c r="A304" s="766"/>
      <c r="F304" s="766"/>
      <c r="H304" s="766"/>
      <c r="J304" s="766"/>
      <c r="L304" s="766"/>
    </row>
    <row r="305" spans="1:14" x14ac:dyDescent="0.2">
      <c r="A305" s="766"/>
      <c r="F305" s="766"/>
      <c r="H305" s="782"/>
      <c r="J305" s="789"/>
      <c r="L305" s="782"/>
      <c r="N305" s="766"/>
    </row>
    <row r="306" spans="1:14" x14ac:dyDescent="0.2">
      <c r="A306" s="766"/>
      <c r="C306" s="766"/>
      <c r="F306" s="766"/>
      <c r="H306" s="782"/>
      <c r="J306" s="789"/>
      <c r="L306" s="782"/>
    </row>
    <row r="307" spans="1:14" x14ac:dyDescent="0.2">
      <c r="A307" s="766"/>
      <c r="C307" s="766"/>
      <c r="F307" s="766"/>
      <c r="H307" s="782"/>
      <c r="J307" s="783"/>
      <c r="L307" s="782"/>
      <c r="N307" s="766"/>
    </row>
    <row r="308" spans="1:14" x14ac:dyDescent="0.2">
      <c r="A308" s="766"/>
      <c r="C308" s="766"/>
      <c r="F308" s="766"/>
      <c r="H308" s="782"/>
      <c r="J308" s="783"/>
      <c r="L308" s="782"/>
      <c r="N308" s="766"/>
    </row>
    <row r="309" spans="1:14" x14ac:dyDescent="0.2">
      <c r="A309" s="766"/>
      <c r="C309" s="766"/>
      <c r="F309" s="766"/>
      <c r="H309" s="782"/>
      <c r="J309" s="783"/>
      <c r="L309" s="782"/>
      <c r="N309" s="766"/>
    </row>
    <row r="310" spans="1:14" x14ac:dyDescent="0.2">
      <c r="A310" s="766"/>
      <c r="C310" s="766"/>
      <c r="F310" s="766"/>
      <c r="H310" s="782"/>
      <c r="J310" s="783"/>
      <c r="L310" s="782"/>
      <c r="N310" s="766"/>
    </row>
    <row r="311" spans="1:14" x14ac:dyDescent="0.2">
      <c r="A311" s="766"/>
      <c r="C311" s="766"/>
      <c r="F311" s="766"/>
      <c r="H311" s="782"/>
      <c r="J311" s="783"/>
      <c r="L311" s="782"/>
      <c r="N311" s="766"/>
    </row>
    <row r="312" spans="1:14" x14ac:dyDescent="0.2">
      <c r="A312" s="766"/>
      <c r="C312" s="766"/>
      <c r="F312" s="766"/>
      <c r="H312" s="782"/>
      <c r="J312" s="783"/>
      <c r="L312" s="782"/>
      <c r="N312" s="766"/>
    </row>
    <row r="313" spans="1:14" x14ac:dyDescent="0.2">
      <c r="A313" s="766"/>
      <c r="F313" s="766"/>
      <c r="H313" s="782"/>
      <c r="J313" s="783"/>
      <c r="L313" s="782"/>
      <c r="N313" s="766"/>
    </row>
    <row r="314" spans="1:14" x14ac:dyDescent="0.2">
      <c r="F314" s="766"/>
      <c r="H314" s="741"/>
      <c r="J314" s="783"/>
      <c r="L314" s="741"/>
      <c r="N314" s="766"/>
    </row>
    <row r="315" spans="1:14" x14ac:dyDescent="0.2">
      <c r="A315" s="766"/>
    </row>
    <row r="316" spans="1:14" x14ac:dyDescent="0.2">
      <c r="A316" s="766"/>
      <c r="C316" s="766"/>
      <c r="F316" s="766"/>
    </row>
    <row r="317" spans="1:14" x14ac:dyDescent="0.2">
      <c r="A317" s="766"/>
      <c r="C317" s="766"/>
      <c r="F317" s="766"/>
      <c r="H317" s="782"/>
      <c r="J317" s="787"/>
      <c r="L317" s="782"/>
      <c r="N317" s="766"/>
    </row>
    <row r="318" spans="1:14" x14ac:dyDescent="0.2">
      <c r="A318" s="766"/>
      <c r="C318" s="766"/>
      <c r="F318" s="766"/>
      <c r="H318" s="782"/>
      <c r="J318" s="787"/>
      <c r="L318" s="782"/>
      <c r="N318" s="766"/>
    </row>
    <row r="319" spans="1:14" x14ac:dyDescent="0.2">
      <c r="A319" s="766"/>
      <c r="C319" s="766"/>
      <c r="F319" s="766"/>
      <c r="H319" s="782"/>
      <c r="J319" s="787"/>
      <c r="L319" s="782"/>
      <c r="N319" s="766"/>
    </row>
    <row r="320" spans="1:14" x14ac:dyDescent="0.2">
      <c r="A320" s="766"/>
      <c r="C320" s="766"/>
      <c r="F320" s="766"/>
      <c r="H320" s="782"/>
      <c r="J320" s="787"/>
      <c r="K320" s="766"/>
      <c r="L320" s="782"/>
      <c r="N320" s="766"/>
    </row>
    <row r="321" spans="1:14" x14ac:dyDescent="0.2">
      <c r="A321" s="766"/>
      <c r="C321" s="766"/>
      <c r="F321" s="766"/>
      <c r="H321" s="782"/>
      <c r="J321" s="787"/>
      <c r="L321" s="782"/>
      <c r="N321" s="766"/>
    </row>
    <row r="322" spans="1:14" x14ac:dyDescent="0.2">
      <c r="A322" s="766"/>
      <c r="F322" s="766"/>
      <c r="H322" s="782"/>
      <c r="J322" s="787"/>
      <c r="L322" s="782"/>
      <c r="N322" s="766"/>
    </row>
    <row r="323" spans="1:14" x14ac:dyDescent="0.2">
      <c r="F323" s="766"/>
      <c r="H323" s="741"/>
      <c r="J323" s="787"/>
      <c r="L323" s="741"/>
      <c r="N323" s="766"/>
    </row>
    <row r="324" spans="1:14" x14ac:dyDescent="0.2">
      <c r="A324" s="766"/>
      <c r="C324" s="766"/>
      <c r="J324" s="788"/>
      <c r="N324" s="766"/>
    </row>
    <row r="325" spans="1:14" x14ac:dyDescent="0.2">
      <c r="A325" s="766"/>
      <c r="C325" s="766"/>
      <c r="F325" s="766"/>
      <c r="H325" s="782"/>
      <c r="J325" s="788"/>
      <c r="L325" s="782"/>
      <c r="N325" s="766"/>
    </row>
    <row r="326" spans="1:14" x14ac:dyDescent="0.2">
      <c r="A326" s="766"/>
      <c r="C326" s="766"/>
      <c r="F326" s="766"/>
      <c r="H326" s="782"/>
      <c r="J326" s="787"/>
      <c r="L326" s="782"/>
      <c r="N326" s="766"/>
    </row>
    <row r="327" spans="1:14" x14ac:dyDescent="0.2">
      <c r="A327" s="766"/>
      <c r="C327" s="766"/>
      <c r="F327" s="766"/>
      <c r="H327" s="782"/>
      <c r="J327" s="787"/>
      <c r="L327" s="782"/>
      <c r="N327" s="766"/>
    </row>
    <row r="328" spans="1:14" x14ac:dyDescent="0.2">
      <c r="A328" s="766"/>
      <c r="C328" s="766"/>
      <c r="F328" s="766"/>
      <c r="H328" s="782"/>
      <c r="J328" s="787"/>
      <c r="L328" s="782"/>
      <c r="N328" s="766"/>
    </row>
    <row r="329" spans="1:14" x14ac:dyDescent="0.2">
      <c r="A329" s="766"/>
      <c r="C329" s="766"/>
      <c r="F329" s="766"/>
      <c r="H329" s="782"/>
      <c r="I329" s="766"/>
      <c r="J329" s="787"/>
      <c r="L329" s="782"/>
      <c r="N329" s="766"/>
    </row>
    <row r="330" spans="1:14" x14ac:dyDescent="0.2">
      <c r="A330" s="766"/>
      <c r="C330" s="766"/>
      <c r="F330" s="766"/>
      <c r="H330" s="782"/>
      <c r="J330" s="787"/>
      <c r="L330" s="782"/>
      <c r="N330" s="766"/>
    </row>
    <row r="331" spans="1:14" x14ac:dyDescent="0.2">
      <c r="A331" s="766"/>
      <c r="C331" s="766"/>
      <c r="F331" s="766"/>
      <c r="H331" s="782"/>
      <c r="J331" s="787"/>
      <c r="L331" s="782"/>
      <c r="N331" s="766"/>
    </row>
    <row r="332" spans="1:14" x14ac:dyDescent="0.2">
      <c r="C332" s="766"/>
      <c r="F332" s="766"/>
      <c r="H332" s="782"/>
      <c r="J332" s="787"/>
      <c r="L332" s="782"/>
      <c r="N332" s="766"/>
    </row>
    <row r="333" spans="1:14" x14ac:dyDescent="0.2">
      <c r="C333" s="766"/>
      <c r="F333" s="766"/>
      <c r="H333" s="782"/>
      <c r="J333" s="787"/>
      <c r="L333" s="782"/>
      <c r="N333" s="766"/>
    </row>
    <row r="334" spans="1:14" x14ac:dyDescent="0.2">
      <c r="F334" s="766"/>
      <c r="H334" s="782"/>
      <c r="J334" s="787"/>
      <c r="L334" s="782"/>
      <c r="N334" s="766"/>
    </row>
    <row r="335" spans="1:14" x14ac:dyDescent="0.2">
      <c r="F335" s="766"/>
      <c r="H335" s="741"/>
      <c r="J335" s="787"/>
      <c r="L335" s="741"/>
      <c r="N335" s="766"/>
    </row>
    <row r="336" spans="1:14" x14ac:dyDescent="0.2">
      <c r="C336" s="784"/>
      <c r="G336" s="766"/>
    </row>
    <row r="337" spans="1:14" x14ac:dyDescent="0.2">
      <c r="C337" s="766"/>
      <c r="G337" s="766"/>
    </row>
    <row r="338" spans="1:14" x14ac:dyDescent="0.2">
      <c r="G338" s="766"/>
    </row>
    <row r="339" spans="1:14" x14ac:dyDescent="0.2">
      <c r="M339" s="766"/>
    </row>
    <row r="340" spans="1:14" x14ac:dyDescent="0.2">
      <c r="M340" s="766"/>
    </row>
    <row r="341" spans="1:14" x14ac:dyDescent="0.2">
      <c r="M341" s="766"/>
    </row>
    <row r="342" spans="1:14" x14ac:dyDescent="0.2">
      <c r="A342" s="766"/>
      <c r="C342" s="766"/>
      <c r="H342" s="766"/>
    </row>
    <row r="343" spans="1:14" x14ac:dyDescent="0.2">
      <c r="A343" s="766"/>
      <c r="C343" s="766"/>
      <c r="F343" s="766"/>
      <c r="H343" s="766"/>
      <c r="J343" s="766"/>
      <c r="L343" s="766"/>
    </row>
    <row r="344" spans="1:14" x14ac:dyDescent="0.2">
      <c r="F344" s="766"/>
      <c r="H344" s="766"/>
      <c r="J344" s="766"/>
      <c r="L344" s="766"/>
      <c r="N344" s="766"/>
    </row>
    <row r="345" spans="1:14" x14ac:dyDescent="0.2">
      <c r="A345" s="766"/>
      <c r="C345" s="766"/>
      <c r="H345" s="766"/>
      <c r="J345" s="766"/>
      <c r="L345" s="766"/>
      <c r="N345" s="766"/>
    </row>
    <row r="346" spans="1:14" x14ac:dyDescent="0.2">
      <c r="A346" s="766"/>
      <c r="C346" s="766"/>
      <c r="F346" s="766"/>
      <c r="H346" s="782"/>
      <c r="J346" s="788"/>
      <c r="L346" s="782"/>
    </row>
    <row r="347" spans="1:14" x14ac:dyDescent="0.2">
      <c r="A347" s="766"/>
      <c r="C347" s="766"/>
      <c r="F347" s="766"/>
      <c r="H347" s="782"/>
      <c r="J347" s="787"/>
      <c r="L347" s="782"/>
      <c r="M347" s="766"/>
      <c r="N347" s="766"/>
    </row>
    <row r="348" spans="1:14" x14ac:dyDescent="0.2">
      <c r="A348" s="766"/>
      <c r="C348" s="766"/>
      <c r="F348" s="766"/>
      <c r="H348" s="782"/>
      <c r="J348" s="787"/>
      <c r="L348" s="782"/>
      <c r="N348" s="766"/>
    </row>
    <row r="349" spans="1:14" x14ac:dyDescent="0.2">
      <c r="A349" s="766"/>
      <c r="C349" s="766"/>
      <c r="F349" s="766"/>
      <c r="H349" s="782"/>
      <c r="J349" s="787"/>
      <c r="L349" s="782"/>
      <c r="N349" s="766"/>
    </row>
    <row r="350" spans="1:14" x14ac:dyDescent="0.2">
      <c r="A350" s="766"/>
      <c r="C350" s="766"/>
      <c r="F350" s="766"/>
      <c r="H350" s="782"/>
      <c r="J350" s="787"/>
      <c r="L350" s="782"/>
      <c r="N350" s="766"/>
    </row>
    <row r="351" spans="1:14" x14ac:dyDescent="0.2">
      <c r="A351" s="766"/>
      <c r="C351" s="766"/>
      <c r="F351" s="766"/>
      <c r="H351" s="782"/>
      <c r="J351" s="787"/>
      <c r="L351" s="782"/>
      <c r="N351" s="766"/>
    </row>
    <row r="352" spans="1:14" x14ac:dyDescent="0.2">
      <c r="F352" s="766"/>
      <c r="H352" s="741"/>
      <c r="J352" s="787"/>
      <c r="L352" s="741"/>
      <c r="N352" s="766"/>
    </row>
    <row r="354" spans="1:14" x14ac:dyDescent="0.2">
      <c r="A354" s="766"/>
    </row>
    <row r="355" spans="1:14" x14ac:dyDescent="0.2">
      <c r="A355" s="766"/>
      <c r="C355" s="766"/>
      <c r="F355" s="766"/>
    </row>
    <row r="356" spans="1:14" x14ac:dyDescent="0.2">
      <c r="A356" s="766"/>
      <c r="C356" s="766"/>
      <c r="F356" s="766"/>
      <c r="H356" s="782"/>
      <c r="J356" s="787"/>
      <c r="L356" s="782"/>
      <c r="N356" s="766"/>
    </row>
    <row r="357" spans="1:14" x14ac:dyDescent="0.2">
      <c r="A357" s="766"/>
      <c r="C357" s="766"/>
      <c r="F357" s="766"/>
      <c r="H357" s="782"/>
      <c r="J357" s="787"/>
      <c r="L357" s="782"/>
      <c r="N357" s="766"/>
    </row>
    <row r="358" spans="1:14" x14ac:dyDescent="0.2">
      <c r="A358" s="766"/>
      <c r="C358" s="766"/>
      <c r="F358" s="766"/>
      <c r="H358" s="782"/>
      <c r="J358" s="787"/>
      <c r="K358" s="782"/>
      <c r="L358" s="782"/>
      <c r="N358" s="766"/>
    </row>
    <row r="359" spans="1:14" x14ac:dyDescent="0.2">
      <c r="A359" s="766"/>
      <c r="C359" s="766"/>
      <c r="F359" s="766"/>
      <c r="H359" s="782"/>
      <c r="J359" s="787"/>
      <c r="L359" s="782"/>
      <c r="N359" s="766"/>
    </row>
    <row r="360" spans="1:14" x14ac:dyDescent="0.2">
      <c r="A360" s="766"/>
      <c r="C360" s="766"/>
      <c r="F360" s="766"/>
      <c r="H360" s="741"/>
      <c r="J360" s="787"/>
      <c r="L360" s="741"/>
      <c r="N360" s="766"/>
    </row>
    <row r="361" spans="1:14" x14ac:dyDescent="0.2">
      <c r="A361" s="766"/>
      <c r="C361" s="766"/>
      <c r="F361" s="766"/>
      <c r="H361" s="782"/>
      <c r="J361" s="788"/>
      <c r="L361" s="782"/>
      <c r="N361" s="766"/>
    </row>
    <row r="362" spans="1:14" x14ac:dyDescent="0.2">
      <c r="A362" s="766"/>
      <c r="C362" s="766"/>
      <c r="F362" s="766"/>
      <c r="H362" s="782"/>
      <c r="J362" s="788"/>
      <c r="L362" s="782"/>
      <c r="N362" s="766"/>
    </row>
    <row r="363" spans="1:14" x14ac:dyDescent="0.2">
      <c r="A363" s="766"/>
      <c r="C363" s="766"/>
      <c r="F363" s="766"/>
      <c r="H363" s="782"/>
      <c r="J363" s="787"/>
      <c r="L363" s="782"/>
      <c r="N363" s="766"/>
    </row>
    <row r="364" spans="1:14" x14ac:dyDescent="0.2">
      <c r="A364" s="766"/>
      <c r="C364" s="766"/>
      <c r="F364" s="766"/>
      <c r="H364" s="782"/>
      <c r="J364" s="787"/>
      <c r="L364" s="782"/>
      <c r="N364" s="766"/>
    </row>
    <row r="365" spans="1:14" x14ac:dyDescent="0.2">
      <c r="A365" s="766"/>
      <c r="C365" s="766"/>
      <c r="F365" s="766"/>
      <c r="H365" s="782"/>
      <c r="J365" s="787"/>
      <c r="L365" s="782"/>
      <c r="N365" s="766"/>
    </row>
    <row r="366" spans="1:14" x14ac:dyDescent="0.2">
      <c r="A366" s="766"/>
      <c r="C366" s="766"/>
      <c r="F366" s="766"/>
      <c r="H366" s="782"/>
      <c r="J366" s="787"/>
      <c r="L366" s="782"/>
      <c r="N366" s="766"/>
    </row>
    <row r="367" spans="1:14" x14ac:dyDescent="0.2">
      <c r="F367" s="766"/>
      <c r="H367" s="741"/>
      <c r="J367" s="787"/>
      <c r="L367" s="741"/>
      <c r="N367" s="766"/>
    </row>
    <row r="368" spans="1:14" x14ac:dyDescent="0.2">
      <c r="A368" s="766"/>
      <c r="C368" s="766"/>
      <c r="H368" s="782"/>
      <c r="J368" s="788"/>
      <c r="L368" s="782"/>
      <c r="N368" s="766"/>
    </row>
    <row r="369" spans="1:14" x14ac:dyDescent="0.2">
      <c r="A369" s="766"/>
      <c r="C369" s="766"/>
      <c r="F369" s="766"/>
      <c r="H369" s="782"/>
      <c r="J369" s="788"/>
      <c r="L369" s="782"/>
      <c r="N369" s="766"/>
    </row>
    <row r="370" spans="1:14" x14ac:dyDescent="0.2">
      <c r="A370" s="766"/>
      <c r="C370" s="766"/>
      <c r="F370" s="766"/>
      <c r="H370" s="782"/>
      <c r="I370" s="766"/>
      <c r="J370" s="787"/>
      <c r="L370" s="782"/>
      <c r="N370" s="766"/>
    </row>
    <row r="371" spans="1:14" x14ac:dyDescent="0.2">
      <c r="A371" s="766"/>
      <c r="C371" s="766"/>
      <c r="F371" s="766"/>
      <c r="H371" s="782"/>
      <c r="J371" s="787"/>
      <c r="L371" s="782"/>
      <c r="N371" s="766"/>
    </row>
    <row r="372" spans="1:14" x14ac:dyDescent="0.2">
      <c r="A372" s="766"/>
      <c r="C372" s="766"/>
      <c r="F372" s="766"/>
      <c r="H372" s="782"/>
      <c r="J372" s="787"/>
      <c r="L372" s="782"/>
      <c r="N372" s="766"/>
    </row>
    <row r="373" spans="1:14" x14ac:dyDescent="0.2">
      <c r="A373" s="766"/>
      <c r="C373" s="766"/>
      <c r="F373" s="766"/>
      <c r="H373" s="782"/>
      <c r="J373" s="787"/>
      <c r="L373" s="782"/>
      <c r="N373" s="766"/>
    </row>
    <row r="374" spans="1:14" x14ac:dyDescent="0.2">
      <c r="A374" s="766"/>
      <c r="C374" s="766"/>
      <c r="F374" s="766"/>
      <c r="H374" s="782"/>
      <c r="J374" s="787"/>
      <c r="L374" s="782"/>
      <c r="N374" s="766"/>
    </row>
    <row r="375" spans="1:14" x14ac:dyDescent="0.2">
      <c r="A375" s="766"/>
      <c r="C375" s="766"/>
      <c r="F375" s="766"/>
      <c r="H375" s="782"/>
      <c r="J375" s="787"/>
      <c r="L375" s="782"/>
      <c r="N375" s="766"/>
    </row>
    <row r="376" spans="1:14" x14ac:dyDescent="0.2">
      <c r="A376" s="766"/>
      <c r="C376" s="766"/>
      <c r="F376" s="766"/>
      <c r="H376" s="782"/>
      <c r="J376" s="787"/>
      <c r="L376" s="782"/>
      <c r="N376" s="766"/>
    </row>
    <row r="377" spans="1:14" x14ac:dyDescent="0.2">
      <c r="A377" s="766"/>
      <c r="C377" s="766"/>
      <c r="F377" s="766"/>
      <c r="H377" s="782"/>
      <c r="J377" s="787"/>
      <c r="L377" s="782"/>
      <c r="N377" s="766"/>
    </row>
    <row r="378" spans="1:14" x14ac:dyDescent="0.2">
      <c r="A378" s="766"/>
      <c r="C378" s="766"/>
      <c r="F378" s="766"/>
      <c r="H378" s="782"/>
      <c r="J378" s="787"/>
      <c r="L378" s="782"/>
      <c r="N378" s="766"/>
    </row>
    <row r="379" spans="1:14" x14ac:dyDescent="0.2">
      <c r="F379" s="766"/>
      <c r="H379" s="741"/>
      <c r="J379" s="787"/>
      <c r="L379" s="741"/>
      <c r="M379" s="766"/>
      <c r="N379" s="766"/>
    </row>
    <row r="380" spans="1:14" x14ac:dyDescent="0.2">
      <c r="C380" s="784"/>
      <c r="G380" s="766"/>
    </row>
    <row r="381" spans="1:14" x14ac:dyDescent="0.2">
      <c r="C381" s="785"/>
      <c r="G381" s="766"/>
    </row>
    <row r="382" spans="1:14" x14ac:dyDescent="0.2">
      <c r="C382" s="766"/>
      <c r="G382" s="766"/>
    </row>
    <row r="383" spans="1:14" x14ac:dyDescent="0.2">
      <c r="G383" s="766"/>
    </row>
    <row r="384" spans="1:14" x14ac:dyDescent="0.2">
      <c r="M384" s="766"/>
    </row>
    <row r="385" spans="1:14" x14ac:dyDescent="0.2">
      <c r="M385" s="766"/>
    </row>
    <row r="386" spans="1:14" x14ac:dyDescent="0.2">
      <c r="M386" s="766"/>
    </row>
    <row r="387" spans="1:14" x14ac:dyDescent="0.2">
      <c r="A387" s="766"/>
      <c r="C387" s="766"/>
      <c r="H387" s="766"/>
    </row>
    <row r="388" spans="1:14" x14ac:dyDescent="0.2">
      <c r="A388" s="766"/>
      <c r="C388" s="766"/>
      <c r="F388" s="766"/>
      <c r="H388" s="766"/>
      <c r="J388" s="766"/>
      <c r="L388" s="766"/>
    </row>
    <row r="389" spans="1:14" x14ac:dyDescent="0.2">
      <c r="F389" s="766"/>
      <c r="H389" s="766"/>
      <c r="J389" s="766"/>
      <c r="L389" s="766"/>
      <c r="N389" s="766"/>
    </row>
    <row r="390" spans="1:14" x14ac:dyDescent="0.2">
      <c r="A390" s="766"/>
      <c r="C390" s="766"/>
      <c r="H390" s="766"/>
      <c r="J390" s="766"/>
      <c r="L390" s="766"/>
      <c r="N390" s="766"/>
    </row>
    <row r="391" spans="1:14" x14ac:dyDescent="0.2">
      <c r="A391" s="766"/>
      <c r="F391" s="766"/>
      <c r="H391" s="766"/>
      <c r="J391" s="766"/>
      <c r="L391" s="766"/>
    </row>
    <row r="392" spans="1:14" x14ac:dyDescent="0.2">
      <c r="A392" s="766"/>
      <c r="C392" s="766"/>
      <c r="F392" s="766"/>
    </row>
    <row r="393" spans="1:14" x14ac:dyDescent="0.2">
      <c r="A393" s="766"/>
      <c r="C393" s="766"/>
      <c r="F393" s="766"/>
      <c r="H393" s="782"/>
      <c r="J393" s="788"/>
      <c r="L393" s="782"/>
      <c r="N393" s="766"/>
    </row>
    <row r="394" spans="1:14" x14ac:dyDescent="0.2">
      <c r="A394" s="766"/>
      <c r="C394" s="766"/>
      <c r="F394" s="766"/>
      <c r="H394" s="782"/>
      <c r="J394" s="788"/>
      <c r="L394" s="782"/>
      <c r="N394" s="766"/>
    </row>
    <row r="395" spans="1:14" x14ac:dyDescent="0.2">
      <c r="A395" s="766"/>
      <c r="C395" s="766"/>
      <c r="F395" s="766"/>
      <c r="H395" s="782"/>
      <c r="J395" s="787"/>
      <c r="L395" s="782"/>
      <c r="N395" s="766"/>
    </row>
    <row r="396" spans="1:14" x14ac:dyDescent="0.2">
      <c r="F396" s="766"/>
      <c r="H396" s="782"/>
      <c r="J396" s="787"/>
      <c r="L396" s="741"/>
      <c r="N396" s="766"/>
    </row>
    <row r="397" spans="1:14" x14ac:dyDescent="0.2">
      <c r="A397" s="766"/>
      <c r="C397" s="766"/>
    </row>
    <row r="398" spans="1:14" x14ac:dyDescent="0.2">
      <c r="F398" s="766"/>
      <c r="H398" s="741"/>
      <c r="J398" s="787"/>
      <c r="L398" s="741"/>
      <c r="N398" s="766"/>
    </row>
    <row r="399" spans="1:14" x14ac:dyDescent="0.2">
      <c r="A399" s="766"/>
      <c r="C399" s="766"/>
    </row>
    <row r="400" spans="1:14" x14ac:dyDescent="0.2">
      <c r="A400" s="766"/>
      <c r="C400" s="766"/>
      <c r="F400" s="766"/>
      <c r="H400" s="782"/>
      <c r="J400" s="787"/>
      <c r="L400" s="782"/>
      <c r="N400" s="766"/>
    </row>
    <row r="401" spans="1:14" x14ac:dyDescent="0.2">
      <c r="A401" s="766"/>
      <c r="C401" s="766"/>
      <c r="F401" s="766"/>
      <c r="H401" s="782"/>
      <c r="J401" s="787"/>
      <c r="L401" s="782"/>
      <c r="N401" s="766"/>
    </row>
    <row r="402" spans="1:14" x14ac:dyDescent="0.2">
      <c r="A402" s="766"/>
      <c r="C402" s="766"/>
      <c r="F402" s="766"/>
      <c r="H402" s="782"/>
      <c r="J402" s="787"/>
      <c r="L402" s="782"/>
      <c r="N402" s="766"/>
    </row>
    <row r="403" spans="1:14" x14ac:dyDescent="0.2">
      <c r="F403" s="766"/>
      <c r="H403" s="741"/>
      <c r="J403" s="787"/>
      <c r="L403" s="741"/>
      <c r="N403" s="766"/>
    </row>
    <row r="404" spans="1:14" x14ac:dyDescent="0.2">
      <c r="A404" s="766"/>
      <c r="C404" s="766"/>
      <c r="J404" s="788"/>
    </row>
    <row r="405" spans="1:14" x14ac:dyDescent="0.2">
      <c r="F405" s="766"/>
      <c r="H405" s="741"/>
      <c r="J405" s="787"/>
      <c r="L405" s="741"/>
      <c r="N405" s="766"/>
    </row>
    <row r="406" spans="1:14" x14ac:dyDescent="0.2">
      <c r="C406" s="766"/>
    </row>
    <row r="410" spans="1:14" x14ac:dyDescent="0.2">
      <c r="A410" s="766"/>
    </row>
    <row r="411" spans="1:14" x14ac:dyDescent="0.2">
      <c r="A411" s="766"/>
    </row>
    <row r="412" spans="1:14" x14ac:dyDescent="0.2">
      <c r="A412" s="766"/>
    </row>
    <row r="413" spans="1:14" x14ac:dyDescent="0.2">
      <c r="A413" s="766"/>
    </row>
    <row r="415" spans="1:14" x14ac:dyDescent="0.2">
      <c r="A415" s="766"/>
    </row>
  </sheetData>
  <mergeCells count="4">
    <mergeCell ref="A1:S1"/>
    <mergeCell ref="A2:S2"/>
    <mergeCell ref="A3:S3"/>
    <mergeCell ref="A4:S4"/>
  </mergeCells>
  <phoneticPr fontId="0" type="noConversion"/>
  <printOptions horizontalCentered="1"/>
  <pageMargins left="0.25" right="0.25" top="1" bottom="0" header="0.5" footer="0.5"/>
  <pageSetup scale="99" orientation="landscape" r:id="rId1"/>
  <headerFooter alignWithMargins="0"/>
  <ignoredErrors>
    <ignoredError sqref="S8" unlockedFormula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46" transitionEvaluation="1" transitionEntry="1" codeName="Sheet59"/>
  <dimension ref="A1:AV521"/>
  <sheetViews>
    <sheetView showGridLines="0" topLeftCell="A46" zoomScaleNormal="100" zoomScaleSheetLayoutView="90" workbookViewId="0">
      <selection activeCell="T142" sqref="T142"/>
    </sheetView>
  </sheetViews>
  <sheetFormatPr defaultColWidth="8.33203125" defaultRowHeight="12" x14ac:dyDescent="0.2"/>
  <cols>
    <col min="1" max="1" width="8.33203125" style="730" customWidth="1"/>
    <col min="2" max="2" width="8.33203125" style="730"/>
    <col min="3" max="3" width="8.33203125" style="730" customWidth="1"/>
    <col min="4" max="4" width="8.33203125" style="730"/>
    <col min="5" max="5" width="8.33203125" style="730" customWidth="1"/>
    <col min="6" max="6" width="8.33203125" style="730"/>
    <col min="7" max="7" width="8.33203125" style="730" customWidth="1"/>
    <col min="8" max="8" width="8.33203125" style="730"/>
    <col min="9" max="9" width="8.33203125" style="730" customWidth="1"/>
    <col min="10" max="10" width="8.33203125" style="730"/>
    <col min="11" max="11" width="8.33203125" style="730" customWidth="1"/>
    <col min="12" max="12" width="8.33203125" style="730"/>
    <col min="13" max="13" width="15.83203125" style="730" customWidth="1"/>
    <col min="14" max="14" width="14.33203125" style="730" customWidth="1"/>
    <col min="15" max="15" width="5" style="730" customWidth="1"/>
    <col min="16" max="16" width="13.5" style="730" customWidth="1"/>
    <col min="17" max="17" width="14.6640625" style="730" bestFit="1" customWidth="1"/>
    <col min="18" max="18" width="12.83203125" style="730" customWidth="1"/>
    <col min="19" max="19" width="8.33203125" style="730"/>
    <col min="20" max="20" width="8.33203125" style="770"/>
    <col min="21" max="21" width="10" style="770" bestFit="1" customWidth="1"/>
    <col min="22" max="22" width="7" style="770" customWidth="1"/>
    <col min="23" max="23" width="12.83203125" style="770" bestFit="1" customWidth="1"/>
    <col min="24" max="25" width="8.33203125" style="770" customWidth="1"/>
    <col min="26" max="26" width="9.1640625" style="730" customWidth="1"/>
    <col min="27" max="27" width="10" style="730" customWidth="1"/>
    <col min="28" max="16384" width="8.33203125" style="730"/>
  </cols>
  <sheetData>
    <row r="1" spans="1:23" ht="12.75" customHeight="1" x14ac:dyDescent="0.2">
      <c r="A1" s="2159" t="s">
        <v>624</v>
      </c>
      <c r="B1" s="2159"/>
      <c r="C1" s="2159"/>
      <c r="D1" s="2159"/>
      <c r="E1" s="2159"/>
      <c r="F1" s="2159"/>
      <c r="G1" s="2159"/>
      <c r="H1" s="2159"/>
      <c r="I1" s="2159"/>
      <c r="J1" s="2159"/>
      <c r="K1" s="2159"/>
      <c r="L1" s="2159"/>
      <c r="M1" s="2159"/>
      <c r="N1" s="2159"/>
      <c r="O1" s="2159"/>
      <c r="P1" s="2159"/>
      <c r="Q1" s="2159"/>
      <c r="R1" s="2159"/>
    </row>
    <row r="2" spans="1:23" ht="12.75" customHeight="1" x14ac:dyDescent="0.2">
      <c r="A2" s="2159" t="str">
        <f>case</f>
        <v>CASE NO. 2016 - 00162</v>
      </c>
      <c r="B2" s="2159"/>
      <c r="C2" s="2159"/>
      <c r="D2" s="2159"/>
      <c r="E2" s="2159"/>
      <c r="F2" s="2159"/>
      <c r="G2" s="2159"/>
      <c r="H2" s="2159"/>
      <c r="I2" s="2159"/>
      <c r="J2" s="2159"/>
      <c r="K2" s="2159"/>
      <c r="L2" s="2159"/>
      <c r="M2" s="2159"/>
      <c r="N2" s="2159"/>
      <c r="O2" s="2159"/>
      <c r="P2" s="2159"/>
      <c r="Q2" s="2159"/>
      <c r="R2" s="2159"/>
    </row>
    <row r="3" spans="1:23" ht="12.75" customHeight="1" x14ac:dyDescent="0.2">
      <c r="A3" s="2159" t="s">
        <v>1294</v>
      </c>
      <c r="B3" s="2159"/>
      <c r="C3" s="2159"/>
      <c r="D3" s="2159"/>
      <c r="E3" s="2159"/>
      <c r="F3" s="2159"/>
      <c r="G3" s="2159"/>
      <c r="H3" s="2159"/>
      <c r="I3" s="2159"/>
      <c r="J3" s="2159"/>
      <c r="K3" s="2159"/>
      <c r="L3" s="2159"/>
      <c r="M3" s="2159"/>
      <c r="N3" s="2159"/>
      <c r="O3" s="2159"/>
      <c r="P3" s="2159"/>
      <c r="Q3" s="2159"/>
      <c r="R3" s="2159"/>
    </row>
    <row r="4" spans="1:23" ht="12.75" customHeight="1" x14ac:dyDescent="0.2">
      <c r="A4" s="2158" t="s">
        <v>1983</v>
      </c>
      <c r="B4" s="2158"/>
      <c r="C4" s="2158"/>
      <c r="D4" s="2158"/>
      <c r="E4" s="2158"/>
      <c r="F4" s="2158"/>
      <c r="G4" s="2158"/>
      <c r="H4" s="2158"/>
      <c r="I4" s="2158"/>
      <c r="J4" s="2158"/>
      <c r="K4" s="2158"/>
      <c r="L4" s="2158"/>
      <c r="M4" s="2158"/>
      <c r="N4" s="2158"/>
      <c r="O4" s="2158"/>
      <c r="P4" s="2158"/>
      <c r="Q4" s="2158"/>
      <c r="R4" s="2158"/>
    </row>
    <row r="5" spans="1:23" x14ac:dyDescent="0.2">
      <c r="C5" s="1403"/>
      <c r="J5" s="724"/>
    </row>
    <row r="6" spans="1:23" x14ac:dyDescent="0.2">
      <c r="A6" s="767" t="s">
        <v>1808</v>
      </c>
      <c r="R6" s="769" t="s">
        <v>172</v>
      </c>
      <c r="S6" s="770"/>
      <c r="U6" s="790"/>
    </row>
    <row r="7" spans="1:23" x14ac:dyDescent="0.2">
      <c r="A7" s="767" t="s">
        <v>1604</v>
      </c>
      <c r="R7" s="769" t="s">
        <v>157</v>
      </c>
      <c r="S7" s="770"/>
      <c r="U7" s="790"/>
    </row>
    <row r="8" spans="1:23" x14ac:dyDescent="0.2">
      <c r="A8" s="767" t="s">
        <v>1868</v>
      </c>
      <c r="R8" s="769" t="str">
        <f>JTC</f>
        <v>WITNESS:  J. T. CROOM</v>
      </c>
      <c r="S8" s="770"/>
      <c r="U8" s="790"/>
    </row>
    <row r="9" spans="1:23" x14ac:dyDescent="0.2">
      <c r="A9" s="766"/>
      <c r="C9" s="766"/>
      <c r="H9" s="766"/>
      <c r="J9" s="766"/>
      <c r="L9" s="766"/>
      <c r="S9" s="770"/>
    </row>
    <row r="10" spans="1:23" x14ac:dyDescent="0.2">
      <c r="A10" s="758"/>
      <c r="B10" s="758"/>
      <c r="C10" s="758"/>
      <c r="D10" s="758"/>
      <c r="E10" s="758"/>
      <c r="F10" s="758"/>
      <c r="G10" s="758"/>
      <c r="H10" s="758"/>
      <c r="I10" s="758"/>
      <c r="J10" s="758"/>
      <c r="K10" s="758"/>
      <c r="L10" s="758"/>
      <c r="M10" s="758"/>
      <c r="N10" s="758"/>
      <c r="O10" s="734" t="s">
        <v>134</v>
      </c>
      <c r="P10" s="758"/>
      <c r="Q10" s="758"/>
      <c r="R10" s="758"/>
      <c r="S10" s="770"/>
    </row>
    <row r="11" spans="1:23" x14ac:dyDescent="0.2">
      <c r="A11" s="1942" t="s">
        <v>135</v>
      </c>
      <c r="B11" s="759"/>
      <c r="C11" s="1943"/>
      <c r="D11" s="759"/>
      <c r="E11" s="759"/>
      <c r="F11" s="759"/>
      <c r="G11" s="759"/>
      <c r="H11" s="759"/>
      <c r="I11" s="759"/>
      <c r="J11" s="759"/>
      <c r="K11" s="759"/>
      <c r="L11" s="759"/>
      <c r="M11" s="759"/>
      <c r="N11" s="759"/>
      <c r="O11" s="737" t="s">
        <v>136</v>
      </c>
      <c r="P11" s="759"/>
      <c r="Q11" s="759"/>
      <c r="R11" s="737" t="s">
        <v>137</v>
      </c>
      <c r="S11" s="770"/>
    </row>
    <row r="12" spans="1:23" x14ac:dyDescent="0.2">
      <c r="S12" s="770"/>
      <c r="T12" s="1232"/>
    </row>
    <row r="13" spans="1:23" x14ac:dyDescent="0.2">
      <c r="A13" s="1401" t="s">
        <v>138</v>
      </c>
      <c r="S13" s="770"/>
    </row>
    <row r="14" spans="1:23" x14ac:dyDescent="0.2">
      <c r="A14" s="767" t="s">
        <v>2379</v>
      </c>
      <c r="O14" s="730" t="s">
        <v>1952</v>
      </c>
      <c r="Q14" s="767" t="s">
        <v>1112</v>
      </c>
      <c r="R14" s="776">
        <v>97179</v>
      </c>
      <c r="S14" s="770"/>
      <c r="W14" s="800"/>
    </row>
    <row r="15" spans="1:23" x14ac:dyDescent="0.2">
      <c r="A15" s="767" t="s">
        <v>1826</v>
      </c>
      <c r="Q15" s="767" t="s">
        <v>634</v>
      </c>
      <c r="R15" s="1402">
        <v>0</v>
      </c>
      <c r="S15" s="770"/>
      <c r="W15" s="801"/>
    </row>
    <row r="16" spans="1:23" x14ac:dyDescent="0.2">
      <c r="A16" s="767"/>
      <c r="Q16" s="767" t="s">
        <v>760</v>
      </c>
      <c r="R16" s="776">
        <f>R14-R15</f>
        <v>97179</v>
      </c>
      <c r="S16" s="770"/>
      <c r="W16" s="800"/>
    </row>
    <row r="17" spans="1:25" x14ac:dyDescent="0.2">
      <c r="A17" s="767"/>
      <c r="Q17" s="767"/>
      <c r="R17" s="776"/>
      <c r="S17" s="770"/>
      <c r="W17" s="800"/>
    </row>
    <row r="18" spans="1:25" x14ac:dyDescent="0.2">
      <c r="A18" s="1401" t="s">
        <v>143</v>
      </c>
      <c r="S18" s="770"/>
    </row>
    <row r="19" spans="1:25" x14ac:dyDescent="0.2">
      <c r="A19" s="767" t="s">
        <v>1649</v>
      </c>
      <c r="O19" s="730" t="s">
        <v>1953</v>
      </c>
      <c r="Q19" s="767" t="s">
        <v>1112</v>
      </c>
      <c r="R19" s="776">
        <v>219333</v>
      </c>
      <c r="T19" s="745"/>
      <c r="U19" s="745"/>
      <c r="V19" s="745"/>
      <c r="Y19" s="745"/>
    </row>
    <row r="20" spans="1:25" x14ac:dyDescent="0.2">
      <c r="A20" s="767" t="s">
        <v>2330</v>
      </c>
      <c r="H20" s="1247"/>
      <c r="J20" s="783"/>
      <c r="L20" s="1247"/>
      <c r="N20" s="1403"/>
      <c r="Q20" s="767" t="s">
        <v>634</v>
      </c>
      <c r="R20" s="1402">
        <v>0</v>
      </c>
      <c r="W20" s="745"/>
    </row>
    <row r="21" spans="1:25" x14ac:dyDescent="0.2">
      <c r="A21" s="767"/>
      <c r="C21" s="741"/>
      <c r="D21" s="741"/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67" t="s">
        <v>760</v>
      </c>
      <c r="R21" s="776">
        <f>R19-R20</f>
        <v>219333</v>
      </c>
      <c r="W21" s="800"/>
    </row>
    <row r="22" spans="1:25" x14ac:dyDescent="0.2">
      <c r="A22" s="767"/>
      <c r="C22" s="741"/>
      <c r="D22" s="741"/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67"/>
      <c r="R22" s="776"/>
      <c r="W22" s="800"/>
    </row>
    <row r="23" spans="1:25" x14ac:dyDescent="0.2">
      <c r="A23" s="1401" t="s">
        <v>148</v>
      </c>
      <c r="C23" s="741"/>
      <c r="D23" s="741"/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67"/>
      <c r="R23" s="776"/>
      <c r="W23" s="1229"/>
    </row>
    <row r="24" spans="1:25" x14ac:dyDescent="0.2">
      <c r="A24" s="767" t="s">
        <v>1813</v>
      </c>
      <c r="C24" s="1403"/>
      <c r="O24" s="730" t="s">
        <v>1954</v>
      </c>
      <c r="Q24" s="767" t="s">
        <v>1112</v>
      </c>
      <c r="R24" s="776">
        <v>-77448</v>
      </c>
      <c r="W24" s="1230"/>
    </row>
    <row r="25" spans="1:25" x14ac:dyDescent="0.2">
      <c r="A25" s="767" t="s">
        <v>1814</v>
      </c>
      <c r="Q25" s="767" t="s">
        <v>634</v>
      </c>
      <c r="R25" s="1402">
        <v>0</v>
      </c>
    </row>
    <row r="26" spans="1:25" x14ac:dyDescent="0.2">
      <c r="A26" s="767" t="s">
        <v>1811</v>
      </c>
      <c r="Q26" s="767" t="s">
        <v>760</v>
      </c>
      <c r="R26" s="776">
        <f>R24-R25</f>
        <v>-77448</v>
      </c>
    </row>
    <row r="27" spans="1:25" x14ac:dyDescent="0.2">
      <c r="A27" s="767"/>
      <c r="C27" s="741"/>
      <c r="D27" s="741"/>
      <c r="E27" s="741"/>
      <c r="F27" s="741"/>
      <c r="G27" s="741"/>
      <c r="H27" s="741"/>
      <c r="I27" s="741"/>
      <c r="J27" s="741"/>
      <c r="K27" s="741"/>
      <c r="L27" s="741"/>
      <c r="M27" s="741"/>
      <c r="N27" s="741"/>
      <c r="O27" s="741"/>
      <c r="P27" s="741"/>
      <c r="Q27" s="767"/>
      <c r="R27" s="776"/>
      <c r="U27" s="1231"/>
      <c r="W27" s="801"/>
    </row>
    <row r="28" spans="1:25" x14ac:dyDescent="0.2">
      <c r="A28" s="767"/>
      <c r="C28" s="741"/>
      <c r="D28" s="741"/>
      <c r="E28" s="741"/>
      <c r="F28" s="741"/>
      <c r="G28" s="741"/>
      <c r="H28" s="741"/>
      <c r="I28" s="741"/>
      <c r="J28" s="741"/>
      <c r="K28" s="741"/>
      <c r="L28" s="741"/>
      <c r="M28" s="741"/>
      <c r="N28" s="741"/>
      <c r="O28" s="741"/>
      <c r="P28" s="741"/>
      <c r="Q28" s="767"/>
      <c r="R28" s="776"/>
      <c r="U28" s="1231"/>
      <c r="W28" s="801"/>
    </row>
    <row r="29" spans="1:25" x14ac:dyDescent="0.2">
      <c r="A29" s="1401" t="s">
        <v>1812</v>
      </c>
      <c r="C29" s="741"/>
      <c r="D29" s="741"/>
      <c r="E29" s="741"/>
      <c r="F29" s="741"/>
      <c r="G29" s="741"/>
      <c r="H29" s="741"/>
      <c r="I29" s="741"/>
      <c r="J29" s="741"/>
      <c r="K29" s="741"/>
      <c r="L29" s="741"/>
      <c r="M29" s="741"/>
      <c r="N29" s="741"/>
      <c r="O29" s="741"/>
      <c r="P29" s="741"/>
      <c r="Q29" s="767"/>
      <c r="R29" s="776"/>
      <c r="W29" s="1230"/>
    </row>
    <row r="30" spans="1:25" x14ac:dyDescent="0.2">
      <c r="A30" s="767" t="s">
        <v>1823</v>
      </c>
      <c r="C30" s="1403"/>
      <c r="O30" s="730" t="s">
        <v>1956</v>
      </c>
      <c r="Q30" s="767" t="s">
        <v>1112</v>
      </c>
      <c r="R30" s="776">
        <v>-678407</v>
      </c>
    </row>
    <row r="31" spans="1:25" x14ac:dyDescent="0.2">
      <c r="A31" s="767" t="s">
        <v>1825</v>
      </c>
      <c r="Q31" s="767" t="s">
        <v>634</v>
      </c>
      <c r="R31" s="1402">
        <v>0</v>
      </c>
      <c r="U31" s="1231"/>
      <c r="W31" s="1230"/>
    </row>
    <row r="32" spans="1:25" x14ac:dyDescent="0.2">
      <c r="A32" s="730" t="s">
        <v>1824</v>
      </c>
      <c r="Q32" s="767" t="s">
        <v>760</v>
      </c>
      <c r="R32" s="776">
        <f>R30-R31</f>
        <v>-678407</v>
      </c>
      <c r="W32" s="1230"/>
    </row>
    <row r="33" spans="1:29" x14ac:dyDescent="0.2">
      <c r="Q33" s="767"/>
      <c r="R33" s="776"/>
    </row>
    <row r="34" spans="1:29" x14ac:dyDescent="0.2">
      <c r="Q34" s="767"/>
      <c r="R34" s="776"/>
    </row>
    <row r="35" spans="1:29" x14ac:dyDescent="0.2">
      <c r="A35" s="786" t="s">
        <v>1815</v>
      </c>
      <c r="Q35" s="767"/>
      <c r="R35" s="776"/>
    </row>
    <row r="36" spans="1:29" x14ac:dyDescent="0.2">
      <c r="A36" s="767" t="s">
        <v>1828</v>
      </c>
      <c r="C36" s="1403"/>
      <c r="O36" s="730" t="s">
        <v>1955</v>
      </c>
      <c r="Q36" s="767" t="s">
        <v>1112</v>
      </c>
      <c r="R36" s="776">
        <v>-12922</v>
      </c>
      <c r="T36" s="745"/>
      <c r="U36" s="745"/>
      <c r="V36" s="745"/>
      <c r="W36" s="745"/>
      <c r="X36" s="745"/>
    </row>
    <row r="37" spans="1:29" x14ac:dyDescent="0.2">
      <c r="A37" s="767" t="s">
        <v>1827</v>
      </c>
      <c r="Q37" s="767" t="s">
        <v>634</v>
      </c>
      <c r="R37" s="1402">
        <v>0</v>
      </c>
      <c r="T37" s="745"/>
      <c r="U37" s="745"/>
      <c r="V37" s="745"/>
      <c r="W37" s="745"/>
      <c r="X37" s="745"/>
    </row>
    <row r="38" spans="1:29" x14ac:dyDescent="0.2">
      <c r="Q38" s="767" t="s">
        <v>760</v>
      </c>
      <c r="R38" s="776">
        <f>R36-R37</f>
        <v>-12922</v>
      </c>
    </row>
    <row r="39" spans="1:29" x14ac:dyDescent="0.2">
      <c r="Q39" s="767"/>
      <c r="R39" s="776"/>
    </row>
    <row r="40" spans="1:29" x14ac:dyDescent="0.2">
      <c r="A40" s="786" t="s">
        <v>1816</v>
      </c>
      <c r="Q40" s="767"/>
      <c r="R40" s="776"/>
      <c r="Y40" s="791"/>
    </row>
    <row r="41" spans="1:29" x14ac:dyDescent="0.2">
      <c r="A41" s="767" t="s">
        <v>1830</v>
      </c>
      <c r="C41" s="1403"/>
      <c r="O41" s="730" t="s">
        <v>1957</v>
      </c>
      <c r="Q41" s="767" t="s">
        <v>1112</v>
      </c>
      <c r="R41" s="776">
        <v>-181969</v>
      </c>
    </row>
    <row r="42" spans="1:29" x14ac:dyDescent="0.2">
      <c r="A42" s="767" t="s">
        <v>1829</v>
      </c>
      <c r="Q42" s="767" t="s">
        <v>634</v>
      </c>
      <c r="R42" s="1402">
        <v>0</v>
      </c>
      <c r="S42" s="741"/>
      <c r="Y42" s="745"/>
      <c r="Z42" s="741"/>
      <c r="AA42" s="741"/>
      <c r="AB42" s="741"/>
      <c r="AC42" s="741"/>
    </row>
    <row r="43" spans="1:29" x14ac:dyDescent="0.2">
      <c r="Q43" s="767" t="s">
        <v>760</v>
      </c>
      <c r="R43" s="776">
        <f>R41-R42</f>
        <v>-181969</v>
      </c>
      <c r="S43" s="741"/>
      <c r="Y43" s="745"/>
      <c r="Z43" s="741"/>
      <c r="AA43" s="741"/>
      <c r="AB43" s="741"/>
      <c r="AC43" s="741"/>
    </row>
    <row r="44" spans="1:29" ht="11.25" customHeight="1" x14ac:dyDescent="0.2"/>
    <row r="45" spans="1:29" x14ac:dyDescent="0.2">
      <c r="A45" s="786" t="s">
        <v>1817</v>
      </c>
      <c r="R45" s="778"/>
    </row>
    <row r="46" spans="1:29" x14ac:dyDescent="0.2">
      <c r="A46" s="767" t="s">
        <v>1819</v>
      </c>
      <c r="C46" s="1403"/>
      <c r="O46" s="730" t="s">
        <v>1958</v>
      </c>
      <c r="Q46" s="767" t="s">
        <v>1112</v>
      </c>
      <c r="R46" s="776">
        <v>-50347</v>
      </c>
    </row>
    <row r="47" spans="1:29" x14ac:dyDescent="0.2">
      <c r="A47" s="767" t="s">
        <v>1820</v>
      </c>
      <c r="Q47" s="767" t="s">
        <v>634</v>
      </c>
      <c r="R47" s="1402">
        <v>0</v>
      </c>
    </row>
    <row r="48" spans="1:29" x14ac:dyDescent="0.2">
      <c r="Q48" s="767" t="s">
        <v>760</v>
      </c>
      <c r="R48" s="776">
        <f>R46-R47</f>
        <v>-50347</v>
      </c>
    </row>
    <row r="49" spans="1:18" x14ac:dyDescent="0.2">
      <c r="Q49" s="767"/>
      <c r="R49" s="776"/>
    </row>
    <row r="50" spans="1:18" x14ac:dyDescent="0.2">
      <c r="A50" s="786" t="s">
        <v>1818</v>
      </c>
      <c r="Q50" s="767"/>
      <c r="R50" s="776"/>
    </row>
    <row r="51" spans="1:18" x14ac:dyDescent="0.2">
      <c r="A51" s="767" t="s">
        <v>1869</v>
      </c>
      <c r="Q51" s="767" t="s">
        <v>1112</v>
      </c>
      <c r="R51" s="776">
        <v>-9559</v>
      </c>
    </row>
    <row r="52" spans="1:18" x14ac:dyDescent="0.2">
      <c r="A52" s="767" t="s">
        <v>1916</v>
      </c>
      <c r="Q52" s="767" t="s">
        <v>634</v>
      </c>
      <c r="R52" s="1402">
        <v>0</v>
      </c>
    </row>
    <row r="53" spans="1:18" x14ac:dyDescent="0.2">
      <c r="A53" s="730" t="s">
        <v>1917</v>
      </c>
      <c r="Q53" s="767" t="s">
        <v>760</v>
      </c>
      <c r="R53" s="776">
        <f>R51-R52</f>
        <v>-9559</v>
      </c>
    </row>
    <row r="54" spans="1:18" x14ac:dyDescent="0.2">
      <c r="Q54" s="767"/>
      <c r="R54" s="776"/>
    </row>
    <row r="55" spans="1:18" x14ac:dyDescent="0.2">
      <c r="Q55" s="767"/>
      <c r="R55" s="776"/>
    </row>
    <row r="56" spans="1:18" x14ac:dyDescent="0.2">
      <c r="Q56" s="767"/>
      <c r="R56" s="776"/>
    </row>
    <row r="57" spans="1:18" x14ac:dyDescent="0.2">
      <c r="Q57" s="767"/>
      <c r="R57" s="776"/>
    </row>
    <row r="58" spans="1:18" x14ac:dyDescent="0.2">
      <c r="A58" s="2159" t="s">
        <v>624</v>
      </c>
      <c r="B58" s="2159"/>
      <c r="C58" s="2159"/>
      <c r="D58" s="2159"/>
      <c r="E58" s="2159"/>
      <c r="F58" s="2159"/>
      <c r="G58" s="2159"/>
      <c r="H58" s="2159"/>
      <c r="I58" s="2159"/>
      <c r="J58" s="2159"/>
      <c r="K58" s="2159"/>
      <c r="L58" s="2159"/>
      <c r="M58" s="2159"/>
      <c r="N58" s="2159"/>
      <c r="O58" s="2159"/>
      <c r="P58" s="2159"/>
      <c r="Q58" s="2159"/>
      <c r="R58" s="2159"/>
    </row>
    <row r="59" spans="1:18" x14ac:dyDescent="0.2">
      <c r="A59" s="2159" t="str">
        <f>case</f>
        <v>CASE NO. 2016 - 00162</v>
      </c>
      <c r="B59" s="2159"/>
      <c r="C59" s="2159"/>
      <c r="D59" s="2159"/>
      <c r="E59" s="2159"/>
      <c r="F59" s="2159"/>
      <c r="G59" s="2159"/>
      <c r="H59" s="2159"/>
      <c r="I59" s="2159"/>
      <c r="J59" s="2159"/>
      <c r="K59" s="2159"/>
      <c r="L59" s="2159"/>
      <c r="M59" s="2159"/>
      <c r="N59" s="2159"/>
      <c r="O59" s="2159"/>
      <c r="P59" s="2159"/>
      <c r="Q59" s="2159"/>
      <c r="R59" s="2159"/>
    </row>
    <row r="60" spans="1:18" x14ac:dyDescent="0.2">
      <c r="A60" s="2159" t="s">
        <v>1294</v>
      </c>
      <c r="B60" s="2159"/>
      <c r="C60" s="2159"/>
      <c r="D60" s="2159"/>
      <c r="E60" s="2159"/>
      <c r="F60" s="2159"/>
      <c r="G60" s="2159"/>
      <c r="H60" s="2159"/>
      <c r="I60" s="2159"/>
      <c r="J60" s="2159"/>
      <c r="K60" s="2159"/>
      <c r="L60" s="2159"/>
      <c r="M60" s="2159"/>
      <c r="N60" s="2159"/>
      <c r="O60" s="2159"/>
      <c r="P60" s="2159"/>
      <c r="Q60" s="2159"/>
      <c r="R60" s="2159"/>
    </row>
    <row r="61" spans="1:18" x14ac:dyDescent="0.2">
      <c r="A61" s="2159" t="str">
        <f>A4</f>
        <v>FOR THE TWELVE MONTHS ENDED DECEMBER 31, 2017</v>
      </c>
      <c r="B61" s="2159"/>
      <c r="C61" s="2159"/>
      <c r="D61" s="2159"/>
      <c r="E61" s="2159"/>
      <c r="F61" s="2159"/>
      <c r="G61" s="2159"/>
      <c r="H61" s="2159"/>
      <c r="I61" s="2159"/>
      <c r="J61" s="2159"/>
      <c r="K61" s="2159"/>
      <c r="L61" s="2159"/>
      <c r="M61" s="2159"/>
      <c r="N61" s="2159"/>
      <c r="O61" s="2159"/>
      <c r="P61" s="2159"/>
      <c r="Q61" s="2159"/>
      <c r="R61" s="2159"/>
    </row>
    <row r="62" spans="1:18" x14ac:dyDescent="0.2">
      <c r="C62" s="1403"/>
      <c r="J62" s="724"/>
    </row>
    <row r="63" spans="1:18" x14ac:dyDescent="0.2">
      <c r="A63" s="767" t="s">
        <v>1808</v>
      </c>
      <c r="R63" s="769" t="s">
        <v>172</v>
      </c>
    </row>
    <row r="64" spans="1:18" x14ac:dyDescent="0.2">
      <c r="A64" s="767" t="s">
        <v>1604</v>
      </c>
      <c r="R64" s="769" t="s">
        <v>160</v>
      </c>
    </row>
    <row r="65" spans="1:29" x14ac:dyDescent="0.2">
      <c r="A65" s="767" t="str">
        <f>A8</f>
        <v>Workpaper Reference No(s)._WPD-2.4___</v>
      </c>
      <c r="R65" s="769" t="str">
        <f>R8</f>
        <v>WITNESS:  J. T. CROOM</v>
      </c>
    </row>
    <row r="66" spans="1:29" x14ac:dyDescent="0.2">
      <c r="A66" s="1403"/>
      <c r="C66" s="1403"/>
      <c r="H66" s="1403"/>
      <c r="J66" s="1403"/>
      <c r="L66" s="1403"/>
    </row>
    <row r="67" spans="1:29" x14ac:dyDescent="0.2">
      <c r="A67" s="758"/>
      <c r="B67" s="758"/>
      <c r="C67" s="758"/>
      <c r="D67" s="758"/>
      <c r="E67" s="758"/>
      <c r="F67" s="758"/>
      <c r="G67" s="758"/>
      <c r="H67" s="758"/>
      <c r="I67" s="758"/>
      <c r="J67" s="758"/>
      <c r="K67" s="758"/>
      <c r="L67" s="758"/>
      <c r="M67" s="758"/>
      <c r="N67" s="758"/>
      <c r="O67" s="734" t="s">
        <v>134</v>
      </c>
      <c r="P67" s="758"/>
      <c r="Q67" s="758"/>
      <c r="R67" s="758"/>
    </row>
    <row r="68" spans="1:29" x14ac:dyDescent="0.2">
      <c r="A68" s="1942" t="s">
        <v>135</v>
      </c>
      <c r="B68" s="759"/>
      <c r="C68" s="1943"/>
      <c r="D68" s="759"/>
      <c r="E68" s="759"/>
      <c r="F68" s="759"/>
      <c r="G68" s="759"/>
      <c r="H68" s="759"/>
      <c r="I68" s="759"/>
      <c r="J68" s="759"/>
      <c r="K68" s="759"/>
      <c r="L68" s="759"/>
      <c r="M68" s="759"/>
      <c r="N68" s="759"/>
      <c r="O68" s="737" t="s">
        <v>136</v>
      </c>
      <c r="P68" s="759"/>
      <c r="Q68" s="759"/>
      <c r="R68" s="737" t="s">
        <v>137</v>
      </c>
    </row>
    <row r="69" spans="1:29" x14ac:dyDescent="0.2">
      <c r="Q69" s="767"/>
      <c r="R69" s="776"/>
    </row>
    <row r="70" spans="1:29" x14ac:dyDescent="0.2">
      <c r="A70" s="786" t="s">
        <v>1821</v>
      </c>
      <c r="Q70" s="767"/>
      <c r="R70" s="776"/>
      <c r="T70" s="745"/>
      <c r="U70" s="745"/>
      <c r="V70" s="745"/>
      <c r="W70" s="745"/>
      <c r="X70" s="745"/>
    </row>
    <row r="71" spans="1:29" x14ac:dyDescent="0.2">
      <c r="A71" s="767" t="s">
        <v>1919</v>
      </c>
      <c r="Q71" s="767" t="s">
        <v>1112</v>
      </c>
      <c r="R71" s="776">
        <v>-71365</v>
      </c>
    </row>
    <row r="72" spans="1:29" x14ac:dyDescent="0.2">
      <c r="A72" s="767" t="s">
        <v>1882</v>
      </c>
      <c r="Q72" s="767" t="s">
        <v>634</v>
      </c>
      <c r="R72" s="1402">
        <v>0</v>
      </c>
      <c r="S72" s="741"/>
      <c r="W72" s="800"/>
      <c r="Y72" s="745"/>
      <c r="Z72" s="741"/>
      <c r="AA72" s="741"/>
      <c r="AB72" s="741"/>
      <c r="AC72" s="741"/>
    </row>
    <row r="73" spans="1:29" x14ac:dyDescent="0.2">
      <c r="A73" s="767" t="s">
        <v>1918</v>
      </c>
      <c r="Q73" s="767" t="s">
        <v>760</v>
      </c>
      <c r="R73" s="776">
        <f>R71-R72</f>
        <v>-71365</v>
      </c>
      <c r="S73" s="741"/>
      <c r="T73" s="745"/>
      <c r="U73" s="745"/>
      <c r="V73" s="745"/>
      <c r="W73" s="745"/>
      <c r="X73" s="745"/>
      <c r="Y73" s="745"/>
      <c r="Z73" s="741"/>
      <c r="AA73" s="741"/>
      <c r="AB73" s="741"/>
      <c r="AC73" s="741"/>
    </row>
    <row r="74" spans="1:29" x14ac:dyDescent="0.2">
      <c r="A74" s="767" t="s">
        <v>1920</v>
      </c>
      <c r="Q74" s="767"/>
      <c r="R74" s="745"/>
      <c r="S74" s="741"/>
      <c r="T74" s="745"/>
      <c r="U74" s="745"/>
      <c r="V74" s="745"/>
      <c r="W74" s="745"/>
      <c r="X74" s="745"/>
      <c r="Y74" s="745"/>
      <c r="Z74" s="741"/>
      <c r="AA74" s="741"/>
      <c r="AB74" s="741"/>
      <c r="AC74" s="741"/>
    </row>
    <row r="75" spans="1:29" x14ac:dyDescent="0.2">
      <c r="S75" s="741"/>
      <c r="T75" s="745"/>
      <c r="U75" s="745"/>
      <c r="V75" s="745"/>
      <c r="W75" s="745"/>
      <c r="X75" s="745"/>
      <c r="Y75" s="745"/>
      <c r="Z75" s="741"/>
      <c r="AA75" s="741"/>
      <c r="AB75" s="741"/>
      <c r="AC75" s="741"/>
    </row>
    <row r="76" spans="1:29" x14ac:dyDescent="0.2">
      <c r="C76" s="741"/>
      <c r="D76" s="741"/>
      <c r="E76" s="741"/>
      <c r="F76" s="741"/>
      <c r="G76" s="741"/>
      <c r="H76" s="741"/>
      <c r="I76" s="741"/>
      <c r="J76" s="741"/>
      <c r="K76" s="741"/>
      <c r="L76" s="741"/>
      <c r="M76" s="741"/>
      <c r="N76" s="741"/>
      <c r="O76" s="741"/>
      <c r="P76" s="741"/>
      <c r="Q76" s="741"/>
      <c r="R76" s="745"/>
      <c r="S76" s="741"/>
      <c r="T76" s="745"/>
      <c r="U76" s="745"/>
      <c r="V76" s="745"/>
      <c r="W76" s="745"/>
      <c r="X76" s="745"/>
      <c r="Y76" s="745"/>
      <c r="Z76" s="741"/>
      <c r="AA76" s="741"/>
      <c r="AB76" s="741"/>
      <c r="AC76" s="741"/>
    </row>
    <row r="77" spans="1:29" x14ac:dyDescent="0.2">
      <c r="A77" s="786" t="s">
        <v>1822</v>
      </c>
      <c r="Q77" s="767"/>
      <c r="R77" s="776"/>
    </row>
    <row r="78" spans="1:29" x14ac:dyDescent="0.2">
      <c r="A78" s="767" t="s">
        <v>1864</v>
      </c>
      <c r="Q78" s="767" t="s">
        <v>1112</v>
      </c>
      <c r="R78" s="776">
        <v>-195686</v>
      </c>
      <c r="T78" s="745"/>
      <c r="U78" s="745"/>
      <c r="V78" s="745"/>
      <c r="W78" s="745"/>
      <c r="X78" s="745"/>
    </row>
    <row r="79" spans="1:29" x14ac:dyDescent="0.2">
      <c r="A79" s="767" t="s">
        <v>1865</v>
      </c>
      <c r="Q79" s="767" t="s">
        <v>634</v>
      </c>
      <c r="R79" s="1402">
        <v>0</v>
      </c>
      <c r="S79" s="741"/>
      <c r="T79" s="745"/>
      <c r="U79" s="745"/>
      <c r="V79" s="745"/>
      <c r="W79" s="745"/>
      <c r="X79" s="745"/>
      <c r="Y79" s="745"/>
      <c r="Z79" s="741"/>
      <c r="AA79" s="741"/>
      <c r="AB79" s="741"/>
      <c r="AC79" s="741"/>
    </row>
    <row r="80" spans="1:29" x14ac:dyDescent="0.2">
      <c r="A80" s="730" t="s">
        <v>1866</v>
      </c>
      <c r="Q80" s="767" t="s">
        <v>760</v>
      </c>
      <c r="R80" s="776">
        <f>R78-R79</f>
        <v>-195686</v>
      </c>
      <c r="S80" s="741"/>
      <c r="T80" s="745"/>
      <c r="U80" s="745"/>
      <c r="V80" s="745"/>
      <c r="W80" s="745"/>
      <c r="X80" s="745"/>
      <c r="Y80" s="745"/>
      <c r="Z80" s="741"/>
      <c r="AA80" s="741"/>
      <c r="AB80" s="741"/>
      <c r="AC80" s="741"/>
    </row>
    <row r="81" spans="1:29" x14ac:dyDescent="0.2">
      <c r="A81" s="730" t="s">
        <v>1867</v>
      </c>
      <c r="C81" s="741"/>
      <c r="D81" s="741"/>
      <c r="E81" s="741"/>
      <c r="F81" s="741"/>
      <c r="G81" s="741"/>
      <c r="H81" s="741"/>
      <c r="I81" s="741"/>
      <c r="J81" s="741"/>
      <c r="K81" s="741"/>
      <c r="L81" s="741"/>
      <c r="M81" s="741"/>
      <c r="N81" s="741"/>
      <c r="O81" s="741"/>
      <c r="P81" s="741"/>
      <c r="Q81" s="741"/>
      <c r="R81" s="745"/>
      <c r="S81" s="741"/>
      <c r="T81" s="745"/>
      <c r="U81" s="745"/>
      <c r="V81" s="745"/>
      <c r="W81" s="745"/>
      <c r="X81" s="745"/>
      <c r="Y81" s="745"/>
      <c r="Z81" s="741"/>
      <c r="AA81" s="741"/>
      <c r="AB81" s="741"/>
      <c r="AC81" s="741"/>
    </row>
    <row r="82" spans="1:29" x14ac:dyDescent="0.2">
      <c r="C82" s="741"/>
      <c r="D82" s="741"/>
      <c r="E82" s="741"/>
      <c r="F82" s="741"/>
      <c r="G82" s="741"/>
      <c r="H82" s="741"/>
      <c r="I82" s="741"/>
      <c r="J82" s="741"/>
      <c r="K82" s="741"/>
      <c r="L82" s="741"/>
      <c r="M82" s="741"/>
      <c r="N82" s="741"/>
      <c r="O82" s="741"/>
      <c r="P82" s="741"/>
      <c r="Q82" s="741"/>
      <c r="R82" s="745"/>
      <c r="S82" s="741"/>
      <c r="T82" s="745"/>
      <c r="U82" s="745"/>
      <c r="V82" s="745"/>
      <c r="W82" s="745"/>
      <c r="X82" s="745"/>
      <c r="Y82" s="745"/>
      <c r="Z82" s="741"/>
      <c r="AA82" s="741"/>
      <c r="AB82" s="741"/>
      <c r="AC82" s="741"/>
    </row>
    <row r="83" spans="1:29" x14ac:dyDescent="0.2">
      <c r="C83" s="741"/>
      <c r="D83" s="741"/>
      <c r="E83" s="741"/>
      <c r="F83" s="741"/>
      <c r="G83" s="741"/>
      <c r="H83" s="741"/>
      <c r="I83" s="741"/>
      <c r="J83" s="741"/>
      <c r="K83" s="741"/>
      <c r="L83" s="741"/>
      <c r="M83" s="741"/>
      <c r="N83" s="741"/>
      <c r="O83" s="741"/>
      <c r="P83" s="741"/>
      <c r="Q83" s="741"/>
      <c r="R83" s="745"/>
      <c r="S83" s="741"/>
      <c r="T83" s="745"/>
      <c r="U83" s="745"/>
      <c r="V83" s="745"/>
      <c r="W83" s="745"/>
      <c r="X83" s="745"/>
      <c r="Y83" s="745"/>
      <c r="Z83" s="741"/>
      <c r="AA83" s="741"/>
      <c r="AB83" s="741"/>
      <c r="AC83" s="741"/>
    </row>
    <row r="84" spans="1:29" x14ac:dyDescent="0.2">
      <c r="A84" s="786" t="s">
        <v>1831</v>
      </c>
      <c r="C84" s="741"/>
      <c r="D84" s="741"/>
      <c r="E84" s="741"/>
      <c r="F84" s="741"/>
      <c r="G84" s="741"/>
      <c r="H84" s="741"/>
      <c r="I84" s="741"/>
      <c r="J84" s="741"/>
      <c r="K84" s="741"/>
      <c r="L84" s="741"/>
      <c r="M84" s="741"/>
      <c r="N84" s="741"/>
      <c r="O84" s="741"/>
      <c r="P84" s="741"/>
      <c r="R84" s="770"/>
      <c r="T84" s="745"/>
      <c r="U84" s="745"/>
      <c r="V84" s="745"/>
      <c r="W84" s="745"/>
      <c r="X84" s="745"/>
      <c r="Y84" s="791"/>
    </row>
    <row r="85" spans="1:29" ht="12.75" customHeight="1" x14ac:dyDescent="0.2">
      <c r="A85" s="767" t="s">
        <v>1832</v>
      </c>
      <c r="C85" s="1403"/>
      <c r="O85" s="730" t="s">
        <v>1959</v>
      </c>
      <c r="Q85" s="767" t="s">
        <v>1112</v>
      </c>
      <c r="R85" s="776">
        <v>212779</v>
      </c>
      <c r="S85" s="741"/>
      <c r="Y85" s="745"/>
      <c r="Z85" s="741"/>
      <c r="AA85" s="741"/>
      <c r="AB85" s="741"/>
      <c r="AC85" s="741"/>
    </row>
    <row r="86" spans="1:29" ht="12.75" customHeight="1" x14ac:dyDescent="0.2">
      <c r="A86" s="767" t="s">
        <v>1833</v>
      </c>
      <c r="Q86" s="767" t="s">
        <v>634</v>
      </c>
      <c r="R86" s="1402">
        <v>0</v>
      </c>
      <c r="S86" s="741"/>
      <c r="Y86" s="745"/>
      <c r="Z86" s="741"/>
      <c r="AA86" s="741"/>
      <c r="AB86" s="741"/>
      <c r="AC86" s="741"/>
    </row>
    <row r="87" spans="1:29" ht="12.75" customHeight="1" x14ac:dyDescent="0.2">
      <c r="A87" s="767"/>
      <c r="Q87" s="767"/>
      <c r="R87" s="776">
        <f>SUM(R85:R86)</f>
        <v>212779</v>
      </c>
      <c r="S87" s="741"/>
      <c r="Y87" s="745"/>
      <c r="Z87" s="741"/>
      <c r="AA87" s="741"/>
      <c r="AB87" s="741"/>
      <c r="AC87" s="741"/>
    </row>
    <row r="88" spans="1:29" ht="12.75" customHeight="1" x14ac:dyDescent="0.2">
      <c r="A88" s="767"/>
      <c r="Q88" s="767"/>
      <c r="R88" s="776"/>
      <c r="S88" s="741"/>
      <c r="Y88" s="745"/>
      <c r="Z88" s="741"/>
      <c r="AA88" s="741"/>
      <c r="AB88" s="741"/>
      <c r="AC88" s="741"/>
    </row>
    <row r="89" spans="1:29" ht="12.75" customHeight="1" x14ac:dyDescent="0.2">
      <c r="A89" s="1401" t="s">
        <v>1862</v>
      </c>
      <c r="Q89" s="767"/>
      <c r="R89" s="745"/>
      <c r="S89" s="741"/>
      <c r="Y89" s="745"/>
      <c r="Z89" s="741"/>
      <c r="AA89" s="741"/>
      <c r="AB89" s="741"/>
      <c r="AC89" s="741"/>
    </row>
    <row r="90" spans="1:29" ht="12.75" customHeight="1" x14ac:dyDescent="0.2">
      <c r="A90" s="767" t="s">
        <v>1834</v>
      </c>
      <c r="C90" s="1403"/>
      <c r="O90" s="730" t="s">
        <v>1960</v>
      </c>
      <c r="Q90" s="767" t="s">
        <v>1112</v>
      </c>
      <c r="R90" s="776">
        <v>-17898</v>
      </c>
      <c r="S90" s="741"/>
      <c r="Y90" s="745"/>
      <c r="Z90" s="741"/>
      <c r="AA90" s="741"/>
      <c r="AB90" s="741"/>
      <c r="AC90" s="741"/>
    </row>
    <row r="91" spans="1:29" ht="12.75" customHeight="1" x14ac:dyDescent="0.2">
      <c r="A91" s="767" t="s">
        <v>1835</v>
      </c>
      <c r="Q91" s="767" t="s">
        <v>634</v>
      </c>
      <c r="R91" s="1402">
        <v>0</v>
      </c>
      <c r="S91" s="741"/>
      <c r="Y91" s="745"/>
      <c r="Z91" s="741"/>
      <c r="AA91" s="741"/>
      <c r="AB91" s="741"/>
      <c r="AC91" s="741"/>
    </row>
    <row r="92" spans="1:29" ht="12.75" customHeight="1" x14ac:dyDescent="0.2">
      <c r="Q92" s="767" t="s">
        <v>760</v>
      </c>
      <c r="R92" s="776">
        <f>R90-R91</f>
        <v>-17898</v>
      </c>
      <c r="U92" s="790"/>
      <c r="Y92" s="791"/>
    </row>
    <row r="93" spans="1:29" ht="12.75" customHeight="1" x14ac:dyDescent="0.2">
      <c r="C93" s="741"/>
      <c r="D93" s="741"/>
      <c r="E93" s="741"/>
      <c r="F93" s="741"/>
      <c r="G93" s="741"/>
      <c r="H93" s="741"/>
      <c r="I93" s="741"/>
      <c r="J93" s="741"/>
      <c r="K93" s="741"/>
      <c r="L93" s="741"/>
      <c r="M93" s="741"/>
      <c r="N93" s="741"/>
      <c r="O93" s="741"/>
      <c r="P93" s="741"/>
      <c r="Q93" s="741"/>
      <c r="R93" s="741"/>
      <c r="U93" s="790"/>
    </row>
    <row r="94" spans="1:29" ht="12.75" customHeight="1" x14ac:dyDescent="0.2">
      <c r="A94" s="786" t="s">
        <v>1863</v>
      </c>
      <c r="R94" s="778"/>
      <c r="U94" s="790"/>
    </row>
    <row r="95" spans="1:29" ht="12.75" customHeight="1" x14ac:dyDescent="0.2">
      <c r="A95" s="767" t="s">
        <v>2236</v>
      </c>
      <c r="C95" s="1403"/>
      <c r="D95" s="1768"/>
      <c r="E95" s="1768"/>
      <c r="F95" s="1768"/>
      <c r="G95" s="1768"/>
      <c r="H95" s="1768"/>
      <c r="I95" s="1768"/>
      <c r="J95" s="1768"/>
      <c r="K95" s="1768"/>
      <c r="L95" s="1768"/>
      <c r="M95" s="1768"/>
      <c r="N95" s="1768"/>
      <c r="Q95" s="767" t="s">
        <v>1112</v>
      </c>
      <c r="R95" s="776">
        <v>96003</v>
      </c>
      <c r="U95" s="790"/>
    </row>
    <row r="96" spans="1:29" ht="12.75" customHeight="1" x14ac:dyDescent="0.2">
      <c r="A96" s="767" t="s">
        <v>2237</v>
      </c>
      <c r="D96" s="1768"/>
      <c r="E96" s="1768"/>
      <c r="F96" s="1768"/>
      <c r="G96" s="1768"/>
      <c r="H96" s="1768"/>
      <c r="I96" s="1768"/>
      <c r="J96" s="1768"/>
      <c r="K96" s="1768"/>
      <c r="L96" s="1768"/>
      <c r="M96" s="1768"/>
      <c r="N96" s="1768"/>
      <c r="Q96" s="767" t="s">
        <v>634</v>
      </c>
      <c r="R96" s="1402">
        <v>0</v>
      </c>
      <c r="U96" s="790"/>
    </row>
    <row r="97" spans="1:21" ht="12.75" customHeight="1" x14ac:dyDescent="0.2">
      <c r="D97" s="1768"/>
      <c r="E97" s="1768"/>
      <c r="F97" s="1768"/>
      <c r="G97" s="1768"/>
      <c r="H97" s="1768"/>
      <c r="I97" s="1768"/>
      <c r="J97" s="1768"/>
      <c r="K97" s="1768"/>
      <c r="L97" s="1768"/>
      <c r="M97" s="1768"/>
      <c r="N97" s="1768"/>
      <c r="Q97" s="767" t="s">
        <v>760</v>
      </c>
      <c r="R97" s="776">
        <f>R95-R96</f>
        <v>96003</v>
      </c>
      <c r="U97" s="790"/>
    </row>
    <row r="98" spans="1:21" ht="12.75" customHeight="1" x14ac:dyDescent="0.2">
      <c r="C98" s="741"/>
      <c r="D98" s="1769"/>
      <c r="E98" s="1769"/>
      <c r="F98" s="1769"/>
      <c r="G98" s="1769"/>
      <c r="H98" s="1769"/>
      <c r="I98" s="1769"/>
      <c r="J98" s="1769"/>
      <c r="K98" s="1769"/>
      <c r="L98" s="1769"/>
      <c r="M98" s="1769"/>
      <c r="N98" s="1769"/>
      <c r="O98" s="741"/>
      <c r="P98" s="741"/>
      <c r="Q98" s="741"/>
      <c r="R98" s="741"/>
      <c r="U98" s="790"/>
    </row>
    <row r="99" spans="1:21" ht="12.75" customHeight="1" x14ac:dyDescent="0.2">
      <c r="A99" s="786" t="s">
        <v>2230</v>
      </c>
      <c r="D99" s="1768"/>
      <c r="E99" s="1768"/>
      <c r="F99" s="1768"/>
      <c r="G99" s="1768"/>
      <c r="H99" s="1768"/>
      <c r="I99" s="1768"/>
      <c r="J99" s="1768"/>
      <c r="K99" s="1768"/>
      <c r="L99" s="1768"/>
      <c r="M99" s="1768"/>
      <c r="N99" s="1768"/>
      <c r="Q99" s="767"/>
      <c r="R99" s="776"/>
      <c r="U99" s="790"/>
    </row>
    <row r="100" spans="1:21" ht="12.75" customHeight="1" x14ac:dyDescent="0.2">
      <c r="A100" s="2163" t="s">
        <v>2268</v>
      </c>
      <c r="B100" s="2163"/>
      <c r="C100" s="2163"/>
      <c r="D100" s="2163"/>
      <c r="E100" s="2163"/>
      <c r="F100" s="2163"/>
      <c r="G100" s="2163"/>
      <c r="H100" s="2163"/>
      <c r="I100" s="2163"/>
      <c r="J100" s="2163"/>
      <c r="K100" s="2163"/>
      <c r="L100" s="2163"/>
      <c r="M100" s="2163"/>
      <c r="N100" s="1768"/>
      <c r="Q100" s="767" t="s">
        <v>1112</v>
      </c>
      <c r="R100" s="776">
        <v>215000</v>
      </c>
      <c r="U100" s="790"/>
    </row>
    <row r="101" spans="1:21" ht="12.75" customHeight="1" x14ac:dyDescent="0.2">
      <c r="A101" s="2163"/>
      <c r="B101" s="2163"/>
      <c r="C101" s="2163"/>
      <c r="D101" s="2163"/>
      <c r="E101" s="2163"/>
      <c r="F101" s="2163"/>
      <c r="G101" s="2163"/>
      <c r="H101" s="2163"/>
      <c r="I101" s="2163"/>
      <c r="J101" s="2163"/>
      <c r="K101" s="2163"/>
      <c r="L101" s="2163"/>
      <c r="M101" s="2163"/>
      <c r="N101" s="1768"/>
      <c r="Q101" s="767" t="s">
        <v>634</v>
      </c>
      <c r="R101" s="1402">
        <v>0</v>
      </c>
      <c r="U101" s="790"/>
    </row>
    <row r="102" spans="1:21" ht="12.75" customHeight="1" x14ac:dyDescent="0.2">
      <c r="D102" s="1768"/>
      <c r="E102" s="1768"/>
      <c r="F102" s="1768"/>
      <c r="G102" s="1768"/>
      <c r="H102" s="1768"/>
      <c r="I102" s="1768"/>
      <c r="J102" s="1768"/>
      <c r="K102" s="1768"/>
      <c r="L102" s="1768"/>
      <c r="M102" s="1768"/>
      <c r="N102" s="1768"/>
      <c r="Q102" s="767" t="s">
        <v>760</v>
      </c>
      <c r="R102" s="776">
        <f>R100-R101</f>
        <v>215000</v>
      </c>
      <c r="U102" s="790"/>
    </row>
    <row r="103" spans="1:21" ht="12.75" customHeight="1" x14ac:dyDescent="0.2">
      <c r="C103" s="741"/>
      <c r="D103" s="1769"/>
      <c r="E103" s="1769"/>
      <c r="F103" s="1769"/>
      <c r="G103" s="1769"/>
      <c r="H103" s="1769"/>
      <c r="I103" s="1769"/>
      <c r="J103" s="1769"/>
      <c r="K103" s="1769"/>
      <c r="L103" s="1769"/>
      <c r="M103" s="1769"/>
      <c r="N103" s="1769"/>
      <c r="O103" s="741"/>
      <c r="P103" s="741"/>
      <c r="Q103" s="741"/>
      <c r="R103" s="741"/>
      <c r="U103" s="790"/>
    </row>
    <row r="104" spans="1:21" ht="12.75" customHeight="1" x14ac:dyDescent="0.2">
      <c r="C104" s="741"/>
      <c r="D104" s="1769"/>
      <c r="E104" s="1769"/>
      <c r="F104" s="1769"/>
      <c r="G104" s="1769"/>
      <c r="H104" s="1769"/>
      <c r="I104" s="1769"/>
      <c r="J104" s="1769"/>
      <c r="K104" s="1769"/>
      <c r="L104" s="1769"/>
      <c r="M104" s="1769"/>
      <c r="N104" s="1769"/>
      <c r="O104" s="741"/>
      <c r="P104" s="741"/>
      <c r="Q104" s="741"/>
      <c r="R104" s="741"/>
      <c r="U104" s="790"/>
    </row>
    <row r="105" spans="1:21" ht="12.75" customHeight="1" x14ac:dyDescent="0.2">
      <c r="A105" s="786" t="s">
        <v>2231</v>
      </c>
      <c r="D105" s="1768"/>
      <c r="E105" s="1768"/>
      <c r="F105" s="1768"/>
      <c r="G105" s="1768"/>
      <c r="H105" s="1768"/>
      <c r="I105" s="1768"/>
      <c r="J105" s="1768"/>
      <c r="K105" s="1768"/>
      <c r="L105" s="1768"/>
      <c r="M105" s="1768"/>
      <c r="N105" s="1768"/>
      <c r="Q105" s="767"/>
      <c r="R105" s="776"/>
      <c r="U105" s="790"/>
    </row>
    <row r="106" spans="1:21" ht="12.75" customHeight="1" x14ac:dyDescent="0.2">
      <c r="A106" s="767" t="s">
        <v>2238</v>
      </c>
      <c r="D106" s="1768"/>
      <c r="E106" s="1768"/>
      <c r="F106" s="1768"/>
      <c r="G106" s="1768"/>
      <c r="H106" s="1768"/>
      <c r="I106" s="1768"/>
      <c r="J106" s="1768"/>
      <c r="K106" s="1768"/>
      <c r="L106" s="1768"/>
      <c r="M106" s="1768"/>
      <c r="N106" s="1768"/>
      <c r="Q106" s="767" t="s">
        <v>1112</v>
      </c>
      <c r="R106" s="776">
        <v>181459</v>
      </c>
      <c r="U106" s="790"/>
    </row>
    <row r="107" spans="1:21" ht="12.75" customHeight="1" x14ac:dyDescent="0.2">
      <c r="A107" s="767"/>
      <c r="D107" s="1768"/>
      <c r="E107" s="1768"/>
      <c r="F107" s="1768"/>
      <c r="G107" s="1768"/>
      <c r="H107" s="1768"/>
      <c r="I107" s="1768"/>
      <c r="J107" s="1768"/>
      <c r="K107" s="1768"/>
      <c r="L107" s="1768"/>
      <c r="M107" s="1768"/>
      <c r="N107" s="1768"/>
      <c r="Q107" s="767" t="s">
        <v>634</v>
      </c>
      <c r="R107" s="1402">
        <v>0</v>
      </c>
      <c r="S107" s="741"/>
      <c r="U107" s="790"/>
    </row>
    <row r="108" spans="1:21" ht="12.75" customHeight="1" x14ac:dyDescent="0.2">
      <c r="A108" s="767"/>
      <c r="D108" s="1768"/>
      <c r="E108" s="1768"/>
      <c r="F108" s="1768"/>
      <c r="G108" s="1768"/>
      <c r="H108" s="1768"/>
      <c r="I108" s="1768"/>
      <c r="J108" s="1768"/>
      <c r="K108" s="1768"/>
      <c r="L108" s="1768"/>
      <c r="M108" s="1768"/>
      <c r="N108" s="1768"/>
      <c r="Q108" s="767" t="s">
        <v>760</v>
      </c>
      <c r="R108" s="776">
        <f>R106-R107</f>
        <v>181459</v>
      </c>
      <c r="S108" s="741"/>
      <c r="U108" s="790"/>
    </row>
    <row r="109" spans="1:21" ht="12.75" customHeight="1" x14ac:dyDescent="0.2">
      <c r="C109" s="741"/>
      <c r="D109" s="741"/>
      <c r="E109" s="741"/>
      <c r="F109" s="741"/>
      <c r="G109" s="741"/>
      <c r="H109" s="741"/>
      <c r="I109" s="741"/>
      <c r="J109" s="741"/>
      <c r="K109" s="741"/>
      <c r="L109" s="741"/>
      <c r="M109" s="741"/>
      <c r="N109" s="741"/>
      <c r="O109" s="741"/>
      <c r="P109" s="741"/>
      <c r="Q109" s="741"/>
      <c r="R109" s="741"/>
      <c r="U109" s="790"/>
    </row>
    <row r="110" spans="1:21" ht="12.75" customHeight="1" x14ac:dyDescent="0.2">
      <c r="C110" s="741"/>
      <c r="D110" s="741"/>
      <c r="E110" s="741"/>
      <c r="F110" s="741"/>
      <c r="G110" s="741"/>
      <c r="H110" s="741"/>
      <c r="I110" s="741"/>
      <c r="J110" s="741"/>
      <c r="K110" s="741"/>
      <c r="L110" s="741"/>
      <c r="M110" s="741"/>
      <c r="N110" s="741"/>
      <c r="O110" s="741"/>
      <c r="P110" s="741"/>
      <c r="Q110" s="741"/>
      <c r="R110" s="741"/>
      <c r="U110" s="790"/>
    </row>
    <row r="111" spans="1:21" ht="12.75" customHeight="1" x14ac:dyDescent="0.2">
      <c r="C111" s="741"/>
      <c r="D111" s="741"/>
      <c r="E111" s="741"/>
      <c r="F111" s="741"/>
      <c r="G111" s="741"/>
      <c r="H111" s="741"/>
      <c r="I111" s="741"/>
      <c r="J111" s="741"/>
      <c r="K111" s="741"/>
      <c r="L111" s="741"/>
      <c r="M111" s="741"/>
      <c r="N111" s="741"/>
      <c r="O111" s="741"/>
      <c r="P111" s="741"/>
      <c r="Q111" s="741"/>
      <c r="R111" s="741"/>
      <c r="U111" s="790"/>
    </row>
    <row r="112" spans="1:21" ht="12.75" customHeight="1" x14ac:dyDescent="0.2">
      <c r="C112" s="741"/>
      <c r="D112" s="741"/>
      <c r="E112" s="741"/>
      <c r="F112" s="741"/>
      <c r="G112" s="741"/>
      <c r="H112" s="741"/>
      <c r="I112" s="741"/>
      <c r="J112" s="741"/>
      <c r="K112" s="741"/>
      <c r="L112" s="741"/>
      <c r="M112" s="741"/>
      <c r="N112" s="741"/>
      <c r="O112" s="741"/>
      <c r="P112" s="741"/>
      <c r="Q112" s="741"/>
      <c r="R112" s="741"/>
      <c r="U112" s="790"/>
    </row>
    <row r="113" spans="1:29" ht="12.75" customHeight="1" x14ac:dyDescent="0.2">
      <c r="C113" s="741"/>
      <c r="D113" s="741"/>
      <c r="E113" s="741"/>
      <c r="F113" s="741"/>
      <c r="G113" s="741"/>
      <c r="H113" s="741"/>
      <c r="I113" s="741"/>
      <c r="J113" s="741"/>
      <c r="K113" s="741"/>
      <c r="L113" s="741"/>
      <c r="M113" s="741"/>
      <c r="N113" s="741"/>
      <c r="O113" s="741"/>
      <c r="P113" s="741"/>
      <c r="Q113" s="741"/>
      <c r="R113" s="741"/>
      <c r="U113" s="790"/>
    </row>
    <row r="114" spans="1:29" x14ac:dyDescent="0.2">
      <c r="A114" s="2159" t="s">
        <v>624</v>
      </c>
      <c r="B114" s="2159"/>
      <c r="C114" s="2159"/>
      <c r="D114" s="2159"/>
      <c r="E114" s="2159"/>
      <c r="F114" s="2159"/>
      <c r="G114" s="2159"/>
      <c r="H114" s="2159"/>
      <c r="I114" s="2159"/>
      <c r="J114" s="2159"/>
      <c r="K114" s="2159"/>
      <c r="L114" s="2159"/>
      <c r="M114" s="2159"/>
      <c r="N114" s="2159"/>
      <c r="O114" s="2159"/>
      <c r="P114" s="2159"/>
      <c r="Q114" s="2159"/>
      <c r="R114" s="2159"/>
    </row>
    <row r="115" spans="1:29" x14ac:dyDescent="0.2">
      <c r="A115" s="2159" t="str">
        <f>case</f>
        <v>CASE NO. 2016 - 00162</v>
      </c>
      <c r="B115" s="2159"/>
      <c r="C115" s="2159"/>
      <c r="D115" s="2159"/>
      <c r="E115" s="2159"/>
      <c r="F115" s="2159"/>
      <c r="G115" s="2159"/>
      <c r="H115" s="2159"/>
      <c r="I115" s="2159"/>
      <c r="J115" s="2159"/>
      <c r="K115" s="2159"/>
      <c r="L115" s="2159"/>
      <c r="M115" s="2159"/>
      <c r="N115" s="2159"/>
      <c r="O115" s="2159"/>
      <c r="P115" s="2159"/>
      <c r="Q115" s="2159"/>
      <c r="R115" s="2159"/>
    </row>
    <row r="116" spans="1:29" x14ac:dyDescent="0.2">
      <c r="A116" s="2159" t="s">
        <v>1294</v>
      </c>
      <c r="B116" s="2159"/>
      <c r="C116" s="2159"/>
      <c r="D116" s="2159"/>
      <c r="E116" s="2159"/>
      <c r="F116" s="2159"/>
      <c r="G116" s="2159"/>
      <c r="H116" s="2159"/>
      <c r="I116" s="2159"/>
      <c r="J116" s="2159"/>
      <c r="K116" s="2159"/>
      <c r="L116" s="2159"/>
      <c r="M116" s="2159"/>
      <c r="N116" s="2159"/>
      <c r="O116" s="2159"/>
      <c r="P116" s="2159"/>
      <c r="Q116" s="2159"/>
      <c r="R116" s="2159"/>
    </row>
    <row r="117" spans="1:29" x14ac:dyDescent="0.2">
      <c r="A117" s="2159" t="str">
        <f>A58</f>
        <v>COLUMBIA GAS OF KENTUCKY, INC.</v>
      </c>
      <c r="B117" s="2159"/>
      <c r="C117" s="2159"/>
      <c r="D117" s="2159"/>
      <c r="E117" s="2159"/>
      <c r="F117" s="2159"/>
      <c r="G117" s="2159"/>
      <c r="H117" s="2159"/>
      <c r="I117" s="2159"/>
      <c r="J117" s="2159"/>
      <c r="K117" s="2159"/>
      <c r="L117" s="2159"/>
      <c r="M117" s="2159"/>
      <c r="N117" s="2159"/>
      <c r="O117" s="2159"/>
      <c r="P117" s="2159"/>
      <c r="Q117" s="2159"/>
      <c r="R117" s="2159"/>
    </row>
    <row r="118" spans="1:29" x14ac:dyDescent="0.2">
      <c r="C118" s="1403"/>
      <c r="J118" s="1664"/>
    </row>
    <row r="119" spans="1:29" x14ac:dyDescent="0.2">
      <c r="A119" s="767" t="s">
        <v>1808</v>
      </c>
      <c r="R119" s="769" t="s">
        <v>172</v>
      </c>
    </row>
    <row r="120" spans="1:29" x14ac:dyDescent="0.2">
      <c r="A120" s="767" t="s">
        <v>1604</v>
      </c>
      <c r="R120" s="769" t="s">
        <v>167</v>
      </c>
    </row>
    <row r="121" spans="1:29" x14ac:dyDescent="0.2">
      <c r="A121" s="767"/>
      <c r="R121" s="769" t="str">
        <f>R8</f>
        <v>WITNESS:  J. T. CROOM</v>
      </c>
    </row>
    <row r="122" spans="1:29" x14ac:dyDescent="0.2">
      <c r="A122" s="1403"/>
      <c r="C122" s="1403"/>
      <c r="H122" s="1403"/>
      <c r="J122" s="1403"/>
      <c r="L122" s="1403"/>
    </row>
    <row r="123" spans="1:29" x14ac:dyDescent="0.2">
      <c r="A123" s="758"/>
      <c r="B123" s="758"/>
      <c r="C123" s="758"/>
      <c r="D123" s="758"/>
      <c r="E123" s="758"/>
      <c r="F123" s="758"/>
      <c r="G123" s="758"/>
      <c r="H123" s="758"/>
      <c r="I123" s="758"/>
      <c r="J123" s="758"/>
      <c r="K123" s="758"/>
      <c r="L123" s="758"/>
      <c r="M123" s="758"/>
      <c r="N123" s="758"/>
      <c r="O123" s="1665" t="s">
        <v>134</v>
      </c>
      <c r="P123" s="758"/>
      <c r="Q123" s="758"/>
      <c r="R123" s="758"/>
    </row>
    <row r="124" spans="1:29" x14ac:dyDescent="0.2">
      <c r="A124" s="1942" t="s">
        <v>135</v>
      </c>
      <c r="B124" s="759"/>
      <c r="C124" s="1943"/>
      <c r="D124" s="759"/>
      <c r="E124" s="759"/>
      <c r="F124" s="759"/>
      <c r="G124" s="759"/>
      <c r="H124" s="759"/>
      <c r="I124" s="759"/>
      <c r="J124" s="759"/>
      <c r="K124" s="759"/>
      <c r="L124" s="759"/>
      <c r="M124" s="759"/>
      <c r="N124" s="759"/>
      <c r="O124" s="1666" t="s">
        <v>136</v>
      </c>
      <c r="P124" s="759"/>
      <c r="Q124" s="759"/>
      <c r="R124" s="1666" t="s">
        <v>137</v>
      </c>
    </row>
    <row r="125" spans="1:29" x14ac:dyDescent="0.2">
      <c r="Q125" s="767"/>
      <c r="R125" s="776"/>
    </row>
    <row r="126" spans="1:29" x14ac:dyDescent="0.2">
      <c r="A126" s="786" t="s">
        <v>2232</v>
      </c>
      <c r="N126" s="1768"/>
      <c r="Q126" s="767"/>
      <c r="R126" s="776"/>
    </row>
    <row r="127" spans="1:29" x14ac:dyDescent="0.2">
      <c r="A127" s="767" t="s">
        <v>2310</v>
      </c>
      <c r="D127" s="1768"/>
      <c r="E127" s="1768"/>
      <c r="F127" s="1768"/>
      <c r="G127" s="1768"/>
      <c r="H127" s="1768"/>
      <c r="I127" s="1768"/>
      <c r="J127" s="1768"/>
      <c r="K127" s="1768"/>
      <c r="L127" s="1768"/>
      <c r="M127" s="1768"/>
      <c r="N127" s="1768"/>
      <c r="O127" s="1768"/>
      <c r="Q127" s="767" t="s">
        <v>1112</v>
      </c>
      <c r="R127" s="776">
        <v>11528</v>
      </c>
      <c r="T127" s="745"/>
      <c r="U127" s="745"/>
      <c r="V127" s="745"/>
      <c r="W127" s="745"/>
      <c r="X127" s="745"/>
    </row>
    <row r="128" spans="1:29" x14ac:dyDescent="0.2">
      <c r="A128" s="767"/>
      <c r="D128" s="1768"/>
      <c r="E128" s="1768"/>
      <c r="F128" s="1768"/>
      <c r="G128" s="1768"/>
      <c r="H128" s="1768"/>
      <c r="I128" s="1768"/>
      <c r="J128" s="1768"/>
      <c r="K128" s="1768"/>
      <c r="L128" s="1768"/>
      <c r="M128" s="1768"/>
      <c r="N128" s="1768"/>
      <c r="O128" s="1768"/>
      <c r="Q128" s="767" t="s">
        <v>634</v>
      </c>
      <c r="R128" s="1402">
        <v>0</v>
      </c>
      <c r="S128" s="741"/>
      <c r="T128" s="745"/>
      <c r="U128" s="745"/>
      <c r="V128" s="745"/>
      <c r="W128" s="745"/>
      <c r="X128" s="745"/>
      <c r="Y128" s="745"/>
      <c r="Z128" s="741"/>
      <c r="AA128" s="741"/>
      <c r="AB128" s="741"/>
      <c r="AC128" s="741"/>
    </row>
    <row r="129" spans="1:29" x14ac:dyDescent="0.2">
      <c r="D129" s="1768"/>
      <c r="E129" s="1768"/>
      <c r="F129" s="1768"/>
      <c r="G129" s="1768"/>
      <c r="H129" s="1768"/>
      <c r="I129" s="1768"/>
      <c r="J129" s="1768"/>
      <c r="K129" s="1768"/>
      <c r="L129" s="1768"/>
      <c r="M129" s="1768"/>
      <c r="N129" s="1768"/>
      <c r="O129" s="1768"/>
      <c r="Q129" s="767" t="s">
        <v>760</v>
      </c>
      <c r="R129" s="776">
        <f>R127-R128</f>
        <v>11528</v>
      </c>
      <c r="S129" s="741"/>
      <c r="T129" s="745"/>
      <c r="U129" s="745"/>
      <c r="V129" s="745"/>
      <c r="W129" s="745"/>
      <c r="X129" s="745"/>
      <c r="Y129" s="745"/>
      <c r="Z129" s="741"/>
      <c r="AA129" s="741"/>
      <c r="AB129" s="741"/>
      <c r="AC129" s="741"/>
    </row>
    <row r="130" spans="1:29" x14ac:dyDescent="0.2">
      <c r="C130" s="741"/>
      <c r="D130" s="1769"/>
      <c r="E130" s="1769"/>
      <c r="F130" s="1769"/>
      <c r="G130" s="1769"/>
      <c r="H130" s="1769"/>
      <c r="I130" s="1769"/>
      <c r="J130" s="1769"/>
      <c r="K130" s="1769"/>
      <c r="L130" s="1769"/>
      <c r="M130" s="1769"/>
      <c r="N130" s="1769"/>
      <c r="O130" s="1769"/>
      <c r="P130" s="741"/>
      <c r="Q130" s="741"/>
      <c r="R130" s="745"/>
      <c r="S130" s="741"/>
      <c r="T130" s="745"/>
      <c r="U130" s="745"/>
      <c r="V130" s="745"/>
      <c r="W130" s="745"/>
      <c r="X130" s="745"/>
      <c r="Y130" s="745"/>
      <c r="Z130" s="741"/>
      <c r="AA130" s="741"/>
      <c r="AB130" s="741"/>
      <c r="AC130" s="741"/>
    </row>
    <row r="131" spans="1:29" x14ac:dyDescent="0.2">
      <c r="A131" s="786" t="s">
        <v>2233</v>
      </c>
      <c r="C131" s="741"/>
      <c r="D131" s="1769"/>
      <c r="E131" s="1769"/>
      <c r="F131" s="1769"/>
      <c r="G131" s="1769"/>
      <c r="H131" s="1769"/>
      <c r="I131" s="1769"/>
      <c r="J131" s="1769"/>
      <c r="K131" s="1769"/>
      <c r="L131" s="1769"/>
      <c r="M131" s="1769"/>
      <c r="N131" s="1769"/>
      <c r="O131" s="1769"/>
      <c r="P131" s="741"/>
      <c r="R131" s="770"/>
      <c r="T131" s="745"/>
      <c r="U131" s="745"/>
      <c r="V131" s="745"/>
      <c r="W131" s="745"/>
      <c r="X131" s="745"/>
      <c r="Y131" s="791"/>
    </row>
    <row r="132" spans="1:29" ht="12.75" customHeight="1" x14ac:dyDescent="0.2">
      <c r="A132" s="767" t="s">
        <v>2239</v>
      </c>
      <c r="C132" s="1403"/>
      <c r="D132" s="1768"/>
      <c r="E132" s="1768"/>
      <c r="F132" s="1768"/>
      <c r="G132" s="1768"/>
      <c r="H132" s="1768"/>
      <c r="I132" s="1768"/>
      <c r="J132" s="1768"/>
      <c r="K132" s="1768"/>
      <c r="L132" s="1768"/>
      <c r="M132" s="1768"/>
      <c r="N132" s="1768"/>
      <c r="O132" s="1768"/>
      <c r="Q132" s="767" t="s">
        <v>1112</v>
      </c>
      <c r="R132" s="776">
        <v>241466</v>
      </c>
      <c r="S132" s="741"/>
      <c r="Y132" s="745"/>
      <c r="Z132" s="741"/>
      <c r="AA132" s="741"/>
      <c r="AB132" s="741"/>
      <c r="AC132" s="741"/>
    </row>
    <row r="133" spans="1:29" ht="12.75" customHeight="1" x14ac:dyDescent="0.2">
      <c r="A133" s="767" t="s">
        <v>2240</v>
      </c>
      <c r="D133" s="1768"/>
      <c r="E133" s="1768"/>
      <c r="F133" s="1768"/>
      <c r="G133" s="1768"/>
      <c r="H133" s="1768"/>
      <c r="I133" s="1768"/>
      <c r="J133" s="1768"/>
      <c r="K133" s="1768"/>
      <c r="L133" s="1768"/>
      <c r="M133" s="1768"/>
      <c r="N133" s="1768"/>
      <c r="O133" s="1768"/>
      <c r="Q133" s="767" t="s">
        <v>634</v>
      </c>
      <c r="R133" s="1402">
        <v>0</v>
      </c>
      <c r="S133" s="741"/>
      <c r="Y133" s="745"/>
      <c r="Z133" s="741"/>
      <c r="AA133" s="741"/>
      <c r="AB133" s="741"/>
      <c r="AC133" s="741"/>
    </row>
    <row r="134" spans="1:29" ht="12.75" customHeight="1" x14ac:dyDescent="0.2">
      <c r="A134" s="767"/>
      <c r="D134" s="1768"/>
      <c r="E134" s="1768"/>
      <c r="F134" s="1768"/>
      <c r="G134" s="1768"/>
      <c r="H134" s="1768"/>
      <c r="I134" s="1768"/>
      <c r="J134" s="1768"/>
      <c r="K134" s="1768"/>
      <c r="L134" s="1768"/>
      <c r="M134" s="1768"/>
      <c r="N134" s="1768"/>
      <c r="O134" s="1768"/>
      <c r="Q134" s="767"/>
      <c r="R134" s="776">
        <f>R132-R133</f>
        <v>241466</v>
      </c>
      <c r="S134" s="741"/>
      <c r="Y134" s="745"/>
      <c r="Z134" s="741"/>
      <c r="AA134" s="741"/>
      <c r="AB134" s="741"/>
      <c r="AC134" s="741"/>
    </row>
    <row r="135" spans="1:29" ht="12.75" customHeight="1" x14ac:dyDescent="0.2">
      <c r="A135" s="1401"/>
      <c r="D135" s="1768"/>
      <c r="E135" s="1768"/>
      <c r="F135" s="1768"/>
      <c r="G135" s="1768"/>
      <c r="H135" s="1768"/>
      <c r="I135" s="1768"/>
      <c r="J135" s="1768"/>
      <c r="K135" s="1768"/>
      <c r="L135" s="1768"/>
      <c r="M135" s="1768"/>
      <c r="N135" s="1768"/>
      <c r="O135" s="1768"/>
      <c r="Q135" s="767"/>
      <c r="R135" s="745"/>
      <c r="S135" s="741"/>
      <c r="Y135" s="745"/>
      <c r="Z135" s="741"/>
      <c r="AA135" s="741"/>
      <c r="AB135" s="741"/>
      <c r="AC135" s="741"/>
    </row>
    <row r="136" spans="1:29" ht="12.75" customHeight="1" x14ac:dyDescent="0.2">
      <c r="D136" s="1768"/>
      <c r="E136" s="1768"/>
      <c r="F136" s="1768"/>
      <c r="G136" s="1768"/>
      <c r="H136" s="1768"/>
      <c r="I136" s="1768"/>
      <c r="J136" s="1768"/>
      <c r="K136" s="1768"/>
      <c r="L136" s="1768"/>
      <c r="M136" s="1768"/>
      <c r="N136" s="1768"/>
      <c r="O136" s="1768"/>
      <c r="Q136" s="767"/>
      <c r="R136" s="776"/>
      <c r="U136" s="790"/>
      <c r="Y136" s="791"/>
    </row>
    <row r="137" spans="1:29" ht="12.75" customHeight="1" x14ac:dyDescent="0.2">
      <c r="A137" s="1401" t="s">
        <v>2234</v>
      </c>
      <c r="D137" s="1768"/>
      <c r="E137" s="1768"/>
      <c r="F137" s="1768"/>
      <c r="G137" s="1768"/>
      <c r="H137" s="1768"/>
      <c r="I137" s="1768"/>
      <c r="J137" s="1768"/>
      <c r="K137" s="1768"/>
      <c r="L137" s="1768"/>
      <c r="M137" s="1768"/>
      <c r="N137" s="1768"/>
      <c r="O137" s="1768"/>
      <c r="Q137" s="767"/>
      <c r="R137" s="745"/>
      <c r="U137" s="790"/>
      <c r="Y137" s="791"/>
    </row>
    <row r="138" spans="1:29" ht="12.75" customHeight="1" x14ac:dyDescent="0.2">
      <c r="A138" s="767" t="s">
        <v>2241</v>
      </c>
      <c r="C138" s="1403"/>
      <c r="D138" s="1768"/>
      <c r="E138" s="1768"/>
      <c r="F138" s="1768"/>
      <c r="G138" s="1768"/>
      <c r="H138" s="1768"/>
      <c r="I138" s="1768"/>
      <c r="J138" s="1768"/>
      <c r="K138" s="1768"/>
      <c r="L138" s="1768"/>
      <c r="M138" s="1768"/>
      <c r="N138" s="1768"/>
      <c r="O138" s="1768"/>
      <c r="Q138" s="767" t="s">
        <v>1112</v>
      </c>
      <c r="R138" s="776">
        <v>770000</v>
      </c>
      <c r="U138" s="790"/>
      <c r="Y138" s="791"/>
    </row>
    <row r="139" spans="1:29" ht="12.75" customHeight="1" x14ac:dyDescent="0.2">
      <c r="A139" s="767" t="s">
        <v>2242</v>
      </c>
      <c r="D139" s="1768"/>
      <c r="E139" s="1768"/>
      <c r="F139" s="1768"/>
      <c r="G139" s="1768"/>
      <c r="H139" s="1768"/>
      <c r="I139" s="1768"/>
      <c r="J139" s="1768"/>
      <c r="K139" s="1768"/>
      <c r="L139" s="1768"/>
      <c r="M139" s="1768"/>
      <c r="N139" s="1768"/>
      <c r="O139" s="1768"/>
      <c r="Q139" s="767" t="s">
        <v>634</v>
      </c>
      <c r="R139" s="1402"/>
      <c r="U139" s="790"/>
      <c r="Y139" s="791"/>
    </row>
    <row r="140" spans="1:29" ht="12.75" customHeight="1" x14ac:dyDescent="0.2">
      <c r="D140" s="1768"/>
      <c r="E140" s="1768"/>
      <c r="F140" s="1768"/>
      <c r="G140" s="1768"/>
      <c r="H140" s="1768"/>
      <c r="I140" s="1768"/>
      <c r="J140" s="1768"/>
      <c r="K140" s="1768"/>
      <c r="L140" s="1768"/>
      <c r="M140" s="1768"/>
      <c r="N140" s="1768"/>
      <c r="O140" s="1768"/>
      <c r="Q140" s="767" t="s">
        <v>760</v>
      </c>
      <c r="R140" s="776">
        <f>R138-R139</f>
        <v>770000</v>
      </c>
      <c r="U140" s="790"/>
    </row>
    <row r="141" spans="1:29" ht="12.75" customHeight="1" x14ac:dyDescent="0.2">
      <c r="D141" s="1768"/>
      <c r="E141" s="1768"/>
      <c r="F141" s="1768"/>
      <c r="G141" s="1768"/>
      <c r="H141" s="1768"/>
      <c r="I141" s="1768"/>
      <c r="J141" s="1768"/>
      <c r="K141" s="1768"/>
      <c r="L141" s="1768"/>
      <c r="M141" s="1768"/>
      <c r="N141" s="1768"/>
      <c r="O141" s="1768"/>
      <c r="Q141" s="767"/>
      <c r="R141" s="776"/>
      <c r="U141" s="790"/>
    </row>
    <row r="142" spans="1:29" ht="12.75" customHeight="1" x14ac:dyDescent="0.2">
      <c r="A142" s="1401" t="s">
        <v>2235</v>
      </c>
      <c r="D142" s="1768"/>
      <c r="E142" s="1768"/>
      <c r="F142" s="1768"/>
      <c r="G142" s="1768"/>
      <c r="H142" s="1768"/>
      <c r="I142" s="1768"/>
      <c r="J142" s="1768"/>
      <c r="K142" s="1768"/>
      <c r="L142" s="1768"/>
      <c r="M142" s="1768"/>
      <c r="N142" s="1768"/>
      <c r="O142" s="1768"/>
      <c r="Q142" s="767"/>
      <c r="R142" s="745"/>
      <c r="U142" s="790"/>
    </row>
    <row r="143" spans="1:29" ht="12.75" customHeight="1" x14ac:dyDescent="0.2">
      <c r="A143" s="2163" t="s">
        <v>2267</v>
      </c>
      <c r="B143" s="2163"/>
      <c r="C143" s="2163"/>
      <c r="D143" s="2163"/>
      <c r="E143" s="2163"/>
      <c r="F143" s="2163"/>
      <c r="G143" s="2163"/>
      <c r="H143" s="2163"/>
      <c r="I143" s="2163"/>
      <c r="J143" s="2163"/>
      <c r="K143" s="2163"/>
      <c r="L143" s="2163"/>
      <c r="M143" s="2163"/>
      <c r="N143" s="1768"/>
      <c r="O143" s="1768"/>
      <c r="Q143" s="767" t="s">
        <v>1112</v>
      </c>
      <c r="R143" s="776">
        <v>467936</v>
      </c>
      <c r="U143" s="790"/>
    </row>
    <row r="144" spans="1:29" ht="12.75" customHeight="1" x14ac:dyDescent="0.2">
      <c r="A144" s="2163"/>
      <c r="B144" s="2163"/>
      <c r="C144" s="2163"/>
      <c r="D144" s="2163"/>
      <c r="E144" s="2163"/>
      <c r="F144" s="2163"/>
      <c r="G144" s="2163"/>
      <c r="H144" s="2163"/>
      <c r="I144" s="2163"/>
      <c r="J144" s="2163"/>
      <c r="K144" s="2163"/>
      <c r="L144" s="2163"/>
      <c r="M144" s="2163"/>
      <c r="N144" s="1768"/>
      <c r="O144" s="1768"/>
      <c r="Q144" s="767" t="s">
        <v>634</v>
      </c>
      <c r="R144" s="1402">
        <v>0</v>
      </c>
      <c r="U144" s="790"/>
    </row>
    <row r="145" spans="1:27" ht="12.75" customHeight="1" x14ac:dyDescent="0.2">
      <c r="D145" s="1768"/>
      <c r="E145" s="1768"/>
      <c r="F145" s="1768"/>
      <c r="G145" s="1768"/>
      <c r="H145" s="1768"/>
      <c r="I145" s="1768"/>
      <c r="J145" s="1768"/>
      <c r="K145" s="1768"/>
      <c r="L145" s="1768"/>
      <c r="M145" s="1768"/>
      <c r="N145" s="1768"/>
      <c r="O145" s="1768"/>
      <c r="Q145" s="767" t="s">
        <v>760</v>
      </c>
      <c r="R145" s="776">
        <f>R143-R144</f>
        <v>467936</v>
      </c>
      <c r="U145" s="790"/>
    </row>
    <row r="146" spans="1:27" ht="12.75" customHeight="1" x14ac:dyDescent="0.2">
      <c r="Q146" s="767"/>
      <c r="R146" s="776"/>
      <c r="U146" s="790"/>
    </row>
    <row r="147" spans="1:27" ht="12.75" customHeight="1" x14ac:dyDescent="0.2">
      <c r="A147" s="1401"/>
      <c r="Q147" s="767"/>
      <c r="R147" s="745"/>
      <c r="U147" s="790"/>
    </row>
    <row r="148" spans="1:27" ht="12.75" customHeight="1" x14ac:dyDescent="0.2">
      <c r="A148" s="2163"/>
      <c r="B148" s="2163"/>
      <c r="C148" s="2163"/>
      <c r="D148" s="2163"/>
      <c r="E148" s="2163"/>
      <c r="F148" s="2163"/>
      <c r="G148" s="2163"/>
      <c r="H148" s="2163"/>
      <c r="I148" s="2163"/>
      <c r="J148" s="2163"/>
      <c r="K148" s="2163"/>
      <c r="L148" s="2163"/>
      <c r="M148" s="2163"/>
      <c r="Q148" s="767"/>
      <c r="R148" s="1400"/>
      <c r="U148" s="790"/>
    </row>
    <row r="149" spans="1:27" ht="12.75" customHeight="1" x14ac:dyDescent="0.2">
      <c r="A149" s="2163"/>
      <c r="B149" s="2163"/>
      <c r="C149" s="2163"/>
      <c r="D149" s="2163"/>
      <c r="E149" s="2163"/>
      <c r="F149" s="2163"/>
      <c r="G149" s="2163"/>
      <c r="H149" s="2163"/>
      <c r="I149" s="2163"/>
      <c r="J149" s="2163"/>
      <c r="K149" s="2163"/>
      <c r="L149" s="2163"/>
      <c r="M149" s="2163"/>
      <c r="Q149" s="767"/>
      <c r="R149" s="745"/>
      <c r="U149" s="790"/>
    </row>
    <row r="150" spans="1:27" ht="12.75" customHeight="1" x14ac:dyDescent="0.2">
      <c r="Q150" s="767"/>
      <c r="R150" s="1400"/>
      <c r="U150" s="790"/>
    </row>
    <row r="151" spans="1:27" ht="12.75" customHeight="1" x14ac:dyDescent="0.2">
      <c r="A151" s="1401"/>
      <c r="Q151" s="767"/>
      <c r="R151" s="745"/>
      <c r="U151" s="790"/>
      <c r="Y151" s="791"/>
    </row>
    <row r="152" spans="1:27" ht="12.75" customHeight="1" x14ac:dyDescent="0.2">
      <c r="A152" s="2163"/>
      <c r="B152" s="2163"/>
      <c r="C152" s="2163"/>
      <c r="D152" s="2163"/>
      <c r="E152" s="2163"/>
      <c r="F152" s="2163"/>
      <c r="G152" s="2163"/>
      <c r="H152" s="2163"/>
      <c r="I152" s="2163"/>
      <c r="J152" s="2163"/>
      <c r="K152" s="2163"/>
      <c r="L152" s="2163"/>
      <c r="M152" s="2163"/>
      <c r="Q152" s="767"/>
      <c r="R152" s="1400"/>
      <c r="U152" s="790"/>
      <c r="Y152" s="791"/>
    </row>
    <row r="153" spans="1:27" ht="12.75" customHeight="1" x14ac:dyDescent="0.2">
      <c r="A153" s="2163"/>
      <c r="B153" s="2163"/>
      <c r="C153" s="2163"/>
      <c r="D153" s="2163"/>
      <c r="E153" s="2163"/>
      <c r="F153" s="2163"/>
      <c r="G153" s="2163"/>
      <c r="H153" s="2163"/>
      <c r="I153" s="2163"/>
      <c r="J153" s="2163"/>
      <c r="K153" s="2163"/>
      <c r="L153" s="2163"/>
      <c r="M153" s="2163"/>
      <c r="Q153" s="767"/>
      <c r="R153" s="745"/>
      <c r="U153" s="790"/>
      <c r="Y153" s="791"/>
    </row>
    <row r="154" spans="1:27" ht="12.75" customHeight="1" x14ac:dyDescent="0.2">
      <c r="Q154" s="767"/>
      <c r="R154" s="1400"/>
      <c r="U154" s="790"/>
    </row>
    <row r="155" spans="1:27" ht="12.75" customHeight="1" x14ac:dyDescent="0.2">
      <c r="Z155" s="770"/>
      <c r="AA155" s="770"/>
    </row>
    <row r="156" spans="1:27" ht="12.75" customHeight="1" x14ac:dyDescent="0.2">
      <c r="Z156" s="770"/>
      <c r="AA156" s="770"/>
    </row>
    <row r="157" spans="1:27" ht="12.75" customHeight="1" x14ac:dyDescent="0.2">
      <c r="Z157" s="770"/>
      <c r="AA157" s="770"/>
    </row>
    <row r="158" spans="1:27" ht="12.75" customHeight="1" x14ac:dyDescent="0.2">
      <c r="Z158" s="770"/>
      <c r="AA158" s="770"/>
    </row>
    <row r="159" spans="1:27" ht="12.75" customHeight="1" x14ac:dyDescent="0.2">
      <c r="A159" s="770"/>
      <c r="B159" s="770"/>
      <c r="C159" s="796"/>
      <c r="D159" s="770"/>
      <c r="E159" s="770"/>
      <c r="F159" s="770"/>
      <c r="G159" s="770"/>
      <c r="H159" s="770"/>
      <c r="I159" s="770"/>
      <c r="J159" s="797"/>
      <c r="K159" s="797"/>
      <c r="L159" s="770"/>
      <c r="M159" s="770"/>
      <c r="N159" s="1404"/>
      <c r="O159" s="770"/>
      <c r="P159" s="770"/>
      <c r="Q159" s="770"/>
      <c r="R159" s="800"/>
      <c r="S159" s="770"/>
      <c r="Z159" s="770"/>
      <c r="AA159" s="770"/>
    </row>
    <row r="160" spans="1:27" ht="12.75" customHeight="1" x14ac:dyDescent="0.2">
      <c r="A160" s="770"/>
      <c r="B160" s="770"/>
      <c r="C160" s="1404"/>
      <c r="D160" s="770"/>
      <c r="E160" s="770"/>
      <c r="F160" s="770"/>
      <c r="G160" s="770"/>
      <c r="H160" s="770"/>
      <c r="I160" s="770"/>
      <c r="J160" s="770"/>
      <c r="K160" s="770"/>
      <c r="L160" s="770"/>
      <c r="M160" s="770"/>
      <c r="N160" s="1404"/>
      <c r="O160" s="770"/>
      <c r="P160" s="770"/>
      <c r="Q160" s="770"/>
      <c r="R160" s="800"/>
      <c r="S160" s="770"/>
      <c r="U160" s="745"/>
      <c r="V160" s="745"/>
      <c r="W160" s="745"/>
      <c r="X160" s="745"/>
      <c r="Z160" s="770"/>
      <c r="AA160" s="770"/>
    </row>
    <row r="161" spans="1:29" ht="12.75" customHeight="1" x14ac:dyDescent="0.2">
      <c r="A161" s="770"/>
      <c r="B161" s="770"/>
      <c r="C161" s="770"/>
      <c r="D161" s="770"/>
      <c r="E161" s="770"/>
      <c r="F161" s="770"/>
      <c r="G161" s="770"/>
      <c r="H161" s="770"/>
      <c r="I161" s="770"/>
      <c r="J161" s="770"/>
      <c r="K161" s="770"/>
      <c r="L161" s="770"/>
      <c r="M161" s="770"/>
      <c r="N161" s="770"/>
      <c r="S161" s="770"/>
      <c r="U161" s="745"/>
      <c r="V161" s="745"/>
      <c r="W161" s="745"/>
      <c r="X161" s="745"/>
      <c r="Z161" s="770"/>
      <c r="AA161" s="770"/>
    </row>
    <row r="162" spans="1:29" ht="12.75" customHeight="1" x14ac:dyDescent="0.2">
      <c r="A162" s="770"/>
      <c r="B162" s="770"/>
      <c r="C162" s="770"/>
      <c r="D162" s="770"/>
      <c r="E162" s="770"/>
      <c r="F162" s="770"/>
      <c r="G162" s="770"/>
      <c r="H162" s="770"/>
      <c r="I162" s="770"/>
      <c r="J162" s="770"/>
      <c r="K162" s="770"/>
      <c r="L162" s="770"/>
      <c r="M162" s="770"/>
      <c r="N162" s="770"/>
      <c r="U162" s="745"/>
      <c r="V162" s="745"/>
      <c r="W162" s="745"/>
      <c r="X162" s="745"/>
      <c r="Y162" s="745"/>
      <c r="Z162" s="770"/>
      <c r="AA162" s="770"/>
    </row>
    <row r="163" spans="1:29" ht="12.75" customHeight="1" x14ac:dyDescent="0.2">
      <c r="A163" s="770"/>
      <c r="B163" s="770"/>
      <c r="C163" s="770"/>
      <c r="D163" s="770"/>
      <c r="E163" s="770"/>
      <c r="F163" s="770"/>
      <c r="G163" s="770"/>
      <c r="H163" s="770"/>
      <c r="I163" s="770"/>
      <c r="J163" s="770"/>
      <c r="K163" s="770"/>
      <c r="L163" s="770"/>
      <c r="M163" s="770"/>
      <c r="N163" s="770"/>
      <c r="S163" s="770"/>
      <c r="Z163" s="770"/>
      <c r="AA163" s="770"/>
    </row>
    <row r="164" spans="1:29" ht="12.75" customHeight="1" x14ac:dyDescent="0.2">
      <c r="A164" s="1404"/>
      <c r="B164" s="770"/>
      <c r="C164" s="1404"/>
      <c r="D164" s="770"/>
      <c r="E164" s="770"/>
      <c r="F164" s="770"/>
      <c r="G164" s="770"/>
      <c r="H164" s="1404"/>
      <c r="I164" s="770"/>
      <c r="J164" s="1404"/>
      <c r="K164" s="770"/>
      <c r="L164" s="1404"/>
      <c r="M164" s="770"/>
      <c r="N164" s="770"/>
      <c r="S164" s="770"/>
      <c r="T164" s="745"/>
    </row>
    <row r="165" spans="1:29" ht="12.75" customHeight="1" x14ac:dyDescent="0.2">
      <c r="A165" s="1404"/>
      <c r="B165" s="770"/>
      <c r="C165" s="1404"/>
      <c r="D165" s="770"/>
      <c r="E165" s="770"/>
      <c r="F165" s="770"/>
      <c r="G165" s="770"/>
      <c r="H165" s="1404"/>
      <c r="I165" s="770"/>
      <c r="J165" s="1404"/>
      <c r="K165" s="770"/>
      <c r="L165" s="1404"/>
      <c r="M165" s="770"/>
      <c r="N165" s="1404"/>
      <c r="R165" s="779"/>
      <c r="S165" s="770"/>
      <c r="T165" s="745"/>
      <c r="U165" s="745"/>
      <c r="V165" s="745"/>
      <c r="W165" s="745"/>
      <c r="X165" s="745"/>
    </row>
    <row r="166" spans="1:29" ht="12.75" customHeight="1" x14ac:dyDescent="0.2">
      <c r="A166" s="770"/>
      <c r="B166" s="770"/>
      <c r="C166" s="770"/>
      <c r="D166" s="770"/>
      <c r="E166" s="770"/>
      <c r="F166" s="770"/>
      <c r="G166" s="770"/>
      <c r="H166" s="770"/>
      <c r="I166" s="770"/>
      <c r="J166" s="770"/>
      <c r="K166" s="770"/>
      <c r="L166" s="770"/>
      <c r="M166" s="770"/>
      <c r="N166" s="770"/>
      <c r="R166" s="779"/>
      <c r="S166" s="770"/>
      <c r="T166" s="745"/>
      <c r="U166" s="745"/>
      <c r="V166" s="745"/>
      <c r="W166" s="745"/>
      <c r="X166" s="745"/>
      <c r="Y166" s="745"/>
      <c r="Z166" s="741"/>
      <c r="AA166" s="741"/>
      <c r="AB166" s="741"/>
      <c r="AC166" s="741"/>
    </row>
    <row r="167" spans="1:29" ht="12.75" customHeight="1" x14ac:dyDescent="0.2">
      <c r="A167" s="770"/>
      <c r="B167" s="770"/>
      <c r="C167" s="770"/>
      <c r="D167" s="770"/>
      <c r="E167" s="770"/>
      <c r="F167" s="770"/>
      <c r="G167" s="770"/>
      <c r="H167" s="770"/>
      <c r="I167" s="770"/>
      <c r="J167" s="770"/>
      <c r="K167" s="770"/>
      <c r="L167" s="770"/>
      <c r="M167" s="770"/>
      <c r="N167" s="770"/>
      <c r="S167" s="770"/>
      <c r="U167" s="745"/>
      <c r="V167" s="745"/>
      <c r="W167" s="745"/>
      <c r="X167" s="745"/>
      <c r="Y167" s="745"/>
      <c r="Z167" s="741"/>
      <c r="AA167" s="741"/>
      <c r="AB167" s="741"/>
      <c r="AC167" s="741"/>
    </row>
    <row r="168" spans="1:29" ht="12.75" customHeight="1" x14ac:dyDescent="0.2">
      <c r="A168" s="1404"/>
      <c r="B168" s="770"/>
      <c r="C168" s="770"/>
      <c r="D168" s="770"/>
      <c r="E168" s="770"/>
      <c r="F168" s="770"/>
      <c r="G168" s="770"/>
      <c r="H168" s="1246"/>
      <c r="I168" s="770"/>
      <c r="J168" s="794"/>
      <c r="K168" s="770"/>
      <c r="L168" s="1246"/>
      <c r="M168" s="770"/>
      <c r="N168" s="1404"/>
      <c r="Y168" s="745"/>
      <c r="Z168" s="741"/>
      <c r="AA168" s="741"/>
      <c r="AB168" s="741"/>
      <c r="AC168" s="741"/>
    </row>
    <row r="169" spans="1:29" ht="12.75" customHeight="1" x14ac:dyDescent="0.2">
      <c r="A169" s="770"/>
      <c r="B169" s="770"/>
      <c r="C169" s="770"/>
      <c r="D169" s="770"/>
      <c r="E169" s="770"/>
      <c r="F169" s="770"/>
      <c r="G169" s="770"/>
      <c r="H169" s="770"/>
      <c r="I169" s="770"/>
      <c r="J169" s="770"/>
      <c r="K169" s="770"/>
      <c r="L169" s="770"/>
      <c r="M169" s="770"/>
      <c r="N169" s="770"/>
      <c r="R169" s="779"/>
      <c r="T169" s="745"/>
      <c r="Y169" s="791"/>
    </row>
    <row r="170" spans="1:29" ht="12.75" customHeight="1" x14ac:dyDescent="0.2">
      <c r="A170" s="770"/>
      <c r="B170" s="770"/>
      <c r="C170" s="770"/>
      <c r="D170" s="770"/>
      <c r="E170" s="770"/>
      <c r="F170" s="770"/>
      <c r="G170" s="770"/>
      <c r="H170" s="770"/>
      <c r="I170" s="770"/>
      <c r="J170" s="770"/>
      <c r="K170" s="770"/>
      <c r="L170" s="770"/>
      <c r="M170" s="770"/>
      <c r="N170" s="770"/>
      <c r="R170" s="779"/>
      <c r="S170" s="741"/>
      <c r="T170" s="745"/>
      <c r="U170" s="745"/>
      <c r="V170" s="745"/>
      <c r="W170" s="745"/>
      <c r="X170" s="745"/>
    </row>
    <row r="171" spans="1:29" x14ac:dyDescent="0.2">
      <c r="A171" s="770"/>
      <c r="B171" s="770"/>
      <c r="C171" s="770"/>
      <c r="D171" s="770"/>
      <c r="E171" s="770"/>
      <c r="F171" s="770"/>
      <c r="G171" s="770"/>
      <c r="H171" s="770"/>
      <c r="I171" s="770"/>
      <c r="J171" s="770"/>
      <c r="K171" s="770"/>
      <c r="L171" s="770"/>
      <c r="M171" s="770"/>
      <c r="N171" s="770"/>
      <c r="S171" s="741"/>
      <c r="T171" s="745"/>
      <c r="U171" s="745"/>
      <c r="V171" s="745"/>
      <c r="W171" s="745"/>
      <c r="X171" s="745"/>
      <c r="Y171" s="745"/>
      <c r="Z171" s="741"/>
      <c r="AA171" s="741"/>
      <c r="AB171" s="741"/>
      <c r="AC171" s="741"/>
    </row>
    <row r="172" spans="1:29" x14ac:dyDescent="0.2">
      <c r="R172" s="779"/>
      <c r="S172" s="741"/>
      <c r="U172" s="745"/>
      <c r="V172" s="745"/>
      <c r="W172" s="745"/>
      <c r="X172" s="745"/>
      <c r="Y172" s="745"/>
      <c r="Z172" s="741"/>
      <c r="AA172" s="741"/>
      <c r="AB172" s="741"/>
      <c r="AC172" s="741"/>
    </row>
    <row r="173" spans="1:29" x14ac:dyDescent="0.2">
      <c r="A173" s="1403"/>
      <c r="H173" s="1247"/>
      <c r="J173" s="783"/>
      <c r="L173" s="1247"/>
      <c r="N173" s="1403"/>
      <c r="Y173" s="745"/>
      <c r="Z173" s="741"/>
      <c r="AA173" s="741"/>
      <c r="AB173" s="741"/>
      <c r="AC173" s="741"/>
    </row>
    <row r="174" spans="1:29" x14ac:dyDescent="0.2">
      <c r="C174" s="741"/>
      <c r="D174" s="741"/>
      <c r="E174" s="741"/>
      <c r="F174" s="741"/>
      <c r="G174" s="741"/>
      <c r="H174" s="741"/>
      <c r="I174" s="741"/>
      <c r="J174" s="741"/>
      <c r="K174" s="741"/>
      <c r="L174" s="741"/>
      <c r="M174" s="741"/>
      <c r="N174" s="741"/>
      <c r="O174" s="741"/>
      <c r="P174" s="741"/>
      <c r="Q174" s="741"/>
      <c r="R174" s="741"/>
      <c r="T174" s="745"/>
      <c r="Y174" s="791"/>
    </row>
    <row r="175" spans="1:29" x14ac:dyDescent="0.2">
      <c r="C175" s="741"/>
      <c r="D175" s="741"/>
      <c r="E175" s="741"/>
      <c r="F175" s="741"/>
      <c r="G175" s="741"/>
      <c r="H175" s="741"/>
      <c r="I175" s="741"/>
      <c r="J175" s="741"/>
      <c r="K175" s="741"/>
      <c r="L175" s="741"/>
      <c r="M175" s="741"/>
      <c r="N175" s="741"/>
      <c r="O175" s="741"/>
      <c r="P175" s="741"/>
      <c r="Q175" s="741"/>
      <c r="R175" s="741"/>
      <c r="S175" s="741"/>
      <c r="T175" s="745"/>
      <c r="U175" s="745"/>
      <c r="V175" s="745"/>
      <c r="W175" s="745"/>
      <c r="X175" s="745"/>
    </row>
    <row r="176" spans="1:29" x14ac:dyDescent="0.2">
      <c r="C176" s="741"/>
      <c r="D176" s="741"/>
      <c r="E176" s="741"/>
      <c r="F176" s="741"/>
      <c r="G176" s="741"/>
      <c r="H176" s="741"/>
      <c r="I176" s="741"/>
      <c r="J176" s="741"/>
      <c r="K176" s="741"/>
      <c r="L176" s="741"/>
      <c r="M176" s="741"/>
      <c r="N176" s="741"/>
      <c r="O176" s="741"/>
      <c r="P176" s="741"/>
      <c r="Q176" s="741"/>
      <c r="R176" s="741"/>
      <c r="S176" s="741"/>
      <c r="T176" s="745"/>
      <c r="U176" s="745"/>
      <c r="V176" s="745"/>
      <c r="W176" s="745"/>
      <c r="X176" s="745"/>
      <c r="Y176" s="745"/>
      <c r="Z176" s="741"/>
      <c r="AA176" s="741"/>
      <c r="AB176" s="741"/>
      <c r="AC176" s="741"/>
    </row>
    <row r="177" spans="1:29" x14ac:dyDescent="0.2">
      <c r="S177" s="741"/>
      <c r="U177" s="745"/>
      <c r="V177" s="745"/>
      <c r="W177" s="745"/>
      <c r="X177" s="745"/>
      <c r="Y177" s="745"/>
      <c r="Z177" s="741"/>
      <c r="AA177" s="741"/>
      <c r="AB177" s="741"/>
      <c r="AC177" s="741"/>
    </row>
    <row r="178" spans="1:29" x14ac:dyDescent="0.2">
      <c r="A178" s="766"/>
      <c r="H178" s="741"/>
      <c r="J178" s="783"/>
      <c r="L178" s="741"/>
      <c r="N178" s="766"/>
      <c r="Y178" s="745"/>
      <c r="Z178" s="741"/>
      <c r="AA178" s="741"/>
      <c r="AB178" s="741"/>
      <c r="AC178" s="741"/>
    </row>
    <row r="179" spans="1:29" x14ac:dyDescent="0.2">
      <c r="C179" s="741"/>
      <c r="D179" s="741"/>
      <c r="E179" s="741"/>
      <c r="F179" s="741"/>
      <c r="G179" s="741"/>
      <c r="H179" s="741"/>
      <c r="I179" s="741"/>
      <c r="J179" s="741"/>
      <c r="K179" s="741"/>
      <c r="L179" s="741"/>
      <c r="M179" s="741"/>
      <c r="N179" s="741"/>
      <c r="O179" s="741"/>
      <c r="P179" s="741"/>
      <c r="Q179" s="741"/>
      <c r="R179" s="741"/>
      <c r="T179" s="745"/>
      <c r="Y179" s="791"/>
    </row>
    <row r="180" spans="1:29" x14ac:dyDescent="0.2">
      <c r="C180" s="741"/>
      <c r="D180" s="741"/>
      <c r="E180" s="741"/>
      <c r="F180" s="741"/>
      <c r="G180" s="741"/>
      <c r="H180" s="741"/>
      <c r="I180" s="741"/>
      <c r="J180" s="741"/>
      <c r="K180" s="741"/>
      <c r="L180" s="741"/>
      <c r="M180" s="741"/>
      <c r="N180" s="741"/>
      <c r="O180" s="741"/>
      <c r="P180" s="741"/>
      <c r="Q180" s="741"/>
      <c r="R180" s="741"/>
      <c r="S180" s="741"/>
      <c r="T180" s="745"/>
      <c r="U180" s="745"/>
      <c r="V180" s="745"/>
      <c r="W180" s="745"/>
      <c r="X180" s="745"/>
    </row>
    <row r="181" spans="1:29" x14ac:dyDescent="0.2">
      <c r="C181" s="741"/>
      <c r="D181" s="741"/>
      <c r="E181" s="741"/>
      <c r="F181" s="741"/>
      <c r="G181" s="741"/>
      <c r="H181" s="741"/>
      <c r="I181" s="741"/>
      <c r="J181" s="741"/>
      <c r="K181" s="741"/>
      <c r="L181" s="741"/>
      <c r="M181" s="741"/>
      <c r="N181" s="741"/>
      <c r="O181" s="741"/>
      <c r="P181" s="741"/>
      <c r="Q181" s="741"/>
      <c r="R181" s="741"/>
      <c r="S181" s="741"/>
      <c r="T181" s="745"/>
      <c r="U181" s="745"/>
      <c r="V181" s="745"/>
      <c r="W181" s="745"/>
      <c r="X181" s="745"/>
      <c r="Y181" s="745"/>
      <c r="Z181" s="741"/>
      <c r="AA181" s="741"/>
      <c r="AB181" s="741"/>
      <c r="AC181" s="741"/>
    </row>
    <row r="182" spans="1:29" x14ac:dyDescent="0.2">
      <c r="S182" s="741"/>
      <c r="U182" s="745"/>
      <c r="V182" s="745"/>
      <c r="W182" s="745"/>
      <c r="X182" s="745"/>
      <c r="Y182" s="745"/>
      <c r="Z182" s="741"/>
      <c r="AA182" s="741"/>
      <c r="AB182" s="741"/>
      <c r="AC182" s="741"/>
    </row>
    <row r="183" spans="1:29" x14ac:dyDescent="0.2">
      <c r="A183" s="766"/>
      <c r="Y183" s="745"/>
      <c r="Z183" s="741"/>
      <c r="AA183" s="741"/>
      <c r="AB183" s="741"/>
      <c r="AC183" s="741"/>
    </row>
    <row r="184" spans="1:29" x14ac:dyDescent="0.2">
      <c r="C184" s="741"/>
      <c r="D184" s="741"/>
      <c r="E184" s="741"/>
      <c r="F184" s="741"/>
      <c r="G184" s="741"/>
      <c r="H184" s="741"/>
      <c r="I184" s="741"/>
      <c r="J184" s="741"/>
      <c r="K184" s="741"/>
      <c r="L184" s="741"/>
      <c r="M184" s="741"/>
      <c r="N184" s="741"/>
      <c r="O184" s="741"/>
      <c r="P184" s="741"/>
      <c r="Q184" s="741"/>
      <c r="R184" s="741"/>
      <c r="T184" s="745"/>
      <c r="Y184" s="791"/>
    </row>
    <row r="185" spans="1:29" x14ac:dyDescent="0.2">
      <c r="C185" s="741"/>
      <c r="D185" s="741"/>
      <c r="E185" s="741"/>
      <c r="F185" s="741"/>
      <c r="G185" s="741"/>
      <c r="H185" s="741"/>
      <c r="I185" s="741"/>
      <c r="J185" s="741"/>
      <c r="K185" s="741"/>
      <c r="L185" s="741"/>
      <c r="M185" s="741"/>
      <c r="N185" s="741"/>
      <c r="O185" s="741"/>
      <c r="P185" s="741"/>
      <c r="Q185" s="741"/>
      <c r="R185" s="741"/>
      <c r="S185" s="741"/>
      <c r="T185" s="745"/>
      <c r="U185" s="745"/>
      <c r="V185" s="745"/>
      <c r="W185" s="745"/>
      <c r="X185" s="745"/>
    </row>
    <row r="186" spans="1:29" x14ac:dyDescent="0.2">
      <c r="C186" s="741"/>
      <c r="D186" s="741"/>
      <c r="E186" s="741"/>
      <c r="F186" s="741"/>
      <c r="G186" s="741"/>
      <c r="H186" s="741"/>
      <c r="I186" s="741"/>
      <c r="J186" s="741"/>
      <c r="K186" s="741"/>
      <c r="L186" s="741"/>
      <c r="M186" s="741"/>
      <c r="N186" s="741"/>
      <c r="O186" s="741"/>
      <c r="P186" s="741"/>
      <c r="Q186" s="741"/>
      <c r="R186" s="741"/>
      <c r="S186" s="741"/>
      <c r="T186" s="745"/>
      <c r="U186" s="745"/>
      <c r="V186" s="745"/>
      <c r="W186" s="745"/>
      <c r="X186" s="745"/>
      <c r="Y186" s="745"/>
      <c r="Z186" s="741"/>
      <c r="AA186" s="741"/>
      <c r="AB186" s="741"/>
      <c r="AC186" s="741"/>
    </row>
    <row r="187" spans="1:29" x14ac:dyDescent="0.2">
      <c r="S187" s="741"/>
      <c r="U187" s="745"/>
      <c r="V187" s="745"/>
      <c r="W187" s="745"/>
      <c r="X187" s="745"/>
      <c r="Y187" s="745"/>
      <c r="Z187" s="741"/>
      <c r="AA187" s="741"/>
      <c r="AB187" s="741"/>
      <c r="AC187" s="741"/>
    </row>
    <row r="188" spans="1:29" x14ac:dyDescent="0.2">
      <c r="A188" s="766"/>
      <c r="Y188" s="745"/>
      <c r="Z188" s="741"/>
      <c r="AA188" s="741"/>
      <c r="AB188" s="741"/>
      <c r="AC188" s="741"/>
    </row>
    <row r="189" spans="1:29" x14ac:dyDescent="0.2">
      <c r="C189" s="741"/>
      <c r="D189" s="741"/>
      <c r="E189" s="741"/>
      <c r="F189" s="741"/>
      <c r="G189" s="741"/>
      <c r="H189" s="741"/>
      <c r="I189" s="741"/>
      <c r="J189" s="741"/>
      <c r="K189" s="741"/>
      <c r="L189" s="741"/>
      <c r="M189" s="741"/>
      <c r="N189" s="741"/>
      <c r="O189" s="741"/>
      <c r="P189" s="741"/>
      <c r="Q189" s="741"/>
      <c r="R189" s="741"/>
      <c r="T189" s="745"/>
      <c r="Y189" s="791"/>
    </row>
    <row r="190" spans="1:29" x14ac:dyDescent="0.2">
      <c r="C190" s="741"/>
      <c r="D190" s="741"/>
      <c r="E190" s="741"/>
      <c r="F190" s="741"/>
      <c r="G190" s="741"/>
      <c r="H190" s="741"/>
      <c r="I190" s="741"/>
      <c r="J190" s="741"/>
      <c r="K190" s="741"/>
      <c r="L190" s="741"/>
      <c r="M190" s="741"/>
      <c r="N190" s="741"/>
      <c r="O190" s="741"/>
      <c r="P190" s="741"/>
      <c r="Q190" s="741"/>
      <c r="R190" s="741"/>
      <c r="S190" s="741"/>
      <c r="T190" s="745"/>
      <c r="U190" s="745"/>
      <c r="V190" s="745"/>
      <c r="W190" s="745"/>
      <c r="X190" s="745"/>
    </row>
    <row r="191" spans="1:29" x14ac:dyDescent="0.2">
      <c r="C191" s="741"/>
      <c r="D191" s="741"/>
      <c r="E191" s="741"/>
      <c r="F191" s="741"/>
      <c r="G191" s="741"/>
      <c r="H191" s="741"/>
      <c r="I191" s="741"/>
      <c r="J191" s="741"/>
      <c r="K191" s="741"/>
      <c r="L191" s="741"/>
      <c r="M191" s="741"/>
      <c r="N191" s="741"/>
      <c r="O191" s="741"/>
      <c r="P191" s="741"/>
      <c r="Q191" s="741"/>
      <c r="R191" s="741"/>
      <c r="S191" s="741"/>
      <c r="T191" s="745"/>
      <c r="U191" s="745"/>
      <c r="V191" s="745"/>
      <c r="W191" s="745"/>
      <c r="X191" s="745"/>
      <c r="Y191" s="745"/>
      <c r="Z191" s="741"/>
      <c r="AA191" s="741"/>
      <c r="AB191" s="741"/>
      <c r="AC191" s="741"/>
    </row>
    <row r="192" spans="1:29" x14ac:dyDescent="0.2">
      <c r="S192" s="741"/>
      <c r="U192" s="745"/>
      <c r="V192" s="745"/>
      <c r="W192" s="745"/>
      <c r="X192" s="745"/>
      <c r="Y192" s="745"/>
      <c r="Z192" s="741"/>
      <c r="AA192" s="741"/>
      <c r="AB192" s="741"/>
      <c r="AC192" s="741"/>
    </row>
    <row r="193" spans="1:29" x14ac:dyDescent="0.2">
      <c r="A193" s="766"/>
      <c r="H193" s="782"/>
      <c r="J193" s="787"/>
      <c r="L193" s="782"/>
      <c r="N193" s="766"/>
      <c r="Y193" s="745"/>
      <c r="Z193" s="741"/>
      <c r="AA193" s="741"/>
      <c r="AB193" s="741"/>
      <c r="AC193" s="741"/>
    </row>
    <row r="194" spans="1:29" x14ac:dyDescent="0.2">
      <c r="C194" s="741"/>
      <c r="D194" s="741"/>
      <c r="E194" s="741"/>
      <c r="F194" s="741"/>
      <c r="G194" s="741"/>
      <c r="H194" s="741"/>
      <c r="I194" s="741"/>
      <c r="J194" s="741"/>
      <c r="K194" s="741"/>
      <c r="L194" s="741"/>
      <c r="M194" s="741"/>
      <c r="N194" s="741"/>
      <c r="O194" s="741"/>
      <c r="P194" s="741"/>
      <c r="Q194" s="741"/>
      <c r="R194" s="741"/>
      <c r="T194" s="745"/>
      <c r="Y194" s="791"/>
    </row>
    <row r="195" spans="1:29" x14ac:dyDescent="0.2">
      <c r="C195" s="741"/>
      <c r="D195" s="741"/>
      <c r="E195" s="741"/>
      <c r="F195" s="741"/>
      <c r="G195" s="741"/>
      <c r="H195" s="741"/>
      <c r="I195" s="741"/>
      <c r="J195" s="741"/>
      <c r="K195" s="741"/>
      <c r="L195" s="741"/>
      <c r="M195" s="741"/>
      <c r="N195" s="741"/>
      <c r="O195" s="741"/>
      <c r="P195" s="741"/>
      <c r="Q195" s="741"/>
      <c r="R195" s="741"/>
      <c r="S195" s="741"/>
      <c r="T195" s="745"/>
    </row>
    <row r="196" spans="1:29" x14ac:dyDescent="0.2">
      <c r="C196" s="741"/>
      <c r="D196" s="741"/>
      <c r="E196" s="741"/>
      <c r="F196" s="741"/>
      <c r="G196" s="741"/>
      <c r="H196" s="741"/>
      <c r="I196" s="741"/>
      <c r="J196" s="741"/>
      <c r="K196" s="741"/>
      <c r="L196" s="741"/>
      <c r="M196" s="741"/>
      <c r="N196" s="741"/>
      <c r="O196" s="741"/>
      <c r="P196" s="741"/>
      <c r="Q196" s="741"/>
      <c r="R196" s="741"/>
      <c r="S196" s="741"/>
      <c r="T196" s="745"/>
      <c r="Y196" s="745"/>
      <c r="Z196" s="741"/>
      <c r="AA196" s="741"/>
      <c r="AB196" s="741"/>
      <c r="AC196" s="741"/>
    </row>
    <row r="197" spans="1:29" x14ac:dyDescent="0.2">
      <c r="S197" s="741"/>
      <c r="Y197" s="745"/>
      <c r="Z197" s="741"/>
      <c r="AA197" s="741"/>
      <c r="AB197" s="741"/>
      <c r="AC197" s="741"/>
    </row>
    <row r="198" spans="1:29" x14ac:dyDescent="0.2">
      <c r="A198" s="766"/>
      <c r="H198" s="782"/>
      <c r="J198" s="787"/>
      <c r="L198" s="782"/>
      <c r="N198" s="766"/>
      <c r="Y198" s="745"/>
      <c r="Z198" s="741"/>
      <c r="AA198" s="741"/>
      <c r="AB198" s="741"/>
      <c r="AC198" s="741"/>
    </row>
    <row r="199" spans="1:29" x14ac:dyDescent="0.2">
      <c r="C199" s="741"/>
      <c r="D199" s="741"/>
      <c r="E199" s="741"/>
      <c r="F199" s="741"/>
      <c r="G199" s="741"/>
      <c r="H199" s="741"/>
      <c r="I199" s="741"/>
      <c r="J199" s="741"/>
      <c r="K199" s="741"/>
      <c r="L199" s="741"/>
      <c r="M199" s="741"/>
      <c r="N199" s="741"/>
      <c r="O199" s="741"/>
      <c r="P199" s="741"/>
      <c r="Q199" s="741"/>
      <c r="R199" s="741"/>
      <c r="U199" s="790"/>
      <c r="Y199" s="791"/>
    </row>
    <row r="200" spans="1:29" x14ac:dyDescent="0.2">
      <c r="C200" s="741"/>
      <c r="D200" s="741"/>
      <c r="E200" s="741"/>
      <c r="F200" s="741"/>
      <c r="G200" s="741"/>
      <c r="H200" s="741"/>
      <c r="I200" s="741"/>
      <c r="J200" s="741"/>
      <c r="K200" s="741"/>
      <c r="L200" s="741"/>
      <c r="M200" s="741"/>
      <c r="N200" s="741"/>
      <c r="O200" s="741"/>
      <c r="P200" s="741"/>
      <c r="Q200" s="741"/>
      <c r="R200" s="741"/>
      <c r="S200" s="741"/>
      <c r="U200" s="790"/>
    </row>
    <row r="201" spans="1:29" x14ac:dyDescent="0.2">
      <c r="C201" s="741"/>
      <c r="D201" s="741"/>
      <c r="E201" s="741"/>
      <c r="F201" s="741"/>
      <c r="G201" s="741"/>
      <c r="H201" s="741"/>
      <c r="I201" s="741"/>
      <c r="J201" s="741"/>
      <c r="K201" s="741"/>
      <c r="L201" s="741"/>
      <c r="M201" s="741"/>
      <c r="N201" s="741"/>
      <c r="O201" s="741"/>
      <c r="P201" s="741"/>
      <c r="Q201" s="741"/>
      <c r="R201" s="741"/>
      <c r="S201" s="741"/>
      <c r="U201" s="790"/>
    </row>
    <row r="202" spans="1:29" x14ac:dyDescent="0.2">
      <c r="S202" s="741"/>
    </row>
    <row r="203" spans="1:29" x14ac:dyDescent="0.2">
      <c r="A203" s="766"/>
      <c r="H203" s="782"/>
      <c r="J203" s="787"/>
      <c r="L203" s="782"/>
      <c r="N203" s="766"/>
    </row>
    <row r="204" spans="1:29" ht="12.75" customHeight="1" x14ac:dyDescent="0.2">
      <c r="C204" s="741"/>
      <c r="D204" s="741"/>
      <c r="E204" s="741"/>
      <c r="F204" s="741"/>
      <c r="G204" s="741"/>
      <c r="H204" s="741"/>
      <c r="I204" s="741"/>
      <c r="J204" s="741"/>
      <c r="K204" s="741"/>
      <c r="L204" s="741"/>
      <c r="M204" s="741"/>
      <c r="N204" s="741"/>
      <c r="O204" s="741"/>
      <c r="P204" s="741"/>
      <c r="Q204" s="741"/>
      <c r="R204" s="741"/>
    </row>
    <row r="205" spans="1:29" ht="12.75" customHeight="1" x14ac:dyDescent="0.2">
      <c r="C205" s="741"/>
      <c r="D205" s="741"/>
      <c r="E205" s="741"/>
      <c r="F205" s="741"/>
      <c r="G205" s="741"/>
      <c r="H205" s="741"/>
      <c r="I205" s="741"/>
      <c r="J205" s="741"/>
      <c r="K205" s="741"/>
      <c r="L205" s="741"/>
      <c r="M205" s="741"/>
      <c r="N205" s="741"/>
      <c r="O205" s="741"/>
      <c r="P205" s="741"/>
      <c r="Q205" s="741"/>
      <c r="R205" s="741"/>
    </row>
    <row r="206" spans="1:29" ht="12.75" customHeight="1" x14ac:dyDescent="0.2">
      <c r="C206" s="741"/>
      <c r="D206" s="741"/>
      <c r="E206" s="741"/>
      <c r="F206" s="741"/>
      <c r="G206" s="741"/>
      <c r="H206" s="741"/>
      <c r="I206" s="741"/>
      <c r="J206" s="741"/>
      <c r="K206" s="741"/>
      <c r="L206" s="741"/>
      <c r="M206" s="741"/>
      <c r="N206" s="741"/>
      <c r="O206" s="741"/>
      <c r="P206" s="741"/>
      <c r="Q206" s="741"/>
      <c r="R206" s="741"/>
    </row>
    <row r="207" spans="1:29" ht="12.75" customHeight="1" x14ac:dyDescent="0.2">
      <c r="U207" s="745"/>
      <c r="V207" s="745"/>
      <c r="W207" s="745"/>
      <c r="X207" s="745"/>
    </row>
    <row r="208" spans="1:29" ht="12.75" customHeight="1" x14ac:dyDescent="0.2">
      <c r="U208" s="745"/>
      <c r="V208" s="745"/>
      <c r="W208" s="745"/>
      <c r="X208" s="745"/>
    </row>
    <row r="209" spans="1:29" ht="12.75" customHeight="1" x14ac:dyDescent="0.2">
      <c r="C209" s="741"/>
      <c r="D209" s="741"/>
      <c r="E209" s="741"/>
      <c r="F209" s="741"/>
      <c r="G209" s="741"/>
      <c r="H209" s="741"/>
      <c r="I209" s="741"/>
      <c r="J209" s="741"/>
      <c r="K209" s="741"/>
      <c r="L209" s="741"/>
      <c r="M209" s="741"/>
      <c r="N209" s="741"/>
      <c r="O209" s="741"/>
      <c r="P209" s="741"/>
      <c r="Q209" s="741"/>
      <c r="R209" s="741"/>
      <c r="S209" s="741"/>
      <c r="T209" s="745"/>
    </row>
    <row r="210" spans="1:29" ht="12.75" customHeight="1" x14ac:dyDescent="0.2">
      <c r="C210" s="741"/>
      <c r="D210" s="741"/>
      <c r="E210" s="741"/>
      <c r="F210" s="741"/>
      <c r="G210" s="741"/>
      <c r="H210" s="741"/>
      <c r="I210" s="741"/>
      <c r="J210" s="741"/>
      <c r="K210" s="741"/>
      <c r="L210" s="741"/>
      <c r="M210" s="741"/>
      <c r="N210" s="741"/>
      <c r="O210" s="741"/>
      <c r="P210" s="741"/>
      <c r="Q210" s="741"/>
      <c r="R210" s="741"/>
      <c r="S210" s="741"/>
      <c r="T210" s="745"/>
      <c r="Y210" s="745"/>
      <c r="Z210" s="741"/>
      <c r="AA210" s="741"/>
      <c r="AB210" s="741"/>
      <c r="AC210" s="741"/>
    </row>
    <row r="211" spans="1:29" ht="12.75" customHeight="1" x14ac:dyDescent="0.2">
      <c r="S211" s="741"/>
      <c r="Y211" s="745"/>
      <c r="Z211" s="741"/>
      <c r="AA211" s="741"/>
      <c r="AB211" s="741"/>
      <c r="AC211" s="741"/>
    </row>
    <row r="212" spans="1:29" ht="12.75" customHeight="1" x14ac:dyDescent="0.2">
      <c r="A212" s="766"/>
      <c r="H212" s="782"/>
      <c r="J212" s="787"/>
      <c r="L212" s="782"/>
      <c r="N212" s="766"/>
      <c r="Y212" s="745"/>
      <c r="Z212" s="741"/>
      <c r="AA212" s="741"/>
      <c r="AB212" s="741"/>
      <c r="AC212" s="741"/>
    </row>
    <row r="213" spans="1:29" ht="12.75" customHeight="1" x14ac:dyDescent="0.2">
      <c r="C213" s="741"/>
      <c r="D213" s="741"/>
      <c r="E213" s="741"/>
      <c r="F213" s="741"/>
      <c r="G213" s="741"/>
      <c r="H213" s="741"/>
      <c r="I213" s="741"/>
      <c r="J213" s="741"/>
      <c r="K213" s="741"/>
      <c r="L213" s="741"/>
      <c r="M213" s="741"/>
      <c r="N213" s="741"/>
      <c r="O213" s="741"/>
      <c r="P213" s="741"/>
      <c r="Q213" s="741"/>
      <c r="R213" s="741"/>
      <c r="Y213" s="791"/>
    </row>
    <row r="214" spans="1:29" ht="12.75" customHeight="1" x14ac:dyDescent="0.2">
      <c r="C214" s="741"/>
      <c r="D214" s="741"/>
      <c r="E214" s="741"/>
      <c r="F214" s="741"/>
      <c r="G214" s="741"/>
      <c r="H214" s="741"/>
      <c r="I214" s="741"/>
      <c r="J214" s="741"/>
      <c r="K214" s="741"/>
      <c r="L214" s="741"/>
      <c r="M214" s="741"/>
      <c r="N214" s="741"/>
      <c r="O214" s="741"/>
      <c r="P214" s="741"/>
      <c r="Q214" s="741"/>
      <c r="R214" s="741"/>
      <c r="S214" s="741"/>
      <c r="U214" s="745"/>
      <c r="V214" s="745"/>
      <c r="W214" s="745"/>
      <c r="X214" s="745"/>
    </row>
    <row r="215" spans="1:29" ht="12.75" customHeight="1" x14ac:dyDescent="0.2">
      <c r="C215" s="741"/>
      <c r="D215" s="741"/>
      <c r="E215" s="741"/>
      <c r="F215" s="741"/>
      <c r="G215" s="741"/>
      <c r="H215" s="741"/>
      <c r="I215" s="741"/>
      <c r="J215" s="741"/>
      <c r="K215" s="741"/>
      <c r="L215" s="741"/>
      <c r="M215" s="741"/>
      <c r="N215" s="741"/>
      <c r="O215" s="741"/>
      <c r="P215" s="741"/>
      <c r="Q215" s="741"/>
      <c r="R215" s="741"/>
      <c r="S215" s="741"/>
      <c r="U215" s="745"/>
      <c r="V215" s="745"/>
      <c r="W215" s="745"/>
      <c r="X215" s="745"/>
    </row>
    <row r="216" spans="1:29" ht="12.75" customHeight="1" x14ac:dyDescent="0.2">
      <c r="S216" s="741"/>
      <c r="U216" s="745"/>
      <c r="V216" s="745"/>
      <c r="W216" s="745"/>
      <c r="X216" s="745"/>
    </row>
    <row r="217" spans="1:29" ht="12.75" customHeight="1" x14ac:dyDescent="0.2">
      <c r="A217" s="766"/>
      <c r="H217" s="782"/>
      <c r="J217" s="787"/>
      <c r="K217" s="766"/>
      <c r="L217" s="782"/>
      <c r="N217" s="766"/>
    </row>
    <row r="218" spans="1:29" ht="12.75" customHeight="1" x14ac:dyDescent="0.2">
      <c r="C218" s="741"/>
      <c r="D218" s="741"/>
      <c r="E218" s="741"/>
      <c r="F218" s="741"/>
      <c r="G218" s="741"/>
      <c r="H218" s="741"/>
      <c r="I218" s="741"/>
      <c r="J218" s="741"/>
      <c r="K218" s="741"/>
      <c r="L218" s="741"/>
      <c r="M218" s="741"/>
      <c r="N218" s="741"/>
      <c r="O218" s="741"/>
      <c r="P218" s="741"/>
      <c r="Q218" s="741"/>
      <c r="R218" s="741"/>
      <c r="T218" s="745"/>
    </row>
    <row r="219" spans="1:29" ht="12.75" customHeight="1" x14ac:dyDescent="0.2">
      <c r="C219" s="741"/>
      <c r="D219" s="741"/>
      <c r="E219" s="741"/>
      <c r="F219" s="741"/>
      <c r="G219" s="741"/>
      <c r="H219" s="741"/>
      <c r="I219" s="741"/>
      <c r="J219" s="741"/>
      <c r="K219" s="741"/>
      <c r="L219" s="741"/>
      <c r="M219" s="741"/>
      <c r="N219" s="741"/>
      <c r="O219" s="741"/>
      <c r="P219" s="741"/>
      <c r="Q219" s="741"/>
      <c r="R219" s="741"/>
      <c r="T219" s="745"/>
      <c r="U219" s="745"/>
      <c r="V219" s="745"/>
      <c r="W219" s="745"/>
      <c r="X219" s="745"/>
    </row>
    <row r="220" spans="1:29" ht="12.75" customHeight="1" x14ac:dyDescent="0.2">
      <c r="C220" s="741"/>
      <c r="D220" s="741"/>
      <c r="E220" s="741"/>
      <c r="F220" s="741"/>
      <c r="G220" s="741"/>
      <c r="H220" s="741"/>
      <c r="I220" s="741"/>
      <c r="J220" s="741"/>
      <c r="K220" s="741"/>
      <c r="L220" s="741"/>
      <c r="M220" s="741"/>
      <c r="N220" s="741"/>
      <c r="O220" s="741"/>
      <c r="P220" s="741"/>
      <c r="Q220" s="741"/>
      <c r="R220" s="741"/>
      <c r="T220" s="745"/>
      <c r="U220" s="745"/>
      <c r="V220" s="745"/>
      <c r="W220" s="745"/>
      <c r="X220" s="745"/>
      <c r="Y220" s="745"/>
      <c r="Z220" s="741"/>
      <c r="AA220" s="741"/>
      <c r="AB220" s="741"/>
      <c r="AC220" s="741"/>
    </row>
    <row r="221" spans="1:29" ht="12.75" customHeight="1" x14ac:dyDescent="0.2">
      <c r="U221" s="745"/>
      <c r="V221" s="745"/>
      <c r="W221" s="745"/>
      <c r="X221" s="745"/>
      <c r="Y221" s="745"/>
      <c r="Z221" s="741"/>
      <c r="AA221" s="741"/>
      <c r="AB221" s="741"/>
      <c r="AC221" s="741"/>
    </row>
    <row r="222" spans="1:29" ht="12.75" customHeight="1" x14ac:dyDescent="0.2">
      <c r="A222" s="766"/>
      <c r="H222" s="782"/>
      <c r="J222" s="787"/>
      <c r="L222" s="782"/>
      <c r="N222" s="766"/>
      <c r="Y222" s="745"/>
      <c r="Z222" s="741"/>
      <c r="AA222" s="741"/>
      <c r="AB222" s="741"/>
      <c r="AC222" s="741"/>
    </row>
    <row r="223" spans="1:29" ht="12.75" customHeight="1" x14ac:dyDescent="0.2">
      <c r="T223" s="745"/>
      <c r="Y223" s="791"/>
    </row>
    <row r="224" spans="1:29" ht="12.75" customHeight="1" x14ac:dyDescent="0.2">
      <c r="S224" s="741"/>
      <c r="T224" s="745"/>
    </row>
    <row r="225" spans="1:29" ht="12.75" customHeight="1" x14ac:dyDescent="0.2">
      <c r="S225" s="741"/>
      <c r="T225" s="745"/>
      <c r="Y225" s="745"/>
      <c r="Z225" s="741"/>
      <c r="AA225" s="741"/>
      <c r="AB225" s="741"/>
      <c r="AC225" s="741"/>
    </row>
    <row r="226" spans="1:29" ht="12.75" customHeight="1" x14ac:dyDescent="0.2">
      <c r="S226" s="741"/>
      <c r="Y226" s="745"/>
      <c r="Z226" s="741"/>
      <c r="AA226" s="741"/>
      <c r="AB226" s="741"/>
      <c r="AC226" s="741"/>
    </row>
    <row r="227" spans="1:29" ht="12.75" customHeight="1" x14ac:dyDescent="0.2">
      <c r="A227" s="766"/>
      <c r="H227" s="782"/>
      <c r="J227" s="787"/>
      <c r="L227" s="782"/>
      <c r="N227" s="766"/>
      <c r="Y227" s="745"/>
      <c r="Z227" s="741"/>
      <c r="AA227" s="741"/>
      <c r="AB227" s="741"/>
      <c r="AC227" s="741"/>
    </row>
    <row r="228" spans="1:29" ht="12.75" customHeight="1" x14ac:dyDescent="0.2">
      <c r="C228" s="741"/>
      <c r="D228" s="741"/>
      <c r="E228" s="741"/>
      <c r="F228" s="741"/>
      <c r="G228" s="741"/>
      <c r="H228" s="741"/>
      <c r="I228" s="741"/>
      <c r="J228" s="741"/>
      <c r="K228" s="741"/>
      <c r="L228" s="741"/>
      <c r="M228" s="741"/>
      <c r="N228" s="741"/>
      <c r="O228" s="741"/>
      <c r="P228" s="741"/>
      <c r="Q228" s="741"/>
      <c r="R228" s="741"/>
      <c r="U228" s="790"/>
      <c r="Y228" s="791"/>
    </row>
    <row r="229" spans="1:29" ht="12.75" customHeight="1" x14ac:dyDescent="0.2">
      <c r="C229" s="741"/>
      <c r="D229" s="741"/>
      <c r="E229" s="741"/>
      <c r="F229" s="741"/>
      <c r="G229" s="741"/>
      <c r="H229" s="741"/>
      <c r="I229" s="741"/>
      <c r="J229" s="741"/>
      <c r="K229" s="741"/>
      <c r="L229" s="741"/>
      <c r="M229" s="741"/>
      <c r="N229" s="741"/>
      <c r="O229" s="741"/>
      <c r="P229" s="741"/>
      <c r="Q229" s="741"/>
      <c r="R229" s="741"/>
      <c r="S229" s="741"/>
      <c r="U229" s="790"/>
    </row>
    <row r="230" spans="1:29" ht="12.75" customHeight="1" x14ac:dyDescent="0.2">
      <c r="C230" s="741"/>
      <c r="D230" s="741"/>
      <c r="E230" s="741"/>
      <c r="F230" s="741"/>
      <c r="G230" s="741"/>
      <c r="H230" s="741"/>
      <c r="I230" s="741"/>
      <c r="J230" s="741"/>
      <c r="K230" s="741"/>
      <c r="L230" s="741"/>
      <c r="M230" s="741"/>
      <c r="N230" s="741"/>
      <c r="O230" s="741"/>
      <c r="P230" s="741"/>
      <c r="Q230" s="741"/>
      <c r="R230" s="741"/>
      <c r="S230" s="741"/>
      <c r="U230" s="790"/>
    </row>
    <row r="231" spans="1:29" ht="12.75" customHeight="1" x14ac:dyDescent="0.2">
      <c r="S231" s="741"/>
    </row>
    <row r="232" spans="1:29" ht="12.75" customHeight="1" x14ac:dyDescent="0.2">
      <c r="A232" s="766"/>
      <c r="F232" s="766"/>
      <c r="H232" s="741"/>
      <c r="J232" s="787"/>
      <c r="L232" s="741"/>
      <c r="N232" s="766"/>
    </row>
    <row r="233" spans="1:29" ht="12.75" customHeight="1" x14ac:dyDescent="0.2">
      <c r="C233" s="741"/>
      <c r="D233" s="741"/>
      <c r="E233" s="741"/>
      <c r="F233" s="741"/>
      <c r="G233" s="741"/>
      <c r="H233" s="741"/>
      <c r="I233" s="741"/>
      <c r="J233" s="741"/>
      <c r="K233" s="741"/>
      <c r="L233" s="741"/>
      <c r="M233" s="741"/>
      <c r="N233" s="741"/>
      <c r="O233" s="741"/>
      <c r="P233" s="741"/>
      <c r="Q233" s="741"/>
      <c r="R233" s="741"/>
    </row>
    <row r="234" spans="1:29" ht="12.75" customHeight="1" x14ac:dyDescent="0.2">
      <c r="C234" s="741"/>
      <c r="D234" s="741"/>
      <c r="E234" s="741"/>
      <c r="F234" s="741"/>
      <c r="G234" s="741"/>
      <c r="H234" s="741"/>
      <c r="I234" s="741"/>
      <c r="J234" s="741"/>
      <c r="K234" s="741"/>
      <c r="L234" s="741"/>
      <c r="M234" s="741"/>
      <c r="N234" s="741"/>
      <c r="O234" s="741"/>
      <c r="P234" s="741"/>
      <c r="Q234" s="741"/>
      <c r="R234" s="741"/>
    </row>
    <row r="235" spans="1:29" ht="12.75" customHeight="1" x14ac:dyDescent="0.2">
      <c r="C235" s="741"/>
      <c r="D235" s="741"/>
      <c r="E235" s="741"/>
      <c r="F235" s="741"/>
      <c r="G235" s="741"/>
      <c r="H235" s="741"/>
      <c r="I235" s="741"/>
      <c r="J235" s="741"/>
      <c r="K235" s="741"/>
      <c r="L235" s="741"/>
      <c r="M235" s="741"/>
      <c r="N235" s="741"/>
      <c r="O235" s="741"/>
      <c r="P235" s="741"/>
      <c r="Q235" s="741"/>
      <c r="R235" s="741"/>
    </row>
    <row r="236" spans="1:29" ht="12.75" customHeight="1" x14ac:dyDescent="0.2">
      <c r="U236" s="745"/>
      <c r="V236" s="745"/>
      <c r="W236" s="745"/>
      <c r="X236" s="745"/>
    </row>
    <row r="237" spans="1:29" ht="12.75" customHeight="1" x14ac:dyDescent="0.2">
      <c r="U237" s="745"/>
      <c r="V237" s="745"/>
      <c r="W237" s="745"/>
      <c r="X237" s="745"/>
    </row>
    <row r="238" spans="1:29" ht="12.75" customHeight="1" x14ac:dyDescent="0.2">
      <c r="N238" s="766"/>
      <c r="U238" s="745"/>
      <c r="V238" s="745"/>
      <c r="W238" s="745"/>
      <c r="X238" s="745"/>
    </row>
    <row r="239" spans="1:29" ht="12.75" customHeight="1" x14ac:dyDescent="0.2">
      <c r="C239" s="784"/>
      <c r="N239" s="766"/>
      <c r="S239" s="759"/>
    </row>
    <row r="240" spans="1:29" ht="12.75" customHeight="1" x14ac:dyDescent="0.2">
      <c r="C240" s="785"/>
      <c r="J240" s="786"/>
      <c r="K240" s="786"/>
      <c r="N240" s="766"/>
      <c r="T240" s="745"/>
    </row>
    <row r="241" spans="1:29" ht="12.75" customHeight="1" x14ac:dyDescent="0.2">
      <c r="C241" s="766"/>
      <c r="N241" s="766"/>
      <c r="S241" s="759"/>
      <c r="T241" s="745"/>
      <c r="U241" s="745"/>
      <c r="V241" s="745"/>
      <c r="W241" s="745"/>
      <c r="X241" s="745"/>
    </row>
    <row r="242" spans="1:29" ht="12.75" customHeight="1" x14ac:dyDescent="0.2">
      <c r="T242" s="745"/>
      <c r="U242" s="745"/>
      <c r="V242" s="745"/>
      <c r="W242" s="745"/>
      <c r="X242" s="745"/>
      <c r="Y242" s="745"/>
      <c r="Z242" s="741"/>
      <c r="AA242" s="741"/>
      <c r="AB242" s="741"/>
      <c r="AC242" s="741"/>
    </row>
    <row r="243" spans="1:29" ht="12.75" customHeight="1" x14ac:dyDescent="0.2">
      <c r="A243" s="759"/>
      <c r="B243" s="759"/>
      <c r="C243" s="759"/>
      <c r="D243" s="759"/>
      <c r="E243" s="759"/>
      <c r="F243" s="759"/>
      <c r="G243" s="759"/>
      <c r="H243" s="759"/>
      <c r="I243" s="759"/>
      <c r="J243" s="759"/>
      <c r="K243" s="759"/>
      <c r="L243" s="759"/>
      <c r="M243" s="759"/>
      <c r="N243" s="759"/>
      <c r="O243" s="759"/>
      <c r="P243" s="759"/>
      <c r="Q243" s="759"/>
      <c r="R243" s="759"/>
      <c r="U243" s="745"/>
      <c r="V243" s="745"/>
      <c r="W243" s="745"/>
      <c r="X243" s="745"/>
      <c r="Y243" s="745"/>
      <c r="Z243" s="741"/>
      <c r="AA243" s="741"/>
      <c r="AB243" s="741"/>
      <c r="AC243" s="741"/>
    </row>
    <row r="244" spans="1:29" ht="12.75" customHeight="1" x14ac:dyDescent="0.2">
      <c r="Y244" s="745"/>
      <c r="Z244" s="741"/>
      <c r="AA244" s="741"/>
      <c r="AB244" s="741"/>
      <c r="AC244" s="741"/>
    </row>
    <row r="245" spans="1:29" ht="12.75" customHeight="1" x14ac:dyDescent="0.2">
      <c r="A245" s="772"/>
      <c r="B245" s="759"/>
      <c r="C245" s="772"/>
      <c r="D245" s="759"/>
      <c r="E245" s="759"/>
      <c r="F245" s="759"/>
      <c r="G245" s="759"/>
      <c r="H245" s="772"/>
      <c r="I245" s="759"/>
      <c r="J245" s="772"/>
      <c r="K245" s="759"/>
      <c r="L245" s="772"/>
      <c r="M245" s="759"/>
      <c r="N245" s="759"/>
      <c r="O245" s="759"/>
      <c r="P245" s="759"/>
      <c r="Q245" s="759"/>
      <c r="R245" s="759"/>
      <c r="T245" s="745"/>
      <c r="Y245" s="791"/>
    </row>
    <row r="246" spans="1:29" ht="12.75" customHeight="1" x14ac:dyDescent="0.2">
      <c r="A246" s="766"/>
      <c r="C246" s="766"/>
      <c r="H246" s="766"/>
      <c r="J246" s="766"/>
      <c r="L246" s="766"/>
      <c r="N246" s="766"/>
      <c r="S246" s="741"/>
      <c r="T246" s="745"/>
      <c r="U246" s="745"/>
      <c r="V246" s="745"/>
      <c r="W246" s="745"/>
      <c r="X246" s="745"/>
    </row>
    <row r="247" spans="1:29" ht="12.75" customHeight="1" x14ac:dyDescent="0.2">
      <c r="S247" s="741"/>
      <c r="T247" s="745"/>
      <c r="U247" s="745"/>
      <c r="V247" s="745"/>
      <c r="W247" s="745"/>
      <c r="X247" s="745"/>
      <c r="Y247" s="745"/>
      <c r="Z247" s="741"/>
      <c r="AA247" s="741"/>
      <c r="AB247" s="741"/>
      <c r="AC247" s="741"/>
    </row>
    <row r="248" spans="1:29" ht="12.75" customHeight="1" x14ac:dyDescent="0.2">
      <c r="S248" s="741"/>
      <c r="U248" s="745"/>
      <c r="V248" s="745"/>
      <c r="W248" s="745"/>
      <c r="X248" s="745"/>
      <c r="Y248" s="745"/>
      <c r="Z248" s="741"/>
      <c r="AA248" s="741"/>
      <c r="AB248" s="741"/>
      <c r="AC248" s="741"/>
    </row>
    <row r="249" spans="1:29" ht="12.75" customHeight="1" x14ac:dyDescent="0.2">
      <c r="A249" s="766"/>
      <c r="C249" s="766"/>
      <c r="J249" s="788"/>
      <c r="N249" s="766"/>
      <c r="Y249" s="745"/>
      <c r="Z249" s="741"/>
      <c r="AA249" s="741"/>
      <c r="AB249" s="741"/>
      <c r="AC249" s="741"/>
    </row>
    <row r="250" spans="1:29" ht="12.75" customHeight="1" x14ac:dyDescent="0.2">
      <c r="C250" s="741"/>
      <c r="D250" s="741"/>
      <c r="E250" s="741"/>
      <c r="F250" s="741"/>
      <c r="G250" s="741"/>
      <c r="H250" s="741"/>
      <c r="I250" s="741"/>
      <c r="J250" s="741"/>
      <c r="K250" s="741"/>
      <c r="L250" s="741"/>
      <c r="M250" s="741"/>
      <c r="N250" s="741"/>
      <c r="O250" s="741"/>
      <c r="P250" s="741"/>
      <c r="Q250" s="741"/>
      <c r="R250" s="741"/>
      <c r="T250" s="745"/>
      <c r="Y250" s="791"/>
    </row>
    <row r="251" spans="1:29" ht="12.75" customHeight="1" x14ac:dyDescent="0.2">
      <c r="C251" s="741"/>
      <c r="D251" s="741"/>
      <c r="E251" s="741"/>
      <c r="F251" s="741"/>
      <c r="G251" s="741"/>
      <c r="H251" s="741"/>
      <c r="I251" s="741"/>
      <c r="J251" s="741"/>
      <c r="K251" s="741"/>
      <c r="L251" s="741"/>
      <c r="M251" s="741"/>
      <c r="N251" s="741"/>
      <c r="O251" s="741"/>
      <c r="P251" s="741"/>
      <c r="Q251" s="741"/>
      <c r="R251" s="741"/>
      <c r="S251" s="741"/>
      <c r="T251" s="745"/>
      <c r="U251" s="745"/>
      <c r="V251" s="745"/>
      <c r="W251" s="745"/>
      <c r="X251" s="745"/>
    </row>
    <row r="252" spans="1:29" ht="12.75" customHeight="1" x14ac:dyDescent="0.2">
      <c r="C252" s="741"/>
      <c r="D252" s="741"/>
      <c r="E252" s="741"/>
      <c r="F252" s="741"/>
      <c r="G252" s="741"/>
      <c r="H252" s="741"/>
      <c r="I252" s="741"/>
      <c r="J252" s="741"/>
      <c r="K252" s="741"/>
      <c r="L252" s="741"/>
      <c r="M252" s="741"/>
      <c r="N252" s="741"/>
      <c r="O252" s="741"/>
      <c r="P252" s="741"/>
      <c r="Q252" s="741"/>
      <c r="R252" s="741"/>
      <c r="S252" s="741"/>
      <c r="T252" s="745"/>
      <c r="U252" s="745"/>
      <c r="V252" s="745"/>
      <c r="W252" s="745"/>
      <c r="X252" s="745"/>
      <c r="Y252" s="745"/>
      <c r="Z252" s="741"/>
    </row>
    <row r="253" spans="1:29" ht="12.75" customHeight="1" x14ac:dyDescent="0.2">
      <c r="S253" s="741"/>
      <c r="U253" s="745"/>
      <c r="V253" s="745"/>
      <c r="W253" s="745"/>
      <c r="X253" s="745"/>
      <c r="Y253" s="745"/>
      <c r="Z253" s="741"/>
    </row>
    <row r="254" spans="1:29" ht="12.75" customHeight="1" x14ac:dyDescent="0.2">
      <c r="A254" s="766"/>
      <c r="C254" s="766"/>
      <c r="F254" s="766"/>
      <c r="H254" s="782"/>
      <c r="J254" s="788"/>
      <c r="L254" s="782"/>
      <c r="N254" s="766"/>
      <c r="Y254" s="745"/>
      <c r="Z254" s="741"/>
    </row>
    <row r="255" spans="1:29" ht="12.75" customHeight="1" x14ac:dyDescent="0.2">
      <c r="C255" s="741"/>
      <c r="D255" s="741"/>
      <c r="E255" s="741"/>
      <c r="F255" s="741"/>
      <c r="G255" s="741"/>
      <c r="H255" s="741"/>
      <c r="I255" s="741"/>
      <c r="J255" s="741"/>
      <c r="K255" s="741"/>
      <c r="L255" s="741"/>
      <c r="M255" s="741"/>
      <c r="N255" s="741"/>
      <c r="O255" s="741"/>
      <c r="P255" s="741"/>
      <c r="Q255" s="741"/>
      <c r="R255" s="741"/>
      <c r="T255" s="745"/>
      <c r="Y255" s="791"/>
    </row>
    <row r="256" spans="1:29" ht="12.75" customHeight="1" x14ac:dyDescent="0.2">
      <c r="C256" s="741"/>
      <c r="D256" s="741"/>
      <c r="E256" s="741"/>
      <c r="F256" s="741"/>
      <c r="G256" s="741"/>
      <c r="H256" s="741"/>
      <c r="I256" s="741"/>
      <c r="J256" s="741"/>
      <c r="K256" s="741"/>
      <c r="L256" s="741"/>
      <c r="M256" s="741"/>
      <c r="N256" s="741"/>
      <c r="O256" s="741"/>
      <c r="P256" s="741"/>
      <c r="Q256" s="741"/>
      <c r="R256" s="741"/>
      <c r="S256" s="741"/>
      <c r="T256" s="745"/>
      <c r="U256" s="745"/>
      <c r="V256" s="745"/>
      <c r="W256" s="745"/>
      <c r="X256" s="745"/>
    </row>
    <row r="257" spans="1:48" ht="12.75" customHeight="1" x14ac:dyDescent="0.2">
      <c r="C257" s="741"/>
      <c r="D257" s="741"/>
      <c r="E257" s="741"/>
      <c r="F257" s="741"/>
      <c r="G257" s="741"/>
      <c r="H257" s="741"/>
      <c r="I257" s="741"/>
      <c r="J257" s="741"/>
      <c r="K257" s="741"/>
      <c r="L257" s="741"/>
      <c r="M257" s="741"/>
      <c r="N257" s="741"/>
      <c r="O257" s="741"/>
      <c r="P257" s="741"/>
      <c r="Q257" s="741"/>
      <c r="R257" s="741"/>
      <c r="S257" s="741"/>
      <c r="T257" s="745"/>
      <c r="U257" s="745"/>
      <c r="V257" s="745"/>
      <c r="W257" s="745"/>
      <c r="X257" s="745"/>
      <c r="Y257" s="745"/>
      <c r="Z257" s="741"/>
      <c r="AA257" s="741"/>
      <c r="AB257" s="741"/>
      <c r="AC257" s="741"/>
      <c r="AD257" s="741"/>
      <c r="AE257" s="741"/>
      <c r="AF257" s="741"/>
      <c r="AG257" s="741"/>
      <c r="AH257" s="741"/>
      <c r="AI257" s="741"/>
      <c r="AJ257" s="741"/>
      <c r="AK257" s="741"/>
      <c r="AL257" s="741"/>
      <c r="AM257" s="741"/>
      <c r="AN257" s="741"/>
      <c r="AO257" s="741"/>
      <c r="AP257" s="741"/>
    </row>
    <row r="258" spans="1:48" ht="12.75" customHeight="1" x14ac:dyDescent="0.2">
      <c r="S258" s="741"/>
      <c r="U258" s="745"/>
      <c r="V258" s="745"/>
      <c r="W258" s="745"/>
      <c r="X258" s="745"/>
      <c r="Y258" s="745"/>
      <c r="Z258" s="741"/>
      <c r="AA258" s="741"/>
      <c r="AB258" s="741"/>
      <c r="AC258" s="741"/>
      <c r="AD258" s="741"/>
      <c r="AE258" s="741"/>
      <c r="AF258" s="741"/>
      <c r="AG258" s="741"/>
      <c r="AH258" s="741"/>
      <c r="AI258" s="741"/>
      <c r="AJ258" s="741"/>
      <c r="AK258" s="741"/>
      <c r="AL258" s="741"/>
      <c r="AM258" s="741"/>
      <c r="AN258" s="741"/>
      <c r="AO258" s="741"/>
      <c r="AP258" s="741"/>
    </row>
    <row r="259" spans="1:48" ht="12.75" customHeight="1" x14ac:dyDescent="0.2">
      <c r="A259" s="766"/>
      <c r="C259" s="766"/>
      <c r="H259" s="782"/>
      <c r="J259" s="787"/>
      <c r="L259" s="782"/>
      <c r="N259" s="766"/>
      <c r="Y259" s="745"/>
      <c r="Z259" s="741"/>
      <c r="AA259" s="741"/>
      <c r="AB259" s="741"/>
      <c r="AC259" s="741"/>
      <c r="AD259" s="741"/>
      <c r="AE259" s="741"/>
      <c r="AF259" s="741"/>
      <c r="AG259" s="741"/>
      <c r="AH259" s="741"/>
      <c r="AI259" s="741"/>
      <c r="AJ259" s="741"/>
      <c r="AK259" s="741"/>
      <c r="AL259" s="741"/>
      <c r="AM259" s="741"/>
      <c r="AN259" s="741"/>
      <c r="AO259" s="741"/>
      <c r="AP259" s="741"/>
    </row>
    <row r="260" spans="1:48" ht="12.75" customHeight="1" x14ac:dyDescent="0.2">
      <c r="C260" s="741"/>
      <c r="D260" s="741"/>
      <c r="E260" s="741"/>
      <c r="F260" s="741"/>
      <c r="G260" s="741"/>
      <c r="H260" s="741"/>
      <c r="I260" s="741"/>
      <c r="J260" s="741"/>
      <c r="K260" s="741"/>
      <c r="L260" s="741"/>
      <c r="M260" s="741"/>
      <c r="N260" s="741"/>
      <c r="O260" s="741"/>
      <c r="P260" s="741"/>
      <c r="Q260" s="741"/>
      <c r="R260" s="741"/>
      <c r="T260" s="745"/>
      <c r="Y260" s="791"/>
    </row>
    <row r="261" spans="1:48" ht="12.75" customHeight="1" x14ac:dyDescent="0.2">
      <c r="C261" s="741"/>
      <c r="D261" s="741"/>
      <c r="E261" s="741"/>
      <c r="F261" s="741"/>
      <c r="G261" s="741"/>
      <c r="H261" s="741"/>
      <c r="I261" s="741"/>
      <c r="J261" s="741"/>
      <c r="K261" s="741"/>
      <c r="L261" s="741"/>
      <c r="M261" s="741"/>
      <c r="N261" s="741"/>
      <c r="O261" s="741"/>
      <c r="P261" s="741"/>
      <c r="Q261" s="741"/>
      <c r="R261" s="741"/>
      <c r="S261" s="741"/>
      <c r="T261" s="745"/>
      <c r="U261" s="745"/>
      <c r="V261" s="745"/>
      <c r="W261" s="745"/>
      <c r="X261" s="745"/>
    </row>
    <row r="262" spans="1:48" ht="12.75" customHeight="1" x14ac:dyDescent="0.2">
      <c r="C262" s="741"/>
      <c r="D262" s="741"/>
      <c r="E262" s="741"/>
      <c r="F262" s="741"/>
      <c r="G262" s="741"/>
      <c r="H262" s="741"/>
      <c r="I262" s="741"/>
      <c r="J262" s="741"/>
      <c r="K262" s="741"/>
      <c r="L262" s="741"/>
      <c r="M262" s="741"/>
      <c r="N262" s="741"/>
      <c r="O262" s="741"/>
      <c r="P262" s="741"/>
      <c r="Q262" s="741"/>
      <c r="R262" s="741"/>
      <c r="S262" s="741"/>
      <c r="T262" s="745"/>
      <c r="U262" s="745"/>
      <c r="V262" s="745"/>
      <c r="W262" s="745"/>
      <c r="X262" s="745"/>
      <c r="Y262" s="745"/>
      <c r="Z262" s="741"/>
      <c r="AA262" s="741"/>
      <c r="AB262" s="741"/>
      <c r="AC262" s="741"/>
      <c r="AD262" s="741"/>
      <c r="AE262" s="741"/>
      <c r="AF262" s="741"/>
      <c r="AG262" s="741"/>
      <c r="AH262" s="741"/>
      <c r="AI262" s="741"/>
      <c r="AJ262" s="741"/>
      <c r="AK262" s="741"/>
      <c r="AL262" s="741"/>
      <c r="AM262" s="741"/>
      <c r="AN262" s="741"/>
      <c r="AO262" s="741"/>
      <c r="AP262" s="741"/>
      <c r="AQ262" s="741"/>
      <c r="AR262" s="741"/>
      <c r="AS262" s="741"/>
      <c r="AT262" s="741"/>
      <c r="AU262" s="741"/>
      <c r="AV262" s="741"/>
    </row>
    <row r="263" spans="1:48" ht="12.75" customHeight="1" x14ac:dyDescent="0.2">
      <c r="S263" s="741"/>
      <c r="U263" s="745"/>
      <c r="V263" s="745"/>
      <c r="W263" s="745"/>
      <c r="X263" s="745"/>
      <c r="Y263" s="745"/>
      <c r="Z263" s="741"/>
      <c r="AA263" s="741"/>
      <c r="AB263" s="741"/>
      <c r="AC263" s="741"/>
      <c r="AD263" s="741"/>
      <c r="AE263" s="741"/>
      <c r="AF263" s="741"/>
      <c r="AG263" s="741"/>
      <c r="AH263" s="741"/>
      <c r="AI263" s="741"/>
      <c r="AJ263" s="741"/>
      <c r="AK263" s="741"/>
      <c r="AL263" s="741"/>
      <c r="AM263" s="741"/>
      <c r="AN263" s="741"/>
      <c r="AO263" s="741"/>
      <c r="AP263" s="741"/>
      <c r="AQ263" s="741"/>
      <c r="AR263" s="741"/>
      <c r="AS263" s="741"/>
      <c r="AT263" s="741"/>
      <c r="AU263" s="741"/>
      <c r="AV263" s="741"/>
    </row>
    <row r="264" spans="1:48" ht="12.75" customHeight="1" x14ac:dyDescent="0.2">
      <c r="A264" s="766"/>
      <c r="C264" s="766"/>
      <c r="H264" s="782"/>
      <c r="J264" s="787"/>
      <c r="L264" s="782"/>
      <c r="N264" s="766"/>
      <c r="Y264" s="745"/>
      <c r="Z264" s="741"/>
      <c r="AA264" s="741"/>
      <c r="AB264" s="741"/>
      <c r="AC264" s="741"/>
      <c r="AD264" s="741"/>
      <c r="AE264" s="741"/>
      <c r="AF264" s="741"/>
      <c r="AG264" s="741"/>
      <c r="AH264" s="741"/>
      <c r="AI264" s="741"/>
      <c r="AJ264" s="741"/>
      <c r="AK264" s="741"/>
      <c r="AL264" s="741"/>
      <c r="AM264" s="741"/>
      <c r="AN264" s="741"/>
      <c r="AO264" s="741"/>
      <c r="AP264" s="741"/>
      <c r="AQ264" s="741"/>
      <c r="AR264" s="741"/>
      <c r="AS264" s="741"/>
      <c r="AT264" s="741"/>
      <c r="AU264" s="741"/>
      <c r="AV264" s="741"/>
    </row>
    <row r="265" spans="1:48" ht="12.75" customHeight="1" x14ac:dyDescent="0.2">
      <c r="C265" s="741"/>
      <c r="D265" s="741"/>
      <c r="E265" s="741"/>
      <c r="F265" s="741"/>
      <c r="G265" s="741"/>
      <c r="H265" s="741"/>
      <c r="I265" s="741"/>
      <c r="J265" s="741"/>
      <c r="K265" s="741"/>
      <c r="L265" s="741"/>
      <c r="M265" s="741"/>
      <c r="N265" s="741"/>
      <c r="O265" s="741"/>
      <c r="P265" s="741"/>
      <c r="Q265" s="741"/>
      <c r="R265" s="741"/>
      <c r="T265" s="745"/>
      <c r="Y265" s="791"/>
    </row>
    <row r="266" spans="1:48" ht="12.75" customHeight="1" x14ac:dyDescent="0.2">
      <c r="C266" s="741"/>
      <c r="D266" s="741"/>
      <c r="E266" s="741"/>
      <c r="F266" s="741"/>
      <c r="G266" s="741"/>
      <c r="H266" s="741"/>
      <c r="I266" s="741"/>
      <c r="J266" s="741"/>
      <c r="K266" s="741"/>
      <c r="L266" s="741"/>
      <c r="M266" s="741"/>
      <c r="N266" s="741"/>
      <c r="O266" s="741"/>
      <c r="P266" s="741"/>
      <c r="Q266" s="741"/>
      <c r="R266" s="741"/>
      <c r="S266" s="741"/>
      <c r="T266" s="745"/>
      <c r="U266" s="745"/>
      <c r="V266" s="745"/>
      <c r="W266" s="745"/>
      <c r="X266" s="745"/>
    </row>
    <row r="267" spans="1:48" ht="12.75" customHeight="1" x14ac:dyDescent="0.2">
      <c r="C267" s="741"/>
      <c r="D267" s="741"/>
      <c r="E267" s="741"/>
      <c r="F267" s="741"/>
      <c r="G267" s="741"/>
      <c r="H267" s="741"/>
      <c r="I267" s="741"/>
      <c r="J267" s="741"/>
      <c r="K267" s="741"/>
      <c r="L267" s="741"/>
      <c r="M267" s="741"/>
      <c r="N267" s="741"/>
      <c r="O267" s="741"/>
      <c r="P267" s="741"/>
      <c r="Q267" s="741"/>
      <c r="R267" s="741"/>
      <c r="S267" s="741"/>
      <c r="T267" s="745"/>
      <c r="U267" s="745"/>
      <c r="V267" s="745"/>
      <c r="W267" s="745"/>
      <c r="X267" s="745"/>
      <c r="Y267" s="745"/>
      <c r="Z267" s="741"/>
      <c r="AA267" s="741"/>
      <c r="AB267" s="741"/>
      <c r="AC267" s="741"/>
    </row>
    <row r="268" spans="1:48" ht="12.75" customHeight="1" x14ac:dyDescent="0.2">
      <c r="S268" s="741"/>
      <c r="U268" s="745"/>
      <c r="V268" s="745"/>
      <c r="W268" s="745"/>
      <c r="X268" s="745"/>
      <c r="Y268" s="745"/>
      <c r="Z268" s="741"/>
      <c r="AA268" s="741"/>
      <c r="AB268" s="741"/>
      <c r="AC268" s="741"/>
    </row>
    <row r="269" spans="1:48" ht="12.75" customHeight="1" x14ac:dyDescent="0.2">
      <c r="A269" s="766"/>
      <c r="C269" s="766"/>
      <c r="H269" s="782"/>
      <c r="J269" s="787"/>
      <c r="L269" s="782"/>
      <c r="N269" s="766"/>
      <c r="Y269" s="745"/>
      <c r="Z269" s="741"/>
      <c r="AA269" s="741"/>
      <c r="AB269" s="741"/>
      <c r="AC269" s="741"/>
    </row>
    <row r="270" spans="1:48" ht="12.75" customHeight="1" x14ac:dyDescent="0.2">
      <c r="C270" s="741"/>
      <c r="D270" s="741"/>
      <c r="E270" s="741"/>
      <c r="F270" s="741"/>
      <c r="G270" s="741"/>
      <c r="H270" s="741"/>
      <c r="I270" s="741"/>
      <c r="J270" s="741"/>
      <c r="K270" s="741"/>
      <c r="L270" s="741"/>
      <c r="M270" s="741"/>
      <c r="N270" s="741"/>
      <c r="O270" s="741"/>
      <c r="P270" s="741"/>
      <c r="Q270" s="741"/>
      <c r="R270" s="741"/>
      <c r="T270" s="745"/>
      <c r="Y270" s="791"/>
    </row>
    <row r="271" spans="1:48" ht="12.75" customHeight="1" x14ac:dyDescent="0.2">
      <c r="C271" s="741"/>
      <c r="D271" s="741"/>
      <c r="E271" s="741"/>
      <c r="F271" s="741"/>
      <c r="G271" s="741"/>
      <c r="H271" s="741"/>
      <c r="I271" s="741"/>
      <c r="J271" s="741"/>
      <c r="K271" s="741"/>
      <c r="L271" s="741"/>
      <c r="M271" s="741"/>
      <c r="N271" s="741"/>
      <c r="O271" s="741"/>
      <c r="P271" s="741"/>
      <c r="Q271" s="741"/>
      <c r="R271" s="741"/>
      <c r="S271" s="741"/>
      <c r="T271" s="745"/>
      <c r="U271" s="745"/>
      <c r="V271" s="745"/>
      <c r="W271" s="745"/>
      <c r="X271" s="745"/>
    </row>
    <row r="272" spans="1:48" ht="12.75" customHeight="1" x14ac:dyDescent="0.2">
      <c r="C272" s="741"/>
      <c r="D272" s="741"/>
      <c r="E272" s="741"/>
      <c r="F272" s="741"/>
      <c r="G272" s="741"/>
      <c r="H272" s="741"/>
      <c r="I272" s="741"/>
      <c r="J272" s="741"/>
      <c r="K272" s="741"/>
      <c r="L272" s="741"/>
      <c r="M272" s="741"/>
      <c r="N272" s="741"/>
      <c r="O272" s="741"/>
      <c r="P272" s="741"/>
      <c r="Q272" s="741"/>
      <c r="R272" s="741"/>
      <c r="S272" s="741"/>
      <c r="T272" s="745"/>
      <c r="U272" s="745"/>
      <c r="V272" s="745"/>
      <c r="W272" s="745"/>
      <c r="X272" s="745"/>
      <c r="Y272" s="745"/>
      <c r="Z272" s="741"/>
      <c r="AA272" s="741"/>
      <c r="AB272" s="741"/>
      <c r="AC272" s="741"/>
    </row>
    <row r="273" spans="1:29" ht="12.75" customHeight="1" x14ac:dyDescent="0.2">
      <c r="S273" s="741"/>
      <c r="U273" s="745"/>
      <c r="V273" s="745"/>
      <c r="W273" s="745"/>
      <c r="X273" s="745"/>
      <c r="Y273" s="745"/>
      <c r="Z273" s="741"/>
      <c r="AA273" s="741"/>
      <c r="AB273" s="741"/>
      <c r="AC273" s="741"/>
    </row>
    <row r="274" spans="1:29" ht="12.75" customHeight="1" x14ac:dyDescent="0.2">
      <c r="A274" s="766"/>
      <c r="C274" s="766"/>
      <c r="H274" s="782"/>
      <c r="I274" s="766"/>
      <c r="J274" s="787"/>
      <c r="L274" s="782"/>
      <c r="N274" s="766"/>
      <c r="Y274" s="745"/>
      <c r="Z274" s="741"/>
      <c r="AA274" s="741"/>
      <c r="AB274" s="741"/>
      <c r="AC274" s="741"/>
    </row>
    <row r="275" spans="1:29" ht="12.75" customHeight="1" x14ac:dyDescent="0.2">
      <c r="C275" s="741"/>
      <c r="D275" s="741"/>
      <c r="E275" s="741"/>
      <c r="F275" s="741"/>
      <c r="G275" s="741"/>
      <c r="H275" s="741"/>
      <c r="I275" s="741"/>
      <c r="J275" s="741"/>
      <c r="K275" s="741"/>
      <c r="L275" s="741"/>
      <c r="M275" s="741"/>
      <c r="N275" s="741"/>
      <c r="O275" s="741"/>
      <c r="P275" s="741"/>
      <c r="Q275" s="741"/>
      <c r="R275" s="741"/>
      <c r="T275" s="745"/>
      <c r="Y275" s="791"/>
    </row>
    <row r="276" spans="1:29" ht="12.75" customHeight="1" x14ac:dyDescent="0.2">
      <c r="C276" s="741"/>
      <c r="D276" s="741"/>
      <c r="E276" s="741"/>
      <c r="F276" s="741"/>
      <c r="G276" s="741"/>
      <c r="H276" s="741"/>
      <c r="I276" s="741"/>
      <c r="J276" s="741"/>
      <c r="K276" s="741"/>
      <c r="L276" s="741"/>
      <c r="M276" s="741"/>
      <c r="N276" s="741"/>
      <c r="O276" s="741"/>
      <c r="P276" s="741"/>
      <c r="Q276" s="741"/>
      <c r="R276" s="741"/>
      <c r="S276" s="741"/>
      <c r="T276" s="745"/>
    </row>
    <row r="277" spans="1:29" ht="12.75" customHeight="1" x14ac:dyDescent="0.2">
      <c r="C277" s="741"/>
      <c r="D277" s="741"/>
      <c r="E277" s="741"/>
      <c r="F277" s="741"/>
      <c r="G277" s="741"/>
      <c r="H277" s="741"/>
      <c r="I277" s="741"/>
      <c r="J277" s="741"/>
      <c r="K277" s="741"/>
      <c r="L277" s="741"/>
      <c r="M277" s="741"/>
      <c r="N277" s="741"/>
      <c r="O277" s="741"/>
      <c r="P277" s="741"/>
      <c r="Q277" s="741"/>
      <c r="R277" s="741"/>
      <c r="S277" s="741"/>
      <c r="T277" s="745"/>
      <c r="Y277" s="745"/>
      <c r="Z277" s="741"/>
      <c r="AA277" s="741"/>
      <c r="AB277" s="741"/>
      <c r="AC277" s="741"/>
    </row>
    <row r="278" spans="1:29" ht="12.75" customHeight="1" x14ac:dyDescent="0.2">
      <c r="S278" s="741"/>
      <c r="Y278" s="745"/>
      <c r="Z278" s="741"/>
      <c r="AA278" s="741"/>
      <c r="AB278" s="741"/>
      <c r="AC278" s="741"/>
    </row>
    <row r="279" spans="1:29" ht="12.75" customHeight="1" x14ac:dyDescent="0.2">
      <c r="A279" s="766"/>
      <c r="C279" s="766"/>
      <c r="H279" s="782"/>
      <c r="J279" s="787"/>
      <c r="L279" s="782"/>
      <c r="N279" s="766"/>
      <c r="Y279" s="745"/>
      <c r="Z279" s="741"/>
      <c r="AA279" s="741"/>
      <c r="AB279" s="741"/>
      <c r="AC279" s="741"/>
    </row>
    <row r="280" spans="1:29" ht="12.75" customHeight="1" x14ac:dyDescent="0.2">
      <c r="C280" s="741"/>
      <c r="D280" s="741"/>
      <c r="E280" s="741"/>
      <c r="F280" s="741"/>
      <c r="G280" s="741"/>
      <c r="H280" s="741"/>
      <c r="I280" s="741"/>
      <c r="J280" s="741"/>
      <c r="K280" s="741"/>
      <c r="L280" s="741"/>
      <c r="M280" s="741"/>
      <c r="N280" s="741"/>
      <c r="O280" s="741"/>
      <c r="P280" s="741"/>
      <c r="Q280" s="741"/>
      <c r="R280" s="741"/>
      <c r="U280" s="790"/>
      <c r="Y280" s="791"/>
    </row>
    <row r="281" spans="1:29" ht="12.75" customHeight="1" x14ac:dyDescent="0.2">
      <c r="C281" s="741"/>
      <c r="D281" s="741"/>
      <c r="E281" s="741"/>
      <c r="F281" s="741"/>
      <c r="G281" s="741"/>
      <c r="H281" s="741"/>
      <c r="I281" s="741"/>
      <c r="J281" s="741"/>
      <c r="K281" s="741"/>
      <c r="L281" s="741"/>
      <c r="M281" s="741"/>
      <c r="N281" s="741"/>
      <c r="O281" s="741"/>
      <c r="P281" s="741"/>
      <c r="Q281" s="741"/>
      <c r="R281" s="741"/>
      <c r="S281" s="741"/>
      <c r="U281" s="790"/>
    </row>
    <row r="282" spans="1:29" ht="12.75" customHeight="1" x14ac:dyDescent="0.2">
      <c r="C282" s="741"/>
      <c r="D282" s="741"/>
      <c r="E282" s="741"/>
      <c r="F282" s="741"/>
      <c r="G282" s="741"/>
      <c r="H282" s="741"/>
      <c r="I282" s="741"/>
      <c r="J282" s="741"/>
      <c r="K282" s="741"/>
      <c r="L282" s="741"/>
      <c r="M282" s="741"/>
      <c r="N282" s="741"/>
      <c r="O282" s="741"/>
      <c r="P282" s="741"/>
      <c r="Q282" s="741"/>
      <c r="R282" s="741"/>
      <c r="S282" s="741"/>
      <c r="U282" s="790"/>
    </row>
    <row r="283" spans="1:29" ht="12.75" customHeight="1" x14ac:dyDescent="0.2">
      <c r="S283" s="741"/>
    </row>
    <row r="284" spans="1:29" ht="12.75" customHeight="1" x14ac:dyDescent="0.2">
      <c r="A284" s="766"/>
      <c r="C284" s="766"/>
      <c r="H284" s="782"/>
      <c r="J284" s="787"/>
      <c r="L284" s="782"/>
      <c r="N284" s="766"/>
    </row>
    <row r="285" spans="1:29" ht="12.75" customHeight="1" x14ac:dyDescent="0.2">
      <c r="C285" s="741"/>
      <c r="D285" s="741"/>
      <c r="E285" s="741"/>
      <c r="F285" s="741"/>
      <c r="G285" s="741"/>
      <c r="H285" s="741"/>
      <c r="I285" s="741"/>
      <c r="J285" s="741"/>
      <c r="K285" s="741"/>
      <c r="L285" s="741"/>
      <c r="M285" s="741"/>
      <c r="N285" s="741"/>
      <c r="O285" s="741"/>
      <c r="P285" s="741"/>
      <c r="Q285" s="741"/>
      <c r="R285" s="741"/>
    </row>
    <row r="286" spans="1:29" ht="12.75" customHeight="1" x14ac:dyDescent="0.2">
      <c r="C286" s="741"/>
      <c r="D286" s="741"/>
      <c r="E286" s="741"/>
      <c r="F286" s="741"/>
      <c r="G286" s="741"/>
      <c r="H286" s="741"/>
      <c r="I286" s="741"/>
      <c r="J286" s="741"/>
      <c r="K286" s="741"/>
      <c r="L286" s="741"/>
      <c r="M286" s="741"/>
      <c r="N286" s="741"/>
      <c r="O286" s="741"/>
      <c r="P286" s="741"/>
      <c r="Q286" s="741"/>
      <c r="R286" s="741"/>
    </row>
    <row r="287" spans="1:29" ht="12.75" customHeight="1" x14ac:dyDescent="0.2">
      <c r="C287" s="741"/>
      <c r="D287" s="741"/>
      <c r="E287" s="741"/>
      <c r="F287" s="741"/>
      <c r="G287" s="741"/>
      <c r="H287" s="741"/>
      <c r="I287" s="741"/>
      <c r="J287" s="741"/>
      <c r="K287" s="741"/>
      <c r="L287" s="741"/>
      <c r="M287" s="741"/>
      <c r="N287" s="741"/>
      <c r="O287" s="741"/>
      <c r="P287" s="741"/>
      <c r="Q287" s="741"/>
      <c r="R287" s="741"/>
    </row>
    <row r="288" spans="1:29" ht="12.75" customHeight="1" x14ac:dyDescent="0.2">
      <c r="U288" s="745"/>
      <c r="V288" s="745"/>
      <c r="W288" s="745"/>
      <c r="X288" s="745"/>
    </row>
    <row r="289" spans="1:48" ht="12.75" customHeight="1" x14ac:dyDescent="0.2">
      <c r="U289" s="745"/>
      <c r="V289" s="745"/>
      <c r="W289" s="745"/>
      <c r="X289" s="745"/>
    </row>
    <row r="290" spans="1:48" ht="12.75" customHeight="1" x14ac:dyDescent="0.2">
      <c r="N290" s="766"/>
      <c r="U290" s="745"/>
      <c r="V290" s="745"/>
      <c r="W290" s="745"/>
      <c r="X290" s="745"/>
    </row>
    <row r="291" spans="1:48" ht="12.75" customHeight="1" x14ac:dyDescent="0.2">
      <c r="C291" s="784"/>
      <c r="N291" s="766"/>
      <c r="S291" s="759"/>
    </row>
    <row r="292" spans="1:48" ht="12.75" customHeight="1" x14ac:dyDescent="0.2">
      <c r="C292" s="785"/>
      <c r="J292" s="786"/>
      <c r="K292" s="786"/>
      <c r="N292" s="766"/>
      <c r="T292" s="745"/>
    </row>
    <row r="293" spans="1:48" ht="12.75" customHeight="1" x14ac:dyDescent="0.2">
      <c r="C293" s="766"/>
      <c r="N293" s="766"/>
      <c r="S293" s="759"/>
      <c r="T293" s="745"/>
      <c r="U293" s="745"/>
      <c r="V293" s="745"/>
      <c r="W293" s="745"/>
      <c r="X293" s="745"/>
    </row>
    <row r="294" spans="1:48" ht="12.75" customHeight="1" x14ac:dyDescent="0.2">
      <c r="T294" s="745"/>
      <c r="U294" s="745"/>
      <c r="V294" s="745"/>
      <c r="W294" s="745"/>
      <c r="X294" s="745"/>
      <c r="Y294" s="745"/>
      <c r="Z294" s="741"/>
      <c r="AA294" s="741"/>
      <c r="AB294" s="741"/>
      <c r="AC294" s="741"/>
      <c r="AD294" s="741"/>
      <c r="AE294" s="741"/>
      <c r="AF294" s="741"/>
      <c r="AG294" s="741"/>
      <c r="AH294" s="741"/>
      <c r="AI294" s="741"/>
      <c r="AJ294" s="741"/>
      <c r="AK294" s="741"/>
      <c r="AL294" s="741"/>
      <c r="AM294" s="741"/>
      <c r="AN294" s="741"/>
      <c r="AO294" s="741"/>
      <c r="AP294" s="741"/>
      <c r="AQ294" s="741"/>
      <c r="AR294" s="741"/>
      <c r="AS294" s="741"/>
      <c r="AT294" s="741"/>
      <c r="AU294" s="741"/>
      <c r="AV294" s="741"/>
    </row>
    <row r="295" spans="1:48" ht="12.75" customHeight="1" x14ac:dyDescent="0.2">
      <c r="A295" s="759"/>
      <c r="B295" s="759"/>
      <c r="C295" s="759"/>
      <c r="D295" s="759"/>
      <c r="E295" s="759"/>
      <c r="F295" s="759"/>
      <c r="G295" s="759"/>
      <c r="H295" s="759"/>
      <c r="I295" s="759"/>
      <c r="J295" s="759"/>
      <c r="K295" s="759"/>
      <c r="L295" s="759"/>
      <c r="M295" s="759"/>
      <c r="N295" s="759"/>
      <c r="O295" s="759"/>
      <c r="P295" s="759"/>
      <c r="Q295" s="759"/>
      <c r="R295" s="759"/>
      <c r="U295" s="745"/>
      <c r="V295" s="745"/>
      <c r="W295" s="745"/>
      <c r="X295" s="745"/>
      <c r="Y295" s="745"/>
      <c r="Z295" s="741"/>
      <c r="AA295" s="741"/>
      <c r="AB295" s="741"/>
      <c r="AC295" s="741"/>
      <c r="AD295" s="741"/>
      <c r="AE295" s="741"/>
      <c r="AF295" s="741"/>
      <c r="AG295" s="741"/>
      <c r="AH295" s="741"/>
      <c r="AI295" s="741"/>
      <c r="AJ295" s="741"/>
      <c r="AK295" s="741"/>
      <c r="AL295" s="741"/>
      <c r="AM295" s="741"/>
      <c r="AN295" s="741"/>
      <c r="AO295" s="741"/>
      <c r="AP295" s="741"/>
      <c r="AQ295" s="741"/>
      <c r="AR295" s="741"/>
      <c r="AS295" s="741"/>
      <c r="AT295" s="741"/>
      <c r="AU295" s="741"/>
      <c r="AV295" s="741"/>
    </row>
    <row r="296" spans="1:48" ht="12.75" customHeight="1" x14ac:dyDescent="0.2">
      <c r="Y296" s="745"/>
      <c r="Z296" s="741"/>
      <c r="AA296" s="741"/>
      <c r="AB296" s="741"/>
      <c r="AC296" s="741"/>
      <c r="AD296" s="741"/>
      <c r="AE296" s="741"/>
      <c r="AF296" s="741"/>
      <c r="AG296" s="741"/>
      <c r="AH296" s="741"/>
      <c r="AI296" s="741"/>
      <c r="AJ296" s="741"/>
      <c r="AK296" s="741"/>
      <c r="AL296" s="741"/>
      <c r="AM296" s="741"/>
      <c r="AN296" s="741"/>
      <c r="AO296" s="741"/>
      <c r="AP296" s="741"/>
      <c r="AQ296" s="741"/>
      <c r="AR296" s="741"/>
      <c r="AS296" s="741"/>
      <c r="AT296" s="741"/>
      <c r="AU296" s="741"/>
      <c r="AV296" s="741"/>
    </row>
    <row r="297" spans="1:48" ht="12.75" customHeight="1" x14ac:dyDescent="0.2">
      <c r="A297" s="772"/>
      <c r="B297" s="759"/>
      <c r="C297" s="772"/>
      <c r="D297" s="759"/>
      <c r="E297" s="759"/>
      <c r="F297" s="759"/>
      <c r="G297" s="759"/>
      <c r="H297" s="772"/>
      <c r="I297" s="759"/>
      <c r="J297" s="772"/>
      <c r="K297" s="759"/>
      <c r="L297" s="772"/>
      <c r="M297" s="759"/>
      <c r="N297" s="759"/>
      <c r="O297" s="759"/>
      <c r="P297" s="759"/>
      <c r="Q297" s="759"/>
      <c r="R297" s="759"/>
      <c r="T297" s="745"/>
      <c r="Y297" s="791"/>
    </row>
    <row r="298" spans="1:48" ht="12.75" customHeight="1" x14ac:dyDescent="0.2">
      <c r="A298" s="766"/>
      <c r="C298" s="766"/>
      <c r="H298" s="766"/>
      <c r="J298" s="766"/>
      <c r="L298" s="766"/>
      <c r="N298" s="766"/>
      <c r="S298" s="741"/>
      <c r="T298" s="745"/>
      <c r="U298" s="745"/>
      <c r="V298" s="745"/>
      <c r="W298" s="745"/>
      <c r="X298" s="745"/>
    </row>
    <row r="299" spans="1:48" ht="12.75" customHeight="1" x14ac:dyDescent="0.2">
      <c r="S299" s="741"/>
      <c r="T299" s="745"/>
      <c r="U299" s="745"/>
      <c r="V299" s="745"/>
      <c r="W299" s="745"/>
      <c r="X299" s="745"/>
      <c r="Y299" s="745"/>
      <c r="Z299" s="741"/>
      <c r="AA299" s="741"/>
      <c r="AB299" s="741"/>
      <c r="AC299" s="741"/>
      <c r="AD299" s="741"/>
    </row>
    <row r="300" spans="1:48" ht="12.75" customHeight="1" x14ac:dyDescent="0.2">
      <c r="S300" s="741"/>
      <c r="U300" s="745"/>
      <c r="V300" s="745"/>
      <c r="W300" s="745"/>
      <c r="X300" s="745"/>
      <c r="Y300" s="745"/>
      <c r="Z300" s="741"/>
      <c r="AA300" s="741"/>
      <c r="AB300" s="741"/>
      <c r="AC300" s="741"/>
      <c r="AD300" s="741"/>
    </row>
    <row r="301" spans="1:48" ht="12.75" customHeight="1" x14ac:dyDescent="0.2">
      <c r="A301" s="766"/>
      <c r="Y301" s="745"/>
      <c r="Z301" s="741"/>
      <c r="AA301" s="741"/>
      <c r="AB301" s="741"/>
      <c r="AC301" s="741"/>
      <c r="AD301" s="741"/>
    </row>
    <row r="302" spans="1:48" ht="12.75" customHeight="1" x14ac:dyDescent="0.2">
      <c r="C302" s="741"/>
      <c r="D302" s="741"/>
      <c r="E302" s="741"/>
      <c r="F302" s="741"/>
      <c r="G302" s="741"/>
      <c r="H302" s="741"/>
      <c r="I302" s="741"/>
      <c r="J302" s="741"/>
      <c r="K302" s="741"/>
      <c r="L302" s="741"/>
      <c r="M302" s="741"/>
      <c r="N302" s="741"/>
      <c r="O302" s="741"/>
      <c r="P302" s="741"/>
      <c r="Q302" s="741"/>
      <c r="R302" s="741"/>
      <c r="T302" s="745"/>
      <c r="Y302" s="791"/>
    </row>
    <row r="303" spans="1:48" ht="12.75" customHeight="1" x14ac:dyDescent="0.2">
      <c r="C303" s="741"/>
      <c r="D303" s="741"/>
      <c r="E303" s="741"/>
      <c r="F303" s="741"/>
      <c r="G303" s="741"/>
      <c r="H303" s="741"/>
      <c r="I303" s="741"/>
      <c r="J303" s="741"/>
      <c r="K303" s="741"/>
      <c r="L303" s="741"/>
      <c r="M303" s="741"/>
      <c r="N303" s="741"/>
      <c r="O303" s="741"/>
      <c r="P303" s="741"/>
      <c r="Q303" s="741"/>
      <c r="R303" s="741"/>
      <c r="S303" s="741"/>
      <c r="T303" s="745"/>
      <c r="U303" s="745"/>
      <c r="V303" s="745"/>
      <c r="W303" s="745"/>
      <c r="X303" s="745"/>
    </row>
    <row r="304" spans="1:48" ht="12.75" customHeight="1" x14ac:dyDescent="0.2">
      <c r="C304" s="741"/>
      <c r="D304" s="741"/>
      <c r="E304" s="741"/>
      <c r="F304" s="741"/>
      <c r="G304" s="741"/>
      <c r="H304" s="741"/>
      <c r="I304" s="741"/>
      <c r="J304" s="741"/>
      <c r="K304" s="741"/>
      <c r="L304" s="741"/>
      <c r="M304" s="741"/>
      <c r="N304" s="741"/>
      <c r="O304" s="741"/>
      <c r="P304" s="741"/>
      <c r="Q304" s="741"/>
      <c r="R304" s="741"/>
      <c r="S304" s="741"/>
      <c r="T304" s="745"/>
      <c r="U304" s="745"/>
      <c r="V304" s="745"/>
      <c r="W304" s="745"/>
      <c r="X304" s="745"/>
      <c r="Y304" s="745"/>
      <c r="Z304" s="741"/>
      <c r="AA304" s="741"/>
      <c r="AB304" s="741"/>
    </row>
    <row r="305" spans="1:30" ht="12.75" customHeight="1" x14ac:dyDescent="0.2">
      <c r="S305" s="741"/>
      <c r="U305" s="745"/>
      <c r="V305" s="745"/>
      <c r="W305" s="745"/>
      <c r="X305" s="745"/>
      <c r="Y305" s="745"/>
      <c r="Z305" s="741"/>
      <c r="AA305" s="741"/>
      <c r="AB305" s="741"/>
    </row>
    <row r="306" spans="1:30" ht="12.75" customHeight="1" x14ac:dyDescent="0.2">
      <c r="A306" s="766"/>
      <c r="C306" s="766"/>
      <c r="H306" s="782"/>
      <c r="J306" s="787"/>
      <c r="L306" s="782"/>
      <c r="N306" s="766"/>
      <c r="Y306" s="745"/>
      <c r="Z306" s="741"/>
      <c r="AA306" s="741"/>
      <c r="AB306" s="741"/>
    </row>
    <row r="307" spans="1:30" ht="12.75" customHeight="1" x14ac:dyDescent="0.2">
      <c r="C307" s="741"/>
      <c r="D307" s="741"/>
      <c r="E307" s="741"/>
      <c r="F307" s="741"/>
      <c r="G307" s="741"/>
      <c r="H307" s="741"/>
      <c r="I307" s="741"/>
      <c r="J307" s="741"/>
      <c r="K307" s="741"/>
      <c r="L307" s="741"/>
      <c r="M307" s="741"/>
      <c r="N307" s="741"/>
      <c r="O307" s="741"/>
      <c r="P307" s="741"/>
      <c r="Q307" s="741"/>
      <c r="R307" s="741"/>
      <c r="T307" s="745"/>
      <c r="Y307" s="791"/>
    </row>
    <row r="308" spans="1:30" ht="12.75" customHeight="1" x14ac:dyDescent="0.2">
      <c r="C308" s="741"/>
      <c r="D308" s="741"/>
      <c r="E308" s="741"/>
      <c r="F308" s="741"/>
      <c r="G308" s="741"/>
      <c r="H308" s="741"/>
      <c r="I308" s="741"/>
      <c r="J308" s="741"/>
      <c r="K308" s="741"/>
      <c r="L308" s="741"/>
      <c r="M308" s="741"/>
      <c r="N308" s="741"/>
      <c r="O308" s="741"/>
      <c r="P308" s="741"/>
      <c r="Q308" s="741"/>
      <c r="R308" s="741"/>
      <c r="S308" s="741"/>
      <c r="T308" s="745"/>
      <c r="U308" s="745"/>
      <c r="V308" s="745"/>
      <c r="W308" s="745"/>
      <c r="X308" s="745"/>
    </row>
    <row r="309" spans="1:30" ht="12.75" customHeight="1" x14ac:dyDescent="0.2">
      <c r="C309" s="741"/>
      <c r="D309" s="741"/>
      <c r="E309" s="741"/>
      <c r="F309" s="741"/>
      <c r="G309" s="741"/>
      <c r="H309" s="741"/>
      <c r="I309" s="741"/>
      <c r="J309" s="741"/>
      <c r="K309" s="741"/>
      <c r="L309" s="741"/>
      <c r="M309" s="741"/>
      <c r="N309" s="741"/>
      <c r="O309" s="741"/>
      <c r="P309" s="741"/>
      <c r="Q309" s="741"/>
      <c r="R309" s="741"/>
      <c r="S309" s="741"/>
      <c r="T309" s="745"/>
      <c r="U309" s="745"/>
      <c r="V309" s="745"/>
      <c r="W309" s="745"/>
      <c r="X309" s="745"/>
      <c r="Y309" s="745"/>
      <c r="Z309" s="741"/>
      <c r="AA309" s="741"/>
      <c r="AB309" s="741"/>
      <c r="AC309" s="741"/>
      <c r="AD309" s="741"/>
    </row>
    <row r="310" spans="1:30" ht="12.75" customHeight="1" x14ac:dyDescent="0.2">
      <c r="S310" s="741"/>
      <c r="U310" s="745"/>
      <c r="V310" s="745"/>
      <c r="W310" s="745"/>
      <c r="X310" s="745"/>
      <c r="Y310" s="745"/>
      <c r="Z310" s="741"/>
      <c r="AA310" s="741"/>
      <c r="AB310" s="741"/>
      <c r="AC310" s="741"/>
      <c r="AD310" s="741"/>
    </row>
    <row r="311" spans="1:30" ht="12.75" customHeight="1" x14ac:dyDescent="0.2">
      <c r="A311" s="766"/>
      <c r="C311" s="766"/>
      <c r="H311" s="782"/>
      <c r="J311" s="787"/>
      <c r="L311" s="782"/>
      <c r="N311" s="766"/>
      <c r="Y311" s="745"/>
      <c r="Z311" s="741"/>
      <c r="AA311" s="741"/>
      <c r="AB311" s="741"/>
      <c r="AC311" s="741"/>
      <c r="AD311" s="741"/>
    </row>
    <row r="312" spans="1:30" ht="12.75" customHeight="1" x14ac:dyDescent="0.2">
      <c r="C312" s="741"/>
      <c r="D312" s="741"/>
      <c r="E312" s="741"/>
      <c r="F312" s="741"/>
      <c r="G312" s="741"/>
      <c r="H312" s="741"/>
      <c r="I312" s="741"/>
      <c r="J312" s="741"/>
      <c r="K312" s="741"/>
      <c r="L312" s="741"/>
      <c r="M312" s="741"/>
      <c r="N312" s="741"/>
      <c r="O312" s="741"/>
      <c r="P312" s="741"/>
      <c r="Q312" s="741"/>
      <c r="R312" s="741"/>
      <c r="T312" s="745"/>
      <c r="Y312" s="791"/>
    </row>
    <row r="313" spans="1:30" ht="12.75" customHeight="1" x14ac:dyDescent="0.2">
      <c r="C313" s="741"/>
      <c r="D313" s="741"/>
      <c r="E313" s="741"/>
      <c r="F313" s="741"/>
      <c r="G313" s="741"/>
      <c r="H313" s="741"/>
      <c r="I313" s="741"/>
      <c r="J313" s="741"/>
      <c r="K313" s="741"/>
      <c r="L313" s="741"/>
      <c r="M313" s="741"/>
      <c r="N313" s="741"/>
      <c r="O313" s="741"/>
      <c r="P313" s="741"/>
      <c r="Q313" s="741"/>
      <c r="R313" s="741"/>
      <c r="S313" s="741"/>
      <c r="T313" s="745"/>
      <c r="U313" s="745"/>
      <c r="V313" s="745"/>
      <c r="W313" s="745"/>
      <c r="X313" s="745"/>
    </row>
    <row r="314" spans="1:30" ht="12.75" customHeight="1" x14ac:dyDescent="0.2">
      <c r="C314" s="741"/>
      <c r="D314" s="741"/>
      <c r="E314" s="741"/>
      <c r="F314" s="741"/>
      <c r="G314" s="741"/>
      <c r="H314" s="741"/>
      <c r="I314" s="741"/>
      <c r="J314" s="741"/>
      <c r="K314" s="741"/>
      <c r="L314" s="741"/>
      <c r="M314" s="741"/>
      <c r="N314" s="741"/>
      <c r="O314" s="741"/>
      <c r="P314" s="741"/>
      <c r="Q314" s="741"/>
      <c r="R314" s="741"/>
      <c r="S314" s="741"/>
      <c r="T314" s="745"/>
      <c r="U314" s="745"/>
      <c r="V314" s="745"/>
      <c r="W314" s="745"/>
      <c r="X314" s="745"/>
      <c r="Y314" s="745"/>
      <c r="Z314" s="741"/>
      <c r="AA314" s="741"/>
      <c r="AB314" s="741"/>
      <c r="AC314" s="741"/>
    </row>
    <row r="315" spans="1:30" ht="12.75" customHeight="1" x14ac:dyDescent="0.2">
      <c r="S315" s="741"/>
      <c r="U315" s="745"/>
      <c r="V315" s="745"/>
      <c r="W315" s="745"/>
      <c r="X315" s="745"/>
      <c r="Y315" s="745"/>
      <c r="Z315" s="741"/>
      <c r="AA315" s="741"/>
      <c r="AB315" s="741"/>
      <c r="AC315" s="741"/>
    </row>
    <row r="316" spans="1:30" ht="12.75" customHeight="1" x14ac:dyDescent="0.2">
      <c r="A316" s="766"/>
      <c r="H316" s="782"/>
      <c r="J316" s="787"/>
      <c r="L316" s="782"/>
      <c r="N316" s="766"/>
      <c r="Y316" s="745"/>
      <c r="Z316" s="741"/>
      <c r="AA316" s="741"/>
      <c r="AB316" s="741"/>
      <c r="AC316" s="741"/>
    </row>
    <row r="317" spans="1:30" ht="12.75" customHeight="1" x14ac:dyDescent="0.2">
      <c r="C317" s="741"/>
      <c r="D317" s="741"/>
      <c r="E317" s="741"/>
      <c r="F317" s="741"/>
      <c r="G317" s="741"/>
      <c r="H317" s="741"/>
      <c r="I317" s="741"/>
      <c r="J317" s="741"/>
      <c r="K317" s="741"/>
      <c r="L317" s="741"/>
      <c r="M317" s="741"/>
      <c r="N317" s="741"/>
      <c r="O317" s="741"/>
      <c r="P317" s="741"/>
      <c r="Q317" s="741"/>
      <c r="R317" s="741"/>
      <c r="T317" s="745"/>
      <c r="Y317" s="791"/>
    </row>
    <row r="318" spans="1:30" ht="12.75" customHeight="1" x14ac:dyDescent="0.2">
      <c r="C318" s="741"/>
      <c r="D318" s="741"/>
      <c r="E318" s="741"/>
      <c r="F318" s="741"/>
      <c r="G318" s="741"/>
      <c r="H318" s="741"/>
      <c r="I318" s="741"/>
      <c r="J318" s="741"/>
      <c r="K318" s="741"/>
      <c r="L318" s="741"/>
      <c r="M318" s="741"/>
      <c r="N318" s="741"/>
      <c r="O318" s="741"/>
      <c r="P318" s="741"/>
      <c r="Q318" s="741"/>
      <c r="R318" s="741"/>
      <c r="S318" s="741"/>
      <c r="T318" s="745"/>
    </row>
    <row r="319" spans="1:30" ht="12.75" customHeight="1" x14ac:dyDescent="0.2">
      <c r="C319" s="741"/>
      <c r="D319" s="741"/>
      <c r="E319" s="741"/>
      <c r="F319" s="741"/>
      <c r="G319" s="741"/>
      <c r="H319" s="741"/>
      <c r="I319" s="741"/>
      <c r="J319" s="741"/>
      <c r="K319" s="741"/>
      <c r="L319" s="741"/>
      <c r="M319" s="741"/>
      <c r="N319" s="741"/>
      <c r="O319" s="741"/>
      <c r="P319" s="741"/>
      <c r="Q319" s="741"/>
      <c r="R319" s="741"/>
      <c r="S319" s="741"/>
      <c r="T319" s="745"/>
      <c r="Y319" s="745"/>
      <c r="Z319" s="741"/>
      <c r="AA319" s="741"/>
      <c r="AB319" s="741"/>
      <c r="AC319" s="741"/>
    </row>
    <row r="320" spans="1:30" ht="12.75" customHeight="1" x14ac:dyDescent="0.2">
      <c r="S320" s="741"/>
      <c r="Y320" s="745"/>
      <c r="Z320" s="741"/>
      <c r="AA320" s="741"/>
      <c r="AB320" s="741"/>
      <c r="AC320" s="741"/>
    </row>
    <row r="321" spans="1:29" ht="12.75" customHeight="1" x14ac:dyDescent="0.2">
      <c r="A321" s="766"/>
      <c r="F321" s="766"/>
      <c r="H321" s="741"/>
      <c r="J321" s="787"/>
      <c r="L321" s="741"/>
      <c r="N321" s="766"/>
      <c r="Y321" s="745"/>
      <c r="Z321" s="741"/>
      <c r="AA321" s="741"/>
      <c r="AB321" s="741"/>
      <c r="AC321" s="741"/>
    </row>
    <row r="322" spans="1:29" ht="12.75" customHeight="1" x14ac:dyDescent="0.2">
      <c r="C322" s="741"/>
      <c r="D322" s="741"/>
      <c r="E322" s="741"/>
      <c r="F322" s="741"/>
      <c r="G322" s="741"/>
      <c r="H322" s="741"/>
      <c r="I322" s="741"/>
      <c r="J322" s="741"/>
      <c r="K322" s="741"/>
      <c r="L322" s="741"/>
      <c r="M322" s="741"/>
      <c r="N322" s="741"/>
      <c r="O322" s="741"/>
      <c r="P322" s="741"/>
      <c r="Q322" s="741"/>
      <c r="R322" s="741"/>
      <c r="Y322" s="791"/>
    </row>
    <row r="323" spans="1:29" ht="12.75" customHeight="1" x14ac:dyDescent="0.2">
      <c r="C323" s="741"/>
      <c r="D323" s="741"/>
      <c r="E323" s="741"/>
      <c r="F323" s="741"/>
      <c r="G323" s="741"/>
      <c r="H323" s="741"/>
      <c r="I323" s="741"/>
      <c r="J323" s="741"/>
      <c r="K323" s="741"/>
      <c r="L323" s="741"/>
      <c r="M323" s="741"/>
      <c r="N323" s="741"/>
      <c r="O323" s="741"/>
      <c r="P323" s="741"/>
      <c r="Q323" s="741"/>
      <c r="R323" s="741"/>
      <c r="S323" s="741"/>
      <c r="Y323" s="745"/>
    </row>
    <row r="324" spans="1:29" ht="12.75" customHeight="1" x14ac:dyDescent="0.2">
      <c r="C324" s="741"/>
      <c r="D324" s="741"/>
      <c r="E324" s="741"/>
      <c r="F324" s="741"/>
      <c r="G324" s="741"/>
      <c r="H324" s="741"/>
      <c r="I324" s="741"/>
      <c r="J324" s="741"/>
      <c r="K324" s="741"/>
      <c r="L324" s="741"/>
      <c r="M324" s="741"/>
      <c r="N324" s="741"/>
      <c r="O324" s="741"/>
      <c r="P324" s="741"/>
      <c r="Q324" s="741"/>
      <c r="R324" s="741"/>
      <c r="S324" s="741"/>
      <c r="Y324" s="745"/>
      <c r="Z324" s="741"/>
      <c r="AA324" s="741"/>
    </row>
    <row r="325" spans="1:29" ht="12.75" customHeight="1" x14ac:dyDescent="0.2">
      <c r="S325" s="741"/>
      <c r="Y325" s="745"/>
      <c r="Z325" s="741"/>
      <c r="AA325" s="741"/>
    </row>
    <row r="326" spans="1:29" ht="12.75" customHeight="1" x14ac:dyDescent="0.2">
      <c r="A326" s="766"/>
      <c r="G326" s="766"/>
    </row>
    <row r="327" spans="1:29" ht="12.75" customHeight="1" x14ac:dyDescent="0.2">
      <c r="C327" s="741"/>
      <c r="D327" s="741"/>
      <c r="E327" s="741"/>
      <c r="F327" s="741"/>
      <c r="G327" s="741"/>
      <c r="H327" s="741"/>
      <c r="I327" s="741"/>
      <c r="J327" s="741"/>
      <c r="K327" s="741"/>
      <c r="L327" s="741"/>
      <c r="M327" s="741"/>
      <c r="N327" s="741"/>
      <c r="O327" s="741"/>
      <c r="P327" s="741"/>
      <c r="Q327" s="741"/>
      <c r="R327" s="741"/>
    </row>
    <row r="328" spans="1:29" ht="12.75" customHeight="1" x14ac:dyDescent="0.2">
      <c r="C328" s="741"/>
      <c r="D328" s="741"/>
      <c r="E328" s="741"/>
      <c r="F328" s="741"/>
      <c r="G328" s="741"/>
      <c r="H328" s="741"/>
      <c r="I328" s="741"/>
      <c r="J328" s="741"/>
      <c r="K328" s="741"/>
      <c r="L328" s="741"/>
      <c r="M328" s="741"/>
      <c r="N328" s="741"/>
      <c r="O328" s="741"/>
      <c r="P328" s="741"/>
      <c r="Q328" s="741"/>
      <c r="R328" s="741"/>
    </row>
    <row r="329" spans="1:29" ht="12.75" customHeight="1" x14ac:dyDescent="0.2">
      <c r="C329" s="741"/>
      <c r="D329" s="741"/>
      <c r="E329" s="741"/>
      <c r="F329" s="741"/>
      <c r="G329" s="741"/>
      <c r="H329" s="741"/>
      <c r="I329" s="741"/>
      <c r="J329" s="741"/>
      <c r="K329" s="741"/>
      <c r="L329" s="741"/>
      <c r="M329" s="741"/>
      <c r="N329" s="741"/>
      <c r="O329" s="741"/>
      <c r="P329" s="741"/>
      <c r="Q329" s="741"/>
      <c r="R329" s="741"/>
    </row>
    <row r="330" spans="1:29" ht="12.75" customHeight="1" x14ac:dyDescent="0.2"/>
    <row r="331" spans="1:29" ht="12.75" customHeight="1" x14ac:dyDescent="0.2">
      <c r="A331" s="766"/>
      <c r="C331" s="766"/>
      <c r="H331" s="782"/>
      <c r="J331" s="787"/>
      <c r="L331" s="782"/>
      <c r="N331" s="766"/>
    </row>
    <row r="332" spans="1:29" ht="12.75" customHeight="1" x14ac:dyDescent="0.2">
      <c r="A332" s="766"/>
      <c r="C332" s="766"/>
      <c r="H332" s="782"/>
      <c r="J332" s="787"/>
      <c r="L332" s="782"/>
      <c r="N332" s="766"/>
    </row>
    <row r="333" spans="1:29" ht="12.75" customHeight="1" x14ac:dyDescent="0.2">
      <c r="A333" s="766"/>
      <c r="C333" s="766"/>
      <c r="H333" s="782"/>
      <c r="J333" s="787"/>
      <c r="L333" s="782"/>
      <c r="N333" s="766"/>
    </row>
    <row r="334" spans="1:29" ht="12.75" customHeight="1" x14ac:dyDescent="0.2">
      <c r="H334" s="741"/>
      <c r="J334" s="787"/>
      <c r="L334" s="741"/>
      <c r="N334" s="766"/>
    </row>
    <row r="335" spans="1:29" ht="12.75" customHeight="1" x14ac:dyDescent="0.2">
      <c r="A335" s="766"/>
      <c r="C335" s="766"/>
      <c r="J335" s="788"/>
    </row>
    <row r="336" spans="1:29" ht="12.75" customHeight="1" x14ac:dyDescent="0.2">
      <c r="F336" s="766"/>
      <c r="H336" s="741"/>
      <c r="J336" s="787"/>
      <c r="L336" s="741"/>
      <c r="N336" s="766"/>
    </row>
    <row r="337" spans="1:14" ht="12.75" customHeight="1" x14ac:dyDescent="0.2">
      <c r="C337" s="766"/>
    </row>
    <row r="338" spans="1:14" ht="12.75" customHeight="1" x14ac:dyDescent="0.2">
      <c r="F338" s="766"/>
      <c r="H338" s="741"/>
      <c r="J338" s="787"/>
      <c r="L338" s="741"/>
      <c r="N338" s="766"/>
    </row>
    <row r="339" spans="1:14" ht="12.75" customHeight="1" x14ac:dyDescent="0.2">
      <c r="C339" s="784"/>
      <c r="G339" s="766"/>
    </row>
    <row r="340" spans="1:14" ht="12.75" customHeight="1" x14ac:dyDescent="0.2">
      <c r="C340" s="785"/>
      <c r="G340" s="766"/>
    </row>
    <row r="341" spans="1:14" ht="12.75" customHeight="1" x14ac:dyDescent="0.2">
      <c r="C341" s="766"/>
      <c r="G341" s="766"/>
    </row>
    <row r="342" spans="1:14" ht="12.75" customHeight="1" x14ac:dyDescent="0.2">
      <c r="G342" s="766"/>
    </row>
    <row r="343" spans="1:14" ht="12.75" customHeight="1" x14ac:dyDescent="0.2">
      <c r="M343" s="766"/>
    </row>
    <row r="344" spans="1:14" ht="12.75" customHeight="1" x14ac:dyDescent="0.2">
      <c r="M344" s="766"/>
    </row>
    <row r="345" spans="1:14" ht="12.75" customHeight="1" x14ac:dyDescent="0.2">
      <c r="M345" s="766"/>
    </row>
    <row r="346" spans="1:14" ht="12.75" customHeight="1" x14ac:dyDescent="0.2">
      <c r="A346" s="766"/>
      <c r="C346" s="766"/>
      <c r="H346" s="766"/>
    </row>
    <row r="347" spans="1:14" ht="12.75" customHeight="1" x14ac:dyDescent="0.2">
      <c r="A347" s="766"/>
      <c r="C347" s="766"/>
      <c r="F347" s="766"/>
      <c r="H347" s="766"/>
      <c r="J347" s="766"/>
      <c r="L347" s="766"/>
    </row>
    <row r="348" spans="1:14" ht="12.75" customHeight="1" x14ac:dyDescent="0.2">
      <c r="F348" s="766"/>
      <c r="H348" s="766"/>
      <c r="J348" s="766"/>
      <c r="L348" s="766"/>
      <c r="N348" s="766"/>
    </row>
    <row r="349" spans="1:14" ht="12.75" customHeight="1" x14ac:dyDescent="0.2">
      <c r="H349" s="766"/>
      <c r="J349" s="766"/>
      <c r="L349" s="766"/>
      <c r="N349" s="766"/>
    </row>
    <row r="350" spans="1:14" ht="12.75" customHeight="1" x14ac:dyDescent="0.2">
      <c r="A350" s="766"/>
      <c r="C350" s="766"/>
      <c r="H350" s="766"/>
      <c r="J350" s="766"/>
      <c r="L350" s="766"/>
    </row>
    <row r="351" spans="1:14" ht="12.75" customHeight="1" x14ac:dyDescent="0.2">
      <c r="A351" s="766"/>
      <c r="C351" s="766"/>
      <c r="F351" s="766"/>
    </row>
    <row r="352" spans="1:14" ht="12.75" customHeight="1" x14ac:dyDescent="0.2">
      <c r="A352" s="766"/>
      <c r="C352" s="766"/>
      <c r="F352" s="766"/>
    </row>
    <row r="353" spans="1:14" ht="12.75" customHeight="1" x14ac:dyDescent="0.2">
      <c r="A353" s="766"/>
      <c r="C353" s="766"/>
      <c r="F353" s="766"/>
      <c r="H353" s="782"/>
      <c r="J353" s="783"/>
      <c r="L353" s="782"/>
      <c r="N353" s="766"/>
    </row>
    <row r="354" spans="1:14" ht="12.75" customHeight="1" x14ac:dyDescent="0.2">
      <c r="A354" s="766"/>
      <c r="C354" s="766"/>
      <c r="F354" s="766"/>
      <c r="H354" s="782"/>
      <c r="J354" s="783"/>
      <c r="L354" s="782"/>
      <c r="N354" s="766"/>
    </row>
    <row r="355" spans="1:14" ht="12.75" customHeight="1" x14ac:dyDescent="0.2">
      <c r="A355" s="766"/>
      <c r="C355" s="766"/>
      <c r="F355" s="766"/>
      <c r="H355" s="782"/>
      <c r="J355" s="783"/>
      <c r="L355" s="782"/>
      <c r="N355" s="766"/>
    </row>
    <row r="356" spans="1:14" ht="12.75" customHeight="1" x14ac:dyDescent="0.2">
      <c r="A356" s="766"/>
      <c r="C356" s="766"/>
      <c r="F356" s="766"/>
      <c r="H356" s="782"/>
      <c r="J356" s="783"/>
      <c r="L356" s="782"/>
      <c r="N356" s="766"/>
    </row>
    <row r="357" spans="1:14" ht="12.75" customHeight="1" x14ac:dyDescent="0.2">
      <c r="A357" s="766"/>
      <c r="C357" s="766"/>
      <c r="F357" s="766"/>
      <c r="H357" s="782"/>
      <c r="J357" s="783"/>
      <c r="L357" s="782"/>
      <c r="N357" s="766"/>
    </row>
    <row r="358" spans="1:14" ht="12.75" customHeight="1" x14ac:dyDescent="0.2">
      <c r="A358" s="766"/>
      <c r="F358" s="766"/>
      <c r="H358" s="782"/>
      <c r="J358" s="783"/>
      <c r="L358" s="782"/>
      <c r="N358" s="766"/>
    </row>
    <row r="359" spans="1:14" ht="12.75" customHeight="1" x14ac:dyDescent="0.2">
      <c r="F359" s="766"/>
      <c r="H359" s="741"/>
      <c r="J359" s="783"/>
      <c r="L359" s="741"/>
      <c r="N359" s="766"/>
    </row>
    <row r="360" spans="1:14" ht="12.75" customHeight="1" x14ac:dyDescent="0.2">
      <c r="A360" s="766"/>
      <c r="H360" s="782"/>
      <c r="J360" s="789"/>
      <c r="L360" s="782"/>
      <c r="N360" s="766"/>
    </row>
    <row r="361" spans="1:14" ht="12.75" customHeight="1" x14ac:dyDescent="0.2">
      <c r="A361" s="766"/>
      <c r="C361" s="766"/>
      <c r="F361" s="766"/>
      <c r="H361" s="782"/>
      <c r="J361" s="789"/>
      <c r="L361" s="782"/>
      <c r="N361" s="766"/>
    </row>
    <row r="362" spans="1:14" ht="12.75" customHeight="1" x14ac:dyDescent="0.2">
      <c r="A362" s="766"/>
      <c r="C362" s="766"/>
      <c r="F362" s="766"/>
      <c r="H362" s="782"/>
      <c r="J362" s="783"/>
      <c r="L362" s="782"/>
      <c r="N362" s="766"/>
    </row>
    <row r="363" spans="1:14" ht="12.75" customHeight="1" x14ac:dyDescent="0.2">
      <c r="A363" s="766"/>
      <c r="C363" s="766"/>
      <c r="F363" s="766"/>
      <c r="H363" s="782"/>
      <c r="J363" s="783"/>
      <c r="L363" s="782"/>
      <c r="N363" s="766"/>
    </row>
    <row r="364" spans="1:14" ht="12.75" customHeight="1" x14ac:dyDescent="0.2">
      <c r="A364" s="766"/>
      <c r="C364" s="766"/>
      <c r="F364" s="766"/>
      <c r="H364" s="782"/>
      <c r="J364" s="783"/>
      <c r="L364" s="782"/>
      <c r="N364" s="766"/>
    </row>
    <row r="365" spans="1:14" ht="12.75" customHeight="1" x14ac:dyDescent="0.2">
      <c r="A365" s="766"/>
      <c r="C365" s="766"/>
      <c r="F365" s="766"/>
      <c r="H365" s="782"/>
      <c r="J365" s="783"/>
      <c r="L365" s="782"/>
      <c r="N365" s="766"/>
    </row>
    <row r="366" spans="1:14" ht="12.75" customHeight="1" x14ac:dyDescent="0.2">
      <c r="A366" s="766"/>
      <c r="F366" s="766"/>
      <c r="H366" s="782"/>
      <c r="J366" s="783"/>
      <c r="L366" s="782"/>
      <c r="N366" s="766"/>
    </row>
    <row r="367" spans="1:14" ht="12.75" customHeight="1" x14ac:dyDescent="0.2">
      <c r="F367" s="766"/>
      <c r="H367" s="741"/>
      <c r="J367" s="783"/>
      <c r="L367" s="741"/>
      <c r="N367" s="766"/>
    </row>
    <row r="368" spans="1:14" ht="12.75" customHeight="1" x14ac:dyDescent="0.2">
      <c r="A368" s="766"/>
      <c r="C368" s="766"/>
      <c r="H368" s="782"/>
      <c r="J368" s="789"/>
      <c r="L368" s="782"/>
      <c r="N368" s="766"/>
    </row>
    <row r="369" spans="1:14" ht="12.75" customHeight="1" x14ac:dyDescent="0.2">
      <c r="F369" s="766"/>
      <c r="H369" s="741"/>
      <c r="J369" s="783"/>
      <c r="L369" s="741"/>
      <c r="N369" s="766"/>
    </row>
    <row r="370" spans="1:14" ht="12.75" customHeight="1" x14ac:dyDescent="0.2">
      <c r="A370" s="766"/>
      <c r="H370" s="782"/>
      <c r="J370" s="789"/>
      <c r="L370" s="782"/>
    </row>
    <row r="371" spans="1:14" ht="12.75" customHeight="1" x14ac:dyDescent="0.2">
      <c r="F371" s="766"/>
      <c r="H371" s="782"/>
      <c r="J371" s="789"/>
      <c r="L371" s="782"/>
    </row>
    <row r="372" spans="1:14" ht="12.75" customHeight="1" x14ac:dyDescent="0.2">
      <c r="A372" s="766"/>
      <c r="H372" s="782"/>
      <c r="J372" s="789"/>
      <c r="L372" s="782"/>
      <c r="N372" s="741"/>
    </row>
    <row r="373" spans="1:14" ht="12.75" customHeight="1" x14ac:dyDescent="0.2">
      <c r="A373" s="766"/>
    </row>
    <row r="374" spans="1:14" ht="12.75" customHeight="1" x14ac:dyDescent="0.2">
      <c r="A374" s="766"/>
      <c r="F374" s="766"/>
      <c r="H374" s="741"/>
      <c r="J374" s="783"/>
      <c r="L374" s="741"/>
      <c r="N374" s="766"/>
    </row>
    <row r="375" spans="1:14" ht="12.75" customHeight="1" x14ac:dyDescent="0.2">
      <c r="A375" s="766"/>
      <c r="F375" s="766"/>
      <c r="H375" s="741"/>
      <c r="J375" s="783"/>
      <c r="L375" s="741"/>
      <c r="N375" s="766"/>
    </row>
    <row r="376" spans="1:14" ht="12.75" customHeight="1" x14ac:dyDescent="0.2">
      <c r="A376" s="766"/>
      <c r="F376" s="766"/>
      <c r="H376" s="741"/>
      <c r="J376" s="783"/>
      <c r="L376" s="741"/>
      <c r="N376" s="766"/>
    </row>
    <row r="377" spans="1:14" ht="12.75" customHeight="1" x14ac:dyDescent="0.2">
      <c r="A377" s="766"/>
      <c r="F377" s="766"/>
      <c r="H377" s="741"/>
      <c r="J377" s="783"/>
      <c r="L377" s="741"/>
      <c r="N377" s="766"/>
    </row>
    <row r="378" spans="1:14" ht="12.75" customHeight="1" x14ac:dyDescent="0.2">
      <c r="A378" s="766"/>
      <c r="F378" s="766"/>
      <c r="H378" s="741"/>
      <c r="J378" s="783"/>
      <c r="L378" s="741"/>
      <c r="N378" s="766"/>
    </row>
    <row r="379" spans="1:14" ht="12.75" customHeight="1" x14ac:dyDescent="0.2">
      <c r="H379" s="741"/>
      <c r="L379" s="741"/>
    </row>
    <row r="380" spans="1:14" ht="12.75" customHeight="1" x14ac:dyDescent="0.2">
      <c r="C380" s="784"/>
      <c r="G380" s="766"/>
    </row>
    <row r="381" spans="1:14" ht="12.75" customHeight="1" x14ac:dyDescent="0.2">
      <c r="C381" s="785"/>
      <c r="G381" s="766"/>
    </row>
    <row r="382" spans="1:14" ht="12.75" customHeight="1" x14ac:dyDescent="0.2">
      <c r="C382" s="766"/>
      <c r="G382" s="766"/>
    </row>
    <row r="383" spans="1:14" ht="12.75" customHeight="1" x14ac:dyDescent="0.2">
      <c r="G383" s="766"/>
    </row>
    <row r="384" spans="1:14" ht="12.75" customHeight="1" x14ac:dyDescent="0.2">
      <c r="M384" s="766"/>
    </row>
    <row r="385" spans="1:14" ht="12.75" customHeight="1" x14ac:dyDescent="0.2">
      <c r="M385" s="766"/>
    </row>
    <row r="386" spans="1:14" ht="12.75" customHeight="1" x14ac:dyDescent="0.2">
      <c r="M386" s="766"/>
    </row>
    <row r="387" spans="1:14" ht="12.75" customHeight="1" x14ac:dyDescent="0.2">
      <c r="A387" s="766"/>
      <c r="C387" s="766"/>
      <c r="H387" s="766"/>
    </row>
    <row r="388" spans="1:14" ht="12.75" customHeight="1" x14ac:dyDescent="0.2">
      <c r="A388" s="766"/>
      <c r="C388" s="766"/>
      <c r="F388" s="766"/>
      <c r="H388" s="766"/>
      <c r="J388" s="766"/>
      <c r="L388" s="766"/>
    </row>
    <row r="389" spans="1:14" ht="12.75" customHeight="1" x14ac:dyDescent="0.2">
      <c r="F389" s="766"/>
      <c r="H389" s="766"/>
      <c r="J389" s="766"/>
      <c r="L389" s="766"/>
      <c r="N389" s="766"/>
    </row>
    <row r="390" spans="1:14" ht="12.75" customHeight="1" x14ac:dyDescent="0.2">
      <c r="A390" s="766"/>
      <c r="C390" s="766"/>
      <c r="H390" s="766"/>
      <c r="J390" s="766"/>
      <c r="L390" s="766"/>
      <c r="N390" s="766"/>
    </row>
    <row r="391" spans="1:14" ht="12.75" customHeight="1" x14ac:dyDescent="0.2">
      <c r="A391" s="766"/>
      <c r="F391" s="766"/>
      <c r="H391" s="766"/>
      <c r="J391" s="766"/>
      <c r="L391" s="766"/>
    </row>
    <row r="392" spans="1:14" ht="12.75" customHeight="1" x14ac:dyDescent="0.2">
      <c r="A392" s="766"/>
      <c r="F392" s="766"/>
      <c r="H392" s="782"/>
      <c r="J392" s="789"/>
      <c r="L392" s="782"/>
      <c r="N392" s="766"/>
    </row>
    <row r="393" spans="1:14" ht="12.75" customHeight="1" x14ac:dyDescent="0.2">
      <c r="A393" s="766"/>
      <c r="C393" s="766"/>
      <c r="F393" s="766"/>
      <c r="H393" s="782"/>
      <c r="J393" s="789"/>
      <c r="L393" s="782"/>
    </row>
    <row r="394" spans="1:14" ht="12.75" customHeight="1" x14ac:dyDescent="0.2">
      <c r="A394" s="766"/>
      <c r="C394" s="766"/>
      <c r="F394" s="766"/>
      <c r="H394" s="782"/>
      <c r="J394" s="783"/>
      <c r="L394" s="782"/>
      <c r="N394" s="766"/>
    </row>
    <row r="395" spans="1:14" ht="12.75" customHeight="1" x14ac:dyDescent="0.2">
      <c r="A395" s="766"/>
      <c r="C395" s="766"/>
      <c r="F395" s="766"/>
      <c r="H395" s="782"/>
      <c r="J395" s="783"/>
      <c r="L395" s="782"/>
      <c r="N395" s="766"/>
    </row>
    <row r="396" spans="1:14" ht="12.75" customHeight="1" x14ac:dyDescent="0.2">
      <c r="A396" s="766"/>
      <c r="C396" s="766"/>
      <c r="F396" s="766"/>
      <c r="H396" s="782"/>
      <c r="J396" s="783"/>
      <c r="L396" s="782"/>
      <c r="N396" s="766"/>
    </row>
    <row r="397" spans="1:14" ht="12.75" customHeight="1" x14ac:dyDescent="0.2">
      <c r="A397" s="766"/>
      <c r="C397" s="766"/>
      <c r="F397" s="766"/>
      <c r="H397" s="782"/>
      <c r="J397" s="783"/>
      <c r="L397" s="782"/>
      <c r="N397" s="766"/>
    </row>
    <row r="398" spans="1:14" ht="12.75" customHeight="1" x14ac:dyDescent="0.2">
      <c r="A398" s="766"/>
      <c r="C398" s="766"/>
      <c r="F398" s="766"/>
      <c r="H398" s="782"/>
      <c r="J398" s="783"/>
      <c r="L398" s="782"/>
      <c r="N398" s="766"/>
    </row>
    <row r="399" spans="1:14" ht="12.75" customHeight="1" x14ac:dyDescent="0.2">
      <c r="A399" s="766"/>
      <c r="C399" s="766"/>
      <c r="F399" s="766"/>
      <c r="H399" s="782"/>
      <c r="J399" s="783"/>
      <c r="L399" s="782"/>
      <c r="N399" s="766"/>
    </row>
    <row r="400" spans="1:14" ht="12.75" customHeight="1" x14ac:dyDescent="0.2">
      <c r="A400" s="766"/>
      <c r="F400" s="766"/>
      <c r="H400" s="782"/>
      <c r="J400" s="783"/>
      <c r="L400" s="782"/>
      <c r="N400" s="766"/>
    </row>
    <row r="401" spans="1:14" ht="12.75" customHeight="1" x14ac:dyDescent="0.2">
      <c r="F401" s="766"/>
      <c r="H401" s="741"/>
      <c r="J401" s="783"/>
      <c r="L401" s="741"/>
      <c r="N401" s="766"/>
    </row>
    <row r="402" spans="1:14" ht="12.75" customHeight="1" x14ac:dyDescent="0.2">
      <c r="A402" s="766"/>
    </row>
    <row r="403" spans="1:14" ht="12.75" customHeight="1" x14ac:dyDescent="0.2">
      <c r="A403" s="766"/>
      <c r="C403" s="766"/>
      <c r="F403" s="766"/>
    </row>
    <row r="404" spans="1:14" ht="12.75" customHeight="1" x14ac:dyDescent="0.2">
      <c r="A404" s="766"/>
      <c r="C404" s="766"/>
      <c r="F404" s="766"/>
      <c r="H404" s="782"/>
      <c r="J404" s="787"/>
      <c r="L404" s="782"/>
      <c r="N404" s="766"/>
    </row>
    <row r="405" spans="1:14" ht="12.75" customHeight="1" x14ac:dyDescent="0.2">
      <c r="A405" s="766"/>
      <c r="C405" s="766"/>
      <c r="F405" s="766"/>
      <c r="H405" s="782"/>
      <c r="J405" s="787"/>
      <c r="L405" s="782"/>
      <c r="N405" s="766"/>
    </row>
    <row r="406" spans="1:14" ht="12.75" customHeight="1" x14ac:dyDescent="0.2">
      <c r="A406" s="766"/>
      <c r="C406" s="766"/>
      <c r="F406" s="766"/>
      <c r="H406" s="782"/>
      <c r="J406" s="787"/>
      <c r="L406" s="782"/>
      <c r="N406" s="766"/>
    </row>
    <row r="407" spans="1:14" ht="12.75" customHeight="1" x14ac:dyDescent="0.2">
      <c r="A407" s="766"/>
      <c r="C407" s="766"/>
      <c r="F407" s="766"/>
      <c r="H407" s="782"/>
      <c r="J407" s="787"/>
      <c r="K407" s="766"/>
      <c r="L407" s="782"/>
      <c r="N407" s="766"/>
    </row>
    <row r="408" spans="1:14" ht="12.75" customHeight="1" x14ac:dyDescent="0.2">
      <c r="A408" s="766"/>
      <c r="C408" s="766"/>
      <c r="F408" s="766"/>
      <c r="H408" s="782"/>
      <c r="J408" s="787"/>
      <c r="L408" s="782"/>
      <c r="N408" s="766"/>
    </row>
    <row r="409" spans="1:14" ht="12.75" customHeight="1" x14ac:dyDescent="0.2">
      <c r="A409" s="766"/>
      <c r="F409" s="766"/>
      <c r="H409" s="782"/>
      <c r="J409" s="787"/>
      <c r="L409" s="782"/>
      <c r="N409" s="766"/>
    </row>
    <row r="410" spans="1:14" ht="12.75" customHeight="1" x14ac:dyDescent="0.2">
      <c r="F410" s="766"/>
      <c r="H410" s="741"/>
      <c r="J410" s="787"/>
      <c r="L410" s="741"/>
      <c r="N410" s="766"/>
    </row>
    <row r="411" spans="1:14" ht="12.75" customHeight="1" x14ac:dyDescent="0.2">
      <c r="A411" s="766"/>
      <c r="C411" s="766"/>
      <c r="J411" s="788"/>
      <c r="N411" s="766"/>
    </row>
    <row r="412" spans="1:14" ht="12.75" customHeight="1" x14ac:dyDescent="0.2">
      <c r="A412" s="766"/>
      <c r="C412" s="766"/>
      <c r="F412" s="766"/>
      <c r="H412" s="782"/>
      <c r="J412" s="788"/>
      <c r="L412" s="782"/>
      <c r="N412" s="766"/>
    </row>
    <row r="413" spans="1:14" ht="12.75" customHeight="1" x14ac:dyDescent="0.2">
      <c r="A413" s="766"/>
      <c r="C413" s="766"/>
      <c r="F413" s="766"/>
      <c r="H413" s="782"/>
      <c r="J413" s="787"/>
      <c r="L413" s="782"/>
      <c r="N413" s="766"/>
    </row>
    <row r="414" spans="1:14" ht="12.75" customHeight="1" x14ac:dyDescent="0.2">
      <c r="A414" s="766"/>
      <c r="C414" s="766"/>
      <c r="F414" s="766"/>
      <c r="H414" s="782"/>
      <c r="J414" s="787"/>
      <c r="L414" s="782"/>
      <c r="N414" s="766"/>
    </row>
    <row r="415" spans="1:14" ht="12.75" customHeight="1" x14ac:dyDescent="0.2">
      <c r="A415" s="766"/>
      <c r="C415" s="766"/>
      <c r="F415" s="766"/>
      <c r="H415" s="782"/>
      <c r="J415" s="787"/>
      <c r="L415" s="782"/>
      <c r="N415" s="766"/>
    </row>
    <row r="416" spans="1:14" ht="12.75" customHeight="1" x14ac:dyDescent="0.2">
      <c r="A416" s="766"/>
      <c r="C416" s="766"/>
      <c r="F416" s="766"/>
      <c r="H416" s="782"/>
      <c r="I416" s="766"/>
      <c r="J416" s="787"/>
      <c r="L416" s="782"/>
      <c r="N416" s="766"/>
    </row>
    <row r="417" spans="1:14" ht="12.75" customHeight="1" x14ac:dyDescent="0.2">
      <c r="A417" s="766"/>
      <c r="C417" s="766"/>
      <c r="F417" s="766"/>
      <c r="H417" s="782"/>
      <c r="J417" s="787"/>
      <c r="L417" s="782"/>
      <c r="N417" s="766"/>
    </row>
    <row r="418" spans="1:14" ht="12.75" customHeight="1" x14ac:dyDescent="0.2">
      <c r="A418" s="766"/>
      <c r="C418" s="766"/>
      <c r="F418" s="766"/>
      <c r="H418" s="782"/>
      <c r="J418" s="787"/>
      <c r="L418" s="782"/>
      <c r="N418" s="766"/>
    </row>
    <row r="419" spans="1:14" ht="12.75" customHeight="1" x14ac:dyDescent="0.2">
      <c r="C419" s="766"/>
      <c r="F419" s="766"/>
      <c r="H419" s="782"/>
      <c r="J419" s="787"/>
      <c r="L419" s="782"/>
      <c r="N419" s="766"/>
    </row>
    <row r="420" spans="1:14" ht="12.75" customHeight="1" x14ac:dyDescent="0.2">
      <c r="C420" s="766"/>
      <c r="F420" s="766"/>
      <c r="H420" s="782"/>
      <c r="J420" s="787"/>
      <c r="L420" s="782"/>
      <c r="N420" s="766"/>
    </row>
    <row r="421" spans="1:14" ht="12.75" customHeight="1" x14ac:dyDescent="0.2">
      <c r="F421" s="766"/>
      <c r="H421" s="782"/>
      <c r="J421" s="787"/>
      <c r="L421" s="782"/>
      <c r="N421" s="766"/>
    </row>
    <row r="422" spans="1:14" ht="12.75" customHeight="1" x14ac:dyDescent="0.2">
      <c r="F422" s="766"/>
      <c r="H422" s="741"/>
      <c r="J422" s="787"/>
      <c r="L422" s="741"/>
      <c r="N422" s="766"/>
    </row>
    <row r="423" spans="1:14" ht="12.75" customHeight="1" x14ac:dyDescent="0.2">
      <c r="C423" s="784"/>
      <c r="G423" s="766"/>
    </row>
    <row r="424" spans="1:14" ht="12.75" customHeight="1" x14ac:dyDescent="0.2">
      <c r="C424" s="766"/>
      <c r="G424" s="766"/>
    </row>
    <row r="425" spans="1:14" ht="12.75" customHeight="1" x14ac:dyDescent="0.2">
      <c r="G425" s="766"/>
    </row>
    <row r="426" spans="1:14" ht="12.75" customHeight="1" x14ac:dyDescent="0.2">
      <c r="M426" s="766"/>
    </row>
    <row r="427" spans="1:14" ht="12.75" customHeight="1" x14ac:dyDescent="0.2">
      <c r="M427" s="766"/>
    </row>
    <row r="428" spans="1:14" ht="12.75" customHeight="1" x14ac:dyDescent="0.2">
      <c r="M428" s="766"/>
    </row>
    <row r="429" spans="1:14" ht="12.75" customHeight="1" x14ac:dyDescent="0.2">
      <c r="A429" s="766"/>
      <c r="C429" s="766"/>
      <c r="H429" s="766"/>
    </row>
    <row r="430" spans="1:14" ht="12.75" customHeight="1" x14ac:dyDescent="0.2">
      <c r="A430" s="766"/>
      <c r="C430" s="766"/>
      <c r="F430" s="766"/>
      <c r="H430" s="766"/>
      <c r="J430" s="766"/>
      <c r="L430" s="766"/>
    </row>
    <row r="431" spans="1:14" ht="12.75" customHeight="1" x14ac:dyDescent="0.2">
      <c r="F431" s="766"/>
      <c r="H431" s="766"/>
      <c r="J431" s="766"/>
      <c r="L431" s="766"/>
      <c r="N431" s="766"/>
    </row>
    <row r="432" spans="1:14" ht="12.75" customHeight="1" x14ac:dyDescent="0.2">
      <c r="A432" s="766"/>
      <c r="C432" s="766"/>
      <c r="H432" s="766"/>
      <c r="J432" s="766"/>
      <c r="L432" s="766"/>
      <c r="N432" s="766"/>
    </row>
    <row r="433" spans="1:14" ht="12.75" customHeight="1" x14ac:dyDescent="0.2">
      <c r="A433" s="766"/>
      <c r="C433" s="766"/>
      <c r="F433" s="766"/>
      <c r="H433" s="782"/>
      <c r="J433" s="788"/>
      <c r="L433" s="782"/>
    </row>
    <row r="434" spans="1:14" ht="12.75" customHeight="1" x14ac:dyDescent="0.2">
      <c r="A434" s="766"/>
      <c r="C434" s="766"/>
      <c r="F434" s="766"/>
      <c r="H434" s="782"/>
      <c r="J434" s="787"/>
      <c r="L434" s="782"/>
      <c r="M434" s="766"/>
      <c r="N434" s="766"/>
    </row>
    <row r="435" spans="1:14" ht="12.75" customHeight="1" x14ac:dyDescent="0.2">
      <c r="A435" s="766"/>
      <c r="C435" s="766"/>
      <c r="F435" s="766"/>
      <c r="H435" s="782"/>
      <c r="J435" s="787"/>
      <c r="L435" s="782"/>
      <c r="N435" s="766"/>
    </row>
    <row r="436" spans="1:14" ht="12.75" customHeight="1" x14ac:dyDescent="0.2">
      <c r="A436" s="766"/>
      <c r="C436" s="766"/>
      <c r="F436" s="766"/>
      <c r="H436" s="782"/>
      <c r="J436" s="787"/>
      <c r="L436" s="782"/>
      <c r="N436" s="766"/>
    </row>
    <row r="437" spans="1:14" ht="12.75" customHeight="1" x14ac:dyDescent="0.2">
      <c r="A437" s="766"/>
      <c r="C437" s="766"/>
      <c r="F437" s="766"/>
      <c r="H437" s="782"/>
      <c r="J437" s="787"/>
      <c r="L437" s="782"/>
      <c r="N437" s="766"/>
    </row>
    <row r="438" spans="1:14" ht="12.75" customHeight="1" x14ac:dyDescent="0.2">
      <c r="A438" s="766"/>
      <c r="C438" s="766"/>
      <c r="F438" s="766"/>
      <c r="H438" s="782"/>
      <c r="J438" s="787"/>
      <c r="L438" s="782"/>
      <c r="N438" s="766"/>
    </row>
    <row r="439" spans="1:14" ht="12.75" customHeight="1" x14ac:dyDescent="0.2">
      <c r="F439" s="766"/>
      <c r="H439" s="741"/>
      <c r="J439" s="787"/>
      <c r="L439" s="741"/>
      <c r="N439" s="766"/>
    </row>
    <row r="440" spans="1:14" ht="12.75" customHeight="1" x14ac:dyDescent="0.2"/>
    <row r="441" spans="1:14" ht="12.75" customHeight="1" x14ac:dyDescent="0.2">
      <c r="A441" s="766"/>
    </row>
    <row r="442" spans="1:14" ht="12.75" customHeight="1" x14ac:dyDescent="0.2">
      <c r="A442" s="766"/>
      <c r="C442" s="766"/>
      <c r="F442" s="766"/>
    </row>
    <row r="443" spans="1:14" ht="12.75" customHeight="1" x14ac:dyDescent="0.2">
      <c r="A443" s="766"/>
      <c r="C443" s="766"/>
      <c r="F443" s="766"/>
      <c r="H443" s="782"/>
      <c r="J443" s="787"/>
      <c r="L443" s="782"/>
      <c r="N443" s="766"/>
    </row>
    <row r="444" spans="1:14" ht="12.75" customHeight="1" x14ac:dyDescent="0.2">
      <c r="A444" s="766"/>
      <c r="C444" s="766"/>
      <c r="F444" s="766"/>
      <c r="H444" s="782"/>
      <c r="J444" s="787"/>
      <c r="L444" s="782"/>
      <c r="N444" s="766"/>
    </row>
    <row r="445" spans="1:14" ht="12.75" customHeight="1" x14ac:dyDescent="0.2">
      <c r="A445" s="766"/>
      <c r="C445" s="766"/>
      <c r="F445" s="766"/>
      <c r="H445" s="782"/>
      <c r="J445" s="787"/>
      <c r="K445" s="782"/>
      <c r="L445" s="782"/>
      <c r="N445" s="766"/>
    </row>
    <row r="446" spans="1:14" ht="12.75" customHeight="1" x14ac:dyDescent="0.2">
      <c r="A446" s="766"/>
      <c r="C446" s="766"/>
      <c r="F446" s="766"/>
      <c r="H446" s="782"/>
      <c r="J446" s="787"/>
      <c r="L446" s="782"/>
      <c r="N446" s="766"/>
    </row>
    <row r="447" spans="1:14" ht="12.75" customHeight="1" x14ac:dyDescent="0.2">
      <c r="A447" s="766"/>
      <c r="C447" s="766"/>
      <c r="F447" s="766"/>
      <c r="H447" s="741"/>
      <c r="J447" s="787"/>
      <c r="L447" s="741"/>
      <c r="N447" s="766"/>
    </row>
    <row r="448" spans="1:14" ht="12.75" customHeight="1" x14ac:dyDescent="0.2">
      <c r="A448" s="766"/>
      <c r="C448" s="766"/>
      <c r="F448" s="766"/>
      <c r="H448" s="782"/>
      <c r="J448" s="788"/>
      <c r="L448" s="782"/>
      <c r="N448" s="766"/>
    </row>
    <row r="449" spans="1:14" ht="12.75" customHeight="1" x14ac:dyDescent="0.2">
      <c r="A449" s="766"/>
      <c r="C449" s="766"/>
      <c r="F449" s="766"/>
      <c r="H449" s="782"/>
      <c r="J449" s="788"/>
      <c r="L449" s="782"/>
      <c r="N449" s="766"/>
    </row>
    <row r="450" spans="1:14" ht="12.75" customHeight="1" x14ac:dyDescent="0.2">
      <c r="A450" s="766"/>
      <c r="C450" s="766"/>
      <c r="F450" s="766"/>
      <c r="H450" s="782"/>
      <c r="J450" s="787"/>
      <c r="L450" s="782"/>
      <c r="N450" s="766"/>
    </row>
    <row r="451" spans="1:14" ht="12.75" customHeight="1" x14ac:dyDescent="0.2">
      <c r="A451" s="766"/>
      <c r="C451" s="766"/>
      <c r="F451" s="766"/>
      <c r="H451" s="782"/>
      <c r="J451" s="787"/>
      <c r="L451" s="782"/>
      <c r="N451" s="766"/>
    </row>
    <row r="452" spans="1:14" ht="12.75" customHeight="1" x14ac:dyDescent="0.2">
      <c r="A452" s="766"/>
      <c r="C452" s="766"/>
      <c r="F452" s="766"/>
      <c r="H452" s="782"/>
      <c r="J452" s="787"/>
      <c r="L452" s="782"/>
      <c r="N452" s="766"/>
    </row>
    <row r="453" spans="1:14" ht="12.75" customHeight="1" x14ac:dyDescent="0.2">
      <c r="A453" s="766"/>
      <c r="C453" s="766"/>
      <c r="F453" s="766"/>
      <c r="H453" s="782"/>
      <c r="J453" s="787"/>
      <c r="L453" s="782"/>
      <c r="N453" s="766"/>
    </row>
    <row r="454" spans="1:14" ht="12.75" customHeight="1" x14ac:dyDescent="0.2">
      <c r="F454" s="766"/>
      <c r="H454" s="741"/>
      <c r="J454" s="787"/>
      <c r="L454" s="741"/>
      <c r="N454" s="766"/>
    </row>
    <row r="455" spans="1:14" ht="12.75" customHeight="1" x14ac:dyDescent="0.2">
      <c r="A455" s="766"/>
      <c r="C455" s="766"/>
      <c r="H455" s="782"/>
      <c r="J455" s="788"/>
      <c r="L455" s="782"/>
      <c r="N455" s="766"/>
    </row>
    <row r="456" spans="1:14" ht="12.75" customHeight="1" x14ac:dyDescent="0.2">
      <c r="A456" s="766"/>
      <c r="C456" s="766"/>
      <c r="F456" s="766"/>
      <c r="H456" s="782"/>
      <c r="J456" s="788"/>
      <c r="L456" s="782"/>
      <c r="N456" s="766"/>
    </row>
    <row r="457" spans="1:14" ht="12.75" customHeight="1" x14ac:dyDescent="0.2">
      <c r="A457" s="766"/>
      <c r="C457" s="766"/>
      <c r="F457" s="766"/>
      <c r="H457" s="782"/>
      <c r="I457" s="766"/>
      <c r="J457" s="787"/>
      <c r="L457" s="782"/>
      <c r="N457" s="766"/>
    </row>
    <row r="458" spans="1:14" ht="12.75" customHeight="1" x14ac:dyDescent="0.2">
      <c r="A458" s="766"/>
      <c r="C458" s="766"/>
      <c r="F458" s="766"/>
      <c r="H458" s="782"/>
      <c r="J458" s="787"/>
      <c r="L458" s="782"/>
      <c r="N458" s="766"/>
    </row>
    <row r="459" spans="1:14" ht="12.75" customHeight="1" x14ac:dyDescent="0.2">
      <c r="A459" s="766"/>
      <c r="C459" s="766"/>
      <c r="F459" s="766"/>
      <c r="H459" s="782"/>
      <c r="J459" s="787"/>
      <c r="L459" s="782"/>
      <c r="N459" s="766"/>
    </row>
    <row r="460" spans="1:14" ht="12.75" customHeight="1" x14ac:dyDescent="0.2">
      <c r="A460" s="766"/>
      <c r="C460" s="766"/>
      <c r="F460" s="766"/>
      <c r="H460" s="782"/>
      <c r="J460" s="787"/>
      <c r="L460" s="782"/>
      <c r="N460" s="766"/>
    </row>
    <row r="461" spans="1:14" ht="12.75" customHeight="1" x14ac:dyDescent="0.2">
      <c r="A461" s="766"/>
      <c r="C461" s="766"/>
      <c r="F461" s="766"/>
      <c r="H461" s="782"/>
      <c r="J461" s="787"/>
      <c r="L461" s="782"/>
      <c r="N461" s="766"/>
    </row>
    <row r="462" spans="1:14" ht="12.75" customHeight="1" x14ac:dyDescent="0.2">
      <c r="A462" s="766"/>
      <c r="C462" s="766"/>
      <c r="F462" s="766"/>
      <c r="H462" s="782"/>
      <c r="J462" s="787"/>
      <c r="L462" s="782"/>
      <c r="N462" s="766"/>
    </row>
    <row r="463" spans="1:14" ht="12.75" customHeight="1" x14ac:dyDescent="0.2">
      <c r="A463" s="766"/>
      <c r="C463" s="766"/>
      <c r="F463" s="766"/>
      <c r="H463" s="782"/>
      <c r="J463" s="787"/>
      <c r="L463" s="782"/>
      <c r="N463" s="766"/>
    </row>
    <row r="464" spans="1:14" ht="12.75" customHeight="1" x14ac:dyDescent="0.2">
      <c r="A464" s="766"/>
      <c r="C464" s="766"/>
      <c r="F464" s="766"/>
      <c r="H464" s="782"/>
      <c r="J464" s="787"/>
      <c r="L464" s="782"/>
      <c r="N464" s="766"/>
    </row>
    <row r="465" spans="1:14" ht="12.75" customHeight="1" x14ac:dyDescent="0.2">
      <c r="A465" s="766"/>
      <c r="C465" s="766"/>
      <c r="F465" s="766"/>
      <c r="H465" s="782"/>
      <c r="J465" s="787"/>
      <c r="L465" s="782"/>
      <c r="N465" s="766"/>
    </row>
    <row r="466" spans="1:14" ht="12.75" customHeight="1" x14ac:dyDescent="0.2">
      <c r="F466" s="766"/>
      <c r="H466" s="741"/>
      <c r="J466" s="787"/>
      <c r="L466" s="741"/>
      <c r="M466" s="766"/>
      <c r="N466" s="766"/>
    </row>
    <row r="467" spans="1:14" ht="12.75" customHeight="1" x14ac:dyDescent="0.2">
      <c r="C467" s="784"/>
      <c r="G467" s="766"/>
    </row>
    <row r="468" spans="1:14" ht="12.75" customHeight="1" x14ac:dyDescent="0.2">
      <c r="C468" s="785"/>
      <c r="G468" s="766"/>
    </row>
    <row r="469" spans="1:14" ht="12.75" customHeight="1" x14ac:dyDescent="0.2">
      <c r="C469" s="766"/>
      <c r="G469" s="766"/>
    </row>
    <row r="470" spans="1:14" ht="12.75" customHeight="1" x14ac:dyDescent="0.2">
      <c r="G470" s="766"/>
    </row>
    <row r="471" spans="1:14" ht="12.75" customHeight="1" x14ac:dyDescent="0.2">
      <c r="M471" s="766"/>
    </row>
    <row r="472" spans="1:14" ht="12.75" customHeight="1" x14ac:dyDescent="0.2">
      <c r="M472" s="766"/>
    </row>
    <row r="473" spans="1:14" ht="12.75" customHeight="1" x14ac:dyDescent="0.2">
      <c r="M473" s="766"/>
    </row>
    <row r="474" spans="1:14" ht="12.75" customHeight="1" x14ac:dyDescent="0.2">
      <c r="A474" s="766"/>
      <c r="C474" s="766"/>
      <c r="H474" s="766"/>
    </row>
    <row r="475" spans="1:14" ht="12.75" customHeight="1" x14ac:dyDescent="0.2">
      <c r="A475" s="766"/>
      <c r="C475" s="766"/>
      <c r="F475" s="766"/>
      <c r="H475" s="766"/>
      <c r="J475" s="766"/>
      <c r="L475" s="766"/>
    </row>
    <row r="476" spans="1:14" ht="12.75" customHeight="1" x14ac:dyDescent="0.2">
      <c r="F476" s="766"/>
      <c r="H476" s="766"/>
      <c r="J476" s="766"/>
      <c r="L476" s="766"/>
      <c r="N476" s="766"/>
    </row>
    <row r="477" spans="1:14" ht="12.75" customHeight="1" x14ac:dyDescent="0.2">
      <c r="A477" s="766"/>
      <c r="C477" s="766"/>
      <c r="H477" s="766"/>
      <c r="J477" s="766"/>
      <c r="L477" s="766"/>
      <c r="N477" s="766"/>
    </row>
    <row r="478" spans="1:14" ht="12.75" customHeight="1" x14ac:dyDescent="0.2">
      <c r="A478" s="766"/>
      <c r="F478" s="766"/>
      <c r="H478" s="766"/>
      <c r="J478" s="766"/>
      <c r="L478" s="766"/>
    </row>
    <row r="479" spans="1:14" ht="12.75" customHeight="1" x14ac:dyDescent="0.2">
      <c r="A479" s="766"/>
      <c r="C479" s="766"/>
      <c r="F479" s="766"/>
    </row>
    <row r="480" spans="1:14" ht="12.75" customHeight="1" x14ac:dyDescent="0.2">
      <c r="A480" s="766"/>
      <c r="C480" s="766"/>
      <c r="F480" s="766"/>
      <c r="H480" s="782"/>
      <c r="J480" s="788"/>
      <c r="L480" s="782"/>
      <c r="N480" s="766"/>
    </row>
    <row r="481" spans="1:14" ht="12.75" customHeight="1" x14ac:dyDescent="0.2">
      <c r="A481" s="766"/>
      <c r="C481" s="766"/>
      <c r="F481" s="766"/>
      <c r="H481" s="782"/>
      <c r="J481" s="788"/>
      <c r="L481" s="782"/>
      <c r="N481" s="766"/>
    </row>
    <row r="482" spans="1:14" ht="12.75" customHeight="1" x14ac:dyDescent="0.2">
      <c r="A482" s="766"/>
      <c r="C482" s="766"/>
      <c r="F482" s="766"/>
      <c r="H482" s="782"/>
      <c r="J482" s="787"/>
      <c r="L482" s="782"/>
      <c r="N482" s="766"/>
    </row>
    <row r="483" spans="1:14" ht="12.75" customHeight="1" x14ac:dyDescent="0.2">
      <c r="F483" s="766"/>
      <c r="H483" s="782"/>
      <c r="J483" s="787"/>
      <c r="L483" s="741"/>
      <c r="N483" s="766"/>
    </row>
    <row r="484" spans="1:14" ht="12.75" customHeight="1" x14ac:dyDescent="0.2">
      <c r="A484" s="766"/>
      <c r="C484" s="766"/>
    </row>
    <row r="485" spans="1:14" ht="12.75" customHeight="1" x14ac:dyDescent="0.2">
      <c r="F485" s="766"/>
      <c r="H485" s="741"/>
      <c r="J485" s="787"/>
      <c r="L485" s="741"/>
      <c r="N485" s="766"/>
    </row>
    <row r="486" spans="1:14" ht="12.75" customHeight="1" x14ac:dyDescent="0.2">
      <c r="A486" s="766"/>
      <c r="C486" s="766"/>
    </row>
    <row r="487" spans="1:14" ht="12.75" customHeight="1" x14ac:dyDescent="0.2">
      <c r="A487" s="766"/>
      <c r="C487" s="766"/>
      <c r="F487" s="766"/>
      <c r="H487" s="782"/>
      <c r="J487" s="787"/>
      <c r="L487" s="782"/>
      <c r="N487" s="766"/>
    </row>
    <row r="488" spans="1:14" ht="12.75" customHeight="1" x14ac:dyDescent="0.2">
      <c r="A488" s="766"/>
      <c r="C488" s="766"/>
      <c r="F488" s="766"/>
      <c r="H488" s="782"/>
      <c r="J488" s="787"/>
      <c r="L488" s="782"/>
      <c r="N488" s="766"/>
    </row>
    <row r="489" spans="1:14" ht="12.75" customHeight="1" x14ac:dyDescent="0.2">
      <c r="A489" s="766"/>
      <c r="C489" s="766"/>
      <c r="F489" s="766"/>
      <c r="H489" s="782"/>
      <c r="J489" s="787"/>
      <c r="L489" s="782"/>
      <c r="N489" s="766"/>
    </row>
    <row r="490" spans="1:14" ht="12.75" customHeight="1" x14ac:dyDescent="0.2">
      <c r="F490" s="766"/>
      <c r="H490" s="741"/>
      <c r="J490" s="787"/>
      <c r="L490" s="741"/>
      <c r="N490" s="766"/>
    </row>
    <row r="491" spans="1:14" ht="12.75" customHeight="1" x14ac:dyDescent="0.2">
      <c r="A491" s="766"/>
      <c r="C491" s="766"/>
      <c r="J491" s="788"/>
    </row>
    <row r="492" spans="1:14" ht="12.75" customHeight="1" x14ac:dyDescent="0.2">
      <c r="F492" s="766"/>
      <c r="H492" s="741"/>
      <c r="J492" s="787"/>
      <c r="L492" s="741"/>
      <c r="N492" s="766"/>
    </row>
    <row r="493" spans="1:14" ht="12.75" customHeight="1" x14ac:dyDescent="0.2">
      <c r="C493" s="766"/>
    </row>
    <row r="494" spans="1:14" ht="12.75" customHeight="1" x14ac:dyDescent="0.2"/>
    <row r="495" spans="1:14" ht="12.75" customHeight="1" x14ac:dyDescent="0.2"/>
    <row r="496" spans="1:14" ht="12.75" customHeight="1" x14ac:dyDescent="0.2"/>
    <row r="497" spans="1:1" ht="12.75" customHeight="1" x14ac:dyDescent="0.2">
      <c r="A497" s="766"/>
    </row>
    <row r="498" spans="1:1" ht="12.75" customHeight="1" x14ac:dyDescent="0.2">
      <c r="A498" s="766"/>
    </row>
    <row r="499" spans="1:1" ht="12.75" customHeight="1" x14ac:dyDescent="0.2">
      <c r="A499" s="766"/>
    </row>
    <row r="500" spans="1:1" ht="12.75" customHeight="1" x14ac:dyDescent="0.2">
      <c r="A500" s="766"/>
    </row>
    <row r="501" spans="1:1" ht="12.75" customHeight="1" x14ac:dyDescent="0.2"/>
    <row r="502" spans="1:1" ht="12.75" customHeight="1" x14ac:dyDescent="0.2">
      <c r="A502" s="766"/>
    </row>
    <row r="503" spans="1:1" ht="12.75" customHeight="1" x14ac:dyDescent="0.2"/>
    <row r="504" spans="1:1" ht="12.75" customHeight="1" x14ac:dyDescent="0.2"/>
    <row r="505" spans="1:1" ht="12.75" customHeight="1" x14ac:dyDescent="0.2"/>
    <row r="506" spans="1:1" ht="12.75" customHeight="1" x14ac:dyDescent="0.2"/>
    <row r="507" spans="1:1" ht="12.75" customHeight="1" x14ac:dyDescent="0.2"/>
    <row r="508" spans="1:1" ht="12.75" customHeight="1" x14ac:dyDescent="0.2"/>
    <row r="509" spans="1:1" ht="12.75" customHeight="1" x14ac:dyDescent="0.2"/>
    <row r="510" spans="1:1" ht="12.75" customHeight="1" x14ac:dyDescent="0.2"/>
    <row r="511" spans="1:1" ht="12.75" customHeight="1" x14ac:dyDescent="0.2"/>
    <row r="512" spans="1:1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</sheetData>
  <mergeCells count="16">
    <mergeCell ref="A115:R115"/>
    <mergeCell ref="A116:R116"/>
    <mergeCell ref="A117:R117"/>
    <mergeCell ref="A152:M153"/>
    <mergeCell ref="A59:R59"/>
    <mergeCell ref="A60:R60"/>
    <mergeCell ref="A61:R61"/>
    <mergeCell ref="A143:M144"/>
    <mergeCell ref="A148:M149"/>
    <mergeCell ref="A114:R114"/>
    <mergeCell ref="A100:M101"/>
    <mergeCell ref="A1:R1"/>
    <mergeCell ref="A2:R2"/>
    <mergeCell ref="A3:R3"/>
    <mergeCell ref="A4:R4"/>
    <mergeCell ref="A58:R58"/>
  </mergeCells>
  <phoneticPr fontId="0" type="noConversion"/>
  <printOptions horizontalCentered="1"/>
  <pageMargins left="0.5" right="0.5" top="1" bottom="0.5" header="0.3" footer="0.3"/>
  <pageSetup scale="75" orientation="landscape" r:id="rId1"/>
  <headerFooter alignWithMargins="0"/>
  <rowBreaks count="1" manualBreakCount="1">
    <brk id="57" max="17" man="1"/>
  </rowBreaks>
  <ignoredErrors>
    <ignoredError sqref="R65 R121 A115:R117 R8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31">
    <pageSetUpPr fitToPage="1"/>
  </sheetPr>
  <dimension ref="A1:J42"/>
  <sheetViews>
    <sheetView showGridLines="0" view="pageBreakPreview" zoomScale="75" zoomScaleNormal="100" zoomScaleSheetLayoutView="75" workbookViewId="0">
      <selection activeCell="F46" sqref="F46"/>
    </sheetView>
  </sheetViews>
  <sheetFormatPr defaultColWidth="9.83203125" defaultRowHeight="12.75" x14ac:dyDescent="0.2"/>
  <cols>
    <col min="1" max="1" width="7.83203125" style="305" customWidth="1"/>
    <col min="2" max="2" width="13" style="305" customWidth="1"/>
    <col min="3" max="3" width="9.83203125" style="305"/>
    <col min="4" max="4" width="11.33203125" style="305" customWidth="1"/>
    <col min="5" max="5" width="16.6640625" style="305" bestFit="1" customWidth="1"/>
    <col min="6" max="6" width="19.6640625" style="305" bestFit="1" customWidth="1"/>
    <col min="7" max="7" width="18.5" style="305" bestFit="1" customWidth="1"/>
    <col min="8" max="8" width="17" style="305" bestFit="1" customWidth="1"/>
    <col min="9" max="9" width="18.5" style="305" bestFit="1" customWidth="1"/>
    <col min="10" max="10" width="17" style="305" bestFit="1" customWidth="1"/>
    <col min="11" max="16384" width="9.83203125" style="305"/>
  </cols>
  <sheetData>
    <row r="1" spans="1:10" x14ac:dyDescent="0.2">
      <c r="A1" s="2063" t="str">
        <f>co</f>
        <v>COLUMBIA GAS OF KENTUCKY, INC.</v>
      </c>
      <c r="B1" s="2063"/>
      <c r="C1" s="2063"/>
      <c r="D1" s="2063"/>
      <c r="E1" s="2063"/>
      <c r="F1" s="2063"/>
      <c r="G1" s="2063"/>
      <c r="H1" s="2063"/>
      <c r="I1" s="2063"/>
      <c r="J1" s="2063"/>
    </row>
    <row r="2" spans="1:10" x14ac:dyDescent="0.2">
      <c r="A2" s="2063" t="str">
        <f>case</f>
        <v>CASE NO. 2016 - 00162</v>
      </c>
      <c r="B2" s="2063"/>
      <c r="C2" s="2063"/>
      <c r="D2" s="2063"/>
      <c r="E2" s="2063"/>
      <c r="F2" s="2063"/>
      <c r="G2" s="2063"/>
      <c r="H2" s="2063"/>
      <c r="I2" s="2063"/>
      <c r="J2" s="2063"/>
    </row>
    <row r="3" spans="1:10" x14ac:dyDescent="0.2">
      <c r="A3" s="2060" t="s">
        <v>668</v>
      </c>
      <c r="B3" s="2060"/>
      <c r="C3" s="2060"/>
      <c r="D3" s="2060"/>
      <c r="E3" s="2060"/>
      <c r="F3" s="2060"/>
      <c r="G3" s="2060"/>
      <c r="H3" s="2060"/>
      <c r="I3" s="2060"/>
      <c r="J3" s="2060"/>
    </row>
    <row r="4" spans="1:10" x14ac:dyDescent="0.2">
      <c r="A4" s="2063" t="str">
        <f>datef</f>
        <v>AS OF DECEMBER 31, 2017</v>
      </c>
      <c r="B4" s="2063"/>
      <c r="C4" s="2063"/>
      <c r="D4" s="2063"/>
      <c r="E4" s="2063"/>
      <c r="F4" s="2063"/>
      <c r="G4" s="2063"/>
      <c r="H4" s="2063"/>
      <c r="I4" s="2063"/>
      <c r="J4" s="2063"/>
    </row>
    <row r="5" spans="1:10" x14ac:dyDescent="0.2">
      <c r="A5" s="1"/>
      <c r="B5" s="1"/>
      <c r="C5" s="1"/>
      <c r="D5" s="1"/>
      <c r="E5" s="1"/>
      <c r="F5" s="1"/>
      <c r="G5" s="1"/>
      <c r="H5" s="1"/>
      <c r="I5" s="1"/>
      <c r="J5" s="1"/>
    </row>
    <row r="7" spans="1:10" x14ac:dyDescent="0.2">
      <c r="A7" s="285" t="s">
        <v>1118</v>
      </c>
      <c r="I7" s="285"/>
      <c r="J7" s="306" t="s">
        <v>669</v>
      </c>
    </row>
    <row r="8" spans="1:10" x14ac:dyDescent="0.2">
      <c r="A8" s="4" t="s">
        <v>977</v>
      </c>
      <c r="I8" s="285"/>
      <c r="J8" s="306" t="s">
        <v>1111</v>
      </c>
    </row>
    <row r="9" spans="1:10" x14ac:dyDescent="0.2">
      <c r="A9" s="165" t="s">
        <v>996</v>
      </c>
      <c r="B9" s="1335"/>
      <c r="C9" s="1335"/>
      <c r="D9" s="1335"/>
      <c r="E9" s="308"/>
      <c r="F9" s="308"/>
      <c r="G9" s="308"/>
      <c r="H9" s="308"/>
      <c r="I9" s="307"/>
      <c r="J9" s="195" t="str">
        <f>SMK</f>
        <v>WITNESS:  S. M. KATKO</v>
      </c>
    </row>
    <row r="10" spans="1:10" x14ac:dyDescent="0.2">
      <c r="E10" s="309" t="s">
        <v>1112</v>
      </c>
      <c r="G10" s="309" t="s">
        <v>1112</v>
      </c>
      <c r="I10" s="309" t="s">
        <v>1112</v>
      </c>
    </row>
    <row r="11" spans="1:10" x14ac:dyDescent="0.2">
      <c r="E11" s="309" t="s">
        <v>638</v>
      </c>
      <c r="G11" s="309" t="s">
        <v>638</v>
      </c>
      <c r="I11" s="309" t="s">
        <v>638</v>
      </c>
    </row>
    <row r="12" spans="1:10" x14ac:dyDescent="0.2">
      <c r="A12" s="309" t="s">
        <v>632</v>
      </c>
      <c r="E12" s="309" t="s">
        <v>670</v>
      </c>
      <c r="F12" s="309" t="s">
        <v>671</v>
      </c>
      <c r="G12" s="309" t="s">
        <v>671</v>
      </c>
      <c r="I12" s="309" t="s">
        <v>672</v>
      </c>
      <c r="J12" s="309" t="s">
        <v>673</v>
      </c>
    </row>
    <row r="13" spans="1:10" x14ac:dyDescent="0.2">
      <c r="A13" s="310" t="s">
        <v>635</v>
      </c>
      <c r="B13" s="307" t="s">
        <v>103</v>
      </c>
      <c r="C13" s="308"/>
      <c r="D13" s="308"/>
      <c r="E13" s="310" t="s">
        <v>675</v>
      </c>
      <c r="F13" s="310" t="s">
        <v>676</v>
      </c>
      <c r="G13" s="310" t="s">
        <v>670</v>
      </c>
      <c r="H13" s="310" t="s">
        <v>677</v>
      </c>
      <c r="I13" s="310" t="s">
        <v>671</v>
      </c>
      <c r="J13" s="310" t="s">
        <v>631</v>
      </c>
    </row>
    <row r="14" spans="1:10" x14ac:dyDescent="0.2">
      <c r="E14" s="309" t="s">
        <v>639</v>
      </c>
      <c r="G14" s="309" t="s">
        <v>639</v>
      </c>
      <c r="H14" s="309" t="s">
        <v>639</v>
      </c>
      <c r="I14" s="309" t="s">
        <v>639</v>
      </c>
      <c r="J14" s="309" t="s">
        <v>639</v>
      </c>
    </row>
    <row r="16" spans="1:10" x14ac:dyDescent="0.2">
      <c r="A16" s="309">
        <v>1</v>
      </c>
      <c r="B16" s="285" t="s">
        <v>678</v>
      </c>
      <c r="E16" s="311">
        <f>'B-2.1 Forecast Period GPA'!H20</f>
        <v>9792054.7100000009</v>
      </c>
      <c r="F16" s="315">
        <v>1</v>
      </c>
      <c r="G16" s="311">
        <f>(E16*F16)</f>
        <v>9792054.7100000009</v>
      </c>
      <c r="H16" s="553">
        <v>0</v>
      </c>
      <c r="I16" s="311">
        <f>(G16+H16)</f>
        <v>9792054.7100000009</v>
      </c>
      <c r="J16" s="311">
        <f>'B-2.1 Forecast Period GPA'!I20</f>
        <v>8263223.9407692309</v>
      </c>
    </row>
    <row r="17" spans="1:10" x14ac:dyDescent="0.2">
      <c r="E17" s="311"/>
      <c r="G17" s="311"/>
      <c r="H17" s="1115" t="s">
        <v>680</v>
      </c>
      <c r="J17" s="311"/>
    </row>
    <row r="18" spans="1:10" x14ac:dyDescent="0.2">
      <c r="A18" s="309">
        <f>A16+1</f>
        <v>2</v>
      </c>
      <c r="B18" s="285" t="s">
        <v>679</v>
      </c>
      <c r="E18" s="313">
        <f>'B-2.1 Forecast Period GPA'!H24</f>
        <v>0</v>
      </c>
      <c r="F18" s="315">
        <v>1</v>
      </c>
      <c r="G18" s="311">
        <f>(E18*F18)</f>
        <v>0</v>
      </c>
      <c r="H18" s="553">
        <v>0</v>
      </c>
      <c r="I18" s="311">
        <f>(G18+H18)</f>
        <v>0</v>
      </c>
      <c r="J18" s="311">
        <f>'B-2.1 Forecast Period GPA'!I24</f>
        <v>0</v>
      </c>
    </row>
    <row r="19" spans="1:10" x14ac:dyDescent="0.2">
      <c r="E19" s="313"/>
      <c r="G19" s="316" t="s">
        <v>680</v>
      </c>
      <c r="I19" s="316" t="s">
        <v>680</v>
      </c>
      <c r="J19" s="311"/>
    </row>
    <row r="20" spans="1:10" x14ac:dyDescent="0.2">
      <c r="A20" s="309">
        <f>A18+1</f>
        <v>3</v>
      </c>
      <c r="B20" s="285" t="s">
        <v>681</v>
      </c>
      <c r="E20" s="553">
        <v>0</v>
      </c>
      <c r="F20" s="315">
        <v>1</v>
      </c>
      <c r="G20" s="311">
        <f>(E20*F20)</f>
        <v>0</v>
      </c>
      <c r="H20" s="553">
        <v>0</v>
      </c>
      <c r="I20" s="311">
        <f>(G20+H20)</f>
        <v>0</v>
      </c>
      <c r="J20" s="553">
        <v>0</v>
      </c>
    </row>
    <row r="21" spans="1:10" x14ac:dyDescent="0.2">
      <c r="E21" s="313"/>
      <c r="G21" s="316" t="s">
        <v>680</v>
      </c>
      <c r="H21" s="1115" t="s">
        <v>680</v>
      </c>
      <c r="I21" s="316" t="s">
        <v>680</v>
      </c>
      <c r="J21" s="313"/>
    </row>
    <row r="22" spans="1:10" x14ac:dyDescent="0.2">
      <c r="A22" s="309">
        <f>A20+1</f>
        <v>4</v>
      </c>
      <c r="B22" s="285" t="s">
        <v>682</v>
      </c>
      <c r="E22" s="553">
        <v>0</v>
      </c>
      <c r="F22" s="315">
        <v>1</v>
      </c>
      <c r="G22" s="311">
        <f>(E22*F22)</f>
        <v>0</v>
      </c>
      <c r="H22" s="505">
        <v>0</v>
      </c>
      <c r="I22" s="311">
        <f>(G22+H22)</f>
        <v>0</v>
      </c>
      <c r="J22" s="553">
        <v>0</v>
      </c>
    </row>
    <row r="23" spans="1:10" x14ac:dyDescent="0.2">
      <c r="E23" s="313"/>
      <c r="G23" s="316" t="s">
        <v>680</v>
      </c>
      <c r="H23" s="1120" t="s">
        <v>680</v>
      </c>
      <c r="I23" s="316" t="s">
        <v>680</v>
      </c>
      <c r="J23" s="313"/>
    </row>
    <row r="24" spans="1:10" x14ac:dyDescent="0.2">
      <c r="A24" s="309">
        <f>A22+1</f>
        <v>5</v>
      </c>
      <c r="B24" s="285" t="s">
        <v>683</v>
      </c>
      <c r="E24" s="313">
        <f>'B-2.1 Forecast Period GPA'!H56</f>
        <v>439276986.38</v>
      </c>
      <c r="F24" s="315">
        <v>1</v>
      </c>
      <c r="G24" s="311">
        <f>(E24*F24)</f>
        <v>439276986.38</v>
      </c>
      <c r="H24" s="505">
        <v>0</v>
      </c>
      <c r="I24" s="311">
        <f>(G24+H24)</f>
        <v>439276986.38</v>
      </c>
      <c r="J24" s="313">
        <f>'B-2.1 Forecast Period GPA'!I56</f>
        <v>421752059.61076927</v>
      </c>
    </row>
    <row r="25" spans="1:10" x14ac:dyDescent="0.2">
      <c r="E25" s="313"/>
      <c r="G25" s="316" t="s">
        <v>680</v>
      </c>
      <c r="H25" s="1120" t="s">
        <v>680</v>
      </c>
      <c r="I25" s="316" t="s">
        <v>680</v>
      </c>
      <c r="J25" s="313"/>
    </row>
    <row r="26" spans="1:10" x14ac:dyDescent="0.2">
      <c r="A26" s="309">
        <f>A24+1</f>
        <v>6</v>
      </c>
      <c r="B26" s="285" t="s">
        <v>684</v>
      </c>
      <c r="E26" s="313">
        <f>'B-2.1 Forecast Period GPA'!H73</f>
        <v>6774686.2799999993</v>
      </c>
      <c r="F26" s="315">
        <v>1</v>
      </c>
      <c r="G26" s="311">
        <f>(E26*F26)</f>
        <v>6774686.2799999993</v>
      </c>
      <c r="H26" s="505">
        <v>0</v>
      </c>
      <c r="I26" s="311">
        <f>(G26+H26)</f>
        <v>6774686.2799999993</v>
      </c>
      <c r="J26" s="313">
        <f>'B-2.1 Forecast Period GPA'!I73</f>
        <v>5922497.8184615374</v>
      </c>
    </row>
    <row r="27" spans="1:10" x14ac:dyDescent="0.2">
      <c r="E27" s="313"/>
      <c r="G27" s="316" t="s">
        <v>680</v>
      </c>
      <c r="H27" s="1120" t="s">
        <v>680</v>
      </c>
      <c r="I27" s="316" t="s">
        <v>680</v>
      </c>
      <c r="J27" s="313"/>
    </row>
    <row r="28" spans="1:10" x14ac:dyDescent="0.2">
      <c r="A28" s="309">
        <f>A26+1</f>
        <v>7</v>
      </c>
      <c r="B28" s="285" t="s">
        <v>685</v>
      </c>
      <c r="E28" s="553">
        <v>0</v>
      </c>
      <c r="F28" s="315">
        <v>1</v>
      </c>
      <c r="G28" s="311">
        <f>(E28*F28)</f>
        <v>0</v>
      </c>
      <c r="H28" s="553">
        <v>0</v>
      </c>
      <c r="I28" s="311">
        <f>(G28+H28)</f>
        <v>0</v>
      </c>
      <c r="J28" s="553">
        <v>0</v>
      </c>
    </row>
    <row r="29" spans="1:10" x14ac:dyDescent="0.2">
      <c r="E29" s="313"/>
      <c r="G29" s="316" t="s">
        <v>680</v>
      </c>
      <c r="H29" s="1115" t="s">
        <v>680</v>
      </c>
      <c r="I29" s="316" t="s">
        <v>680</v>
      </c>
      <c r="J29" s="313"/>
    </row>
    <row r="30" spans="1:10" x14ac:dyDescent="0.2">
      <c r="A30" s="309">
        <f>A28+1</f>
        <v>8</v>
      </c>
      <c r="B30" s="285" t="s">
        <v>686</v>
      </c>
      <c r="E30" s="1081">
        <f>'B-2.1 Forecast Period GPA'!H76</f>
        <v>-777092</v>
      </c>
      <c r="F30" s="315">
        <v>1</v>
      </c>
      <c r="G30" s="312">
        <f>(E30*F30)</f>
        <v>-777092</v>
      </c>
      <c r="H30" s="1114">
        <v>0</v>
      </c>
      <c r="I30" s="312">
        <f>(G30+H30)</f>
        <v>-777092</v>
      </c>
      <c r="J30" s="1081">
        <f>'B-2.1 Forecast Period GPA'!I76</f>
        <v>-777092</v>
      </c>
    </row>
    <row r="31" spans="1:10" x14ac:dyDescent="0.2">
      <c r="E31" s="311"/>
      <c r="G31" s="316" t="s">
        <v>680</v>
      </c>
      <c r="H31" s="316" t="s">
        <v>680</v>
      </c>
      <c r="I31" s="285" t="s">
        <v>680</v>
      </c>
      <c r="J31" s="311"/>
    </row>
    <row r="32" spans="1:10" x14ac:dyDescent="0.2">
      <c r="A32" s="309">
        <f>A30+1</f>
        <v>9</v>
      </c>
      <c r="B32" s="285" t="s">
        <v>670</v>
      </c>
      <c r="E32" s="59">
        <f>SUM(E16:E30)</f>
        <v>455066635.36999995</v>
      </c>
      <c r="G32" s="59">
        <f>SUM(G16:G30)</f>
        <v>455066635.36999995</v>
      </c>
      <c r="H32" s="59">
        <f>SUM(H16:H30)</f>
        <v>0</v>
      </c>
      <c r="I32" s="59">
        <f>SUM(I16:I30)</f>
        <v>455066635.36999995</v>
      </c>
      <c r="J32" s="59">
        <f>SUM(J16:J30)</f>
        <v>435160689.37000006</v>
      </c>
    </row>
    <row r="33" spans="1:10" x14ac:dyDescent="0.2">
      <c r="E33" s="311"/>
      <c r="G33" s="311"/>
      <c r="H33" s="316" t="s">
        <v>680</v>
      </c>
    </row>
    <row r="34" spans="1:10" x14ac:dyDescent="0.2">
      <c r="E34" s="311"/>
      <c r="G34" s="311"/>
      <c r="H34" s="311"/>
    </row>
    <row r="35" spans="1:10" x14ac:dyDescent="0.2">
      <c r="G35" s="311"/>
      <c r="H35" s="311"/>
      <c r="J35" s="311"/>
    </row>
    <row r="36" spans="1:10" x14ac:dyDescent="0.2">
      <c r="A36" s="285"/>
      <c r="B36" s="285"/>
      <c r="G36" s="311"/>
      <c r="H36" s="311"/>
    </row>
    <row r="37" spans="1:10" x14ac:dyDescent="0.2">
      <c r="B37" s="285"/>
      <c r="G37" s="311"/>
      <c r="H37" s="311"/>
    </row>
    <row r="38" spans="1:10" x14ac:dyDescent="0.2">
      <c r="B38" s="285"/>
      <c r="E38" s="317"/>
      <c r="G38" s="311"/>
      <c r="H38" s="311"/>
    </row>
    <row r="39" spans="1:10" x14ac:dyDescent="0.2">
      <c r="B39" s="285"/>
      <c r="G39" s="311"/>
      <c r="H39" s="311"/>
    </row>
    <row r="40" spans="1:10" x14ac:dyDescent="0.2">
      <c r="G40" s="311"/>
      <c r="H40" s="311"/>
    </row>
    <row r="41" spans="1:10" x14ac:dyDescent="0.2">
      <c r="G41" s="311"/>
      <c r="H41" s="311"/>
    </row>
    <row r="42" spans="1:10" x14ac:dyDescent="0.2">
      <c r="G42" s="311"/>
      <c r="H42" s="311"/>
    </row>
  </sheetData>
  <mergeCells count="4">
    <mergeCell ref="A1:J1"/>
    <mergeCell ref="A2:J2"/>
    <mergeCell ref="A3:J3"/>
    <mergeCell ref="A4:J4"/>
  </mergeCells>
  <phoneticPr fontId="0" type="noConversion"/>
  <pageMargins left="1" right="0.5" top="1" bottom="0.75" header="0.3" footer="0.3"/>
  <pageSetup scale="76" fitToHeight="0" orientation="portrait" r:id="rId1"/>
  <headerFooter>
    <oddHeader>&amp;R&amp;"Arial,Regular"&amp;10KY PSC Case No. 2016-00162, Attachment A to Staff 3-4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107">
    <pageSetUpPr fitToPage="1"/>
  </sheetPr>
  <dimension ref="A1:C86"/>
  <sheetViews>
    <sheetView zoomScaleNormal="100" workbookViewId="0">
      <selection activeCell="C27" sqref="C27"/>
    </sheetView>
  </sheetViews>
  <sheetFormatPr defaultColWidth="9.83203125" defaultRowHeight="10.5" x14ac:dyDescent="0.15"/>
  <cols>
    <col min="1" max="1" width="25.1640625" style="836" customWidth="1"/>
    <col min="2" max="2" width="3.5" style="836" customWidth="1"/>
    <col min="3" max="3" width="72.6640625" style="836" customWidth="1"/>
    <col min="4" max="4" width="6.83203125" style="836" customWidth="1"/>
    <col min="5" max="16384" width="9.83203125" style="836"/>
  </cols>
  <sheetData>
    <row r="1" spans="1:3" ht="12.75" x14ac:dyDescent="0.2">
      <c r="A1" s="242" t="s">
        <v>680</v>
      </c>
      <c r="B1" s="241"/>
      <c r="C1" s="241"/>
    </row>
    <row r="2" spans="1:3" ht="12.75" x14ac:dyDescent="0.2">
      <c r="A2" s="241"/>
      <c r="B2" s="241"/>
      <c r="C2" s="241"/>
    </row>
    <row r="3" spans="1:3" ht="12.75" x14ac:dyDescent="0.2">
      <c r="A3" s="241"/>
      <c r="B3" s="241"/>
      <c r="C3" s="241"/>
    </row>
    <row r="4" spans="1:3" ht="12.75" x14ac:dyDescent="0.2">
      <c r="A4" s="241"/>
      <c r="B4" s="241"/>
      <c r="C4" s="241"/>
    </row>
    <row r="5" spans="1:3" ht="12.75" x14ac:dyDescent="0.2">
      <c r="A5" s="2055" t="s">
        <v>1845</v>
      </c>
      <c r="B5" s="2055"/>
      <c r="C5" s="2055"/>
    </row>
    <row r="6" spans="1:3" ht="12.75" x14ac:dyDescent="0.2">
      <c r="A6" s="241"/>
      <c r="B6" s="241"/>
      <c r="C6" s="241"/>
    </row>
    <row r="7" spans="1:3" ht="12.75" x14ac:dyDescent="0.2">
      <c r="A7" s="2055" t="s">
        <v>1846</v>
      </c>
      <c r="B7" s="2055"/>
      <c r="C7" s="2055"/>
    </row>
    <row r="8" spans="1:3" ht="12.75" x14ac:dyDescent="0.2">
      <c r="A8" s="241"/>
      <c r="B8" s="241"/>
      <c r="C8" s="241"/>
    </row>
    <row r="9" spans="1:3" ht="12.75" x14ac:dyDescent="0.2">
      <c r="A9" s="2055" t="s">
        <v>624</v>
      </c>
      <c r="B9" s="2055"/>
      <c r="C9" s="2055"/>
    </row>
    <row r="10" spans="1:3" ht="12.75" x14ac:dyDescent="0.2">
      <c r="A10" s="241"/>
      <c r="B10" s="241"/>
      <c r="C10" s="241"/>
    </row>
    <row r="11" spans="1:3" ht="12.75" x14ac:dyDescent="0.2">
      <c r="A11" s="2055" t="str">
        <f>case</f>
        <v>CASE NO. 2016 - 00162</v>
      </c>
      <c r="B11" s="2055"/>
      <c r="C11" s="2055"/>
    </row>
    <row r="12" spans="1:3" ht="12.75" x14ac:dyDescent="0.2">
      <c r="A12" s="241"/>
      <c r="B12" s="241"/>
      <c r="C12" s="241"/>
    </row>
    <row r="13" spans="1:3" ht="12.75" x14ac:dyDescent="0.2">
      <c r="A13" s="241"/>
      <c r="B13" s="241"/>
      <c r="C13" s="241"/>
    </row>
    <row r="14" spans="1:3" ht="12.75" x14ac:dyDescent="0.2">
      <c r="A14" s="241"/>
      <c r="B14" s="241"/>
      <c r="C14" s="241"/>
    </row>
    <row r="15" spans="1:3" ht="12.75" x14ac:dyDescent="0.2">
      <c r="A15" s="241"/>
      <c r="B15" s="241"/>
      <c r="C15" s="241"/>
    </row>
    <row r="16" spans="1:3" ht="12.75" x14ac:dyDescent="0.2">
      <c r="A16" s="242" t="s">
        <v>830</v>
      </c>
      <c r="B16" s="241"/>
      <c r="C16" s="242" t="str">
        <f>base</f>
        <v>FOR THE TWELVE MONTHS ENDED AUGUST 31, 2016</v>
      </c>
    </row>
    <row r="17" spans="1:3" ht="12.75" x14ac:dyDescent="0.2">
      <c r="A17" s="241"/>
      <c r="B17" s="241"/>
      <c r="C17" s="241"/>
    </row>
    <row r="18" spans="1:3" ht="12.75" x14ac:dyDescent="0.2">
      <c r="A18" s="242" t="s">
        <v>1264</v>
      </c>
      <c r="B18" s="241"/>
      <c r="C18" s="242" t="str">
        <f>forecast</f>
        <v>FOR THE TWELVE MONTHS ENDED DECEMBER 31, 2017</v>
      </c>
    </row>
    <row r="19" spans="1:3" ht="12.75" x14ac:dyDescent="0.2">
      <c r="A19" s="241"/>
      <c r="B19" s="241"/>
      <c r="C19" s="241"/>
    </row>
    <row r="20" spans="1:3" ht="12.75" x14ac:dyDescent="0.2">
      <c r="A20" s="241"/>
      <c r="B20" s="241"/>
      <c r="C20" s="241"/>
    </row>
    <row r="21" spans="1:3" ht="12.75" x14ac:dyDescent="0.2">
      <c r="A21" s="244" t="s">
        <v>633</v>
      </c>
      <c r="B21" s="244"/>
      <c r="C21" s="245" t="s">
        <v>778</v>
      </c>
    </row>
    <row r="22" spans="1:3" ht="12.75" x14ac:dyDescent="0.2">
      <c r="A22" s="241"/>
      <c r="B22" s="241"/>
      <c r="C22" s="241"/>
    </row>
    <row r="23" spans="1:3" ht="12.75" x14ac:dyDescent="0.2">
      <c r="A23" s="837" t="s">
        <v>1847</v>
      </c>
      <c r="B23" s="241"/>
      <c r="C23" s="247" t="s">
        <v>0</v>
      </c>
    </row>
    <row r="24" spans="1:3" ht="12.75" x14ac:dyDescent="0.2">
      <c r="A24" s="673"/>
      <c r="B24" s="673"/>
      <c r="C24" s="673"/>
    </row>
    <row r="25" spans="1:3" ht="12.75" x14ac:dyDescent="0.2">
      <c r="A25" s="673"/>
      <c r="B25" s="673"/>
      <c r="C25" s="673"/>
    </row>
    <row r="26" spans="1:3" ht="12.75" x14ac:dyDescent="0.2">
      <c r="A26" s="673"/>
      <c r="B26" s="673"/>
      <c r="C26" s="673"/>
    </row>
    <row r="27" spans="1:3" ht="12.75" x14ac:dyDescent="0.2">
      <c r="A27" s="241"/>
      <c r="B27" s="241"/>
      <c r="C27" s="241"/>
    </row>
    <row r="28" spans="1:3" ht="12.75" x14ac:dyDescent="0.2">
      <c r="A28" s="241"/>
      <c r="B28" s="241"/>
      <c r="C28" s="241"/>
    </row>
    <row r="29" spans="1:3" ht="12.75" x14ac:dyDescent="0.2">
      <c r="A29" s="241"/>
      <c r="B29" s="241"/>
      <c r="C29" s="241"/>
    </row>
    <row r="30" spans="1:3" ht="12.75" x14ac:dyDescent="0.2">
      <c r="A30" s="673"/>
      <c r="B30" s="673"/>
      <c r="C30" s="673"/>
    </row>
    <row r="31" spans="1:3" ht="12.75" x14ac:dyDescent="0.2">
      <c r="A31" s="673"/>
      <c r="B31" s="673"/>
      <c r="C31" s="673"/>
    </row>
    <row r="32" spans="1:3" ht="12.75" x14ac:dyDescent="0.2">
      <c r="A32" s="673"/>
      <c r="B32" s="673"/>
      <c r="C32" s="673"/>
    </row>
    <row r="33" spans="1:3" ht="12.75" x14ac:dyDescent="0.2">
      <c r="A33" s="673"/>
      <c r="B33" s="673"/>
      <c r="C33" s="673"/>
    </row>
    <row r="34" spans="1:3" ht="12.75" x14ac:dyDescent="0.2">
      <c r="A34" s="673"/>
      <c r="B34" s="673"/>
      <c r="C34" s="673"/>
    </row>
    <row r="35" spans="1:3" ht="12.75" x14ac:dyDescent="0.2">
      <c r="A35" s="838"/>
      <c r="B35" s="838"/>
      <c r="C35" s="838"/>
    </row>
    <row r="36" spans="1:3" ht="12.75" x14ac:dyDescent="0.2">
      <c r="A36" s="673"/>
      <c r="B36" s="673"/>
      <c r="C36" s="673"/>
    </row>
    <row r="37" spans="1:3" ht="12.75" x14ac:dyDescent="0.2">
      <c r="A37" s="673"/>
      <c r="B37" s="673"/>
      <c r="C37" s="673"/>
    </row>
    <row r="38" spans="1:3" ht="12.75" x14ac:dyDescent="0.2">
      <c r="A38" s="673"/>
      <c r="B38" s="673"/>
      <c r="C38" s="673"/>
    </row>
    <row r="39" spans="1:3" ht="12.75" x14ac:dyDescent="0.2">
      <c r="A39" s="673"/>
      <c r="B39" s="673"/>
      <c r="C39" s="673" t="s">
        <v>680</v>
      </c>
    </row>
    <row r="40" spans="1:3" ht="12.75" x14ac:dyDescent="0.2">
      <c r="A40" s="673"/>
      <c r="B40" s="673"/>
      <c r="C40" s="673"/>
    </row>
    <row r="41" spans="1:3" ht="11.25" x14ac:dyDescent="0.2">
      <c r="A41" s="577"/>
      <c r="B41" s="577"/>
      <c r="C41" s="577"/>
    </row>
    <row r="42" spans="1:3" ht="11.25" x14ac:dyDescent="0.2">
      <c r="A42" s="577"/>
      <c r="B42" s="577"/>
      <c r="C42" s="577"/>
    </row>
    <row r="43" spans="1:3" ht="11.25" x14ac:dyDescent="0.2">
      <c r="A43" s="577"/>
      <c r="B43" s="577"/>
      <c r="C43" s="577"/>
    </row>
    <row r="44" spans="1:3" ht="11.25" x14ac:dyDescent="0.2">
      <c r="A44" s="577"/>
      <c r="B44" s="577"/>
      <c r="C44" s="577"/>
    </row>
    <row r="45" spans="1:3" ht="11.25" x14ac:dyDescent="0.2">
      <c r="A45" s="577"/>
      <c r="B45" s="577"/>
      <c r="C45" s="577"/>
    </row>
    <row r="46" spans="1:3" ht="11.25" x14ac:dyDescent="0.2">
      <c r="A46" s="577"/>
      <c r="B46" s="577"/>
      <c r="C46" s="577"/>
    </row>
    <row r="47" spans="1:3" ht="11.25" x14ac:dyDescent="0.2">
      <c r="A47" s="577"/>
      <c r="B47" s="577"/>
      <c r="C47" s="577"/>
    </row>
    <row r="48" spans="1:3" ht="11.25" x14ac:dyDescent="0.2">
      <c r="A48" s="577"/>
      <c r="B48" s="577"/>
      <c r="C48" s="577"/>
    </row>
    <row r="49" spans="1:3" ht="11.25" x14ac:dyDescent="0.2">
      <c r="A49" s="577"/>
      <c r="B49" s="577"/>
      <c r="C49" s="577"/>
    </row>
    <row r="50" spans="1:3" ht="11.25" x14ac:dyDescent="0.2">
      <c r="A50" s="577"/>
      <c r="B50" s="577"/>
      <c r="C50" s="577"/>
    </row>
    <row r="51" spans="1:3" ht="11.25" x14ac:dyDescent="0.2">
      <c r="A51" s="577"/>
      <c r="B51" s="577"/>
      <c r="C51" s="577"/>
    </row>
    <row r="52" spans="1:3" ht="11.25" x14ac:dyDescent="0.2">
      <c r="A52" s="577"/>
      <c r="B52" s="577"/>
      <c r="C52" s="577"/>
    </row>
    <row r="53" spans="1:3" ht="11.25" x14ac:dyDescent="0.2">
      <c r="A53" s="577"/>
      <c r="B53" s="577"/>
      <c r="C53" s="577"/>
    </row>
    <row r="54" spans="1:3" ht="11.25" x14ac:dyDescent="0.2">
      <c r="A54" s="577"/>
      <c r="B54" s="577"/>
      <c r="C54" s="577"/>
    </row>
    <row r="55" spans="1:3" ht="11.25" x14ac:dyDescent="0.2">
      <c r="A55" s="577"/>
      <c r="B55" s="577"/>
      <c r="C55" s="577"/>
    </row>
    <row r="56" spans="1:3" ht="11.25" x14ac:dyDescent="0.2">
      <c r="A56" s="577"/>
      <c r="B56" s="577"/>
      <c r="C56" s="577"/>
    </row>
    <row r="57" spans="1:3" ht="11.25" x14ac:dyDescent="0.2">
      <c r="A57" s="577"/>
      <c r="B57" s="577"/>
      <c r="C57" s="577"/>
    </row>
    <row r="58" spans="1:3" ht="11.25" x14ac:dyDescent="0.2">
      <c r="A58" s="577"/>
      <c r="B58" s="577"/>
      <c r="C58" s="577"/>
    </row>
    <row r="59" spans="1:3" ht="11.25" x14ac:dyDescent="0.2">
      <c r="A59" s="577"/>
      <c r="B59" s="577"/>
      <c r="C59" s="577"/>
    </row>
    <row r="60" spans="1:3" ht="11.25" x14ac:dyDescent="0.2">
      <c r="A60" s="577"/>
      <c r="B60" s="577"/>
      <c r="C60" s="577"/>
    </row>
    <row r="61" spans="1:3" ht="11.25" x14ac:dyDescent="0.2">
      <c r="A61" s="577"/>
      <c r="B61" s="577"/>
      <c r="C61" s="577"/>
    </row>
    <row r="62" spans="1:3" ht="11.25" x14ac:dyDescent="0.2">
      <c r="A62" s="577"/>
      <c r="B62" s="577"/>
      <c r="C62" s="577"/>
    </row>
    <row r="63" spans="1:3" ht="11.25" x14ac:dyDescent="0.2">
      <c r="A63" s="577"/>
      <c r="B63" s="577"/>
      <c r="C63" s="577"/>
    </row>
    <row r="64" spans="1:3" ht="11.25" x14ac:dyDescent="0.2">
      <c r="A64" s="577"/>
      <c r="B64" s="577"/>
      <c r="C64" s="577"/>
    </row>
    <row r="65" spans="1:3" ht="11.25" x14ac:dyDescent="0.2">
      <c r="A65" s="577"/>
      <c r="B65" s="577"/>
      <c r="C65" s="577"/>
    </row>
    <row r="66" spans="1:3" ht="11.25" x14ac:dyDescent="0.2">
      <c r="A66" s="577"/>
      <c r="B66" s="577"/>
      <c r="C66" s="577"/>
    </row>
    <row r="67" spans="1:3" ht="11.25" x14ac:dyDescent="0.2">
      <c r="A67" s="577"/>
      <c r="B67" s="577"/>
      <c r="C67" s="577"/>
    </row>
    <row r="68" spans="1:3" ht="11.25" x14ac:dyDescent="0.2">
      <c r="A68" s="577"/>
      <c r="B68" s="577"/>
      <c r="C68" s="577"/>
    </row>
    <row r="69" spans="1:3" ht="11.25" x14ac:dyDescent="0.2">
      <c r="A69" s="577"/>
      <c r="B69" s="577"/>
      <c r="C69" s="577"/>
    </row>
    <row r="70" spans="1:3" ht="11.25" x14ac:dyDescent="0.2">
      <c r="A70" s="577"/>
      <c r="B70" s="577"/>
      <c r="C70" s="577"/>
    </row>
    <row r="71" spans="1:3" ht="11.25" x14ac:dyDescent="0.2">
      <c r="A71" s="577"/>
      <c r="B71" s="577"/>
      <c r="C71" s="577"/>
    </row>
    <row r="72" spans="1:3" ht="11.25" x14ac:dyDescent="0.2">
      <c r="A72" s="577"/>
      <c r="B72" s="577"/>
      <c r="C72" s="577"/>
    </row>
    <row r="73" spans="1:3" ht="11.25" x14ac:dyDescent="0.2">
      <c r="A73" s="577"/>
      <c r="B73" s="577"/>
      <c r="C73" s="577"/>
    </row>
    <row r="74" spans="1:3" ht="11.25" x14ac:dyDescent="0.2">
      <c r="A74" s="577"/>
      <c r="B74" s="577"/>
      <c r="C74" s="577"/>
    </row>
    <row r="75" spans="1:3" ht="11.25" x14ac:dyDescent="0.2">
      <c r="A75" s="577"/>
      <c r="B75" s="577"/>
      <c r="C75" s="577"/>
    </row>
    <row r="76" spans="1:3" ht="11.25" x14ac:dyDescent="0.2">
      <c r="A76" s="577"/>
      <c r="B76" s="577"/>
      <c r="C76" s="577"/>
    </row>
    <row r="77" spans="1:3" ht="11.25" x14ac:dyDescent="0.2">
      <c r="A77" s="577"/>
      <c r="B77" s="577"/>
      <c r="C77" s="577"/>
    </row>
    <row r="78" spans="1:3" ht="11.25" x14ac:dyDescent="0.2">
      <c r="A78" s="577"/>
      <c r="B78" s="577"/>
      <c r="C78" s="577"/>
    </row>
    <row r="79" spans="1:3" ht="11.25" x14ac:dyDescent="0.2">
      <c r="A79" s="577"/>
      <c r="B79" s="577"/>
      <c r="C79" s="577"/>
    </row>
    <row r="80" spans="1:3" ht="11.25" x14ac:dyDescent="0.2">
      <c r="A80" s="577"/>
      <c r="B80" s="577"/>
      <c r="C80" s="577"/>
    </row>
    <row r="81" spans="1:3" ht="11.25" x14ac:dyDescent="0.2">
      <c r="A81" s="577"/>
      <c r="B81" s="577"/>
      <c r="C81" s="577"/>
    </row>
    <row r="82" spans="1:3" ht="11.25" x14ac:dyDescent="0.2">
      <c r="A82" s="577"/>
      <c r="B82" s="577"/>
      <c r="C82" s="577"/>
    </row>
    <row r="83" spans="1:3" ht="11.25" x14ac:dyDescent="0.2">
      <c r="A83" s="577"/>
      <c r="B83" s="577"/>
      <c r="C83" s="577"/>
    </row>
    <row r="84" spans="1:3" ht="11.25" x14ac:dyDescent="0.2">
      <c r="A84" s="577"/>
      <c r="B84" s="577"/>
      <c r="C84" s="577"/>
    </row>
    <row r="85" spans="1:3" ht="11.25" x14ac:dyDescent="0.2">
      <c r="A85" s="577"/>
      <c r="B85" s="577"/>
      <c r="C85" s="577"/>
    </row>
    <row r="86" spans="1:3" ht="11.25" x14ac:dyDescent="0.2">
      <c r="A86" s="577"/>
      <c r="B86" s="577"/>
      <c r="C86" s="577"/>
    </row>
  </sheetData>
  <mergeCells count="4">
    <mergeCell ref="A5:C5"/>
    <mergeCell ref="A7:C7"/>
    <mergeCell ref="A9:C9"/>
    <mergeCell ref="A11:C11"/>
  </mergeCells>
  <printOptions horizontalCentered="1"/>
  <pageMargins left="1" right="1" top="1" bottom="1" header="0.5" footer="0.5"/>
  <pageSetup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W199"/>
  <sheetViews>
    <sheetView zoomScaleNormal="100" zoomScaleSheetLayoutView="75" workbookViewId="0">
      <pane xSplit="6" ySplit="11" topLeftCell="G12" activePane="bottomRight" state="frozen"/>
      <selection activeCell="C27" sqref="C27"/>
      <selection pane="topRight" activeCell="C27" sqref="C27"/>
      <selection pane="bottomLeft" activeCell="C27" sqref="C27"/>
      <selection pane="bottomRight" activeCell="Q27" sqref="Q27"/>
    </sheetView>
  </sheetViews>
  <sheetFormatPr defaultColWidth="9.33203125" defaultRowHeight="10.5" x14ac:dyDescent="0.15"/>
  <cols>
    <col min="1" max="1" width="5.83203125" style="1091" customWidth="1"/>
    <col min="2" max="2" width="1.1640625" style="1086" customWidth="1"/>
    <col min="3" max="3" width="46.33203125" style="1422" customWidth="1"/>
    <col min="4" max="4" width="14.33203125" style="1422" bestFit="1" customWidth="1"/>
    <col min="5" max="5" width="16.83203125" style="1422" customWidth="1"/>
    <col min="6" max="6" width="1.5" style="1422" customWidth="1"/>
    <col min="7" max="7" width="16.83203125" style="1422" customWidth="1"/>
    <col min="8" max="8" width="1.83203125" style="1422" customWidth="1"/>
    <col min="9" max="9" width="16.6640625" style="1422" bestFit="1" customWidth="1"/>
    <col min="10" max="10" width="1.33203125" style="1422" customWidth="1"/>
    <col min="11" max="11" width="13.5" style="1422" bestFit="1" customWidth="1"/>
    <col min="12" max="12" width="1.83203125" style="1422" customWidth="1"/>
    <col min="13" max="13" width="16.83203125" style="1422" customWidth="1"/>
    <col min="14" max="14" width="9" style="1086" customWidth="1"/>
    <col min="15" max="15" width="15" style="1782" bestFit="1" customWidth="1"/>
    <col min="16" max="16" width="13.5" style="1782" bestFit="1" customWidth="1"/>
    <col min="17" max="17" width="14.33203125" style="1782" bestFit="1" customWidth="1"/>
    <col min="18" max="18" width="13.5" style="1782" bestFit="1" customWidth="1"/>
    <col min="19" max="19" width="14.33203125" style="1782" bestFit="1" customWidth="1"/>
    <col min="20" max="20" width="14" style="1782" bestFit="1" customWidth="1"/>
    <col min="21" max="21" width="13.5" style="1782" bestFit="1" customWidth="1"/>
    <col min="22" max="22" width="15" style="1782" customWidth="1"/>
    <col min="23" max="16384" width="9.33203125" style="1086"/>
  </cols>
  <sheetData>
    <row r="1" spans="1:23" ht="12.75" x14ac:dyDescent="0.2">
      <c r="A1" s="2164" t="str">
        <f>co</f>
        <v>COLUMBIA GAS OF KENTUCKY, INC.</v>
      </c>
      <c r="B1" s="2164"/>
      <c r="C1" s="2164"/>
      <c r="D1" s="2164"/>
      <c r="E1" s="2164"/>
      <c r="F1" s="2164"/>
      <c r="G1" s="2164"/>
      <c r="H1" s="2164"/>
      <c r="I1" s="2164"/>
      <c r="J1" s="2164"/>
      <c r="K1" s="2164"/>
      <c r="L1" s="2164"/>
      <c r="M1" s="2164"/>
    </row>
    <row r="2" spans="1:23" ht="12.75" x14ac:dyDescent="0.2">
      <c r="A2" s="2164" t="str">
        <f>case</f>
        <v>CASE NO. 2016 - 00162</v>
      </c>
      <c r="B2" s="2164"/>
      <c r="C2" s="2164"/>
      <c r="D2" s="2164"/>
      <c r="E2" s="2164"/>
      <c r="F2" s="2164"/>
      <c r="G2" s="2164"/>
      <c r="H2" s="2164"/>
      <c r="I2" s="2164"/>
      <c r="J2" s="2164"/>
      <c r="K2" s="2164"/>
      <c r="L2" s="2164"/>
      <c r="M2" s="2164"/>
    </row>
    <row r="3" spans="1:23" ht="12.75" x14ac:dyDescent="0.2">
      <c r="A3" s="2165" t="s">
        <v>0</v>
      </c>
      <c r="B3" s="2165"/>
      <c r="C3" s="2165"/>
      <c r="D3" s="2165"/>
      <c r="E3" s="2165"/>
      <c r="F3" s="2165"/>
      <c r="G3" s="2165"/>
      <c r="H3" s="2165"/>
      <c r="I3" s="2165"/>
      <c r="J3" s="2165"/>
      <c r="K3" s="2165"/>
      <c r="L3" s="2165"/>
      <c r="M3" s="2165"/>
    </row>
    <row r="4" spans="1:23" ht="12.75" x14ac:dyDescent="0.2">
      <c r="A4" s="2166" t="s">
        <v>2043</v>
      </c>
      <c r="B4" s="2166"/>
      <c r="C4" s="2166"/>
      <c r="D4" s="2166"/>
      <c r="E4" s="2166"/>
      <c r="F4" s="2166"/>
      <c r="G4" s="2166"/>
      <c r="H4" s="2166"/>
      <c r="I4" s="2166"/>
      <c r="J4" s="2166"/>
      <c r="K4" s="2166"/>
      <c r="L4" s="2166"/>
      <c r="M4" s="2166"/>
    </row>
    <row r="5" spans="1:23" ht="12.75" x14ac:dyDescent="0.2">
      <c r="A5" s="1085"/>
      <c r="B5" s="1087"/>
      <c r="C5" s="1097"/>
      <c r="D5" s="1097"/>
      <c r="E5" s="1097"/>
      <c r="F5" s="1097"/>
      <c r="G5" s="1097"/>
      <c r="H5" s="1097"/>
      <c r="I5" s="1097"/>
      <c r="J5" s="1097"/>
      <c r="K5" s="1097"/>
      <c r="L5" s="1097"/>
      <c r="M5" s="1097"/>
    </row>
    <row r="6" spans="1:23" ht="12.75" x14ac:dyDescent="0.2">
      <c r="A6" s="1526" t="s">
        <v>92</v>
      </c>
      <c r="B6" s="1087"/>
      <c r="C6" s="1097"/>
      <c r="D6" s="1097"/>
      <c r="E6" s="1097"/>
      <c r="F6" s="1097"/>
      <c r="G6" s="1097"/>
      <c r="H6" s="1421"/>
      <c r="J6" s="1423"/>
      <c r="K6" s="1423"/>
      <c r="L6" s="1423"/>
      <c r="M6" s="1423" t="s">
        <v>1</v>
      </c>
    </row>
    <row r="7" spans="1:23" ht="12.75" x14ac:dyDescent="0.2">
      <c r="A7" s="1526" t="s">
        <v>627</v>
      </c>
      <c r="B7" s="1087"/>
      <c r="C7" s="1097"/>
      <c r="D7" s="1097"/>
      <c r="E7" s="1097"/>
      <c r="F7" s="1097"/>
      <c r="G7" s="1097"/>
      <c r="H7" s="1421"/>
      <c r="J7" s="1423"/>
      <c r="K7" s="1423"/>
      <c r="L7" s="1423"/>
      <c r="M7" s="1423" t="s">
        <v>628</v>
      </c>
    </row>
    <row r="8" spans="1:23" ht="12.75" x14ac:dyDescent="0.2">
      <c r="A8" s="1527" t="s">
        <v>850</v>
      </c>
      <c r="B8" s="1089"/>
      <c r="C8" s="1424"/>
      <c r="D8" s="1424"/>
      <c r="E8" s="1424"/>
      <c r="F8" s="1424"/>
      <c r="G8" s="1424"/>
      <c r="H8" s="1421"/>
      <c r="J8" s="1425"/>
      <c r="K8" s="1425"/>
      <c r="L8" s="1425"/>
      <c r="M8" s="1425" t="s">
        <v>2</v>
      </c>
      <c r="N8" s="1090"/>
      <c r="O8" s="1772" t="s">
        <v>1254</v>
      </c>
      <c r="P8" s="1772" t="s">
        <v>3</v>
      </c>
      <c r="Q8" s="1772" t="s">
        <v>4</v>
      </c>
      <c r="R8" s="1772" t="s">
        <v>5</v>
      </c>
      <c r="S8" s="1773" t="s">
        <v>6</v>
      </c>
      <c r="T8" s="1773" t="s">
        <v>7</v>
      </c>
      <c r="U8" s="1773" t="s">
        <v>8</v>
      </c>
      <c r="V8" s="1773" t="s">
        <v>9</v>
      </c>
      <c r="W8" s="1087"/>
    </row>
    <row r="9" spans="1:23" s="1091" customFormat="1" ht="12.75" x14ac:dyDescent="0.2">
      <c r="A9" s="1085"/>
      <c r="B9" s="1085"/>
      <c r="C9" s="1101"/>
      <c r="D9" s="1101"/>
      <c r="E9" s="2167" t="s">
        <v>10</v>
      </c>
      <c r="F9" s="2167"/>
      <c r="G9" s="2167"/>
      <c r="H9" s="2167"/>
      <c r="I9" s="2167"/>
      <c r="J9" s="1393"/>
      <c r="K9" s="1426"/>
      <c r="L9" s="1426" t="s">
        <v>1809</v>
      </c>
      <c r="M9" s="1426"/>
      <c r="O9" s="1772"/>
      <c r="P9" s="1772"/>
      <c r="Q9" s="1772" t="s">
        <v>11</v>
      </c>
      <c r="R9" s="1772" t="s">
        <v>2271</v>
      </c>
      <c r="S9" s="1773"/>
      <c r="T9" s="1772" t="s">
        <v>12</v>
      </c>
      <c r="U9" s="1773" t="s">
        <v>12</v>
      </c>
      <c r="V9" s="1773"/>
      <c r="W9" s="1085"/>
    </row>
    <row r="10" spans="1:23" s="1091" customFormat="1" ht="12.75" x14ac:dyDescent="0.2">
      <c r="A10" s="1085" t="s">
        <v>1080</v>
      </c>
      <c r="B10" s="1085"/>
      <c r="C10" s="1101"/>
      <c r="D10" s="1101"/>
      <c r="E10" s="1101" t="s">
        <v>223</v>
      </c>
      <c r="F10" s="1101"/>
      <c r="G10" s="1101" t="s">
        <v>13</v>
      </c>
      <c r="H10" s="1101"/>
      <c r="I10" s="1101" t="s">
        <v>94</v>
      </c>
      <c r="J10" s="1393"/>
      <c r="K10" s="1101" t="s">
        <v>13</v>
      </c>
      <c r="L10" s="1101"/>
      <c r="M10" s="1101" t="s">
        <v>94</v>
      </c>
      <c r="O10" s="1772" t="s">
        <v>14</v>
      </c>
      <c r="P10" s="1772" t="s">
        <v>15</v>
      </c>
      <c r="Q10" s="1772" t="s">
        <v>16</v>
      </c>
      <c r="R10" s="1772" t="s">
        <v>16</v>
      </c>
      <c r="S10" s="1772" t="s">
        <v>12</v>
      </c>
      <c r="T10" s="1774" t="s">
        <v>2273</v>
      </c>
      <c r="U10" s="1774" t="s">
        <v>2273</v>
      </c>
      <c r="V10" s="1773"/>
      <c r="W10" s="1085"/>
    </row>
    <row r="11" spans="1:23" s="1091" customFormat="1" ht="12.75" x14ac:dyDescent="0.2">
      <c r="A11" s="1092" t="s">
        <v>1081</v>
      </c>
      <c r="B11" s="1093"/>
      <c r="C11" s="1102" t="s">
        <v>1083</v>
      </c>
      <c r="D11" s="1427"/>
      <c r="E11" s="1102" t="s">
        <v>2045</v>
      </c>
      <c r="F11" s="1427"/>
      <c r="G11" s="1102" t="s">
        <v>222</v>
      </c>
      <c r="H11" s="1427"/>
      <c r="I11" s="1102" t="s">
        <v>2044</v>
      </c>
      <c r="J11" s="1393"/>
      <c r="K11" s="1102" t="s">
        <v>222</v>
      </c>
      <c r="L11" s="1102"/>
      <c r="M11" s="1102" t="s">
        <v>2044</v>
      </c>
      <c r="O11" s="1774" t="s">
        <v>2272</v>
      </c>
      <c r="P11" s="1774" t="s">
        <v>2272</v>
      </c>
      <c r="Q11" s="1774" t="s">
        <v>2272</v>
      </c>
      <c r="R11" s="1774" t="s">
        <v>2273</v>
      </c>
      <c r="S11" s="1774" t="s">
        <v>2273</v>
      </c>
      <c r="T11" s="1773" t="s">
        <v>17</v>
      </c>
      <c r="U11" s="1773" t="s">
        <v>18</v>
      </c>
      <c r="V11" s="1773" t="s">
        <v>670</v>
      </c>
      <c r="W11" s="1085"/>
    </row>
    <row r="12" spans="1:23" s="1091" customFormat="1" ht="12.75" x14ac:dyDescent="0.2">
      <c r="A12" s="1085"/>
      <c r="B12" s="1085"/>
      <c r="C12" s="1101"/>
      <c r="D12" s="1101"/>
      <c r="E12" s="1101" t="s">
        <v>860</v>
      </c>
      <c r="F12" s="1101"/>
      <c r="G12" s="1101" t="s">
        <v>877</v>
      </c>
      <c r="H12" s="1101"/>
      <c r="I12" s="1101" t="s">
        <v>878</v>
      </c>
      <c r="J12" s="1393"/>
      <c r="K12" s="1476" t="s">
        <v>1145</v>
      </c>
      <c r="L12" s="1393"/>
      <c r="M12" s="1476" t="s">
        <v>1146</v>
      </c>
      <c r="O12" s="1772"/>
      <c r="P12" s="1772"/>
      <c r="Q12" s="1772"/>
      <c r="R12" s="1772"/>
      <c r="S12" s="1773"/>
      <c r="T12" s="1773"/>
      <c r="U12" s="1773"/>
      <c r="V12" s="1773"/>
      <c r="W12" s="1085"/>
    </row>
    <row r="13" spans="1:23" s="1091" customFormat="1" ht="12.75" x14ac:dyDescent="0.2">
      <c r="A13" s="1085"/>
      <c r="B13" s="1085"/>
      <c r="C13" s="1101"/>
      <c r="D13" s="1101"/>
      <c r="E13" s="1101" t="s">
        <v>639</v>
      </c>
      <c r="F13" s="1101"/>
      <c r="G13" s="1101" t="s">
        <v>639</v>
      </c>
      <c r="H13" s="1101"/>
      <c r="I13" s="1101" t="s">
        <v>639</v>
      </c>
      <c r="J13" s="1393"/>
      <c r="K13" s="1101" t="s">
        <v>639</v>
      </c>
      <c r="L13" s="1393"/>
      <c r="M13" s="1101" t="s">
        <v>639</v>
      </c>
      <c r="O13" s="1772"/>
      <c r="P13" s="1772"/>
      <c r="Q13" s="1772"/>
      <c r="R13" s="1772"/>
      <c r="S13" s="1773"/>
      <c r="T13" s="1773"/>
      <c r="U13" s="1773"/>
      <c r="V13" s="1773"/>
      <c r="W13" s="1085"/>
    </row>
    <row r="14" spans="1:23" ht="12.75" x14ac:dyDescent="0.2">
      <c r="A14" s="1085"/>
      <c r="B14" s="1087"/>
      <c r="C14" s="1097"/>
      <c r="D14" s="1097"/>
      <c r="E14" s="1097"/>
      <c r="F14" s="1097"/>
      <c r="G14" s="1097"/>
      <c r="H14" s="1097"/>
      <c r="I14" s="1097"/>
      <c r="J14" s="1392"/>
      <c r="K14" s="1392"/>
      <c r="L14" s="1392"/>
      <c r="M14" s="1392"/>
      <c r="O14" s="1775"/>
      <c r="P14" s="1775"/>
      <c r="Q14" s="1775"/>
      <c r="R14" s="1775"/>
      <c r="S14" s="1776"/>
      <c r="T14" s="1776"/>
      <c r="U14" s="1776"/>
      <c r="V14" s="1776"/>
      <c r="W14" s="1087"/>
    </row>
    <row r="15" spans="1:23" ht="12.75" x14ac:dyDescent="0.2">
      <c r="A15" s="1085">
        <v>1</v>
      </c>
      <c r="B15" s="1087"/>
      <c r="C15" s="1097" t="s">
        <v>19</v>
      </c>
      <c r="D15" s="1097"/>
      <c r="E15" s="1097">
        <f>-'Total Co Accts Activ C2.2A'!P101</f>
        <v>20221008.269280814</v>
      </c>
      <c r="F15" s="1097"/>
      <c r="G15" s="1097">
        <f>I15-E15</f>
        <v>-13706116.916275831</v>
      </c>
      <c r="H15" s="1097"/>
      <c r="I15" s="1094">
        <f>'Adj Operating Income Sum C-2'!I13-'Adj Operating Income Sum C-2'!I16-'Adj Operating Income Sum C-2'!I17-'Adj Operating Income Sum C-2'!I18-'Adj Operating Income Sum C-2'!I19-'Adj Operating Income Sum C-2'!I20-'Adj Operating Income Sum C-2'!I21-'Adj Operating Income Sum C-2'!I22-'Adj Operating Income Sum C-2'!I23-'Adj Operating Income Sum C-2'!I25-'Adj Operating Income Sum C-2'!I26-'Adj Operating Income Sum C-2'!I27</f>
        <v>6514891.3530049827</v>
      </c>
      <c r="J15" s="1391"/>
      <c r="K15" s="1097">
        <f>M15-I15</f>
        <v>-1022724</v>
      </c>
      <c r="L15" s="1391"/>
      <c r="M15" s="1391">
        <f>'Adj Operating Income Sum C-2'!M13-'Adj Operating Income Sum C-2'!M16-'Adj Operating Income Sum C-2'!M17-'Adj Operating Income Sum C-2'!M18-'Adj Operating Income Sum C-2'!M19-'Adj Operating Income Sum C-2'!M20-'Adj Operating Income Sum C-2'!M21-'Adj Operating Income Sum C-2'!M22-'Adj Operating Income Sum C-2'!M23-'Adj Operating Income Sum C-2'!M25-'Adj Operating Income Sum C-2'!M26-'Adj Operating Income Sum C-2'!M27</f>
        <v>5492167.3530049827</v>
      </c>
      <c r="O15" s="1775">
        <v>18284210</v>
      </c>
      <c r="P15" s="1775">
        <v>12641672</v>
      </c>
      <c r="Q15" s="1775">
        <v>5642538</v>
      </c>
      <c r="R15" s="1775">
        <v>10096416</v>
      </c>
      <c r="S15" s="1775">
        <v>19352000</v>
      </c>
      <c r="T15" s="1776">
        <v>12901333.333333334</v>
      </c>
      <c r="U15" s="1776">
        <v>2804917.333333334</v>
      </c>
      <c r="V15" s="1776">
        <v>18543871.333333336</v>
      </c>
      <c r="W15" s="1087"/>
    </row>
    <row r="16" spans="1:23" ht="12.75" x14ac:dyDescent="0.2">
      <c r="A16" s="1085">
        <f>A15+1</f>
        <v>2</v>
      </c>
      <c r="B16" s="1087"/>
      <c r="C16" s="1097" t="s">
        <v>20</v>
      </c>
      <c r="D16" s="1097"/>
      <c r="E16" s="1098">
        <f>ROUND(('J-1 Base Period Cost of Capital'!M16+'J-1 Base Period Cost of Capital'!M18)*'B-1 p.1 Summary (Base)'!J33,0)</f>
        <v>6043591</v>
      </c>
      <c r="F16" s="1097"/>
      <c r="G16" s="1098">
        <f>I16-E16</f>
        <v>579735</v>
      </c>
      <c r="H16" s="1097"/>
      <c r="I16" s="1098">
        <f>ROUND(('J-1.1, J-1.2 13 MO AVG WACC'!M16+'J-1.1, J-1.2 13 MO AVG WACC'!M18)*'B-1 p.2 Summary (Forecast)'!I33,0)</f>
        <v>6623326</v>
      </c>
      <c r="J16" s="1392"/>
      <c r="K16" s="1098">
        <f>M16-I16</f>
        <v>0</v>
      </c>
      <c r="L16" s="1392"/>
      <c r="M16" s="1098">
        <f>I16</f>
        <v>6623326</v>
      </c>
      <c r="O16" s="1777">
        <v>0</v>
      </c>
      <c r="P16" s="1777">
        <v>0</v>
      </c>
      <c r="Q16" s="1777">
        <v>0</v>
      </c>
      <c r="R16" s="1777">
        <v>0</v>
      </c>
      <c r="S16" s="1777">
        <v>0</v>
      </c>
      <c r="T16" s="1778">
        <v>0</v>
      </c>
      <c r="U16" s="1778">
        <v>0</v>
      </c>
      <c r="V16" s="1778">
        <v>0</v>
      </c>
      <c r="W16" s="1087"/>
    </row>
    <row r="17" spans="1:23" ht="12.75" x14ac:dyDescent="0.2">
      <c r="A17" s="1085">
        <f>A16+1</f>
        <v>3</v>
      </c>
      <c r="B17" s="1087"/>
      <c r="C17" s="1097" t="s">
        <v>21</v>
      </c>
      <c r="D17" s="1097" t="s">
        <v>22</v>
      </c>
      <c r="E17" s="1097">
        <f>+E15-E16</f>
        <v>14177417.269280814</v>
      </c>
      <c r="F17" s="1097"/>
      <c r="G17" s="1097">
        <f>I17-E17</f>
        <v>-14285851.916275831</v>
      </c>
      <c r="H17" s="1097"/>
      <c r="I17" s="1097">
        <f>+I15-I16</f>
        <v>-108434.64699501731</v>
      </c>
      <c r="J17" s="1097"/>
      <c r="K17" s="1097">
        <f>M17-I17</f>
        <v>-1022724</v>
      </c>
      <c r="L17" s="1097"/>
      <c r="M17" s="1097">
        <f>+M15-M16</f>
        <v>-1131158.6469950173</v>
      </c>
      <c r="O17" s="1775">
        <v>18284210</v>
      </c>
      <c r="P17" s="1775">
        <v>12641672</v>
      </c>
      <c r="Q17" s="1775">
        <v>5642538</v>
      </c>
      <c r="R17" s="1775">
        <v>10096416</v>
      </c>
      <c r="S17" s="1775">
        <v>19352000</v>
      </c>
      <c r="T17" s="1776">
        <v>12901333.333333334</v>
      </c>
      <c r="U17" s="1776">
        <v>2804917.333333334</v>
      </c>
      <c r="V17" s="1776">
        <v>18543871.333333336</v>
      </c>
      <c r="W17" s="1087"/>
    </row>
    <row r="18" spans="1:23" ht="12.75" x14ac:dyDescent="0.2">
      <c r="A18" s="1085"/>
      <c r="B18" s="1087"/>
      <c r="C18" s="1097"/>
      <c r="D18" s="1097"/>
      <c r="E18" s="1097"/>
      <c r="F18" s="1097"/>
      <c r="G18" s="1097"/>
      <c r="H18" s="1097"/>
      <c r="I18" s="1097"/>
      <c r="J18" s="1097"/>
      <c r="K18" s="1097"/>
      <c r="L18" s="1097"/>
      <c r="M18" s="1097"/>
      <c r="O18" s="1775"/>
      <c r="P18" s="1775"/>
      <c r="Q18" s="1775"/>
      <c r="R18" s="1775"/>
      <c r="S18" s="1775"/>
      <c r="T18" s="1776"/>
      <c r="U18" s="1776"/>
      <c r="V18" s="1776"/>
      <c r="W18" s="1087"/>
    </row>
    <row r="19" spans="1:23" ht="12.75" x14ac:dyDescent="0.2">
      <c r="A19" s="1085">
        <f>A17+1</f>
        <v>4</v>
      </c>
      <c r="B19" s="1087"/>
      <c r="C19" s="1097" t="s">
        <v>23</v>
      </c>
      <c r="D19" s="1097" t="s">
        <v>24</v>
      </c>
      <c r="E19" s="1098">
        <f>E108</f>
        <v>-27506163.666666664</v>
      </c>
      <c r="F19" s="1097"/>
      <c r="G19" s="1098">
        <f>I19-E19</f>
        <v>27581060.666666664</v>
      </c>
      <c r="H19" s="1097"/>
      <c r="I19" s="1098">
        <f>I108</f>
        <v>74897</v>
      </c>
      <c r="J19" s="1392"/>
      <c r="K19" s="1098">
        <f>M19-I19</f>
        <v>0</v>
      </c>
      <c r="L19" s="1392"/>
      <c r="M19" s="1098">
        <f>M108</f>
        <v>74897</v>
      </c>
      <c r="O19" s="1777">
        <v>-22271564</v>
      </c>
      <c r="P19" s="1777">
        <v>-5811989</v>
      </c>
      <c r="Q19" s="1777">
        <v>-16459575</v>
      </c>
      <c r="R19" s="1777">
        <v>-5278283</v>
      </c>
      <c r="S19" s="1777">
        <v>-16569883</v>
      </c>
      <c r="T19" s="1778">
        <v>-11046588.666666668</v>
      </c>
      <c r="U19" s="1778">
        <v>-5768305.6666666679</v>
      </c>
      <c r="V19" s="1778">
        <v>-27506163.666666664</v>
      </c>
      <c r="W19" s="1087"/>
    </row>
    <row r="20" spans="1:23" ht="12.75" x14ac:dyDescent="0.2">
      <c r="A20" s="1085"/>
      <c r="B20" s="1087"/>
      <c r="C20" s="1097"/>
      <c r="D20" s="1097"/>
      <c r="E20" s="1097"/>
      <c r="F20" s="1097"/>
      <c r="G20" s="1097"/>
      <c r="H20" s="1097"/>
      <c r="I20" s="1097"/>
      <c r="J20" s="1097"/>
      <c r="K20" s="1097"/>
      <c r="L20" s="1097"/>
      <c r="M20" s="1097"/>
      <c r="O20" s="1775"/>
      <c r="P20" s="1775"/>
      <c r="Q20" s="1775"/>
      <c r="R20" s="1775"/>
      <c r="S20" s="1775"/>
      <c r="T20" s="1776"/>
      <c r="U20" s="1776"/>
      <c r="V20" s="1776"/>
      <c r="W20" s="1087"/>
    </row>
    <row r="21" spans="1:23" ht="12.75" x14ac:dyDescent="0.2">
      <c r="A21" s="1085">
        <f>A19+1</f>
        <v>5</v>
      </c>
      <c r="B21" s="1087"/>
      <c r="C21" s="1097" t="s">
        <v>25</v>
      </c>
      <c r="D21" s="1097" t="s">
        <v>26</v>
      </c>
      <c r="E21" s="1097">
        <f>+E17+E19</f>
        <v>-13328746.397385851</v>
      </c>
      <c r="F21" s="1097"/>
      <c r="G21" s="1097">
        <f>I21-E21</f>
        <v>13295208.750390833</v>
      </c>
      <c r="H21" s="1097"/>
      <c r="I21" s="1097">
        <f>+I17+I19</f>
        <v>-33537.646995017305</v>
      </c>
      <c r="J21" s="1097"/>
      <c r="K21" s="1097">
        <f>M21-I21</f>
        <v>-1022724</v>
      </c>
      <c r="L21" s="1097"/>
      <c r="M21" s="1097">
        <f>+M17+M19</f>
        <v>-1056261.6469950173</v>
      </c>
      <c r="O21" s="1775">
        <v>-3987354</v>
      </c>
      <c r="P21" s="1775">
        <v>6829683</v>
      </c>
      <c r="Q21" s="1775">
        <v>-10817037</v>
      </c>
      <c r="R21" s="1775">
        <v>4818133</v>
      </c>
      <c r="S21" s="1775">
        <v>2782117</v>
      </c>
      <c r="T21" s="1776">
        <v>1854744.666666666</v>
      </c>
      <c r="U21" s="1776">
        <v>-2963388.333333334</v>
      </c>
      <c r="V21" s="1776">
        <v>-8962292.3333333284</v>
      </c>
      <c r="W21" s="1087"/>
    </row>
    <row r="22" spans="1:23" ht="12.75" x14ac:dyDescent="0.2">
      <c r="A22" s="1085"/>
      <c r="B22" s="1087"/>
      <c r="C22" s="1097"/>
      <c r="D22" s="1097"/>
      <c r="E22" s="1097"/>
      <c r="F22" s="1097"/>
      <c r="G22" s="1097"/>
      <c r="H22" s="1097"/>
      <c r="I22" s="1097"/>
      <c r="J22" s="1097"/>
      <c r="K22" s="1097"/>
      <c r="L22" s="1097"/>
      <c r="M22" s="1097"/>
      <c r="O22" s="1775"/>
      <c r="P22" s="1775"/>
      <c r="Q22" s="1775"/>
      <c r="R22" s="1775"/>
      <c r="S22" s="1775"/>
      <c r="T22" s="1776"/>
      <c r="U22" s="1776"/>
      <c r="V22" s="1776"/>
      <c r="W22" s="1087"/>
    </row>
    <row r="23" spans="1:23" ht="12.75" x14ac:dyDescent="0.2">
      <c r="A23" s="1085">
        <f>A21+1</f>
        <v>6</v>
      </c>
      <c r="B23" s="1087"/>
      <c r="C23" s="1097" t="s">
        <v>27</v>
      </c>
      <c r="D23" s="1097" t="s">
        <v>28</v>
      </c>
      <c r="E23" s="1094">
        <f>(E21-0)*0.06</f>
        <v>-799724.78384315106</v>
      </c>
      <c r="F23" s="1097"/>
      <c r="G23" s="1097">
        <f>I23-E23</f>
        <v>797712.52502345003</v>
      </c>
      <c r="H23" s="1097"/>
      <c r="I23" s="1097">
        <f>((+I21-0)*0.06)</f>
        <v>-2012.2588197010382</v>
      </c>
      <c r="J23" s="1097"/>
      <c r="K23" s="1097">
        <f>M23-I23</f>
        <v>-61363.439999999995</v>
      </c>
      <c r="L23" s="1097"/>
      <c r="M23" s="1097">
        <f>((+M21-0)*0.06)</f>
        <v>-63375.698819701036</v>
      </c>
      <c r="O23" s="1775">
        <v>-239241.24</v>
      </c>
      <c r="P23" s="1775">
        <v>409780.98</v>
      </c>
      <c r="Q23" s="1775">
        <v>-650522.22</v>
      </c>
      <c r="R23" s="1775">
        <v>289087.98</v>
      </c>
      <c r="S23" s="1775">
        <v>166927.01999999999</v>
      </c>
      <c r="T23" s="1775">
        <v>111284.67999999996</v>
      </c>
      <c r="U23" s="1776">
        <v>-177803.30000000002</v>
      </c>
      <c r="V23" s="1776">
        <v>-539237.54</v>
      </c>
      <c r="W23" s="1087"/>
    </row>
    <row r="24" spans="1:23" ht="12.75" x14ac:dyDescent="0.2">
      <c r="A24" s="1085">
        <f>A23+1</f>
        <v>7</v>
      </c>
      <c r="B24" s="1087"/>
      <c r="C24" s="1097" t="s">
        <v>29</v>
      </c>
      <c r="D24" s="1097"/>
      <c r="E24" s="1095">
        <f>V24</f>
        <v>821571.41999999993</v>
      </c>
      <c r="F24" s="1097"/>
      <c r="G24" s="1098">
        <f>I24-E24</f>
        <v>-821571.41999999993</v>
      </c>
      <c r="H24" s="1097"/>
      <c r="I24" s="1095">
        <v>0</v>
      </c>
      <c r="J24" s="1391"/>
      <c r="K24" s="1098">
        <f>M24-I24</f>
        <v>0</v>
      </c>
      <c r="L24" s="1391"/>
      <c r="M24" s="1095">
        <v>0</v>
      </c>
      <c r="O24" s="1777">
        <v>483225.89999999997</v>
      </c>
      <c r="P24" s="1777">
        <v>-123772.51999999999</v>
      </c>
      <c r="Q24" s="1777">
        <v>606998.41999999993</v>
      </c>
      <c r="R24" s="1777">
        <v>53621.759999999995</v>
      </c>
      <c r="S24" s="1777">
        <v>321859.5</v>
      </c>
      <c r="T24" s="1777">
        <v>214572.99999999997</v>
      </c>
      <c r="U24" s="1778">
        <v>160951.24</v>
      </c>
      <c r="V24" s="1778">
        <v>821571.41999999993</v>
      </c>
      <c r="W24" s="1087"/>
    </row>
    <row r="25" spans="1:23" ht="12.75" x14ac:dyDescent="0.2">
      <c r="A25" s="1085">
        <f>A24+1</f>
        <v>8</v>
      </c>
      <c r="B25" s="1087"/>
      <c r="C25" s="1097" t="s">
        <v>30</v>
      </c>
      <c r="D25" s="1097" t="s">
        <v>31</v>
      </c>
      <c r="E25" s="1097">
        <f>+E23+E24</f>
        <v>21846.636156848865</v>
      </c>
      <c r="F25" s="1097"/>
      <c r="G25" s="1097">
        <f>I25-E25</f>
        <v>-23858.894976549902</v>
      </c>
      <c r="H25" s="1097"/>
      <c r="I25" s="1097">
        <f>+I23+I24</f>
        <v>-2012.2588197010382</v>
      </c>
      <c r="J25" s="1097"/>
      <c r="K25" s="1097">
        <f>M25-I25</f>
        <v>-61363.439999999995</v>
      </c>
      <c r="L25" s="1097"/>
      <c r="M25" s="1097">
        <f>+M23+M24</f>
        <v>-63375.698819701036</v>
      </c>
      <c r="O25" s="1775">
        <v>243984.65999999997</v>
      </c>
      <c r="P25" s="1775">
        <v>286008.45999999996</v>
      </c>
      <c r="Q25" s="1775">
        <v>-43523.800000000047</v>
      </c>
      <c r="R25" s="1775">
        <v>342709.74</v>
      </c>
      <c r="S25" s="1775">
        <v>488786.52</v>
      </c>
      <c r="T25" s="1776">
        <v>325857.67999999993</v>
      </c>
      <c r="U25" s="1776">
        <v>-16852.060000000027</v>
      </c>
      <c r="V25" s="1776">
        <v>282333.87999999989</v>
      </c>
      <c r="W25" s="1087"/>
    </row>
    <row r="26" spans="1:23" ht="12.75" x14ac:dyDescent="0.2">
      <c r="A26" s="1085"/>
      <c r="B26" s="1087"/>
      <c r="C26" s="1097"/>
      <c r="D26" s="1097"/>
      <c r="E26" s="1097"/>
      <c r="F26" s="1097"/>
      <c r="G26" s="1097"/>
      <c r="H26" s="1097"/>
      <c r="I26" s="1097"/>
      <c r="J26" s="1097"/>
      <c r="K26" s="1097"/>
      <c r="L26" s="1097"/>
      <c r="M26" s="1097"/>
      <c r="O26" s="1775"/>
      <c r="P26" s="1775"/>
      <c r="Q26" s="1775"/>
      <c r="R26" s="1775"/>
      <c r="S26" s="1775"/>
      <c r="T26" s="1776"/>
      <c r="U26" s="1776"/>
      <c r="V26" s="1776"/>
      <c r="W26" s="1087"/>
    </row>
    <row r="27" spans="1:23" ht="12.75" x14ac:dyDescent="0.2">
      <c r="A27" s="1085">
        <f>A25+1</f>
        <v>9</v>
      </c>
      <c r="B27" s="1087"/>
      <c r="C27" s="1097" t="s">
        <v>32</v>
      </c>
      <c r="D27" s="1097" t="s">
        <v>33</v>
      </c>
      <c r="E27" s="1097">
        <f>+E21-E25</f>
        <v>-13350593.0335427</v>
      </c>
      <c r="F27" s="1097"/>
      <c r="G27" s="1097">
        <f>I27-E27</f>
        <v>13319067.645367384</v>
      </c>
      <c r="H27" s="1097"/>
      <c r="I27" s="1097">
        <f>+I21-I25</f>
        <v>-31525.388175316268</v>
      </c>
      <c r="J27" s="1097"/>
      <c r="K27" s="1097">
        <f>M27-I27</f>
        <v>-961360.55999999994</v>
      </c>
      <c r="L27" s="1097"/>
      <c r="M27" s="1097">
        <f>+M21-M25</f>
        <v>-992885.94817531621</v>
      </c>
      <c r="O27" s="1775">
        <v>-4231338.66</v>
      </c>
      <c r="P27" s="1775">
        <v>6543674.54</v>
      </c>
      <c r="Q27" s="1775">
        <v>-10773513.199999999</v>
      </c>
      <c r="R27" s="1775">
        <v>4475423.26</v>
      </c>
      <c r="S27" s="1775">
        <v>2293330.48</v>
      </c>
      <c r="T27" s="1776">
        <v>1528886.9866666661</v>
      </c>
      <c r="U27" s="1776">
        <v>-2946536.2733333334</v>
      </c>
      <c r="V27" s="1776">
        <v>-9244626.2133333329</v>
      </c>
      <c r="W27" s="1087"/>
    </row>
    <row r="28" spans="1:23" ht="12.75" x14ac:dyDescent="0.2">
      <c r="A28" s="1085"/>
      <c r="B28" s="1087"/>
      <c r="C28" s="1097"/>
      <c r="D28" s="1097"/>
      <c r="E28" s="1097"/>
      <c r="F28" s="1097"/>
      <c r="G28" s="1097"/>
      <c r="H28" s="1097"/>
      <c r="I28" s="1097"/>
      <c r="J28" s="1097"/>
      <c r="K28" s="1097"/>
      <c r="L28" s="1097"/>
      <c r="M28" s="1097"/>
      <c r="O28" s="1776"/>
      <c r="P28" s="1776"/>
      <c r="Q28" s="1776"/>
      <c r="R28" s="1776"/>
      <c r="S28" s="1776"/>
      <c r="T28" s="1776"/>
      <c r="U28" s="1776"/>
      <c r="V28" s="1776"/>
      <c r="W28" s="1087"/>
    </row>
    <row r="29" spans="1:23" ht="12.75" x14ac:dyDescent="0.2">
      <c r="A29" s="1085">
        <f>A27+1</f>
        <v>10</v>
      </c>
      <c r="B29" s="1087"/>
      <c r="C29" s="1097" t="s">
        <v>1870</v>
      </c>
      <c r="D29" s="1097"/>
      <c r="E29" s="1097">
        <v>0</v>
      </c>
      <c r="F29" s="1097"/>
      <c r="G29" s="1097"/>
      <c r="H29" s="1097"/>
      <c r="I29" s="1097">
        <v>0</v>
      </c>
      <c r="J29" s="1097"/>
      <c r="K29" s="1097"/>
      <c r="L29" s="1097"/>
      <c r="M29" s="1097">
        <v>0</v>
      </c>
      <c r="O29" s="1776"/>
      <c r="P29" s="1776"/>
      <c r="Q29" s="1776"/>
      <c r="R29" s="1776"/>
      <c r="S29" s="1776"/>
      <c r="T29" s="1776"/>
      <c r="U29" s="1776"/>
      <c r="V29" s="1776"/>
      <c r="W29" s="1087"/>
    </row>
    <row r="30" spans="1:23" ht="12.75" x14ac:dyDescent="0.2">
      <c r="A30" s="1085"/>
      <c r="B30" s="1087"/>
      <c r="C30" s="1097"/>
      <c r="D30" s="1097"/>
      <c r="E30" s="1097"/>
      <c r="F30" s="1097"/>
      <c r="G30" s="1097"/>
      <c r="H30" s="1097"/>
      <c r="I30" s="1097"/>
      <c r="J30" s="1097"/>
      <c r="K30" s="1097"/>
      <c r="L30" s="1097"/>
      <c r="M30" s="1097"/>
      <c r="O30" s="1776"/>
      <c r="P30" s="1776"/>
      <c r="Q30" s="1776"/>
      <c r="R30" s="1776"/>
      <c r="S30" s="1776"/>
      <c r="T30" s="1776"/>
      <c r="U30" s="1776"/>
      <c r="V30" s="1776"/>
      <c r="W30" s="1087"/>
    </row>
    <row r="31" spans="1:23" ht="12.75" x14ac:dyDescent="0.2">
      <c r="A31" s="1085">
        <f>A29+1</f>
        <v>11</v>
      </c>
      <c r="B31" s="1087"/>
      <c r="C31" s="1097" t="s">
        <v>34</v>
      </c>
      <c r="D31" s="1097" t="s">
        <v>35</v>
      </c>
      <c r="E31" s="1097">
        <f>IF(E27&gt;10000000,((+E27-10000000)*0.35)+(10000000*0.34),E27*0.34)</f>
        <v>-4539201.6314045181</v>
      </c>
      <c r="F31" s="1097"/>
      <c r="G31" s="1097">
        <f>I31-E31</f>
        <v>4528482.9994249102</v>
      </c>
      <c r="H31" s="1097"/>
      <c r="I31" s="1097">
        <f>IF(I27&gt;10000000,((+I27-10000000)*0.35)+(10000000*0.34),I27*0.34)</f>
        <v>-10718.631979607531</v>
      </c>
      <c r="J31" s="1097"/>
      <c r="K31" s="1097">
        <f>M31-I31</f>
        <v>-326862.59040000004</v>
      </c>
      <c r="L31" s="1097"/>
      <c r="M31" s="1097">
        <f>IF(M27&gt;10000000,((+M27-10000000)*0.35)+(10000000*0.34),M27*0.34)</f>
        <v>-337581.22237960756</v>
      </c>
      <c r="O31" s="1776">
        <v>-1438655.1444000001</v>
      </c>
      <c r="P31" s="1776">
        <v>2224849.3436000003</v>
      </c>
      <c r="Q31" s="1776">
        <v>-3662994.4879999999</v>
      </c>
      <c r="R31" s="1776">
        <v>1521643.9084000001</v>
      </c>
      <c r="S31" s="1776">
        <v>779732.36320000002</v>
      </c>
      <c r="T31" s="1776">
        <v>519821.57546666649</v>
      </c>
      <c r="U31" s="1776">
        <v>-1001822.3329333336</v>
      </c>
      <c r="V31" s="1776">
        <v>-3143172.9125333335</v>
      </c>
      <c r="W31" s="1087"/>
    </row>
    <row r="32" spans="1:23" ht="12.75" x14ac:dyDescent="0.2">
      <c r="A32" s="1085"/>
      <c r="B32" s="1087"/>
      <c r="C32" s="1097"/>
      <c r="D32" s="1097"/>
      <c r="E32" s="1097"/>
      <c r="F32" s="1097"/>
      <c r="G32" s="1097"/>
      <c r="H32" s="1097"/>
      <c r="I32" s="1097"/>
      <c r="J32" s="1097"/>
      <c r="K32" s="1097"/>
      <c r="L32" s="1097"/>
      <c r="M32" s="1097"/>
      <c r="O32" s="1776"/>
      <c r="P32" s="1776"/>
      <c r="Q32" s="1776"/>
      <c r="R32" s="1776"/>
      <c r="S32" s="1776"/>
      <c r="T32" s="1776"/>
      <c r="U32" s="1776"/>
      <c r="V32" s="1776"/>
      <c r="W32" s="1087"/>
    </row>
    <row r="33" spans="1:23" ht="12.75" x14ac:dyDescent="0.2">
      <c r="A33" s="1085">
        <f>A31+1</f>
        <v>12</v>
      </c>
      <c r="B33" s="1087"/>
      <c r="C33" s="1097" t="s">
        <v>36</v>
      </c>
      <c r="D33" s="1097"/>
      <c r="E33" s="1094">
        <f>V33</f>
        <v>0</v>
      </c>
      <c r="F33" s="1097"/>
      <c r="G33" s="1097">
        <f>I33-E33</f>
        <v>0</v>
      </c>
      <c r="H33" s="1097"/>
      <c r="I33" s="1094">
        <v>0</v>
      </c>
      <c r="J33" s="1094"/>
      <c r="K33" s="1097">
        <f>M33-I33</f>
        <v>0</v>
      </c>
      <c r="L33" s="1094"/>
      <c r="M33" s="1094">
        <v>0</v>
      </c>
      <c r="O33" s="1775">
        <v>-1577908</v>
      </c>
      <c r="P33" s="1775">
        <v>-1577908</v>
      </c>
      <c r="Q33" s="1775">
        <v>0</v>
      </c>
      <c r="R33" s="1775">
        <v>0</v>
      </c>
      <c r="S33" s="1775">
        <v>0</v>
      </c>
      <c r="T33" s="1776">
        <v>0</v>
      </c>
      <c r="U33" s="1776">
        <v>0</v>
      </c>
      <c r="V33" s="1776">
        <v>0</v>
      </c>
      <c r="W33" s="1087"/>
    </row>
    <row r="34" spans="1:23" ht="12.75" x14ac:dyDescent="0.2">
      <c r="A34" s="1085">
        <f>A33+1</f>
        <v>13</v>
      </c>
      <c r="B34" s="1087"/>
      <c r="C34" s="1097" t="s">
        <v>37</v>
      </c>
      <c r="D34" s="1097"/>
      <c r="E34" s="1095">
        <f>V34</f>
        <v>-92461.26999999999</v>
      </c>
      <c r="F34" s="1097"/>
      <c r="G34" s="1098">
        <f>I34-E34</f>
        <v>92461.26999999999</v>
      </c>
      <c r="H34" s="1097"/>
      <c r="I34" s="1095">
        <v>0</v>
      </c>
      <c r="J34" s="1391"/>
      <c r="K34" s="1098">
        <f>M34-I34</f>
        <v>0</v>
      </c>
      <c r="L34" s="1391"/>
      <c r="M34" s="1095">
        <v>0</v>
      </c>
      <c r="O34" s="1777">
        <v>-42313.39</v>
      </c>
      <c r="P34" s="1777">
        <v>65436.75</v>
      </c>
      <c r="Q34" s="1777">
        <v>-107750.14</v>
      </c>
      <c r="R34" s="1777">
        <v>44754</v>
      </c>
      <c r="S34" s="1777">
        <v>22933.31</v>
      </c>
      <c r="T34" s="1777">
        <v>15288.87</v>
      </c>
      <c r="U34" s="1778">
        <v>-29465.129999999997</v>
      </c>
      <c r="V34" s="1778">
        <v>-92461.26999999999</v>
      </c>
      <c r="W34" s="1087"/>
    </row>
    <row r="35" spans="1:23" ht="12.75" x14ac:dyDescent="0.2">
      <c r="A35" s="1085"/>
      <c r="B35" s="1087"/>
      <c r="C35" s="1097"/>
      <c r="D35" s="1097"/>
      <c r="E35" s="1097"/>
      <c r="F35" s="1097"/>
      <c r="G35" s="1097"/>
      <c r="H35" s="1097"/>
      <c r="I35" s="1097"/>
      <c r="J35" s="1097"/>
      <c r="K35" s="1097"/>
      <c r="L35" s="1097"/>
      <c r="M35" s="1097"/>
      <c r="O35" s="1775"/>
      <c r="P35" s="1775"/>
      <c r="Q35" s="1775"/>
      <c r="R35" s="1775"/>
      <c r="S35" s="1775"/>
      <c r="T35" s="1776"/>
      <c r="U35" s="1776"/>
      <c r="V35" s="1776"/>
      <c r="W35" s="1087"/>
    </row>
    <row r="36" spans="1:23" ht="12.75" x14ac:dyDescent="0.2">
      <c r="A36" s="1085">
        <f>A34+1</f>
        <v>14</v>
      </c>
      <c r="B36" s="1087"/>
      <c r="C36" s="1097" t="s">
        <v>38</v>
      </c>
      <c r="D36" s="1097" t="s">
        <v>39</v>
      </c>
      <c r="E36" s="1392">
        <f>E31+E33+E34</f>
        <v>-4631662.9014045177</v>
      </c>
      <c r="F36" s="1097"/>
      <c r="G36" s="1097">
        <f>I36-E36</f>
        <v>4620944.2694249097</v>
      </c>
      <c r="H36" s="1097"/>
      <c r="I36" s="1392">
        <f>I31+I33+I34</f>
        <v>-10718.631979607531</v>
      </c>
      <c r="J36" s="1392"/>
      <c r="K36" s="1097">
        <f>M36-I36</f>
        <v>-326862.59040000004</v>
      </c>
      <c r="L36" s="1392"/>
      <c r="M36" s="1392">
        <f>M31+M33+M34</f>
        <v>-337581.22237960756</v>
      </c>
      <c r="O36" s="1779">
        <v>-3058876.5344000002</v>
      </c>
      <c r="P36" s="1779">
        <v>712378.09360000025</v>
      </c>
      <c r="Q36" s="1775">
        <v>-3771254.6280000005</v>
      </c>
      <c r="R36" s="1779">
        <v>1566397.9084000001</v>
      </c>
      <c r="S36" s="1779">
        <v>802665.67320000008</v>
      </c>
      <c r="T36" s="1780">
        <v>535110.44546666648</v>
      </c>
      <c r="U36" s="1776">
        <v>-1031287.4629333336</v>
      </c>
      <c r="V36" s="1776">
        <v>-3236144.182533334</v>
      </c>
      <c r="W36" s="1087"/>
    </row>
    <row r="37" spans="1:23" ht="12.75" x14ac:dyDescent="0.2">
      <c r="A37" s="1085">
        <f>A36+1</f>
        <v>15</v>
      </c>
      <c r="B37" s="1087"/>
      <c r="C37" s="1097" t="s">
        <v>40</v>
      </c>
      <c r="D37" s="1097"/>
      <c r="E37" s="1095">
        <f>V37</f>
        <v>283833.87999999995</v>
      </c>
      <c r="F37" s="1097"/>
      <c r="G37" s="1098">
        <f>I37-E37</f>
        <v>-285846.13881970098</v>
      </c>
      <c r="H37" s="1097"/>
      <c r="I37" s="1098">
        <f>+I25</f>
        <v>-2012.2588197010382</v>
      </c>
      <c r="J37" s="1392"/>
      <c r="K37" s="1098">
        <f>M37-I37</f>
        <v>-61363.439999999995</v>
      </c>
      <c r="L37" s="1392"/>
      <c r="M37" s="1098">
        <f>+M25</f>
        <v>-63375.698819701036</v>
      </c>
      <c r="O37" s="1777">
        <v>243984.65999999997</v>
      </c>
      <c r="P37" s="1777">
        <v>286008.45999999996</v>
      </c>
      <c r="Q37" s="1777">
        <v>-42023.799999999988</v>
      </c>
      <c r="R37" s="1777">
        <v>342709.74</v>
      </c>
      <c r="S37" s="1777">
        <v>488786.52</v>
      </c>
      <c r="T37" s="1778">
        <v>325857.67999999993</v>
      </c>
      <c r="U37" s="1778">
        <v>-16852.060000000056</v>
      </c>
      <c r="V37" s="1778">
        <v>283833.87999999995</v>
      </c>
      <c r="W37" s="1087"/>
    </row>
    <row r="38" spans="1:23" ht="12.75" x14ac:dyDescent="0.2">
      <c r="A38" s="1085">
        <f>A37+1</f>
        <v>16</v>
      </c>
      <c r="B38" s="1087"/>
      <c r="C38" s="1097" t="s">
        <v>41</v>
      </c>
      <c r="D38" s="1097" t="s">
        <v>42</v>
      </c>
      <c r="E38" s="1097">
        <f>+E36+E37</f>
        <v>-4347829.0214045178</v>
      </c>
      <c r="F38" s="1097"/>
      <c r="G38" s="1097">
        <f>I38-E38</f>
        <v>4335098.1306052096</v>
      </c>
      <c r="H38" s="1097"/>
      <c r="I38" s="1097">
        <f>+I36+I37</f>
        <v>-12730.89079930857</v>
      </c>
      <c r="J38" s="1097"/>
      <c r="K38" s="1097"/>
      <c r="L38" s="1097"/>
      <c r="M38" s="1097"/>
      <c r="O38" s="1775">
        <v>-2814891.8744000001</v>
      </c>
      <c r="P38" s="1775">
        <v>998386.55360000022</v>
      </c>
      <c r="Q38" s="1775">
        <v>-3813278.4280000003</v>
      </c>
      <c r="R38" s="1775">
        <v>1909107.6484000001</v>
      </c>
      <c r="S38" s="1775">
        <v>1291452.1932000001</v>
      </c>
      <c r="T38" s="1776">
        <v>860968.12546666642</v>
      </c>
      <c r="U38" s="1776">
        <v>-1048139.5229333336</v>
      </c>
      <c r="V38" s="1776">
        <v>-2952310.3025333341</v>
      </c>
      <c r="W38" s="1087"/>
    </row>
    <row r="39" spans="1:23" ht="12.75" x14ac:dyDescent="0.2">
      <c r="A39" s="1085"/>
      <c r="B39" s="1087"/>
      <c r="C39" s="1097"/>
      <c r="D39" s="1097"/>
      <c r="E39" s="1097"/>
      <c r="F39" s="1097"/>
      <c r="G39" s="1097"/>
      <c r="H39" s="1097"/>
      <c r="I39" s="1097"/>
      <c r="J39" s="1097"/>
      <c r="K39" s="1097"/>
      <c r="L39" s="1097"/>
      <c r="M39" s="1097"/>
      <c r="O39" s="1775"/>
      <c r="P39" s="1775"/>
      <c r="Q39" s="1775"/>
      <c r="R39" s="1775"/>
      <c r="S39" s="1775"/>
      <c r="T39" s="1776"/>
      <c r="U39" s="1776"/>
      <c r="V39" s="1776"/>
      <c r="W39" s="1087"/>
    </row>
    <row r="40" spans="1:23" ht="12.75" x14ac:dyDescent="0.2">
      <c r="A40" s="1085">
        <f>A38+1</f>
        <v>17</v>
      </c>
      <c r="B40" s="1087"/>
      <c r="C40" s="1097" t="s">
        <v>43</v>
      </c>
      <c r="D40" s="1097"/>
      <c r="E40" s="1094">
        <f>V40</f>
        <v>-53940.666666666664</v>
      </c>
      <c r="F40" s="1097"/>
      <c r="G40" s="1097">
        <f>I40-E40</f>
        <v>-585.33333333333576</v>
      </c>
      <c r="H40" s="1097"/>
      <c r="I40" s="1094">
        <v>-54526</v>
      </c>
      <c r="J40" s="1094"/>
      <c r="K40" s="1097">
        <f t="shared" ref="K40:K56" si="0">M40-I40</f>
        <v>0</v>
      </c>
      <c r="L40" s="1094"/>
      <c r="M40" s="1094">
        <f>I40</f>
        <v>-54526</v>
      </c>
      <c r="O40" s="1775">
        <v>-54526</v>
      </c>
      <c r="P40" s="1775">
        <v>-36936</v>
      </c>
      <c r="Q40" s="1775">
        <v>-17590</v>
      </c>
      <c r="R40" s="1775">
        <v>-9084</v>
      </c>
      <c r="S40" s="1775">
        <v>-54526</v>
      </c>
      <c r="T40" s="1776">
        <v>-36350.666666666664</v>
      </c>
      <c r="U40" s="1776">
        <v>-27266.666666666664</v>
      </c>
      <c r="V40" s="1776">
        <v>-53940.666666666664</v>
      </c>
      <c r="W40" s="1087"/>
    </row>
    <row r="41" spans="1:23" ht="12.75" x14ac:dyDescent="0.2">
      <c r="A41" s="1085">
        <f>A40+1</f>
        <v>18</v>
      </c>
      <c r="B41" s="1087"/>
      <c r="C41" s="1097" t="s">
        <v>44</v>
      </c>
      <c r="D41" s="1097"/>
      <c r="E41" s="1095">
        <f>V41</f>
        <v>9672100.333333334</v>
      </c>
      <c r="F41" s="1097"/>
      <c r="G41" s="1098">
        <f>I41-E41</f>
        <v>-9672100.333333334</v>
      </c>
      <c r="H41" s="1097"/>
      <c r="I41" s="1095">
        <v>0</v>
      </c>
      <c r="J41" s="1391"/>
      <c r="K41" s="1098">
        <f t="shared" si="0"/>
        <v>0</v>
      </c>
      <c r="L41" s="1391"/>
      <c r="M41" s="1095">
        <f>I41</f>
        <v>0</v>
      </c>
      <c r="O41" s="1777">
        <v>9346001</v>
      </c>
      <c r="P41" s="1777">
        <v>3413236</v>
      </c>
      <c r="Q41" s="1777">
        <v>5932765</v>
      </c>
      <c r="R41" s="1777">
        <v>1750743</v>
      </c>
      <c r="S41" s="1777">
        <v>5609003</v>
      </c>
      <c r="T41" s="1777">
        <v>3739335.3333333335</v>
      </c>
      <c r="U41" s="1778">
        <v>1988592.3333333335</v>
      </c>
      <c r="V41" s="1778">
        <v>9672100.333333334</v>
      </c>
      <c r="W41" s="1087"/>
    </row>
    <row r="42" spans="1:23" ht="12.75" x14ac:dyDescent="0.2">
      <c r="A42" s="1085">
        <f>A41+1</f>
        <v>19</v>
      </c>
      <c r="B42" s="1087"/>
      <c r="C42" s="1097" t="s">
        <v>45</v>
      </c>
      <c r="D42" s="1097" t="s">
        <v>46</v>
      </c>
      <c r="E42" s="1097">
        <f>SUM(E40:E41)</f>
        <v>9618159.6666666679</v>
      </c>
      <c r="F42" s="1097"/>
      <c r="G42" s="1097">
        <f>SUM(G40:G41)</f>
        <v>-9672685.6666666679</v>
      </c>
      <c r="H42" s="1097"/>
      <c r="I42" s="1097">
        <f>SUM(I40:I41)</f>
        <v>-54526</v>
      </c>
      <c r="J42" s="1097"/>
      <c r="K42" s="1097">
        <f t="shared" si="0"/>
        <v>0</v>
      </c>
      <c r="L42" s="1097"/>
      <c r="M42" s="1097">
        <f>SUM(M40:M41)</f>
        <v>-54526</v>
      </c>
      <c r="O42" s="1775">
        <v>9291475</v>
      </c>
      <c r="P42" s="1775">
        <v>3376300</v>
      </c>
      <c r="Q42" s="1775">
        <v>5915175</v>
      </c>
      <c r="R42" s="1775">
        <v>1741659</v>
      </c>
      <c r="S42" s="1775">
        <v>5554477</v>
      </c>
      <c r="T42" s="1776">
        <v>3702984.666666667</v>
      </c>
      <c r="U42" s="1776">
        <v>1961325.6666666667</v>
      </c>
      <c r="V42" s="1776">
        <v>9618159.6666666679</v>
      </c>
      <c r="W42" s="1087"/>
    </row>
    <row r="43" spans="1:23" ht="12.75" x14ac:dyDescent="0.2">
      <c r="A43" s="1085"/>
      <c r="B43" s="1087"/>
      <c r="C43" s="1097"/>
      <c r="D43" s="1097"/>
      <c r="E43" s="1094"/>
      <c r="F43" s="1097"/>
      <c r="G43" s="1097"/>
      <c r="H43" s="1097"/>
      <c r="I43" s="1097"/>
      <c r="J43" s="1097"/>
      <c r="K43" s="1097"/>
      <c r="L43" s="1097"/>
      <c r="M43" s="1097"/>
      <c r="O43" s="1775"/>
      <c r="P43" s="1775"/>
      <c r="Q43" s="1775"/>
      <c r="R43" s="1775"/>
      <c r="S43" s="1775"/>
      <c r="T43" s="1776"/>
      <c r="U43" s="1776"/>
      <c r="V43" s="1776"/>
      <c r="W43" s="1087"/>
    </row>
    <row r="44" spans="1:23" ht="12.75" x14ac:dyDescent="0.2">
      <c r="A44" s="1085">
        <f>A42+1</f>
        <v>20</v>
      </c>
      <c r="B44" s="1087"/>
      <c r="C44" s="1097" t="s">
        <v>47</v>
      </c>
      <c r="D44" s="1097"/>
      <c r="E44" s="1094">
        <f>V44</f>
        <v>-47805.666666666664</v>
      </c>
      <c r="F44" s="1097"/>
      <c r="G44" s="1097">
        <f>I44-E44</f>
        <v>30797.666666666664</v>
      </c>
      <c r="H44" s="1097"/>
      <c r="I44" s="1094">
        <v>-17008</v>
      </c>
      <c r="J44" s="1094"/>
      <c r="K44" s="1097">
        <f t="shared" si="0"/>
        <v>0</v>
      </c>
      <c r="L44" s="1094"/>
      <c r="M44" s="1094">
        <f>I44</f>
        <v>-17008</v>
      </c>
      <c r="O44" s="1775">
        <v>-46754</v>
      </c>
      <c r="P44" s="1775">
        <v>-10287</v>
      </c>
      <c r="Q44" s="1775">
        <v>-36467</v>
      </c>
      <c r="R44" s="1775">
        <v>-2834</v>
      </c>
      <c r="S44" s="1775">
        <v>-17008</v>
      </c>
      <c r="T44" s="1776">
        <v>-11338.666666666666</v>
      </c>
      <c r="U44" s="1776">
        <v>-8504.6666666666661</v>
      </c>
      <c r="V44" s="1776">
        <v>-47805.666666666664</v>
      </c>
      <c r="W44" s="1087"/>
    </row>
    <row r="45" spans="1:23" ht="12.75" x14ac:dyDescent="0.2">
      <c r="A45" s="1085">
        <f>A44+1</f>
        <v>21</v>
      </c>
      <c r="B45" s="1087"/>
      <c r="C45" s="1097" t="s">
        <v>48</v>
      </c>
      <c r="D45" s="1097"/>
      <c r="E45" s="1095">
        <f>V45</f>
        <v>834473.94</v>
      </c>
      <c r="F45" s="1097"/>
      <c r="G45" s="1098">
        <f>I45-E45</f>
        <v>-834473.94</v>
      </c>
      <c r="H45" s="1097"/>
      <c r="I45" s="1095">
        <v>0</v>
      </c>
      <c r="J45" s="1391"/>
      <c r="K45" s="1098">
        <f t="shared" si="0"/>
        <v>0</v>
      </c>
      <c r="L45" s="1391"/>
      <c r="M45" s="1095">
        <f>I45</f>
        <v>0</v>
      </c>
      <c r="O45" s="1777">
        <v>812510.94</v>
      </c>
      <c r="P45" s="1777">
        <v>431585</v>
      </c>
      <c r="Q45" s="1777">
        <v>380925.93999999994</v>
      </c>
      <c r="R45" s="1777">
        <v>262190</v>
      </c>
      <c r="S45" s="1777">
        <v>680322</v>
      </c>
      <c r="T45" s="1777">
        <v>453548</v>
      </c>
      <c r="U45" s="1778">
        <v>191358</v>
      </c>
      <c r="V45" s="1778">
        <v>834473.94</v>
      </c>
      <c r="W45" s="1087"/>
    </row>
    <row r="46" spans="1:23" ht="12.75" x14ac:dyDescent="0.2">
      <c r="A46" s="1085">
        <f>A45+1</f>
        <v>22</v>
      </c>
      <c r="B46" s="1087"/>
      <c r="C46" s="1097" t="s">
        <v>49</v>
      </c>
      <c r="D46" s="1097" t="s">
        <v>50</v>
      </c>
      <c r="E46" s="1392">
        <f>SUM(E44:E45)</f>
        <v>786668.27333333332</v>
      </c>
      <c r="F46" s="1097"/>
      <c r="G46" s="1392">
        <f>SUM(G44:G45)</f>
        <v>-803676.27333333332</v>
      </c>
      <c r="H46" s="1097"/>
      <c r="I46" s="1392">
        <f>SUM(I44:I45)</f>
        <v>-17008</v>
      </c>
      <c r="J46" s="1392"/>
      <c r="K46" s="1097">
        <f t="shared" si="0"/>
        <v>0</v>
      </c>
      <c r="L46" s="1392"/>
      <c r="M46" s="1392">
        <f>SUM(M44:M45)</f>
        <v>-17008</v>
      </c>
      <c r="O46" s="1779">
        <v>765756.94</v>
      </c>
      <c r="P46" s="1779">
        <v>421298</v>
      </c>
      <c r="Q46" s="1779">
        <v>344458.93999999994</v>
      </c>
      <c r="R46" s="1779">
        <v>259356</v>
      </c>
      <c r="S46" s="1779">
        <v>663314</v>
      </c>
      <c r="T46" s="1780">
        <v>442209.33333333331</v>
      </c>
      <c r="U46" s="1780">
        <v>182853.33333333334</v>
      </c>
      <c r="V46" s="1780">
        <v>786668.27333333332</v>
      </c>
      <c r="W46" s="1087"/>
    </row>
    <row r="47" spans="1:23" ht="12.75" x14ac:dyDescent="0.2">
      <c r="A47" s="1085"/>
      <c r="B47" s="1087"/>
      <c r="C47" s="1097"/>
      <c r="D47" s="1097"/>
      <c r="E47" s="1391"/>
      <c r="F47" s="1097"/>
      <c r="G47" s="1392"/>
      <c r="H47" s="1097"/>
      <c r="I47" s="1392"/>
      <c r="J47" s="1392"/>
      <c r="K47" s="1392"/>
      <c r="L47" s="1392"/>
      <c r="M47" s="1392"/>
      <c r="O47" s="1775"/>
      <c r="P47" s="1775"/>
      <c r="Q47" s="1775"/>
      <c r="R47" s="1775"/>
      <c r="S47" s="1775"/>
      <c r="T47" s="1776"/>
      <c r="U47" s="1776"/>
      <c r="V47" s="1776"/>
      <c r="W47" s="1087"/>
    </row>
    <row r="48" spans="1:23" ht="12.75" x14ac:dyDescent="0.2">
      <c r="A48" s="1085">
        <f>A46+1</f>
        <v>23</v>
      </c>
      <c r="B48" s="1087"/>
      <c r="C48" s="1097" t="s">
        <v>51</v>
      </c>
      <c r="D48" s="1097" t="s">
        <v>52</v>
      </c>
      <c r="E48" s="1097">
        <f>E42+E46</f>
        <v>10404827.940000001</v>
      </c>
      <c r="F48" s="1097"/>
      <c r="G48" s="1392">
        <f>I48-E48</f>
        <v>-10476361.940000001</v>
      </c>
      <c r="H48" s="1097"/>
      <c r="I48" s="1097">
        <f>I42+I46</f>
        <v>-71534</v>
      </c>
      <c r="J48" s="1097"/>
      <c r="K48" s="1097">
        <f t="shared" si="0"/>
        <v>0</v>
      </c>
      <c r="L48" s="1097"/>
      <c r="M48" s="1097">
        <f>M42+M46</f>
        <v>-71534</v>
      </c>
      <c r="O48" s="1775">
        <v>10057231.939999999</v>
      </c>
      <c r="P48" s="1775">
        <v>3797598</v>
      </c>
      <c r="Q48" s="1775">
        <v>6259633.9399999995</v>
      </c>
      <c r="R48" s="1775">
        <v>2001015</v>
      </c>
      <c r="S48" s="1775">
        <v>6217791</v>
      </c>
      <c r="T48" s="1776">
        <v>4145194.0000000005</v>
      </c>
      <c r="U48" s="1776">
        <v>2144179</v>
      </c>
      <c r="V48" s="1776">
        <v>10404827.940000001</v>
      </c>
      <c r="W48" s="1087"/>
    </row>
    <row r="49" spans="1:23" ht="12.75" x14ac:dyDescent="0.2">
      <c r="A49" s="1085"/>
      <c r="B49" s="1087"/>
      <c r="C49" s="1097"/>
      <c r="D49" s="1097"/>
      <c r="E49" s="1097"/>
      <c r="F49" s="1097"/>
      <c r="G49" s="1097"/>
      <c r="H49" s="1097"/>
      <c r="I49" s="1097"/>
      <c r="J49" s="1097"/>
      <c r="K49" s="1097"/>
      <c r="L49" s="1097"/>
      <c r="M49" s="1097"/>
      <c r="O49" s="1775"/>
      <c r="P49" s="1775"/>
      <c r="Q49" s="1775"/>
      <c r="R49" s="1775"/>
      <c r="S49" s="1775"/>
      <c r="T49" s="1776"/>
      <c r="U49" s="1776"/>
      <c r="V49" s="1776"/>
      <c r="W49" s="1087"/>
    </row>
    <row r="50" spans="1:23" ht="12.75" x14ac:dyDescent="0.2">
      <c r="A50" s="1085">
        <f>A48+1</f>
        <v>24</v>
      </c>
      <c r="B50" s="1087"/>
      <c r="C50" s="1097" t="s">
        <v>53</v>
      </c>
      <c r="D50" s="1097" t="s">
        <v>54</v>
      </c>
      <c r="E50" s="1097">
        <f>E36+E42</f>
        <v>4986496.7652621502</v>
      </c>
      <c r="F50" s="1097"/>
      <c r="G50" s="1097">
        <f>I50-E50</f>
        <v>-5051741.3972417582</v>
      </c>
      <c r="H50" s="1097"/>
      <c r="I50" s="1097">
        <f>I36+I42</f>
        <v>-65244.631979607533</v>
      </c>
      <c r="J50" s="1097"/>
      <c r="K50" s="1097">
        <f t="shared" si="0"/>
        <v>-326862.59040000004</v>
      </c>
      <c r="L50" s="1097"/>
      <c r="M50" s="1097">
        <f>M36+M42</f>
        <v>-392107.22237960756</v>
      </c>
      <c r="O50" s="1775">
        <v>6232598.4655999998</v>
      </c>
      <c r="P50" s="1775">
        <v>4088678.0936000003</v>
      </c>
      <c r="Q50" s="1775">
        <v>2143920.3719999995</v>
      </c>
      <c r="R50" s="1775">
        <v>3308056.9084000001</v>
      </c>
      <c r="S50" s="1775">
        <v>6357142.6732000001</v>
      </c>
      <c r="T50" s="1776">
        <v>4238095.1121333335</v>
      </c>
      <c r="U50" s="1776">
        <v>930038.20373333339</v>
      </c>
      <c r="V50" s="1776">
        <v>6382015.484133333</v>
      </c>
      <c r="W50" s="1087"/>
    </row>
    <row r="51" spans="1:23" ht="12.75" x14ac:dyDescent="0.2">
      <c r="A51" s="1085">
        <f>A50+1</f>
        <v>25</v>
      </c>
      <c r="B51" s="1087"/>
      <c r="C51" s="1097" t="s">
        <v>55</v>
      </c>
      <c r="D51" s="1097"/>
      <c r="E51" s="1095">
        <f>V51</f>
        <v>-54497.333333333336</v>
      </c>
      <c r="F51" s="1097"/>
      <c r="G51" s="1098">
        <f>I51-E51</f>
        <v>18737.333333333336</v>
      </c>
      <c r="H51" s="1097"/>
      <c r="I51" s="1095">
        <v>-35760</v>
      </c>
      <c r="J51" s="1391"/>
      <c r="K51" s="1098">
        <f t="shared" si="0"/>
        <v>0</v>
      </c>
      <c r="L51" s="1391"/>
      <c r="M51" s="1095">
        <f>I51</f>
        <v>-35760</v>
      </c>
      <c r="O51" s="1777">
        <v>-66372</v>
      </c>
      <c r="P51" s="1777">
        <v>-46996</v>
      </c>
      <c r="Q51" s="1777">
        <v>-19376</v>
      </c>
      <c r="R51" s="1777">
        <v>-9698</v>
      </c>
      <c r="S51" s="1777">
        <v>-52682</v>
      </c>
      <c r="T51" s="1778">
        <v>-35121.333333333336</v>
      </c>
      <c r="U51" s="1778">
        <v>-25423.333333333336</v>
      </c>
      <c r="V51" s="1778">
        <v>-54497.333333333336</v>
      </c>
      <c r="W51" s="1087"/>
    </row>
    <row r="52" spans="1:23" ht="12.75" x14ac:dyDescent="0.2">
      <c r="A52" s="1085">
        <f>A51+1</f>
        <v>26</v>
      </c>
      <c r="B52" s="1087"/>
      <c r="C52" s="1097" t="s">
        <v>56</v>
      </c>
      <c r="D52" s="1097" t="s">
        <v>57</v>
      </c>
      <c r="E52" s="1097">
        <f>+E50+E51</f>
        <v>4931999.4319288172</v>
      </c>
      <c r="F52" s="1097"/>
      <c r="G52" s="1097">
        <f>I52-E52</f>
        <v>-5033004.0639084252</v>
      </c>
      <c r="H52" s="1097"/>
      <c r="I52" s="1097">
        <f>+I50+I51</f>
        <v>-101004.63197960754</v>
      </c>
      <c r="J52" s="1097"/>
      <c r="K52" s="1097">
        <f t="shared" si="0"/>
        <v>-326862.59039999999</v>
      </c>
      <c r="L52" s="1097"/>
      <c r="M52" s="1097">
        <f>+M50+M51</f>
        <v>-427867.22237960756</v>
      </c>
      <c r="O52" s="1775">
        <v>6166226.4655999998</v>
      </c>
      <c r="P52" s="1775">
        <v>4041682.0936000003</v>
      </c>
      <c r="Q52" s="1775">
        <v>2124544.3719999995</v>
      </c>
      <c r="R52" s="1775">
        <v>3298358.9084000001</v>
      </c>
      <c r="S52" s="1775">
        <v>6304460.6732000001</v>
      </c>
      <c r="T52" s="1776">
        <v>4202973.7788000004</v>
      </c>
      <c r="U52" s="1776">
        <v>904614.87040000001</v>
      </c>
      <c r="V52" s="1776">
        <v>6327518.1507999999</v>
      </c>
      <c r="W52" s="1087"/>
    </row>
    <row r="53" spans="1:23" ht="12.75" x14ac:dyDescent="0.2">
      <c r="A53" s="1085"/>
      <c r="B53" s="1087"/>
      <c r="C53" s="1097"/>
      <c r="D53" s="1097"/>
      <c r="E53" s="1097"/>
      <c r="F53" s="1097"/>
      <c r="G53" s="1097"/>
      <c r="H53" s="1097"/>
      <c r="I53" s="1097"/>
      <c r="J53" s="1097"/>
      <c r="K53" s="1097"/>
      <c r="L53" s="1097"/>
      <c r="M53" s="1097"/>
      <c r="O53" s="1775"/>
      <c r="P53" s="1775"/>
      <c r="Q53" s="1775"/>
      <c r="R53" s="1775"/>
      <c r="S53" s="1775"/>
      <c r="T53" s="1776"/>
      <c r="U53" s="1776"/>
      <c r="V53" s="1776"/>
      <c r="W53" s="1087"/>
    </row>
    <row r="54" spans="1:23" ht="12.75" x14ac:dyDescent="0.2">
      <c r="A54" s="1085">
        <f>A52+1</f>
        <v>27</v>
      </c>
      <c r="B54" s="1087"/>
      <c r="C54" s="1097" t="s">
        <v>58</v>
      </c>
      <c r="D54" s="1097" t="s">
        <v>59</v>
      </c>
      <c r="E54" s="1098">
        <f>+E37+E46</f>
        <v>1070502.1533333333</v>
      </c>
      <c r="F54" s="1097"/>
      <c r="G54" s="1098">
        <f>I54-E54</f>
        <v>-1089522.4121530345</v>
      </c>
      <c r="H54" s="1097"/>
      <c r="I54" s="1098">
        <f>+I37+I46</f>
        <v>-19020.258819701037</v>
      </c>
      <c r="J54" s="1392"/>
      <c r="K54" s="1098">
        <f t="shared" si="0"/>
        <v>-61363.44</v>
      </c>
      <c r="L54" s="1392"/>
      <c r="M54" s="1098">
        <f>+M37+M46</f>
        <v>-80383.698819701036</v>
      </c>
      <c r="O54" s="1777">
        <v>1009741.5999999999</v>
      </c>
      <c r="P54" s="1777">
        <v>707306.46</v>
      </c>
      <c r="Q54" s="1777">
        <v>302435.13999999996</v>
      </c>
      <c r="R54" s="1777">
        <v>602065.74</v>
      </c>
      <c r="S54" s="1777">
        <v>1152100.52</v>
      </c>
      <c r="T54" s="1778">
        <v>768067.01333333319</v>
      </c>
      <c r="U54" s="1778">
        <v>166001.27333333329</v>
      </c>
      <c r="V54" s="1778">
        <v>1070502.1533333333</v>
      </c>
      <c r="W54" s="1087"/>
    </row>
    <row r="55" spans="1:23" ht="12.75" x14ac:dyDescent="0.2">
      <c r="A55" s="1085"/>
      <c r="B55" s="1087"/>
      <c r="C55" s="1097"/>
      <c r="D55" s="1097"/>
      <c r="E55" s="1097"/>
      <c r="F55" s="1097"/>
      <c r="G55" s="1097"/>
      <c r="H55" s="1097"/>
      <c r="I55" s="1097"/>
      <c r="J55" s="1097"/>
      <c r="K55" s="1097"/>
      <c r="L55" s="1097"/>
      <c r="M55" s="1097"/>
      <c r="O55" s="1775"/>
      <c r="P55" s="1775"/>
      <c r="Q55" s="1775"/>
      <c r="R55" s="1775"/>
      <c r="S55" s="1775"/>
      <c r="T55" s="1776"/>
      <c r="U55" s="1776"/>
      <c r="V55" s="1776"/>
      <c r="W55" s="1087"/>
    </row>
    <row r="56" spans="1:23" ht="12.75" x14ac:dyDescent="0.2">
      <c r="A56" s="1085">
        <f>A54+1</f>
        <v>28</v>
      </c>
      <c r="B56" s="1087"/>
      <c r="C56" s="1097" t="s">
        <v>60</v>
      </c>
      <c r="D56" s="1097" t="s">
        <v>61</v>
      </c>
      <c r="E56" s="1097">
        <f>+E54+E52</f>
        <v>6002501.5852621505</v>
      </c>
      <c r="F56" s="1097"/>
      <c r="G56" s="1097">
        <f>I56-E56</f>
        <v>-6122526.4760614587</v>
      </c>
      <c r="H56" s="1097"/>
      <c r="I56" s="1097">
        <f>+I54+I52</f>
        <v>-120024.89079930857</v>
      </c>
      <c r="J56" s="1097"/>
      <c r="K56" s="1097">
        <f t="shared" si="0"/>
        <v>-388226.03040000005</v>
      </c>
      <c r="L56" s="1097"/>
      <c r="M56" s="1097">
        <f>+M54+M52</f>
        <v>-508250.92119930859</v>
      </c>
      <c r="O56" s="1775">
        <v>7175968.0655999994</v>
      </c>
      <c r="P56" s="1775">
        <v>4748988.5536000002</v>
      </c>
      <c r="Q56" s="1775">
        <v>2426979.5119999996</v>
      </c>
      <c r="R56" s="1775">
        <v>3900424.6484000003</v>
      </c>
      <c r="S56" s="1775">
        <v>7456561.1931999996</v>
      </c>
      <c r="T56" s="1776">
        <v>4971040.7921333332</v>
      </c>
      <c r="U56" s="1776">
        <v>1070616.1437333333</v>
      </c>
      <c r="V56" s="1776">
        <v>7398020.3041333333</v>
      </c>
      <c r="W56" s="1087"/>
    </row>
    <row r="57" spans="1:23" ht="12.75" x14ac:dyDescent="0.2">
      <c r="A57" s="1085"/>
      <c r="B57" s="1087"/>
      <c r="C57" s="1097"/>
      <c r="D57" s="1097"/>
      <c r="E57" s="1428"/>
      <c r="F57" s="1097"/>
      <c r="G57" s="1097"/>
      <c r="H57" s="1097"/>
      <c r="I57" s="1428"/>
      <c r="J57" s="1428"/>
      <c r="K57" s="1428"/>
      <c r="L57" s="1428"/>
      <c r="M57" s="1428"/>
      <c r="O57" s="1775">
        <v>7175969</v>
      </c>
      <c r="P57" s="1775">
        <v>4748988</v>
      </c>
      <c r="Q57" s="1775">
        <v>2426981</v>
      </c>
      <c r="R57" s="1775">
        <v>3900425</v>
      </c>
      <c r="S57" s="1775">
        <v>7456562</v>
      </c>
      <c r="T57" s="1776">
        <v>4971041.333333333</v>
      </c>
      <c r="U57" s="1776">
        <v>1070616.333333333</v>
      </c>
      <c r="V57" s="1776">
        <v>7398022.333333333</v>
      </c>
      <c r="W57" s="1087"/>
    </row>
    <row r="58" spans="1:23" ht="12.75" x14ac:dyDescent="0.2">
      <c r="A58" s="1085"/>
      <c r="B58" s="1087"/>
      <c r="C58" s="1097"/>
      <c r="D58" s="1097"/>
      <c r="E58" s="1429"/>
      <c r="F58" s="1097"/>
      <c r="G58" s="1097"/>
      <c r="H58" s="1097"/>
      <c r="I58" s="1429"/>
      <c r="J58" s="1430"/>
      <c r="K58" s="1430"/>
      <c r="L58" s="1430"/>
      <c r="M58" s="1429"/>
      <c r="O58" s="1776">
        <v>0.93440000060945749</v>
      </c>
      <c r="P58" s="1776">
        <v>-0.55360000021755695</v>
      </c>
      <c r="Q58" s="1776">
        <v>1.4880000003613532</v>
      </c>
      <c r="R58" s="1776">
        <v>0.35159999970346689</v>
      </c>
      <c r="S58" s="1776">
        <v>0.8068000003695488</v>
      </c>
      <c r="T58" s="1776">
        <v>0.5411999998614192</v>
      </c>
      <c r="U58" s="1776">
        <v>0.18959999969229102</v>
      </c>
      <c r="V58" s="1776">
        <v>2.0291999997571111</v>
      </c>
      <c r="W58" s="1087"/>
    </row>
    <row r="59" spans="1:23" ht="12.75" x14ac:dyDescent="0.2">
      <c r="A59" s="1085"/>
      <c r="B59" s="1087"/>
      <c r="C59" s="1097"/>
      <c r="D59" s="1097"/>
      <c r="E59" s="1097"/>
      <c r="F59" s="1097"/>
      <c r="G59" s="1097"/>
      <c r="H59" s="1097"/>
      <c r="I59" s="1097"/>
      <c r="J59" s="1097"/>
      <c r="K59" s="1097"/>
      <c r="L59" s="1097"/>
      <c r="M59" s="1097"/>
      <c r="O59" s="1776"/>
      <c r="P59" s="1776"/>
      <c r="Q59" s="1776"/>
      <c r="R59" s="1776"/>
      <c r="S59" s="1776"/>
      <c r="T59" s="1776"/>
      <c r="U59" s="1776"/>
      <c r="V59" s="1776"/>
      <c r="W59" s="1087"/>
    </row>
    <row r="60" spans="1:23" ht="12.75" x14ac:dyDescent="0.2">
      <c r="A60" s="1085"/>
      <c r="B60" s="1087"/>
      <c r="C60" s="1097"/>
      <c r="D60" s="1097"/>
      <c r="E60" s="1097"/>
      <c r="F60" s="1097"/>
      <c r="G60" s="1097"/>
      <c r="H60" s="1097"/>
      <c r="I60" s="1097"/>
      <c r="J60" s="1097"/>
      <c r="K60" s="1097"/>
      <c r="L60" s="1097"/>
      <c r="M60" s="1097"/>
      <c r="O60" s="1776"/>
      <c r="P60" s="1776"/>
      <c r="Q60" s="1776"/>
      <c r="R60" s="1776"/>
      <c r="S60" s="1776"/>
      <c r="T60" s="1776"/>
      <c r="U60" s="1776"/>
      <c r="V60" s="1776"/>
      <c r="W60" s="1087"/>
    </row>
    <row r="61" spans="1:23" ht="12.75" x14ac:dyDescent="0.2">
      <c r="A61" s="1085"/>
      <c r="B61" s="1087"/>
      <c r="C61" s="1097"/>
      <c r="D61" s="1097"/>
      <c r="E61" s="1097"/>
      <c r="F61" s="1097"/>
      <c r="G61" s="1097"/>
      <c r="H61" s="1097"/>
      <c r="I61" s="1097"/>
      <c r="J61" s="1097"/>
      <c r="K61" s="1097"/>
      <c r="L61" s="1097"/>
      <c r="M61" s="1097"/>
      <c r="O61" s="1776"/>
      <c r="P61" s="1776"/>
      <c r="Q61" s="1776"/>
      <c r="R61" s="1776"/>
      <c r="S61" s="1776"/>
      <c r="T61" s="1776"/>
      <c r="U61" s="1776"/>
      <c r="V61" s="1776"/>
      <c r="W61" s="1087"/>
    </row>
    <row r="62" spans="1:23" ht="12.75" x14ac:dyDescent="0.2">
      <c r="A62" s="2164" t="str">
        <f>A1</f>
        <v>COLUMBIA GAS OF KENTUCKY, INC.</v>
      </c>
      <c r="B62" s="2164"/>
      <c r="C62" s="2164"/>
      <c r="D62" s="2164"/>
      <c r="E62" s="2164"/>
      <c r="F62" s="2164"/>
      <c r="G62" s="2164"/>
      <c r="H62" s="2164"/>
      <c r="I62" s="2164"/>
      <c r="J62" s="2164"/>
      <c r="K62" s="2164"/>
      <c r="L62" s="2164"/>
      <c r="M62" s="2164"/>
      <c r="O62" s="1776"/>
      <c r="P62" s="1776"/>
      <c r="Q62" s="1776"/>
      <c r="R62" s="1776"/>
      <c r="S62" s="1776"/>
      <c r="T62" s="1776"/>
      <c r="U62" s="1776"/>
      <c r="V62" s="1776"/>
      <c r="W62" s="1087"/>
    </row>
    <row r="63" spans="1:23" ht="12.75" x14ac:dyDescent="0.2">
      <c r="A63" s="2164" t="str">
        <f>A2</f>
        <v>CASE NO. 2016 - 00162</v>
      </c>
      <c r="B63" s="2164"/>
      <c r="C63" s="2164"/>
      <c r="D63" s="2164"/>
      <c r="E63" s="2164"/>
      <c r="F63" s="2164"/>
      <c r="G63" s="2164"/>
      <c r="H63" s="2164"/>
      <c r="I63" s="2164"/>
      <c r="J63" s="2164"/>
      <c r="K63" s="2164"/>
      <c r="L63" s="2164"/>
      <c r="M63" s="2164"/>
      <c r="O63" s="1776"/>
      <c r="P63" s="1776"/>
      <c r="Q63" s="1776"/>
      <c r="R63" s="1776"/>
      <c r="S63" s="1776"/>
      <c r="T63" s="1776"/>
      <c r="U63" s="1776"/>
      <c r="V63" s="1776"/>
      <c r="W63" s="1087"/>
    </row>
    <row r="64" spans="1:23" ht="12.75" x14ac:dyDescent="0.2">
      <c r="A64" s="2164" t="str">
        <f>A3</f>
        <v>COMPUTATION OF FEDERAL AND STATE INCOME TAX</v>
      </c>
      <c r="B64" s="2164"/>
      <c r="C64" s="2164"/>
      <c r="D64" s="2164"/>
      <c r="E64" s="2164"/>
      <c r="F64" s="2164"/>
      <c r="G64" s="2164"/>
      <c r="H64" s="2164"/>
      <c r="I64" s="2164"/>
      <c r="J64" s="2164"/>
      <c r="K64" s="2164"/>
      <c r="L64" s="2164"/>
      <c r="M64" s="2164"/>
      <c r="O64" s="1776"/>
      <c r="P64" s="1776"/>
      <c r="Q64" s="1776"/>
      <c r="R64" s="1776"/>
      <c r="S64" s="1776"/>
      <c r="T64" s="1776"/>
      <c r="U64" s="1776"/>
      <c r="V64" s="1776"/>
      <c r="W64" s="1087"/>
    </row>
    <row r="65" spans="1:23" ht="12.75" x14ac:dyDescent="0.2">
      <c r="A65" s="2164" t="str">
        <f>A4</f>
        <v>FOR THE BASE PERIOD TME AUGUST 31, 2016 AND FORECAST PERIOD TME DECEMBER 31, 2017</v>
      </c>
      <c r="B65" s="2164"/>
      <c r="C65" s="2164"/>
      <c r="D65" s="2164"/>
      <c r="E65" s="2164"/>
      <c r="F65" s="2164"/>
      <c r="G65" s="2164"/>
      <c r="H65" s="2164"/>
      <c r="I65" s="2164"/>
      <c r="J65" s="2164"/>
      <c r="K65" s="2164"/>
      <c r="L65" s="2164"/>
      <c r="M65" s="2164"/>
      <c r="N65" s="1090"/>
      <c r="O65" s="1776"/>
      <c r="P65" s="1776"/>
      <c r="Q65" s="1776"/>
      <c r="R65" s="1776"/>
      <c r="S65" s="1776"/>
      <c r="T65" s="1776"/>
      <c r="U65" s="1776"/>
      <c r="V65" s="1776"/>
      <c r="W65" s="1087"/>
    </row>
    <row r="66" spans="1:23" s="1091" customFormat="1" ht="12.75" x14ac:dyDescent="0.2">
      <c r="A66" s="1085"/>
      <c r="B66" s="1087"/>
      <c r="C66" s="1097"/>
      <c r="D66" s="1097"/>
      <c r="E66" s="1097"/>
      <c r="F66" s="1097"/>
      <c r="G66" s="1097"/>
      <c r="H66" s="1097"/>
      <c r="I66" s="1097"/>
      <c r="J66" s="1097"/>
      <c r="K66" s="1097"/>
      <c r="L66" s="1097"/>
      <c r="M66" s="1097"/>
      <c r="O66" s="1773"/>
      <c r="P66" s="1773"/>
      <c r="Q66" s="1773"/>
      <c r="R66" s="1773"/>
      <c r="S66" s="1773"/>
      <c r="T66" s="1773"/>
      <c r="U66" s="1773"/>
      <c r="V66" s="1773"/>
      <c r="W66" s="1085"/>
    </row>
    <row r="67" spans="1:23" s="1091" customFormat="1" ht="12.75" x14ac:dyDescent="0.2">
      <c r="A67" s="1526" t="s">
        <v>92</v>
      </c>
      <c r="B67" s="1087"/>
      <c r="C67" s="1097"/>
      <c r="D67" s="1097"/>
      <c r="E67" s="1097"/>
      <c r="F67" s="1097"/>
      <c r="G67" s="1097"/>
      <c r="H67" s="1421"/>
      <c r="I67" s="1431"/>
      <c r="J67" s="1423"/>
      <c r="K67" s="1423"/>
      <c r="L67" s="1423"/>
      <c r="M67" s="1423" t="str">
        <f>M6</f>
        <v>SCHEDULE E-1</v>
      </c>
      <c r="O67" s="1773"/>
      <c r="P67" s="1773"/>
      <c r="Q67" s="1773"/>
      <c r="R67" s="1773"/>
      <c r="S67" s="1773"/>
      <c r="T67" s="1773"/>
      <c r="U67" s="1773"/>
      <c r="V67" s="1773"/>
      <c r="W67" s="1085"/>
    </row>
    <row r="68" spans="1:23" s="1091" customFormat="1" ht="12.75" x14ac:dyDescent="0.2">
      <c r="A68" s="1526" t="s">
        <v>627</v>
      </c>
      <c r="B68" s="1087"/>
      <c r="C68" s="1097"/>
      <c r="D68" s="1097"/>
      <c r="E68" s="1097"/>
      <c r="F68" s="1097"/>
      <c r="G68" s="1097"/>
      <c r="H68" s="1421"/>
      <c r="I68" s="1431"/>
      <c r="J68" s="1423"/>
      <c r="K68" s="1423"/>
      <c r="L68" s="1423"/>
      <c r="M68" s="1423" t="s">
        <v>1111</v>
      </c>
      <c r="O68" s="1773"/>
      <c r="P68" s="1773"/>
      <c r="Q68" s="1773"/>
      <c r="R68" s="1773"/>
      <c r="S68" s="1773"/>
      <c r="T68" s="1773"/>
      <c r="U68" s="1773"/>
      <c r="V68" s="1773"/>
      <c r="W68" s="1085"/>
    </row>
    <row r="69" spans="1:23" s="1091" customFormat="1" ht="12.75" x14ac:dyDescent="0.2">
      <c r="A69" s="1528" t="s">
        <v>850</v>
      </c>
      <c r="B69" s="1096"/>
      <c r="C69" s="1098"/>
      <c r="D69" s="1098"/>
      <c r="E69" s="1098"/>
      <c r="F69" s="1098"/>
      <c r="G69" s="1098"/>
      <c r="H69" s="1432"/>
      <c r="I69" s="1431"/>
      <c r="J69" s="1425"/>
      <c r="K69" s="1425"/>
      <c r="L69" s="1425"/>
      <c r="M69" s="1433" t="s">
        <v>2</v>
      </c>
      <c r="O69" s="1773"/>
      <c r="P69" s="1773"/>
      <c r="Q69" s="1773"/>
      <c r="R69" s="1773"/>
      <c r="S69" s="1773"/>
      <c r="T69" s="1773"/>
      <c r="U69" s="1773"/>
      <c r="V69" s="1773"/>
      <c r="W69" s="1085"/>
    </row>
    <row r="70" spans="1:23" s="1091" customFormat="1" ht="12.75" x14ac:dyDescent="0.2">
      <c r="A70" s="1085"/>
      <c r="B70" s="1085"/>
      <c r="C70" s="1101"/>
      <c r="D70" s="1101"/>
      <c r="E70" s="1427"/>
      <c r="F70" s="1427"/>
      <c r="G70" s="1427" t="s">
        <v>10</v>
      </c>
      <c r="H70" s="1427"/>
      <c r="I70" s="1426"/>
      <c r="J70" s="1393"/>
      <c r="K70" s="1426"/>
      <c r="L70" s="1426" t="s">
        <v>1809</v>
      </c>
      <c r="M70" s="1426"/>
      <c r="O70" s="1773"/>
      <c r="P70" s="1773"/>
      <c r="Q70" s="1773"/>
      <c r="R70" s="1773"/>
      <c r="S70" s="1773"/>
      <c r="T70" s="1773"/>
      <c r="U70" s="1773"/>
      <c r="V70" s="1773"/>
      <c r="W70" s="1085"/>
    </row>
    <row r="71" spans="1:23" ht="12.75" x14ac:dyDescent="0.2">
      <c r="A71" s="1085" t="s">
        <v>1080</v>
      </c>
      <c r="B71" s="1085"/>
      <c r="C71" s="1101"/>
      <c r="D71" s="1101"/>
      <c r="E71" s="1101" t="s">
        <v>223</v>
      </c>
      <c r="F71" s="1101"/>
      <c r="G71" s="1101" t="s">
        <v>13</v>
      </c>
      <c r="H71" s="1101"/>
      <c r="I71" s="1101" t="s">
        <v>94</v>
      </c>
      <c r="J71" s="1101"/>
      <c r="K71" s="1101" t="s">
        <v>13</v>
      </c>
      <c r="L71" s="1101"/>
      <c r="M71" s="1101" t="s">
        <v>94</v>
      </c>
      <c r="O71" s="1776"/>
      <c r="P71" s="1776"/>
      <c r="Q71" s="1776"/>
      <c r="R71" s="1776"/>
      <c r="S71" s="1776"/>
      <c r="T71" s="1776"/>
      <c r="U71" s="1776"/>
      <c r="V71" s="1776"/>
      <c r="W71" s="1087"/>
    </row>
    <row r="72" spans="1:23" ht="12.75" x14ac:dyDescent="0.2">
      <c r="A72" s="1093" t="s">
        <v>1081</v>
      </c>
      <c r="B72" s="1093"/>
      <c r="C72" s="1427" t="s">
        <v>1083</v>
      </c>
      <c r="D72" s="1427"/>
      <c r="E72" s="1102" t="s">
        <v>2045</v>
      </c>
      <c r="F72" s="1427"/>
      <c r="G72" s="1102" t="s">
        <v>222</v>
      </c>
      <c r="H72" s="1427"/>
      <c r="I72" s="1102" t="s">
        <v>2044</v>
      </c>
      <c r="J72" s="1393"/>
      <c r="K72" s="1102" t="s">
        <v>222</v>
      </c>
      <c r="L72" s="1102"/>
      <c r="M72" s="1102" t="s">
        <v>2044</v>
      </c>
      <c r="O72" s="1776"/>
      <c r="P72" s="1776"/>
      <c r="Q72" s="1776"/>
      <c r="R72" s="1776"/>
      <c r="S72" s="1776"/>
      <c r="T72" s="1776"/>
      <c r="U72" s="1776"/>
      <c r="V72" s="1776"/>
      <c r="W72" s="1087"/>
    </row>
    <row r="73" spans="1:23" ht="12.75" x14ac:dyDescent="0.2">
      <c r="A73" s="1085"/>
      <c r="B73" s="1085"/>
      <c r="C73" s="1101"/>
      <c r="D73" s="1101"/>
      <c r="E73" s="1101" t="s">
        <v>860</v>
      </c>
      <c r="F73" s="1101"/>
      <c r="G73" s="1101" t="s">
        <v>877</v>
      </c>
      <c r="H73" s="1101"/>
      <c r="I73" s="1101" t="s">
        <v>878</v>
      </c>
      <c r="J73" s="1101"/>
      <c r="K73" s="1101"/>
      <c r="L73" s="1101"/>
      <c r="M73" s="1101"/>
      <c r="O73" s="1776"/>
      <c r="P73" s="1776"/>
      <c r="Q73" s="1776"/>
      <c r="R73" s="1776"/>
      <c r="S73" s="1776"/>
      <c r="T73" s="1776"/>
      <c r="U73" s="1776"/>
      <c r="V73" s="1776"/>
      <c r="W73" s="1087"/>
    </row>
    <row r="74" spans="1:23" ht="12.75" x14ac:dyDescent="0.2">
      <c r="A74" s="1085"/>
      <c r="B74" s="1085"/>
      <c r="C74" s="1101"/>
      <c r="D74" s="1101"/>
      <c r="E74" s="1101" t="s">
        <v>639</v>
      </c>
      <c r="F74" s="1101"/>
      <c r="G74" s="1101" t="s">
        <v>639</v>
      </c>
      <c r="H74" s="1101"/>
      <c r="I74" s="1101" t="s">
        <v>639</v>
      </c>
      <c r="J74" s="1101"/>
      <c r="K74" s="1101"/>
      <c r="L74" s="1101"/>
      <c r="M74" s="1101"/>
      <c r="O74" s="1776"/>
      <c r="P74" s="1776"/>
      <c r="Q74" s="1776"/>
      <c r="R74" s="1776"/>
      <c r="S74" s="1776"/>
      <c r="T74" s="1776"/>
      <c r="U74" s="1776"/>
      <c r="V74" s="1776"/>
      <c r="W74" s="1087"/>
    </row>
    <row r="75" spans="1:23" ht="12.75" x14ac:dyDescent="0.2">
      <c r="A75" s="1085">
        <v>1</v>
      </c>
      <c r="B75" s="1087"/>
      <c r="C75" s="1097" t="s">
        <v>62</v>
      </c>
      <c r="D75" s="1097"/>
      <c r="E75" s="1097"/>
      <c r="F75" s="1097"/>
      <c r="G75" s="1097"/>
      <c r="H75" s="1097"/>
      <c r="I75" s="1097"/>
      <c r="J75" s="1097"/>
      <c r="K75" s="1097"/>
      <c r="L75" s="1097"/>
      <c r="M75" s="1097"/>
      <c r="O75" s="1776"/>
      <c r="P75" s="1776"/>
      <c r="Q75" s="1776"/>
      <c r="R75" s="1776"/>
      <c r="S75" s="1776"/>
      <c r="T75" s="1776"/>
      <c r="U75" s="1776"/>
      <c r="V75" s="1776"/>
      <c r="W75" s="1087"/>
    </row>
    <row r="76" spans="1:23" ht="12.75" x14ac:dyDescent="0.2">
      <c r="A76" s="1085"/>
      <c r="B76" s="1087"/>
      <c r="C76" s="1097"/>
      <c r="D76" s="1097"/>
      <c r="E76" s="1097"/>
      <c r="F76" s="1097"/>
      <c r="G76" s="1097"/>
      <c r="H76" s="1097"/>
      <c r="I76" s="1097"/>
      <c r="J76" s="1097"/>
      <c r="K76" s="1097"/>
      <c r="L76" s="1097"/>
      <c r="M76" s="1097"/>
      <c r="O76" s="1776"/>
      <c r="P76" s="1776"/>
      <c r="Q76" s="1776"/>
      <c r="R76" s="1776"/>
      <c r="S76" s="1776"/>
      <c r="T76" s="1776"/>
      <c r="U76" s="1776"/>
      <c r="V76" s="1776"/>
      <c r="W76" s="1087"/>
    </row>
    <row r="77" spans="1:23" ht="12.75" x14ac:dyDescent="0.2">
      <c r="A77" s="1085">
        <f>A75+1</f>
        <v>2</v>
      </c>
      <c r="B77" s="1087"/>
      <c r="C77" s="1097" t="s">
        <v>63</v>
      </c>
      <c r="D77" s="1097"/>
      <c r="E77" s="1094">
        <f>V77</f>
        <v>76</v>
      </c>
      <c r="F77" s="1097"/>
      <c r="G77" s="1097">
        <f>I77-E77</f>
        <v>-76</v>
      </c>
      <c r="H77" s="1097"/>
      <c r="I77" s="1097">
        <f>Q117</f>
        <v>0</v>
      </c>
      <c r="J77" s="1097"/>
      <c r="K77" s="1097">
        <f>M77-I77</f>
        <v>0</v>
      </c>
      <c r="L77" s="1097"/>
      <c r="M77" s="1097">
        <f>I77</f>
        <v>0</v>
      </c>
      <c r="O77" s="1775">
        <v>96</v>
      </c>
      <c r="P77" s="1775">
        <v>20</v>
      </c>
      <c r="Q77" s="1775">
        <v>76</v>
      </c>
      <c r="R77" s="1775">
        <v>7408</v>
      </c>
      <c r="S77" s="1775">
        <v>0</v>
      </c>
      <c r="T77" s="1776">
        <v>0</v>
      </c>
      <c r="U77" s="1776">
        <v>-7408</v>
      </c>
      <c r="V77" s="1776">
        <v>76</v>
      </c>
      <c r="W77" s="1087"/>
    </row>
    <row r="78" spans="1:23" ht="12.75" x14ac:dyDescent="0.2">
      <c r="A78" s="1085">
        <f>A77+1</f>
        <v>3</v>
      </c>
      <c r="B78" s="1087"/>
      <c r="C78" s="1097" t="s">
        <v>64</v>
      </c>
      <c r="D78" s="1097"/>
      <c r="E78" s="1094">
        <f>V78</f>
        <v>69466.666666666657</v>
      </c>
      <c r="F78" s="1097"/>
      <c r="G78" s="1097">
        <f>I78-E78</f>
        <v>-64506.666666666657</v>
      </c>
      <c r="H78" s="1097"/>
      <c r="I78" s="1094">
        <v>4960</v>
      </c>
      <c r="J78" s="1094"/>
      <c r="K78" s="1097">
        <f>M78-I78</f>
        <v>0</v>
      </c>
      <c r="L78" s="1094"/>
      <c r="M78" s="1097">
        <f>I78</f>
        <v>4960</v>
      </c>
      <c r="O78" s="1775">
        <v>65990</v>
      </c>
      <c r="P78" s="1775">
        <v>38664</v>
      </c>
      <c r="Q78" s="1775">
        <v>27326</v>
      </c>
      <c r="R78" s="1775">
        <v>7091</v>
      </c>
      <c r="S78" s="1775">
        <v>63211</v>
      </c>
      <c r="T78" s="1776">
        <v>42140.666666666664</v>
      </c>
      <c r="U78" s="1776">
        <v>35049.666666666664</v>
      </c>
      <c r="V78" s="1776">
        <v>69466.666666666657</v>
      </c>
      <c r="W78" s="1087"/>
    </row>
    <row r="79" spans="1:23" ht="12.75" x14ac:dyDescent="0.2">
      <c r="A79" s="1085">
        <f>A78+1</f>
        <v>4</v>
      </c>
      <c r="B79" s="1087"/>
      <c r="C79" s="1097" t="s">
        <v>65</v>
      </c>
      <c r="D79" s="1097"/>
      <c r="E79" s="1094">
        <f>V79</f>
        <v>-60523</v>
      </c>
      <c r="F79" s="1097"/>
      <c r="G79" s="1097">
        <f>I79-E79</f>
        <v>60523</v>
      </c>
      <c r="H79" s="1097"/>
      <c r="I79" s="1094">
        <v>0</v>
      </c>
      <c r="J79" s="1094"/>
      <c r="K79" s="1097">
        <f>M79-I79</f>
        <v>0</v>
      </c>
      <c r="L79" s="1094"/>
      <c r="M79" s="1097">
        <f>I79</f>
        <v>0</v>
      </c>
      <c r="O79" s="1775">
        <v>-182152</v>
      </c>
      <c r="P79" s="1775">
        <v>-121629</v>
      </c>
      <c r="Q79" s="1775">
        <v>-60523</v>
      </c>
      <c r="R79" s="1775">
        <v>-40905</v>
      </c>
      <c r="S79" s="1775">
        <v>0</v>
      </c>
      <c r="T79" s="1776">
        <v>0</v>
      </c>
      <c r="U79" s="1776">
        <v>40905</v>
      </c>
      <c r="V79" s="1776">
        <v>-60523</v>
      </c>
      <c r="W79" s="1087"/>
    </row>
    <row r="80" spans="1:23" ht="12.75" x14ac:dyDescent="0.2">
      <c r="A80" s="1085">
        <f>A79+1</f>
        <v>5</v>
      </c>
      <c r="B80" s="1087"/>
      <c r="C80" s="1097" t="s">
        <v>66</v>
      </c>
      <c r="D80" s="1097"/>
      <c r="E80" s="1095">
        <f>V80</f>
        <v>82802.666666666657</v>
      </c>
      <c r="F80" s="1097"/>
      <c r="G80" s="1098">
        <f>I80-E80</f>
        <v>-12865.666666666657</v>
      </c>
      <c r="H80" s="1097"/>
      <c r="I80" s="1095">
        <v>69937</v>
      </c>
      <c r="J80" s="1391"/>
      <c r="K80" s="1098">
        <f>M80-I80</f>
        <v>0</v>
      </c>
      <c r="L80" s="1391"/>
      <c r="M80" s="1098">
        <f>I80</f>
        <v>69937</v>
      </c>
      <c r="O80" s="1777">
        <v>69937</v>
      </c>
      <c r="P80" s="1777">
        <v>33759</v>
      </c>
      <c r="Q80" s="1777">
        <v>36178</v>
      </c>
      <c r="R80" s="1777">
        <v>11652</v>
      </c>
      <c r="S80" s="1777">
        <v>69937</v>
      </c>
      <c r="T80" s="1778">
        <v>46624.666666666664</v>
      </c>
      <c r="U80" s="1778">
        <v>34972.666666666664</v>
      </c>
      <c r="V80" s="1778">
        <v>82802.666666666657</v>
      </c>
      <c r="W80" s="1087"/>
    </row>
    <row r="81" spans="1:23" ht="12.75" x14ac:dyDescent="0.2">
      <c r="A81" s="1085"/>
      <c r="B81" s="1087"/>
      <c r="C81" s="1097"/>
      <c r="D81" s="1097"/>
      <c r="E81" s="1097"/>
      <c r="F81" s="1097"/>
      <c r="G81" s="1097"/>
      <c r="H81" s="1097"/>
      <c r="I81" s="1097"/>
      <c r="J81" s="1097"/>
      <c r="K81" s="1097"/>
      <c r="L81" s="1097"/>
      <c r="M81" s="1097"/>
      <c r="O81" s="1776"/>
      <c r="P81" s="1776"/>
      <c r="Q81" s="1776"/>
      <c r="R81" s="1776"/>
      <c r="S81" s="1776"/>
      <c r="T81" s="1776"/>
      <c r="U81" s="1776"/>
      <c r="V81" s="1776"/>
      <c r="W81" s="1087"/>
    </row>
    <row r="82" spans="1:23" ht="12.75" x14ac:dyDescent="0.2">
      <c r="A82" s="1085">
        <f>A80+1</f>
        <v>6</v>
      </c>
      <c r="B82" s="1087"/>
      <c r="C82" s="1097" t="s">
        <v>67</v>
      </c>
      <c r="D82" s="1097"/>
      <c r="E82" s="1097">
        <f>SUM(E77:E80)</f>
        <v>91822.333333333314</v>
      </c>
      <c r="F82" s="1097"/>
      <c r="G82" s="1097">
        <f>SUM(G77:G80)</f>
        <v>-16925.333333333314</v>
      </c>
      <c r="H82" s="1097"/>
      <c r="I82" s="1097">
        <f>SUM(I77:I80)</f>
        <v>74897</v>
      </c>
      <c r="J82" s="1097"/>
      <c r="K82" s="1097">
        <f>SUM(K77:K80)</f>
        <v>0</v>
      </c>
      <c r="L82" s="1097"/>
      <c r="M82" s="1097">
        <f>SUM(M77:M80)</f>
        <v>74897</v>
      </c>
      <c r="O82" s="1776">
        <v>-46129</v>
      </c>
      <c r="P82" s="1776">
        <v>-49186</v>
      </c>
      <c r="Q82" s="1776">
        <v>3057</v>
      </c>
      <c r="R82" s="1776">
        <v>-14754</v>
      </c>
      <c r="S82" s="1776">
        <v>133148</v>
      </c>
      <c r="T82" s="1776">
        <v>88765.333333333328</v>
      </c>
      <c r="U82" s="1776">
        <v>103519.33333333331</v>
      </c>
      <c r="V82" s="1776">
        <v>91822.333333333314</v>
      </c>
      <c r="W82" s="1087"/>
    </row>
    <row r="83" spans="1:23" ht="12.75" x14ac:dyDescent="0.2">
      <c r="A83" s="1085"/>
      <c r="B83" s="1087"/>
      <c r="C83" s="1097"/>
      <c r="D83" s="1097"/>
      <c r="E83" s="1097"/>
      <c r="F83" s="1097"/>
      <c r="G83" s="1097"/>
      <c r="H83" s="1097"/>
      <c r="I83" s="1097"/>
      <c r="J83" s="1097"/>
      <c r="K83" s="1097"/>
      <c r="L83" s="1097"/>
      <c r="M83" s="1097"/>
      <c r="O83" s="1776"/>
      <c r="P83" s="1776"/>
      <c r="Q83" s="1776"/>
      <c r="R83" s="1776"/>
      <c r="S83" s="1776"/>
      <c r="T83" s="1776"/>
      <c r="U83" s="1776"/>
      <c r="V83" s="1776"/>
      <c r="W83" s="1087"/>
    </row>
    <row r="84" spans="1:23" ht="12.75" x14ac:dyDescent="0.2">
      <c r="A84" s="1085">
        <f>A82+1</f>
        <v>7</v>
      </c>
      <c r="B84" s="1087"/>
      <c r="C84" s="1097" t="s">
        <v>68</v>
      </c>
      <c r="D84" s="1097"/>
      <c r="E84" s="1097"/>
      <c r="F84" s="1097"/>
      <c r="G84" s="1097"/>
      <c r="H84" s="1097"/>
      <c r="I84" s="1097"/>
      <c r="J84" s="1097"/>
      <c r="K84" s="1097"/>
      <c r="L84" s="1097"/>
      <c r="M84" s="1097"/>
      <c r="O84" s="1776"/>
      <c r="P84" s="1776"/>
      <c r="Q84" s="1776"/>
      <c r="R84" s="1776"/>
      <c r="S84" s="1776"/>
      <c r="T84" s="1776"/>
      <c r="U84" s="1776"/>
      <c r="V84" s="1776"/>
      <c r="W84" s="1087"/>
    </row>
    <row r="85" spans="1:23" ht="12.75" x14ac:dyDescent="0.2">
      <c r="A85" s="1085">
        <f t="shared" ref="A85:A104" si="1">A84+1</f>
        <v>8</v>
      </c>
      <c r="B85" s="1087"/>
      <c r="C85" s="1392" t="s">
        <v>69</v>
      </c>
      <c r="D85" s="1097"/>
      <c r="E85" s="1094">
        <f>V85</f>
        <v>1630884.3333333333</v>
      </c>
      <c r="F85" s="1097"/>
      <c r="G85" s="1097">
        <f t="shared" ref="G85:G104" si="2">I85-E85</f>
        <v>-1630884.3333333333</v>
      </c>
      <c r="H85" s="1097"/>
      <c r="I85" s="1097">
        <v>0</v>
      </c>
      <c r="J85" s="1097"/>
      <c r="K85" s="1097">
        <f t="shared" ref="K85:K104" si="3">M85-I85</f>
        <v>0</v>
      </c>
      <c r="L85" s="1097"/>
      <c r="M85" s="1097">
        <f t="shared" ref="M85:M104" si="4">I85</f>
        <v>0</v>
      </c>
      <c r="O85" s="1775">
        <v>1305419</v>
      </c>
      <c r="P85" s="1775">
        <v>898056</v>
      </c>
      <c r="Q85" s="1775">
        <v>407363</v>
      </c>
      <c r="R85" s="1775">
        <v>305748</v>
      </c>
      <c r="S85" s="1775">
        <v>1835282</v>
      </c>
      <c r="T85" s="1776">
        <v>1223521.3333333333</v>
      </c>
      <c r="U85" s="1776">
        <v>917773.33333333326</v>
      </c>
      <c r="V85" s="1776">
        <v>1630884.3333333333</v>
      </c>
      <c r="W85" s="1087"/>
    </row>
    <row r="86" spans="1:23" ht="12.75" x14ac:dyDescent="0.2">
      <c r="A86" s="1085">
        <f t="shared" si="1"/>
        <v>9</v>
      </c>
      <c r="B86" s="1087"/>
      <c r="C86" s="1097" t="s">
        <v>70</v>
      </c>
      <c r="D86" s="1097"/>
      <c r="E86" s="1094">
        <f t="shared" ref="E86:E104" si="5">V86</f>
        <v>-1071507</v>
      </c>
      <c r="F86" s="1097"/>
      <c r="G86" s="1097">
        <f t="shared" si="2"/>
        <v>1071507</v>
      </c>
      <c r="H86" s="1097"/>
      <c r="I86" s="1097">
        <f>Q126</f>
        <v>0</v>
      </c>
      <c r="J86" s="1097"/>
      <c r="K86" s="1097">
        <f t="shared" si="3"/>
        <v>0</v>
      </c>
      <c r="L86" s="1097"/>
      <c r="M86" s="1097">
        <f t="shared" si="4"/>
        <v>0</v>
      </c>
      <c r="O86" s="1775">
        <v>-920175</v>
      </c>
      <c r="P86" s="1775">
        <v>-462118</v>
      </c>
      <c r="Q86" s="1775">
        <v>-458057</v>
      </c>
      <c r="R86" s="1775">
        <v>-153301</v>
      </c>
      <c r="S86" s="1775">
        <v>-920175</v>
      </c>
      <c r="T86" s="1776">
        <v>-613450</v>
      </c>
      <c r="U86" s="1776">
        <v>-460149</v>
      </c>
      <c r="V86" s="1776">
        <v>-1071507</v>
      </c>
      <c r="W86" s="1087"/>
    </row>
    <row r="87" spans="1:23" ht="12.75" x14ac:dyDescent="0.2">
      <c r="A87" s="1085">
        <f t="shared" si="1"/>
        <v>10</v>
      </c>
      <c r="B87" s="1087"/>
      <c r="C87" s="1097" t="s">
        <v>71</v>
      </c>
      <c r="D87" s="1097"/>
      <c r="E87" s="1094">
        <f t="shared" si="5"/>
        <v>-61504.666666666664</v>
      </c>
      <c r="F87" s="1097"/>
      <c r="G87" s="1097">
        <f t="shared" si="2"/>
        <v>61504.666666666664</v>
      </c>
      <c r="H87" s="1097"/>
      <c r="I87" s="1097">
        <f>Q127</f>
        <v>0</v>
      </c>
      <c r="J87" s="1097"/>
      <c r="K87" s="1097">
        <f t="shared" si="3"/>
        <v>0</v>
      </c>
      <c r="L87" s="1097"/>
      <c r="M87" s="1097">
        <f t="shared" si="4"/>
        <v>0</v>
      </c>
      <c r="O87" s="1775">
        <v>-51400</v>
      </c>
      <c r="P87" s="1775">
        <v>-24162</v>
      </c>
      <c r="Q87" s="1775">
        <v>-27238</v>
      </c>
      <c r="R87" s="1775">
        <v>-8563</v>
      </c>
      <c r="S87" s="1775">
        <v>-51400</v>
      </c>
      <c r="T87" s="1776">
        <v>-34266.666666666664</v>
      </c>
      <c r="U87" s="1776">
        <v>-25703.666666666664</v>
      </c>
      <c r="V87" s="1776">
        <v>-61504.666666666664</v>
      </c>
      <c r="W87" s="1087"/>
    </row>
    <row r="88" spans="1:23" ht="12.75" x14ac:dyDescent="0.2">
      <c r="A88" s="1085">
        <f t="shared" si="1"/>
        <v>11</v>
      </c>
      <c r="B88" s="1087"/>
      <c r="C88" s="1097" t="s">
        <v>72</v>
      </c>
      <c r="D88" s="1097"/>
      <c r="E88" s="1094">
        <f t="shared" si="5"/>
        <v>-19509310</v>
      </c>
      <c r="F88" s="1097"/>
      <c r="G88" s="1097">
        <v>0</v>
      </c>
      <c r="H88" s="1097"/>
      <c r="I88" s="1097">
        <f>Q128</f>
        <v>0</v>
      </c>
      <c r="J88" s="1097"/>
      <c r="K88" s="1097">
        <f t="shared" si="3"/>
        <v>0</v>
      </c>
      <c r="L88" s="1097"/>
      <c r="M88" s="1097">
        <f t="shared" si="4"/>
        <v>0</v>
      </c>
      <c r="O88" s="1775">
        <v>-12162182</v>
      </c>
      <c r="P88" s="1775">
        <v>0</v>
      </c>
      <c r="Q88" s="1775">
        <v>-12162182</v>
      </c>
      <c r="R88" s="1775">
        <v>-1836047</v>
      </c>
      <c r="S88" s="1775">
        <v>-11020692</v>
      </c>
      <c r="T88" s="1776">
        <v>-7347128</v>
      </c>
      <c r="U88" s="1776">
        <v>-5511081</v>
      </c>
      <c r="V88" s="1776">
        <v>-19509310</v>
      </c>
      <c r="W88" s="1087"/>
    </row>
    <row r="89" spans="1:23" ht="12.75" x14ac:dyDescent="0.2">
      <c r="A89" s="1085">
        <f t="shared" si="1"/>
        <v>12</v>
      </c>
      <c r="B89" s="1087"/>
      <c r="C89" s="1097" t="s">
        <v>1195</v>
      </c>
      <c r="D89" s="1097"/>
      <c r="E89" s="1094">
        <f t="shared" si="5"/>
        <v>-6773781.666666667</v>
      </c>
      <c r="F89" s="1097"/>
      <c r="G89" s="1097">
        <v>0</v>
      </c>
      <c r="H89" s="1097"/>
      <c r="I89" s="1097">
        <f>Q129</f>
        <v>0</v>
      </c>
      <c r="J89" s="1097"/>
      <c r="K89" s="1097">
        <f t="shared" si="3"/>
        <v>0</v>
      </c>
      <c r="L89" s="1097"/>
      <c r="M89" s="1097">
        <f t="shared" si="4"/>
        <v>0</v>
      </c>
      <c r="O89" s="1775">
        <v>-6630000</v>
      </c>
      <c r="P89" s="1775">
        <v>-4209579</v>
      </c>
      <c r="Q89" s="1775">
        <v>-2420421</v>
      </c>
      <c r="R89" s="1775">
        <v>-1087905</v>
      </c>
      <c r="S89" s="1775">
        <v>-6530041</v>
      </c>
      <c r="T89" s="1776">
        <v>-4353360.666666667</v>
      </c>
      <c r="U89" s="1776">
        <v>-3265455.666666667</v>
      </c>
      <c r="V89" s="1776">
        <v>-6773781.666666667</v>
      </c>
      <c r="W89" s="1087"/>
    </row>
    <row r="90" spans="1:23" ht="12.75" x14ac:dyDescent="0.2">
      <c r="A90" s="1085">
        <f t="shared" si="1"/>
        <v>13</v>
      </c>
      <c r="B90" s="1087"/>
      <c r="C90" s="1097" t="s">
        <v>73</v>
      </c>
      <c r="D90" s="1097"/>
      <c r="E90" s="1094">
        <f t="shared" si="5"/>
        <v>-2538112.333333333</v>
      </c>
      <c r="F90" s="1097"/>
      <c r="G90" s="1097">
        <v>0</v>
      </c>
      <c r="H90" s="1097"/>
      <c r="I90" s="1097">
        <f>Q130</f>
        <v>0</v>
      </c>
      <c r="J90" s="1097"/>
      <c r="K90" s="1097">
        <f t="shared" si="3"/>
        <v>0</v>
      </c>
      <c r="L90" s="1097"/>
      <c r="M90" s="1097">
        <f t="shared" si="4"/>
        <v>0</v>
      </c>
      <c r="O90" s="1775">
        <v>-2412000</v>
      </c>
      <c r="P90" s="1775">
        <v>-1351865</v>
      </c>
      <c r="Q90" s="1775">
        <v>-1060135</v>
      </c>
      <c r="R90" s="1775">
        <v>-369347</v>
      </c>
      <c r="S90" s="1775">
        <v>-2216966</v>
      </c>
      <c r="T90" s="1776">
        <v>-1477977.3333333333</v>
      </c>
      <c r="U90" s="1776">
        <v>-1108630.3333333333</v>
      </c>
      <c r="V90" s="1776">
        <v>-2538112.333333333</v>
      </c>
      <c r="W90" s="1087"/>
    </row>
    <row r="91" spans="1:23" ht="12.75" x14ac:dyDescent="0.2">
      <c r="A91" s="1085">
        <f t="shared" si="1"/>
        <v>14</v>
      </c>
      <c r="B91" s="1087"/>
      <c r="C91" s="1097" t="s">
        <v>74</v>
      </c>
      <c r="D91" s="1097"/>
      <c r="E91" s="1094">
        <f t="shared" si="5"/>
        <v>0</v>
      </c>
      <c r="F91" s="1097"/>
      <c r="G91" s="1097">
        <f t="shared" si="2"/>
        <v>0</v>
      </c>
      <c r="H91" s="1097"/>
      <c r="I91" s="1097">
        <f t="shared" ref="I91:I104" si="6">Q128</f>
        <v>0</v>
      </c>
      <c r="J91" s="1097"/>
      <c r="K91" s="1097">
        <f t="shared" si="3"/>
        <v>0</v>
      </c>
      <c r="L91" s="1097"/>
      <c r="M91" s="1097">
        <f t="shared" si="4"/>
        <v>0</v>
      </c>
      <c r="O91" s="1775">
        <v>0</v>
      </c>
      <c r="P91" s="1775">
        <v>0</v>
      </c>
      <c r="Q91" s="1775">
        <v>0</v>
      </c>
      <c r="R91" s="1775">
        <v>0</v>
      </c>
      <c r="S91" s="1775">
        <v>0</v>
      </c>
      <c r="T91" s="1776">
        <v>0</v>
      </c>
      <c r="U91" s="1776">
        <v>0</v>
      </c>
      <c r="V91" s="1776">
        <v>0</v>
      </c>
      <c r="W91" s="1087"/>
    </row>
    <row r="92" spans="1:23" ht="12.75" x14ac:dyDescent="0.2">
      <c r="A92" s="1085">
        <f t="shared" si="1"/>
        <v>15</v>
      </c>
      <c r="B92" s="1087"/>
      <c r="C92" s="1097" t="s">
        <v>75</v>
      </c>
      <c r="D92" s="1097"/>
      <c r="E92" s="1094">
        <f t="shared" si="5"/>
        <v>-54472.333333333328</v>
      </c>
      <c r="F92" s="1097"/>
      <c r="G92" s="1097">
        <f t="shared" si="2"/>
        <v>54472.333333333328</v>
      </c>
      <c r="H92" s="1097"/>
      <c r="I92" s="1097">
        <f t="shared" si="6"/>
        <v>0</v>
      </c>
      <c r="J92" s="1097"/>
      <c r="K92" s="1097">
        <f t="shared" si="3"/>
        <v>0</v>
      </c>
      <c r="L92" s="1097"/>
      <c r="M92" s="1097">
        <f t="shared" si="4"/>
        <v>0</v>
      </c>
      <c r="O92" s="1775">
        <v>42547</v>
      </c>
      <c r="P92" s="1775">
        <v>125384</v>
      </c>
      <c r="Q92" s="1775">
        <v>-82837</v>
      </c>
      <c r="R92" s="1775">
        <v>7088</v>
      </c>
      <c r="S92" s="1775">
        <v>42547</v>
      </c>
      <c r="T92" s="1776">
        <v>28364.666666666668</v>
      </c>
      <c r="U92" s="1776">
        <v>21276.666666666668</v>
      </c>
      <c r="V92" s="1776">
        <v>-54472.333333333328</v>
      </c>
      <c r="W92" s="1087"/>
    </row>
    <row r="93" spans="1:23" ht="12.75" x14ac:dyDescent="0.2">
      <c r="A93" s="1085">
        <f t="shared" si="1"/>
        <v>16</v>
      </c>
      <c r="B93" s="1087"/>
      <c r="C93" s="1097" t="s">
        <v>76</v>
      </c>
      <c r="D93" s="1097"/>
      <c r="E93" s="1094">
        <f t="shared" si="5"/>
        <v>-240250</v>
      </c>
      <c r="F93" s="1097"/>
      <c r="G93" s="1097">
        <f t="shared" si="2"/>
        <v>240250</v>
      </c>
      <c r="H93" s="1097"/>
      <c r="I93" s="1097">
        <f t="shared" si="6"/>
        <v>0</v>
      </c>
      <c r="J93" s="1097"/>
      <c r="K93" s="1097">
        <f t="shared" si="3"/>
        <v>0</v>
      </c>
      <c r="L93" s="1097"/>
      <c r="M93" s="1097">
        <f t="shared" si="4"/>
        <v>0</v>
      </c>
      <c r="O93" s="1775">
        <v>-51712</v>
      </c>
      <c r="P93" s="1775">
        <v>188538</v>
      </c>
      <c r="Q93" s="1775">
        <v>-240250</v>
      </c>
      <c r="R93" s="1775">
        <v>0</v>
      </c>
      <c r="S93" s="1775">
        <v>0</v>
      </c>
      <c r="T93" s="1776">
        <v>0</v>
      </c>
      <c r="U93" s="1776">
        <v>0</v>
      </c>
      <c r="V93" s="1776">
        <v>-240250</v>
      </c>
      <c r="W93" s="1087"/>
    </row>
    <row r="94" spans="1:23" ht="12.75" x14ac:dyDescent="0.2">
      <c r="A94" s="1085">
        <f t="shared" si="1"/>
        <v>17</v>
      </c>
      <c r="B94" s="1087"/>
      <c r="C94" s="1097" t="s">
        <v>77</v>
      </c>
      <c r="D94" s="1097"/>
      <c r="E94" s="1094">
        <f t="shared" si="5"/>
        <v>0</v>
      </c>
      <c r="F94" s="1097"/>
      <c r="G94" s="1097">
        <f t="shared" si="2"/>
        <v>0</v>
      </c>
      <c r="H94" s="1097"/>
      <c r="I94" s="1097">
        <f t="shared" si="6"/>
        <v>0</v>
      </c>
      <c r="J94" s="1097"/>
      <c r="K94" s="1097">
        <f t="shared" si="3"/>
        <v>0</v>
      </c>
      <c r="L94" s="1097"/>
      <c r="M94" s="1097">
        <f t="shared" si="4"/>
        <v>0</v>
      </c>
      <c r="O94" s="1775">
        <v>0</v>
      </c>
      <c r="P94" s="1775">
        <v>0</v>
      </c>
      <c r="Q94" s="1775">
        <v>0</v>
      </c>
      <c r="R94" s="1775">
        <v>0</v>
      </c>
      <c r="S94" s="1775">
        <v>0</v>
      </c>
      <c r="T94" s="1776">
        <v>0</v>
      </c>
      <c r="U94" s="1776">
        <v>0</v>
      </c>
      <c r="V94" s="1776">
        <v>0</v>
      </c>
      <c r="W94" s="1087"/>
    </row>
    <row r="95" spans="1:23" ht="12.75" x14ac:dyDescent="0.2">
      <c r="A95" s="1085">
        <f t="shared" si="1"/>
        <v>18</v>
      </c>
      <c r="B95" s="1087"/>
      <c r="C95" s="1097" t="s">
        <v>78</v>
      </c>
      <c r="D95" s="1097"/>
      <c r="E95" s="1094">
        <f t="shared" si="5"/>
        <v>1950000</v>
      </c>
      <c r="F95" s="1097"/>
      <c r="G95" s="1097">
        <f t="shared" si="2"/>
        <v>-1950000</v>
      </c>
      <c r="H95" s="1097"/>
      <c r="I95" s="1097">
        <f t="shared" si="6"/>
        <v>0</v>
      </c>
      <c r="J95" s="1097"/>
      <c r="K95" s="1097">
        <f t="shared" si="3"/>
        <v>0</v>
      </c>
      <c r="L95" s="1097"/>
      <c r="M95" s="1097">
        <f t="shared" si="4"/>
        <v>0</v>
      </c>
      <c r="O95" s="1775">
        <v>1255725</v>
      </c>
      <c r="P95" s="1775">
        <v>1255725</v>
      </c>
      <c r="Q95" s="1775">
        <v>0</v>
      </c>
      <c r="R95" s="1775">
        <v>0</v>
      </c>
      <c r="S95" s="1775">
        <v>2925000</v>
      </c>
      <c r="T95" s="1776">
        <v>1950000</v>
      </c>
      <c r="U95" s="1776">
        <v>1950000</v>
      </c>
      <c r="V95" s="1776">
        <v>1950000</v>
      </c>
      <c r="W95" s="1087"/>
    </row>
    <row r="96" spans="1:23" ht="12.75" x14ac:dyDescent="0.2">
      <c r="A96" s="1085">
        <f t="shared" si="1"/>
        <v>19</v>
      </c>
      <c r="B96" s="1087"/>
      <c r="C96" s="1097" t="s">
        <v>79</v>
      </c>
      <c r="D96" s="1097"/>
      <c r="E96" s="1094">
        <f t="shared" si="5"/>
        <v>0</v>
      </c>
      <c r="F96" s="1097"/>
      <c r="G96" s="1097">
        <f t="shared" si="2"/>
        <v>0</v>
      </c>
      <c r="H96" s="1097"/>
      <c r="I96" s="1097">
        <f t="shared" si="6"/>
        <v>0</v>
      </c>
      <c r="J96" s="1097"/>
      <c r="K96" s="1097">
        <f t="shared" si="3"/>
        <v>0</v>
      </c>
      <c r="L96" s="1097"/>
      <c r="M96" s="1097">
        <f t="shared" si="4"/>
        <v>0</v>
      </c>
      <c r="O96" s="1775">
        <v>0</v>
      </c>
      <c r="P96" s="1775">
        <v>0</v>
      </c>
      <c r="Q96" s="1775">
        <v>0</v>
      </c>
      <c r="R96" s="1775">
        <v>0</v>
      </c>
      <c r="S96" s="1775">
        <v>0</v>
      </c>
      <c r="T96" s="1776">
        <v>0</v>
      </c>
      <c r="U96" s="1776">
        <v>0</v>
      </c>
      <c r="V96" s="1776">
        <v>0</v>
      </c>
      <c r="W96" s="1087"/>
    </row>
    <row r="97" spans="1:23" ht="12.75" x14ac:dyDescent="0.2">
      <c r="A97" s="1085">
        <f t="shared" si="1"/>
        <v>20</v>
      </c>
      <c r="B97" s="1087"/>
      <c r="C97" s="1097" t="s">
        <v>80</v>
      </c>
      <c r="D97" s="1097"/>
      <c r="E97" s="1094">
        <f t="shared" si="5"/>
        <v>-3783</v>
      </c>
      <c r="F97" s="1097"/>
      <c r="G97" s="1097">
        <f t="shared" si="2"/>
        <v>3783</v>
      </c>
      <c r="H97" s="1097"/>
      <c r="I97" s="1097">
        <f t="shared" si="6"/>
        <v>0</v>
      </c>
      <c r="J97" s="1097"/>
      <c r="K97" s="1097">
        <f t="shared" si="3"/>
        <v>0</v>
      </c>
      <c r="L97" s="1097"/>
      <c r="M97" s="1097">
        <f t="shared" si="4"/>
        <v>0</v>
      </c>
      <c r="O97" s="1775">
        <v>11769</v>
      </c>
      <c r="P97" s="1775">
        <v>15552</v>
      </c>
      <c r="Q97" s="1775">
        <v>-3783</v>
      </c>
      <c r="R97" s="1775">
        <v>0</v>
      </c>
      <c r="S97" s="1775">
        <v>0</v>
      </c>
      <c r="T97" s="1776">
        <v>0</v>
      </c>
      <c r="U97" s="1776">
        <v>0</v>
      </c>
      <c r="V97" s="1776">
        <v>-3783</v>
      </c>
      <c r="W97" s="1087"/>
    </row>
    <row r="98" spans="1:23" ht="12.75" x14ac:dyDescent="0.2">
      <c r="A98" s="1085">
        <f t="shared" si="1"/>
        <v>21</v>
      </c>
      <c r="B98" s="1087"/>
      <c r="C98" s="1097" t="s">
        <v>81</v>
      </c>
      <c r="D98" s="1097"/>
      <c r="E98" s="1094">
        <f t="shared" si="5"/>
        <v>-1674944</v>
      </c>
      <c r="F98" s="1097"/>
      <c r="G98" s="1097">
        <f t="shared" si="2"/>
        <v>1674944</v>
      </c>
      <c r="H98" s="1097"/>
      <c r="I98" s="1097">
        <f t="shared" si="6"/>
        <v>0</v>
      </c>
      <c r="J98" s="1097"/>
      <c r="K98" s="1097">
        <f t="shared" si="3"/>
        <v>0</v>
      </c>
      <c r="L98" s="1097"/>
      <c r="M98" s="1097">
        <f t="shared" si="4"/>
        <v>0</v>
      </c>
      <c r="O98" s="1775">
        <v>-908018</v>
      </c>
      <c r="P98" s="1775">
        <v>0</v>
      </c>
      <c r="Q98" s="1775">
        <v>-908018</v>
      </c>
      <c r="R98" s="1775">
        <v>0</v>
      </c>
      <c r="S98" s="1775">
        <v>-1150389</v>
      </c>
      <c r="T98" s="1776">
        <v>-766926</v>
      </c>
      <c r="U98" s="1776">
        <v>-766926</v>
      </c>
      <c r="V98" s="1776">
        <v>-1674944</v>
      </c>
      <c r="W98" s="1087"/>
    </row>
    <row r="99" spans="1:23" ht="12.75" x14ac:dyDescent="0.2">
      <c r="A99" s="1085">
        <f t="shared" si="1"/>
        <v>22</v>
      </c>
      <c r="B99" s="1087"/>
      <c r="C99" s="1097" t="s">
        <v>82</v>
      </c>
      <c r="D99" s="1097"/>
      <c r="E99" s="1094">
        <f t="shared" si="5"/>
        <v>-393712.33333333337</v>
      </c>
      <c r="F99" s="1097"/>
      <c r="G99" s="1097">
        <f t="shared" si="2"/>
        <v>393712.33333333337</v>
      </c>
      <c r="H99" s="1097"/>
      <c r="I99" s="1097">
        <f t="shared" si="6"/>
        <v>0</v>
      </c>
      <c r="J99" s="1097"/>
      <c r="K99" s="1097">
        <f t="shared" si="3"/>
        <v>0</v>
      </c>
      <c r="L99" s="1097"/>
      <c r="M99" s="1097">
        <f t="shared" si="4"/>
        <v>0</v>
      </c>
      <c r="O99" s="1775">
        <v>-627068</v>
      </c>
      <c r="P99" s="1775">
        <v>-386689</v>
      </c>
      <c r="Q99" s="1775">
        <v>-240379</v>
      </c>
      <c r="R99" s="1775">
        <v>-93636</v>
      </c>
      <c r="S99" s="1775">
        <v>-230000</v>
      </c>
      <c r="T99" s="1776">
        <v>-153333.33333333334</v>
      </c>
      <c r="U99" s="1776">
        <v>-59697.333333333343</v>
      </c>
      <c r="V99" s="1776">
        <v>-393712.33333333337</v>
      </c>
      <c r="W99" s="1087"/>
    </row>
    <row r="100" spans="1:23" ht="12.75" x14ac:dyDescent="0.2">
      <c r="A100" s="1085">
        <f t="shared" si="1"/>
        <v>23</v>
      </c>
      <c r="B100" s="1087"/>
      <c r="C100" s="1097" t="s">
        <v>83</v>
      </c>
      <c r="D100" s="1097"/>
      <c r="E100" s="1094">
        <f t="shared" si="5"/>
        <v>637496</v>
      </c>
      <c r="F100" s="1097"/>
      <c r="G100" s="1097">
        <f t="shared" si="2"/>
        <v>-637496</v>
      </c>
      <c r="H100" s="1097"/>
      <c r="I100" s="1097">
        <f t="shared" si="6"/>
        <v>0</v>
      </c>
      <c r="J100" s="1097"/>
      <c r="K100" s="1097">
        <f t="shared" si="3"/>
        <v>0</v>
      </c>
      <c r="L100" s="1097"/>
      <c r="M100" s="1097">
        <f t="shared" si="4"/>
        <v>0</v>
      </c>
      <c r="O100" s="1775">
        <v>317073</v>
      </c>
      <c r="P100" s="1775">
        <v>-109041</v>
      </c>
      <c r="Q100" s="1775">
        <v>426114</v>
      </c>
      <c r="R100" s="1775">
        <v>2271</v>
      </c>
      <c r="S100" s="1775">
        <v>317073</v>
      </c>
      <c r="T100" s="1776">
        <v>211382</v>
      </c>
      <c r="U100" s="1776">
        <v>209111</v>
      </c>
      <c r="V100" s="1776">
        <v>637496</v>
      </c>
      <c r="W100" s="1087"/>
    </row>
    <row r="101" spans="1:23" ht="12.75" x14ac:dyDescent="0.2">
      <c r="A101" s="1085">
        <f t="shared" si="1"/>
        <v>24</v>
      </c>
      <c r="B101" s="1087"/>
      <c r="C101" s="1097" t="s">
        <v>84</v>
      </c>
      <c r="D101" s="1097"/>
      <c r="E101" s="1094">
        <f t="shared" si="5"/>
        <v>-142628</v>
      </c>
      <c r="F101" s="1097"/>
      <c r="G101" s="1097">
        <f t="shared" si="2"/>
        <v>142628</v>
      </c>
      <c r="H101" s="1097"/>
      <c r="I101" s="1097">
        <f t="shared" si="6"/>
        <v>0</v>
      </c>
      <c r="J101" s="1097"/>
      <c r="K101" s="1097">
        <f t="shared" si="3"/>
        <v>0</v>
      </c>
      <c r="L101" s="1097"/>
      <c r="M101" s="1097">
        <f t="shared" si="4"/>
        <v>0</v>
      </c>
      <c r="O101" s="1775">
        <v>-435873</v>
      </c>
      <c r="P101" s="1775">
        <v>-293245</v>
      </c>
      <c r="Q101" s="1775">
        <v>-142628</v>
      </c>
      <c r="R101" s="1775">
        <v>-320971</v>
      </c>
      <c r="S101" s="1775">
        <v>0</v>
      </c>
      <c r="T101" s="1776">
        <v>0</v>
      </c>
      <c r="U101" s="1776">
        <v>320971</v>
      </c>
      <c r="V101" s="1776">
        <v>-142628</v>
      </c>
      <c r="W101" s="1087"/>
    </row>
    <row r="102" spans="1:23" ht="12.75" x14ac:dyDescent="0.2">
      <c r="A102" s="1085">
        <f t="shared" si="1"/>
        <v>25</v>
      </c>
      <c r="B102" s="1087"/>
      <c r="C102" s="1097" t="s">
        <v>85</v>
      </c>
      <c r="D102" s="1097"/>
      <c r="E102" s="1094">
        <f t="shared" si="5"/>
        <v>302647.66666666663</v>
      </c>
      <c r="F102" s="1097"/>
      <c r="G102" s="1097">
        <f t="shared" si="2"/>
        <v>-302647.66666666663</v>
      </c>
      <c r="H102" s="1097"/>
      <c r="I102" s="1097">
        <f t="shared" si="6"/>
        <v>0</v>
      </c>
      <c r="J102" s="1097"/>
      <c r="K102" s="1097">
        <f t="shared" si="3"/>
        <v>0</v>
      </c>
      <c r="L102" s="1097"/>
      <c r="M102" s="1097">
        <f t="shared" si="4"/>
        <v>0</v>
      </c>
      <c r="O102" s="1775">
        <v>172245</v>
      </c>
      <c r="P102" s="1775">
        <v>74264</v>
      </c>
      <c r="Q102" s="1775">
        <v>97981</v>
      </c>
      <c r="R102" s="1775">
        <v>92604</v>
      </c>
      <c r="S102" s="1775">
        <v>307000</v>
      </c>
      <c r="T102" s="1776">
        <v>204666.66666666666</v>
      </c>
      <c r="U102" s="1776">
        <v>112062.66666666666</v>
      </c>
      <c r="V102" s="1776">
        <v>302647.66666666663</v>
      </c>
      <c r="W102" s="1087"/>
    </row>
    <row r="103" spans="1:23" ht="12.75" x14ac:dyDescent="0.2">
      <c r="A103" s="1085">
        <f t="shared" si="1"/>
        <v>26</v>
      </c>
      <c r="B103" s="1087"/>
      <c r="C103" s="1097" t="s">
        <v>86</v>
      </c>
      <c r="D103" s="1097"/>
      <c r="E103" s="1094">
        <f t="shared" si="5"/>
        <v>0</v>
      </c>
      <c r="F103" s="1097"/>
      <c r="G103" s="1097">
        <v>0</v>
      </c>
      <c r="H103" s="1097"/>
      <c r="I103" s="1097">
        <f t="shared" si="6"/>
        <v>0</v>
      </c>
      <c r="J103" s="1097"/>
      <c r="K103" s="1097">
        <f t="shared" si="3"/>
        <v>0</v>
      </c>
      <c r="L103" s="1097"/>
      <c r="M103" s="1097">
        <f t="shared" si="4"/>
        <v>0</v>
      </c>
      <c r="O103" s="1775">
        <v>0</v>
      </c>
      <c r="P103" s="1775">
        <v>0</v>
      </c>
      <c r="Q103" s="1775">
        <v>0</v>
      </c>
      <c r="R103" s="1775">
        <v>0</v>
      </c>
      <c r="S103" s="1775">
        <v>0</v>
      </c>
      <c r="T103" s="1776">
        <v>0</v>
      </c>
      <c r="U103" s="1776">
        <v>0</v>
      </c>
      <c r="V103" s="1776">
        <v>0</v>
      </c>
      <c r="W103" s="1087"/>
    </row>
    <row r="104" spans="1:23" ht="12.75" x14ac:dyDescent="0.2">
      <c r="A104" s="1085">
        <f t="shared" si="1"/>
        <v>27</v>
      </c>
      <c r="B104" s="1087"/>
      <c r="C104" s="1097" t="s">
        <v>87</v>
      </c>
      <c r="D104" s="1097"/>
      <c r="E104" s="1095">
        <f t="shared" si="5"/>
        <v>344991.33333333326</v>
      </c>
      <c r="F104" s="1097"/>
      <c r="G104" s="1424">
        <f t="shared" si="2"/>
        <v>-344991.33333333326</v>
      </c>
      <c r="H104" s="1097"/>
      <c r="I104" s="1098">
        <f t="shared" si="6"/>
        <v>0</v>
      </c>
      <c r="J104" s="1392"/>
      <c r="K104" s="1098">
        <f t="shared" si="3"/>
        <v>0</v>
      </c>
      <c r="L104" s="1392"/>
      <c r="M104" s="1098">
        <f t="shared" si="4"/>
        <v>0</v>
      </c>
      <c r="O104" s="1777">
        <v>-1131785</v>
      </c>
      <c r="P104" s="1777">
        <v>-1483623</v>
      </c>
      <c r="Q104" s="1777">
        <v>351838</v>
      </c>
      <c r="R104" s="1777">
        <v>-1801470</v>
      </c>
      <c r="S104" s="1777">
        <v>-10270</v>
      </c>
      <c r="T104" s="1778">
        <v>-6846.666666666667</v>
      </c>
      <c r="U104" s="1778">
        <v>1794623.3333333333</v>
      </c>
      <c r="V104" s="1778">
        <v>344991.33333333326</v>
      </c>
      <c r="W104" s="1087"/>
    </row>
    <row r="105" spans="1:23" ht="12.75" x14ac:dyDescent="0.2">
      <c r="A105" s="1085"/>
      <c r="B105" s="1087"/>
      <c r="C105" s="1097"/>
      <c r="D105" s="1097"/>
      <c r="E105" s="1097"/>
      <c r="F105" s="1097"/>
      <c r="G105" s="1097"/>
      <c r="H105" s="1097"/>
      <c r="I105" s="1097"/>
      <c r="J105" s="1097"/>
      <c r="K105" s="1097"/>
      <c r="L105" s="1097"/>
      <c r="M105" s="1097"/>
      <c r="O105" s="1776"/>
      <c r="P105" s="1776"/>
      <c r="Q105" s="1776"/>
      <c r="R105" s="1776"/>
      <c r="S105" s="1776"/>
      <c r="T105" s="1776"/>
      <c r="U105" s="1776"/>
      <c r="V105" s="1776"/>
      <c r="W105" s="1087"/>
    </row>
    <row r="106" spans="1:23" ht="12.75" x14ac:dyDescent="0.2">
      <c r="A106" s="1085">
        <f>A104+1</f>
        <v>28</v>
      </c>
      <c r="B106" s="1087"/>
      <c r="C106" s="1097" t="s">
        <v>88</v>
      </c>
      <c r="D106" s="1097"/>
      <c r="E106" s="1424">
        <f>SUM(E85:E104)</f>
        <v>-27597985.999999996</v>
      </c>
      <c r="F106" s="1097"/>
      <c r="G106" s="1424">
        <f>SUM(G85:G104)</f>
        <v>-1223217.9999999995</v>
      </c>
      <c r="H106" s="1097"/>
      <c r="I106" s="1424">
        <f>SUM(I85:I104)</f>
        <v>0</v>
      </c>
      <c r="J106" s="1392"/>
      <c r="K106" s="1424">
        <f>SUM(K85:K104)</f>
        <v>0</v>
      </c>
      <c r="L106" s="1392"/>
      <c r="M106" s="1424">
        <f>SUM(M85:M104)</f>
        <v>0</v>
      </c>
      <c r="O106" s="1781">
        <v>-22225435</v>
      </c>
      <c r="P106" s="1781">
        <v>-5762803</v>
      </c>
      <c r="Q106" s="1781">
        <v>-16462632</v>
      </c>
      <c r="R106" s="1781">
        <v>-5263529</v>
      </c>
      <c r="S106" s="1781">
        <v>-16703031</v>
      </c>
      <c r="T106" s="1781">
        <v>-11135354.000000002</v>
      </c>
      <c r="U106" s="1781">
        <v>-5871825.0000000009</v>
      </c>
      <c r="V106" s="1781">
        <v>-27597985.999999996</v>
      </c>
      <c r="W106" s="1087"/>
    </row>
    <row r="107" spans="1:23" ht="12.75" x14ac:dyDescent="0.2">
      <c r="A107" s="1085"/>
      <c r="B107" s="1087"/>
      <c r="C107" s="1097"/>
      <c r="D107" s="1097"/>
      <c r="E107" s="1097"/>
      <c r="F107" s="1097"/>
      <c r="G107" s="1097"/>
      <c r="H107" s="1097"/>
      <c r="I107" s="1097"/>
      <c r="J107" s="1097"/>
      <c r="K107" s="1097"/>
      <c r="L107" s="1097"/>
      <c r="M107" s="1097"/>
      <c r="O107" s="1776"/>
      <c r="P107" s="1776"/>
      <c r="Q107" s="1776"/>
      <c r="R107" s="1776"/>
      <c r="S107" s="1776"/>
      <c r="T107" s="1776"/>
      <c r="U107" s="1776"/>
      <c r="V107" s="1776"/>
      <c r="W107" s="1087"/>
    </row>
    <row r="108" spans="1:23" ht="12.75" x14ac:dyDescent="0.2">
      <c r="A108" s="1085">
        <f>A106+1</f>
        <v>29</v>
      </c>
      <c r="B108" s="1087"/>
      <c r="C108" s="1097" t="s">
        <v>89</v>
      </c>
      <c r="D108" s="1097"/>
      <c r="E108" s="1097">
        <f>E82+E106</f>
        <v>-27506163.666666664</v>
      </c>
      <c r="F108" s="1097"/>
      <c r="G108" s="1097">
        <f>G82+G106</f>
        <v>-1240143.3333333328</v>
      </c>
      <c r="H108" s="1097"/>
      <c r="I108" s="1097">
        <f>I82+I106</f>
        <v>74897</v>
      </c>
      <c r="J108" s="1097"/>
      <c r="K108" s="1097">
        <f>K82+K106</f>
        <v>0</v>
      </c>
      <c r="L108" s="1097"/>
      <c r="M108" s="1097">
        <f>M82+M106</f>
        <v>74897</v>
      </c>
      <c r="O108" s="1776">
        <v>-22271564</v>
      </c>
      <c r="P108" s="1776">
        <v>-5811989</v>
      </c>
      <c r="Q108" s="1776">
        <v>-16459575</v>
      </c>
      <c r="R108" s="1776">
        <v>-5278283</v>
      </c>
      <c r="S108" s="1776">
        <v>-16569883</v>
      </c>
      <c r="T108" s="1776">
        <v>-11046588.666666668</v>
      </c>
      <c r="U108" s="1776">
        <v>-5768305.6666666679</v>
      </c>
      <c r="V108" s="1776">
        <v>-27506163.666666664</v>
      </c>
      <c r="W108" s="1087"/>
    </row>
    <row r="109" spans="1:23" ht="11.25" x14ac:dyDescent="0.2">
      <c r="A109" s="1396"/>
      <c r="B109" s="1088"/>
      <c r="C109" s="1421"/>
      <c r="D109" s="1421"/>
      <c r="E109" s="1421"/>
      <c r="F109" s="1421"/>
      <c r="G109" s="1421"/>
      <c r="H109" s="1421"/>
      <c r="I109" s="1421"/>
      <c r="J109" s="1421"/>
      <c r="K109" s="1421"/>
      <c r="L109" s="1421"/>
      <c r="M109" s="1421"/>
    </row>
    <row r="110" spans="1:23" ht="12.75" x14ac:dyDescent="0.2">
      <c r="A110" s="1390">
        <f>A108+1</f>
        <v>30</v>
      </c>
      <c r="B110" s="1099"/>
      <c r="C110" s="1392" t="s">
        <v>90</v>
      </c>
      <c r="D110" s="1434"/>
      <c r="E110" s="1392">
        <f>V110</f>
        <v>14646528</v>
      </c>
      <c r="F110" s="1392"/>
      <c r="G110" s="1097">
        <f>I110-E110</f>
        <v>-14646528</v>
      </c>
      <c r="H110" s="1392"/>
      <c r="I110" s="1392">
        <v>0</v>
      </c>
      <c r="J110" s="1392"/>
      <c r="K110" s="1097">
        <f>M110-I110</f>
        <v>0</v>
      </c>
      <c r="L110" s="1392"/>
      <c r="M110" s="1392">
        <f>I110</f>
        <v>0</v>
      </c>
      <c r="N110" s="1100"/>
      <c r="O110" s="1775">
        <v>7237765</v>
      </c>
      <c r="P110" s="1775">
        <v>-2876092</v>
      </c>
      <c r="Q110" s="1775">
        <v>10113857</v>
      </c>
      <c r="R110" s="1775">
        <v>893696</v>
      </c>
      <c r="S110" s="1775">
        <v>5364325</v>
      </c>
      <c r="T110" s="1775">
        <v>3576216.6666666665</v>
      </c>
      <c r="U110" s="1775">
        <v>3638975</v>
      </c>
      <c r="V110" s="1775">
        <v>14646528</v>
      </c>
    </row>
    <row r="111" spans="1:23" ht="11.25" x14ac:dyDescent="0.2">
      <c r="A111" s="1397"/>
      <c r="B111" s="1099"/>
      <c r="C111" s="1434"/>
      <c r="D111" s="1434"/>
      <c r="E111" s="1434"/>
      <c r="F111" s="1434"/>
      <c r="G111" s="1434"/>
      <c r="H111" s="1434"/>
      <c r="I111" s="1434"/>
      <c r="J111" s="1434"/>
      <c r="K111" s="1434"/>
      <c r="L111" s="1434"/>
      <c r="M111" s="1434"/>
    </row>
    <row r="112" spans="1:23" ht="12.75" x14ac:dyDescent="0.2">
      <c r="A112" s="1085">
        <f>A110+1</f>
        <v>31</v>
      </c>
      <c r="B112" s="1087"/>
      <c r="C112" s="1097" t="s">
        <v>91</v>
      </c>
      <c r="D112" s="1097"/>
      <c r="E112" s="1097">
        <f>E108+E110</f>
        <v>-12859635.666666664</v>
      </c>
      <c r="F112" s="1097"/>
      <c r="G112" s="1097">
        <f>G86+G110</f>
        <v>-13575021</v>
      </c>
      <c r="H112" s="1097"/>
      <c r="I112" s="1097">
        <f>I86+I110</f>
        <v>0</v>
      </c>
      <c r="J112" s="1097"/>
      <c r="K112" s="1097">
        <f>K86+K110</f>
        <v>0</v>
      </c>
      <c r="L112" s="1097"/>
      <c r="M112" s="1097">
        <f>M86+M110</f>
        <v>0</v>
      </c>
      <c r="O112" s="1776">
        <v>-15033799</v>
      </c>
      <c r="P112" s="1776">
        <v>-8688081</v>
      </c>
      <c r="Q112" s="1776">
        <v>-6345718</v>
      </c>
      <c r="R112" s="1776">
        <v>-4384587</v>
      </c>
      <c r="S112" s="1776">
        <v>-11205558</v>
      </c>
      <c r="T112" s="1776">
        <v>-7470372.0000000019</v>
      </c>
      <c r="U112" s="1776">
        <v>-2129330.6666666679</v>
      </c>
      <c r="V112" s="1776">
        <v>-12859635.666666664</v>
      </c>
    </row>
    <row r="113" spans="1:13" ht="11.25" x14ac:dyDescent="0.2">
      <c r="A113" s="1397"/>
      <c r="B113" s="1099"/>
      <c r="C113" s="1434"/>
      <c r="D113" s="1434"/>
      <c r="E113" s="1434"/>
      <c r="F113" s="1434"/>
      <c r="G113" s="1434"/>
      <c r="H113" s="1434"/>
      <c r="I113" s="1434"/>
      <c r="J113" s="1434"/>
      <c r="K113" s="1434"/>
      <c r="L113" s="1434"/>
      <c r="M113" s="1434"/>
    </row>
    <row r="114" spans="1:13" ht="11.25" x14ac:dyDescent="0.2">
      <c r="A114" s="1397"/>
      <c r="B114" s="1099"/>
      <c r="C114" s="1434"/>
      <c r="D114" s="1434"/>
      <c r="E114" s="1434"/>
      <c r="F114" s="1434"/>
      <c r="G114" s="1434"/>
      <c r="H114" s="1434"/>
      <c r="I114" s="1434"/>
      <c r="J114" s="1434"/>
      <c r="K114" s="1434"/>
      <c r="L114" s="1434"/>
      <c r="M114" s="1434"/>
    </row>
    <row r="115" spans="1:13" ht="11.25" x14ac:dyDescent="0.2">
      <c r="A115" s="1397"/>
      <c r="B115" s="1099"/>
      <c r="C115" s="1434"/>
      <c r="D115" s="1434"/>
      <c r="E115" s="1434"/>
      <c r="F115" s="1434"/>
      <c r="G115" s="1434"/>
      <c r="H115" s="1434"/>
      <c r="I115" s="1434"/>
      <c r="J115" s="1434"/>
      <c r="K115" s="1434"/>
      <c r="L115" s="1434"/>
      <c r="M115" s="1434"/>
    </row>
    <row r="116" spans="1:13" ht="11.25" x14ac:dyDescent="0.2">
      <c r="A116" s="1397"/>
      <c r="B116" s="1099"/>
      <c r="C116" s="1434"/>
      <c r="D116" s="1434"/>
      <c r="E116" s="1434"/>
      <c r="F116" s="1434"/>
      <c r="G116" s="1434"/>
      <c r="H116" s="1434"/>
      <c r="I116" s="1434"/>
      <c r="J116" s="1434"/>
      <c r="K116" s="1434"/>
      <c r="L116" s="1434"/>
      <c r="M116" s="1434"/>
    </row>
    <row r="117" spans="1:13" ht="11.25" x14ac:dyDescent="0.2">
      <c r="A117" s="1397"/>
      <c r="B117" s="1099"/>
      <c r="C117" s="1434"/>
      <c r="D117" s="1434"/>
      <c r="E117" s="1434"/>
      <c r="F117" s="1434"/>
      <c r="G117" s="1434"/>
      <c r="H117" s="1434"/>
      <c r="I117" s="1434"/>
      <c r="J117" s="1434"/>
      <c r="K117" s="1434"/>
      <c r="L117" s="1434"/>
      <c r="M117" s="1434"/>
    </row>
    <row r="118" spans="1:13" ht="11.25" x14ac:dyDescent="0.2">
      <c r="A118" s="1397"/>
      <c r="B118" s="1099"/>
      <c r="C118" s="1434"/>
      <c r="D118" s="1434"/>
      <c r="E118" s="1434"/>
      <c r="F118" s="1434"/>
      <c r="G118" s="1434"/>
      <c r="H118" s="1434"/>
      <c r="I118" s="1434"/>
      <c r="J118" s="1434"/>
      <c r="K118" s="1434"/>
      <c r="L118" s="1434"/>
      <c r="M118" s="1434"/>
    </row>
    <row r="119" spans="1:13" ht="11.25" x14ac:dyDescent="0.2">
      <c r="A119" s="1397"/>
      <c r="B119" s="1099"/>
      <c r="C119" s="1434"/>
      <c r="D119" s="1434"/>
      <c r="E119" s="1434"/>
      <c r="F119" s="1434"/>
      <c r="G119" s="1434"/>
      <c r="H119" s="1434"/>
      <c r="I119" s="1434"/>
      <c r="J119" s="1434"/>
      <c r="K119" s="1434"/>
      <c r="L119" s="1434"/>
      <c r="M119" s="1434"/>
    </row>
    <row r="120" spans="1:13" ht="11.25" x14ac:dyDescent="0.2">
      <c r="A120" s="1397"/>
      <c r="B120" s="1099"/>
      <c r="C120" s="1434"/>
      <c r="D120" s="1434"/>
      <c r="E120" s="1434"/>
      <c r="F120" s="1434"/>
      <c r="G120" s="1434"/>
      <c r="H120" s="1434"/>
      <c r="I120" s="1434"/>
      <c r="J120" s="1434"/>
      <c r="K120" s="1434"/>
      <c r="L120" s="1434"/>
      <c r="M120" s="1434"/>
    </row>
    <row r="121" spans="1:13" ht="11.25" x14ac:dyDescent="0.2">
      <c r="A121" s="1397"/>
      <c r="B121" s="1099"/>
      <c r="C121" s="1434"/>
      <c r="D121" s="1434"/>
      <c r="E121" s="1434"/>
      <c r="F121" s="1434"/>
      <c r="G121" s="1434"/>
      <c r="H121" s="1434"/>
      <c r="I121" s="1434"/>
      <c r="J121" s="1434"/>
      <c r="K121" s="1434"/>
      <c r="L121" s="1434"/>
      <c r="M121" s="1434"/>
    </row>
    <row r="122" spans="1:13" ht="11.25" x14ac:dyDescent="0.2">
      <c r="A122" s="1397"/>
      <c r="B122" s="1099"/>
      <c r="C122" s="1434"/>
      <c r="D122" s="1434"/>
      <c r="E122" s="1434"/>
      <c r="F122" s="1434"/>
      <c r="G122" s="1434"/>
      <c r="H122" s="1434"/>
      <c r="I122" s="1434"/>
      <c r="J122" s="1434"/>
      <c r="K122" s="1434"/>
      <c r="L122" s="1434"/>
      <c r="M122" s="1434"/>
    </row>
    <row r="123" spans="1:13" ht="11.25" x14ac:dyDescent="0.2">
      <c r="A123" s="1397"/>
      <c r="B123" s="1099"/>
      <c r="C123" s="1434"/>
      <c r="D123" s="1434"/>
      <c r="E123" s="1434"/>
      <c r="F123" s="1434"/>
      <c r="G123" s="1434"/>
      <c r="H123" s="1434"/>
      <c r="I123" s="1434"/>
      <c r="J123" s="1434"/>
      <c r="K123" s="1434"/>
      <c r="L123" s="1434"/>
      <c r="M123" s="1434"/>
    </row>
    <row r="124" spans="1:13" ht="11.25" x14ac:dyDescent="0.2">
      <c r="A124" s="1397"/>
      <c r="B124" s="1099"/>
      <c r="C124" s="1434"/>
      <c r="D124" s="1434"/>
      <c r="E124" s="1434"/>
      <c r="F124" s="1434"/>
      <c r="G124" s="1434"/>
      <c r="H124" s="1434"/>
      <c r="I124" s="1434"/>
      <c r="J124" s="1434"/>
      <c r="K124" s="1434"/>
      <c r="L124" s="1434"/>
      <c r="M124" s="1434"/>
    </row>
    <row r="125" spans="1:13" ht="11.25" x14ac:dyDescent="0.2">
      <c r="A125" s="1397"/>
      <c r="B125" s="1099"/>
      <c r="C125" s="1434"/>
      <c r="D125" s="1434"/>
      <c r="E125" s="1434"/>
      <c r="F125" s="1434"/>
      <c r="G125" s="1434"/>
      <c r="H125" s="1434"/>
      <c r="I125" s="1434"/>
      <c r="J125" s="1434"/>
      <c r="K125" s="1434"/>
      <c r="L125" s="1434"/>
      <c r="M125" s="1434"/>
    </row>
    <row r="126" spans="1:13" ht="11.25" x14ac:dyDescent="0.2">
      <c r="A126" s="1397"/>
      <c r="B126" s="1099"/>
      <c r="C126" s="1434"/>
      <c r="D126" s="1434"/>
      <c r="E126" s="1434"/>
      <c r="F126" s="1434"/>
      <c r="G126" s="1434"/>
      <c r="H126" s="1434"/>
      <c r="I126" s="1434"/>
      <c r="J126" s="1434"/>
      <c r="K126" s="1434"/>
      <c r="L126" s="1434"/>
      <c r="M126" s="1434"/>
    </row>
    <row r="127" spans="1:13" ht="11.25" x14ac:dyDescent="0.2">
      <c r="A127" s="1397"/>
      <c r="B127" s="1099"/>
      <c r="C127" s="1434"/>
      <c r="D127" s="1434"/>
      <c r="E127" s="1434"/>
      <c r="F127" s="1434"/>
      <c r="G127" s="1434"/>
      <c r="H127" s="1434"/>
      <c r="I127" s="1434"/>
      <c r="J127" s="1434"/>
      <c r="K127" s="1434"/>
      <c r="L127" s="1434"/>
      <c r="M127" s="1434"/>
    </row>
    <row r="128" spans="1:13" ht="11.25" x14ac:dyDescent="0.2">
      <c r="A128" s="1397"/>
      <c r="B128" s="1099"/>
      <c r="C128" s="1434"/>
      <c r="D128" s="1434"/>
      <c r="E128" s="1434"/>
      <c r="F128" s="1434"/>
      <c r="G128" s="1434"/>
      <c r="H128" s="1434"/>
      <c r="I128" s="1434"/>
      <c r="J128" s="1434"/>
      <c r="K128" s="1434"/>
      <c r="L128" s="1434"/>
      <c r="M128" s="1434"/>
    </row>
    <row r="129" spans="1:13" ht="11.25" x14ac:dyDescent="0.2">
      <c r="A129" s="1397"/>
      <c r="B129" s="1099"/>
      <c r="C129" s="1434"/>
      <c r="D129" s="1434"/>
      <c r="E129" s="1434"/>
      <c r="F129" s="1434"/>
      <c r="G129" s="1434"/>
      <c r="H129" s="1434"/>
      <c r="I129" s="1434"/>
      <c r="J129" s="1434"/>
      <c r="K129" s="1434"/>
      <c r="L129" s="1434"/>
      <c r="M129" s="1434"/>
    </row>
    <row r="130" spans="1:13" ht="11.25" x14ac:dyDescent="0.2">
      <c r="A130" s="1397"/>
      <c r="B130" s="1099"/>
      <c r="C130" s="1434"/>
      <c r="D130" s="1434"/>
      <c r="E130" s="1434"/>
      <c r="F130" s="1434"/>
      <c r="G130" s="1434"/>
      <c r="H130" s="1434"/>
      <c r="I130" s="1434"/>
      <c r="J130" s="1434"/>
      <c r="K130" s="1434"/>
      <c r="L130" s="1434"/>
      <c r="M130" s="1434"/>
    </row>
    <row r="131" spans="1:13" ht="11.25" x14ac:dyDescent="0.2">
      <c r="A131" s="1397"/>
      <c r="B131" s="1099"/>
      <c r="C131" s="1434"/>
      <c r="D131" s="1434"/>
      <c r="E131" s="1434"/>
      <c r="F131" s="1434"/>
      <c r="G131" s="1434"/>
      <c r="H131" s="1434"/>
      <c r="I131" s="1434"/>
      <c r="J131" s="1434"/>
      <c r="K131" s="1434"/>
      <c r="L131" s="1434"/>
      <c r="M131" s="1434"/>
    </row>
    <row r="132" spans="1:13" ht="11.25" x14ac:dyDescent="0.2">
      <c r="A132" s="1397"/>
      <c r="B132" s="1099"/>
      <c r="C132" s="1434"/>
      <c r="D132" s="1434"/>
      <c r="E132" s="1434"/>
      <c r="F132" s="1434"/>
      <c r="G132" s="1434"/>
      <c r="H132" s="1434"/>
      <c r="I132" s="1434"/>
      <c r="J132" s="1434"/>
      <c r="K132" s="1434"/>
      <c r="L132" s="1434"/>
      <c r="M132" s="1434"/>
    </row>
    <row r="133" spans="1:13" ht="11.25" x14ac:dyDescent="0.2">
      <c r="A133" s="1397"/>
      <c r="B133" s="1099"/>
      <c r="C133" s="1434"/>
      <c r="D133" s="1434"/>
      <c r="E133" s="1434"/>
      <c r="F133" s="1434"/>
      <c r="G133" s="1434"/>
      <c r="H133" s="1434"/>
      <c r="I133" s="1434"/>
      <c r="J133" s="1434"/>
      <c r="K133" s="1434"/>
      <c r="L133" s="1434"/>
      <c r="M133" s="1434"/>
    </row>
    <row r="134" spans="1:13" ht="11.25" x14ac:dyDescent="0.2">
      <c r="A134" s="1397"/>
      <c r="B134" s="1099"/>
      <c r="C134" s="1434"/>
      <c r="D134" s="1434"/>
      <c r="E134" s="1434"/>
      <c r="F134" s="1434"/>
      <c r="G134" s="1434"/>
      <c r="H134" s="1434"/>
      <c r="I134" s="1434"/>
      <c r="J134" s="1434"/>
      <c r="K134" s="1434"/>
      <c r="L134" s="1434"/>
      <c r="M134" s="1434"/>
    </row>
    <row r="135" spans="1:13" ht="11.25" x14ac:dyDescent="0.2">
      <c r="A135" s="1397"/>
      <c r="B135" s="1099"/>
      <c r="C135" s="1434"/>
      <c r="D135" s="1434"/>
      <c r="E135" s="1434"/>
      <c r="F135" s="1434"/>
      <c r="G135" s="1434"/>
      <c r="H135" s="1434"/>
      <c r="I135" s="1434"/>
      <c r="J135" s="1434"/>
      <c r="K135" s="1434"/>
      <c r="L135" s="1434"/>
      <c r="M135" s="1434"/>
    </row>
    <row r="136" spans="1:13" ht="11.25" x14ac:dyDescent="0.2">
      <c r="A136" s="1397"/>
      <c r="B136" s="1099"/>
      <c r="C136" s="1434"/>
      <c r="D136" s="1434"/>
      <c r="E136" s="1434"/>
      <c r="F136" s="1434"/>
      <c r="G136" s="1434"/>
      <c r="H136" s="1434"/>
      <c r="I136" s="1434"/>
      <c r="J136" s="1434"/>
      <c r="K136" s="1434"/>
      <c r="L136" s="1434"/>
      <c r="M136" s="1434"/>
    </row>
    <row r="137" spans="1:13" ht="11.25" x14ac:dyDescent="0.2">
      <c r="A137" s="1397"/>
      <c r="B137" s="1099"/>
      <c r="C137" s="1434"/>
      <c r="D137" s="1434"/>
      <c r="E137" s="1434"/>
      <c r="F137" s="1434"/>
      <c r="G137" s="1434"/>
      <c r="H137" s="1434"/>
      <c r="I137" s="1434"/>
      <c r="J137" s="1434"/>
      <c r="K137" s="1434"/>
      <c r="L137" s="1434"/>
      <c r="M137" s="1434"/>
    </row>
    <row r="138" spans="1:13" ht="11.25" x14ac:dyDescent="0.2">
      <c r="A138" s="1397"/>
      <c r="B138" s="1099"/>
      <c r="C138" s="1434"/>
      <c r="D138" s="1434"/>
      <c r="E138" s="1434"/>
      <c r="F138" s="1434"/>
      <c r="G138" s="1434"/>
      <c r="H138" s="1434"/>
      <c r="I138" s="1434"/>
      <c r="J138" s="1434"/>
      <c r="K138" s="1434"/>
      <c r="L138" s="1434"/>
      <c r="M138" s="1434"/>
    </row>
    <row r="139" spans="1:13" ht="11.25" x14ac:dyDescent="0.2">
      <c r="A139" s="1397"/>
      <c r="B139" s="1099"/>
      <c r="C139" s="1434"/>
      <c r="D139" s="1434"/>
      <c r="E139" s="1434"/>
      <c r="F139" s="1434"/>
      <c r="G139" s="1434"/>
      <c r="H139" s="1434"/>
      <c r="I139" s="1434"/>
      <c r="J139" s="1434"/>
      <c r="K139" s="1434"/>
      <c r="L139" s="1434"/>
      <c r="M139" s="1434"/>
    </row>
    <row r="140" spans="1:13" ht="11.25" x14ac:dyDescent="0.2">
      <c r="A140" s="1397"/>
      <c r="B140" s="1099"/>
      <c r="C140" s="1434"/>
      <c r="D140" s="1434"/>
      <c r="E140" s="1434"/>
      <c r="F140" s="1434"/>
      <c r="G140" s="1434"/>
      <c r="H140" s="1434"/>
      <c r="I140" s="1434"/>
      <c r="J140" s="1434"/>
      <c r="K140" s="1434"/>
      <c r="L140" s="1434"/>
      <c r="M140" s="1434"/>
    </row>
    <row r="141" spans="1:13" ht="11.25" x14ac:dyDescent="0.2">
      <c r="A141" s="1397"/>
      <c r="B141" s="1099"/>
      <c r="C141" s="1434"/>
      <c r="D141" s="1434"/>
      <c r="E141" s="1434"/>
      <c r="F141" s="1434"/>
      <c r="G141" s="1434"/>
      <c r="H141" s="1434"/>
      <c r="I141" s="1434"/>
      <c r="J141" s="1434"/>
      <c r="K141" s="1434"/>
      <c r="L141" s="1434"/>
      <c r="M141" s="1434"/>
    </row>
    <row r="142" spans="1:13" ht="11.25" x14ac:dyDescent="0.2">
      <c r="A142" s="1397"/>
      <c r="B142" s="1099"/>
      <c r="C142" s="1434"/>
      <c r="D142" s="1434"/>
      <c r="E142" s="1434"/>
      <c r="F142" s="1434"/>
      <c r="G142" s="1434"/>
      <c r="H142" s="1434"/>
      <c r="I142" s="1434"/>
      <c r="J142" s="1434"/>
      <c r="K142" s="1434"/>
      <c r="L142" s="1434"/>
      <c r="M142" s="1434"/>
    </row>
    <row r="143" spans="1:13" ht="11.25" x14ac:dyDescent="0.2">
      <c r="A143" s="1397"/>
      <c r="B143" s="1099"/>
      <c r="C143" s="1434"/>
      <c r="D143" s="1434"/>
      <c r="E143" s="1434"/>
      <c r="F143" s="1434"/>
      <c r="G143" s="1434"/>
      <c r="H143" s="1434"/>
      <c r="I143" s="1434"/>
      <c r="J143" s="1434"/>
      <c r="K143" s="1434"/>
      <c r="L143" s="1434"/>
      <c r="M143" s="1434"/>
    </row>
    <row r="144" spans="1:13" ht="11.25" x14ac:dyDescent="0.2">
      <c r="A144" s="1397"/>
      <c r="B144" s="1099"/>
      <c r="C144" s="1434"/>
      <c r="D144" s="1434"/>
      <c r="E144" s="1434"/>
      <c r="F144" s="1434"/>
      <c r="G144" s="1434"/>
      <c r="H144" s="1434"/>
      <c r="I144" s="1434"/>
      <c r="J144" s="1434"/>
      <c r="K144" s="1434"/>
      <c r="L144" s="1434"/>
      <c r="M144" s="1434"/>
    </row>
    <row r="145" spans="1:13" ht="11.25" x14ac:dyDescent="0.2">
      <c r="A145" s="1397"/>
      <c r="B145" s="1099"/>
      <c r="C145" s="1434"/>
      <c r="D145" s="1434"/>
      <c r="E145" s="1434"/>
      <c r="F145" s="1434"/>
      <c r="G145" s="1434"/>
      <c r="H145" s="1434"/>
      <c r="I145" s="1434"/>
      <c r="J145" s="1434"/>
      <c r="K145" s="1434"/>
      <c r="L145" s="1434"/>
      <c r="M145" s="1434"/>
    </row>
    <row r="146" spans="1:13" ht="11.25" x14ac:dyDescent="0.2">
      <c r="A146" s="1397"/>
      <c r="B146" s="1099"/>
      <c r="C146" s="1434"/>
      <c r="D146" s="1434"/>
      <c r="E146" s="1434"/>
      <c r="F146" s="1434"/>
      <c r="G146" s="1434"/>
      <c r="H146" s="1434"/>
      <c r="I146" s="1434"/>
      <c r="J146" s="1434"/>
      <c r="K146" s="1434"/>
      <c r="L146" s="1434"/>
      <c r="M146" s="1434"/>
    </row>
    <row r="147" spans="1:13" ht="11.25" x14ac:dyDescent="0.2">
      <c r="A147" s="1397"/>
      <c r="B147" s="1099"/>
      <c r="C147" s="1434"/>
      <c r="D147" s="1434"/>
      <c r="E147" s="1434"/>
      <c r="F147" s="1434"/>
      <c r="G147" s="1434"/>
      <c r="H147" s="1434"/>
      <c r="I147" s="1434"/>
      <c r="J147" s="1434"/>
      <c r="K147" s="1434"/>
      <c r="L147" s="1434"/>
      <c r="M147" s="1434"/>
    </row>
    <row r="148" spans="1:13" ht="11.25" x14ac:dyDescent="0.2">
      <c r="A148" s="1397"/>
      <c r="B148" s="1099"/>
      <c r="C148" s="1434"/>
      <c r="D148" s="1434"/>
      <c r="E148" s="1434"/>
      <c r="F148" s="1434"/>
      <c r="G148" s="1434"/>
      <c r="H148" s="1434"/>
      <c r="I148" s="1434"/>
      <c r="J148" s="1434"/>
      <c r="K148" s="1434"/>
      <c r="L148" s="1434"/>
      <c r="M148" s="1434"/>
    </row>
    <row r="149" spans="1:13" ht="11.25" x14ac:dyDescent="0.2">
      <c r="A149" s="1397"/>
      <c r="B149" s="1099"/>
      <c r="C149" s="1434"/>
      <c r="D149" s="1434"/>
      <c r="E149" s="1434"/>
      <c r="F149" s="1434"/>
      <c r="G149" s="1434"/>
      <c r="H149" s="1434"/>
      <c r="I149" s="1434"/>
      <c r="J149" s="1434"/>
      <c r="K149" s="1434"/>
      <c r="L149" s="1434"/>
      <c r="M149" s="1434"/>
    </row>
    <row r="150" spans="1:13" ht="11.25" x14ac:dyDescent="0.2">
      <c r="A150" s="1397"/>
      <c r="B150" s="1099"/>
      <c r="C150" s="1434"/>
      <c r="D150" s="1434"/>
      <c r="E150" s="1434"/>
      <c r="F150" s="1434"/>
      <c r="G150" s="1434"/>
      <c r="H150" s="1434"/>
      <c r="I150" s="1434"/>
      <c r="J150" s="1434"/>
      <c r="K150" s="1434"/>
      <c r="L150" s="1434"/>
      <c r="M150" s="1434"/>
    </row>
    <row r="151" spans="1:13" ht="11.25" x14ac:dyDescent="0.2">
      <c r="A151" s="1397"/>
      <c r="B151" s="1099"/>
      <c r="C151" s="1434"/>
      <c r="D151" s="1434"/>
      <c r="E151" s="1434"/>
      <c r="F151" s="1434"/>
      <c r="G151" s="1434"/>
      <c r="H151" s="1434"/>
      <c r="I151" s="1434"/>
      <c r="J151" s="1434"/>
      <c r="K151" s="1434"/>
      <c r="L151" s="1434"/>
      <c r="M151" s="1434"/>
    </row>
    <row r="152" spans="1:13" ht="11.25" x14ac:dyDescent="0.2">
      <c r="A152" s="1397"/>
      <c r="B152" s="1099"/>
      <c r="C152" s="1434"/>
      <c r="D152" s="1434"/>
      <c r="E152" s="1434"/>
      <c r="F152" s="1434"/>
      <c r="G152" s="1434"/>
      <c r="H152" s="1434"/>
      <c r="I152" s="1434"/>
      <c r="J152" s="1434"/>
      <c r="K152" s="1434"/>
      <c r="L152" s="1434"/>
      <c r="M152" s="1434"/>
    </row>
    <row r="153" spans="1:13" ht="11.25" x14ac:dyDescent="0.2">
      <c r="A153" s="1397"/>
      <c r="B153" s="1099"/>
      <c r="C153" s="1434"/>
      <c r="D153" s="1434"/>
      <c r="E153" s="1434"/>
      <c r="F153" s="1434"/>
      <c r="G153" s="1434"/>
      <c r="H153" s="1434"/>
      <c r="I153" s="1434"/>
      <c r="J153" s="1434"/>
      <c r="K153" s="1434"/>
      <c r="L153" s="1434"/>
      <c r="M153" s="1434"/>
    </row>
    <row r="154" spans="1:13" ht="11.25" x14ac:dyDescent="0.2">
      <c r="A154" s="1397"/>
      <c r="B154" s="1099"/>
      <c r="C154" s="1434"/>
      <c r="D154" s="1434"/>
      <c r="E154" s="1434"/>
      <c r="F154" s="1434"/>
      <c r="G154" s="1434"/>
      <c r="H154" s="1434"/>
      <c r="I154" s="1434"/>
      <c r="J154" s="1434"/>
      <c r="K154" s="1434"/>
      <c r="L154" s="1434"/>
      <c r="M154" s="1434"/>
    </row>
    <row r="155" spans="1:13" ht="11.25" x14ac:dyDescent="0.2">
      <c r="A155" s="1397"/>
      <c r="B155" s="1099"/>
      <c r="C155" s="1434"/>
      <c r="D155" s="1434"/>
      <c r="E155" s="1434"/>
      <c r="F155" s="1434"/>
      <c r="G155" s="1434"/>
      <c r="H155" s="1434"/>
      <c r="I155" s="1434"/>
      <c r="J155" s="1434"/>
      <c r="K155" s="1434"/>
      <c r="L155" s="1434"/>
      <c r="M155" s="1434"/>
    </row>
    <row r="156" spans="1:13" ht="11.25" x14ac:dyDescent="0.2">
      <c r="A156" s="1397"/>
      <c r="B156" s="1099"/>
      <c r="C156" s="1434"/>
      <c r="D156" s="1434"/>
      <c r="E156" s="1434"/>
      <c r="F156" s="1434"/>
      <c r="G156" s="1434"/>
      <c r="H156" s="1434"/>
      <c r="I156" s="1434"/>
      <c r="J156" s="1434"/>
      <c r="K156" s="1434"/>
      <c r="L156" s="1434"/>
      <c r="M156" s="1434"/>
    </row>
    <row r="157" spans="1:13" ht="11.25" x14ac:dyDescent="0.2">
      <c r="A157" s="1397"/>
      <c r="B157" s="1099"/>
      <c r="C157" s="1434"/>
      <c r="D157" s="1434"/>
      <c r="E157" s="1434"/>
      <c r="F157" s="1434"/>
      <c r="G157" s="1434"/>
      <c r="H157" s="1434"/>
      <c r="I157" s="1434"/>
      <c r="J157" s="1434"/>
      <c r="K157" s="1434"/>
      <c r="L157" s="1434"/>
      <c r="M157" s="1434"/>
    </row>
    <row r="158" spans="1:13" ht="11.25" x14ac:dyDescent="0.2">
      <c r="A158" s="1397"/>
      <c r="B158" s="1099"/>
      <c r="C158" s="1434"/>
      <c r="D158" s="1434"/>
      <c r="E158" s="1434"/>
      <c r="F158" s="1434"/>
      <c r="G158" s="1434"/>
      <c r="H158" s="1434"/>
      <c r="I158" s="1434"/>
      <c r="J158" s="1434"/>
      <c r="K158" s="1434"/>
      <c r="L158" s="1434"/>
      <c r="M158" s="1434"/>
    </row>
    <row r="159" spans="1:13" ht="11.25" x14ac:dyDescent="0.2">
      <c r="A159" s="1397"/>
      <c r="B159" s="1099"/>
      <c r="C159" s="1434"/>
      <c r="D159" s="1434"/>
      <c r="E159" s="1434"/>
      <c r="F159" s="1434"/>
      <c r="G159" s="1434"/>
      <c r="H159" s="1434"/>
      <c r="I159" s="1434"/>
      <c r="J159" s="1434"/>
      <c r="K159" s="1434"/>
      <c r="L159" s="1434"/>
      <c r="M159" s="1434"/>
    </row>
    <row r="160" spans="1:13" ht="11.25" x14ac:dyDescent="0.2">
      <c r="A160" s="1397"/>
      <c r="B160" s="1099"/>
      <c r="C160" s="1434"/>
      <c r="D160" s="1434"/>
      <c r="E160" s="1434"/>
      <c r="F160" s="1434"/>
      <c r="G160" s="1434"/>
      <c r="H160" s="1434"/>
      <c r="I160" s="1434"/>
      <c r="J160" s="1434"/>
      <c r="K160" s="1434"/>
      <c r="L160" s="1434"/>
      <c r="M160" s="1434"/>
    </row>
    <row r="161" spans="1:13" x14ac:dyDescent="0.15">
      <c r="A161" s="1398"/>
      <c r="B161" s="1090"/>
      <c r="C161" s="1435"/>
      <c r="D161" s="1435"/>
      <c r="E161" s="1435"/>
      <c r="F161" s="1435"/>
      <c r="G161" s="1435"/>
      <c r="H161" s="1435"/>
      <c r="I161" s="1435"/>
      <c r="J161" s="1435"/>
      <c r="K161" s="1435"/>
      <c r="L161" s="1435"/>
      <c r="M161" s="1435"/>
    </row>
    <row r="162" spans="1:13" x14ac:dyDescent="0.15">
      <c r="A162" s="1398"/>
      <c r="B162" s="1090"/>
      <c r="C162" s="1435"/>
      <c r="D162" s="1435"/>
      <c r="E162" s="1435"/>
      <c r="F162" s="1435"/>
      <c r="G162" s="1435"/>
      <c r="H162" s="1435"/>
      <c r="I162" s="1435"/>
      <c r="J162" s="1435"/>
      <c r="K162" s="1435"/>
      <c r="L162" s="1435"/>
      <c r="M162" s="1435"/>
    </row>
    <row r="163" spans="1:13" x14ac:dyDescent="0.15">
      <c r="A163" s="1398"/>
      <c r="B163" s="1090"/>
      <c r="C163" s="1435"/>
      <c r="D163" s="1435"/>
      <c r="E163" s="1435"/>
      <c r="F163" s="1435"/>
      <c r="G163" s="1435"/>
      <c r="H163" s="1435"/>
      <c r="I163" s="1435"/>
      <c r="J163" s="1435"/>
      <c r="K163" s="1435"/>
      <c r="L163" s="1435"/>
      <c r="M163" s="1435"/>
    </row>
    <row r="164" spans="1:13" x14ac:dyDescent="0.15">
      <c r="A164" s="1398"/>
      <c r="B164" s="1090"/>
      <c r="C164" s="1435"/>
      <c r="D164" s="1435"/>
      <c r="E164" s="1435"/>
      <c r="F164" s="1435"/>
      <c r="G164" s="1435"/>
      <c r="H164" s="1435"/>
      <c r="I164" s="1435"/>
      <c r="J164" s="1435"/>
      <c r="K164" s="1435"/>
      <c r="L164" s="1435"/>
      <c r="M164" s="1435"/>
    </row>
    <row r="165" spans="1:13" x14ac:dyDescent="0.15">
      <c r="A165" s="1398"/>
      <c r="B165" s="1090"/>
      <c r="C165" s="1435"/>
      <c r="D165" s="1435"/>
      <c r="E165" s="1435"/>
      <c r="F165" s="1435"/>
      <c r="G165" s="1435"/>
      <c r="H165" s="1435"/>
      <c r="I165" s="1435"/>
      <c r="J165" s="1435"/>
      <c r="K165" s="1435"/>
      <c r="L165" s="1435"/>
      <c r="M165" s="1435"/>
    </row>
    <row r="166" spans="1:13" x14ac:dyDescent="0.15">
      <c r="A166" s="1398"/>
      <c r="B166" s="1090"/>
      <c r="C166" s="1435"/>
      <c r="D166" s="1435"/>
      <c r="E166" s="1435"/>
      <c r="F166" s="1435"/>
      <c r="G166" s="1435"/>
      <c r="H166" s="1435"/>
      <c r="I166" s="1435"/>
      <c r="J166" s="1435"/>
      <c r="K166" s="1435"/>
      <c r="L166" s="1435"/>
      <c r="M166" s="1435"/>
    </row>
    <row r="167" spans="1:13" x14ac:dyDescent="0.15">
      <c r="A167" s="1398"/>
      <c r="B167" s="1090"/>
      <c r="C167" s="1435"/>
      <c r="D167" s="1435"/>
      <c r="E167" s="1435"/>
      <c r="F167" s="1435"/>
      <c r="G167" s="1435"/>
      <c r="H167" s="1435"/>
      <c r="I167" s="1435"/>
      <c r="J167" s="1435"/>
      <c r="K167" s="1435"/>
      <c r="L167" s="1435"/>
      <c r="M167" s="1435"/>
    </row>
    <row r="168" spans="1:13" x14ac:dyDescent="0.15">
      <c r="A168" s="1398"/>
      <c r="B168" s="1090"/>
      <c r="C168" s="1435"/>
      <c r="D168" s="1435"/>
      <c r="E168" s="1435"/>
      <c r="F168" s="1435"/>
      <c r="G168" s="1435"/>
      <c r="H168" s="1435"/>
      <c r="I168" s="1435"/>
      <c r="J168" s="1435"/>
      <c r="K168" s="1435"/>
      <c r="L168" s="1435"/>
      <c r="M168" s="1435"/>
    </row>
    <row r="169" spans="1:13" x14ac:dyDescent="0.15">
      <c r="A169" s="1398"/>
      <c r="B169" s="1090"/>
      <c r="C169" s="1435"/>
      <c r="D169" s="1435"/>
      <c r="E169" s="1435"/>
      <c r="F169" s="1435"/>
      <c r="G169" s="1435"/>
      <c r="H169" s="1435"/>
      <c r="I169" s="1435"/>
      <c r="J169" s="1435"/>
      <c r="K169" s="1435"/>
      <c r="L169" s="1435"/>
      <c r="M169" s="1435"/>
    </row>
    <row r="170" spans="1:13" x14ac:dyDescent="0.15">
      <c r="A170" s="1398"/>
      <c r="B170" s="1090"/>
      <c r="C170" s="1435"/>
      <c r="D170" s="1435"/>
      <c r="E170" s="1435"/>
      <c r="F170" s="1435"/>
      <c r="G170" s="1435"/>
      <c r="H170" s="1435"/>
      <c r="I170" s="1435"/>
      <c r="J170" s="1435"/>
      <c r="K170" s="1435"/>
      <c r="L170" s="1435"/>
      <c r="M170" s="1435"/>
    </row>
    <row r="171" spans="1:13" x14ac:dyDescent="0.15">
      <c r="A171" s="1398"/>
      <c r="B171" s="1090"/>
      <c r="C171" s="1435"/>
      <c r="D171" s="1435"/>
      <c r="E171" s="1435"/>
      <c r="F171" s="1435"/>
      <c r="G171" s="1435"/>
      <c r="H171" s="1435"/>
      <c r="I171" s="1435"/>
      <c r="J171" s="1435"/>
      <c r="K171" s="1435"/>
      <c r="L171" s="1435"/>
      <c r="M171" s="1435"/>
    </row>
    <row r="172" spans="1:13" x14ac:dyDescent="0.15">
      <c r="A172" s="1398"/>
      <c r="B172" s="1090"/>
      <c r="C172" s="1435"/>
      <c r="D172" s="1435"/>
      <c r="E172" s="1435"/>
      <c r="F172" s="1435"/>
      <c r="G172" s="1435"/>
      <c r="H172" s="1435"/>
      <c r="I172" s="1435"/>
      <c r="J172" s="1435"/>
      <c r="K172" s="1435"/>
      <c r="L172" s="1435"/>
      <c r="M172" s="1435"/>
    </row>
    <row r="173" spans="1:13" x14ac:dyDescent="0.15">
      <c r="A173" s="1398"/>
      <c r="B173" s="1090"/>
      <c r="C173" s="1435"/>
      <c r="D173" s="1435"/>
      <c r="E173" s="1435"/>
      <c r="F173" s="1435"/>
      <c r="G173" s="1435"/>
      <c r="H173" s="1435"/>
      <c r="I173" s="1435"/>
      <c r="J173" s="1435"/>
      <c r="K173" s="1435"/>
      <c r="L173" s="1435"/>
      <c r="M173" s="1435"/>
    </row>
    <row r="174" spans="1:13" x14ac:dyDescent="0.15">
      <c r="A174" s="1398"/>
      <c r="B174" s="1090"/>
      <c r="C174" s="1435"/>
      <c r="D174" s="1435"/>
      <c r="E174" s="1435"/>
      <c r="F174" s="1435"/>
      <c r="G174" s="1435"/>
      <c r="H174" s="1435"/>
      <c r="I174" s="1435"/>
      <c r="J174" s="1435"/>
      <c r="K174" s="1435"/>
      <c r="L174" s="1435"/>
      <c r="M174" s="1435"/>
    </row>
    <row r="175" spans="1:13" x14ac:dyDescent="0.15">
      <c r="A175" s="1398"/>
      <c r="B175" s="1090"/>
      <c r="C175" s="1435"/>
      <c r="D175" s="1435"/>
      <c r="E175" s="1435"/>
      <c r="F175" s="1435"/>
      <c r="G175" s="1435"/>
      <c r="H175" s="1435"/>
      <c r="I175" s="1435"/>
      <c r="J175" s="1435"/>
      <c r="K175" s="1435"/>
      <c r="L175" s="1435"/>
      <c r="M175" s="1435"/>
    </row>
    <row r="176" spans="1:13" x14ac:dyDescent="0.15">
      <c r="A176" s="1398"/>
      <c r="B176" s="1090"/>
      <c r="C176" s="1435"/>
      <c r="D176" s="1435"/>
      <c r="E176" s="1435"/>
      <c r="F176" s="1435"/>
      <c r="G176" s="1435"/>
      <c r="H176" s="1435"/>
      <c r="I176" s="1435"/>
      <c r="J176" s="1435"/>
      <c r="K176" s="1435"/>
      <c r="L176" s="1435"/>
      <c r="M176" s="1435"/>
    </row>
    <row r="177" spans="1:13" x14ac:dyDescent="0.15">
      <c r="A177" s="1398"/>
      <c r="B177" s="1090"/>
      <c r="C177" s="1435"/>
      <c r="D177" s="1435"/>
      <c r="E177" s="1435"/>
      <c r="F177" s="1435"/>
      <c r="G177" s="1435"/>
      <c r="H177" s="1435"/>
      <c r="I177" s="1435"/>
      <c r="J177" s="1435"/>
      <c r="K177" s="1435"/>
      <c r="L177" s="1435"/>
      <c r="M177" s="1435"/>
    </row>
    <row r="178" spans="1:13" x14ac:dyDescent="0.15">
      <c r="A178" s="1398"/>
      <c r="B178" s="1090"/>
      <c r="C178" s="1435"/>
      <c r="D178" s="1435"/>
      <c r="E178" s="1435"/>
      <c r="F178" s="1435"/>
      <c r="G178" s="1435"/>
      <c r="H178" s="1435"/>
      <c r="I178" s="1435"/>
      <c r="J178" s="1435"/>
      <c r="K178" s="1435"/>
      <c r="L178" s="1435"/>
      <c r="M178" s="1435"/>
    </row>
    <row r="179" spans="1:13" x14ac:dyDescent="0.15">
      <c r="A179" s="1398"/>
      <c r="B179" s="1090"/>
      <c r="C179" s="1435"/>
      <c r="D179" s="1435"/>
      <c r="E179" s="1435"/>
      <c r="F179" s="1435"/>
      <c r="G179" s="1435"/>
      <c r="H179" s="1435"/>
      <c r="I179" s="1435"/>
      <c r="J179" s="1435"/>
      <c r="K179" s="1435"/>
      <c r="L179" s="1435"/>
      <c r="M179" s="1435"/>
    </row>
    <row r="180" spans="1:13" x14ac:dyDescent="0.15">
      <c r="A180" s="1398"/>
      <c r="B180" s="1090"/>
      <c r="C180" s="1435"/>
      <c r="D180" s="1435"/>
      <c r="E180" s="1435"/>
      <c r="F180" s="1435"/>
      <c r="G180" s="1435"/>
      <c r="H180" s="1435"/>
      <c r="I180" s="1435"/>
      <c r="J180" s="1435"/>
      <c r="K180" s="1435"/>
      <c r="L180" s="1435"/>
      <c r="M180" s="1435"/>
    </row>
    <row r="181" spans="1:13" x14ac:dyDescent="0.15">
      <c r="A181" s="1398"/>
      <c r="B181" s="1090"/>
      <c r="C181" s="1435"/>
      <c r="D181" s="1435"/>
      <c r="E181" s="1435"/>
      <c r="F181" s="1435"/>
      <c r="G181" s="1435"/>
      <c r="H181" s="1435"/>
      <c r="I181" s="1435"/>
      <c r="J181" s="1435"/>
      <c r="K181" s="1435"/>
      <c r="L181" s="1435"/>
      <c r="M181" s="1435"/>
    </row>
    <row r="182" spans="1:13" x14ac:dyDescent="0.15">
      <c r="A182" s="1398"/>
      <c r="B182" s="1090"/>
      <c r="C182" s="1435"/>
      <c r="D182" s="1435"/>
      <c r="E182" s="1435"/>
      <c r="F182" s="1435"/>
      <c r="G182" s="1435"/>
      <c r="H182" s="1435"/>
      <c r="I182" s="1435"/>
      <c r="J182" s="1435"/>
      <c r="K182" s="1435"/>
      <c r="L182" s="1435"/>
      <c r="M182" s="1435"/>
    </row>
    <row r="183" spans="1:13" x14ac:dyDescent="0.15">
      <c r="A183" s="1398"/>
      <c r="B183" s="1090"/>
      <c r="C183" s="1435"/>
      <c r="D183" s="1435"/>
      <c r="E183" s="1435"/>
      <c r="F183" s="1435"/>
      <c r="G183" s="1435"/>
      <c r="H183" s="1435"/>
      <c r="I183" s="1435"/>
      <c r="J183" s="1435"/>
      <c r="K183" s="1435"/>
      <c r="L183" s="1435"/>
      <c r="M183" s="1435"/>
    </row>
    <row r="184" spans="1:13" x14ac:dyDescent="0.15">
      <c r="A184" s="1398"/>
      <c r="B184" s="1090"/>
      <c r="C184" s="1435"/>
      <c r="D184" s="1435"/>
      <c r="E184" s="1435"/>
      <c r="F184" s="1435"/>
      <c r="G184" s="1435"/>
      <c r="H184" s="1435"/>
      <c r="I184" s="1435"/>
      <c r="J184" s="1435"/>
      <c r="K184" s="1435"/>
      <c r="L184" s="1435"/>
      <c r="M184" s="1435"/>
    </row>
    <row r="185" spans="1:13" x14ac:dyDescent="0.15">
      <c r="A185" s="1398"/>
      <c r="B185" s="1090"/>
      <c r="C185" s="1435"/>
      <c r="D185" s="1435"/>
      <c r="E185" s="1435"/>
      <c r="F185" s="1435"/>
      <c r="G185" s="1435"/>
      <c r="H185" s="1435"/>
      <c r="I185" s="1435"/>
      <c r="J185" s="1435"/>
      <c r="K185" s="1435"/>
      <c r="L185" s="1435"/>
      <c r="M185" s="1435"/>
    </row>
    <row r="186" spans="1:13" x14ac:dyDescent="0.15">
      <c r="A186" s="1398"/>
      <c r="B186" s="1090"/>
      <c r="C186" s="1435"/>
      <c r="D186" s="1435"/>
      <c r="E186" s="1435"/>
      <c r="F186" s="1435"/>
      <c r="G186" s="1435"/>
      <c r="H186" s="1435"/>
      <c r="I186" s="1435"/>
      <c r="J186" s="1435"/>
      <c r="K186" s="1435"/>
      <c r="L186" s="1435"/>
      <c r="M186" s="1435"/>
    </row>
    <row r="187" spans="1:13" x14ac:dyDescent="0.15">
      <c r="A187" s="1398"/>
      <c r="B187" s="1090"/>
      <c r="C187" s="1435"/>
      <c r="D187" s="1435"/>
      <c r="E187" s="1435"/>
      <c r="F187" s="1435"/>
      <c r="G187" s="1435"/>
      <c r="H187" s="1435"/>
      <c r="I187" s="1435"/>
      <c r="J187" s="1435"/>
      <c r="K187" s="1435"/>
      <c r="L187" s="1435"/>
      <c r="M187" s="1435"/>
    </row>
    <row r="188" spans="1:13" x14ac:dyDescent="0.15">
      <c r="A188" s="1398"/>
      <c r="B188" s="1090"/>
      <c r="C188" s="1435"/>
      <c r="D188" s="1435"/>
      <c r="E188" s="1435"/>
      <c r="F188" s="1435"/>
      <c r="G188" s="1435"/>
      <c r="H188" s="1435"/>
      <c r="I188" s="1435"/>
      <c r="J188" s="1435"/>
      <c r="K188" s="1435"/>
      <c r="L188" s="1435"/>
      <c r="M188" s="1435"/>
    </row>
    <row r="189" spans="1:13" x14ac:dyDescent="0.15">
      <c r="A189" s="1398"/>
      <c r="B189" s="1090"/>
      <c r="C189" s="1435"/>
      <c r="D189" s="1435"/>
      <c r="E189" s="1435"/>
      <c r="F189" s="1435"/>
      <c r="G189" s="1435"/>
      <c r="H189" s="1435"/>
      <c r="I189" s="1435"/>
      <c r="J189" s="1435"/>
      <c r="K189" s="1435"/>
      <c r="L189" s="1435"/>
      <c r="M189" s="1435"/>
    </row>
    <row r="190" spans="1:13" x14ac:dyDescent="0.15">
      <c r="A190" s="1398"/>
      <c r="B190" s="1090"/>
      <c r="C190" s="1435"/>
      <c r="D190" s="1435"/>
      <c r="E190" s="1435"/>
      <c r="F190" s="1435"/>
      <c r="G190" s="1435"/>
      <c r="H190" s="1435"/>
      <c r="I190" s="1435"/>
      <c r="J190" s="1435"/>
      <c r="K190" s="1435"/>
      <c r="L190" s="1435"/>
      <c r="M190" s="1435"/>
    </row>
    <row r="191" spans="1:13" x14ac:dyDescent="0.15">
      <c r="A191" s="1398"/>
      <c r="B191" s="1090"/>
      <c r="C191" s="1435"/>
      <c r="D191" s="1435"/>
      <c r="E191" s="1435"/>
      <c r="F191" s="1435"/>
      <c r="G191" s="1435"/>
      <c r="H191" s="1435"/>
      <c r="I191" s="1435"/>
      <c r="J191" s="1435"/>
      <c r="K191" s="1435"/>
      <c r="L191" s="1435"/>
      <c r="M191" s="1435"/>
    </row>
    <row r="192" spans="1:13" x14ac:dyDescent="0.15">
      <c r="A192" s="1398"/>
      <c r="B192" s="1090"/>
      <c r="C192" s="1435"/>
      <c r="D192" s="1435"/>
      <c r="E192" s="1435"/>
      <c r="F192" s="1435"/>
      <c r="G192" s="1435"/>
      <c r="H192" s="1435"/>
      <c r="I192" s="1435"/>
      <c r="J192" s="1435"/>
      <c r="K192" s="1435"/>
      <c r="L192" s="1435"/>
      <c r="M192" s="1435"/>
    </row>
    <row r="193" spans="1:13" x14ac:dyDescent="0.15">
      <c r="A193" s="1398"/>
      <c r="B193" s="1090"/>
      <c r="C193" s="1435"/>
      <c r="D193" s="1435"/>
      <c r="E193" s="1435"/>
      <c r="F193" s="1435"/>
      <c r="G193" s="1435"/>
      <c r="H193" s="1435"/>
      <c r="I193" s="1435"/>
      <c r="J193" s="1435"/>
      <c r="K193" s="1435"/>
      <c r="L193" s="1435"/>
      <c r="M193" s="1435"/>
    </row>
    <row r="194" spans="1:13" x14ac:dyDescent="0.15">
      <c r="A194" s="1398"/>
      <c r="B194" s="1090"/>
      <c r="C194" s="1435"/>
      <c r="D194" s="1435"/>
      <c r="E194" s="1435"/>
      <c r="F194" s="1435"/>
      <c r="G194" s="1435"/>
      <c r="H194" s="1435"/>
      <c r="I194" s="1435"/>
      <c r="J194" s="1435"/>
      <c r="K194" s="1435"/>
      <c r="L194" s="1435"/>
      <c r="M194" s="1435"/>
    </row>
    <row r="195" spans="1:13" x14ac:dyDescent="0.15">
      <c r="A195" s="1398"/>
      <c r="B195" s="1090"/>
      <c r="C195" s="1435"/>
      <c r="D195" s="1435"/>
      <c r="E195" s="1435"/>
      <c r="F195" s="1435"/>
      <c r="G195" s="1435"/>
      <c r="H195" s="1435"/>
      <c r="I195" s="1435"/>
      <c r="J195" s="1435"/>
      <c r="K195" s="1435"/>
      <c r="L195" s="1435"/>
      <c r="M195" s="1435"/>
    </row>
    <row r="196" spans="1:13" x14ac:dyDescent="0.15">
      <c r="A196" s="1398"/>
      <c r="B196" s="1090"/>
      <c r="C196" s="1435"/>
      <c r="D196" s="1435"/>
      <c r="E196" s="1435"/>
      <c r="F196" s="1435"/>
      <c r="G196" s="1435"/>
      <c r="H196" s="1435"/>
      <c r="I196" s="1435"/>
      <c r="J196" s="1435"/>
      <c r="K196" s="1435"/>
      <c r="L196" s="1435"/>
      <c r="M196" s="1435"/>
    </row>
    <row r="197" spans="1:13" x14ac:dyDescent="0.15">
      <c r="A197" s="1398"/>
      <c r="B197" s="1090"/>
      <c r="C197" s="1435"/>
      <c r="D197" s="1435"/>
      <c r="E197" s="1435"/>
      <c r="F197" s="1435"/>
      <c r="G197" s="1435"/>
      <c r="H197" s="1435"/>
      <c r="I197" s="1435"/>
      <c r="J197" s="1435"/>
      <c r="K197" s="1435"/>
      <c r="L197" s="1435"/>
      <c r="M197" s="1435"/>
    </row>
    <row r="198" spans="1:13" x14ac:dyDescent="0.15">
      <c r="A198" s="1398"/>
      <c r="B198" s="1090"/>
      <c r="C198" s="1435"/>
      <c r="D198" s="1435"/>
      <c r="E198" s="1435"/>
      <c r="F198" s="1435"/>
      <c r="G198" s="1435"/>
      <c r="H198" s="1435"/>
      <c r="I198" s="1435"/>
      <c r="J198" s="1435"/>
      <c r="K198" s="1435"/>
      <c r="L198" s="1435"/>
      <c r="M198" s="1435"/>
    </row>
    <row r="199" spans="1:13" x14ac:dyDescent="0.15">
      <c r="A199" s="1398"/>
      <c r="B199" s="1090"/>
      <c r="C199" s="1435"/>
      <c r="D199" s="1435"/>
      <c r="E199" s="1435"/>
      <c r="F199" s="1435"/>
      <c r="G199" s="1435"/>
      <c r="H199" s="1435"/>
      <c r="I199" s="1435"/>
      <c r="J199" s="1435"/>
      <c r="K199" s="1435"/>
      <c r="L199" s="1435"/>
      <c r="M199" s="1435"/>
    </row>
  </sheetData>
  <mergeCells count="9">
    <mergeCell ref="A1:M1"/>
    <mergeCell ref="A65:M65"/>
    <mergeCell ref="A2:M2"/>
    <mergeCell ref="A3:M3"/>
    <mergeCell ref="A4:M4"/>
    <mergeCell ref="A62:M62"/>
    <mergeCell ref="A63:M63"/>
    <mergeCell ref="A64:M64"/>
    <mergeCell ref="E9:I9"/>
  </mergeCells>
  <phoneticPr fontId="0" type="noConversion"/>
  <printOptions horizontalCentered="1"/>
  <pageMargins left="0.75" right="0.5" top="1" bottom="0.5" header="0.5" footer="0.5"/>
  <pageSetup scale="75" fitToHeight="0" orientation="portrait" r:id="rId1"/>
  <headerFooter alignWithMargins="0"/>
  <rowBreaks count="1" manualBreakCount="1">
    <brk id="61" max="12" man="1"/>
  </rowBreaks>
  <ignoredErrors>
    <ignoredError sqref="K12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65">
    <pageSetUpPr fitToPage="1"/>
  </sheetPr>
  <dimension ref="A1:C83"/>
  <sheetViews>
    <sheetView zoomScaleNormal="100" zoomScaleSheetLayoutView="80" workbookViewId="0">
      <selection activeCell="F37" sqref="F37"/>
    </sheetView>
  </sheetViews>
  <sheetFormatPr defaultColWidth="9.83203125" defaultRowHeight="10.5" x14ac:dyDescent="0.15"/>
  <cols>
    <col min="1" max="1" width="25.1640625" style="836" customWidth="1"/>
    <col min="2" max="2" width="3.5" style="836" customWidth="1"/>
    <col min="3" max="3" width="104" style="836" customWidth="1"/>
    <col min="4" max="4" width="6.83203125" style="836" customWidth="1"/>
    <col min="5" max="16384" width="9.83203125" style="836"/>
  </cols>
  <sheetData>
    <row r="1" spans="1:3" ht="12.75" x14ac:dyDescent="0.2">
      <c r="A1" s="242" t="s">
        <v>680</v>
      </c>
      <c r="B1" s="241"/>
      <c r="C1" s="241"/>
    </row>
    <row r="2" spans="1:3" ht="12.75" x14ac:dyDescent="0.2">
      <c r="A2" s="241"/>
      <c r="B2" s="241"/>
      <c r="C2" s="241"/>
    </row>
    <row r="3" spans="1:3" ht="12.75" x14ac:dyDescent="0.2">
      <c r="A3" s="241"/>
      <c r="B3" s="241"/>
      <c r="C3" s="241"/>
    </row>
    <row r="4" spans="1:3" ht="12.75" x14ac:dyDescent="0.2">
      <c r="A4" s="241"/>
      <c r="B4" s="241"/>
      <c r="C4" s="241"/>
    </row>
    <row r="5" spans="1:3" ht="12.75" x14ac:dyDescent="0.2">
      <c r="A5" s="2055" t="s">
        <v>227</v>
      </c>
      <c r="B5" s="2055"/>
      <c r="C5" s="2055"/>
    </row>
    <row r="6" spans="1:3" ht="12.75" x14ac:dyDescent="0.2">
      <c r="A6" s="241"/>
      <c r="B6" s="241"/>
      <c r="C6" s="241"/>
    </row>
    <row r="7" spans="1:3" ht="12.75" x14ac:dyDescent="0.2">
      <c r="A7" s="2055" t="s">
        <v>228</v>
      </c>
      <c r="B7" s="2055"/>
      <c r="C7" s="2055"/>
    </row>
    <row r="8" spans="1:3" ht="12.75" x14ac:dyDescent="0.2">
      <c r="A8" s="241"/>
      <c r="B8" s="241"/>
      <c r="C8" s="241"/>
    </row>
    <row r="9" spans="1:3" ht="12.75" x14ac:dyDescent="0.2">
      <c r="A9" s="2055" t="s">
        <v>624</v>
      </c>
      <c r="B9" s="2055"/>
      <c r="C9" s="2055"/>
    </row>
    <row r="10" spans="1:3" ht="12.75" x14ac:dyDescent="0.2">
      <c r="A10" s="241"/>
      <c r="B10" s="241"/>
      <c r="C10" s="241"/>
    </row>
    <row r="11" spans="1:3" ht="12.75" x14ac:dyDescent="0.2">
      <c r="A11" s="2055" t="str">
        <f>case</f>
        <v>CASE NO. 2016 - 00162</v>
      </c>
      <c r="B11" s="2055"/>
      <c r="C11" s="2055"/>
    </row>
    <row r="12" spans="1:3" ht="12.75" x14ac:dyDescent="0.2">
      <c r="A12" s="241"/>
      <c r="B12" s="241"/>
      <c r="C12" s="241"/>
    </row>
    <row r="13" spans="1:3" ht="12.75" x14ac:dyDescent="0.2">
      <c r="A13" s="241"/>
      <c r="B13" s="241"/>
      <c r="C13" s="241"/>
    </row>
    <row r="14" spans="1:3" ht="12.75" x14ac:dyDescent="0.2">
      <c r="A14" s="241"/>
      <c r="B14" s="241"/>
      <c r="C14" s="241"/>
    </row>
    <row r="15" spans="1:3" ht="12.75" x14ac:dyDescent="0.2">
      <c r="A15" s="241"/>
      <c r="B15" s="241"/>
      <c r="C15" s="241"/>
    </row>
    <row r="16" spans="1:3" ht="12.75" x14ac:dyDescent="0.2">
      <c r="A16" s="242" t="s">
        <v>830</v>
      </c>
      <c r="B16" s="241"/>
      <c r="C16" s="242" t="str">
        <f>base</f>
        <v>FOR THE TWELVE MONTHS ENDED AUGUST 31, 2016</v>
      </c>
    </row>
    <row r="17" spans="1:3" ht="12.75" x14ac:dyDescent="0.2">
      <c r="A17" s="241"/>
      <c r="B17" s="241"/>
      <c r="C17" s="241"/>
    </row>
    <row r="18" spans="1:3" ht="12.75" x14ac:dyDescent="0.2">
      <c r="A18" s="242" t="s">
        <v>1264</v>
      </c>
      <c r="B18" s="241"/>
      <c r="C18" s="242" t="str">
        <f>forecast</f>
        <v>FOR THE TWELVE MONTHS ENDED DECEMBER 31, 2017</v>
      </c>
    </row>
    <row r="19" spans="1:3" ht="12.75" x14ac:dyDescent="0.2">
      <c r="A19" s="241"/>
      <c r="B19" s="241"/>
      <c r="C19" s="241"/>
    </row>
    <row r="20" spans="1:3" ht="12.75" x14ac:dyDescent="0.2">
      <c r="A20" s="241"/>
      <c r="B20" s="241"/>
      <c r="C20" s="241"/>
    </row>
    <row r="21" spans="1:3" ht="12.75" x14ac:dyDescent="0.2">
      <c r="A21" s="244" t="s">
        <v>633</v>
      </c>
      <c r="B21" s="244"/>
      <c r="C21" s="245" t="s">
        <v>778</v>
      </c>
    </row>
    <row r="22" spans="1:3" ht="12.75" x14ac:dyDescent="0.2">
      <c r="A22" s="241"/>
      <c r="B22" s="241"/>
      <c r="C22" s="241"/>
    </row>
    <row r="23" spans="1:3" ht="12.75" x14ac:dyDescent="0.2">
      <c r="A23" s="837" t="s">
        <v>229</v>
      </c>
      <c r="B23" s="241"/>
      <c r="C23" s="247" t="s">
        <v>1802</v>
      </c>
    </row>
    <row r="24" spans="1:3" ht="12.75" x14ac:dyDescent="0.2">
      <c r="A24" s="241" t="s">
        <v>1970</v>
      </c>
      <c r="B24" s="241"/>
      <c r="C24" s="241" t="s">
        <v>230</v>
      </c>
    </row>
    <row r="25" spans="1:3" ht="12.75" x14ac:dyDescent="0.2">
      <c r="A25" s="241" t="s">
        <v>233</v>
      </c>
      <c r="B25" s="241"/>
      <c r="C25" s="241" t="s">
        <v>231</v>
      </c>
    </row>
    <row r="26" spans="1:3" ht="12.75" x14ac:dyDescent="0.2">
      <c r="A26" s="241" t="s">
        <v>235</v>
      </c>
      <c r="B26" s="241"/>
      <c r="C26" s="241" t="s">
        <v>232</v>
      </c>
    </row>
    <row r="27" spans="1:3" ht="12.75" x14ac:dyDescent="0.2">
      <c r="A27" s="673" t="s">
        <v>237</v>
      </c>
      <c r="B27" s="673"/>
      <c r="C27" s="673" t="s">
        <v>234</v>
      </c>
    </row>
    <row r="28" spans="1:3" ht="12.75" x14ac:dyDescent="0.2">
      <c r="A28" s="673" t="s">
        <v>239</v>
      </c>
      <c r="B28" s="673"/>
      <c r="C28" s="673" t="s">
        <v>236</v>
      </c>
    </row>
    <row r="29" spans="1:3" ht="12.75" x14ac:dyDescent="0.2">
      <c r="A29" s="673" t="s">
        <v>241</v>
      </c>
      <c r="B29" s="673"/>
      <c r="C29" s="673" t="s">
        <v>238</v>
      </c>
    </row>
    <row r="30" spans="1:3" ht="12.75" x14ac:dyDescent="0.2">
      <c r="A30" s="673" t="s">
        <v>1971</v>
      </c>
      <c r="B30" s="673"/>
      <c r="C30" s="673" t="s">
        <v>240</v>
      </c>
    </row>
    <row r="31" spans="1:3" ht="12.75" x14ac:dyDescent="0.2">
      <c r="A31" s="673" t="s">
        <v>1972</v>
      </c>
      <c r="B31" s="673"/>
      <c r="C31" s="673" t="s">
        <v>242</v>
      </c>
    </row>
    <row r="32" spans="1:3" ht="12.75" x14ac:dyDescent="0.2">
      <c r="A32" s="838"/>
      <c r="B32" s="838"/>
      <c r="C32" s="838"/>
    </row>
    <row r="33" spans="1:3" ht="12.75" x14ac:dyDescent="0.2">
      <c r="A33" s="673"/>
      <c r="B33" s="673"/>
      <c r="C33" s="673"/>
    </row>
    <row r="34" spans="1:3" ht="12.75" x14ac:dyDescent="0.2">
      <c r="A34" s="673"/>
      <c r="B34" s="673"/>
      <c r="C34" s="673"/>
    </row>
    <row r="35" spans="1:3" ht="12.75" x14ac:dyDescent="0.2">
      <c r="A35" s="673"/>
      <c r="B35" s="673"/>
      <c r="C35" s="673"/>
    </row>
    <row r="36" spans="1:3" ht="12.75" x14ac:dyDescent="0.2">
      <c r="A36" s="673"/>
      <c r="B36" s="673"/>
      <c r="C36" s="673"/>
    </row>
    <row r="37" spans="1:3" ht="12.75" x14ac:dyDescent="0.2">
      <c r="A37" s="673"/>
      <c r="B37" s="673"/>
      <c r="C37" s="673"/>
    </row>
    <row r="38" spans="1:3" ht="11.25" x14ac:dyDescent="0.2">
      <c r="A38" s="577"/>
      <c r="B38" s="577"/>
      <c r="C38" s="577"/>
    </row>
    <row r="39" spans="1:3" ht="11.25" x14ac:dyDescent="0.2">
      <c r="A39" s="577"/>
      <c r="B39" s="577"/>
      <c r="C39" s="577"/>
    </row>
    <row r="40" spans="1:3" ht="11.25" x14ac:dyDescent="0.2">
      <c r="A40" s="577"/>
      <c r="B40" s="577"/>
      <c r="C40" s="577"/>
    </row>
    <row r="41" spans="1:3" ht="11.25" x14ac:dyDescent="0.2">
      <c r="A41" s="577"/>
      <c r="B41" s="577"/>
      <c r="C41" s="577"/>
    </row>
    <row r="42" spans="1:3" ht="11.25" x14ac:dyDescent="0.2">
      <c r="A42" s="577"/>
      <c r="B42" s="577"/>
      <c r="C42" s="577"/>
    </row>
    <row r="43" spans="1:3" ht="11.25" x14ac:dyDescent="0.2">
      <c r="A43" s="577"/>
      <c r="B43" s="577"/>
      <c r="C43" s="577"/>
    </row>
    <row r="44" spans="1:3" ht="11.25" x14ac:dyDescent="0.2">
      <c r="A44" s="577"/>
      <c r="B44" s="577"/>
      <c r="C44" s="577"/>
    </row>
    <row r="45" spans="1:3" ht="11.25" x14ac:dyDescent="0.2">
      <c r="A45" s="577"/>
      <c r="B45" s="577"/>
      <c r="C45" s="577"/>
    </row>
    <row r="46" spans="1:3" ht="11.25" x14ac:dyDescent="0.2">
      <c r="A46" s="577"/>
      <c r="B46" s="577"/>
      <c r="C46" s="577"/>
    </row>
    <row r="47" spans="1:3" ht="11.25" x14ac:dyDescent="0.2">
      <c r="A47" s="577"/>
      <c r="B47" s="577"/>
      <c r="C47" s="577"/>
    </row>
    <row r="48" spans="1:3" ht="11.25" x14ac:dyDescent="0.2">
      <c r="A48" s="577"/>
      <c r="B48" s="577"/>
      <c r="C48" s="577"/>
    </row>
    <row r="49" spans="1:3" ht="11.25" x14ac:dyDescent="0.2">
      <c r="A49" s="577"/>
      <c r="B49" s="577"/>
      <c r="C49" s="577"/>
    </row>
    <row r="50" spans="1:3" ht="11.25" x14ac:dyDescent="0.2">
      <c r="A50" s="577"/>
      <c r="B50" s="577"/>
      <c r="C50" s="577"/>
    </row>
    <row r="51" spans="1:3" ht="11.25" x14ac:dyDescent="0.2">
      <c r="A51" s="577"/>
      <c r="B51" s="577"/>
      <c r="C51" s="577"/>
    </row>
    <row r="52" spans="1:3" ht="11.25" x14ac:dyDescent="0.2">
      <c r="A52" s="577"/>
      <c r="B52" s="577"/>
      <c r="C52" s="577"/>
    </row>
    <row r="53" spans="1:3" ht="11.25" x14ac:dyDescent="0.2">
      <c r="A53" s="577"/>
      <c r="B53" s="577"/>
      <c r="C53" s="577"/>
    </row>
    <row r="54" spans="1:3" ht="11.25" x14ac:dyDescent="0.2">
      <c r="A54" s="577"/>
      <c r="B54" s="577"/>
      <c r="C54" s="577"/>
    </row>
    <row r="55" spans="1:3" ht="11.25" x14ac:dyDescent="0.2">
      <c r="A55" s="577"/>
      <c r="B55" s="577"/>
      <c r="C55" s="577"/>
    </row>
    <row r="56" spans="1:3" ht="11.25" x14ac:dyDescent="0.2">
      <c r="A56" s="577"/>
      <c r="B56" s="577"/>
      <c r="C56" s="577"/>
    </row>
    <row r="57" spans="1:3" ht="11.25" x14ac:dyDescent="0.2">
      <c r="A57" s="577"/>
      <c r="B57" s="577"/>
      <c r="C57" s="577"/>
    </row>
    <row r="58" spans="1:3" ht="11.25" x14ac:dyDescent="0.2">
      <c r="A58" s="577"/>
      <c r="B58" s="577"/>
      <c r="C58" s="577"/>
    </row>
    <row r="59" spans="1:3" ht="11.25" x14ac:dyDescent="0.2">
      <c r="A59" s="577"/>
      <c r="B59" s="577"/>
      <c r="C59" s="577"/>
    </row>
    <row r="60" spans="1:3" ht="11.25" x14ac:dyDescent="0.2">
      <c r="A60" s="577"/>
      <c r="B60" s="577"/>
      <c r="C60" s="577"/>
    </row>
    <row r="61" spans="1:3" ht="11.25" x14ac:dyDescent="0.2">
      <c r="A61" s="577"/>
      <c r="B61" s="577"/>
      <c r="C61" s="577"/>
    </row>
    <row r="62" spans="1:3" ht="11.25" x14ac:dyDescent="0.2">
      <c r="A62" s="577"/>
      <c r="B62" s="577"/>
      <c r="C62" s="577"/>
    </row>
    <row r="63" spans="1:3" ht="11.25" x14ac:dyDescent="0.2">
      <c r="A63" s="577"/>
      <c r="B63" s="577"/>
      <c r="C63" s="577"/>
    </row>
    <row r="64" spans="1:3" ht="11.25" x14ac:dyDescent="0.2">
      <c r="A64" s="577"/>
      <c r="B64" s="577"/>
      <c r="C64" s="577"/>
    </row>
    <row r="65" spans="1:3" ht="11.25" x14ac:dyDescent="0.2">
      <c r="A65" s="577"/>
      <c r="B65" s="577"/>
      <c r="C65" s="577"/>
    </row>
    <row r="66" spans="1:3" ht="11.25" x14ac:dyDescent="0.2">
      <c r="A66" s="577"/>
      <c r="B66" s="577"/>
      <c r="C66" s="577"/>
    </row>
    <row r="67" spans="1:3" ht="11.25" x14ac:dyDescent="0.2">
      <c r="A67" s="577"/>
      <c r="B67" s="577"/>
      <c r="C67" s="577"/>
    </row>
    <row r="68" spans="1:3" ht="11.25" x14ac:dyDescent="0.2">
      <c r="A68" s="577"/>
      <c r="B68" s="577"/>
      <c r="C68" s="577"/>
    </row>
    <row r="69" spans="1:3" ht="11.25" x14ac:dyDescent="0.2">
      <c r="A69" s="577"/>
      <c r="B69" s="577"/>
      <c r="C69" s="577"/>
    </row>
    <row r="70" spans="1:3" ht="11.25" x14ac:dyDescent="0.2">
      <c r="A70" s="577"/>
      <c r="B70" s="577"/>
      <c r="C70" s="577"/>
    </row>
    <row r="71" spans="1:3" ht="11.25" x14ac:dyDescent="0.2">
      <c r="A71" s="577"/>
      <c r="B71" s="577"/>
      <c r="C71" s="577"/>
    </row>
    <row r="72" spans="1:3" ht="11.25" x14ac:dyDescent="0.2">
      <c r="A72" s="577"/>
      <c r="B72" s="577"/>
      <c r="C72" s="577"/>
    </row>
    <row r="73" spans="1:3" ht="11.25" x14ac:dyDescent="0.2">
      <c r="A73" s="577"/>
      <c r="B73" s="577"/>
      <c r="C73" s="577"/>
    </row>
    <row r="74" spans="1:3" ht="11.25" x14ac:dyDescent="0.2">
      <c r="A74" s="577"/>
      <c r="B74" s="577"/>
      <c r="C74" s="577"/>
    </row>
    <row r="75" spans="1:3" ht="11.25" x14ac:dyDescent="0.2">
      <c r="A75" s="577"/>
      <c r="B75" s="577"/>
      <c r="C75" s="577"/>
    </row>
    <row r="76" spans="1:3" ht="11.25" x14ac:dyDescent="0.2">
      <c r="A76" s="577"/>
      <c r="B76" s="577"/>
      <c r="C76" s="577"/>
    </row>
    <row r="77" spans="1:3" ht="11.25" x14ac:dyDescent="0.2">
      <c r="A77" s="577"/>
      <c r="B77" s="577"/>
      <c r="C77" s="577"/>
    </row>
    <row r="78" spans="1:3" ht="11.25" x14ac:dyDescent="0.2">
      <c r="A78" s="577"/>
      <c r="B78" s="577"/>
      <c r="C78" s="577"/>
    </row>
    <row r="79" spans="1:3" ht="11.25" x14ac:dyDescent="0.2">
      <c r="A79" s="577"/>
      <c r="B79" s="577"/>
      <c r="C79" s="577"/>
    </row>
    <row r="80" spans="1:3" ht="11.25" x14ac:dyDescent="0.2">
      <c r="A80" s="577"/>
      <c r="B80" s="577"/>
      <c r="C80" s="577"/>
    </row>
    <row r="81" spans="1:3" ht="11.25" x14ac:dyDescent="0.2">
      <c r="A81" s="577"/>
      <c r="B81" s="577"/>
      <c r="C81" s="577"/>
    </row>
    <row r="82" spans="1:3" ht="11.25" x14ac:dyDescent="0.2">
      <c r="A82" s="577"/>
      <c r="B82" s="577"/>
      <c r="C82" s="577"/>
    </row>
    <row r="83" spans="1:3" ht="11.25" x14ac:dyDescent="0.2">
      <c r="A83" s="577"/>
      <c r="B83" s="577"/>
      <c r="C83" s="577"/>
    </row>
  </sheetData>
  <mergeCells count="4">
    <mergeCell ref="A5:C5"/>
    <mergeCell ref="A7:C7"/>
    <mergeCell ref="A9:C9"/>
    <mergeCell ref="A11:C11"/>
  </mergeCells>
  <phoneticPr fontId="0" type="noConversion"/>
  <printOptions horizontalCentered="1"/>
  <pageMargins left="1" right="1" top="1" bottom="1" header="0.5" footer="0.5"/>
  <pageSetup scale="7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4:AE49"/>
  <sheetViews>
    <sheetView topLeftCell="C1" zoomScaleNormal="100" workbookViewId="0">
      <selection activeCell="T36" sqref="T36"/>
    </sheetView>
  </sheetViews>
  <sheetFormatPr defaultColWidth="9.33203125" defaultRowHeight="12.75" x14ac:dyDescent="0.2"/>
  <cols>
    <col min="1" max="1" width="9.33203125" style="659"/>
    <col min="2" max="2" width="1.33203125" style="659" customWidth="1"/>
    <col min="3" max="3" width="9.33203125" style="659"/>
    <col min="4" max="4" width="2" style="659" customWidth="1"/>
    <col min="5" max="5" width="55.5" style="659" customWidth="1"/>
    <col min="6" max="6" width="2" style="659" customWidth="1"/>
    <col min="7" max="7" width="13.83203125" style="659" customWidth="1"/>
    <col min="8" max="8" width="2" style="659" customWidth="1"/>
    <col min="9" max="9" width="20.5" style="659" customWidth="1"/>
    <col min="10" max="10" width="2" style="659" customWidth="1"/>
    <col min="11" max="11" width="16.6640625" style="659" customWidth="1"/>
    <col min="12" max="12" width="2.6640625" style="659" customWidth="1"/>
    <col min="13" max="13" width="13.83203125" style="659" customWidth="1"/>
    <col min="14" max="14" width="2" style="659" customWidth="1"/>
    <col min="15" max="15" width="21.1640625" style="659" bestFit="1" customWidth="1"/>
    <col min="16" max="16" width="2.1640625" style="659" customWidth="1"/>
    <col min="17" max="17" width="16.6640625" style="659" customWidth="1"/>
    <col min="18" max="18" width="16.33203125" style="659" customWidth="1"/>
    <col min="19" max="16384" width="9.33203125" style="659"/>
  </cols>
  <sheetData>
    <row r="4" spans="1:17" x14ac:dyDescent="0.2">
      <c r="A4" s="2172" t="str">
        <f>co</f>
        <v>COLUMBIA GAS OF KENTUCKY, INC.</v>
      </c>
      <c r="B4" s="2172"/>
      <c r="C4" s="2172"/>
      <c r="D4" s="2172"/>
      <c r="E4" s="2172"/>
      <c r="F4" s="2172"/>
      <c r="G4" s="2172"/>
      <c r="H4" s="2172"/>
      <c r="I4" s="2172"/>
      <c r="J4" s="2172"/>
      <c r="K4" s="2172"/>
      <c r="L4" s="2172"/>
      <c r="M4" s="2172"/>
      <c r="N4" s="2172"/>
      <c r="O4" s="2172"/>
      <c r="P4" s="2172"/>
      <c r="Q4" s="2172"/>
    </row>
    <row r="5" spans="1:17" x14ac:dyDescent="0.2">
      <c r="A5" s="2173" t="str">
        <f>case</f>
        <v>CASE NO. 2016 - 00162</v>
      </c>
      <c r="B5" s="2173"/>
      <c r="C5" s="2173"/>
      <c r="D5" s="2173"/>
      <c r="E5" s="2173"/>
      <c r="F5" s="2173"/>
      <c r="G5" s="2173"/>
      <c r="H5" s="2173"/>
      <c r="I5" s="2173"/>
      <c r="J5" s="2173"/>
      <c r="K5" s="2173"/>
      <c r="L5" s="2173"/>
      <c r="M5" s="2173"/>
      <c r="N5" s="2173"/>
      <c r="O5" s="2173"/>
      <c r="P5" s="2173"/>
      <c r="Q5" s="2173"/>
    </row>
    <row r="6" spans="1:17" x14ac:dyDescent="0.2">
      <c r="A6" s="2169" t="s">
        <v>1802</v>
      </c>
      <c r="B6" s="2169"/>
      <c r="C6" s="2169"/>
      <c r="D6" s="2169"/>
      <c r="E6" s="2169"/>
      <c r="F6" s="2169"/>
      <c r="G6" s="2169"/>
      <c r="H6" s="2169"/>
      <c r="I6" s="2169"/>
      <c r="J6" s="2169"/>
      <c r="K6" s="2169"/>
      <c r="L6" s="2169"/>
      <c r="M6" s="2169"/>
      <c r="N6" s="2169"/>
      <c r="O6" s="2169"/>
      <c r="P6" s="2169"/>
      <c r="Q6" s="2169"/>
    </row>
    <row r="7" spans="1:17" x14ac:dyDescent="0.2">
      <c r="A7" s="2169" t="s">
        <v>1984</v>
      </c>
      <c r="B7" s="2169"/>
      <c r="C7" s="2169"/>
      <c r="D7" s="2169"/>
      <c r="E7" s="2169"/>
      <c r="F7" s="2169"/>
      <c r="G7" s="2169"/>
      <c r="H7" s="2169"/>
      <c r="I7" s="2169"/>
      <c r="J7" s="2169"/>
      <c r="K7" s="2169"/>
      <c r="L7" s="2169"/>
      <c r="M7" s="2169"/>
      <c r="N7" s="2169"/>
      <c r="O7" s="2169"/>
      <c r="P7" s="2169"/>
      <c r="Q7" s="2169"/>
    </row>
    <row r="8" spans="1:17" x14ac:dyDescent="0.2">
      <c r="A8" s="2169" t="s">
        <v>1985</v>
      </c>
      <c r="B8" s="2169"/>
      <c r="C8" s="2169"/>
      <c r="D8" s="2169"/>
      <c r="E8" s="2169"/>
      <c r="F8" s="2169"/>
      <c r="G8" s="2169"/>
      <c r="H8" s="2169"/>
      <c r="I8" s="2169"/>
      <c r="J8" s="2169"/>
      <c r="K8" s="2169"/>
      <c r="L8" s="2169"/>
      <c r="M8" s="2169"/>
      <c r="N8" s="2169"/>
      <c r="O8" s="2169"/>
      <c r="P8" s="2169"/>
      <c r="Q8" s="2169"/>
    </row>
    <row r="9" spans="1:17" x14ac:dyDescent="0.2">
      <c r="A9" s="839"/>
      <c r="B9" s="839"/>
      <c r="C9" s="839"/>
      <c r="D9" s="839"/>
      <c r="E9" s="839"/>
      <c r="F9" s="839"/>
      <c r="G9" s="839"/>
      <c r="H9" s="839"/>
      <c r="I9" s="839"/>
      <c r="J9" s="839"/>
      <c r="K9" s="839"/>
      <c r="L9" s="839"/>
      <c r="M9" s="839"/>
      <c r="N9" s="839"/>
      <c r="O9" s="839"/>
      <c r="P9" s="839"/>
      <c r="Q9" s="839"/>
    </row>
    <row r="11" spans="1:17" x14ac:dyDescent="0.2">
      <c r="A11" s="840" t="s">
        <v>1256</v>
      </c>
      <c r="B11" s="840"/>
      <c r="C11" s="840"/>
      <c r="L11" s="841"/>
      <c r="M11" s="841"/>
      <c r="N11" s="841"/>
      <c r="Q11" s="841" t="s">
        <v>244</v>
      </c>
    </row>
    <row r="12" spans="1:17" x14ac:dyDescent="0.2">
      <c r="A12" s="840" t="s">
        <v>245</v>
      </c>
      <c r="B12" s="840"/>
      <c r="C12" s="840"/>
      <c r="L12" s="841"/>
      <c r="M12" s="841"/>
      <c r="N12" s="841"/>
      <c r="Q12" s="841" t="s">
        <v>246</v>
      </c>
    </row>
    <row r="13" spans="1:17" x14ac:dyDescent="0.2">
      <c r="A13" s="840" t="s">
        <v>247</v>
      </c>
      <c r="B13" s="840"/>
      <c r="C13" s="840"/>
      <c r="L13" s="841"/>
      <c r="M13" s="841"/>
      <c r="N13" s="841"/>
      <c r="Q13" s="842" t="str">
        <f>JTC</f>
        <v>WITNESS:  J. T. CROOM</v>
      </c>
    </row>
    <row r="14" spans="1:17" x14ac:dyDescent="0.2">
      <c r="A14" s="843"/>
      <c r="B14" s="843"/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4"/>
      <c r="P14" s="844"/>
      <c r="Q14" s="843"/>
    </row>
    <row r="15" spans="1:17" x14ac:dyDescent="0.2">
      <c r="A15" s="845"/>
      <c r="B15" s="845"/>
      <c r="C15" s="845"/>
      <c r="D15" s="845"/>
      <c r="E15" s="845"/>
      <c r="F15" s="845"/>
      <c r="G15" s="2170" t="s">
        <v>830</v>
      </c>
      <c r="H15" s="2171"/>
      <c r="I15" s="2171"/>
      <c r="J15" s="2171"/>
      <c r="K15" s="2171"/>
      <c r="L15" s="845"/>
      <c r="M15" s="2170" t="s">
        <v>1264</v>
      </c>
      <c r="N15" s="2171"/>
      <c r="O15" s="2171"/>
      <c r="P15" s="2171"/>
      <c r="Q15" s="2171"/>
    </row>
    <row r="16" spans="1:17" x14ac:dyDescent="0.2">
      <c r="A16" s="332" t="s">
        <v>632</v>
      </c>
      <c r="B16" s="332"/>
      <c r="C16" s="332" t="s">
        <v>1858</v>
      </c>
      <c r="D16" s="881"/>
      <c r="E16" s="881"/>
      <c r="G16" s="848" t="s">
        <v>670</v>
      </c>
      <c r="M16" s="848" t="s">
        <v>670</v>
      </c>
    </row>
    <row r="17" spans="1:17" x14ac:dyDescent="0.2">
      <c r="A17" s="847" t="s">
        <v>635</v>
      </c>
      <c r="B17" s="847"/>
      <c r="C17" s="847" t="s">
        <v>984</v>
      </c>
      <c r="D17" s="890"/>
      <c r="E17" s="892" t="s">
        <v>248</v>
      </c>
      <c r="F17" s="843"/>
      <c r="G17" s="892" t="s">
        <v>1348</v>
      </c>
      <c r="H17" s="890"/>
      <c r="I17" s="890" t="s">
        <v>249</v>
      </c>
      <c r="J17" s="890"/>
      <c r="K17" s="892" t="s">
        <v>696</v>
      </c>
      <c r="L17" s="843"/>
      <c r="M17" s="847" t="s">
        <v>1348</v>
      </c>
      <c r="N17" s="843"/>
      <c r="O17" s="843" t="s">
        <v>249</v>
      </c>
      <c r="P17" s="843"/>
      <c r="Q17" s="847" t="s">
        <v>696</v>
      </c>
    </row>
    <row r="18" spans="1:17" x14ac:dyDescent="0.2">
      <c r="D18" s="881"/>
      <c r="E18" s="881"/>
      <c r="G18" s="881"/>
      <c r="H18" s="881"/>
      <c r="I18" s="881"/>
      <c r="J18" s="881"/>
      <c r="K18" s="881"/>
    </row>
    <row r="19" spans="1:17" x14ac:dyDescent="0.2">
      <c r="A19" s="848">
        <v>1</v>
      </c>
      <c r="B19" s="848"/>
      <c r="C19" s="848" t="s">
        <v>1859</v>
      </c>
      <c r="E19" s="881" t="s">
        <v>1799</v>
      </c>
      <c r="G19" s="895">
        <v>9483</v>
      </c>
      <c r="H19" s="881"/>
      <c r="I19" s="1369">
        <v>1</v>
      </c>
      <c r="J19" s="881"/>
      <c r="K19" s="1370">
        <f>G19</f>
        <v>9483</v>
      </c>
      <c r="M19" s="895"/>
      <c r="O19" s="850">
        <v>1</v>
      </c>
      <c r="Q19" s="1365">
        <f>M19</f>
        <v>0</v>
      </c>
    </row>
    <row r="20" spans="1:17" x14ac:dyDescent="0.2">
      <c r="A20" s="848">
        <f>A19+1</f>
        <v>2</v>
      </c>
      <c r="B20" s="848"/>
      <c r="C20" s="848" t="s">
        <v>1859</v>
      </c>
      <c r="E20" s="881" t="s">
        <v>1787</v>
      </c>
      <c r="G20" s="1371">
        <v>10350</v>
      </c>
      <c r="H20" s="881"/>
      <c r="I20" s="881"/>
      <c r="J20" s="881"/>
      <c r="K20" s="1372">
        <f>G20</f>
        <v>10350</v>
      </c>
      <c r="M20" s="1371"/>
      <c r="Q20" s="852">
        <f>M20</f>
        <v>0</v>
      </c>
    </row>
    <row r="21" spans="1:17" x14ac:dyDescent="0.2">
      <c r="A21" s="848">
        <f>A20+1</f>
        <v>3</v>
      </c>
      <c r="B21" s="848"/>
      <c r="C21" s="848" t="s">
        <v>1859</v>
      </c>
      <c r="E21" s="1837" t="s">
        <v>1800</v>
      </c>
      <c r="G21" s="1371">
        <v>1830</v>
      </c>
      <c r="H21" s="881"/>
      <c r="I21" s="881"/>
      <c r="J21" s="881"/>
      <c r="K21" s="1372">
        <f t="shared" ref="K21:K42" si="0">G21</f>
        <v>1830</v>
      </c>
      <c r="M21" s="1371"/>
      <c r="Q21" s="852">
        <f t="shared" ref="Q21:Q42" si="1">M21</f>
        <v>0</v>
      </c>
    </row>
    <row r="22" spans="1:17" x14ac:dyDescent="0.2">
      <c r="A22" s="848">
        <f>A21+1</f>
        <v>4</v>
      </c>
      <c r="B22" s="848"/>
      <c r="C22" s="848" t="s">
        <v>1859</v>
      </c>
      <c r="E22" s="1699" t="s">
        <v>2312</v>
      </c>
      <c r="G22" s="1371"/>
      <c r="H22" s="881"/>
      <c r="I22" s="881"/>
      <c r="J22" s="881"/>
      <c r="K22" s="1372">
        <f t="shared" si="0"/>
        <v>0</v>
      </c>
      <c r="M22" s="1371"/>
      <c r="Q22" s="852">
        <f t="shared" si="1"/>
        <v>0</v>
      </c>
    </row>
    <row r="23" spans="1:17" x14ac:dyDescent="0.2">
      <c r="A23" s="848">
        <f t="shared" ref="A23:A42" si="2">A22+1</f>
        <v>5</v>
      </c>
      <c r="B23" s="848"/>
      <c r="C23" s="848" t="s">
        <v>1859</v>
      </c>
      <c r="E23" s="1837" t="s">
        <v>1801</v>
      </c>
      <c r="G23" s="1371"/>
      <c r="H23" s="881"/>
      <c r="I23" s="881"/>
      <c r="J23" s="881"/>
      <c r="K23" s="1372">
        <f t="shared" si="0"/>
        <v>0</v>
      </c>
      <c r="M23" s="1371"/>
      <c r="Q23" s="852">
        <f t="shared" si="1"/>
        <v>0</v>
      </c>
    </row>
    <row r="24" spans="1:17" x14ac:dyDescent="0.2">
      <c r="A24" s="848">
        <f t="shared" si="2"/>
        <v>6</v>
      </c>
      <c r="B24" s="848"/>
      <c r="C24" s="848" t="s">
        <v>1859</v>
      </c>
      <c r="E24" s="881" t="s">
        <v>1788</v>
      </c>
      <c r="G24" s="1371"/>
      <c r="H24" s="881"/>
      <c r="I24" s="881"/>
      <c r="J24" s="881"/>
      <c r="K24" s="1372">
        <f t="shared" si="0"/>
        <v>0</v>
      </c>
      <c r="M24" s="1371"/>
      <c r="Q24" s="852">
        <f t="shared" si="1"/>
        <v>0</v>
      </c>
    </row>
    <row r="25" spans="1:17" x14ac:dyDescent="0.2">
      <c r="A25" s="848">
        <f t="shared" si="2"/>
        <v>7</v>
      </c>
      <c r="B25" s="848"/>
      <c r="C25" s="848" t="s">
        <v>1859</v>
      </c>
      <c r="E25" s="881" t="s">
        <v>1792</v>
      </c>
      <c r="G25" s="1371">
        <v>625</v>
      </c>
      <c r="H25" s="881"/>
      <c r="I25" s="881"/>
      <c r="J25" s="881"/>
      <c r="K25" s="1372">
        <f t="shared" si="0"/>
        <v>625</v>
      </c>
      <c r="M25" s="1371"/>
      <c r="Q25" s="852">
        <f t="shared" si="1"/>
        <v>0</v>
      </c>
    </row>
    <row r="26" spans="1:17" x14ac:dyDescent="0.2">
      <c r="A26" s="848">
        <f t="shared" si="2"/>
        <v>8</v>
      </c>
      <c r="B26" s="848"/>
      <c r="C26" s="848" t="s">
        <v>1859</v>
      </c>
      <c r="E26" s="881" t="s">
        <v>1791</v>
      </c>
      <c r="G26" s="1371">
        <v>403</v>
      </c>
      <c r="H26" s="881"/>
      <c r="I26" s="881"/>
      <c r="J26" s="881"/>
      <c r="K26" s="1372">
        <f t="shared" si="0"/>
        <v>403</v>
      </c>
      <c r="M26" s="1371"/>
      <c r="Q26" s="852">
        <f t="shared" si="1"/>
        <v>0</v>
      </c>
    </row>
    <row r="27" spans="1:17" x14ac:dyDescent="0.2">
      <c r="A27" s="848">
        <f t="shared" si="2"/>
        <v>9</v>
      </c>
      <c r="B27" s="848"/>
      <c r="C27" s="848" t="s">
        <v>1859</v>
      </c>
      <c r="E27" s="881" t="s">
        <v>1790</v>
      </c>
      <c r="G27" s="1371">
        <v>600</v>
      </c>
      <c r="H27" s="881"/>
      <c r="I27" s="881"/>
      <c r="J27" s="881"/>
      <c r="K27" s="1372">
        <f t="shared" si="0"/>
        <v>600</v>
      </c>
      <c r="M27" s="1371"/>
      <c r="Q27" s="852">
        <f t="shared" si="1"/>
        <v>0</v>
      </c>
    </row>
    <row r="28" spans="1:17" x14ac:dyDescent="0.2">
      <c r="A28" s="848">
        <f t="shared" si="2"/>
        <v>10</v>
      </c>
      <c r="B28" s="848"/>
      <c r="C28" s="848" t="s">
        <v>1859</v>
      </c>
      <c r="E28" s="881" t="s">
        <v>1796</v>
      </c>
      <c r="G28" s="1371">
        <v>500</v>
      </c>
      <c r="H28" s="881"/>
      <c r="I28" s="881"/>
      <c r="J28" s="881"/>
      <c r="K28" s="1372">
        <f t="shared" si="0"/>
        <v>500</v>
      </c>
      <c r="M28" s="1371"/>
      <c r="Q28" s="852">
        <f t="shared" si="1"/>
        <v>0</v>
      </c>
    </row>
    <row r="29" spans="1:17" x14ac:dyDescent="0.2">
      <c r="A29" s="848">
        <f t="shared" si="2"/>
        <v>11</v>
      </c>
      <c r="B29" s="848"/>
      <c r="C29" s="848" t="s">
        <v>1859</v>
      </c>
      <c r="E29" s="881" t="s">
        <v>1797</v>
      </c>
      <c r="G29" s="1371">
        <v>1115</v>
      </c>
      <c r="H29" s="881"/>
      <c r="I29" s="881"/>
      <c r="J29" s="881"/>
      <c r="K29" s="1372">
        <f t="shared" si="0"/>
        <v>1115</v>
      </c>
      <c r="M29" s="1371"/>
      <c r="Q29" s="852">
        <f t="shared" si="1"/>
        <v>0</v>
      </c>
    </row>
    <row r="30" spans="1:17" x14ac:dyDescent="0.2">
      <c r="A30" s="848">
        <f>A29+1</f>
        <v>12</v>
      </c>
      <c r="B30" s="848"/>
      <c r="C30" s="848" t="s">
        <v>1859</v>
      </c>
      <c r="E30" s="1699" t="s">
        <v>2313</v>
      </c>
      <c r="G30" s="1371"/>
      <c r="H30" s="881"/>
      <c r="I30" s="881"/>
      <c r="J30" s="881"/>
      <c r="K30" s="1372">
        <f t="shared" ref="K30:K36" si="3">G30</f>
        <v>0</v>
      </c>
      <c r="M30" s="1371"/>
      <c r="Q30" s="852">
        <f t="shared" ref="Q30:Q36" si="4">M30</f>
        <v>0</v>
      </c>
    </row>
    <row r="31" spans="1:17" x14ac:dyDescent="0.2">
      <c r="A31" s="848">
        <f t="shared" si="2"/>
        <v>13</v>
      </c>
      <c r="B31" s="848"/>
      <c r="C31" s="848" t="s">
        <v>1859</v>
      </c>
      <c r="E31" s="881" t="s">
        <v>1789</v>
      </c>
      <c r="G31" s="1371">
        <v>5000</v>
      </c>
      <c r="H31" s="881"/>
      <c r="I31" s="881"/>
      <c r="J31" s="881"/>
      <c r="K31" s="1372">
        <f t="shared" si="3"/>
        <v>5000</v>
      </c>
      <c r="M31" s="1371"/>
      <c r="Q31" s="852">
        <f t="shared" si="4"/>
        <v>0</v>
      </c>
    </row>
    <row r="32" spans="1:17" x14ac:dyDescent="0.2">
      <c r="A32" s="848">
        <f t="shared" si="2"/>
        <v>14</v>
      </c>
      <c r="B32" s="848"/>
      <c r="C32" s="848" t="s">
        <v>1859</v>
      </c>
      <c r="E32" s="881" t="s">
        <v>1794</v>
      </c>
      <c r="G32" s="1371"/>
      <c r="H32" s="881"/>
      <c r="I32" s="881"/>
      <c r="J32" s="881"/>
      <c r="K32" s="1372">
        <f t="shared" si="3"/>
        <v>0</v>
      </c>
      <c r="M32" s="1371"/>
      <c r="Q32" s="852">
        <f t="shared" si="4"/>
        <v>0</v>
      </c>
    </row>
    <row r="33" spans="1:31" x14ac:dyDescent="0.2">
      <c r="A33" s="848">
        <f t="shared" si="2"/>
        <v>15</v>
      </c>
      <c r="B33" s="848"/>
      <c r="C33" s="848" t="s">
        <v>1859</v>
      </c>
      <c r="E33" s="881" t="s">
        <v>1795</v>
      </c>
      <c r="G33" s="1371">
        <v>365</v>
      </c>
      <c r="H33" s="881"/>
      <c r="I33" s="881"/>
      <c r="J33" s="881"/>
      <c r="K33" s="1372">
        <f t="shared" si="3"/>
        <v>365</v>
      </c>
      <c r="M33" s="1371"/>
      <c r="Q33" s="852">
        <f t="shared" si="4"/>
        <v>0</v>
      </c>
    </row>
    <row r="34" spans="1:31" x14ac:dyDescent="0.2">
      <c r="A34" s="848">
        <f t="shared" si="2"/>
        <v>16</v>
      </c>
      <c r="B34" s="848"/>
      <c r="C34" s="848" t="s">
        <v>1859</v>
      </c>
      <c r="E34" s="1699" t="s">
        <v>2314</v>
      </c>
      <c r="G34" s="1371">
        <v>5000</v>
      </c>
      <c r="H34" s="881"/>
      <c r="I34" s="881"/>
      <c r="J34" s="881"/>
      <c r="K34" s="1372">
        <f t="shared" si="3"/>
        <v>5000</v>
      </c>
      <c r="M34" s="1371"/>
      <c r="Q34" s="852">
        <f t="shared" si="4"/>
        <v>0</v>
      </c>
    </row>
    <row r="35" spans="1:31" x14ac:dyDescent="0.2">
      <c r="A35" s="848">
        <f t="shared" si="2"/>
        <v>17</v>
      </c>
      <c r="B35" s="848"/>
      <c r="C35" s="848" t="s">
        <v>1859</v>
      </c>
      <c r="E35" s="1699" t="s">
        <v>2315</v>
      </c>
      <c r="G35" s="1371"/>
      <c r="H35" s="881"/>
      <c r="I35" s="881"/>
      <c r="J35" s="881"/>
      <c r="K35" s="1372">
        <f t="shared" si="3"/>
        <v>0</v>
      </c>
      <c r="M35" s="1371"/>
      <c r="Q35" s="852">
        <f t="shared" si="4"/>
        <v>0</v>
      </c>
    </row>
    <row r="36" spans="1:31" x14ac:dyDescent="0.2">
      <c r="A36" s="848">
        <f t="shared" si="2"/>
        <v>18</v>
      </c>
      <c r="B36" s="848"/>
      <c r="C36" s="848" t="s">
        <v>1859</v>
      </c>
      <c r="E36" s="881" t="s">
        <v>1793</v>
      </c>
      <c r="G36" s="1371">
        <v>1250</v>
      </c>
      <c r="H36" s="881"/>
      <c r="I36" s="881"/>
      <c r="J36" s="881"/>
      <c r="K36" s="1372">
        <f t="shared" si="3"/>
        <v>1250</v>
      </c>
      <c r="M36" s="1371"/>
      <c r="Q36" s="852">
        <f t="shared" si="4"/>
        <v>0</v>
      </c>
    </row>
    <row r="37" spans="1:31" x14ac:dyDescent="0.2">
      <c r="A37" s="848">
        <f t="shared" si="2"/>
        <v>19</v>
      </c>
      <c r="B37" s="848"/>
      <c r="C37" s="848" t="s">
        <v>1859</v>
      </c>
      <c r="E37" s="1699" t="s">
        <v>2316</v>
      </c>
      <c r="G37" s="1371">
        <v>1000</v>
      </c>
      <c r="H37" s="881"/>
      <c r="I37" s="881"/>
      <c r="J37" s="881"/>
      <c r="K37" s="1372">
        <f t="shared" si="0"/>
        <v>1000</v>
      </c>
      <c r="M37" s="1371"/>
      <c r="Q37" s="852">
        <f t="shared" si="1"/>
        <v>0</v>
      </c>
    </row>
    <row r="38" spans="1:31" x14ac:dyDescent="0.2">
      <c r="A38" s="848">
        <f t="shared" si="2"/>
        <v>20</v>
      </c>
      <c r="B38" s="848"/>
      <c r="C38" s="848" t="s">
        <v>1859</v>
      </c>
      <c r="E38" s="1699" t="s">
        <v>2317</v>
      </c>
      <c r="G38" s="1371"/>
      <c r="H38" s="881"/>
      <c r="I38" s="881"/>
      <c r="J38" s="881"/>
      <c r="K38" s="1372">
        <f t="shared" si="0"/>
        <v>0</v>
      </c>
      <c r="M38" s="1371"/>
      <c r="Q38" s="852">
        <f t="shared" si="1"/>
        <v>0</v>
      </c>
    </row>
    <row r="39" spans="1:31" x14ac:dyDescent="0.2">
      <c r="A39" s="848">
        <f t="shared" si="2"/>
        <v>21</v>
      </c>
      <c r="B39" s="848"/>
      <c r="C39" s="848" t="s">
        <v>1859</v>
      </c>
      <c r="E39" s="1699" t="s">
        <v>2318</v>
      </c>
      <c r="G39" s="1371"/>
      <c r="H39" s="881"/>
      <c r="I39" s="881"/>
      <c r="J39" s="881"/>
      <c r="K39" s="1372">
        <f t="shared" si="0"/>
        <v>0</v>
      </c>
      <c r="M39" s="1371"/>
      <c r="Q39" s="852">
        <f t="shared" si="1"/>
        <v>0</v>
      </c>
    </row>
    <row r="40" spans="1:31" x14ac:dyDescent="0.2">
      <c r="A40" s="848">
        <f t="shared" si="2"/>
        <v>22</v>
      </c>
      <c r="B40" s="848"/>
      <c r="C40" s="848" t="s">
        <v>1859</v>
      </c>
      <c r="E40" s="1699" t="s">
        <v>2319</v>
      </c>
      <c r="G40" s="1371">
        <v>140</v>
      </c>
      <c r="H40" s="881"/>
      <c r="I40" s="881"/>
      <c r="J40" s="881"/>
      <c r="K40" s="1372">
        <f t="shared" si="0"/>
        <v>140</v>
      </c>
      <c r="M40" s="1371"/>
      <c r="Q40" s="852">
        <f t="shared" si="1"/>
        <v>0</v>
      </c>
    </row>
    <row r="41" spans="1:31" x14ac:dyDescent="0.2">
      <c r="A41" s="848">
        <f t="shared" si="2"/>
        <v>23</v>
      </c>
      <c r="B41" s="848"/>
      <c r="C41" s="848" t="s">
        <v>1859</v>
      </c>
      <c r="E41" s="1699" t="s">
        <v>2320</v>
      </c>
      <c r="G41" s="1371"/>
      <c r="H41" s="881"/>
      <c r="I41" s="881"/>
      <c r="J41" s="881"/>
      <c r="K41" s="1372">
        <f t="shared" si="0"/>
        <v>0</v>
      </c>
      <c r="M41" s="1371"/>
      <c r="Q41" s="852">
        <f t="shared" si="1"/>
        <v>0</v>
      </c>
    </row>
    <row r="42" spans="1:31" s="333" customFormat="1" x14ac:dyDescent="0.2">
      <c r="A42" s="848">
        <f t="shared" si="2"/>
        <v>24</v>
      </c>
      <c r="B42" s="332"/>
      <c r="C42" s="848" t="s">
        <v>1859</v>
      </c>
      <c r="E42" s="1684" t="s">
        <v>1857</v>
      </c>
      <c r="G42" s="1373">
        <v>36462</v>
      </c>
      <c r="H42" s="896"/>
      <c r="I42" s="896"/>
      <c r="J42" s="896"/>
      <c r="K42" s="1374">
        <f t="shared" si="0"/>
        <v>36462</v>
      </c>
      <c r="M42" s="1366">
        <v>83416</v>
      </c>
      <c r="Q42" s="1367">
        <f t="shared" si="1"/>
        <v>83416</v>
      </c>
    </row>
    <row r="43" spans="1:31" s="333" customFormat="1" x14ac:dyDescent="0.2">
      <c r="A43" s="1836"/>
      <c r="B43" s="1836"/>
      <c r="C43" s="1682"/>
      <c r="E43" s="1684"/>
      <c r="G43" s="1373"/>
      <c r="H43" s="896"/>
      <c r="I43" s="896"/>
      <c r="J43" s="896"/>
      <c r="K43" s="1374"/>
      <c r="M43" s="1366"/>
      <c r="Q43" s="1367"/>
    </row>
    <row r="44" spans="1:31" s="333" customFormat="1" ht="13.5" thickBot="1" x14ac:dyDescent="0.25">
      <c r="A44" s="332">
        <v>25</v>
      </c>
      <c r="B44" s="332"/>
      <c r="C44" s="332"/>
      <c r="E44" s="333" t="s">
        <v>670</v>
      </c>
      <c r="G44" s="1375">
        <f>SUM(G19:G42)</f>
        <v>74123</v>
      </c>
      <c r="H44" s="896"/>
      <c r="I44" s="896"/>
      <c r="J44" s="896"/>
      <c r="K44" s="1375">
        <f>SUM(K19:K42)</f>
        <v>74123</v>
      </c>
      <c r="M44" s="1368">
        <f>SUM(M19:M42)</f>
        <v>83416</v>
      </c>
      <c r="Q44" s="1368">
        <f>SUM(Q19:Q42)</f>
        <v>83416</v>
      </c>
      <c r="S44" s="689"/>
      <c r="T44" s="896"/>
      <c r="U44" s="896"/>
      <c r="V44" s="896"/>
      <c r="W44" s="896"/>
      <c r="X44" s="896"/>
      <c r="Y44" s="2168"/>
      <c r="Z44" s="2168"/>
      <c r="AA44" s="2168"/>
      <c r="AB44" s="2168"/>
      <c r="AC44" s="2168"/>
      <c r="AD44" s="2168"/>
      <c r="AE44" s="2168"/>
    </row>
    <row r="45" spans="1:31" s="333" customFormat="1" ht="13.5" thickTop="1" x14ac:dyDescent="0.2">
      <c r="G45" s="896"/>
      <c r="H45" s="896"/>
      <c r="I45" s="896"/>
      <c r="J45" s="896"/>
      <c r="K45" s="342"/>
      <c r="S45" s="689"/>
      <c r="T45" s="896"/>
      <c r="U45" s="896"/>
      <c r="V45" s="896"/>
      <c r="W45" s="896"/>
      <c r="X45" s="896"/>
      <c r="Y45" s="2168"/>
      <c r="Z45" s="2168"/>
      <c r="AA45" s="2168"/>
      <c r="AB45" s="2168"/>
      <c r="AC45" s="2168"/>
      <c r="AD45" s="2168"/>
      <c r="AE45" s="2168"/>
    </row>
    <row r="46" spans="1:31" s="333" customFormat="1" x14ac:dyDescent="0.2">
      <c r="G46" s="896"/>
      <c r="H46" s="896"/>
      <c r="I46" s="896"/>
      <c r="J46" s="896"/>
      <c r="K46" s="342"/>
      <c r="S46" s="689"/>
      <c r="T46" s="896"/>
      <c r="U46" s="896"/>
      <c r="V46" s="896"/>
      <c r="W46" s="896"/>
      <c r="X46" s="896"/>
      <c r="Y46" s="2168"/>
      <c r="Z46" s="2168"/>
      <c r="AA46" s="2168"/>
      <c r="AB46" s="2168"/>
      <c r="AC46" s="2168"/>
      <c r="AD46" s="2168"/>
      <c r="AE46" s="2168"/>
    </row>
    <row r="47" spans="1:31" x14ac:dyDescent="0.2">
      <c r="K47" s="853"/>
      <c r="S47" s="689"/>
      <c r="T47" s="881"/>
      <c r="U47" s="881"/>
      <c r="V47" s="881"/>
      <c r="W47" s="881"/>
      <c r="X47" s="881"/>
      <c r="Y47" s="2168"/>
      <c r="Z47" s="2168"/>
      <c r="AA47" s="2168"/>
      <c r="AB47" s="2168"/>
      <c r="AC47" s="2168"/>
      <c r="AD47" s="2168"/>
      <c r="AE47" s="2168"/>
    </row>
    <row r="48" spans="1:31" x14ac:dyDescent="0.2">
      <c r="K48" s="853"/>
      <c r="S48" s="689"/>
      <c r="T48" s="881"/>
      <c r="U48" s="881"/>
      <c r="V48" s="881"/>
      <c r="W48" s="881"/>
      <c r="X48" s="881"/>
      <c r="Y48" s="2168"/>
      <c r="Z48" s="2168"/>
      <c r="AA48" s="2168"/>
      <c r="AB48" s="2168"/>
      <c r="AC48" s="2168"/>
      <c r="AD48" s="2168"/>
      <c r="AE48" s="2168"/>
    </row>
    <row r="49" spans="11:11" x14ac:dyDescent="0.2">
      <c r="K49" s="853"/>
    </row>
  </sheetData>
  <mergeCells count="8">
    <mergeCell ref="Y44:AE48"/>
    <mergeCell ref="A8:Q8"/>
    <mergeCell ref="G15:K15"/>
    <mergeCell ref="M15:Q15"/>
    <mergeCell ref="A4:Q4"/>
    <mergeCell ref="A5:Q5"/>
    <mergeCell ref="A6:Q6"/>
    <mergeCell ref="A7:Q7"/>
  </mergeCells>
  <phoneticPr fontId="0" type="noConversion"/>
  <printOptions horizontalCentered="1"/>
  <pageMargins left="0.5" right="0.5" top="1" bottom="0.5" header="0.3" footer="0.3"/>
  <pageSetup scale="83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4:X64"/>
  <sheetViews>
    <sheetView topLeftCell="A13" zoomScaleNormal="100" workbookViewId="0">
      <selection activeCell="E42" sqref="E42"/>
    </sheetView>
  </sheetViews>
  <sheetFormatPr defaultColWidth="9.33203125" defaultRowHeight="12.75" x14ac:dyDescent="0.2"/>
  <cols>
    <col min="1" max="1" width="9.6640625" style="333" bestFit="1" customWidth="1"/>
    <col min="2" max="2" width="2" style="333" customWidth="1"/>
    <col min="3" max="3" width="11" style="333" customWidth="1"/>
    <col min="4" max="4" width="2" style="333" customWidth="1"/>
    <col min="5" max="5" width="50.83203125" style="333" customWidth="1"/>
    <col min="6" max="6" width="2" style="333" customWidth="1"/>
    <col min="7" max="7" width="13" style="333" customWidth="1"/>
    <col min="8" max="8" width="2" style="333" customWidth="1"/>
    <col min="9" max="9" width="20.5" style="333" customWidth="1"/>
    <col min="10" max="10" width="2" style="333" customWidth="1"/>
    <col min="11" max="11" width="16" style="333" customWidth="1"/>
    <col min="12" max="12" width="2" style="333" customWidth="1"/>
    <col min="13" max="13" width="13" style="333" customWidth="1"/>
    <col min="14" max="14" width="1.1640625" style="333" customWidth="1"/>
    <col min="15" max="15" width="20.83203125" style="333" customWidth="1"/>
    <col min="16" max="16" width="2" style="333" customWidth="1"/>
    <col min="17" max="17" width="16" style="333" bestFit="1" customWidth="1"/>
    <col min="18" max="16384" width="9.33203125" style="333"/>
  </cols>
  <sheetData>
    <row r="4" spans="1:17" x14ac:dyDescent="0.2">
      <c r="A4" s="2172" t="str">
        <f>co</f>
        <v>COLUMBIA GAS OF KENTUCKY, INC.</v>
      </c>
      <c r="B4" s="2172"/>
      <c r="C4" s="2172"/>
      <c r="D4" s="2172"/>
      <c r="E4" s="2172"/>
      <c r="F4" s="2172"/>
      <c r="G4" s="2172"/>
      <c r="H4" s="2172"/>
      <c r="I4" s="2172"/>
      <c r="J4" s="2172"/>
      <c r="K4" s="2172"/>
      <c r="L4" s="2172"/>
      <c r="M4" s="2172"/>
      <c r="N4" s="2172"/>
      <c r="O4" s="2172"/>
      <c r="P4" s="2172"/>
      <c r="Q4" s="2172"/>
    </row>
    <row r="5" spans="1:17" x14ac:dyDescent="0.2">
      <c r="A5" s="2172" t="str">
        <f>case</f>
        <v>CASE NO. 2016 - 00162</v>
      </c>
      <c r="B5" s="2172"/>
      <c r="C5" s="2172"/>
      <c r="D5" s="2172"/>
      <c r="E5" s="2172"/>
      <c r="F5" s="2172"/>
      <c r="G5" s="2172"/>
      <c r="H5" s="2172"/>
      <c r="I5" s="2172"/>
      <c r="J5" s="2172"/>
      <c r="K5" s="2172"/>
      <c r="L5" s="2172"/>
      <c r="M5" s="2172"/>
      <c r="N5" s="2172"/>
      <c r="O5" s="2172"/>
      <c r="P5" s="2172"/>
      <c r="Q5" s="2172"/>
    </row>
    <row r="6" spans="1:17" x14ac:dyDescent="0.2">
      <c r="A6" s="2174" t="s">
        <v>230</v>
      </c>
      <c r="B6" s="2174"/>
      <c r="C6" s="2174"/>
      <c r="D6" s="2174"/>
      <c r="E6" s="2174"/>
      <c r="F6" s="2174"/>
      <c r="G6" s="2174"/>
      <c r="H6" s="2174"/>
      <c r="I6" s="2174"/>
      <c r="J6" s="2174"/>
      <c r="K6" s="2174"/>
      <c r="L6" s="2174"/>
      <c r="M6" s="2174"/>
      <c r="N6" s="2174"/>
      <c r="O6" s="2174"/>
      <c r="P6" s="2174"/>
      <c r="Q6" s="2174"/>
    </row>
    <row r="7" spans="1:17" x14ac:dyDescent="0.2">
      <c r="A7" s="2172" t="str">
        <f>'F-1 Corp Due &amp; Memberships'!A7:Q7</f>
        <v>BASE PERIOD: TWELVE MONTHS ENDED AUGUST 31, 2016</v>
      </c>
      <c r="B7" s="2172"/>
      <c r="C7" s="2172"/>
      <c r="D7" s="2172"/>
      <c r="E7" s="2172"/>
      <c r="F7" s="2172"/>
      <c r="G7" s="2172"/>
      <c r="H7" s="2172"/>
      <c r="I7" s="2172"/>
      <c r="J7" s="2172"/>
      <c r="K7" s="2172"/>
      <c r="L7" s="2172"/>
      <c r="M7" s="2172"/>
      <c r="N7" s="2172"/>
      <c r="O7" s="2172"/>
      <c r="P7" s="2172"/>
      <c r="Q7" s="2172"/>
    </row>
    <row r="8" spans="1:17" x14ac:dyDescent="0.2">
      <c r="A8" s="2172" t="str">
        <f>'F-1 Corp Due &amp; Memberships'!A8:Q8</f>
        <v>FORECASTED PERIOD: TWELVE MONTHS ENDED DECEMBER 31, 2017</v>
      </c>
      <c r="B8" s="2172"/>
      <c r="C8" s="2172"/>
      <c r="D8" s="2172"/>
      <c r="E8" s="2172"/>
      <c r="F8" s="2172"/>
      <c r="G8" s="2172"/>
      <c r="H8" s="2172"/>
      <c r="I8" s="2172"/>
      <c r="J8" s="2172"/>
      <c r="K8" s="2172"/>
      <c r="L8" s="2172"/>
      <c r="M8" s="2172"/>
      <c r="N8" s="2172"/>
      <c r="O8" s="2172"/>
      <c r="P8" s="2172"/>
      <c r="Q8" s="2172"/>
    </row>
    <row r="10" spans="1:17" x14ac:dyDescent="0.2">
      <c r="A10" s="840" t="s">
        <v>250</v>
      </c>
      <c r="L10" s="841"/>
      <c r="M10" s="841"/>
      <c r="N10" s="841"/>
      <c r="O10" s="841"/>
      <c r="P10" s="841"/>
      <c r="Q10" s="841" t="s">
        <v>1973</v>
      </c>
    </row>
    <row r="11" spans="1:17" x14ac:dyDescent="0.2">
      <c r="A11" s="840" t="s">
        <v>245</v>
      </c>
      <c r="L11" s="841"/>
      <c r="M11" s="841"/>
      <c r="N11" s="841"/>
      <c r="O11" s="841"/>
      <c r="P11" s="841"/>
      <c r="Q11" s="841" t="s">
        <v>246</v>
      </c>
    </row>
    <row r="12" spans="1:17" x14ac:dyDescent="0.2">
      <c r="A12" s="840" t="s">
        <v>247</v>
      </c>
      <c r="L12" s="841"/>
      <c r="M12" s="841"/>
      <c r="N12" s="841"/>
      <c r="O12" s="841"/>
      <c r="P12" s="841"/>
      <c r="Q12" s="842" t="str">
        <f>JTC</f>
        <v>WITNESS:  J. T. CROOM</v>
      </c>
    </row>
    <row r="13" spans="1:17" x14ac:dyDescent="0.2">
      <c r="A13" s="876"/>
      <c r="B13" s="876"/>
      <c r="C13" s="876"/>
      <c r="D13" s="876"/>
      <c r="E13" s="876"/>
      <c r="F13" s="876"/>
      <c r="G13" s="876"/>
      <c r="H13" s="876"/>
      <c r="I13" s="876"/>
      <c r="J13" s="876"/>
      <c r="K13" s="876"/>
      <c r="L13" s="876"/>
      <c r="M13" s="876"/>
      <c r="N13" s="876"/>
      <c r="O13" s="876"/>
      <c r="P13" s="876"/>
      <c r="Q13" s="876"/>
    </row>
    <row r="14" spans="1:17" x14ac:dyDescent="0.2">
      <c r="A14" s="337"/>
      <c r="B14" s="337"/>
      <c r="C14" s="337"/>
      <c r="D14" s="337"/>
      <c r="E14" s="337"/>
      <c r="F14" s="337"/>
      <c r="G14" s="2170" t="s">
        <v>830</v>
      </c>
      <c r="H14" s="2170"/>
      <c r="I14" s="2170"/>
      <c r="J14" s="2170"/>
      <c r="K14" s="2170"/>
      <c r="L14" s="337"/>
      <c r="M14" s="2170" t="s">
        <v>1264</v>
      </c>
      <c r="N14" s="2170"/>
      <c r="O14" s="2170"/>
      <c r="P14" s="2170"/>
      <c r="Q14" s="2170"/>
    </row>
    <row r="15" spans="1:17" x14ac:dyDescent="0.2">
      <c r="A15" s="332" t="s">
        <v>632</v>
      </c>
      <c r="B15" s="332"/>
      <c r="C15" s="332" t="s">
        <v>756</v>
      </c>
      <c r="G15" s="332" t="s">
        <v>670</v>
      </c>
      <c r="M15" s="332" t="s">
        <v>670</v>
      </c>
    </row>
    <row r="16" spans="1:17" x14ac:dyDescent="0.2">
      <c r="A16" s="846" t="s">
        <v>635</v>
      </c>
      <c r="B16" s="846"/>
      <c r="C16" s="846" t="s">
        <v>635</v>
      </c>
      <c r="D16" s="876"/>
      <c r="E16" s="846" t="s">
        <v>251</v>
      </c>
      <c r="F16" s="876"/>
      <c r="G16" s="846" t="s">
        <v>1348</v>
      </c>
      <c r="H16" s="876"/>
      <c r="I16" s="876" t="s">
        <v>249</v>
      </c>
      <c r="J16" s="876"/>
      <c r="K16" s="876" t="s">
        <v>696</v>
      </c>
      <c r="L16" s="876"/>
      <c r="M16" s="846" t="s">
        <v>1348</v>
      </c>
      <c r="N16" s="876"/>
      <c r="O16" s="876" t="s">
        <v>249</v>
      </c>
      <c r="P16" s="876"/>
      <c r="Q16" s="876" t="s">
        <v>696</v>
      </c>
    </row>
    <row r="17" spans="1:17" x14ac:dyDescent="0.2">
      <c r="C17" s="332"/>
    </row>
    <row r="18" spans="1:17" x14ac:dyDescent="0.2">
      <c r="A18" s="332">
        <v>1</v>
      </c>
      <c r="C18" s="332">
        <v>426</v>
      </c>
      <c r="E18" s="896" t="s">
        <v>1905</v>
      </c>
      <c r="F18" s="896"/>
      <c r="G18" s="1806">
        <v>2050</v>
      </c>
      <c r="I18" s="850">
        <v>1</v>
      </c>
      <c r="K18" s="903">
        <f>G18</f>
        <v>2050</v>
      </c>
      <c r="M18" s="1444"/>
      <c r="O18" s="850">
        <v>1</v>
      </c>
      <c r="Q18" s="903">
        <f>M18</f>
        <v>0</v>
      </c>
    </row>
    <row r="19" spans="1:17" x14ac:dyDescent="0.2">
      <c r="A19" s="332">
        <f>A18+1</f>
        <v>2</v>
      </c>
      <c r="C19" s="332">
        <v>426</v>
      </c>
      <c r="E19" s="896" t="s">
        <v>1906</v>
      </c>
      <c r="F19" s="896"/>
      <c r="G19" s="1373">
        <v>1000</v>
      </c>
      <c r="K19" s="501">
        <f t="shared" ref="K19:K47" si="0">G19</f>
        <v>1000</v>
      </c>
      <c r="Q19" s="501">
        <f t="shared" ref="Q19:Q47" si="1">M19</f>
        <v>0</v>
      </c>
    </row>
    <row r="20" spans="1:17" x14ac:dyDescent="0.2">
      <c r="A20" s="332">
        <f t="shared" ref="A20:A45" si="2">A19+1</f>
        <v>3</v>
      </c>
      <c r="C20" s="332">
        <v>426</v>
      </c>
      <c r="E20" s="896" t="s">
        <v>1848</v>
      </c>
      <c r="F20" s="896"/>
      <c r="G20" s="1373">
        <v>500</v>
      </c>
      <c r="K20" s="501">
        <f t="shared" si="0"/>
        <v>500</v>
      </c>
      <c r="Q20" s="501">
        <f t="shared" si="1"/>
        <v>0</v>
      </c>
    </row>
    <row r="21" spans="1:17" x14ac:dyDescent="0.2">
      <c r="A21" s="332">
        <f t="shared" si="2"/>
        <v>4</v>
      </c>
      <c r="C21" s="332">
        <v>426</v>
      </c>
      <c r="E21" s="1699" t="s">
        <v>2292</v>
      </c>
      <c r="F21" s="896"/>
      <c r="G21" s="1373">
        <v>5000</v>
      </c>
      <c r="K21" s="501">
        <f t="shared" si="0"/>
        <v>5000</v>
      </c>
      <c r="Q21" s="501">
        <f t="shared" si="1"/>
        <v>0</v>
      </c>
    </row>
    <row r="22" spans="1:17" x14ac:dyDescent="0.2">
      <c r="A22" s="332">
        <f t="shared" si="2"/>
        <v>5</v>
      </c>
      <c r="C22" s="332">
        <v>426</v>
      </c>
      <c r="E22" s="1699" t="s">
        <v>1849</v>
      </c>
      <c r="F22" s="896"/>
      <c r="G22" s="1373">
        <v>10000</v>
      </c>
      <c r="K22" s="501">
        <f t="shared" si="0"/>
        <v>10000</v>
      </c>
      <c r="Q22" s="501">
        <f t="shared" si="1"/>
        <v>0</v>
      </c>
    </row>
    <row r="23" spans="1:17" x14ac:dyDescent="0.2">
      <c r="A23" s="332">
        <f t="shared" si="2"/>
        <v>6</v>
      </c>
      <c r="C23" s="332">
        <v>426</v>
      </c>
      <c r="E23" s="1699" t="s">
        <v>2293</v>
      </c>
      <c r="F23" s="896"/>
      <c r="G23" s="1373">
        <v>5000</v>
      </c>
      <c r="K23" s="501">
        <f t="shared" si="0"/>
        <v>5000</v>
      </c>
      <c r="Q23" s="501">
        <f t="shared" si="1"/>
        <v>0</v>
      </c>
    </row>
    <row r="24" spans="1:17" x14ac:dyDescent="0.2">
      <c r="A24" s="332">
        <f t="shared" si="2"/>
        <v>7</v>
      </c>
      <c r="C24" s="332">
        <v>426</v>
      </c>
      <c r="E24" s="896" t="s">
        <v>1850</v>
      </c>
      <c r="F24" s="896"/>
      <c r="G24" s="1373">
        <v>1000</v>
      </c>
      <c r="K24" s="501">
        <f t="shared" si="0"/>
        <v>1000</v>
      </c>
      <c r="Q24" s="501">
        <f t="shared" si="1"/>
        <v>0</v>
      </c>
    </row>
    <row r="25" spans="1:17" x14ac:dyDescent="0.2">
      <c r="A25" s="332">
        <f t="shared" si="2"/>
        <v>8</v>
      </c>
      <c r="C25" s="332">
        <v>426</v>
      </c>
      <c r="E25" s="896" t="s">
        <v>1851</v>
      </c>
      <c r="F25" s="896"/>
      <c r="G25" s="1373">
        <v>500</v>
      </c>
      <c r="K25" s="501">
        <f t="shared" si="0"/>
        <v>500</v>
      </c>
      <c r="Q25" s="501">
        <f t="shared" si="1"/>
        <v>0</v>
      </c>
    </row>
    <row r="26" spans="1:17" x14ac:dyDescent="0.2">
      <c r="A26" s="332">
        <f t="shared" si="2"/>
        <v>9</v>
      </c>
      <c r="C26" s="332">
        <v>426</v>
      </c>
      <c r="E26" s="896" t="s">
        <v>1852</v>
      </c>
      <c r="F26" s="896"/>
      <c r="G26" s="1373">
        <f>1000+2000</f>
        <v>3000</v>
      </c>
      <c r="K26" s="501">
        <f t="shared" si="0"/>
        <v>3000</v>
      </c>
      <c r="Q26" s="501">
        <f t="shared" si="1"/>
        <v>0</v>
      </c>
    </row>
    <row r="27" spans="1:17" x14ac:dyDescent="0.2">
      <c r="A27" s="1819">
        <f t="shared" si="2"/>
        <v>10</v>
      </c>
      <c r="C27" s="1819">
        <v>426</v>
      </c>
      <c r="E27" s="1699" t="s">
        <v>2294</v>
      </c>
      <c r="F27" s="896"/>
      <c r="G27" s="1373">
        <v>1000</v>
      </c>
      <c r="K27" s="501">
        <f t="shared" si="0"/>
        <v>1000</v>
      </c>
      <c r="Q27" s="501">
        <f t="shared" si="1"/>
        <v>0</v>
      </c>
    </row>
    <row r="28" spans="1:17" x14ac:dyDescent="0.2">
      <c r="A28" s="1819">
        <f t="shared" si="2"/>
        <v>11</v>
      </c>
      <c r="C28" s="1819">
        <v>426</v>
      </c>
      <c r="E28" s="1699" t="s">
        <v>2295</v>
      </c>
      <c r="F28" s="896"/>
      <c r="G28" s="1373">
        <v>1000</v>
      </c>
      <c r="K28" s="501">
        <f t="shared" ref="K28" si="3">G28</f>
        <v>1000</v>
      </c>
      <c r="Q28" s="501">
        <f t="shared" ref="Q28" si="4">M28</f>
        <v>0</v>
      </c>
    </row>
    <row r="29" spans="1:17" x14ac:dyDescent="0.2">
      <c r="A29" s="332">
        <f>A28+1</f>
        <v>12</v>
      </c>
      <c r="C29" s="332">
        <v>426</v>
      </c>
      <c r="E29" s="896" t="s">
        <v>1904</v>
      </c>
      <c r="F29" s="896"/>
      <c r="G29" s="1373">
        <v>3000</v>
      </c>
      <c r="K29" s="501">
        <f t="shared" si="0"/>
        <v>3000</v>
      </c>
      <c r="Q29" s="501">
        <f t="shared" si="1"/>
        <v>0</v>
      </c>
    </row>
    <row r="30" spans="1:17" x14ac:dyDescent="0.2">
      <c r="A30" s="332">
        <f t="shared" si="2"/>
        <v>13</v>
      </c>
      <c r="C30" s="332">
        <v>426</v>
      </c>
      <c r="E30" s="1699" t="s">
        <v>2296</v>
      </c>
      <c r="F30" s="896"/>
      <c r="G30" s="1373">
        <v>10000</v>
      </c>
      <c r="K30" s="501">
        <f t="shared" si="0"/>
        <v>10000</v>
      </c>
      <c r="Q30" s="501">
        <f t="shared" si="1"/>
        <v>0</v>
      </c>
    </row>
    <row r="31" spans="1:17" x14ac:dyDescent="0.2">
      <c r="A31" s="332">
        <f t="shared" si="2"/>
        <v>14</v>
      </c>
      <c r="C31" s="332">
        <v>426</v>
      </c>
      <c r="E31" s="1699" t="s">
        <v>2297</v>
      </c>
      <c r="F31" s="896"/>
      <c r="G31" s="1373">
        <v>750</v>
      </c>
      <c r="K31" s="501">
        <f t="shared" si="0"/>
        <v>750</v>
      </c>
      <c r="Q31" s="501">
        <f t="shared" si="1"/>
        <v>0</v>
      </c>
    </row>
    <row r="32" spans="1:17" x14ac:dyDescent="0.2">
      <c r="A32" s="332">
        <f t="shared" si="2"/>
        <v>15</v>
      </c>
      <c r="C32" s="332">
        <v>426</v>
      </c>
      <c r="E32" s="1699" t="s">
        <v>2298</v>
      </c>
      <c r="F32" s="896"/>
      <c r="G32" s="1373">
        <v>1000</v>
      </c>
      <c r="K32" s="501">
        <f t="shared" si="0"/>
        <v>1000</v>
      </c>
      <c r="Q32" s="501">
        <f t="shared" si="1"/>
        <v>0</v>
      </c>
    </row>
    <row r="33" spans="1:24" x14ac:dyDescent="0.2">
      <c r="A33" s="332">
        <f t="shared" si="2"/>
        <v>16</v>
      </c>
      <c r="C33" s="332">
        <v>426</v>
      </c>
      <c r="E33" s="1699" t="s">
        <v>2299</v>
      </c>
      <c r="F33" s="896"/>
      <c r="G33" s="1373">
        <v>1000</v>
      </c>
      <c r="K33" s="501">
        <f t="shared" si="0"/>
        <v>1000</v>
      </c>
      <c r="Q33" s="501">
        <f t="shared" si="1"/>
        <v>0</v>
      </c>
    </row>
    <row r="34" spans="1:24" x14ac:dyDescent="0.2">
      <c r="A34" s="332">
        <f t="shared" si="2"/>
        <v>17</v>
      </c>
      <c r="C34" s="332">
        <v>426</v>
      </c>
      <c r="E34" s="1699" t="s">
        <v>2301</v>
      </c>
      <c r="F34" s="896"/>
      <c r="G34" s="1373">
        <v>1500</v>
      </c>
      <c r="K34" s="501">
        <f t="shared" si="0"/>
        <v>1500</v>
      </c>
      <c r="Q34" s="501">
        <f t="shared" si="1"/>
        <v>0</v>
      </c>
    </row>
    <row r="35" spans="1:24" x14ac:dyDescent="0.2">
      <c r="A35" s="332">
        <f t="shared" si="2"/>
        <v>18</v>
      </c>
      <c r="C35" s="332">
        <v>426</v>
      </c>
      <c r="E35" s="1699" t="s">
        <v>2300</v>
      </c>
      <c r="F35" s="896"/>
      <c r="G35" s="1373">
        <v>600</v>
      </c>
      <c r="K35" s="501">
        <f t="shared" si="0"/>
        <v>600</v>
      </c>
      <c r="Q35" s="501">
        <f t="shared" si="1"/>
        <v>0</v>
      </c>
    </row>
    <row r="36" spans="1:24" x14ac:dyDescent="0.2">
      <c r="A36" s="332">
        <f t="shared" si="2"/>
        <v>19</v>
      </c>
      <c r="C36" s="332">
        <v>426</v>
      </c>
      <c r="E36" s="1699" t="s">
        <v>2302</v>
      </c>
      <c r="F36" s="896"/>
      <c r="G36" s="1373">
        <v>1000</v>
      </c>
      <c r="K36" s="501">
        <f t="shared" si="0"/>
        <v>1000</v>
      </c>
      <c r="Q36" s="501">
        <f t="shared" si="1"/>
        <v>0</v>
      </c>
    </row>
    <row r="37" spans="1:24" x14ac:dyDescent="0.2">
      <c r="A37" s="332">
        <f t="shared" si="2"/>
        <v>20</v>
      </c>
      <c r="C37" s="332">
        <v>426</v>
      </c>
      <c r="E37" s="1699" t="s">
        <v>2303</v>
      </c>
      <c r="G37" s="1373">
        <v>1200</v>
      </c>
      <c r="K37" s="501">
        <f t="shared" si="0"/>
        <v>1200</v>
      </c>
      <c r="Q37" s="501">
        <f t="shared" si="1"/>
        <v>0</v>
      </c>
    </row>
    <row r="38" spans="1:24" x14ac:dyDescent="0.2">
      <c r="A38" s="332">
        <f t="shared" si="2"/>
        <v>21</v>
      </c>
      <c r="C38" s="332">
        <v>426</v>
      </c>
      <c r="E38" s="1699" t="s">
        <v>2304</v>
      </c>
      <c r="F38" s="896"/>
      <c r="G38" s="1373">
        <v>750</v>
      </c>
      <c r="K38" s="501">
        <f t="shared" si="0"/>
        <v>750</v>
      </c>
      <c r="Q38" s="501">
        <f t="shared" si="1"/>
        <v>0</v>
      </c>
    </row>
    <row r="39" spans="1:24" x14ac:dyDescent="0.2">
      <c r="A39" s="332">
        <f t="shared" si="2"/>
        <v>22</v>
      </c>
      <c r="C39" s="332">
        <v>426</v>
      </c>
      <c r="E39" s="1699" t="s">
        <v>2305</v>
      </c>
      <c r="F39" s="896"/>
      <c r="G39" s="1373">
        <v>1100</v>
      </c>
      <c r="K39" s="501">
        <f t="shared" si="0"/>
        <v>1100</v>
      </c>
      <c r="Q39" s="501">
        <f t="shared" si="1"/>
        <v>0</v>
      </c>
    </row>
    <row r="40" spans="1:24" x14ac:dyDescent="0.2">
      <c r="A40" s="332">
        <f t="shared" si="2"/>
        <v>23</v>
      </c>
      <c r="C40" s="332">
        <v>426</v>
      </c>
      <c r="E40" s="1699" t="s">
        <v>1853</v>
      </c>
      <c r="F40" s="896"/>
      <c r="G40" s="1373">
        <v>2500</v>
      </c>
      <c r="K40" s="501">
        <f t="shared" si="0"/>
        <v>2500</v>
      </c>
      <c r="Q40" s="501">
        <f t="shared" si="1"/>
        <v>0</v>
      </c>
    </row>
    <row r="41" spans="1:24" x14ac:dyDescent="0.2">
      <c r="A41" s="332">
        <f t="shared" si="2"/>
        <v>24</v>
      </c>
      <c r="C41" s="332">
        <v>426</v>
      </c>
      <c r="E41" s="1699" t="s">
        <v>2306</v>
      </c>
      <c r="F41" s="896"/>
      <c r="G41" s="1373">
        <v>2500</v>
      </c>
      <c r="K41" s="501">
        <f t="shared" si="0"/>
        <v>2500</v>
      </c>
      <c r="Q41" s="501">
        <f t="shared" si="1"/>
        <v>0</v>
      </c>
    </row>
    <row r="42" spans="1:24" x14ac:dyDescent="0.2">
      <c r="A42" s="332">
        <f t="shared" si="2"/>
        <v>25</v>
      </c>
      <c r="C42" s="332">
        <v>426</v>
      </c>
      <c r="E42" s="1699" t="s">
        <v>2307</v>
      </c>
      <c r="F42" s="896"/>
      <c r="G42" s="1373">
        <v>1000</v>
      </c>
      <c r="K42" s="501">
        <f t="shared" si="0"/>
        <v>1000</v>
      </c>
      <c r="Q42" s="501">
        <f t="shared" si="1"/>
        <v>0</v>
      </c>
    </row>
    <row r="43" spans="1:24" x14ac:dyDescent="0.2">
      <c r="A43" s="332">
        <f t="shared" si="2"/>
        <v>26</v>
      </c>
      <c r="C43" s="332">
        <v>426</v>
      </c>
      <c r="E43" s="1699" t="s">
        <v>2308</v>
      </c>
      <c r="F43" s="896"/>
      <c r="G43" s="1373">
        <v>520</v>
      </c>
      <c r="K43" s="501">
        <f t="shared" si="0"/>
        <v>520</v>
      </c>
      <c r="Q43" s="501">
        <f t="shared" si="1"/>
        <v>0</v>
      </c>
    </row>
    <row r="44" spans="1:24" x14ac:dyDescent="0.2">
      <c r="A44" s="332">
        <f t="shared" si="2"/>
        <v>27</v>
      </c>
      <c r="C44" s="332">
        <v>426</v>
      </c>
      <c r="E44" s="1699" t="s">
        <v>1854</v>
      </c>
      <c r="F44" s="896"/>
      <c r="G44" s="1373">
        <v>2500</v>
      </c>
      <c r="K44" s="501">
        <f t="shared" si="0"/>
        <v>2500</v>
      </c>
      <c r="Q44" s="501">
        <f t="shared" si="1"/>
        <v>0</v>
      </c>
    </row>
    <row r="45" spans="1:24" x14ac:dyDescent="0.2">
      <c r="A45" s="332">
        <f t="shared" si="2"/>
        <v>28</v>
      </c>
      <c r="C45" s="332">
        <v>426</v>
      </c>
      <c r="E45" s="1699" t="s">
        <v>1855</v>
      </c>
      <c r="F45" s="896"/>
      <c r="G45" s="1373">
        <v>3250</v>
      </c>
      <c r="K45" s="501">
        <f t="shared" si="0"/>
        <v>3250</v>
      </c>
      <c r="Q45" s="501">
        <f t="shared" si="1"/>
        <v>0</v>
      </c>
    </row>
    <row r="46" spans="1:24" x14ac:dyDescent="0.2">
      <c r="A46" s="332">
        <f>A45+1</f>
        <v>29</v>
      </c>
      <c r="C46" s="332">
        <v>426</v>
      </c>
      <c r="E46" s="896" t="s">
        <v>1856</v>
      </c>
      <c r="G46" s="1373">
        <f>14554+3812</f>
        <v>18366</v>
      </c>
      <c r="K46" s="501">
        <f t="shared" si="0"/>
        <v>18366</v>
      </c>
      <c r="Q46" s="501">
        <f t="shared" si="1"/>
        <v>0</v>
      </c>
      <c r="T46" s="1699"/>
      <c r="U46" s="896"/>
      <c r="V46" s="896"/>
      <c r="W46" s="896"/>
      <c r="X46" s="896"/>
    </row>
    <row r="47" spans="1:24" x14ac:dyDescent="0.2">
      <c r="A47" s="332">
        <f>A46+1</f>
        <v>30</v>
      </c>
      <c r="C47" s="332">
        <v>426</v>
      </c>
      <c r="E47" s="333" t="s">
        <v>1857</v>
      </c>
      <c r="G47" s="1373">
        <v>71000</v>
      </c>
      <c r="K47" s="501">
        <f t="shared" si="0"/>
        <v>71000</v>
      </c>
      <c r="M47" s="1806">
        <v>142000</v>
      </c>
      <c r="Q47" s="903">
        <f t="shared" si="1"/>
        <v>142000</v>
      </c>
      <c r="T47" s="1699"/>
      <c r="U47" s="896"/>
      <c r="V47" s="896"/>
      <c r="W47" s="896"/>
      <c r="X47" s="896"/>
    </row>
    <row r="48" spans="1:24" x14ac:dyDescent="0.2">
      <c r="A48" s="332"/>
      <c r="C48" s="332"/>
      <c r="K48" s="334"/>
    </row>
    <row r="49" spans="1:17" ht="13.5" thickBot="1" x14ac:dyDescent="0.25">
      <c r="A49" s="332">
        <f>A47+1</f>
        <v>31</v>
      </c>
      <c r="C49" s="332"/>
      <c r="E49" s="333" t="s">
        <v>670</v>
      </c>
      <c r="G49" s="1368">
        <f>SUM(G18:G48)</f>
        <v>153586</v>
      </c>
      <c r="K49" s="1368">
        <f>SUM(K18:K48)</f>
        <v>153586</v>
      </c>
      <c r="M49" s="1368">
        <f>SUM(M18:M48)</f>
        <v>142000</v>
      </c>
      <c r="Q49" s="1368">
        <f>SUM(Q18:Q48)</f>
        <v>142000</v>
      </c>
    </row>
    <row r="50" spans="1:17" ht="13.5" thickTop="1" x14ac:dyDescent="0.2">
      <c r="A50" s="332"/>
      <c r="C50" s="332"/>
      <c r="K50" s="334"/>
    </row>
    <row r="51" spans="1:17" x14ac:dyDescent="0.2">
      <c r="A51" s="332"/>
      <c r="C51" s="332"/>
      <c r="K51" s="334"/>
    </row>
    <row r="52" spans="1:17" x14ac:dyDescent="0.2">
      <c r="A52" s="332">
        <f>A49+1</f>
        <v>32</v>
      </c>
      <c r="B52" s="884"/>
      <c r="C52" s="1405"/>
      <c r="D52" s="884"/>
      <c r="E52" s="885" t="s">
        <v>1975</v>
      </c>
      <c r="F52" s="884"/>
      <c r="G52" s="884"/>
      <c r="H52" s="884"/>
      <c r="I52" s="884"/>
      <c r="J52" s="896"/>
      <c r="K52" s="342"/>
    </row>
    <row r="53" spans="1:17" x14ac:dyDescent="0.2">
      <c r="A53" s="332"/>
      <c r="C53" s="332"/>
      <c r="K53" s="334"/>
    </row>
    <row r="54" spans="1:17" x14ac:dyDescent="0.2">
      <c r="A54" s="332"/>
      <c r="C54" s="332"/>
      <c r="K54" s="334"/>
    </row>
    <row r="55" spans="1:17" x14ac:dyDescent="0.2">
      <c r="A55" s="332"/>
      <c r="C55" s="332"/>
      <c r="K55" s="334"/>
    </row>
    <row r="56" spans="1:17" x14ac:dyDescent="0.2">
      <c r="A56" s="332"/>
      <c r="C56" s="332"/>
      <c r="K56" s="334"/>
    </row>
    <row r="57" spans="1:17" x14ac:dyDescent="0.2">
      <c r="A57" s="332"/>
      <c r="C57" s="332"/>
      <c r="K57" s="334"/>
    </row>
    <row r="58" spans="1:17" x14ac:dyDescent="0.2">
      <c r="A58" s="332"/>
      <c r="C58" s="332"/>
      <c r="K58" s="334"/>
    </row>
    <row r="59" spans="1:17" x14ac:dyDescent="0.2">
      <c r="A59" s="332"/>
      <c r="C59" s="332"/>
      <c r="K59" s="334"/>
    </row>
    <row r="60" spans="1:17" x14ac:dyDescent="0.2">
      <c r="G60" s="1445"/>
      <c r="K60" s="334"/>
    </row>
    <row r="61" spans="1:17" x14ac:dyDescent="0.2">
      <c r="G61" s="1445"/>
      <c r="K61" s="334"/>
    </row>
    <row r="62" spans="1:17" x14ac:dyDescent="0.2">
      <c r="G62" s="1445"/>
      <c r="K62" s="334"/>
    </row>
    <row r="63" spans="1:17" x14ac:dyDescent="0.2">
      <c r="G63" s="1445"/>
      <c r="K63" s="334"/>
    </row>
    <row r="64" spans="1:17" ht="12" customHeight="1" x14ac:dyDescent="0.2">
      <c r="K64" s="334"/>
    </row>
  </sheetData>
  <mergeCells count="7">
    <mergeCell ref="A8:Q8"/>
    <mergeCell ref="G14:K14"/>
    <mergeCell ref="M14:Q14"/>
    <mergeCell ref="A4:Q4"/>
    <mergeCell ref="A5:Q5"/>
    <mergeCell ref="A6:Q6"/>
    <mergeCell ref="A7:Q7"/>
  </mergeCells>
  <phoneticPr fontId="0" type="noConversion"/>
  <printOptions horizontalCentered="1"/>
  <pageMargins left="0.5" right="0.5" top="1" bottom="0.5" header="0.3" footer="0.3"/>
  <pageSetup scale="75" orientation="landscape" r:id="rId1"/>
  <headerFooter alignWithMargins="0"/>
  <rowBreaks count="1" manualBreakCount="1">
    <brk id="57" max="16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4:Q39"/>
  <sheetViews>
    <sheetView zoomScaleNormal="100" workbookViewId="0">
      <selection activeCell="C27" sqref="C27"/>
    </sheetView>
  </sheetViews>
  <sheetFormatPr defaultColWidth="9.33203125" defaultRowHeight="12.75" x14ac:dyDescent="0.2"/>
  <cols>
    <col min="1" max="1" width="4.83203125" style="659" customWidth="1"/>
    <col min="2" max="2" width="2" style="659" customWidth="1"/>
    <col min="3" max="3" width="11" style="659" customWidth="1"/>
    <col min="4" max="4" width="2" style="659" customWidth="1"/>
    <col min="5" max="5" width="21.33203125" style="659" customWidth="1"/>
    <col min="6" max="6" width="2" style="659" customWidth="1"/>
    <col min="7" max="7" width="18.83203125" style="659" customWidth="1"/>
    <col min="8" max="8" width="2" style="659" customWidth="1"/>
    <col min="9" max="9" width="20.5" style="659" customWidth="1"/>
    <col min="10" max="10" width="2" style="659" customWidth="1"/>
    <col min="11" max="11" width="18.83203125" style="659" customWidth="1"/>
    <col min="12" max="12" width="2" style="659" customWidth="1"/>
    <col min="13" max="13" width="18.83203125" style="659" customWidth="1"/>
    <col min="14" max="14" width="2" style="659" customWidth="1"/>
    <col min="15" max="15" width="20.5" style="659" customWidth="1"/>
    <col min="16" max="16" width="2" style="659" customWidth="1"/>
    <col min="17" max="17" width="18.83203125" style="659" customWidth="1"/>
    <col min="18" max="16384" width="9.33203125" style="659"/>
  </cols>
  <sheetData>
    <row r="4" spans="1:17" x14ac:dyDescent="0.2">
      <c r="A4" s="2172" t="str">
        <f>co</f>
        <v>COLUMBIA GAS OF KENTUCKY, INC.</v>
      </c>
      <c r="B4" s="2172"/>
      <c r="C4" s="2172"/>
      <c r="D4" s="2172"/>
      <c r="E4" s="2172"/>
      <c r="F4" s="2172"/>
      <c r="G4" s="2172"/>
      <c r="H4" s="2172"/>
      <c r="I4" s="2172"/>
      <c r="J4" s="2172"/>
      <c r="K4" s="2172"/>
      <c r="L4" s="2172"/>
      <c r="M4" s="2172"/>
      <c r="N4" s="2172"/>
      <c r="O4" s="2172"/>
      <c r="P4" s="2172"/>
      <c r="Q4" s="2172"/>
    </row>
    <row r="5" spans="1:17" x14ac:dyDescent="0.2">
      <c r="A5" s="2172" t="str">
        <f>case</f>
        <v>CASE NO. 2016 - 00162</v>
      </c>
      <c r="B5" s="2172"/>
      <c r="C5" s="2172"/>
      <c r="D5" s="2172"/>
      <c r="E5" s="2172"/>
      <c r="F5" s="2172"/>
      <c r="G5" s="2172"/>
      <c r="H5" s="2172"/>
      <c r="I5" s="2172"/>
      <c r="J5" s="2172"/>
      <c r="K5" s="2172"/>
      <c r="L5" s="2172"/>
      <c r="M5" s="2172"/>
      <c r="N5" s="2172"/>
      <c r="O5" s="2172"/>
      <c r="P5" s="2172"/>
      <c r="Q5" s="2172"/>
    </row>
    <row r="6" spans="1:17" x14ac:dyDescent="0.2">
      <c r="A6" s="2174" t="s">
        <v>252</v>
      </c>
      <c r="B6" s="2174"/>
      <c r="C6" s="2174"/>
      <c r="D6" s="2174"/>
      <c r="E6" s="2174"/>
      <c r="F6" s="2174"/>
      <c r="G6" s="2174"/>
      <c r="H6" s="2174"/>
      <c r="I6" s="2174"/>
      <c r="J6" s="2174"/>
      <c r="K6" s="2174"/>
      <c r="L6" s="2174"/>
      <c r="M6" s="2174"/>
      <c r="N6" s="2174"/>
      <c r="O6" s="2174"/>
      <c r="P6" s="2174"/>
      <c r="Q6" s="2174"/>
    </row>
    <row r="7" spans="1:17" x14ac:dyDescent="0.2">
      <c r="A7" s="2172" t="str">
        <f>'F-1 Corp Due &amp; Memberships'!A7:Q7</f>
        <v>BASE PERIOD: TWELVE MONTHS ENDED AUGUST 31, 2016</v>
      </c>
      <c r="B7" s="2172"/>
      <c r="C7" s="2172"/>
      <c r="D7" s="2172"/>
      <c r="E7" s="2172"/>
      <c r="F7" s="2172"/>
      <c r="G7" s="2172"/>
      <c r="H7" s="2172"/>
      <c r="I7" s="2172"/>
      <c r="J7" s="2172"/>
      <c r="K7" s="2172"/>
      <c r="L7" s="2172"/>
      <c r="M7" s="2172"/>
      <c r="N7" s="2172"/>
      <c r="O7" s="2172"/>
      <c r="P7" s="2172"/>
      <c r="Q7" s="2172"/>
    </row>
    <row r="8" spans="1:17" x14ac:dyDescent="0.2">
      <c r="A8" s="2172" t="str">
        <f>'F-1 Corp Due &amp; Memberships'!A8:Q8</f>
        <v>FORECASTED PERIOD: TWELVE MONTHS ENDED DECEMBER 31, 2017</v>
      </c>
      <c r="B8" s="2172"/>
      <c r="C8" s="2172"/>
      <c r="D8" s="2172"/>
      <c r="E8" s="2172"/>
      <c r="F8" s="2172"/>
      <c r="G8" s="2172"/>
      <c r="H8" s="2172"/>
      <c r="I8" s="2172"/>
      <c r="J8" s="2172"/>
      <c r="K8" s="2172"/>
      <c r="L8" s="2172"/>
      <c r="M8" s="2172"/>
      <c r="N8" s="2172"/>
      <c r="O8" s="2172"/>
      <c r="P8" s="2172"/>
      <c r="Q8" s="2172"/>
    </row>
    <row r="10" spans="1:17" x14ac:dyDescent="0.2">
      <c r="A10" s="840" t="s">
        <v>253</v>
      </c>
      <c r="Q10" s="841" t="s">
        <v>262</v>
      </c>
    </row>
    <row r="11" spans="1:17" x14ac:dyDescent="0.2">
      <c r="A11" s="840" t="s">
        <v>245</v>
      </c>
      <c r="Q11" s="841" t="s">
        <v>246</v>
      </c>
    </row>
    <row r="12" spans="1:17" x14ac:dyDescent="0.2">
      <c r="A12" s="840" t="s">
        <v>247</v>
      </c>
      <c r="Q12" s="842" t="str">
        <f>JTC</f>
        <v>WITNESS:  J. T. CROOM</v>
      </c>
    </row>
    <row r="13" spans="1:17" x14ac:dyDescent="0.2">
      <c r="A13" s="843"/>
      <c r="B13" s="843"/>
      <c r="C13" s="843"/>
      <c r="D13" s="843"/>
      <c r="E13" s="843"/>
      <c r="F13" s="843"/>
      <c r="G13" s="843"/>
      <c r="H13" s="843"/>
      <c r="I13" s="843"/>
      <c r="J13" s="843"/>
      <c r="K13" s="843"/>
      <c r="L13" s="843"/>
      <c r="M13" s="844"/>
      <c r="N13" s="843"/>
      <c r="O13" s="843"/>
      <c r="P13" s="843"/>
      <c r="Q13" s="843"/>
    </row>
    <row r="14" spans="1:17" x14ac:dyDescent="0.2">
      <c r="A14" s="845"/>
      <c r="B14" s="845"/>
      <c r="C14" s="845"/>
      <c r="D14" s="845"/>
      <c r="E14" s="845"/>
      <c r="F14" s="845"/>
      <c r="G14" s="2175" t="s">
        <v>830</v>
      </c>
      <c r="H14" s="2175"/>
      <c r="I14" s="2175"/>
      <c r="J14" s="2175"/>
      <c r="K14" s="2175"/>
      <c r="L14" s="845"/>
      <c r="M14" s="2175" t="s">
        <v>1264</v>
      </c>
      <c r="N14" s="2175"/>
      <c r="O14" s="2170"/>
      <c r="P14" s="2170"/>
      <c r="Q14" s="2170"/>
    </row>
    <row r="15" spans="1:17" x14ac:dyDescent="0.2">
      <c r="A15" s="332" t="s">
        <v>632</v>
      </c>
      <c r="B15" s="848"/>
      <c r="C15" s="848" t="s">
        <v>756</v>
      </c>
      <c r="E15" s="848" t="s">
        <v>254</v>
      </c>
      <c r="G15" s="848" t="s">
        <v>670</v>
      </c>
      <c r="M15" s="848" t="s">
        <v>670</v>
      </c>
    </row>
    <row r="16" spans="1:17" x14ac:dyDescent="0.2">
      <c r="A16" s="847" t="s">
        <v>635</v>
      </c>
      <c r="B16" s="847"/>
      <c r="C16" s="847" t="s">
        <v>635</v>
      </c>
      <c r="D16" s="843"/>
      <c r="E16" s="846" t="s">
        <v>698</v>
      </c>
      <c r="F16" s="843"/>
      <c r="G16" s="847" t="s">
        <v>1348</v>
      </c>
      <c r="H16" s="843"/>
      <c r="I16" s="843" t="s">
        <v>249</v>
      </c>
      <c r="J16" s="843"/>
      <c r="K16" s="847" t="s">
        <v>696</v>
      </c>
      <c r="L16" s="843"/>
      <c r="M16" s="847" t="s">
        <v>1348</v>
      </c>
      <c r="N16" s="843"/>
      <c r="O16" s="843" t="s">
        <v>249</v>
      </c>
      <c r="P16" s="843"/>
      <c r="Q16" s="847" t="s">
        <v>696</v>
      </c>
    </row>
    <row r="17" spans="1:17" x14ac:dyDescent="0.2">
      <c r="C17" s="848"/>
    </row>
    <row r="18" spans="1:17" x14ac:dyDescent="0.2">
      <c r="A18" s="848"/>
      <c r="C18" s="848"/>
      <c r="G18" s="849"/>
      <c r="I18" s="850">
        <v>1</v>
      </c>
      <c r="K18" s="851"/>
      <c r="M18" s="849"/>
      <c r="O18" s="850">
        <v>1</v>
      </c>
      <c r="Q18" s="851"/>
    </row>
    <row r="19" spans="1:17" x14ac:dyDescent="0.2">
      <c r="A19" s="848"/>
      <c r="C19" s="848"/>
      <c r="G19" s="503"/>
      <c r="K19" s="833"/>
    </row>
    <row r="20" spans="1:17" ht="13.5" thickBot="1" x14ac:dyDescent="0.25">
      <c r="A20" s="848">
        <f>A19+1</f>
        <v>1</v>
      </c>
      <c r="C20" s="848"/>
      <c r="E20" s="333" t="s">
        <v>670</v>
      </c>
      <c r="G20" s="1510">
        <f>SUM(G18:G19)</f>
        <v>0</v>
      </c>
      <c r="K20" s="1510">
        <f>SUM(K18:K19)</f>
        <v>0</v>
      </c>
      <c r="L20" s="333"/>
      <c r="M20" s="1510">
        <f>SUM(M18:M19)</f>
        <v>0</v>
      </c>
      <c r="N20" s="333"/>
      <c r="O20" s="333"/>
      <c r="P20" s="333"/>
      <c r="Q20" s="1510">
        <f>SUM(Q18:Q19)</f>
        <v>0</v>
      </c>
    </row>
    <row r="21" spans="1:17" ht="13.5" thickTop="1" x14ac:dyDescent="0.2">
      <c r="A21" s="848"/>
      <c r="C21" s="848"/>
      <c r="K21" s="853"/>
    </row>
    <row r="22" spans="1:17" x14ac:dyDescent="0.2">
      <c r="A22" s="848"/>
      <c r="C22" s="848"/>
      <c r="K22" s="853"/>
    </row>
    <row r="23" spans="1:17" x14ac:dyDescent="0.2">
      <c r="A23" s="848"/>
      <c r="C23" s="848"/>
      <c r="K23" s="853"/>
    </row>
    <row r="24" spans="1:17" x14ac:dyDescent="0.2">
      <c r="A24" s="848"/>
      <c r="C24" s="848"/>
      <c r="K24" s="853"/>
    </row>
    <row r="25" spans="1:17" x14ac:dyDescent="0.2">
      <c r="A25" s="848"/>
      <c r="C25" s="848"/>
      <c r="K25" s="853"/>
    </row>
    <row r="26" spans="1:17" x14ac:dyDescent="0.2">
      <c r="A26" s="848"/>
      <c r="C26" s="848"/>
      <c r="K26" s="853"/>
    </row>
    <row r="27" spans="1:17" x14ac:dyDescent="0.2">
      <c r="A27" s="1465"/>
      <c r="B27" s="1466"/>
      <c r="C27" s="1467"/>
      <c r="D27" s="1466"/>
      <c r="E27" s="1466"/>
      <c r="F27" s="1466"/>
      <c r="G27" s="1466"/>
      <c r="H27" s="1466"/>
      <c r="I27" s="1466"/>
      <c r="J27" s="1466"/>
      <c r="K27" s="356"/>
      <c r="L27" s="1466"/>
      <c r="M27" s="1466"/>
      <c r="N27" s="1466"/>
      <c r="O27" s="1466"/>
    </row>
    <row r="28" spans="1:17" x14ac:dyDescent="0.2">
      <c r="A28" s="848"/>
      <c r="C28" s="848"/>
      <c r="K28" s="853"/>
    </row>
    <row r="29" spans="1:17" x14ac:dyDescent="0.2">
      <c r="A29" s="848"/>
      <c r="C29" s="848"/>
      <c r="K29" s="853"/>
    </row>
    <row r="30" spans="1:17" x14ac:dyDescent="0.2">
      <c r="A30" s="848"/>
      <c r="C30" s="848"/>
      <c r="K30" s="853"/>
    </row>
    <row r="31" spans="1:17" x14ac:dyDescent="0.2">
      <c r="A31" s="848"/>
      <c r="C31" s="848"/>
      <c r="K31" s="853"/>
    </row>
    <row r="32" spans="1:17" x14ac:dyDescent="0.2">
      <c r="A32" s="848"/>
      <c r="C32" s="848"/>
      <c r="K32" s="853"/>
    </row>
    <row r="33" spans="1:11" x14ac:dyDescent="0.2">
      <c r="A33" s="848"/>
      <c r="C33" s="848"/>
      <c r="K33" s="853"/>
    </row>
    <row r="34" spans="1:11" x14ac:dyDescent="0.2">
      <c r="A34" s="848"/>
      <c r="C34" s="848"/>
      <c r="K34" s="853"/>
    </row>
    <row r="35" spans="1:11" x14ac:dyDescent="0.2">
      <c r="K35" s="853"/>
    </row>
    <row r="36" spans="1:11" x14ac:dyDescent="0.2">
      <c r="K36" s="853"/>
    </row>
    <row r="37" spans="1:11" x14ac:dyDescent="0.2">
      <c r="K37" s="853"/>
    </row>
    <row r="38" spans="1:11" x14ac:dyDescent="0.2">
      <c r="K38" s="853"/>
    </row>
    <row r="39" spans="1:11" x14ac:dyDescent="0.2">
      <c r="K39" s="853"/>
    </row>
  </sheetData>
  <mergeCells count="7">
    <mergeCell ref="A8:Q8"/>
    <mergeCell ref="G14:K14"/>
    <mergeCell ref="M14:Q14"/>
    <mergeCell ref="A4:Q4"/>
    <mergeCell ref="A5:Q5"/>
    <mergeCell ref="A6:Q6"/>
    <mergeCell ref="A7:Q7"/>
  </mergeCells>
  <phoneticPr fontId="0" type="noConversion"/>
  <printOptions horizontalCentered="1"/>
  <pageMargins left="0.5" right="0.5" top="0.75" bottom="0.5" header="0.5" footer="0.5"/>
  <pageSetup scale="95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I38"/>
  <sheetViews>
    <sheetView zoomScaleNormal="100" workbookViewId="0">
      <selection activeCell="E33" sqref="E33"/>
    </sheetView>
  </sheetViews>
  <sheetFormatPr defaultColWidth="9.33203125" defaultRowHeight="12.75" x14ac:dyDescent="0.2"/>
  <cols>
    <col min="1" max="1" width="6.1640625" style="659" customWidth="1"/>
    <col min="2" max="2" width="51.1640625" style="659" customWidth="1"/>
    <col min="3" max="3" width="22.83203125" style="659" customWidth="1"/>
    <col min="4" max="4" width="12.83203125" style="659" customWidth="1"/>
    <col min="5" max="5" width="22.83203125" style="659" customWidth="1"/>
    <col min="6" max="6" width="9.33203125" style="659" customWidth="1"/>
    <col min="7" max="16384" width="9.33203125" style="659"/>
  </cols>
  <sheetData>
    <row r="1" spans="1:9" x14ac:dyDescent="0.2">
      <c r="A1" s="2172" t="str">
        <f>co</f>
        <v>COLUMBIA GAS OF KENTUCKY, INC.</v>
      </c>
      <c r="B1" s="2172"/>
      <c r="C1" s="2172"/>
      <c r="D1" s="2172"/>
      <c r="E1" s="2172"/>
      <c r="F1" s="2172"/>
      <c r="G1" s="2172"/>
    </row>
    <row r="2" spans="1:9" x14ac:dyDescent="0.2">
      <c r="A2" s="2172" t="str">
        <f>case</f>
        <v>CASE NO. 2016 - 00162</v>
      </c>
      <c r="B2" s="2172"/>
      <c r="C2" s="2172"/>
      <c r="D2" s="2172"/>
      <c r="E2" s="2172"/>
      <c r="F2" s="2172"/>
      <c r="G2" s="2172"/>
    </row>
    <row r="3" spans="1:9" x14ac:dyDescent="0.2">
      <c r="A3" s="2174" t="s">
        <v>232</v>
      </c>
      <c r="B3" s="2174"/>
      <c r="C3" s="2174"/>
      <c r="D3" s="2174"/>
      <c r="E3" s="2174"/>
      <c r="F3" s="2174"/>
      <c r="G3" s="2174"/>
    </row>
    <row r="4" spans="1:9" x14ac:dyDescent="0.2">
      <c r="A4" s="2172" t="str">
        <f>'F-1 Corp Due &amp; Memberships'!A7:Q7</f>
        <v>BASE PERIOD: TWELVE MONTHS ENDED AUGUST 31, 2016</v>
      </c>
      <c r="B4" s="2172"/>
      <c r="C4" s="2172"/>
      <c r="D4" s="2172"/>
      <c r="E4" s="2172"/>
      <c r="F4" s="2172"/>
      <c r="G4" s="2172"/>
    </row>
    <row r="5" spans="1:9" x14ac:dyDescent="0.2">
      <c r="A5" s="2172" t="str">
        <f>'F-1 Corp Due &amp; Memberships'!A8:Q8</f>
        <v>FORECASTED PERIOD: TWELVE MONTHS ENDED DECEMBER 31, 2017</v>
      </c>
      <c r="B5" s="2172"/>
      <c r="C5" s="2172"/>
      <c r="D5" s="2172"/>
      <c r="E5" s="2172"/>
      <c r="F5" s="2172"/>
      <c r="G5" s="2172"/>
    </row>
    <row r="7" spans="1:9" x14ac:dyDescent="0.2">
      <c r="A7" s="840" t="s">
        <v>253</v>
      </c>
      <c r="G7" s="841" t="s">
        <v>272</v>
      </c>
    </row>
    <row r="8" spans="1:9" x14ac:dyDescent="0.2">
      <c r="A8" s="840" t="s">
        <v>245</v>
      </c>
      <c r="G8" s="841" t="s">
        <v>246</v>
      </c>
    </row>
    <row r="9" spans="1:9" x14ac:dyDescent="0.2">
      <c r="A9" s="840" t="s">
        <v>247</v>
      </c>
      <c r="G9" s="842" t="str">
        <f>JTC</f>
        <v>WITNESS:  J. T. CROOM</v>
      </c>
    </row>
    <row r="10" spans="1:9" x14ac:dyDescent="0.2">
      <c r="A10" s="845"/>
      <c r="B10" s="845"/>
      <c r="C10" s="845"/>
      <c r="D10" s="845"/>
      <c r="E10" s="845"/>
      <c r="F10" s="843"/>
      <c r="G10" s="844"/>
    </row>
    <row r="11" spans="1:9" x14ac:dyDescent="0.2">
      <c r="A11" s="860"/>
      <c r="B11" s="860"/>
      <c r="C11" s="860" t="s">
        <v>634</v>
      </c>
      <c r="D11" s="861"/>
      <c r="E11" s="860" t="s">
        <v>1112</v>
      </c>
      <c r="F11" s="845"/>
      <c r="G11" s="845"/>
    </row>
    <row r="12" spans="1:9" x14ac:dyDescent="0.2">
      <c r="A12" s="862"/>
      <c r="B12" s="862"/>
      <c r="C12" s="862" t="s">
        <v>638</v>
      </c>
      <c r="D12" s="845"/>
      <c r="E12" s="862" t="s">
        <v>638</v>
      </c>
      <c r="F12" s="845"/>
      <c r="G12" s="845"/>
    </row>
    <row r="13" spans="1:9" x14ac:dyDescent="0.2">
      <c r="A13" s="862" t="s">
        <v>632</v>
      </c>
      <c r="B13" s="862" t="s">
        <v>1908</v>
      </c>
      <c r="C13" s="862" t="s">
        <v>771</v>
      </c>
      <c r="D13" s="845"/>
      <c r="E13" s="862" t="s">
        <v>771</v>
      </c>
      <c r="F13" s="845"/>
      <c r="G13" s="845"/>
    </row>
    <row r="14" spans="1:9" x14ac:dyDescent="0.2">
      <c r="A14" s="847" t="s">
        <v>635</v>
      </c>
      <c r="B14" s="863" t="s">
        <v>834</v>
      </c>
      <c r="C14" s="863" t="s">
        <v>835</v>
      </c>
      <c r="D14" s="843"/>
      <c r="E14" s="863" t="s">
        <v>836</v>
      </c>
      <c r="F14" s="843"/>
      <c r="G14" s="843"/>
    </row>
    <row r="15" spans="1:9" x14ac:dyDescent="0.2">
      <c r="F15" s="845"/>
      <c r="G15" s="845"/>
    </row>
    <row r="16" spans="1:9" x14ac:dyDescent="0.2">
      <c r="A16" s="848">
        <v>1</v>
      </c>
      <c r="B16" s="1500" t="s">
        <v>1912</v>
      </c>
      <c r="C16" s="1830">
        <v>11043</v>
      </c>
      <c r="D16" s="894"/>
      <c r="E16" s="1830">
        <v>10558</v>
      </c>
      <c r="I16" s="336"/>
    </row>
    <row r="17" spans="1:9" x14ac:dyDescent="0.2">
      <c r="A17" s="848"/>
      <c r="B17" s="855"/>
      <c r="C17" s="853"/>
      <c r="D17" s="853"/>
      <c r="E17" s="853"/>
      <c r="I17" s="1684"/>
    </row>
    <row r="18" spans="1:9" ht="15" x14ac:dyDescent="0.35">
      <c r="A18" s="848">
        <f>A16+1</f>
        <v>2</v>
      </c>
      <c r="B18" s="855" t="s">
        <v>260</v>
      </c>
      <c r="C18" s="1843">
        <v>124</v>
      </c>
      <c r="D18" s="1498"/>
      <c r="E18" s="1839">
        <v>569</v>
      </c>
      <c r="I18" s="1684"/>
    </row>
    <row r="19" spans="1:9" x14ac:dyDescent="0.2">
      <c r="A19" s="848"/>
      <c r="B19" s="855"/>
      <c r="C19" s="334"/>
      <c r="D19" s="334"/>
      <c r="E19" s="334"/>
    </row>
    <row r="20" spans="1:9" ht="15" x14ac:dyDescent="0.35">
      <c r="A20" s="848">
        <f>A18+1</f>
        <v>3</v>
      </c>
      <c r="B20" s="659" t="s">
        <v>670</v>
      </c>
      <c r="C20" s="1499">
        <f>SUM(C16:C19)</f>
        <v>11167</v>
      </c>
      <c r="D20" s="334"/>
      <c r="E20" s="1499">
        <f>SUM(E16:E19)</f>
        <v>11127</v>
      </c>
    </row>
    <row r="21" spans="1:9" x14ac:dyDescent="0.2">
      <c r="A21" s="848"/>
      <c r="C21" s="354"/>
      <c r="D21" s="853"/>
      <c r="E21" s="354"/>
      <c r="I21" s="336"/>
    </row>
    <row r="22" spans="1:9" x14ac:dyDescent="0.2">
      <c r="A22" s="848"/>
      <c r="B22" s="848"/>
      <c r="F22" s="853"/>
      <c r="I22" s="1684"/>
    </row>
    <row r="23" spans="1:9" x14ac:dyDescent="0.2">
      <c r="A23" s="848">
        <f>A20+1</f>
        <v>4</v>
      </c>
      <c r="B23" s="855" t="s">
        <v>1969</v>
      </c>
      <c r="F23" s="853"/>
      <c r="I23" s="1684"/>
    </row>
    <row r="24" spans="1:9" x14ac:dyDescent="0.2">
      <c r="A24" s="848"/>
      <c r="B24" s="848"/>
      <c r="F24" s="853"/>
    </row>
    <row r="25" spans="1:9" x14ac:dyDescent="0.2">
      <c r="A25" s="848"/>
      <c r="B25" s="848"/>
      <c r="F25" s="853"/>
    </row>
    <row r="26" spans="1:9" x14ac:dyDescent="0.2">
      <c r="A26" s="855"/>
      <c r="B26" s="848"/>
      <c r="F26" s="853"/>
    </row>
    <row r="27" spans="1:9" x14ac:dyDescent="0.2">
      <c r="A27" s="848"/>
      <c r="B27" s="848"/>
      <c r="F27" s="853"/>
    </row>
    <row r="28" spans="1:9" x14ac:dyDescent="0.2">
      <c r="A28" s="848"/>
      <c r="B28" s="848"/>
      <c r="F28" s="853"/>
    </row>
    <row r="29" spans="1:9" x14ac:dyDescent="0.2">
      <c r="A29" s="848"/>
      <c r="B29" s="848"/>
      <c r="F29" s="853"/>
    </row>
    <row r="30" spans="1:9" x14ac:dyDescent="0.2">
      <c r="A30" s="848"/>
      <c r="B30" s="848"/>
      <c r="F30" s="853"/>
    </row>
    <row r="31" spans="1:9" x14ac:dyDescent="0.2">
      <c r="A31" s="848"/>
      <c r="B31" s="848"/>
      <c r="F31" s="853"/>
    </row>
    <row r="32" spans="1:9" x14ac:dyDescent="0.2">
      <c r="A32" s="848"/>
      <c r="B32" s="848"/>
      <c r="F32" s="853"/>
    </row>
    <row r="33" spans="1:6" x14ac:dyDescent="0.2">
      <c r="A33" s="848"/>
      <c r="B33" s="848"/>
      <c r="F33" s="853"/>
    </row>
    <row r="34" spans="1:6" x14ac:dyDescent="0.2">
      <c r="F34" s="853"/>
    </row>
    <row r="35" spans="1:6" x14ac:dyDescent="0.2">
      <c r="F35" s="853"/>
    </row>
    <row r="36" spans="1:6" x14ac:dyDescent="0.2">
      <c r="F36" s="853"/>
    </row>
    <row r="37" spans="1:6" x14ac:dyDescent="0.2">
      <c r="F37" s="853"/>
    </row>
    <row r="38" spans="1:6" x14ac:dyDescent="0.2">
      <c r="F38" s="853"/>
    </row>
  </sheetData>
  <mergeCells count="5">
    <mergeCell ref="A1:G1"/>
    <mergeCell ref="A2:G2"/>
    <mergeCell ref="A3:G3"/>
    <mergeCell ref="A4:G4"/>
    <mergeCell ref="A5:G5"/>
  </mergeCells>
  <printOptions horizontalCentered="1"/>
  <pageMargins left="0.25" right="0.25" top="1" bottom="0.5" header="0.5" footer="0.5"/>
  <pageSetup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rgb="FFFFFF00"/>
  </sheetPr>
  <dimension ref="A1:Q40"/>
  <sheetViews>
    <sheetView zoomScaleNormal="100" workbookViewId="0">
      <selection activeCell="Q10" sqref="Q10"/>
    </sheetView>
  </sheetViews>
  <sheetFormatPr defaultColWidth="9.33203125" defaultRowHeight="12.75" x14ac:dyDescent="0.2"/>
  <cols>
    <col min="1" max="1" width="4.83203125" style="659" customWidth="1"/>
    <col min="2" max="2" width="2" style="659" customWidth="1"/>
    <col min="3" max="3" width="11" style="659" customWidth="1"/>
    <col min="4" max="4" width="2" style="659" customWidth="1"/>
    <col min="5" max="5" width="24.5" style="659" customWidth="1"/>
    <col min="6" max="6" width="2" style="659" customWidth="1"/>
    <col min="7" max="7" width="9.33203125" style="659"/>
    <col min="8" max="8" width="2" style="659" customWidth="1"/>
    <col min="9" max="9" width="20.5" style="659" customWidth="1"/>
    <col min="10" max="10" width="2" style="659" customWidth="1"/>
    <col min="11" max="11" width="15" style="659" customWidth="1"/>
    <col min="12" max="12" width="2" style="659" customWidth="1"/>
    <col min="13" max="13" width="9.33203125" style="659"/>
    <col min="14" max="14" width="2" style="659" customWidth="1"/>
    <col min="15" max="15" width="20.1640625" style="659" customWidth="1"/>
    <col min="16" max="16" width="2" style="659" customWidth="1"/>
    <col min="17" max="17" width="15" style="659" customWidth="1"/>
    <col min="18" max="16384" width="9.33203125" style="659"/>
  </cols>
  <sheetData>
    <row r="1" spans="1:17" x14ac:dyDescent="0.2">
      <c r="A1" s="2172" t="str">
        <f>co</f>
        <v>COLUMBIA GAS OF KENTUCKY, INC.</v>
      </c>
      <c r="B1" s="2172"/>
      <c r="C1" s="2172"/>
      <c r="D1" s="2172"/>
      <c r="E1" s="2172"/>
      <c r="F1" s="2172"/>
      <c r="G1" s="2172"/>
      <c r="H1" s="2172"/>
      <c r="I1" s="2172"/>
      <c r="J1" s="2172"/>
      <c r="K1" s="2172"/>
      <c r="L1" s="2172"/>
      <c r="M1" s="2172"/>
      <c r="N1" s="2172"/>
      <c r="O1" s="2172"/>
      <c r="P1" s="2172"/>
      <c r="Q1" s="2172"/>
    </row>
    <row r="2" spans="1:17" x14ac:dyDescent="0.2">
      <c r="A2" s="2172" t="str">
        <f>case</f>
        <v>CASE NO. 2016 - 00162</v>
      </c>
      <c r="B2" s="2172"/>
      <c r="C2" s="2172"/>
      <c r="D2" s="2172"/>
      <c r="E2" s="2172"/>
      <c r="F2" s="2172"/>
      <c r="G2" s="2172"/>
      <c r="H2" s="2172"/>
      <c r="I2" s="2172"/>
      <c r="J2" s="2172"/>
      <c r="K2" s="2172"/>
      <c r="L2" s="2172"/>
      <c r="M2" s="2172"/>
      <c r="N2" s="2172"/>
      <c r="O2" s="2172"/>
      <c r="P2" s="2172"/>
      <c r="Q2" s="2172"/>
    </row>
    <row r="3" spans="1:17" x14ac:dyDescent="0.2">
      <c r="A3" s="2174" t="s">
        <v>232</v>
      </c>
      <c r="B3" s="2174"/>
      <c r="C3" s="2174"/>
      <c r="D3" s="2174"/>
      <c r="E3" s="2174"/>
      <c r="F3" s="2174"/>
      <c r="G3" s="2174"/>
      <c r="H3" s="2174"/>
      <c r="I3" s="2174"/>
      <c r="J3" s="2174"/>
      <c r="K3" s="2174"/>
      <c r="L3" s="2174"/>
      <c r="M3" s="2174"/>
      <c r="N3" s="2174"/>
      <c r="O3" s="2174"/>
      <c r="P3" s="2174"/>
      <c r="Q3" s="2174"/>
    </row>
    <row r="4" spans="1:17" x14ac:dyDescent="0.2">
      <c r="A4" s="2172" t="str">
        <f>'F-1 Corp Due &amp; Memberships'!A7:Q7</f>
        <v>BASE PERIOD: TWELVE MONTHS ENDED AUGUST 31, 2016</v>
      </c>
      <c r="B4" s="2172"/>
      <c r="C4" s="2172"/>
      <c r="D4" s="2172"/>
      <c r="E4" s="2172"/>
      <c r="F4" s="2172"/>
      <c r="G4" s="2172"/>
      <c r="H4" s="2172"/>
      <c r="I4" s="2172"/>
      <c r="J4" s="2172"/>
      <c r="K4" s="2172"/>
      <c r="L4" s="2172"/>
      <c r="M4" s="2172"/>
      <c r="N4" s="2172"/>
      <c r="O4" s="2172"/>
      <c r="P4" s="2172"/>
      <c r="Q4" s="2172"/>
    </row>
    <row r="5" spans="1:17" x14ac:dyDescent="0.2">
      <c r="A5" s="2172" t="str">
        <f>'F-1 Corp Due &amp; Memberships'!A8:Q8</f>
        <v>FORECASTED PERIOD: TWELVE MONTHS ENDED DECEMBER 31, 2017</v>
      </c>
      <c r="B5" s="2172"/>
      <c r="C5" s="2172"/>
      <c r="D5" s="2172"/>
      <c r="E5" s="2172"/>
      <c r="F5" s="2172"/>
      <c r="G5" s="2172"/>
      <c r="H5" s="2172"/>
      <c r="I5" s="2172"/>
      <c r="J5" s="2172"/>
      <c r="K5" s="2172"/>
      <c r="L5" s="2172"/>
      <c r="M5" s="2172"/>
      <c r="N5" s="2172"/>
      <c r="O5" s="2172"/>
      <c r="P5" s="2172"/>
      <c r="Q5" s="2172"/>
    </row>
    <row r="7" spans="1:17" x14ac:dyDescent="0.2">
      <c r="A7" s="840" t="s">
        <v>253</v>
      </c>
      <c r="Q7" s="841" t="s">
        <v>255</v>
      </c>
    </row>
    <row r="8" spans="1:17" x14ac:dyDescent="0.2">
      <c r="A8" s="840" t="s">
        <v>245</v>
      </c>
      <c r="Q8" s="841" t="s">
        <v>246</v>
      </c>
    </row>
    <row r="9" spans="1:17" x14ac:dyDescent="0.2">
      <c r="A9" s="840" t="s">
        <v>247</v>
      </c>
      <c r="Q9" s="842" t="str">
        <f>JTC</f>
        <v>WITNESS:  J. T. CROOM</v>
      </c>
    </row>
    <row r="10" spans="1:17" x14ac:dyDescent="0.2">
      <c r="A10" s="843"/>
      <c r="B10" s="843"/>
      <c r="C10" s="843"/>
      <c r="D10" s="843"/>
      <c r="E10" s="843"/>
      <c r="F10" s="843"/>
      <c r="G10" s="843"/>
      <c r="H10" s="843"/>
      <c r="I10" s="843"/>
      <c r="J10" s="843"/>
      <c r="K10" s="843"/>
      <c r="L10" s="843"/>
      <c r="M10" s="844"/>
      <c r="N10" s="843"/>
      <c r="O10" s="843"/>
      <c r="P10" s="843"/>
      <c r="Q10" s="843"/>
    </row>
    <row r="11" spans="1:17" x14ac:dyDescent="0.2">
      <c r="A11" s="845"/>
      <c r="B11" s="845"/>
      <c r="C11" s="845"/>
      <c r="D11" s="845"/>
      <c r="E11" s="845"/>
      <c r="F11" s="845"/>
      <c r="G11" s="2175" t="s">
        <v>830</v>
      </c>
      <c r="H11" s="2175"/>
      <c r="I11" s="2175"/>
      <c r="J11" s="2175"/>
      <c r="K11" s="2175"/>
      <c r="L11" s="845"/>
      <c r="M11" s="2175" t="s">
        <v>1264</v>
      </c>
      <c r="N11" s="2175"/>
      <c r="O11" s="2170"/>
      <c r="P11" s="2170"/>
      <c r="Q11" s="2170"/>
    </row>
    <row r="12" spans="1:17" x14ac:dyDescent="0.2">
      <c r="A12" s="332" t="s">
        <v>632</v>
      </c>
      <c r="B12" s="848"/>
      <c r="C12" s="848" t="s">
        <v>756</v>
      </c>
      <c r="E12" s="848" t="s">
        <v>256</v>
      </c>
      <c r="G12" s="848" t="s">
        <v>670</v>
      </c>
      <c r="M12" s="848" t="s">
        <v>670</v>
      </c>
    </row>
    <row r="13" spans="1:17" x14ac:dyDescent="0.2">
      <c r="A13" s="847" t="s">
        <v>635</v>
      </c>
      <c r="B13" s="847"/>
      <c r="C13" s="847" t="s">
        <v>635</v>
      </c>
      <c r="D13" s="843"/>
      <c r="E13" s="847" t="s">
        <v>257</v>
      </c>
      <c r="F13" s="843"/>
      <c r="G13" s="847" t="s">
        <v>1348</v>
      </c>
      <c r="H13" s="843"/>
      <c r="I13" s="843" t="s">
        <v>249</v>
      </c>
      <c r="J13" s="843"/>
      <c r="K13" s="843" t="s">
        <v>696</v>
      </c>
      <c r="L13" s="843"/>
      <c r="M13" s="847" t="s">
        <v>1348</v>
      </c>
      <c r="N13" s="843"/>
      <c r="O13" s="843" t="s">
        <v>249</v>
      </c>
      <c r="P13" s="843"/>
      <c r="Q13" s="843" t="s">
        <v>696</v>
      </c>
    </row>
    <row r="14" spans="1:17" x14ac:dyDescent="0.2">
      <c r="C14" s="848"/>
    </row>
    <row r="15" spans="1:17" x14ac:dyDescent="0.2">
      <c r="A15" s="848">
        <v>1</v>
      </c>
      <c r="C15" s="848" t="s">
        <v>258</v>
      </c>
      <c r="E15" s="659" t="s">
        <v>259</v>
      </c>
      <c r="G15" s="849"/>
      <c r="I15" s="850">
        <v>1</v>
      </c>
      <c r="K15" s="851">
        <f>G15</f>
        <v>0</v>
      </c>
      <c r="M15" s="849"/>
      <c r="O15" s="850">
        <v>1</v>
      </c>
      <c r="Q15" s="851">
        <f>M15</f>
        <v>0</v>
      </c>
    </row>
    <row r="16" spans="1:17" x14ac:dyDescent="0.2">
      <c r="C16" s="848"/>
      <c r="G16" s="503"/>
      <c r="K16" s="833"/>
    </row>
    <row r="17" spans="1:17" x14ac:dyDescent="0.2">
      <c r="A17" s="848">
        <f>A15+1</f>
        <v>2</v>
      </c>
      <c r="C17" s="848" t="s">
        <v>258</v>
      </c>
      <c r="E17" s="659" t="s">
        <v>260</v>
      </c>
      <c r="G17" s="503"/>
      <c r="K17" s="833"/>
    </row>
    <row r="18" spans="1:17" x14ac:dyDescent="0.2">
      <c r="A18" s="848"/>
      <c r="C18" s="848"/>
      <c r="G18" s="503"/>
      <c r="K18" s="833"/>
    </row>
    <row r="19" spans="1:17" x14ac:dyDescent="0.2">
      <c r="A19" s="848"/>
      <c r="C19" s="848"/>
      <c r="K19" s="853"/>
    </row>
    <row r="20" spans="1:17" ht="13.5" thickBot="1" x14ac:dyDescent="0.25">
      <c r="A20" s="848">
        <f>A17+1</f>
        <v>3</v>
      </c>
      <c r="C20" s="848"/>
      <c r="E20" s="333" t="s">
        <v>670</v>
      </c>
      <c r="G20" s="854">
        <f>SUM(G15:G19)</f>
        <v>0</v>
      </c>
      <c r="K20" s="854">
        <f>SUM(K15:K19)</f>
        <v>0</v>
      </c>
      <c r="M20" s="854">
        <f>SUM(M15:M19)</f>
        <v>0</v>
      </c>
      <c r="Q20" s="854">
        <f>SUM(Q15:Q19)</f>
        <v>0</v>
      </c>
    </row>
    <row r="21" spans="1:17" ht="13.5" thickTop="1" x14ac:dyDescent="0.2">
      <c r="A21" s="848"/>
      <c r="C21" s="848"/>
      <c r="K21" s="853"/>
    </row>
    <row r="22" spans="1:17" x14ac:dyDescent="0.2">
      <c r="A22" s="848"/>
      <c r="C22" s="848"/>
      <c r="K22" s="853"/>
    </row>
    <row r="23" spans="1:17" x14ac:dyDescent="0.2">
      <c r="A23" s="848"/>
      <c r="C23" s="848"/>
      <c r="K23" s="853"/>
    </row>
    <row r="24" spans="1:17" x14ac:dyDescent="0.2">
      <c r="A24" s="848"/>
      <c r="C24" s="848"/>
      <c r="K24" s="853"/>
    </row>
    <row r="25" spans="1:17" x14ac:dyDescent="0.2">
      <c r="A25" s="848"/>
      <c r="C25" s="848"/>
      <c r="K25" s="853"/>
    </row>
    <row r="26" spans="1:17" x14ac:dyDescent="0.2">
      <c r="A26" s="848"/>
      <c r="C26" s="848"/>
      <c r="K26" s="853"/>
    </row>
    <row r="27" spans="1:17" x14ac:dyDescent="0.2">
      <c r="A27" s="848"/>
      <c r="C27" s="848"/>
      <c r="K27" s="853"/>
    </row>
    <row r="28" spans="1:17" x14ac:dyDescent="0.2">
      <c r="A28" s="855"/>
      <c r="C28" s="848"/>
      <c r="K28" s="853"/>
    </row>
    <row r="29" spans="1:17" x14ac:dyDescent="0.2">
      <c r="A29" s="848"/>
      <c r="C29" s="848"/>
      <c r="K29" s="853"/>
    </row>
    <row r="30" spans="1:17" x14ac:dyDescent="0.2">
      <c r="A30" s="848"/>
      <c r="C30" s="848"/>
      <c r="K30" s="853"/>
    </row>
    <row r="31" spans="1:17" x14ac:dyDescent="0.2">
      <c r="A31" s="848"/>
      <c r="C31" s="848"/>
      <c r="K31" s="853"/>
    </row>
    <row r="32" spans="1:17" x14ac:dyDescent="0.2">
      <c r="A32" s="848"/>
      <c r="C32" s="848"/>
      <c r="K32" s="853"/>
    </row>
    <row r="33" spans="1:11" x14ac:dyDescent="0.2">
      <c r="A33" s="848"/>
      <c r="C33" s="848"/>
      <c r="K33" s="853"/>
    </row>
    <row r="34" spans="1:11" x14ac:dyDescent="0.2">
      <c r="A34" s="848"/>
      <c r="C34" s="848"/>
      <c r="K34" s="853"/>
    </row>
    <row r="35" spans="1:11" x14ac:dyDescent="0.2">
      <c r="A35" s="848"/>
      <c r="C35" s="848"/>
      <c r="K35" s="853"/>
    </row>
    <row r="36" spans="1:11" x14ac:dyDescent="0.2">
      <c r="K36" s="853"/>
    </row>
    <row r="37" spans="1:11" x14ac:dyDescent="0.2">
      <c r="K37" s="853"/>
    </row>
    <row r="38" spans="1:11" x14ac:dyDescent="0.2">
      <c r="K38" s="853"/>
    </row>
    <row r="39" spans="1:11" x14ac:dyDescent="0.2">
      <c r="K39" s="853"/>
    </row>
    <row r="40" spans="1:11" x14ac:dyDescent="0.2">
      <c r="K40" s="853"/>
    </row>
  </sheetData>
  <mergeCells count="7">
    <mergeCell ref="A5:Q5"/>
    <mergeCell ref="G11:K11"/>
    <mergeCell ref="M11:Q11"/>
    <mergeCell ref="A1:Q1"/>
    <mergeCell ref="A2:Q2"/>
    <mergeCell ref="A3:Q3"/>
    <mergeCell ref="A4:Q4"/>
  </mergeCells>
  <phoneticPr fontId="0" type="noConversion"/>
  <printOptions horizontalCentered="1"/>
  <pageMargins left="0" right="0" top="0.5" bottom="0.5" header="0.5" footer="0.5"/>
  <pageSetup orientation="landscape" verticalDpi="0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rgb="FFFFFF00"/>
  </sheetPr>
  <dimension ref="A1:T46"/>
  <sheetViews>
    <sheetView zoomScaleNormal="100" zoomScaleSheetLayoutView="80" workbookViewId="0">
      <selection activeCell="N10" sqref="N10"/>
    </sheetView>
  </sheetViews>
  <sheetFormatPr defaultColWidth="9.33203125" defaultRowHeight="12.75" x14ac:dyDescent="0.2"/>
  <cols>
    <col min="1" max="1" width="6.1640625" style="659" customWidth="1"/>
    <col min="2" max="2" width="1" style="659" customWidth="1"/>
    <col min="3" max="3" width="36.1640625" style="659" customWidth="1"/>
    <col min="4" max="4" width="1" style="659" customWidth="1"/>
    <col min="5" max="5" width="16.5" style="659" customWidth="1"/>
    <col min="6" max="6" width="1" style="659" customWidth="1"/>
    <col min="7" max="7" width="15.83203125" style="659" customWidth="1"/>
    <col min="8" max="8" width="1" style="659" customWidth="1"/>
    <col min="9" max="9" width="21.83203125" style="659" customWidth="1"/>
    <col min="10" max="10" width="1" style="659" customWidth="1"/>
    <col min="11" max="11" width="9.33203125" style="659"/>
    <col min="12" max="12" width="9.33203125" style="659" bestFit="1"/>
    <col min="13" max="13" width="1" style="659" customWidth="1"/>
    <col min="14" max="14" width="13" style="659" customWidth="1"/>
    <col min="15" max="16384" width="9.33203125" style="659"/>
  </cols>
  <sheetData>
    <row r="1" spans="1:20" x14ac:dyDescent="0.2">
      <c r="A1" s="2172" t="str">
        <f>co</f>
        <v>COLUMBIA GAS OF KENTUCKY, INC.</v>
      </c>
      <c r="B1" s="2172"/>
      <c r="C1" s="2172"/>
      <c r="D1" s="2172"/>
      <c r="E1" s="2172"/>
      <c r="F1" s="2172"/>
      <c r="G1" s="2172"/>
      <c r="H1" s="2172"/>
      <c r="I1" s="2172"/>
      <c r="J1" s="2172"/>
      <c r="K1" s="2172"/>
      <c r="L1" s="2172"/>
      <c r="M1" s="2172"/>
      <c r="N1" s="2172"/>
      <c r="O1" s="858"/>
      <c r="P1" s="858"/>
      <c r="Q1" s="858"/>
      <c r="R1" s="858"/>
      <c r="S1" s="858"/>
      <c r="T1" s="858"/>
    </row>
    <row r="2" spans="1:20" x14ac:dyDescent="0.2">
      <c r="A2" s="2172" t="str">
        <f>case</f>
        <v>CASE NO. 2016 - 00162</v>
      </c>
      <c r="B2" s="2172"/>
      <c r="C2" s="2172"/>
      <c r="D2" s="2172"/>
      <c r="E2" s="2172"/>
      <c r="F2" s="2172"/>
      <c r="G2" s="2172"/>
      <c r="H2" s="2172"/>
      <c r="I2" s="2172"/>
      <c r="J2" s="2172"/>
      <c r="K2" s="2172"/>
      <c r="L2" s="2172"/>
      <c r="M2" s="2172"/>
      <c r="N2" s="2172"/>
      <c r="O2" s="858"/>
      <c r="P2" s="858"/>
      <c r="Q2" s="858"/>
      <c r="R2" s="858"/>
      <c r="S2" s="858"/>
      <c r="T2" s="858"/>
    </row>
    <row r="3" spans="1:20" x14ac:dyDescent="0.2">
      <c r="A3" s="2174" t="s">
        <v>236</v>
      </c>
      <c r="B3" s="2174"/>
      <c r="C3" s="2174"/>
      <c r="D3" s="2174"/>
      <c r="E3" s="2174"/>
      <c r="F3" s="2174"/>
      <c r="G3" s="2174"/>
      <c r="H3" s="2174"/>
      <c r="I3" s="2174"/>
      <c r="J3" s="2174"/>
      <c r="K3" s="2174"/>
      <c r="L3" s="2174"/>
      <c r="M3" s="2174"/>
      <c r="N3" s="2174"/>
      <c r="O3" s="859"/>
      <c r="P3" s="859"/>
      <c r="Q3" s="859"/>
      <c r="R3" s="859"/>
      <c r="S3" s="859"/>
      <c r="T3" s="859"/>
    </row>
    <row r="4" spans="1:20" x14ac:dyDescent="0.2">
      <c r="A4" s="2172" t="str">
        <f>'F-1 Corp Due &amp; Memberships'!A7:Q7</f>
        <v>BASE PERIOD: TWELVE MONTHS ENDED AUGUST 31, 2016</v>
      </c>
      <c r="B4" s="2172"/>
      <c r="C4" s="2172"/>
      <c r="D4" s="2172"/>
      <c r="E4" s="2172"/>
      <c r="F4" s="2172"/>
      <c r="G4" s="2172"/>
      <c r="H4" s="2172"/>
      <c r="I4" s="2172"/>
      <c r="J4" s="2172"/>
      <c r="K4" s="2172"/>
      <c r="L4" s="2172"/>
      <c r="M4" s="2172"/>
      <c r="N4" s="2172"/>
      <c r="O4" s="858"/>
      <c r="P4" s="858"/>
      <c r="Q4" s="858"/>
      <c r="R4" s="858"/>
      <c r="S4" s="858"/>
      <c r="T4" s="858"/>
    </row>
    <row r="5" spans="1:20" x14ac:dyDescent="0.2">
      <c r="A5" s="2172" t="str">
        <f>'F-1 Corp Due &amp; Memberships'!A8:Q8</f>
        <v>FORECASTED PERIOD: TWELVE MONTHS ENDED DECEMBER 31, 2017</v>
      </c>
      <c r="B5" s="2172"/>
      <c r="C5" s="2172"/>
      <c r="D5" s="2172"/>
      <c r="E5" s="2172"/>
      <c r="F5" s="2172"/>
      <c r="G5" s="2172"/>
      <c r="H5" s="2172"/>
      <c r="I5" s="2172"/>
      <c r="J5" s="2172"/>
      <c r="K5" s="2172"/>
      <c r="L5" s="2172"/>
      <c r="M5" s="2172"/>
      <c r="N5" s="2172"/>
      <c r="O5" s="858"/>
      <c r="P5" s="858"/>
      <c r="Q5" s="858"/>
      <c r="R5" s="858"/>
      <c r="S5" s="858"/>
      <c r="T5" s="858"/>
    </row>
    <row r="7" spans="1:20" x14ac:dyDescent="0.2">
      <c r="A7" s="840" t="s">
        <v>253</v>
      </c>
      <c r="N7" s="841" t="s">
        <v>272</v>
      </c>
    </row>
    <row r="8" spans="1:20" x14ac:dyDescent="0.2">
      <c r="A8" s="840" t="s">
        <v>245</v>
      </c>
      <c r="N8" s="841" t="s">
        <v>246</v>
      </c>
    </row>
    <row r="9" spans="1:20" x14ac:dyDescent="0.2">
      <c r="A9" s="840" t="s">
        <v>247</v>
      </c>
      <c r="N9" s="842" t="str">
        <f>JTC</f>
        <v>WITNESS:  J. T. CROOM</v>
      </c>
    </row>
    <row r="10" spans="1:20" x14ac:dyDescent="0.2">
      <c r="A10" s="843"/>
      <c r="B10" s="843"/>
      <c r="C10" s="843"/>
      <c r="D10" s="843"/>
      <c r="E10" s="843"/>
      <c r="F10" s="843"/>
      <c r="G10" s="843"/>
      <c r="H10" s="843"/>
      <c r="I10" s="843"/>
      <c r="J10" s="843"/>
      <c r="K10" s="843"/>
      <c r="L10" s="843"/>
      <c r="M10" s="843"/>
      <c r="N10" s="843"/>
      <c r="O10" s="845"/>
      <c r="P10" s="845"/>
      <c r="Q10" s="845"/>
      <c r="R10" s="845"/>
      <c r="S10" s="845"/>
    </row>
    <row r="11" spans="1:20" x14ac:dyDescent="0.2">
      <c r="A11" s="860"/>
      <c r="B11" s="860"/>
      <c r="C11" s="860"/>
      <c r="D11" s="861"/>
      <c r="E11" s="860" t="s">
        <v>273</v>
      </c>
      <c r="F11" s="861"/>
      <c r="G11" s="861"/>
      <c r="H11" s="861"/>
      <c r="I11" s="860" t="s">
        <v>274</v>
      </c>
      <c r="J11" s="861"/>
      <c r="K11" s="860"/>
      <c r="L11" s="860"/>
      <c r="M11" s="861"/>
      <c r="N11" s="861"/>
      <c r="O11" s="845"/>
      <c r="P11" s="845"/>
      <c r="Q11" s="845"/>
      <c r="R11" s="845"/>
      <c r="S11" s="845"/>
    </row>
    <row r="12" spans="1:20" x14ac:dyDescent="0.2">
      <c r="A12" s="862"/>
      <c r="B12" s="862"/>
      <c r="C12" s="862"/>
      <c r="D12" s="845"/>
      <c r="E12" s="862" t="s">
        <v>275</v>
      </c>
      <c r="F12" s="845"/>
      <c r="G12" s="845" t="s">
        <v>276</v>
      </c>
      <c r="H12" s="845"/>
      <c r="I12" s="862" t="s">
        <v>277</v>
      </c>
      <c r="J12" s="845"/>
      <c r="K12" s="862" t="s">
        <v>278</v>
      </c>
      <c r="L12" s="862"/>
      <c r="M12" s="845"/>
      <c r="N12" s="845"/>
      <c r="O12" s="845"/>
      <c r="P12" s="845"/>
      <c r="Q12" s="845"/>
      <c r="R12" s="845"/>
      <c r="S12" s="845"/>
    </row>
    <row r="13" spans="1:20" x14ac:dyDescent="0.2">
      <c r="A13" s="862" t="s">
        <v>632</v>
      </c>
      <c r="B13" s="862"/>
      <c r="C13" s="862" t="s">
        <v>279</v>
      </c>
      <c r="D13" s="845"/>
      <c r="E13" s="862" t="s">
        <v>236</v>
      </c>
      <c r="F13" s="845"/>
      <c r="G13" s="845" t="s">
        <v>236</v>
      </c>
      <c r="H13" s="845"/>
      <c r="I13" s="862" t="s">
        <v>236</v>
      </c>
      <c r="J13" s="845"/>
      <c r="K13" s="862" t="s">
        <v>280</v>
      </c>
      <c r="L13" s="862" t="s">
        <v>686</v>
      </c>
      <c r="M13" s="862"/>
      <c r="N13" s="862" t="s">
        <v>670</v>
      </c>
      <c r="O13" s="845"/>
      <c r="P13" s="845"/>
      <c r="Q13" s="845"/>
      <c r="R13" s="845"/>
      <c r="S13" s="845"/>
    </row>
    <row r="14" spans="1:20" x14ac:dyDescent="0.2">
      <c r="A14" s="847" t="s">
        <v>635</v>
      </c>
      <c r="B14" s="847"/>
      <c r="C14" s="863" t="s">
        <v>834</v>
      </c>
      <c r="D14" s="843"/>
      <c r="E14" s="863" t="s">
        <v>835</v>
      </c>
      <c r="F14" s="843"/>
      <c r="G14" s="863" t="s">
        <v>836</v>
      </c>
      <c r="H14" s="843"/>
      <c r="I14" s="863" t="s">
        <v>837</v>
      </c>
      <c r="J14" s="864"/>
      <c r="K14" s="863" t="s">
        <v>838</v>
      </c>
      <c r="L14" s="863" t="s">
        <v>839</v>
      </c>
      <c r="M14" s="863"/>
      <c r="N14" s="863" t="s">
        <v>840</v>
      </c>
      <c r="O14" s="845"/>
      <c r="P14" s="845"/>
      <c r="Q14" s="845"/>
      <c r="R14" s="845"/>
      <c r="S14" s="845"/>
    </row>
    <row r="15" spans="1:20" x14ac:dyDescent="0.2">
      <c r="O15" s="845"/>
      <c r="P15" s="845"/>
      <c r="Q15" s="845"/>
      <c r="R15" s="845"/>
      <c r="S15" s="845"/>
    </row>
    <row r="16" spans="1:20" x14ac:dyDescent="0.2">
      <c r="A16" s="848">
        <v>1</v>
      </c>
      <c r="C16" s="344" t="s">
        <v>830</v>
      </c>
      <c r="E16" s="853"/>
      <c r="F16" s="853"/>
      <c r="G16" s="853"/>
      <c r="H16" s="853"/>
      <c r="I16" s="853"/>
      <c r="J16" s="853"/>
      <c r="K16" s="853"/>
      <c r="L16" s="853"/>
      <c r="M16" s="853"/>
      <c r="N16" s="853"/>
    </row>
    <row r="17" spans="1:15" x14ac:dyDescent="0.2">
      <c r="A17" s="848"/>
      <c r="E17" s="853"/>
      <c r="F17" s="853"/>
      <c r="G17" s="853"/>
      <c r="H17" s="853"/>
      <c r="I17" s="853"/>
      <c r="J17" s="853"/>
      <c r="K17" s="853"/>
      <c r="L17" s="853"/>
      <c r="M17" s="853"/>
      <c r="N17" s="853"/>
    </row>
    <row r="18" spans="1:15" x14ac:dyDescent="0.2">
      <c r="A18" s="848">
        <f>A16+1</f>
        <v>2</v>
      </c>
      <c r="C18" s="855" t="s">
        <v>281</v>
      </c>
      <c r="E18" s="849"/>
      <c r="F18" s="851"/>
      <c r="G18" s="849"/>
      <c r="H18" s="851"/>
      <c r="I18" s="849"/>
      <c r="J18" s="851"/>
      <c r="K18" s="849"/>
      <c r="L18" s="849"/>
      <c r="M18" s="851"/>
      <c r="N18" s="851">
        <f>SUM(E18:L18)</f>
        <v>0</v>
      </c>
    </row>
    <row r="19" spans="1:15" x14ac:dyDescent="0.2">
      <c r="A19" s="848">
        <f>A18+1</f>
        <v>3</v>
      </c>
      <c r="C19" s="659" t="s">
        <v>282</v>
      </c>
      <c r="E19" s="354"/>
      <c r="F19" s="853"/>
      <c r="G19" s="354"/>
      <c r="H19" s="853"/>
      <c r="I19" s="354"/>
      <c r="J19" s="853"/>
      <c r="K19" s="354"/>
      <c r="L19" s="354"/>
      <c r="M19" s="853"/>
      <c r="N19" s="833">
        <f t="shared" ref="N19:N24" si="0">SUM(E19:L19)</f>
        <v>0</v>
      </c>
    </row>
    <row r="20" spans="1:15" x14ac:dyDescent="0.2">
      <c r="A20" s="848">
        <f t="shared" ref="A20:A25" si="1">A19+1</f>
        <v>4</v>
      </c>
      <c r="C20" s="659" t="s">
        <v>283</v>
      </c>
      <c r="E20" s="354"/>
      <c r="F20" s="853"/>
      <c r="G20" s="354"/>
      <c r="H20" s="853"/>
      <c r="I20" s="354"/>
      <c r="J20" s="853"/>
      <c r="K20" s="354"/>
      <c r="L20" s="354"/>
      <c r="M20" s="853"/>
      <c r="N20" s="833">
        <f t="shared" si="0"/>
        <v>0</v>
      </c>
    </row>
    <row r="21" spans="1:15" x14ac:dyDescent="0.2">
      <c r="A21" s="848">
        <f t="shared" si="1"/>
        <v>5</v>
      </c>
      <c r="C21" s="659" t="s">
        <v>284</v>
      </c>
      <c r="E21" s="354"/>
      <c r="F21" s="853"/>
      <c r="G21" s="354"/>
      <c r="H21" s="853"/>
      <c r="I21" s="354"/>
      <c r="J21" s="853"/>
      <c r="K21" s="354"/>
      <c r="L21" s="354"/>
      <c r="M21" s="853"/>
      <c r="N21" s="833">
        <f t="shared" si="0"/>
        <v>0</v>
      </c>
    </row>
    <row r="22" spans="1:15" x14ac:dyDescent="0.2">
      <c r="A22" s="848">
        <f t="shared" si="1"/>
        <v>6</v>
      </c>
      <c r="C22" s="659" t="s">
        <v>285</v>
      </c>
      <c r="E22" s="354"/>
      <c r="F22" s="853"/>
      <c r="G22" s="354"/>
      <c r="H22" s="853"/>
      <c r="I22" s="354"/>
      <c r="J22" s="853"/>
      <c r="K22" s="354"/>
      <c r="L22" s="354"/>
      <c r="M22" s="853"/>
      <c r="N22" s="833">
        <f t="shared" si="0"/>
        <v>0</v>
      </c>
    </row>
    <row r="23" spans="1:15" x14ac:dyDescent="0.2">
      <c r="A23" s="848">
        <f t="shared" si="1"/>
        <v>7</v>
      </c>
      <c r="C23" s="659" t="s">
        <v>286</v>
      </c>
      <c r="E23" s="354"/>
      <c r="F23" s="853"/>
      <c r="G23" s="354"/>
      <c r="H23" s="853"/>
      <c r="I23" s="354"/>
      <c r="J23" s="853"/>
      <c r="K23" s="354"/>
      <c r="L23" s="354"/>
      <c r="M23" s="853"/>
      <c r="N23" s="833">
        <f t="shared" si="0"/>
        <v>0</v>
      </c>
    </row>
    <row r="24" spans="1:15" ht="15" x14ac:dyDescent="0.35">
      <c r="A24" s="848">
        <f t="shared" si="1"/>
        <v>8</v>
      </c>
      <c r="C24" s="659" t="s">
        <v>287</v>
      </c>
      <c r="E24" s="355"/>
      <c r="F24" s="865"/>
      <c r="G24" s="355"/>
      <c r="H24" s="865"/>
      <c r="I24" s="355"/>
      <c r="J24" s="865"/>
      <c r="K24" s="355"/>
      <c r="L24" s="355"/>
      <c r="M24" s="865"/>
      <c r="N24" s="866">
        <f t="shared" si="0"/>
        <v>0</v>
      </c>
    </row>
    <row r="25" spans="1:15" x14ac:dyDescent="0.2">
      <c r="A25" s="848">
        <f t="shared" si="1"/>
        <v>9</v>
      </c>
      <c r="C25" s="659" t="s">
        <v>288</v>
      </c>
      <c r="E25" s="833">
        <f>SUM(E18:E24)</f>
        <v>0</v>
      </c>
      <c r="F25" s="853"/>
      <c r="G25" s="833">
        <f>SUM(G18:G24)</f>
        <v>0</v>
      </c>
      <c r="H25" s="853"/>
      <c r="I25" s="833">
        <f>SUM(I18:I24)</f>
        <v>0</v>
      </c>
      <c r="J25" s="853"/>
      <c r="K25" s="833">
        <f>SUM(K18:K24)</f>
        <v>0</v>
      </c>
      <c r="L25" s="833">
        <f>SUM(L18:L24)</f>
        <v>0</v>
      </c>
      <c r="M25" s="853"/>
      <c r="N25" s="833">
        <f>SUM(N18:N24)</f>
        <v>0</v>
      </c>
    </row>
    <row r="26" spans="1:15" x14ac:dyDescent="0.2">
      <c r="A26" s="848"/>
      <c r="E26" s="853"/>
      <c r="F26" s="853"/>
      <c r="G26" s="853"/>
      <c r="H26" s="853"/>
      <c r="I26" s="853"/>
      <c r="J26" s="853"/>
      <c r="K26" s="853"/>
      <c r="L26" s="853"/>
      <c r="M26" s="853"/>
      <c r="N26" s="853"/>
    </row>
    <row r="27" spans="1:15" ht="13.5" thickBot="1" x14ac:dyDescent="0.25">
      <c r="A27" s="848">
        <f>A25+1</f>
        <v>10</v>
      </c>
      <c r="C27" s="333" t="s">
        <v>289</v>
      </c>
      <c r="E27" s="867">
        <f>E25</f>
        <v>0</v>
      </c>
      <c r="F27" s="851"/>
      <c r="G27" s="867">
        <f>G25</f>
        <v>0</v>
      </c>
      <c r="H27" s="851"/>
      <c r="I27" s="867">
        <f>I25</f>
        <v>0</v>
      </c>
      <c r="J27" s="851"/>
      <c r="K27" s="867">
        <f>K25</f>
        <v>0</v>
      </c>
      <c r="L27" s="867">
        <f>L25</f>
        <v>0</v>
      </c>
      <c r="M27" s="851"/>
      <c r="N27" s="867">
        <f>N25</f>
        <v>0</v>
      </c>
    </row>
    <row r="28" spans="1:15" ht="13.5" thickTop="1" x14ac:dyDescent="0.2">
      <c r="A28" s="848"/>
      <c r="E28" s="853"/>
      <c r="F28" s="853"/>
      <c r="G28" s="853"/>
      <c r="H28" s="853"/>
      <c r="I28" s="853"/>
      <c r="J28" s="853"/>
      <c r="K28" s="853"/>
      <c r="L28" s="853"/>
      <c r="M28" s="853"/>
      <c r="N28" s="853"/>
    </row>
    <row r="29" spans="1:15" x14ac:dyDescent="0.2">
      <c r="A29" s="848"/>
      <c r="E29" s="853"/>
      <c r="F29" s="853"/>
      <c r="G29" s="853"/>
      <c r="H29" s="853"/>
      <c r="I29" s="853"/>
      <c r="J29" s="853"/>
      <c r="K29" s="853"/>
      <c r="L29" s="853"/>
      <c r="M29" s="853"/>
      <c r="N29" s="853"/>
    </row>
    <row r="30" spans="1:15" x14ac:dyDescent="0.2">
      <c r="A30" s="848">
        <f>A27+1</f>
        <v>11</v>
      </c>
      <c r="C30" s="344" t="s">
        <v>1264</v>
      </c>
      <c r="E30" s="853"/>
      <c r="F30" s="853"/>
      <c r="G30" s="853"/>
      <c r="H30" s="853"/>
      <c r="I30" s="853"/>
      <c r="J30" s="853"/>
      <c r="K30" s="853"/>
      <c r="L30" s="853"/>
      <c r="M30" s="853"/>
      <c r="N30" s="853"/>
    </row>
    <row r="31" spans="1:15" x14ac:dyDescent="0.2">
      <c r="A31" s="848"/>
      <c r="E31" s="853"/>
      <c r="F31" s="853"/>
      <c r="G31" s="853"/>
      <c r="H31" s="853"/>
      <c r="I31" s="853"/>
      <c r="J31" s="853"/>
      <c r="K31" s="853"/>
      <c r="L31" s="853"/>
      <c r="M31" s="853"/>
      <c r="N31" s="853"/>
      <c r="O31" s="853"/>
    </row>
    <row r="32" spans="1:15" x14ac:dyDescent="0.2">
      <c r="A32" s="848">
        <f>A30+1</f>
        <v>12</v>
      </c>
      <c r="C32" s="855" t="s">
        <v>281</v>
      </c>
      <c r="E32" s="849"/>
      <c r="F32" s="849"/>
      <c r="G32" s="849"/>
      <c r="H32" s="849"/>
      <c r="I32" s="849"/>
      <c r="J32" s="849"/>
      <c r="K32" s="849"/>
      <c r="L32" s="849"/>
      <c r="M32" s="851"/>
      <c r="N32" s="851">
        <f>SUM(E32:L32)</f>
        <v>0</v>
      </c>
      <c r="O32" s="853"/>
    </row>
    <row r="33" spans="1:15" x14ac:dyDescent="0.2">
      <c r="A33" s="848">
        <f>A32+1</f>
        <v>13</v>
      </c>
      <c r="C33" s="659" t="s">
        <v>282</v>
      </c>
      <c r="E33" s="354"/>
      <c r="F33" s="354"/>
      <c r="G33" s="354"/>
      <c r="H33" s="354"/>
      <c r="I33" s="354"/>
      <c r="J33" s="354"/>
      <c r="K33" s="354"/>
      <c r="L33" s="354"/>
      <c r="M33" s="853"/>
      <c r="N33" s="833">
        <f t="shared" ref="N33:N38" si="2">SUM(E33:L33)</f>
        <v>0</v>
      </c>
      <c r="O33" s="853"/>
    </row>
    <row r="34" spans="1:15" x14ac:dyDescent="0.2">
      <c r="A34" s="848">
        <f t="shared" ref="A34:A39" si="3">A33+1</f>
        <v>14</v>
      </c>
      <c r="C34" s="659" t="s">
        <v>283</v>
      </c>
      <c r="E34" s="354"/>
      <c r="F34" s="354"/>
      <c r="G34" s="354"/>
      <c r="H34" s="354"/>
      <c r="I34" s="354"/>
      <c r="J34" s="354"/>
      <c r="K34" s="354"/>
      <c r="L34" s="354"/>
      <c r="M34" s="853"/>
      <c r="N34" s="833">
        <f t="shared" si="2"/>
        <v>0</v>
      </c>
      <c r="O34" s="853"/>
    </row>
    <row r="35" spans="1:15" x14ac:dyDescent="0.2">
      <c r="A35" s="848">
        <f t="shared" si="3"/>
        <v>15</v>
      </c>
      <c r="C35" s="659" t="s">
        <v>284</v>
      </c>
      <c r="E35" s="354"/>
      <c r="F35" s="354"/>
      <c r="G35" s="354"/>
      <c r="H35" s="354"/>
      <c r="I35" s="354"/>
      <c r="J35" s="354"/>
      <c r="K35" s="354"/>
      <c r="L35" s="354"/>
      <c r="M35" s="853"/>
      <c r="N35" s="833">
        <f t="shared" si="2"/>
        <v>0</v>
      </c>
      <c r="O35" s="853"/>
    </row>
    <row r="36" spans="1:15" x14ac:dyDescent="0.2">
      <c r="A36" s="848">
        <f t="shared" si="3"/>
        <v>16</v>
      </c>
      <c r="C36" s="659" t="s">
        <v>285</v>
      </c>
      <c r="E36" s="354"/>
      <c r="F36" s="354"/>
      <c r="G36" s="354"/>
      <c r="H36" s="354"/>
      <c r="I36" s="354"/>
      <c r="J36" s="354"/>
      <c r="K36" s="354"/>
      <c r="L36" s="354"/>
      <c r="M36" s="853"/>
      <c r="N36" s="833">
        <f t="shared" si="2"/>
        <v>0</v>
      </c>
      <c r="O36" s="853"/>
    </row>
    <row r="37" spans="1:15" x14ac:dyDescent="0.2">
      <c r="A37" s="848">
        <f t="shared" si="3"/>
        <v>17</v>
      </c>
      <c r="C37" s="659" t="s">
        <v>286</v>
      </c>
      <c r="E37" s="354"/>
      <c r="F37" s="354"/>
      <c r="G37" s="354"/>
      <c r="H37" s="354"/>
      <c r="I37" s="354"/>
      <c r="J37" s="354"/>
      <c r="K37" s="354"/>
      <c r="L37" s="354"/>
      <c r="M37" s="853"/>
      <c r="N37" s="833">
        <f t="shared" si="2"/>
        <v>0</v>
      </c>
      <c r="O37" s="853"/>
    </row>
    <row r="38" spans="1:15" ht="15" x14ac:dyDescent="0.35">
      <c r="A38" s="848">
        <f t="shared" si="3"/>
        <v>18</v>
      </c>
      <c r="C38" s="659" t="s">
        <v>287</v>
      </c>
      <c r="E38" s="355"/>
      <c r="F38" s="355"/>
      <c r="G38" s="355"/>
      <c r="H38" s="355"/>
      <c r="I38" s="355"/>
      <c r="J38" s="355"/>
      <c r="K38" s="355"/>
      <c r="L38" s="355"/>
      <c r="M38" s="865"/>
      <c r="N38" s="866">
        <f t="shared" si="2"/>
        <v>0</v>
      </c>
      <c r="O38" s="853"/>
    </row>
    <row r="39" spans="1:15" x14ac:dyDescent="0.2">
      <c r="A39" s="848">
        <f t="shared" si="3"/>
        <v>19</v>
      </c>
      <c r="C39" s="659" t="s">
        <v>288</v>
      </c>
      <c r="E39" s="833">
        <f>SUM(E32:E38)</f>
        <v>0</v>
      </c>
      <c r="F39" s="833"/>
      <c r="G39" s="833">
        <f>SUM(G32:G38)</f>
        <v>0</v>
      </c>
      <c r="H39" s="833"/>
      <c r="I39" s="833">
        <f>SUM(I32:I38)</f>
        <v>0</v>
      </c>
      <c r="J39" s="833"/>
      <c r="K39" s="833">
        <f>SUM(K32:K38)</f>
        <v>0</v>
      </c>
      <c r="L39" s="833">
        <f>SUM(L32:L38)</f>
        <v>0</v>
      </c>
      <c r="M39" s="833"/>
      <c r="N39" s="833">
        <f>SUM(N32:N38)</f>
        <v>0</v>
      </c>
      <c r="O39" s="853"/>
    </row>
    <row r="40" spans="1:15" x14ac:dyDescent="0.2">
      <c r="A40" s="848"/>
      <c r="E40" s="853"/>
      <c r="F40" s="853"/>
      <c r="G40" s="853"/>
      <c r="H40" s="853"/>
      <c r="I40" s="853"/>
      <c r="J40" s="853"/>
      <c r="K40" s="853"/>
      <c r="L40" s="853"/>
      <c r="M40" s="853"/>
      <c r="N40" s="853"/>
      <c r="O40" s="853"/>
    </row>
    <row r="41" spans="1:15" ht="13.5" thickBot="1" x14ac:dyDescent="0.25">
      <c r="A41" s="848">
        <f>A39+1</f>
        <v>20</v>
      </c>
      <c r="C41" s="333" t="s">
        <v>289</v>
      </c>
      <c r="E41" s="867">
        <f>E39</f>
        <v>0</v>
      </c>
      <c r="F41" s="851"/>
      <c r="G41" s="867">
        <f>G39</f>
        <v>0</v>
      </c>
      <c r="H41" s="851"/>
      <c r="I41" s="867">
        <f>I39</f>
        <v>0</v>
      </c>
      <c r="J41" s="851"/>
      <c r="K41" s="867">
        <f>K39</f>
        <v>0</v>
      </c>
      <c r="L41" s="867">
        <f>L39</f>
        <v>0</v>
      </c>
      <c r="M41" s="851"/>
      <c r="N41" s="867">
        <f>N39</f>
        <v>0</v>
      </c>
      <c r="O41" s="853"/>
    </row>
    <row r="42" spans="1:15" ht="13.5" thickTop="1" x14ac:dyDescent="0.2">
      <c r="A42" s="848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</row>
    <row r="43" spans="1:15" x14ac:dyDescent="0.2">
      <c r="E43" s="853"/>
      <c r="F43" s="853"/>
      <c r="G43" s="853"/>
      <c r="H43" s="853"/>
      <c r="I43" s="853"/>
      <c r="J43" s="853"/>
      <c r="K43" s="853"/>
      <c r="L43" s="853"/>
      <c r="M43" s="853"/>
      <c r="N43" s="853"/>
      <c r="O43" s="853"/>
    </row>
    <row r="44" spans="1:15" x14ac:dyDescent="0.2">
      <c r="E44" s="853"/>
      <c r="F44" s="853"/>
      <c r="G44" s="853"/>
      <c r="H44" s="853"/>
      <c r="I44" s="853"/>
      <c r="J44" s="853"/>
      <c r="K44" s="853"/>
      <c r="L44" s="853"/>
      <c r="M44" s="853"/>
      <c r="N44" s="853"/>
      <c r="O44" s="853"/>
    </row>
    <row r="45" spans="1:15" x14ac:dyDescent="0.2">
      <c r="E45" s="853"/>
      <c r="F45" s="853"/>
      <c r="G45" s="853"/>
      <c r="H45" s="853"/>
      <c r="I45" s="853"/>
      <c r="J45" s="853"/>
      <c r="K45" s="853"/>
      <c r="L45" s="853"/>
      <c r="M45" s="853"/>
      <c r="N45" s="853"/>
      <c r="O45" s="853"/>
    </row>
    <row r="46" spans="1:15" x14ac:dyDescent="0.2">
      <c r="E46" s="853"/>
      <c r="F46" s="853"/>
      <c r="G46" s="853"/>
      <c r="H46" s="853"/>
      <c r="I46" s="853"/>
      <c r="J46" s="853"/>
      <c r="K46" s="853"/>
      <c r="L46" s="853"/>
      <c r="M46" s="853"/>
      <c r="N46" s="853"/>
      <c r="O46" s="853"/>
    </row>
  </sheetData>
  <mergeCells count="5">
    <mergeCell ref="A5:N5"/>
    <mergeCell ref="A1:N1"/>
    <mergeCell ref="A2:N2"/>
    <mergeCell ref="A3:N3"/>
    <mergeCell ref="A4:N4"/>
  </mergeCells>
  <phoneticPr fontId="0" type="noConversion"/>
  <pageMargins left="0.5" right="0.5" top="0.75" bottom="0.5" header="0.5" footer="0.5"/>
  <pageSetup scale="91" orientation="landscape" verticalDpi="0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4:R43"/>
  <sheetViews>
    <sheetView zoomScaleNormal="100" workbookViewId="0">
      <selection activeCell="C27" sqref="C27"/>
    </sheetView>
  </sheetViews>
  <sheetFormatPr defaultColWidth="9.33203125" defaultRowHeight="12.75" x14ac:dyDescent="0.2"/>
  <cols>
    <col min="1" max="1" width="4.83203125" style="659" customWidth="1"/>
    <col min="2" max="2" width="2.83203125" style="659" customWidth="1"/>
    <col min="3" max="3" width="11" style="659" customWidth="1"/>
    <col min="4" max="4" width="2" style="659" customWidth="1"/>
    <col min="5" max="5" width="43.5" style="659" customWidth="1"/>
    <col min="6" max="6" width="2" style="659" customWidth="1"/>
    <col min="7" max="7" width="20.83203125" style="659" customWidth="1"/>
    <col min="8" max="8" width="3.1640625" style="659" customWidth="1"/>
    <col min="9" max="9" width="20.5" style="659" customWidth="1"/>
    <col min="10" max="10" width="2" style="659" customWidth="1"/>
    <col min="11" max="11" width="20.83203125" style="659" customWidth="1"/>
    <col min="12" max="12" width="2" style="659" customWidth="1"/>
    <col min="13" max="13" width="20.83203125" style="659" customWidth="1"/>
    <col min="14" max="14" width="2" style="659" customWidth="1"/>
    <col min="15" max="15" width="20.1640625" style="659" customWidth="1"/>
    <col min="16" max="16" width="2" style="659" customWidth="1"/>
    <col min="17" max="17" width="20.83203125" style="659" customWidth="1"/>
    <col min="18" max="16384" width="9.33203125" style="659"/>
  </cols>
  <sheetData>
    <row r="4" spans="1:18" x14ac:dyDescent="0.2">
      <c r="A4" s="2172" t="str">
        <f>co</f>
        <v>COLUMBIA GAS OF KENTUCKY, INC.</v>
      </c>
      <c r="B4" s="2172"/>
      <c r="C4" s="2172"/>
      <c r="D4" s="2172"/>
      <c r="E4" s="2172"/>
      <c r="F4" s="2172"/>
      <c r="G4" s="2172"/>
      <c r="H4" s="2172"/>
      <c r="I4" s="2172"/>
      <c r="J4" s="2172"/>
      <c r="K4" s="2172"/>
      <c r="L4" s="2172"/>
      <c r="M4" s="2172"/>
      <c r="N4" s="2172"/>
      <c r="O4" s="2172"/>
      <c r="P4" s="2172"/>
      <c r="Q4" s="2172"/>
      <c r="R4" s="858"/>
    </row>
    <row r="5" spans="1:18" x14ac:dyDescent="0.2">
      <c r="A5" s="2172" t="str">
        <f>case</f>
        <v>CASE NO. 2016 - 00162</v>
      </c>
      <c r="B5" s="2172"/>
      <c r="C5" s="2172"/>
      <c r="D5" s="2172"/>
      <c r="E5" s="2172"/>
      <c r="F5" s="2172"/>
      <c r="G5" s="2172"/>
      <c r="H5" s="2172"/>
      <c r="I5" s="2172"/>
      <c r="J5" s="2172"/>
      <c r="K5" s="2172"/>
      <c r="L5" s="2172"/>
      <c r="M5" s="2172"/>
      <c r="N5" s="2172"/>
      <c r="O5" s="2172"/>
      <c r="P5" s="2172"/>
      <c r="Q5" s="2172"/>
      <c r="R5" s="858"/>
    </row>
    <row r="6" spans="1:18" x14ac:dyDescent="0.2">
      <c r="A6" s="2174" t="s">
        <v>261</v>
      </c>
      <c r="B6" s="2174"/>
      <c r="C6" s="2174"/>
      <c r="D6" s="2174"/>
      <c r="E6" s="2174"/>
      <c r="F6" s="2174"/>
      <c r="G6" s="2174"/>
      <c r="H6" s="2174"/>
      <c r="I6" s="2174"/>
      <c r="J6" s="2174"/>
      <c r="K6" s="2174"/>
      <c r="L6" s="2174"/>
      <c r="M6" s="2174"/>
      <c r="N6" s="2174"/>
      <c r="O6" s="2174"/>
      <c r="P6" s="2174"/>
      <c r="Q6" s="2174"/>
      <c r="R6" s="859"/>
    </row>
    <row r="7" spans="1:18" x14ac:dyDescent="0.2">
      <c r="A7" s="2172" t="str">
        <f>'F-1 Corp Due &amp; Memberships'!A7:Q7</f>
        <v>BASE PERIOD: TWELVE MONTHS ENDED AUGUST 31, 2016</v>
      </c>
      <c r="B7" s="2172"/>
      <c r="C7" s="2172"/>
      <c r="D7" s="2172"/>
      <c r="E7" s="2172"/>
      <c r="F7" s="2172"/>
      <c r="G7" s="2172"/>
      <c r="H7" s="2172"/>
      <c r="I7" s="2172"/>
      <c r="J7" s="2172"/>
      <c r="K7" s="2172"/>
      <c r="L7" s="2172"/>
      <c r="M7" s="2172"/>
      <c r="N7" s="2172"/>
      <c r="O7" s="2172"/>
      <c r="P7" s="2172"/>
      <c r="Q7" s="2172"/>
      <c r="R7" s="858"/>
    </row>
    <row r="8" spans="1:18" x14ac:dyDescent="0.2">
      <c r="A8" s="2172" t="str">
        <f>'F-1 Corp Due &amp; Memberships'!A8:Q8</f>
        <v>FORECASTED PERIOD: TWELVE MONTHS ENDED DECEMBER 31, 2017</v>
      </c>
      <c r="B8" s="2172"/>
      <c r="C8" s="2172"/>
      <c r="D8" s="2172"/>
      <c r="E8" s="2172"/>
      <c r="F8" s="2172"/>
      <c r="G8" s="2172"/>
      <c r="H8" s="2172"/>
      <c r="I8" s="2172"/>
      <c r="J8" s="2172"/>
      <c r="K8" s="2172"/>
      <c r="L8" s="2172"/>
      <c r="M8" s="2172"/>
      <c r="N8" s="2172"/>
      <c r="O8" s="2172"/>
      <c r="P8" s="2172"/>
      <c r="Q8" s="2172"/>
      <c r="R8" s="858"/>
    </row>
    <row r="10" spans="1:18" x14ac:dyDescent="0.2">
      <c r="A10" s="840" t="s">
        <v>253</v>
      </c>
      <c r="Q10" s="841" t="s">
        <v>290</v>
      </c>
    </row>
    <row r="11" spans="1:18" x14ac:dyDescent="0.2">
      <c r="A11" s="840" t="s">
        <v>245</v>
      </c>
      <c r="Q11" s="841" t="s">
        <v>246</v>
      </c>
    </row>
    <row r="12" spans="1:18" x14ac:dyDescent="0.2">
      <c r="A12" s="840" t="s">
        <v>247</v>
      </c>
      <c r="Q12" s="842" t="str">
        <f>JTC</f>
        <v>WITNESS:  J. T. CROOM</v>
      </c>
    </row>
    <row r="13" spans="1:18" x14ac:dyDescent="0.2">
      <c r="A13" s="843"/>
      <c r="B13" s="843"/>
      <c r="C13" s="843"/>
      <c r="D13" s="843"/>
      <c r="E13" s="843"/>
      <c r="F13" s="843"/>
      <c r="G13" s="843"/>
      <c r="H13" s="843"/>
      <c r="I13" s="843"/>
      <c r="J13" s="843"/>
      <c r="K13" s="843"/>
      <c r="L13" s="843"/>
      <c r="M13" s="844"/>
      <c r="N13" s="843"/>
      <c r="O13" s="843"/>
      <c r="P13" s="843"/>
      <c r="Q13" s="843"/>
      <c r="R13" s="845"/>
    </row>
    <row r="14" spans="1:18" x14ac:dyDescent="0.2">
      <c r="A14" s="845"/>
      <c r="B14" s="845"/>
      <c r="C14" s="845"/>
      <c r="D14" s="845"/>
      <c r="E14" s="845"/>
      <c r="F14" s="845"/>
      <c r="G14" s="2175" t="s">
        <v>830</v>
      </c>
      <c r="H14" s="2175"/>
      <c r="I14" s="2175"/>
      <c r="J14" s="2175"/>
      <c r="K14" s="2175"/>
      <c r="L14" s="845"/>
      <c r="M14" s="2175" t="s">
        <v>1264</v>
      </c>
      <c r="N14" s="2175"/>
      <c r="O14" s="2170"/>
      <c r="P14" s="2170"/>
      <c r="Q14" s="2170"/>
      <c r="R14" s="845"/>
    </row>
    <row r="15" spans="1:18" x14ac:dyDescent="0.2">
      <c r="A15" s="332" t="s">
        <v>632</v>
      </c>
      <c r="B15" s="848"/>
      <c r="C15" s="848" t="s">
        <v>756</v>
      </c>
      <c r="E15" s="848" t="s">
        <v>263</v>
      </c>
      <c r="G15" s="848" t="s">
        <v>670</v>
      </c>
      <c r="M15" s="848" t="s">
        <v>670</v>
      </c>
      <c r="R15" s="845"/>
    </row>
    <row r="16" spans="1:18" x14ac:dyDescent="0.2">
      <c r="A16" s="847" t="s">
        <v>635</v>
      </c>
      <c r="B16" s="847"/>
      <c r="C16" s="847" t="s">
        <v>635</v>
      </c>
      <c r="D16" s="843"/>
      <c r="E16" s="847" t="s">
        <v>1324</v>
      </c>
      <c r="F16" s="843"/>
      <c r="G16" s="847" t="s">
        <v>1348</v>
      </c>
      <c r="H16" s="843"/>
      <c r="I16" s="843" t="s">
        <v>249</v>
      </c>
      <c r="J16" s="843"/>
      <c r="K16" s="847" t="s">
        <v>696</v>
      </c>
      <c r="L16" s="843"/>
      <c r="M16" s="847" t="s">
        <v>1348</v>
      </c>
      <c r="N16" s="843"/>
      <c r="O16" s="843" t="s">
        <v>249</v>
      </c>
      <c r="P16" s="843"/>
      <c r="Q16" s="847" t="s">
        <v>696</v>
      </c>
      <c r="R16" s="845"/>
    </row>
    <row r="17" spans="1:18" x14ac:dyDescent="0.2">
      <c r="C17" s="848"/>
      <c r="R17" s="845"/>
    </row>
    <row r="18" spans="1:18" x14ac:dyDescent="0.2">
      <c r="A18" s="848">
        <v>1</v>
      </c>
      <c r="C18" s="848"/>
      <c r="E18" s="881" t="s">
        <v>264</v>
      </c>
      <c r="G18" s="503"/>
      <c r="I18" s="850">
        <v>1</v>
      </c>
      <c r="K18" s="833"/>
      <c r="M18" s="503"/>
      <c r="O18" s="850">
        <v>1</v>
      </c>
      <c r="Q18" s="833"/>
      <c r="R18" s="845"/>
    </row>
    <row r="19" spans="1:18" x14ac:dyDescent="0.2">
      <c r="A19" s="848">
        <f>A18+1</f>
        <v>2</v>
      </c>
      <c r="C19" s="848">
        <v>907</v>
      </c>
      <c r="E19" s="333" t="s">
        <v>1571</v>
      </c>
      <c r="G19" s="1821">
        <f>'Oper Rev&amp;Exp by Accts C2.1A'!D100</f>
        <v>15816.6</v>
      </c>
      <c r="H19" s="856"/>
      <c r="K19" s="903">
        <f t="shared" ref="K19:K30" si="0">G19</f>
        <v>15816.6</v>
      </c>
      <c r="L19" s="853"/>
      <c r="M19" s="1821">
        <f>'Oper Rev&amp;Exp by Accts C2.1B'!D100</f>
        <v>22212</v>
      </c>
      <c r="Q19" s="903">
        <f t="shared" ref="Q19:Q30" si="1">M19</f>
        <v>22212</v>
      </c>
    </row>
    <row r="20" spans="1:18" x14ac:dyDescent="0.2">
      <c r="A20" s="848">
        <f>A19+1</f>
        <v>3</v>
      </c>
      <c r="C20" s="848">
        <v>908</v>
      </c>
      <c r="E20" s="659" t="s">
        <v>265</v>
      </c>
      <c r="G20" s="1820">
        <f>'Oper Rev&amp;Exp by Accts C2.1A'!D101</f>
        <v>887206.67475999973</v>
      </c>
      <c r="I20" s="857"/>
      <c r="K20" s="501">
        <f t="shared" si="0"/>
        <v>887206.67475999973</v>
      </c>
      <c r="L20" s="853"/>
      <c r="M20" s="1820">
        <f>'Oper Rev&amp;Exp by Accts C2.1B'!D101</f>
        <v>1325046</v>
      </c>
      <c r="O20" s="857"/>
      <c r="Q20" s="501">
        <f t="shared" si="1"/>
        <v>1325046</v>
      </c>
    </row>
    <row r="21" spans="1:18" x14ac:dyDescent="0.2">
      <c r="A21" s="848">
        <f>A20+1</f>
        <v>4</v>
      </c>
      <c r="C21" s="848">
        <v>909</v>
      </c>
      <c r="E21" s="659" t="s">
        <v>266</v>
      </c>
      <c r="G21" s="1820">
        <f>'Oper Rev&amp;Exp by Accts C2.1A'!D102</f>
        <v>79942.59</v>
      </c>
      <c r="K21" s="501">
        <f t="shared" si="0"/>
        <v>79942.59</v>
      </c>
      <c r="L21" s="853"/>
      <c r="M21" s="1820">
        <f>'Oper Rev&amp;Exp by Accts C2.1B'!D102</f>
        <v>66405</v>
      </c>
      <c r="Q21" s="501">
        <f t="shared" si="1"/>
        <v>66405</v>
      </c>
    </row>
    <row r="22" spans="1:18" x14ac:dyDescent="0.2">
      <c r="A22" s="848">
        <f>A21+1</f>
        <v>5</v>
      </c>
      <c r="C22" s="848">
        <v>910</v>
      </c>
      <c r="E22" s="659" t="s">
        <v>267</v>
      </c>
      <c r="G22" s="1820">
        <f>'Oper Rev&amp;Exp by Accts C2.1A'!D103</f>
        <v>227785.5</v>
      </c>
      <c r="K22" s="501">
        <f t="shared" si="0"/>
        <v>227785.5</v>
      </c>
      <c r="L22" s="853"/>
      <c r="M22" s="1820">
        <f>'Oper Rev&amp;Exp by Accts C2.1B'!D103</f>
        <v>265269</v>
      </c>
      <c r="Q22" s="501">
        <f t="shared" si="1"/>
        <v>265269</v>
      </c>
    </row>
    <row r="23" spans="1:18" x14ac:dyDescent="0.2">
      <c r="A23" s="848"/>
      <c r="C23" s="848"/>
      <c r="G23" s="503"/>
      <c r="K23" s="501"/>
      <c r="L23" s="853"/>
      <c r="M23" s="503"/>
      <c r="Q23" s="501"/>
    </row>
    <row r="24" spans="1:18" x14ac:dyDescent="0.2">
      <c r="A24" s="848">
        <f>A22+1</f>
        <v>6</v>
      </c>
      <c r="C24" s="848"/>
      <c r="E24" s="659" t="s">
        <v>268</v>
      </c>
      <c r="G24" s="503"/>
      <c r="K24" s="501"/>
      <c r="L24" s="853"/>
      <c r="M24" s="503"/>
      <c r="Q24" s="501"/>
    </row>
    <row r="25" spans="1:18" x14ac:dyDescent="0.2">
      <c r="A25" s="848">
        <f>A24+1</f>
        <v>7</v>
      </c>
      <c r="C25" s="848">
        <v>911</v>
      </c>
      <c r="E25" s="659" t="s">
        <v>1571</v>
      </c>
      <c r="G25" s="1820">
        <f>'Oper Rev&amp;Exp by Accts C2.1A'!D109</f>
        <v>0</v>
      </c>
      <c r="K25" s="501">
        <f t="shared" si="0"/>
        <v>0</v>
      </c>
      <c r="L25" s="853"/>
      <c r="M25" s="1820">
        <f>'Oper Rev&amp;Exp by Accts C2.1B'!D109</f>
        <v>0</v>
      </c>
      <c r="Q25" s="501">
        <f t="shared" si="1"/>
        <v>0</v>
      </c>
    </row>
    <row r="26" spans="1:18" x14ac:dyDescent="0.2">
      <c r="A26" s="848">
        <f>A25+1</f>
        <v>8</v>
      </c>
      <c r="C26" s="848">
        <v>912</v>
      </c>
      <c r="E26" s="659" t="s">
        <v>269</v>
      </c>
      <c r="G26" s="1820">
        <f>'Oper Rev&amp;Exp by Accts C2.1A'!D110</f>
        <v>44003.94</v>
      </c>
      <c r="K26" s="501">
        <f t="shared" si="0"/>
        <v>44003.94</v>
      </c>
      <c r="L26" s="853"/>
      <c r="M26" s="1820">
        <f>'Oper Rev&amp;Exp by Accts C2.1B'!D110</f>
        <v>54506</v>
      </c>
      <c r="Q26" s="501">
        <f t="shared" si="1"/>
        <v>54506</v>
      </c>
    </row>
    <row r="27" spans="1:18" x14ac:dyDescent="0.2">
      <c r="A27" s="848">
        <f>A26+1</f>
        <v>9</v>
      </c>
      <c r="C27" s="848">
        <v>913</v>
      </c>
      <c r="E27" s="659" t="s">
        <v>236</v>
      </c>
      <c r="G27" s="1820">
        <f>'Oper Rev&amp;Exp by Accts C2.1A'!D111</f>
        <v>85656.489999999991</v>
      </c>
      <c r="K27" s="501">
        <f t="shared" si="0"/>
        <v>85656.489999999991</v>
      </c>
      <c r="L27" s="853"/>
      <c r="M27" s="1820">
        <f>'Oper Rev&amp;Exp by Accts C2.1B'!D111</f>
        <v>180829</v>
      </c>
      <c r="Q27" s="501">
        <f t="shared" si="1"/>
        <v>180829</v>
      </c>
    </row>
    <row r="28" spans="1:18" x14ac:dyDescent="0.2">
      <c r="A28" s="848">
        <f>A27+1</f>
        <v>10</v>
      </c>
      <c r="C28" s="848">
        <v>916</v>
      </c>
      <c r="E28" s="659" t="s">
        <v>270</v>
      </c>
      <c r="G28" s="1820">
        <f>'Oper Rev&amp;Exp by Accts C2.1A'!D112</f>
        <v>0</v>
      </c>
      <c r="K28" s="501">
        <f t="shared" si="0"/>
        <v>0</v>
      </c>
      <c r="L28" s="853"/>
      <c r="M28" s="1820">
        <f>'Oper Rev&amp;Exp by Accts C2.1B'!D112</f>
        <v>0</v>
      </c>
      <c r="Q28" s="501">
        <f t="shared" si="1"/>
        <v>0</v>
      </c>
    </row>
    <row r="29" spans="1:18" x14ac:dyDescent="0.2">
      <c r="A29" s="848"/>
      <c r="C29" s="848"/>
      <c r="G29" s="503"/>
      <c r="K29" s="501"/>
      <c r="L29" s="853"/>
      <c r="M29" s="503"/>
      <c r="Q29" s="501"/>
    </row>
    <row r="30" spans="1:18" x14ac:dyDescent="0.2">
      <c r="A30" s="848">
        <f>A28+1</f>
        <v>11</v>
      </c>
      <c r="C30" s="848">
        <v>930.1</v>
      </c>
      <c r="E30" s="659" t="s">
        <v>271</v>
      </c>
      <c r="G30" s="1371">
        <v>0</v>
      </c>
      <c r="K30" s="501">
        <f t="shared" si="0"/>
        <v>0</v>
      </c>
      <c r="L30" s="853"/>
      <c r="M30" s="1371">
        <v>0</v>
      </c>
      <c r="Q30" s="501">
        <f t="shared" si="1"/>
        <v>0</v>
      </c>
    </row>
    <row r="31" spans="1:18" x14ac:dyDescent="0.2">
      <c r="A31" s="848"/>
      <c r="C31" s="848"/>
      <c r="K31" s="853"/>
      <c r="L31" s="853"/>
      <c r="M31" s="853"/>
      <c r="Q31" s="334"/>
    </row>
    <row r="32" spans="1:18" ht="13.5" thickBot="1" x14ac:dyDescent="0.25">
      <c r="A32" s="848"/>
      <c r="C32" s="848"/>
      <c r="E32" s="333" t="s">
        <v>670</v>
      </c>
      <c r="G32" s="1368">
        <f>SUM(G19:G30)</f>
        <v>1340411.7947599997</v>
      </c>
      <c r="I32" s="333"/>
      <c r="J32" s="333"/>
      <c r="K32" s="1368">
        <f>SUM(K19:K30)</f>
        <v>1340411.7947599997</v>
      </c>
      <c r="L32" s="334"/>
      <c r="M32" s="1368">
        <f>SUM(M19:M30)</f>
        <v>1914267</v>
      </c>
      <c r="N32" s="333"/>
      <c r="O32" s="333"/>
      <c r="P32" s="333"/>
      <c r="Q32" s="1368">
        <f>SUM(Q19:Q30)</f>
        <v>1914267</v>
      </c>
    </row>
    <row r="33" spans="1:17" ht="13.5" thickTop="1" x14ac:dyDescent="0.2">
      <c r="A33" s="848"/>
      <c r="C33" s="848"/>
      <c r="K33" s="853"/>
      <c r="L33" s="853"/>
      <c r="M33" s="853"/>
      <c r="Q33" s="853"/>
    </row>
    <row r="34" spans="1:17" x14ac:dyDescent="0.2">
      <c r="A34" s="848"/>
      <c r="C34" s="848"/>
      <c r="K34" s="853"/>
    </row>
    <row r="35" spans="1:17" x14ac:dyDescent="0.2">
      <c r="A35" s="848"/>
      <c r="C35" s="848"/>
      <c r="K35" s="853"/>
    </row>
    <row r="36" spans="1:17" x14ac:dyDescent="0.2">
      <c r="A36" s="848"/>
      <c r="B36" s="856"/>
      <c r="C36" s="848"/>
      <c r="K36" s="853"/>
    </row>
    <row r="37" spans="1:17" x14ac:dyDescent="0.2">
      <c r="A37" s="848"/>
      <c r="C37" s="855"/>
      <c r="K37" s="853"/>
    </row>
    <row r="38" spans="1:17" x14ac:dyDescent="0.2">
      <c r="A38" s="848"/>
      <c r="C38" s="855"/>
      <c r="K38" s="853"/>
    </row>
    <row r="39" spans="1:17" x14ac:dyDescent="0.2">
      <c r="K39" s="853"/>
    </row>
    <row r="40" spans="1:17" x14ac:dyDescent="0.2">
      <c r="K40" s="853"/>
    </row>
    <row r="41" spans="1:17" x14ac:dyDescent="0.2">
      <c r="K41" s="853"/>
    </row>
    <row r="42" spans="1:17" x14ac:dyDescent="0.2">
      <c r="K42" s="853"/>
    </row>
    <row r="43" spans="1:17" x14ac:dyDescent="0.2">
      <c r="K43" s="853"/>
    </row>
  </sheetData>
  <mergeCells count="7">
    <mergeCell ref="A5:Q5"/>
    <mergeCell ref="A4:Q4"/>
    <mergeCell ref="G14:K14"/>
    <mergeCell ref="M14:Q14"/>
    <mergeCell ref="A8:Q8"/>
    <mergeCell ref="A7:Q7"/>
    <mergeCell ref="A6:Q6"/>
  </mergeCells>
  <phoneticPr fontId="0" type="noConversion"/>
  <printOptions horizontalCentered="1"/>
  <pageMargins left="0.5" right="0.5" top="0.75" bottom="0.5" header="0.5" footer="0.5"/>
  <pageSetup scale="8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3">
    <pageSetUpPr fitToPage="1"/>
  </sheetPr>
  <dimension ref="A1:H87"/>
  <sheetViews>
    <sheetView showGridLines="0" view="pageBreakPreview" zoomScale="60" zoomScaleNormal="100" workbookViewId="0">
      <selection activeCell="F46" sqref="F46"/>
    </sheetView>
  </sheetViews>
  <sheetFormatPr defaultColWidth="12.5" defaultRowHeight="12.75" x14ac:dyDescent="0.2"/>
  <cols>
    <col min="1" max="1" width="3.6640625" style="42" customWidth="1"/>
    <col min="2" max="2" width="10.1640625" style="42" bestFit="1" customWidth="1"/>
    <col min="3" max="3" width="51.1640625" style="42" bestFit="1" customWidth="1"/>
    <col min="4" max="4" width="21" style="42" bestFit="1" customWidth="1"/>
    <col min="5" max="5" width="12.6640625" style="42" bestFit="1" customWidth="1"/>
    <col min="6" max="6" width="19.5" style="42" customWidth="1"/>
    <col min="7" max="7" width="18" style="161" bestFit="1" customWidth="1"/>
    <col min="8" max="8" width="17.1640625" style="42" customWidth="1"/>
    <col min="9" max="16384" width="12.5" style="42"/>
  </cols>
  <sheetData>
    <row r="1" spans="1:8" x14ac:dyDescent="0.2">
      <c r="A1" s="2064" t="str">
        <f>co</f>
        <v>COLUMBIA GAS OF KENTUCKY, INC.</v>
      </c>
      <c r="B1" s="2064"/>
      <c r="C1" s="2064"/>
      <c r="D1" s="2064"/>
      <c r="E1" s="2064"/>
      <c r="F1" s="2064"/>
      <c r="G1" s="2064"/>
      <c r="H1" s="2064"/>
    </row>
    <row r="2" spans="1:8" x14ac:dyDescent="0.2">
      <c r="A2" s="2064" t="str">
        <f>case</f>
        <v>CASE NO. 2016 - 00162</v>
      </c>
      <c r="B2" s="2064"/>
      <c r="C2" s="2064"/>
      <c r="D2" s="2064"/>
      <c r="E2" s="2064"/>
      <c r="F2" s="2064"/>
      <c r="G2" s="2064"/>
      <c r="H2" s="2064"/>
    </row>
    <row r="3" spans="1:8" x14ac:dyDescent="0.2">
      <c r="A3" s="2065" t="s">
        <v>687</v>
      </c>
      <c r="B3" s="2065"/>
      <c r="C3" s="2065"/>
      <c r="D3" s="2065"/>
      <c r="E3" s="2065"/>
      <c r="F3" s="2065"/>
      <c r="G3" s="2065"/>
      <c r="H3" s="2065"/>
    </row>
    <row r="4" spans="1:8" x14ac:dyDescent="0.2">
      <c r="A4" s="2064" t="str">
        <f>dateb</f>
        <v>AS OF AUGUST 31, 2016</v>
      </c>
      <c r="B4" s="2064"/>
      <c r="C4" s="2064"/>
      <c r="D4" s="2064"/>
      <c r="E4" s="2064"/>
      <c r="F4" s="2064"/>
      <c r="G4" s="2064"/>
      <c r="H4" s="2064"/>
    </row>
    <row r="5" spans="1:8" x14ac:dyDescent="0.2">
      <c r="A5" s="43"/>
      <c r="B5" s="43"/>
      <c r="C5" s="43"/>
      <c r="D5" s="43"/>
      <c r="E5" s="43"/>
      <c r="F5" s="43"/>
      <c r="G5" s="1108"/>
      <c r="H5" s="43"/>
    </row>
    <row r="6" spans="1:8" x14ac:dyDescent="0.2">
      <c r="A6" s="44" t="s">
        <v>688</v>
      </c>
      <c r="H6" s="149" t="s">
        <v>689</v>
      </c>
    </row>
    <row r="7" spans="1:8" x14ac:dyDescent="0.2">
      <c r="A7" s="44" t="s">
        <v>690</v>
      </c>
      <c r="H7" s="1121" t="s">
        <v>628</v>
      </c>
    </row>
    <row r="8" spans="1:8" x14ac:dyDescent="0.2">
      <c r="A8" s="1336" t="s">
        <v>1781</v>
      </c>
      <c r="B8" s="1116"/>
      <c r="C8" s="1116"/>
      <c r="D8" s="104"/>
      <c r="E8" s="104"/>
      <c r="F8" s="104"/>
      <c r="G8" s="1116"/>
      <c r="H8" s="196" t="str">
        <f>SMK</f>
        <v>WITNESS:  S. M. KATKO</v>
      </c>
    </row>
    <row r="9" spans="1:8" x14ac:dyDescent="0.2">
      <c r="A9" s="105"/>
      <c r="B9" s="104"/>
      <c r="C9" s="104"/>
      <c r="D9" s="104"/>
      <c r="E9" s="104"/>
      <c r="F9" s="104"/>
      <c r="G9" s="1116"/>
      <c r="H9" s="105"/>
    </row>
    <row r="10" spans="1:8" x14ac:dyDescent="0.2">
      <c r="A10" s="197"/>
      <c r="B10" s="198"/>
      <c r="C10" s="198"/>
      <c r="D10" s="198"/>
      <c r="E10" s="198"/>
      <c r="F10" s="198"/>
      <c r="G10" s="1117"/>
      <c r="H10" s="197"/>
    </row>
    <row r="11" spans="1:8" x14ac:dyDescent="0.2">
      <c r="A11" s="287" t="s">
        <v>102</v>
      </c>
      <c r="B11" s="43" t="s">
        <v>692</v>
      </c>
      <c r="C11" s="43" t="s">
        <v>693</v>
      </c>
      <c r="D11" s="199" t="s">
        <v>830</v>
      </c>
      <c r="E11" s="1126" t="s">
        <v>315</v>
      </c>
      <c r="F11" s="43" t="s">
        <v>671</v>
      </c>
      <c r="H11" s="43" t="s">
        <v>672</v>
      </c>
    </row>
    <row r="12" spans="1:8" x14ac:dyDescent="0.2">
      <c r="A12" s="47" t="s">
        <v>635</v>
      </c>
      <c r="B12" s="47" t="s">
        <v>635</v>
      </c>
      <c r="C12" s="47" t="s">
        <v>694</v>
      </c>
      <c r="D12" s="47" t="s">
        <v>695</v>
      </c>
      <c r="E12" s="47" t="s">
        <v>676</v>
      </c>
      <c r="F12" s="47" t="s">
        <v>670</v>
      </c>
      <c r="G12" s="1118" t="s">
        <v>677</v>
      </c>
      <c r="H12" s="47" t="s">
        <v>696</v>
      </c>
    </row>
    <row r="13" spans="1:8" x14ac:dyDescent="0.2">
      <c r="D13" s="43" t="s">
        <v>639</v>
      </c>
      <c r="F13" s="43" t="s">
        <v>639</v>
      </c>
      <c r="G13" s="1108" t="s">
        <v>639</v>
      </c>
      <c r="H13" s="43" t="s">
        <v>639</v>
      </c>
    </row>
    <row r="14" spans="1:8" x14ac:dyDescent="0.2">
      <c r="A14" s="48">
        <v>1</v>
      </c>
      <c r="B14" s="49"/>
      <c r="C14" s="50" t="s">
        <v>697</v>
      </c>
      <c r="D14" s="51"/>
      <c r="G14" s="162"/>
      <c r="H14" s="51"/>
    </row>
    <row r="15" spans="1:8" x14ac:dyDescent="0.2">
      <c r="A15" s="48">
        <f t="shared" ref="A15:A20" si="0">A14+1</f>
        <v>2</v>
      </c>
      <c r="B15" s="49">
        <v>301</v>
      </c>
      <c r="C15" s="52" t="s">
        <v>698</v>
      </c>
      <c r="D15" s="51">
        <f>'WPB-2.1 Base Period'!Q14</f>
        <v>521.20000000000005</v>
      </c>
      <c r="E15" s="1125">
        <v>1</v>
      </c>
      <c r="F15" s="51">
        <f t="shared" ref="F15:F20" si="1">D15</f>
        <v>521.20000000000005</v>
      </c>
      <c r="G15" s="1122">
        <v>0</v>
      </c>
      <c r="H15" s="51">
        <f>(+F15+G15)</f>
        <v>521.20000000000005</v>
      </c>
    </row>
    <row r="16" spans="1:8" x14ac:dyDescent="0.2">
      <c r="A16" s="48">
        <f t="shared" si="0"/>
        <v>3</v>
      </c>
      <c r="B16" s="49">
        <v>303</v>
      </c>
      <c r="C16" s="52" t="s">
        <v>699</v>
      </c>
      <c r="D16" s="51">
        <f>'WPB-2.1 Base Period'!Q15</f>
        <v>74347.509999999995</v>
      </c>
      <c r="E16" s="51"/>
      <c r="F16" s="51">
        <f t="shared" si="1"/>
        <v>74347.509999999995</v>
      </c>
      <c r="G16" s="1122">
        <v>0</v>
      </c>
      <c r="H16" s="51">
        <f>(+F16+G16)</f>
        <v>74347.509999999995</v>
      </c>
    </row>
    <row r="17" spans="1:8" x14ac:dyDescent="0.2">
      <c r="A17" s="48">
        <f t="shared" si="0"/>
        <v>4</v>
      </c>
      <c r="B17" s="49">
        <v>303.10000000000002</v>
      </c>
      <c r="C17" s="52" t="s">
        <v>700</v>
      </c>
      <c r="D17" s="51">
        <f>'WPB-2.1 Base Period'!Q16</f>
        <v>0</v>
      </c>
      <c r="E17" s="51"/>
      <c r="F17" s="51">
        <f t="shared" si="1"/>
        <v>0</v>
      </c>
      <c r="G17" s="1122">
        <v>0</v>
      </c>
      <c r="H17" s="51">
        <f>(+F17+G17)</f>
        <v>0</v>
      </c>
    </row>
    <row r="18" spans="1:8" x14ac:dyDescent="0.2">
      <c r="A18" s="48">
        <f t="shared" si="0"/>
        <v>5</v>
      </c>
      <c r="B18" s="49">
        <v>303.2</v>
      </c>
      <c r="C18" s="52" t="s">
        <v>701</v>
      </c>
      <c r="D18" s="51">
        <f>'WPB-2.1 Base Period'!Q17</f>
        <v>0</v>
      </c>
      <c r="E18" s="51"/>
      <c r="F18" s="51">
        <f t="shared" si="1"/>
        <v>0</v>
      </c>
      <c r="G18" s="1122">
        <v>0</v>
      </c>
      <c r="H18" s="51">
        <f>(+F18+G18)</f>
        <v>0</v>
      </c>
    </row>
    <row r="19" spans="1:8" x14ac:dyDescent="0.2">
      <c r="A19" s="48">
        <f t="shared" si="0"/>
        <v>6</v>
      </c>
      <c r="B19" s="49">
        <v>303.3</v>
      </c>
      <c r="C19" s="52" t="s">
        <v>702</v>
      </c>
      <c r="D19" s="103">
        <f>'WPB-2.1 Base Period'!Q18</f>
        <v>6022211</v>
      </c>
      <c r="E19" s="51"/>
      <c r="F19" s="54">
        <f t="shared" si="1"/>
        <v>6022211</v>
      </c>
      <c r="G19" s="1123">
        <v>0</v>
      </c>
      <c r="H19" s="54">
        <f>(+F19+G19)</f>
        <v>6022211</v>
      </c>
    </row>
    <row r="20" spans="1:8" x14ac:dyDescent="0.2">
      <c r="A20" s="48">
        <f t="shared" si="0"/>
        <v>7</v>
      </c>
      <c r="B20" s="49"/>
      <c r="C20" s="52" t="s">
        <v>703</v>
      </c>
      <c r="D20" s="51">
        <f>SUM(D15:D19)</f>
        <v>6097079.71</v>
      </c>
      <c r="E20" s="51"/>
      <c r="F20" s="51">
        <f t="shared" si="1"/>
        <v>6097079.71</v>
      </c>
      <c r="G20" s="51">
        <f>SUM(G15:G19)</f>
        <v>0</v>
      </c>
      <c r="H20" s="51">
        <f>SUM(H15:H19)</f>
        <v>6097079.71</v>
      </c>
    </row>
    <row r="21" spans="1:8" x14ac:dyDescent="0.2">
      <c r="A21" s="48"/>
      <c r="B21" s="49"/>
      <c r="C21" s="49"/>
      <c r="D21" s="51"/>
      <c r="E21" s="51"/>
      <c r="F21" s="55" t="s">
        <v>680</v>
      </c>
      <c r="G21" s="162"/>
      <c r="H21" s="55" t="s">
        <v>680</v>
      </c>
    </row>
    <row r="22" spans="1:8" x14ac:dyDescent="0.2">
      <c r="A22" s="48">
        <f>A20+1</f>
        <v>8</v>
      </c>
      <c r="B22" s="49"/>
      <c r="C22" s="50" t="s">
        <v>704</v>
      </c>
      <c r="D22" s="51"/>
      <c r="E22" s="51"/>
      <c r="F22" s="55" t="s">
        <v>680</v>
      </c>
      <c r="G22" s="162"/>
      <c r="H22" s="55" t="s">
        <v>680</v>
      </c>
    </row>
    <row r="23" spans="1:8" x14ac:dyDescent="0.2">
      <c r="A23" s="48">
        <f>A22+1</f>
        <v>9</v>
      </c>
      <c r="B23" s="49">
        <v>304.10000000000002</v>
      </c>
      <c r="C23" s="52" t="s">
        <v>705</v>
      </c>
      <c r="D23" s="103">
        <f>'WPB-2.1 Base Period'!Q22</f>
        <v>0</v>
      </c>
      <c r="E23" s="51"/>
      <c r="F23" s="103">
        <f>D23</f>
        <v>0</v>
      </c>
      <c r="G23" s="1123">
        <v>0</v>
      </c>
      <c r="H23" s="103">
        <f>(+F23+G23)</f>
        <v>0</v>
      </c>
    </row>
    <row r="24" spans="1:8" x14ac:dyDescent="0.2">
      <c r="A24" s="48">
        <f>A23+1</f>
        <v>10</v>
      </c>
      <c r="B24" s="49"/>
      <c r="C24" s="52" t="s">
        <v>706</v>
      </c>
      <c r="D24" s="51">
        <f>SUM(D23:D23)</f>
        <v>0</v>
      </c>
      <c r="E24" s="51"/>
      <c r="F24" s="51">
        <f>D24</f>
        <v>0</v>
      </c>
      <c r="G24" s="51">
        <f>G23</f>
        <v>0</v>
      </c>
      <c r="H24" s="51">
        <f>H23</f>
        <v>0</v>
      </c>
    </row>
    <row r="25" spans="1:8" x14ac:dyDescent="0.2">
      <c r="A25" s="48"/>
      <c r="B25" s="49"/>
      <c r="C25" s="49"/>
      <c r="D25" s="51"/>
      <c r="E25" s="51"/>
      <c r="F25" s="55" t="s">
        <v>680</v>
      </c>
      <c r="G25" s="162"/>
      <c r="H25" s="55" t="s">
        <v>680</v>
      </c>
    </row>
    <row r="26" spans="1:8" x14ac:dyDescent="0.2">
      <c r="A26" s="48">
        <f>A24+1</f>
        <v>11</v>
      </c>
      <c r="B26" s="49"/>
      <c r="C26" s="50" t="s">
        <v>707</v>
      </c>
      <c r="D26" s="51"/>
      <c r="E26" s="51"/>
      <c r="F26" s="55" t="s">
        <v>680</v>
      </c>
      <c r="G26" s="162"/>
      <c r="H26" s="55" t="s">
        <v>680</v>
      </c>
    </row>
    <row r="27" spans="1:8" x14ac:dyDescent="0.2">
      <c r="A27" s="48">
        <f>A26+1</f>
        <v>12</v>
      </c>
      <c r="B27" s="49">
        <v>374.1</v>
      </c>
      <c r="C27" s="52" t="s">
        <v>708</v>
      </c>
      <c r="D27" s="51">
        <f>'WPB-2.1 Base Period'!Q25</f>
        <v>206</v>
      </c>
      <c r="E27" s="51"/>
      <c r="F27" s="51">
        <f t="shared" ref="F27:F43" si="2">D27</f>
        <v>206</v>
      </c>
      <c r="G27" s="1122">
        <v>0</v>
      </c>
      <c r="H27" s="51">
        <f t="shared" ref="H27:H43" si="3">(+F27+G27)</f>
        <v>206</v>
      </c>
    </row>
    <row r="28" spans="1:8" x14ac:dyDescent="0.2">
      <c r="A28" s="48">
        <f t="shared" ref="A28:A56" si="4">A27+1</f>
        <v>13</v>
      </c>
      <c r="B28" s="49">
        <v>374.2</v>
      </c>
      <c r="C28" s="52" t="s">
        <v>709</v>
      </c>
      <c r="D28" s="51">
        <f>'WPB-2.1 Base Period'!Q26</f>
        <v>877756.18</v>
      </c>
      <c r="E28" s="51"/>
      <c r="F28" s="51">
        <f t="shared" si="2"/>
        <v>877756.18</v>
      </c>
      <c r="G28" s="1122">
        <v>0</v>
      </c>
      <c r="H28" s="51">
        <f t="shared" si="3"/>
        <v>877756.18</v>
      </c>
    </row>
    <row r="29" spans="1:8" x14ac:dyDescent="0.2">
      <c r="A29" s="48">
        <f t="shared" si="4"/>
        <v>14</v>
      </c>
      <c r="B29" s="49">
        <v>374.4</v>
      </c>
      <c r="C29" s="52" t="s">
        <v>710</v>
      </c>
      <c r="D29" s="51">
        <f>'WPB-2.1 Base Period'!Q27</f>
        <v>661305.66</v>
      </c>
      <c r="E29" s="51"/>
      <c r="F29" s="51">
        <f t="shared" si="2"/>
        <v>661305.66</v>
      </c>
      <c r="G29" s="1122">
        <v>0</v>
      </c>
      <c r="H29" s="51">
        <f t="shared" si="3"/>
        <v>661305.66</v>
      </c>
    </row>
    <row r="30" spans="1:8" x14ac:dyDescent="0.2">
      <c r="A30" s="48">
        <f t="shared" si="4"/>
        <v>15</v>
      </c>
      <c r="B30" s="49">
        <v>374.5</v>
      </c>
      <c r="C30" s="52" t="s">
        <v>711</v>
      </c>
      <c r="D30" s="51">
        <f>'WPB-2.1 Base Period'!Q28</f>
        <v>2697932.55</v>
      </c>
      <c r="E30" s="51"/>
      <c r="F30" s="51">
        <f t="shared" si="2"/>
        <v>2697932.55</v>
      </c>
      <c r="G30" s="1122">
        <v>0</v>
      </c>
      <c r="H30" s="51">
        <f t="shared" si="3"/>
        <v>2697932.55</v>
      </c>
    </row>
    <row r="31" spans="1:8" x14ac:dyDescent="0.2">
      <c r="A31" s="48">
        <f t="shared" si="4"/>
        <v>16</v>
      </c>
      <c r="B31" s="49">
        <v>375.2</v>
      </c>
      <c r="C31" s="52" t="s">
        <v>712</v>
      </c>
      <c r="D31" s="51">
        <f>'WPB-2.1 Base Period'!Q29</f>
        <v>2124.98</v>
      </c>
      <c r="E31" s="51"/>
      <c r="F31" s="51">
        <f t="shared" si="2"/>
        <v>2124.98</v>
      </c>
      <c r="G31" s="1122">
        <v>0</v>
      </c>
      <c r="H31" s="51">
        <f t="shared" si="3"/>
        <v>2124.98</v>
      </c>
    </row>
    <row r="32" spans="1:8" x14ac:dyDescent="0.2">
      <c r="A32" s="48">
        <f t="shared" si="4"/>
        <v>17</v>
      </c>
      <c r="B32" s="49">
        <v>375.3</v>
      </c>
      <c r="C32" s="52" t="s">
        <v>713</v>
      </c>
      <c r="D32" s="51">
        <f>'WPB-2.1 Base Period'!Q30</f>
        <v>0</v>
      </c>
      <c r="E32" s="51"/>
      <c r="F32" s="51">
        <f t="shared" si="2"/>
        <v>0</v>
      </c>
      <c r="G32" s="1122">
        <v>0</v>
      </c>
      <c r="H32" s="51">
        <f t="shared" si="3"/>
        <v>0</v>
      </c>
    </row>
    <row r="33" spans="1:8" x14ac:dyDescent="0.2">
      <c r="A33" s="48">
        <f t="shared" si="4"/>
        <v>18</v>
      </c>
      <c r="B33" s="49">
        <v>375.4</v>
      </c>
      <c r="C33" s="52" t="s">
        <v>714</v>
      </c>
      <c r="D33" s="51">
        <f>'WPB-2.1 Base Period'!Q31</f>
        <v>1921438.02</v>
      </c>
      <c r="E33" s="51"/>
      <c r="F33" s="51">
        <f t="shared" si="2"/>
        <v>1921438.02</v>
      </c>
      <c r="G33" s="1122">
        <v>0</v>
      </c>
      <c r="H33" s="51">
        <f t="shared" si="3"/>
        <v>1921438.02</v>
      </c>
    </row>
    <row r="34" spans="1:8" x14ac:dyDescent="0.2">
      <c r="A34" s="48">
        <f t="shared" si="4"/>
        <v>19</v>
      </c>
      <c r="B34" s="49">
        <v>375.6</v>
      </c>
      <c r="C34" s="52" t="s">
        <v>715</v>
      </c>
      <c r="D34" s="51">
        <f>'WPB-2.1 Base Period'!Q32</f>
        <v>0</v>
      </c>
      <c r="E34" s="51"/>
      <c r="F34" s="51">
        <f t="shared" si="2"/>
        <v>0</v>
      </c>
      <c r="G34" s="1122">
        <v>0</v>
      </c>
      <c r="H34" s="51">
        <f t="shared" si="3"/>
        <v>0</v>
      </c>
    </row>
    <row r="35" spans="1:8" x14ac:dyDescent="0.2">
      <c r="A35" s="48">
        <f t="shared" si="4"/>
        <v>20</v>
      </c>
      <c r="B35" s="49">
        <v>375.7</v>
      </c>
      <c r="C35" s="52" t="s">
        <v>716</v>
      </c>
      <c r="D35" s="51">
        <f>'WPB-2.1 Base Period'!Q33</f>
        <v>8045754.21</v>
      </c>
      <c r="E35" s="51"/>
      <c r="F35" s="51">
        <f t="shared" si="2"/>
        <v>8045754.21</v>
      </c>
      <c r="G35" s="1122">
        <v>0</v>
      </c>
      <c r="H35" s="51">
        <f t="shared" si="3"/>
        <v>8045754.21</v>
      </c>
    </row>
    <row r="36" spans="1:8" x14ac:dyDescent="0.2">
      <c r="A36" s="48">
        <f t="shared" si="4"/>
        <v>21</v>
      </c>
      <c r="B36" s="49">
        <v>375.71</v>
      </c>
      <c r="C36" s="52" t="s">
        <v>717</v>
      </c>
      <c r="D36" s="51">
        <f>'WPB-2.1 Base Period'!Q34</f>
        <v>259808.94</v>
      </c>
      <c r="E36" s="51"/>
      <c r="F36" s="51">
        <f t="shared" si="2"/>
        <v>259808.94</v>
      </c>
      <c r="G36" s="1122">
        <v>0</v>
      </c>
      <c r="H36" s="51">
        <f t="shared" si="3"/>
        <v>259808.94</v>
      </c>
    </row>
    <row r="37" spans="1:8" x14ac:dyDescent="0.2">
      <c r="A37" s="48">
        <f t="shared" si="4"/>
        <v>22</v>
      </c>
      <c r="B37" s="49">
        <v>375.8</v>
      </c>
      <c r="C37" s="52" t="s">
        <v>718</v>
      </c>
      <c r="D37" s="51">
        <f>'WPB-2.1 Base Period'!Q35</f>
        <v>0</v>
      </c>
      <c r="E37" s="51"/>
      <c r="F37" s="51">
        <f t="shared" si="2"/>
        <v>0</v>
      </c>
      <c r="G37" s="1122">
        <v>0</v>
      </c>
      <c r="H37" s="51">
        <f t="shared" si="3"/>
        <v>0</v>
      </c>
    </row>
    <row r="38" spans="1:8" x14ac:dyDescent="0.2">
      <c r="A38" s="48">
        <f t="shared" si="4"/>
        <v>23</v>
      </c>
      <c r="B38" s="49">
        <v>376</v>
      </c>
      <c r="C38" s="52" t="s">
        <v>1000</v>
      </c>
      <c r="D38" s="51">
        <f>'WPB-2.1 Base Period'!Q36</f>
        <v>209830261.44</v>
      </c>
      <c r="E38" s="51"/>
      <c r="F38" s="51">
        <f t="shared" si="2"/>
        <v>209830261.44</v>
      </c>
      <c r="G38" s="1122">
        <v>0</v>
      </c>
      <c r="H38" s="51">
        <f t="shared" si="3"/>
        <v>209830261.44</v>
      </c>
    </row>
    <row r="39" spans="1:8" x14ac:dyDescent="0.2">
      <c r="A39" s="48">
        <f t="shared" si="4"/>
        <v>24</v>
      </c>
      <c r="B39" s="49">
        <v>378.1</v>
      </c>
      <c r="C39" s="52" t="s">
        <v>720</v>
      </c>
      <c r="D39" s="51">
        <f>'WPB-2.1 Base Period'!Q37</f>
        <v>518504.18</v>
      </c>
      <c r="E39" s="51"/>
      <c r="F39" s="51">
        <f t="shared" si="2"/>
        <v>518504.18</v>
      </c>
      <c r="G39" s="1122">
        <v>0</v>
      </c>
      <c r="H39" s="51">
        <f t="shared" si="3"/>
        <v>518504.18</v>
      </c>
    </row>
    <row r="40" spans="1:8" x14ac:dyDescent="0.2">
      <c r="A40" s="48">
        <f t="shared" si="4"/>
        <v>25</v>
      </c>
      <c r="B40" s="49">
        <v>378.2</v>
      </c>
      <c r="C40" s="52" t="s">
        <v>721</v>
      </c>
      <c r="D40" s="51">
        <f>'WPB-2.1 Base Period'!Q38</f>
        <v>9597980</v>
      </c>
      <c r="E40" s="51"/>
      <c r="F40" s="51">
        <f t="shared" si="2"/>
        <v>9597980</v>
      </c>
      <c r="G40" s="1122">
        <v>0</v>
      </c>
      <c r="H40" s="51">
        <f t="shared" si="3"/>
        <v>9597980</v>
      </c>
    </row>
    <row r="41" spans="1:8" x14ac:dyDescent="0.2">
      <c r="A41" s="48">
        <f t="shared" si="4"/>
        <v>26</v>
      </c>
      <c r="B41" s="49">
        <v>378.3</v>
      </c>
      <c r="C41" s="52" t="s">
        <v>722</v>
      </c>
      <c r="D41" s="51">
        <f>'WPB-2.1 Base Period'!Q39</f>
        <v>45443.08</v>
      </c>
      <c r="E41" s="51"/>
      <c r="F41" s="51">
        <f t="shared" si="2"/>
        <v>45443.08</v>
      </c>
      <c r="G41" s="1122">
        <v>0</v>
      </c>
      <c r="H41" s="51">
        <f t="shared" si="3"/>
        <v>45443.08</v>
      </c>
    </row>
    <row r="42" spans="1:8" x14ac:dyDescent="0.2">
      <c r="A42" s="48">
        <f t="shared" si="4"/>
        <v>27</v>
      </c>
      <c r="B42" s="49">
        <v>379.1</v>
      </c>
      <c r="C42" s="52" t="s">
        <v>723</v>
      </c>
      <c r="D42" s="51">
        <f>'WPB-2.1 Base Period'!Q40</f>
        <v>254900.59</v>
      </c>
      <c r="E42" s="51"/>
      <c r="F42" s="51">
        <f t="shared" si="2"/>
        <v>254900.59</v>
      </c>
      <c r="G42" s="1122">
        <v>0</v>
      </c>
      <c r="H42" s="51">
        <f t="shared" si="3"/>
        <v>254900.59</v>
      </c>
    </row>
    <row r="43" spans="1:8" x14ac:dyDescent="0.2">
      <c r="A43" s="48">
        <f t="shared" si="4"/>
        <v>28</v>
      </c>
      <c r="B43" s="49">
        <v>380</v>
      </c>
      <c r="C43" s="52" t="s">
        <v>724</v>
      </c>
      <c r="D43" s="51">
        <f>'WPB-2.1 Base Period'!Q41</f>
        <v>120631824.77</v>
      </c>
      <c r="E43" s="51"/>
      <c r="F43" s="51">
        <f t="shared" si="2"/>
        <v>120631824.77</v>
      </c>
      <c r="G43" s="1122">
        <v>0</v>
      </c>
      <c r="H43" s="51">
        <f t="shared" si="3"/>
        <v>120631824.77</v>
      </c>
    </row>
    <row r="44" spans="1:8" x14ac:dyDescent="0.2">
      <c r="A44" s="48">
        <f t="shared" si="4"/>
        <v>29</v>
      </c>
      <c r="B44" s="49">
        <v>381</v>
      </c>
      <c r="C44" s="52" t="s">
        <v>725</v>
      </c>
      <c r="D44" s="51">
        <f>'WPB-2.1 Base Period'!Q55</f>
        <v>13641248.550000001</v>
      </c>
      <c r="E44" s="1125"/>
      <c r="F44" s="51">
        <f t="shared" ref="F44:F55" si="5">D44</f>
        <v>13641248.550000001</v>
      </c>
      <c r="G44" s="1122">
        <v>0</v>
      </c>
      <c r="H44" s="51">
        <f t="shared" ref="H44:H55" si="6">(+F44+G44)</f>
        <v>13641248.550000001</v>
      </c>
    </row>
    <row r="45" spans="1:8" x14ac:dyDescent="0.2">
      <c r="A45" s="48">
        <f t="shared" si="4"/>
        <v>30</v>
      </c>
      <c r="B45" s="49">
        <v>381.1</v>
      </c>
      <c r="C45" s="251" t="s">
        <v>1117</v>
      </c>
      <c r="D45" s="51">
        <f>'WPB-2.1 Base Period'!Q56</f>
        <v>8764800.0600000005</v>
      </c>
      <c r="E45" s="51"/>
      <c r="F45" s="51">
        <f t="shared" si="5"/>
        <v>8764800.0600000005</v>
      </c>
      <c r="G45" s="1122">
        <v>0</v>
      </c>
      <c r="H45" s="51">
        <f t="shared" si="6"/>
        <v>8764800.0600000005</v>
      </c>
    </row>
    <row r="46" spans="1:8" x14ac:dyDescent="0.2">
      <c r="A46" s="48">
        <f t="shared" si="4"/>
        <v>31</v>
      </c>
      <c r="B46" s="49">
        <v>382</v>
      </c>
      <c r="C46" s="52" t="s">
        <v>726</v>
      </c>
      <c r="D46" s="51">
        <f>'WPB-2.1 Base Period'!Q57</f>
        <v>9109896.6500000004</v>
      </c>
      <c r="E46" s="51"/>
      <c r="F46" s="51">
        <f t="shared" si="5"/>
        <v>9109896.6500000004</v>
      </c>
      <c r="G46" s="1122">
        <v>0</v>
      </c>
      <c r="H46" s="51">
        <f t="shared" si="6"/>
        <v>9109896.6500000004</v>
      </c>
    </row>
    <row r="47" spans="1:8" x14ac:dyDescent="0.2">
      <c r="A47" s="48">
        <f t="shared" si="4"/>
        <v>32</v>
      </c>
      <c r="B47" s="49">
        <v>383</v>
      </c>
      <c r="C47" s="52" t="s">
        <v>727</v>
      </c>
      <c r="D47" s="51">
        <f>'WPB-2.1 Base Period'!Q58</f>
        <v>5590608.7599999998</v>
      </c>
      <c r="E47" s="51"/>
      <c r="F47" s="51">
        <f t="shared" si="5"/>
        <v>5590608.7599999998</v>
      </c>
      <c r="G47" s="1122">
        <v>0</v>
      </c>
      <c r="H47" s="51">
        <f t="shared" si="6"/>
        <v>5590608.7599999998</v>
      </c>
    </row>
    <row r="48" spans="1:8" x14ac:dyDescent="0.2">
      <c r="A48" s="48">
        <f t="shared" si="4"/>
        <v>33</v>
      </c>
      <c r="B48" s="49">
        <v>384</v>
      </c>
      <c r="C48" s="52" t="s">
        <v>728</v>
      </c>
      <c r="D48" s="51">
        <f>'WPB-2.1 Base Period'!Q59</f>
        <v>2257522</v>
      </c>
      <c r="E48" s="51"/>
      <c r="F48" s="51">
        <f t="shared" si="5"/>
        <v>2257522</v>
      </c>
      <c r="G48" s="1122">
        <v>0</v>
      </c>
      <c r="H48" s="51">
        <f t="shared" si="6"/>
        <v>2257522</v>
      </c>
    </row>
    <row r="49" spans="1:8" x14ac:dyDescent="0.2">
      <c r="A49" s="48">
        <f t="shared" si="4"/>
        <v>34</v>
      </c>
      <c r="B49" s="49">
        <v>385</v>
      </c>
      <c r="C49" s="52" t="s">
        <v>729</v>
      </c>
      <c r="D49" s="51">
        <f>'WPB-2.1 Base Period'!Q60</f>
        <v>3175963.36</v>
      </c>
      <c r="E49" s="51"/>
      <c r="F49" s="51">
        <f t="shared" si="5"/>
        <v>3175963.36</v>
      </c>
      <c r="G49" s="1122">
        <v>0</v>
      </c>
      <c r="H49" s="51">
        <f t="shared" si="6"/>
        <v>3175963.36</v>
      </c>
    </row>
    <row r="50" spans="1:8" x14ac:dyDescent="0.2">
      <c r="A50" s="48">
        <f t="shared" si="4"/>
        <v>35</v>
      </c>
      <c r="B50" s="49">
        <v>387.2</v>
      </c>
      <c r="C50" s="52" t="s">
        <v>730</v>
      </c>
      <c r="D50" s="51">
        <f>'WPB-2.1 Base Period'!Q61</f>
        <v>0</v>
      </c>
      <c r="E50" s="51"/>
      <c r="F50" s="51">
        <f t="shared" si="5"/>
        <v>0</v>
      </c>
      <c r="G50" s="1122">
        <v>0</v>
      </c>
      <c r="H50" s="51">
        <f t="shared" si="6"/>
        <v>0</v>
      </c>
    </row>
    <row r="51" spans="1:8" x14ac:dyDescent="0.2">
      <c r="A51" s="48">
        <f t="shared" si="4"/>
        <v>36</v>
      </c>
      <c r="B51" s="49">
        <v>387.41</v>
      </c>
      <c r="C51" s="52" t="s">
        <v>731</v>
      </c>
      <c r="D51" s="51">
        <f>'WPB-2.1 Base Period'!Q62</f>
        <v>735770.76</v>
      </c>
      <c r="E51" s="51"/>
      <c r="F51" s="51">
        <f t="shared" si="5"/>
        <v>735770.76</v>
      </c>
      <c r="G51" s="1122">
        <v>0</v>
      </c>
      <c r="H51" s="51">
        <f t="shared" si="6"/>
        <v>735770.76</v>
      </c>
    </row>
    <row r="52" spans="1:8" x14ac:dyDescent="0.2">
      <c r="A52" s="48">
        <f t="shared" si="4"/>
        <v>37</v>
      </c>
      <c r="B52" s="49">
        <v>387.42</v>
      </c>
      <c r="C52" s="52" t="s">
        <v>732</v>
      </c>
      <c r="D52" s="51">
        <f>'WPB-2.1 Base Period'!Q63</f>
        <v>795186.58</v>
      </c>
      <c r="E52" s="51"/>
      <c r="F52" s="51">
        <f t="shared" si="5"/>
        <v>795186.58</v>
      </c>
      <c r="G52" s="1122">
        <v>0</v>
      </c>
      <c r="H52" s="51">
        <f t="shared" si="6"/>
        <v>795186.58</v>
      </c>
    </row>
    <row r="53" spans="1:8" x14ac:dyDescent="0.2">
      <c r="A53" s="48">
        <f t="shared" si="4"/>
        <v>38</v>
      </c>
      <c r="B53" s="49">
        <v>387.44</v>
      </c>
      <c r="C53" s="52" t="s">
        <v>733</v>
      </c>
      <c r="D53" s="51">
        <f>'WPB-2.1 Base Period'!Q64</f>
        <v>143283.93</v>
      </c>
      <c r="E53" s="51"/>
      <c r="F53" s="51">
        <f t="shared" si="5"/>
        <v>143283.93</v>
      </c>
      <c r="G53" s="1122">
        <v>0</v>
      </c>
      <c r="H53" s="51">
        <f t="shared" si="6"/>
        <v>143283.93</v>
      </c>
    </row>
    <row r="54" spans="1:8" x14ac:dyDescent="0.2">
      <c r="A54" s="48">
        <f t="shared" si="4"/>
        <v>39</v>
      </c>
      <c r="B54" s="49">
        <v>387.45</v>
      </c>
      <c r="C54" s="52" t="s">
        <v>734</v>
      </c>
      <c r="D54" s="51">
        <f>'WPB-2.1 Base Period'!Q65</f>
        <v>2909068.66</v>
      </c>
      <c r="E54" s="51"/>
      <c r="F54" s="51">
        <f t="shared" si="5"/>
        <v>2909068.66</v>
      </c>
      <c r="G54" s="1122">
        <v>0</v>
      </c>
      <c r="H54" s="51">
        <f t="shared" si="6"/>
        <v>2909068.66</v>
      </c>
    </row>
    <row r="55" spans="1:8" x14ac:dyDescent="0.2">
      <c r="A55" s="48">
        <f t="shared" si="4"/>
        <v>40</v>
      </c>
      <c r="B55" s="49">
        <v>387.46</v>
      </c>
      <c r="C55" s="52" t="s">
        <v>735</v>
      </c>
      <c r="D55" s="103">
        <f>'WPB-2.1 Base Period'!Q66</f>
        <v>113644.47</v>
      </c>
      <c r="E55" s="51"/>
      <c r="F55" s="54">
        <f t="shared" si="5"/>
        <v>113644.47</v>
      </c>
      <c r="G55" s="1124">
        <v>0</v>
      </c>
      <c r="H55" s="54">
        <f t="shared" si="6"/>
        <v>113644.47</v>
      </c>
    </row>
    <row r="56" spans="1:8" x14ac:dyDescent="0.2">
      <c r="A56" s="48">
        <f t="shared" si="4"/>
        <v>41</v>
      </c>
      <c r="B56" s="49"/>
      <c r="C56" s="52" t="s">
        <v>736</v>
      </c>
      <c r="D56" s="51">
        <f>SUM(D27:D43)+SUM(D44:D55)</f>
        <v>402582234.38</v>
      </c>
      <c r="E56" s="51"/>
      <c r="F56" s="51">
        <f>SUM(F44:F55,F27:F43)</f>
        <v>402582234.37999994</v>
      </c>
      <c r="G56" s="51">
        <f>SUM(G44:G55,G27:G43)</f>
        <v>0</v>
      </c>
      <c r="H56" s="51">
        <f>SUM(H44:H55,H27:H43)</f>
        <v>402582234.37999994</v>
      </c>
    </row>
    <row r="57" spans="1:8" x14ac:dyDescent="0.2">
      <c r="A57" s="48"/>
      <c r="B57" s="49"/>
      <c r="C57" s="49"/>
      <c r="D57" s="51"/>
      <c r="E57" s="51"/>
      <c r="F57" s="55" t="s">
        <v>680</v>
      </c>
      <c r="G57" s="162"/>
      <c r="H57" s="55" t="s">
        <v>680</v>
      </c>
    </row>
    <row r="58" spans="1:8" x14ac:dyDescent="0.2">
      <c r="A58" s="48">
        <f>A56+1</f>
        <v>42</v>
      </c>
      <c r="B58" s="49"/>
      <c r="C58" s="50" t="s">
        <v>737</v>
      </c>
      <c r="D58" s="51"/>
      <c r="E58" s="51"/>
      <c r="F58" s="55" t="s">
        <v>680</v>
      </c>
      <c r="G58" s="162"/>
      <c r="H58" s="55" t="s">
        <v>680</v>
      </c>
    </row>
    <row r="59" spans="1:8" x14ac:dyDescent="0.2">
      <c r="A59" s="48">
        <f>A58+1</f>
        <v>43</v>
      </c>
      <c r="B59" s="49">
        <v>391.1</v>
      </c>
      <c r="C59" s="52" t="s">
        <v>738</v>
      </c>
      <c r="D59" s="51">
        <f>'WPB-2.1 Base Period'!Q70</f>
        <v>730376.71</v>
      </c>
      <c r="E59" s="51"/>
      <c r="F59" s="51">
        <f t="shared" ref="F59:F72" si="7">D59</f>
        <v>730376.71</v>
      </c>
      <c r="G59" s="1122">
        <v>0</v>
      </c>
      <c r="H59" s="51">
        <f t="shared" ref="H59:H72" si="8">(+F59+G59)</f>
        <v>730376.71</v>
      </c>
    </row>
    <row r="60" spans="1:8" x14ac:dyDescent="0.2">
      <c r="A60" s="48">
        <f t="shared" ref="A60:A73" si="9">A59+1</f>
        <v>44</v>
      </c>
      <c r="B60" s="49">
        <v>391.11</v>
      </c>
      <c r="C60" s="52" t="s">
        <v>739</v>
      </c>
      <c r="D60" s="51">
        <f>'WPB-2.1 Base Period'!Q71</f>
        <v>18815.57</v>
      </c>
      <c r="E60" s="51"/>
      <c r="F60" s="51">
        <f t="shared" si="7"/>
        <v>18815.57</v>
      </c>
      <c r="G60" s="1122">
        <v>0</v>
      </c>
      <c r="H60" s="51">
        <f t="shared" si="8"/>
        <v>18815.57</v>
      </c>
    </row>
    <row r="61" spans="1:8" x14ac:dyDescent="0.2">
      <c r="A61" s="48">
        <f t="shared" si="9"/>
        <v>45</v>
      </c>
      <c r="B61" s="49">
        <v>391.12</v>
      </c>
      <c r="C61" s="52" t="s">
        <v>740</v>
      </c>
      <c r="D61" s="51">
        <f>'WPB-2.1 Base Period'!Q72</f>
        <v>853483.41</v>
      </c>
      <c r="E61" s="51"/>
      <c r="F61" s="51">
        <f t="shared" si="7"/>
        <v>853483.41</v>
      </c>
      <c r="G61" s="1122">
        <v>0</v>
      </c>
      <c r="H61" s="51">
        <f t="shared" si="8"/>
        <v>853483.41</v>
      </c>
    </row>
    <row r="62" spans="1:8" x14ac:dyDescent="0.2">
      <c r="A62" s="48">
        <f t="shared" si="9"/>
        <v>46</v>
      </c>
      <c r="B62" s="49">
        <v>392.2</v>
      </c>
      <c r="C62" s="52" t="s">
        <v>852</v>
      </c>
      <c r="D62" s="51">
        <f>'WPB-2.1 Base Period'!Q73</f>
        <v>95778</v>
      </c>
      <c r="E62" s="51"/>
      <c r="F62" s="51">
        <f t="shared" si="7"/>
        <v>95778</v>
      </c>
      <c r="G62" s="1122">
        <v>0</v>
      </c>
      <c r="H62" s="51">
        <f t="shared" si="8"/>
        <v>95778</v>
      </c>
    </row>
    <row r="63" spans="1:8" x14ac:dyDescent="0.2">
      <c r="A63" s="48">
        <f t="shared" si="9"/>
        <v>47</v>
      </c>
      <c r="B63" s="49">
        <v>392.21</v>
      </c>
      <c r="C63" s="52" t="s">
        <v>741</v>
      </c>
      <c r="D63" s="51">
        <f>'WPB-2.1 Base Period'!Q74</f>
        <v>24462.2</v>
      </c>
      <c r="E63" s="51"/>
      <c r="F63" s="51">
        <f t="shared" si="7"/>
        <v>24462.2</v>
      </c>
      <c r="G63" s="1122">
        <v>0</v>
      </c>
      <c r="H63" s="51">
        <f t="shared" si="8"/>
        <v>24462.2</v>
      </c>
    </row>
    <row r="64" spans="1:8" x14ac:dyDescent="0.2">
      <c r="A64" s="48">
        <f t="shared" si="9"/>
        <v>48</v>
      </c>
      <c r="B64" s="49">
        <v>393</v>
      </c>
      <c r="C64" s="52" t="s">
        <v>742</v>
      </c>
      <c r="D64" s="51">
        <f>'WPB-2.1 Base Period'!Q75</f>
        <v>0</v>
      </c>
      <c r="E64" s="51"/>
      <c r="F64" s="51">
        <f t="shared" si="7"/>
        <v>0</v>
      </c>
      <c r="G64" s="1122">
        <v>0</v>
      </c>
      <c r="H64" s="51">
        <f t="shared" si="8"/>
        <v>0</v>
      </c>
    </row>
    <row r="65" spans="1:8" x14ac:dyDescent="0.2">
      <c r="A65" s="48">
        <f t="shared" si="9"/>
        <v>49</v>
      </c>
      <c r="B65" s="49">
        <v>394.1</v>
      </c>
      <c r="C65" s="52" t="s">
        <v>743</v>
      </c>
      <c r="D65" s="51">
        <f>'WPB-2.1 Base Period'!Q76</f>
        <v>24240.799999999999</v>
      </c>
      <c r="E65" s="51"/>
      <c r="F65" s="51">
        <f t="shared" si="7"/>
        <v>24240.799999999999</v>
      </c>
      <c r="G65" s="1122">
        <v>0</v>
      </c>
      <c r="H65" s="51">
        <f t="shared" si="8"/>
        <v>24240.799999999999</v>
      </c>
    </row>
    <row r="66" spans="1:8" x14ac:dyDescent="0.2">
      <c r="A66" s="48">
        <f t="shared" si="9"/>
        <v>50</v>
      </c>
      <c r="B66" s="49">
        <v>394.11</v>
      </c>
      <c r="C66" s="52" t="s">
        <v>744</v>
      </c>
      <c r="D66" s="51">
        <f>'WPB-2.1 Base Period'!Q77</f>
        <v>0</v>
      </c>
      <c r="E66" s="51"/>
      <c r="F66" s="51">
        <f t="shared" si="7"/>
        <v>0</v>
      </c>
      <c r="G66" s="1122">
        <v>0</v>
      </c>
      <c r="H66" s="51">
        <f t="shared" si="8"/>
        <v>0</v>
      </c>
    </row>
    <row r="67" spans="1:8" ht="13.5" customHeight="1" x14ac:dyDescent="0.2">
      <c r="A67" s="48">
        <f t="shared" si="9"/>
        <v>51</v>
      </c>
      <c r="B67" s="49">
        <v>394.13</v>
      </c>
      <c r="C67" s="52" t="s">
        <v>745</v>
      </c>
      <c r="D67" s="51">
        <f>'WPB-2.1 Base Period'!Q78</f>
        <v>0</v>
      </c>
      <c r="E67" s="51"/>
      <c r="F67" s="51">
        <f t="shared" si="7"/>
        <v>0</v>
      </c>
      <c r="G67" s="1122">
        <v>0</v>
      </c>
      <c r="H67" s="51">
        <f t="shared" si="8"/>
        <v>0</v>
      </c>
    </row>
    <row r="68" spans="1:8" ht="13.5" customHeight="1" x14ac:dyDescent="0.2">
      <c r="A68" s="48">
        <f>A67+1</f>
        <v>52</v>
      </c>
      <c r="B68" s="49">
        <v>394.2</v>
      </c>
      <c r="C68" s="52" t="s">
        <v>843</v>
      </c>
      <c r="D68" s="51">
        <f>'WPB-2.1 Base Period'!Q79</f>
        <v>0</v>
      </c>
      <c r="E68" s="51"/>
      <c r="F68" s="51">
        <f t="shared" si="7"/>
        <v>0</v>
      </c>
      <c r="G68" s="1122">
        <v>0</v>
      </c>
      <c r="H68" s="51">
        <f t="shared" si="8"/>
        <v>0</v>
      </c>
    </row>
    <row r="69" spans="1:8" x14ac:dyDescent="0.2">
      <c r="A69" s="48">
        <f>A68+1</f>
        <v>53</v>
      </c>
      <c r="B69" s="49">
        <v>394.3</v>
      </c>
      <c r="C69" s="52" t="s">
        <v>746</v>
      </c>
      <c r="D69" s="51">
        <f>'WPB-2.1 Base Period'!Q80</f>
        <v>3110581.16</v>
      </c>
      <c r="E69" s="51"/>
      <c r="F69" s="51">
        <f t="shared" si="7"/>
        <v>3110581.16</v>
      </c>
      <c r="G69" s="1122">
        <v>0</v>
      </c>
      <c r="H69" s="51">
        <f t="shared" si="8"/>
        <v>3110581.16</v>
      </c>
    </row>
    <row r="70" spans="1:8" x14ac:dyDescent="0.2">
      <c r="A70" s="48">
        <f t="shared" si="9"/>
        <v>54</v>
      </c>
      <c r="B70" s="49">
        <v>395</v>
      </c>
      <c r="C70" s="52" t="s">
        <v>747</v>
      </c>
      <c r="D70" s="51">
        <f>'WPB-2.1 Base Period'!Q81</f>
        <v>9257.77</v>
      </c>
      <c r="E70" s="51"/>
      <c r="F70" s="51">
        <f t="shared" si="7"/>
        <v>9257.77</v>
      </c>
      <c r="G70" s="1122">
        <v>0</v>
      </c>
      <c r="H70" s="51">
        <f t="shared" si="8"/>
        <v>9257.77</v>
      </c>
    </row>
    <row r="71" spans="1:8" x14ac:dyDescent="0.2">
      <c r="A71" s="48">
        <f t="shared" si="9"/>
        <v>55</v>
      </c>
      <c r="B71" s="49">
        <v>396</v>
      </c>
      <c r="C71" s="52" t="s">
        <v>748</v>
      </c>
      <c r="D71" s="51">
        <f>'WPB-2.1 Base Period'!Q82</f>
        <v>253134.72</v>
      </c>
      <c r="E71" s="51"/>
      <c r="F71" s="51">
        <f t="shared" si="7"/>
        <v>253134.72</v>
      </c>
      <c r="G71" s="1122">
        <v>0</v>
      </c>
      <c r="H71" s="51">
        <f t="shared" si="8"/>
        <v>253134.72</v>
      </c>
    </row>
    <row r="72" spans="1:8" x14ac:dyDescent="0.2">
      <c r="A72" s="48">
        <f t="shared" si="9"/>
        <v>56</v>
      </c>
      <c r="B72" s="49">
        <v>398</v>
      </c>
      <c r="C72" s="52" t="s">
        <v>749</v>
      </c>
      <c r="D72" s="103">
        <f>'WPB-2.1 Base Period'!Q83</f>
        <v>124693.94</v>
      </c>
      <c r="E72" s="51"/>
      <c r="F72" s="103">
        <f t="shared" si="7"/>
        <v>124693.94</v>
      </c>
      <c r="G72" s="1124">
        <v>0</v>
      </c>
      <c r="H72" s="103">
        <f t="shared" si="8"/>
        <v>124693.94</v>
      </c>
    </row>
    <row r="73" spans="1:8" x14ac:dyDescent="0.2">
      <c r="A73" s="48">
        <f t="shared" si="9"/>
        <v>57</v>
      </c>
      <c r="B73" s="49"/>
      <c r="C73" s="52" t="s">
        <v>751</v>
      </c>
      <c r="D73" s="51">
        <f>SUM(D59:D72)</f>
        <v>5244824.2799999993</v>
      </c>
      <c r="E73" s="51"/>
      <c r="F73" s="51">
        <f>SUM(F59:F72)</f>
        <v>5244824.2799999993</v>
      </c>
      <c r="G73" s="51">
        <f>SUM(G59:G72)</f>
        <v>0</v>
      </c>
      <c r="H73" s="51">
        <f>SUM(H59:H72)</f>
        <v>5244824.2799999993</v>
      </c>
    </row>
    <row r="74" spans="1:8" x14ac:dyDescent="0.2">
      <c r="A74" s="48"/>
      <c r="B74" s="49"/>
      <c r="C74" s="52"/>
      <c r="D74" s="51"/>
      <c r="E74" s="51"/>
      <c r="F74" s="51"/>
      <c r="G74" s="51"/>
      <c r="H74" s="51"/>
    </row>
    <row r="75" spans="1:8" x14ac:dyDescent="0.2">
      <c r="A75" s="48">
        <f>A73+1</f>
        <v>58</v>
      </c>
      <c r="B75" s="49"/>
      <c r="C75" s="50" t="s">
        <v>2287</v>
      </c>
      <c r="D75" s="51"/>
      <c r="E75" s="51"/>
      <c r="F75" s="55" t="s">
        <v>680</v>
      </c>
      <c r="G75" s="162"/>
      <c r="H75" s="55" t="s">
        <v>680</v>
      </c>
    </row>
    <row r="76" spans="1:8" x14ac:dyDescent="0.2">
      <c r="A76" s="48">
        <f>A75+1</f>
        <v>59</v>
      </c>
      <c r="B76" s="49">
        <v>378.21</v>
      </c>
      <c r="C76" s="1726" t="s">
        <v>2245</v>
      </c>
      <c r="D76" s="51">
        <f>'WPB-2.1 Base Period'!Q88</f>
        <v>-777092</v>
      </c>
      <c r="E76" s="51"/>
      <c r="F76" s="51">
        <f t="shared" ref="F76" si="10">D76</f>
        <v>-777092</v>
      </c>
      <c r="G76" s="1122">
        <v>0</v>
      </c>
      <c r="H76" s="51">
        <f t="shared" ref="H76" si="11">(+F76+G76)</f>
        <v>-777092</v>
      </c>
    </row>
    <row r="77" spans="1:8" x14ac:dyDescent="0.2">
      <c r="A77" s="48"/>
      <c r="B77" s="49"/>
      <c r="C77" s="49"/>
      <c r="E77" s="51"/>
      <c r="F77" s="56" t="s">
        <v>680</v>
      </c>
      <c r="G77" s="1124"/>
      <c r="H77" s="56" t="s">
        <v>680</v>
      </c>
    </row>
    <row r="78" spans="1:8" x14ac:dyDescent="0.2">
      <c r="A78" s="48">
        <f>A76+1</f>
        <v>60</v>
      </c>
      <c r="B78" s="49"/>
      <c r="C78" s="251" t="s">
        <v>101</v>
      </c>
      <c r="D78" s="57">
        <f>D20+D24+D56+D73+D76</f>
        <v>413147046.36999995</v>
      </c>
      <c r="E78" s="51"/>
      <c r="F78" s="57">
        <f>F20+F24+F56+F73+F76</f>
        <v>413147046.36999989</v>
      </c>
      <c r="G78" s="57">
        <f>G20+G24+G56+G73</f>
        <v>0</v>
      </c>
      <c r="H78" s="57">
        <f>H20+H24+H56+H73+H76</f>
        <v>413147046.36999989</v>
      </c>
    </row>
    <row r="79" spans="1:8" x14ac:dyDescent="0.2">
      <c r="E79" s="51"/>
    </row>
    <row r="82" spans="1:2" x14ac:dyDescent="0.2">
      <c r="A82" s="44"/>
      <c r="B82" s="44"/>
    </row>
    <row r="83" spans="1:2" x14ac:dyDescent="0.2">
      <c r="B83" s="44"/>
    </row>
    <row r="84" spans="1:2" x14ac:dyDescent="0.2">
      <c r="B84" s="44"/>
    </row>
    <row r="85" spans="1:2" x14ac:dyDescent="0.2">
      <c r="B85" s="44"/>
    </row>
    <row r="86" spans="1:2" x14ac:dyDescent="0.2">
      <c r="B86" s="44"/>
    </row>
    <row r="87" spans="1:2" x14ac:dyDescent="0.2">
      <c r="B87" s="44"/>
    </row>
  </sheetData>
  <mergeCells count="4">
    <mergeCell ref="A4:H4"/>
    <mergeCell ref="A3:H3"/>
    <mergeCell ref="A2:H2"/>
    <mergeCell ref="A1:H1"/>
  </mergeCells>
  <phoneticPr fontId="0" type="noConversion"/>
  <pageMargins left="1" right="0.5" top="1" bottom="0.75" header="0.3" footer="0.3"/>
  <pageSetup scale="60" orientation="portrait" r:id="rId1"/>
  <headerFooter>
    <oddHeader>&amp;R&amp;"Arial,Regular"&amp;10KY PSC Case No. 2016-00162, Attachment A to Staff 3-4</oddHeader>
  </headerFooter>
  <rowBreaks count="1" manualBreakCount="1">
    <brk id="75" max="7" man="1"/>
  </rowBreaks>
  <ignoredErrors>
    <ignoredError sqref="G78" formula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4:M29"/>
  <sheetViews>
    <sheetView zoomScaleNormal="100" zoomScaleSheetLayoutView="80" workbookViewId="0">
      <selection activeCell="C33" sqref="C33"/>
    </sheetView>
  </sheetViews>
  <sheetFormatPr defaultColWidth="9.33203125" defaultRowHeight="12.75" x14ac:dyDescent="0.2"/>
  <cols>
    <col min="1" max="1" width="6.1640625" style="659" customWidth="1"/>
    <col min="2" max="2" width="59.6640625" style="659" customWidth="1"/>
    <col min="3" max="3" width="22.83203125" style="659" customWidth="1"/>
    <col min="4" max="4" width="5.6640625" style="659" customWidth="1"/>
    <col min="5" max="5" width="22.83203125" style="659" customWidth="1"/>
    <col min="6" max="16384" width="9.33203125" style="659"/>
  </cols>
  <sheetData>
    <row r="4" spans="1:9" x14ac:dyDescent="0.2">
      <c r="A4" s="2172" t="str">
        <f>co</f>
        <v>COLUMBIA GAS OF KENTUCKY, INC.</v>
      </c>
      <c r="B4" s="2172"/>
      <c r="C4" s="2172"/>
      <c r="D4" s="2172"/>
      <c r="E4" s="2172"/>
      <c r="F4" s="858"/>
      <c r="G4" s="858"/>
      <c r="H4" s="858"/>
      <c r="I4" s="858"/>
    </row>
    <row r="5" spans="1:9" x14ac:dyDescent="0.2">
      <c r="A5" s="2172" t="str">
        <f>case</f>
        <v>CASE NO. 2016 - 00162</v>
      </c>
      <c r="B5" s="2172"/>
      <c r="C5" s="2172"/>
      <c r="D5" s="2172"/>
      <c r="E5" s="2172"/>
      <c r="F5" s="858"/>
      <c r="G5" s="858"/>
      <c r="H5" s="858"/>
      <c r="I5" s="858"/>
    </row>
    <row r="6" spans="1:9" x14ac:dyDescent="0.2">
      <c r="A6" s="2174" t="s">
        <v>236</v>
      </c>
      <c r="B6" s="2174"/>
      <c r="C6" s="2174"/>
      <c r="D6" s="2174"/>
      <c r="E6" s="2174"/>
      <c r="F6" s="859"/>
      <c r="G6" s="859"/>
      <c r="H6" s="859"/>
      <c r="I6" s="859"/>
    </row>
    <row r="7" spans="1:9" x14ac:dyDescent="0.2">
      <c r="A7" s="2172" t="str">
        <f>'F-1 Corp Due &amp; Memberships'!A7:Q7</f>
        <v>BASE PERIOD: TWELVE MONTHS ENDED AUGUST 31, 2016</v>
      </c>
      <c r="B7" s="2172"/>
      <c r="C7" s="2172"/>
      <c r="D7" s="2172"/>
      <c r="E7" s="2172"/>
      <c r="F7" s="858"/>
      <c r="G7" s="858"/>
      <c r="H7" s="858"/>
      <c r="I7" s="858"/>
    </row>
    <row r="8" spans="1:9" x14ac:dyDescent="0.2">
      <c r="A8" s="2172" t="str">
        <f>'F-1 Corp Due &amp; Memberships'!A8:Q8</f>
        <v>FORECASTED PERIOD: TWELVE MONTHS ENDED DECEMBER 31, 2017</v>
      </c>
      <c r="B8" s="2172"/>
      <c r="C8" s="2172"/>
      <c r="D8" s="2172"/>
      <c r="E8" s="2172"/>
      <c r="F8" s="858"/>
      <c r="G8" s="858"/>
      <c r="H8" s="858"/>
      <c r="I8" s="858"/>
    </row>
    <row r="10" spans="1:9" x14ac:dyDescent="0.2">
      <c r="A10" s="840" t="s">
        <v>253</v>
      </c>
      <c r="E10" s="841" t="s">
        <v>298</v>
      </c>
    </row>
    <row r="11" spans="1:9" x14ac:dyDescent="0.2">
      <c r="A11" s="840" t="s">
        <v>245</v>
      </c>
      <c r="E11" s="841" t="s">
        <v>246</v>
      </c>
    </row>
    <row r="12" spans="1:9" x14ac:dyDescent="0.2">
      <c r="A12" s="840" t="s">
        <v>247</v>
      </c>
      <c r="E12" s="842" t="str">
        <f>JTC</f>
        <v>WITNESS:  J. T. CROOM</v>
      </c>
    </row>
    <row r="13" spans="1:9" x14ac:dyDescent="0.2">
      <c r="A13" s="843"/>
      <c r="B13" s="843"/>
      <c r="C13" s="843"/>
      <c r="D13" s="843"/>
      <c r="E13" s="843"/>
      <c r="F13" s="845"/>
      <c r="G13" s="845"/>
      <c r="H13" s="845"/>
    </row>
    <row r="14" spans="1:9" x14ac:dyDescent="0.2">
      <c r="A14" s="860"/>
      <c r="B14" s="860"/>
      <c r="C14" s="860" t="s">
        <v>634</v>
      </c>
      <c r="D14" s="861"/>
      <c r="E14" s="860" t="s">
        <v>1112</v>
      </c>
      <c r="F14" s="845"/>
      <c r="G14" s="845"/>
      <c r="H14" s="845"/>
    </row>
    <row r="15" spans="1:9" x14ac:dyDescent="0.2">
      <c r="A15" s="862"/>
      <c r="B15" s="862"/>
      <c r="C15" s="862" t="s">
        <v>638</v>
      </c>
      <c r="D15" s="845"/>
      <c r="E15" s="862" t="s">
        <v>638</v>
      </c>
      <c r="F15" s="845"/>
      <c r="G15" s="845"/>
      <c r="H15" s="845"/>
    </row>
    <row r="16" spans="1:9" x14ac:dyDescent="0.2">
      <c r="A16" s="862" t="s">
        <v>632</v>
      </c>
      <c r="B16" s="862" t="s">
        <v>1908</v>
      </c>
      <c r="C16" s="862" t="s">
        <v>771</v>
      </c>
      <c r="D16" s="845"/>
      <c r="E16" s="862" t="s">
        <v>771</v>
      </c>
      <c r="F16" s="845"/>
      <c r="G16" s="845"/>
      <c r="H16" s="845"/>
    </row>
    <row r="17" spans="1:13" x14ac:dyDescent="0.2">
      <c r="A17" s="847" t="s">
        <v>635</v>
      </c>
      <c r="B17" s="863" t="s">
        <v>834</v>
      </c>
      <c r="C17" s="863" t="s">
        <v>835</v>
      </c>
      <c r="D17" s="843"/>
      <c r="E17" s="863" t="s">
        <v>836</v>
      </c>
      <c r="G17" s="816"/>
      <c r="H17" s="816"/>
      <c r="I17" s="816"/>
      <c r="J17" s="816"/>
      <c r="K17" s="816"/>
      <c r="L17" s="816"/>
      <c r="M17" s="845"/>
    </row>
    <row r="18" spans="1:13" x14ac:dyDescent="0.2">
      <c r="G18" s="816"/>
      <c r="H18" s="816"/>
      <c r="I18" s="816"/>
      <c r="J18" s="816"/>
      <c r="K18" s="816"/>
      <c r="L18" s="816"/>
      <c r="M18" s="845"/>
    </row>
    <row r="19" spans="1:13" x14ac:dyDescent="0.2">
      <c r="A19" s="848"/>
      <c r="B19" s="855"/>
      <c r="C19" s="1560"/>
      <c r="D19" s="853"/>
      <c r="E19" s="894"/>
      <c r="G19" s="816"/>
      <c r="H19" s="816"/>
      <c r="I19" s="816"/>
      <c r="J19" s="816"/>
      <c r="K19" s="816"/>
      <c r="L19" s="816"/>
      <c r="M19" s="845"/>
    </row>
    <row r="20" spans="1:13" x14ac:dyDescent="0.2">
      <c r="A20" s="848">
        <v>1</v>
      </c>
      <c r="B20" s="855" t="s">
        <v>1907</v>
      </c>
      <c r="C20" s="1829">
        <f>51525+12705</f>
        <v>64230</v>
      </c>
      <c r="D20" s="1498"/>
      <c r="E20" s="1829">
        <f>150000+15000</f>
        <v>165000</v>
      </c>
      <c r="G20" s="816"/>
      <c r="H20" s="816"/>
      <c r="I20" s="816"/>
      <c r="J20" s="816"/>
      <c r="K20" s="816"/>
      <c r="L20" s="816"/>
      <c r="M20" s="845"/>
    </row>
    <row r="21" spans="1:13" x14ac:dyDescent="0.2">
      <c r="A21" s="848"/>
      <c r="B21" s="855"/>
      <c r="C21" s="1560"/>
      <c r="D21" s="334"/>
      <c r="E21" s="342"/>
      <c r="G21" s="816"/>
      <c r="H21" s="816"/>
      <c r="I21" s="816"/>
      <c r="J21" s="816"/>
      <c r="K21" s="816"/>
      <c r="L21" s="816"/>
      <c r="M21" s="845"/>
    </row>
    <row r="22" spans="1:13" ht="15" x14ac:dyDescent="0.35">
      <c r="A22" s="848">
        <f>A20+1</f>
        <v>2</v>
      </c>
      <c r="B22" s="855" t="s">
        <v>1909</v>
      </c>
      <c r="C22" s="1843">
        <v>15000</v>
      </c>
      <c r="D22" s="334"/>
      <c r="E22" s="1843">
        <v>24996</v>
      </c>
      <c r="G22" s="816"/>
      <c r="H22" s="816"/>
      <c r="I22" s="816"/>
      <c r="J22" s="816"/>
      <c r="K22" s="816"/>
      <c r="L22" s="816"/>
      <c r="M22" s="845"/>
    </row>
    <row r="23" spans="1:13" x14ac:dyDescent="0.2">
      <c r="A23" s="848"/>
      <c r="C23" s="334"/>
      <c r="D23" s="334"/>
      <c r="E23" s="334"/>
      <c r="G23" s="816"/>
      <c r="H23" s="816"/>
      <c r="I23" s="816"/>
      <c r="J23" s="816"/>
      <c r="K23" s="816"/>
      <c r="L23" s="816"/>
      <c r="M23" s="845"/>
    </row>
    <row r="24" spans="1:13" ht="15" x14ac:dyDescent="0.35">
      <c r="A24" s="848">
        <f>A22+1</f>
        <v>3</v>
      </c>
      <c r="B24" s="659" t="s">
        <v>670</v>
      </c>
      <c r="C24" s="1499">
        <f>SUM(C19:C22)</f>
        <v>79230</v>
      </c>
      <c r="D24" s="334"/>
      <c r="E24" s="1499">
        <f>SUM(E19:E22)</f>
        <v>189996</v>
      </c>
      <c r="G24" s="816"/>
      <c r="H24" s="816"/>
      <c r="I24" s="816"/>
      <c r="J24" s="816"/>
      <c r="K24" s="816"/>
      <c r="L24" s="816"/>
      <c r="M24" s="845"/>
    </row>
    <row r="25" spans="1:13" x14ac:dyDescent="0.2">
      <c r="A25" s="848"/>
      <c r="C25" s="354"/>
      <c r="D25" s="853"/>
      <c r="E25" s="354"/>
      <c r="G25" s="816"/>
      <c r="H25" s="816"/>
      <c r="I25" s="816"/>
      <c r="J25" s="816"/>
      <c r="K25" s="816"/>
      <c r="L25" s="816"/>
      <c r="M25" s="845"/>
    </row>
    <row r="26" spans="1:13" x14ac:dyDescent="0.2">
      <c r="A26" s="848"/>
      <c r="C26" s="355"/>
      <c r="D26" s="865"/>
      <c r="E26" s="355"/>
      <c r="G26" s="816"/>
      <c r="H26" s="816"/>
      <c r="I26" s="816"/>
      <c r="J26" s="816"/>
      <c r="K26" s="816"/>
      <c r="L26" s="816"/>
      <c r="M26" s="845"/>
    </row>
    <row r="27" spans="1:13" x14ac:dyDescent="0.2">
      <c r="A27" s="848">
        <f>A24+1</f>
        <v>4</v>
      </c>
      <c r="B27" s="855" t="s">
        <v>1969</v>
      </c>
      <c r="C27" s="833"/>
      <c r="D27" s="853"/>
      <c r="E27" s="833"/>
      <c r="G27" s="816"/>
      <c r="H27" s="816"/>
      <c r="I27" s="816"/>
      <c r="J27" s="816"/>
      <c r="K27" s="816"/>
      <c r="L27" s="816"/>
      <c r="M27" s="845"/>
    </row>
    <row r="28" spans="1:13" x14ac:dyDescent="0.2">
      <c r="C28" s="853"/>
      <c r="D28" s="853"/>
      <c r="E28" s="853"/>
    </row>
    <row r="29" spans="1:13" x14ac:dyDescent="0.2">
      <c r="C29" s="853"/>
      <c r="D29" s="853"/>
      <c r="E29" s="853"/>
    </row>
  </sheetData>
  <mergeCells count="5">
    <mergeCell ref="A4:E4"/>
    <mergeCell ref="A5:E5"/>
    <mergeCell ref="A6:E6"/>
    <mergeCell ref="A7:E7"/>
    <mergeCell ref="A8:E8"/>
  </mergeCells>
  <pageMargins left="1" right="1" top="1" bottom="1" header="0.5" footer="0.5"/>
  <pageSetup fitToHeight="0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tabColor rgb="FFFFFF00"/>
  </sheetPr>
  <dimension ref="A1:S40"/>
  <sheetViews>
    <sheetView zoomScaleNormal="100" workbookViewId="0">
      <selection activeCell="S11" sqref="S11"/>
    </sheetView>
  </sheetViews>
  <sheetFormatPr defaultColWidth="9.33203125" defaultRowHeight="12.75" x14ac:dyDescent="0.2"/>
  <cols>
    <col min="1" max="1" width="6.1640625" style="659" customWidth="1"/>
    <col min="2" max="2" width="1" style="659" customWidth="1"/>
    <col min="3" max="3" width="25.1640625" style="659" customWidth="1"/>
    <col min="4" max="4" width="1" style="659" customWidth="1"/>
    <col min="5" max="5" width="12" style="659" bestFit="1" customWidth="1"/>
    <col min="6" max="6" width="1" style="659" customWidth="1"/>
    <col min="7" max="7" width="12.5" style="659" customWidth="1"/>
    <col min="8" max="8" width="1" style="659" customWidth="1"/>
    <col min="9" max="9" width="9.33203125" style="659"/>
    <col min="10" max="10" width="1" style="659" customWidth="1"/>
    <col min="11" max="11" width="11.6640625" style="659" customWidth="1"/>
    <col min="12" max="12" width="1.1640625" style="659" customWidth="1"/>
    <col min="13" max="13" width="21.1640625" style="659" bestFit="1" customWidth="1"/>
    <col min="14" max="14" width="1" style="659" customWidth="1"/>
    <col min="15" max="15" width="18" style="659" customWidth="1"/>
    <col min="16" max="16" width="1" style="659" customWidth="1"/>
    <col min="17" max="17" width="17" style="659" bestFit="1" customWidth="1"/>
    <col min="18" max="18" width="1" style="659" customWidth="1"/>
    <col min="19" max="19" width="23.83203125" style="659" customWidth="1"/>
    <col min="20" max="16384" width="9.33203125" style="659"/>
  </cols>
  <sheetData>
    <row r="1" spans="1:19" x14ac:dyDescent="0.2">
      <c r="A1" s="2172" t="str">
        <f>co</f>
        <v>COLUMBIA GAS OF KENTUCKY, INC.</v>
      </c>
      <c r="B1" s="2172"/>
      <c r="C1" s="2172"/>
      <c r="D1" s="2172"/>
      <c r="E1" s="2172"/>
      <c r="F1" s="2172"/>
      <c r="G1" s="2172"/>
      <c r="H1" s="2172"/>
      <c r="I1" s="2172"/>
      <c r="J1" s="2172"/>
      <c r="K1" s="2172"/>
      <c r="L1" s="2172"/>
      <c r="M1" s="2172"/>
      <c r="N1" s="2172"/>
      <c r="O1" s="2172"/>
      <c r="P1" s="2172"/>
      <c r="Q1" s="2172"/>
      <c r="R1" s="2172"/>
      <c r="S1" s="2172"/>
    </row>
    <row r="2" spans="1:19" x14ac:dyDescent="0.2">
      <c r="A2" s="2172" t="str">
        <f>case</f>
        <v>CASE NO. 2016 - 00162</v>
      </c>
      <c r="B2" s="2172"/>
      <c r="C2" s="2172"/>
      <c r="D2" s="2172"/>
      <c r="E2" s="2172"/>
      <c r="F2" s="2172"/>
      <c r="G2" s="2172"/>
      <c r="H2" s="2172"/>
      <c r="I2" s="2172"/>
      <c r="J2" s="2172"/>
      <c r="K2" s="2172"/>
      <c r="L2" s="2172"/>
      <c r="M2" s="2172"/>
      <c r="N2" s="2172"/>
      <c r="O2" s="2172"/>
      <c r="P2" s="2172"/>
      <c r="Q2" s="2172"/>
      <c r="R2" s="2172"/>
      <c r="S2" s="2172"/>
    </row>
    <row r="3" spans="1:19" x14ac:dyDescent="0.2">
      <c r="A3" s="2174" t="s">
        <v>238</v>
      </c>
      <c r="B3" s="2174"/>
      <c r="C3" s="2174"/>
      <c r="D3" s="2174"/>
      <c r="E3" s="2174"/>
      <c r="F3" s="2174"/>
      <c r="G3" s="2174"/>
      <c r="H3" s="2174"/>
      <c r="I3" s="2174"/>
      <c r="J3" s="2174"/>
      <c r="K3" s="2174"/>
      <c r="L3" s="2174"/>
      <c r="M3" s="2174"/>
      <c r="N3" s="2174"/>
      <c r="O3" s="2174"/>
      <c r="P3" s="2174"/>
      <c r="Q3" s="2174"/>
      <c r="R3" s="2174"/>
      <c r="S3" s="2174"/>
    </row>
    <row r="4" spans="1:19" x14ac:dyDescent="0.2">
      <c r="A4" s="2172" t="str">
        <f>'F-1 Corp Due &amp; Memberships'!A7:Q7</f>
        <v>BASE PERIOD: TWELVE MONTHS ENDED AUGUST 31, 2016</v>
      </c>
      <c r="B4" s="2172"/>
      <c r="C4" s="2172"/>
      <c r="D4" s="2172"/>
      <c r="E4" s="2172"/>
      <c r="F4" s="2172"/>
      <c r="G4" s="2172"/>
      <c r="H4" s="2172"/>
      <c r="I4" s="2172"/>
      <c r="J4" s="2172"/>
      <c r="K4" s="2172"/>
      <c r="L4" s="2172"/>
      <c r="M4" s="2172"/>
      <c r="N4" s="2172"/>
      <c r="O4" s="2172"/>
      <c r="P4" s="2172"/>
      <c r="Q4" s="2172"/>
      <c r="R4" s="2172"/>
      <c r="S4" s="2172"/>
    </row>
    <row r="5" spans="1:19" x14ac:dyDescent="0.2">
      <c r="A5" s="2172" t="str">
        <f>'F-1 Corp Due &amp; Memberships'!A8:Q8</f>
        <v>FORECASTED PERIOD: TWELVE MONTHS ENDED DECEMBER 31, 2017</v>
      </c>
      <c r="B5" s="2172"/>
      <c r="C5" s="2172"/>
      <c r="D5" s="2172"/>
      <c r="E5" s="2172"/>
      <c r="F5" s="2172"/>
      <c r="G5" s="2172"/>
      <c r="H5" s="2172"/>
      <c r="I5" s="2172"/>
      <c r="J5" s="2172"/>
      <c r="K5" s="2172"/>
      <c r="L5" s="2172"/>
      <c r="M5" s="2172"/>
      <c r="N5" s="2172"/>
      <c r="O5" s="2172"/>
      <c r="P5" s="2172"/>
      <c r="Q5" s="2172"/>
      <c r="R5" s="2172"/>
      <c r="S5" s="2172"/>
    </row>
    <row r="7" spans="1:19" x14ac:dyDescent="0.2">
      <c r="A7" s="840" t="s">
        <v>253</v>
      </c>
    </row>
    <row r="8" spans="1:19" x14ac:dyDescent="0.2">
      <c r="A8" s="840" t="s">
        <v>245</v>
      </c>
      <c r="S8" s="841" t="s">
        <v>290</v>
      </c>
    </row>
    <row r="9" spans="1:19" x14ac:dyDescent="0.2">
      <c r="A9" s="840" t="s">
        <v>247</v>
      </c>
      <c r="S9" s="841" t="s">
        <v>246</v>
      </c>
    </row>
    <row r="10" spans="1:19" x14ac:dyDescent="0.2">
      <c r="A10" s="868"/>
      <c r="B10" s="845"/>
      <c r="C10" s="845"/>
      <c r="D10" s="845"/>
      <c r="E10" s="845"/>
      <c r="F10" s="845"/>
      <c r="G10" s="845"/>
      <c r="H10" s="845"/>
      <c r="I10" s="845"/>
      <c r="J10" s="845"/>
      <c r="K10" s="845"/>
      <c r="L10" s="845"/>
      <c r="M10" s="845"/>
      <c r="N10" s="845"/>
      <c r="O10" s="845"/>
      <c r="P10" s="869"/>
      <c r="Q10" s="845"/>
      <c r="R10" s="845"/>
      <c r="S10" s="870" t="str">
        <f>JTC</f>
        <v>WITNESS:  J. T. CROOM</v>
      </c>
    </row>
    <row r="11" spans="1:19" x14ac:dyDescent="0.2">
      <c r="A11" s="868"/>
      <c r="B11" s="845"/>
      <c r="C11" s="845"/>
      <c r="D11" s="845"/>
      <c r="E11" s="845"/>
      <c r="F11" s="845"/>
      <c r="G11" s="845"/>
      <c r="H11" s="845"/>
      <c r="I11" s="845"/>
      <c r="J11" s="845"/>
      <c r="K11" s="845"/>
      <c r="L11" s="845"/>
      <c r="M11" s="845"/>
      <c r="N11" s="845"/>
      <c r="O11" s="845"/>
      <c r="P11" s="869"/>
      <c r="Q11" s="845"/>
      <c r="R11" s="845"/>
      <c r="S11" s="870"/>
    </row>
    <row r="12" spans="1:19" x14ac:dyDescent="0.2">
      <c r="A12" s="861"/>
      <c r="B12" s="861"/>
      <c r="C12" s="861"/>
      <c r="D12" s="861"/>
      <c r="E12" s="2175" t="s">
        <v>291</v>
      </c>
      <c r="F12" s="2175"/>
      <c r="G12" s="2175"/>
      <c r="H12" s="2175"/>
      <c r="I12" s="2175"/>
      <c r="J12" s="861"/>
      <c r="K12" s="860" t="s">
        <v>670</v>
      </c>
      <c r="L12" s="861"/>
      <c r="M12" s="860"/>
      <c r="N12" s="861"/>
      <c r="O12" s="860" t="s">
        <v>830</v>
      </c>
      <c r="P12" s="861"/>
      <c r="Q12" s="861"/>
      <c r="R12" s="861"/>
      <c r="S12" s="860" t="s">
        <v>1264</v>
      </c>
    </row>
    <row r="13" spans="1:19" x14ac:dyDescent="0.2">
      <c r="A13" s="848" t="s">
        <v>632</v>
      </c>
      <c r="B13" s="848"/>
      <c r="C13" s="848"/>
      <c r="E13" s="848" t="s">
        <v>278</v>
      </c>
      <c r="F13" s="848"/>
      <c r="G13" s="848" t="s">
        <v>292</v>
      </c>
      <c r="H13" s="848"/>
      <c r="I13" s="848"/>
      <c r="K13" s="848" t="s">
        <v>675</v>
      </c>
      <c r="M13" s="848"/>
      <c r="O13" s="848" t="s">
        <v>671</v>
      </c>
      <c r="S13" s="848" t="s">
        <v>671</v>
      </c>
    </row>
    <row r="14" spans="1:19" x14ac:dyDescent="0.2">
      <c r="A14" s="847" t="s">
        <v>635</v>
      </c>
      <c r="B14" s="847"/>
      <c r="C14" s="847" t="s">
        <v>778</v>
      </c>
      <c r="D14" s="843"/>
      <c r="E14" s="847" t="s">
        <v>280</v>
      </c>
      <c r="F14" s="847"/>
      <c r="G14" s="847" t="s">
        <v>293</v>
      </c>
      <c r="H14" s="847"/>
      <c r="I14" s="847" t="s">
        <v>686</v>
      </c>
      <c r="J14" s="843"/>
      <c r="K14" s="847" t="s">
        <v>672</v>
      </c>
      <c r="L14" s="843"/>
      <c r="M14" s="846" t="s">
        <v>249</v>
      </c>
      <c r="N14" s="843"/>
      <c r="O14" s="847" t="s">
        <v>672</v>
      </c>
      <c r="P14" s="843"/>
      <c r="Q14" s="847" t="s">
        <v>677</v>
      </c>
      <c r="R14" s="843"/>
      <c r="S14" s="847" t="s">
        <v>672</v>
      </c>
    </row>
    <row r="16" spans="1:19" x14ac:dyDescent="0.2">
      <c r="A16" s="848">
        <v>1</v>
      </c>
      <c r="C16" s="344" t="s">
        <v>830</v>
      </c>
    </row>
    <row r="18" spans="1:19" x14ac:dyDescent="0.2">
      <c r="A18" s="848">
        <f>A16+1</f>
        <v>2</v>
      </c>
      <c r="C18" s="333" t="s">
        <v>294</v>
      </c>
      <c r="E18" s="871"/>
      <c r="F18" s="872"/>
      <c r="G18" s="871"/>
      <c r="H18" s="872"/>
      <c r="I18" s="871"/>
      <c r="J18" s="872"/>
      <c r="K18" s="851">
        <f>SUM(E18:I18)</f>
        <v>0</v>
      </c>
      <c r="M18" s="850">
        <v>1</v>
      </c>
      <c r="O18" s="851">
        <f>K18</f>
        <v>0</v>
      </c>
      <c r="P18" s="851"/>
      <c r="Q18" s="849">
        <v>0</v>
      </c>
      <c r="R18" s="851"/>
      <c r="S18" s="851">
        <f>O18+Q18</f>
        <v>0</v>
      </c>
    </row>
    <row r="19" spans="1:19" x14ac:dyDescent="0.2">
      <c r="S19" s="852"/>
    </row>
    <row r="20" spans="1:19" x14ac:dyDescent="0.2">
      <c r="A20" s="848">
        <f>A18+1</f>
        <v>3</v>
      </c>
      <c r="C20" s="333" t="s">
        <v>295</v>
      </c>
      <c r="E20" s="503"/>
      <c r="G20" s="503"/>
      <c r="I20" s="503"/>
      <c r="K20" s="852">
        <f>SUM(E20:I20)</f>
        <v>0</v>
      </c>
      <c r="O20" s="852">
        <f>K20</f>
        <v>0</v>
      </c>
      <c r="Q20" s="503">
        <v>0</v>
      </c>
      <c r="S20" s="852">
        <f>O20+Q20</f>
        <v>0</v>
      </c>
    </row>
    <row r="21" spans="1:19" x14ac:dyDescent="0.2">
      <c r="S21" s="852"/>
    </row>
    <row r="22" spans="1:19" x14ac:dyDescent="0.2">
      <c r="A22" s="848">
        <f>A20+1</f>
        <v>4</v>
      </c>
      <c r="C22" s="333" t="s">
        <v>296</v>
      </c>
      <c r="E22" s="503"/>
      <c r="G22" s="503"/>
      <c r="I22" s="503"/>
      <c r="K22" s="852">
        <f>SUM(E22:I22)</f>
        <v>0</v>
      </c>
      <c r="O22" s="852">
        <f>K22</f>
        <v>0</v>
      </c>
      <c r="Q22" s="503">
        <v>0</v>
      </c>
      <c r="S22" s="852">
        <f>O22+Q22</f>
        <v>0</v>
      </c>
    </row>
    <row r="23" spans="1:19" x14ac:dyDescent="0.2">
      <c r="S23" s="852"/>
    </row>
    <row r="24" spans="1:19" x14ac:dyDescent="0.2">
      <c r="A24" s="848">
        <f>A22+1</f>
        <v>5</v>
      </c>
      <c r="C24" s="333" t="s">
        <v>686</v>
      </c>
      <c r="E24" s="503"/>
      <c r="G24" s="503"/>
      <c r="I24" s="503"/>
      <c r="K24" s="852">
        <f>SUM(E24:I24)</f>
        <v>0</v>
      </c>
      <c r="O24" s="852">
        <f>K24</f>
        <v>0</v>
      </c>
      <c r="Q24" s="503">
        <v>0</v>
      </c>
      <c r="S24" s="852">
        <f>O24+Q24</f>
        <v>0</v>
      </c>
    </row>
    <row r="26" spans="1:19" ht="13.5" thickBot="1" x14ac:dyDescent="0.25">
      <c r="A26" s="848">
        <f>A24+1</f>
        <v>6</v>
      </c>
      <c r="C26" s="333" t="s">
        <v>670</v>
      </c>
      <c r="E26" s="854">
        <f>SUM(E18:E25)</f>
        <v>0</v>
      </c>
      <c r="F26" s="851"/>
      <c r="G26" s="854">
        <f>SUM(G18:G25)</f>
        <v>0</v>
      </c>
      <c r="H26" s="851"/>
      <c r="I26" s="854">
        <f>SUM(I18:I25)</f>
        <v>0</v>
      </c>
      <c r="J26" s="851"/>
      <c r="K26" s="854">
        <f>SUM(K18:K25)</f>
        <v>0</v>
      </c>
      <c r="L26" s="851"/>
      <c r="M26" s="851"/>
      <c r="N26" s="851"/>
      <c r="O26" s="854">
        <f>SUM(O18:O25)</f>
        <v>0</v>
      </c>
      <c r="P26" s="851"/>
      <c r="Q26" s="854">
        <f>SUM(Q18:Q25)</f>
        <v>0</v>
      </c>
      <c r="R26" s="851"/>
      <c r="S26" s="854">
        <f>SUM(S18:S25)</f>
        <v>0</v>
      </c>
    </row>
    <row r="27" spans="1:19" ht="13.5" thickTop="1" x14ac:dyDescent="0.2"/>
    <row r="29" spans="1:19" x14ac:dyDescent="0.2">
      <c r="A29" s="848">
        <f>A26+1</f>
        <v>7</v>
      </c>
      <c r="C29" s="344" t="s">
        <v>1264</v>
      </c>
    </row>
    <row r="31" spans="1:19" x14ac:dyDescent="0.2">
      <c r="A31" s="848">
        <f>A29+1</f>
        <v>8</v>
      </c>
      <c r="C31" s="333" t="s">
        <v>294</v>
      </c>
      <c r="E31" s="871"/>
      <c r="F31" s="872"/>
      <c r="G31" s="871"/>
      <c r="H31" s="872"/>
      <c r="I31" s="871"/>
      <c r="J31" s="872"/>
      <c r="K31" s="851">
        <f>SUM(E31:I31)</f>
        <v>0</v>
      </c>
      <c r="M31" s="850">
        <v>1</v>
      </c>
      <c r="O31" s="851">
        <f>K31</f>
        <v>0</v>
      </c>
      <c r="P31" s="851"/>
      <c r="Q31" s="849">
        <v>0</v>
      </c>
      <c r="R31" s="851"/>
      <c r="S31" s="851">
        <f>O31+Q31</f>
        <v>0</v>
      </c>
    </row>
    <row r="32" spans="1:19" x14ac:dyDescent="0.2">
      <c r="S32" s="852"/>
    </row>
    <row r="33" spans="1:19" x14ac:dyDescent="0.2">
      <c r="A33" s="848">
        <f>A31+1</f>
        <v>9</v>
      </c>
      <c r="C33" s="333" t="s">
        <v>295</v>
      </c>
      <c r="E33" s="503"/>
      <c r="G33" s="503"/>
      <c r="I33" s="503"/>
      <c r="K33" s="852">
        <f>SUM(E33:I33)</f>
        <v>0</v>
      </c>
      <c r="O33" s="852">
        <f>K33</f>
        <v>0</v>
      </c>
      <c r="Q33" s="503">
        <v>0</v>
      </c>
      <c r="S33" s="852">
        <f>O33+Q33</f>
        <v>0</v>
      </c>
    </row>
    <row r="34" spans="1:19" x14ac:dyDescent="0.2">
      <c r="S34" s="852"/>
    </row>
    <row r="35" spans="1:19" x14ac:dyDescent="0.2">
      <c r="A35" s="848">
        <f>A33+1</f>
        <v>10</v>
      </c>
      <c r="C35" s="333" t="s">
        <v>296</v>
      </c>
      <c r="E35" s="503"/>
      <c r="G35" s="503"/>
      <c r="I35" s="503"/>
      <c r="K35" s="852">
        <f>SUM(E35:I35)</f>
        <v>0</v>
      </c>
      <c r="O35" s="852">
        <f>K35</f>
        <v>0</v>
      </c>
      <c r="Q35" s="503">
        <v>0</v>
      </c>
      <c r="S35" s="852">
        <f>O35+Q35</f>
        <v>0</v>
      </c>
    </row>
    <row r="36" spans="1:19" x14ac:dyDescent="0.2">
      <c r="S36" s="852"/>
    </row>
    <row r="37" spans="1:19" x14ac:dyDescent="0.2">
      <c r="A37" s="848">
        <f>A35+1</f>
        <v>11</v>
      </c>
      <c r="C37" s="333" t="s">
        <v>686</v>
      </c>
      <c r="E37" s="503"/>
      <c r="G37" s="503"/>
      <c r="I37" s="503"/>
      <c r="K37" s="852">
        <f>SUM(E37:I37)</f>
        <v>0</v>
      </c>
      <c r="O37" s="852">
        <f>K37</f>
        <v>0</v>
      </c>
      <c r="Q37" s="503">
        <v>0</v>
      </c>
      <c r="S37" s="852">
        <f>O37+Q37</f>
        <v>0</v>
      </c>
    </row>
    <row r="39" spans="1:19" ht="13.5" thickBot="1" x14ac:dyDescent="0.25">
      <c r="A39" s="848">
        <f>A37+1</f>
        <v>12</v>
      </c>
      <c r="C39" s="333" t="s">
        <v>670</v>
      </c>
      <c r="E39" s="854">
        <f>SUM(E31:E38)</f>
        <v>0</v>
      </c>
      <c r="F39" s="851"/>
      <c r="G39" s="854">
        <f>SUM(G31:G38)</f>
        <v>0</v>
      </c>
      <c r="H39" s="851"/>
      <c r="I39" s="854">
        <f>SUM(I31:I38)</f>
        <v>0</v>
      </c>
      <c r="J39" s="851"/>
      <c r="K39" s="854">
        <f>SUM(K31:K38)</f>
        <v>0</v>
      </c>
      <c r="L39" s="851"/>
      <c r="M39" s="851"/>
      <c r="N39" s="851"/>
      <c r="O39" s="854">
        <f>SUM(O31:O38)</f>
        <v>0</v>
      </c>
      <c r="P39" s="851"/>
      <c r="Q39" s="854">
        <f>SUM(Q31:Q38)</f>
        <v>0</v>
      </c>
      <c r="R39" s="851"/>
      <c r="S39" s="854">
        <f>SUM(S31:S38)</f>
        <v>0</v>
      </c>
    </row>
    <row r="40" spans="1:19" ht="13.5" thickTop="1" x14ac:dyDescent="0.2"/>
  </sheetData>
  <mergeCells count="6">
    <mergeCell ref="A5:S5"/>
    <mergeCell ref="E12:I12"/>
    <mergeCell ref="A1:S1"/>
    <mergeCell ref="A2:S2"/>
    <mergeCell ref="A3:S3"/>
    <mergeCell ref="A4:S4"/>
  </mergeCells>
  <phoneticPr fontId="0" type="noConversion"/>
  <printOptions horizontalCentered="1"/>
  <pageMargins left="0.5" right="0.5" top="0.75" bottom="0.5" header="0.5" footer="0.5"/>
  <pageSetup scale="90" orientation="landscape" verticalDpi="0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pageSetUpPr fitToPage="1"/>
  </sheetPr>
  <dimension ref="A4:T49"/>
  <sheetViews>
    <sheetView zoomScaleNormal="100" workbookViewId="0">
      <selection activeCell="T33" sqref="T33"/>
    </sheetView>
  </sheetViews>
  <sheetFormatPr defaultColWidth="9.33203125" defaultRowHeight="12.75" x14ac:dyDescent="0.2"/>
  <cols>
    <col min="1" max="1" width="6.1640625" style="659" customWidth="1"/>
    <col min="2" max="2" width="51.1640625" style="659" customWidth="1"/>
    <col min="3" max="3" width="22.83203125" style="659" customWidth="1"/>
    <col min="4" max="4" width="12.83203125" style="659" customWidth="1"/>
    <col min="5" max="5" width="22.83203125" style="659" customWidth="1"/>
    <col min="6" max="7" width="9.33203125" style="659" customWidth="1"/>
    <col min="8" max="16" width="9.33203125" style="659"/>
    <col min="17" max="17" width="12" style="659" bestFit="1" customWidth="1"/>
    <col min="18" max="19" width="13.33203125" style="659" bestFit="1" customWidth="1"/>
    <col min="20" max="16384" width="9.33203125" style="659"/>
  </cols>
  <sheetData>
    <row r="4" spans="1:7" x14ac:dyDescent="0.2">
      <c r="A4" s="2172" t="str">
        <f>co</f>
        <v>COLUMBIA GAS OF KENTUCKY, INC.</v>
      </c>
      <c r="B4" s="2172"/>
      <c r="C4" s="2172"/>
      <c r="D4" s="2172"/>
      <c r="E4" s="2172"/>
      <c r="F4" s="2172"/>
      <c r="G4" s="2172"/>
    </row>
    <row r="5" spans="1:7" x14ac:dyDescent="0.2">
      <c r="A5" s="2172" t="str">
        <f>case</f>
        <v>CASE NO. 2016 - 00162</v>
      </c>
      <c r="B5" s="2172"/>
      <c r="C5" s="2172"/>
      <c r="D5" s="2172"/>
      <c r="E5" s="2172"/>
      <c r="F5" s="2172"/>
      <c r="G5" s="2172"/>
    </row>
    <row r="6" spans="1:7" x14ac:dyDescent="0.2">
      <c r="A6" s="2174" t="s">
        <v>238</v>
      </c>
      <c r="B6" s="2174"/>
      <c r="C6" s="2174"/>
      <c r="D6" s="2174"/>
      <c r="E6" s="2174"/>
      <c r="F6" s="2174"/>
      <c r="G6" s="2174"/>
    </row>
    <row r="7" spans="1:7" x14ac:dyDescent="0.2">
      <c r="A7" s="2172" t="str">
        <f>'F-1 Corp Due &amp; Memberships'!A7:Q7</f>
        <v>BASE PERIOD: TWELVE MONTHS ENDED AUGUST 31, 2016</v>
      </c>
      <c r="B7" s="2172"/>
      <c r="C7" s="2172"/>
      <c r="D7" s="2172"/>
      <c r="E7" s="2172"/>
      <c r="F7" s="2172"/>
      <c r="G7" s="2172"/>
    </row>
    <row r="8" spans="1:7" x14ac:dyDescent="0.2">
      <c r="A8" s="2172" t="str">
        <f>'F-1 Corp Due &amp; Memberships'!A8:Q8</f>
        <v>FORECASTED PERIOD: TWELVE MONTHS ENDED DECEMBER 31, 2017</v>
      </c>
      <c r="B8" s="2172"/>
      <c r="C8" s="2172"/>
      <c r="D8" s="2172"/>
      <c r="E8" s="2172"/>
      <c r="F8" s="2172"/>
      <c r="G8" s="2172"/>
    </row>
    <row r="10" spans="1:7" x14ac:dyDescent="0.2">
      <c r="A10" s="840" t="s">
        <v>253</v>
      </c>
    </row>
    <row r="11" spans="1:7" x14ac:dyDescent="0.2">
      <c r="A11" s="840" t="s">
        <v>245</v>
      </c>
      <c r="G11" s="841" t="s">
        <v>304</v>
      </c>
    </row>
    <row r="12" spans="1:7" x14ac:dyDescent="0.2">
      <c r="A12" s="840" t="s">
        <v>247</v>
      </c>
      <c r="G12" s="841" t="s">
        <v>246</v>
      </c>
    </row>
    <row r="13" spans="1:7" x14ac:dyDescent="0.2">
      <c r="A13" s="868"/>
      <c r="B13" s="845"/>
      <c r="C13" s="845"/>
      <c r="D13" s="845"/>
      <c r="E13" s="845"/>
      <c r="F13" s="843"/>
      <c r="G13" s="1503" t="str">
        <f>JTC</f>
        <v>WITNESS:  J. T. CROOM</v>
      </c>
    </row>
    <row r="14" spans="1:7" x14ac:dyDescent="0.2">
      <c r="A14" s="860"/>
      <c r="B14" s="860"/>
      <c r="C14" s="860" t="s">
        <v>634</v>
      </c>
      <c r="D14" s="861"/>
      <c r="E14" s="860" t="s">
        <v>1112</v>
      </c>
      <c r="F14" s="845"/>
      <c r="G14" s="845"/>
    </row>
    <row r="15" spans="1:7" x14ac:dyDescent="0.2">
      <c r="A15" s="862"/>
      <c r="B15" s="862"/>
      <c r="C15" s="862" t="s">
        <v>638</v>
      </c>
      <c r="D15" s="845"/>
      <c r="E15" s="862" t="s">
        <v>638</v>
      </c>
      <c r="F15" s="845"/>
      <c r="G15" s="845"/>
    </row>
    <row r="16" spans="1:7" x14ac:dyDescent="0.2">
      <c r="A16" s="862" t="s">
        <v>632</v>
      </c>
      <c r="B16" s="862" t="s">
        <v>1908</v>
      </c>
      <c r="C16" s="862" t="s">
        <v>771</v>
      </c>
      <c r="D16" s="845"/>
      <c r="E16" s="862" t="s">
        <v>771</v>
      </c>
      <c r="F16" s="845"/>
      <c r="G16" s="845"/>
    </row>
    <row r="17" spans="1:20" x14ac:dyDescent="0.2">
      <c r="A17" s="847" t="s">
        <v>635</v>
      </c>
      <c r="B17" s="863" t="s">
        <v>834</v>
      </c>
      <c r="C17" s="863" t="s">
        <v>835</v>
      </c>
      <c r="D17" s="843"/>
      <c r="E17" s="863" t="s">
        <v>836</v>
      </c>
      <c r="F17" s="843"/>
      <c r="G17" s="843"/>
    </row>
    <row r="18" spans="1:20" x14ac:dyDescent="0.2">
      <c r="B18" s="845"/>
      <c r="C18" s="845"/>
      <c r="D18" s="845"/>
      <c r="E18" s="845"/>
      <c r="F18" s="845"/>
      <c r="G18" s="845"/>
    </row>
    <row r="19" spans="1:20" x14ac:dyDescent="0.2">
      <c r="A19" s="848">
        <v>1</v>
      </c>
      <c r="B19" s="1504" t="s">
        <v>1910</v>
      </c>
      <c r="C19" s="1838">
        <v>142906</v>
      </c>
      <c r="D19" s="845"/>
      <c r="E19" s="1838">
        <v>163308</v>
      </c>
      <c r="F19" s="845"/>
      <c r="G19" s="845"/>
      <c r="Q19" s="1840"/>
      <c r="R19" s="1928"/>
      <c r="S19" s="1928"/>
    </row>
    <row r="20" spans="1:20" x14ac:dyDescent="0.2">
      <c r="B20" s="1505"/>
      <c r="C20" s="883"/>
      <c r="D20" s="845"/>
      <c r="E20" s="883"/>
      <c r="F20" s="845"/>
      <c r="G20" s="845"/>
      <c r="Q20" s="1840"/>
      <c r="R20" s="1928"/>
      <c r="S20" s="1928"/>
      <c r="T20" s="1684"/>
    </row>
    <row r="21" spans="1:20" ht="15" x14ac:dyDescent="0.35">
      <c r="A21" s="848">
        <f>A19+1</f>
        <v>2</v>
      </c>
      <c r="B21" s="1504" t="s">
        <v>1911</v>
      </c>
      <c r="C21" s="1839">
        <v>31614</v>
      </c>
      <c r="D21" s="1507"/>
      <c r="E21" s="1839">
        <v>253426</v>
      </c>
      <c r="F21" s="1497"/>
      <c r="G21" s="1501"/>
      <c r="Q21" s="1840"/>
      <c r="R21" s="1928"/>
      <c r="S21" s="1928"/>
    </row>
    <row r="22" spans="1:20" x14ac:dyDescent="0.2">
      <c r="B22" s="1504"/>
      <c r="C22" s="337"/>
      <c r="D22" s="337"/>
      <c r="E22" s="337"/>
      <c r="F22" s="845"/>
      <c r="G22" s="845"/>
      <c r="I22" s="1684"/>
    </row>
    <row r="23" spans="1:20" ht="15" x14ac:dyDescent="0.35">
      <c r="A23" s="848">
        <f>A21+1</f>
        <v>3</v>
      </c>
      <c r="B23" s="659" t="s">
        <v>670</v>
      </c>
      <c r="C23" s="1509">
        <f>C19+C21</f>
        <v>174520</v>
      </c>
      <c r="D23" s="1506"/>
      <c r="E23" s="1509">
        <f>E19+E21</f>
        <v>416734</v>
      </c>
      <c r="F23" s="1502"/>
      <c r="G23" s="845"/>
    </row>
    <row r="24" spans="1:20" x14ac:dyDescent="0.2">
      <c r="B24" s="1504"/>
      <c r="C24" s="337"/>
      <c r="D24" s="337"/>
      <c r="E24" s="337"/>
      <c r="F24" s="845"/>
      <c r="G24" s="845"/>
    </row>
    <row r="25" spans="1:20" x14ac:dyDescent="0.2">
      <c r="A25" s="848"/>
      <c r="B25" s="1504"/>
      <c r="C25" s="1506"/>
      <c r="D25" s="1506"/>
      <c r="E25" s="1506"/>
      <c r="F25" s="1502"/>
      <c r="G25" s="845"/>
    </row>
    <row r="26" spans="1:20" x14ac:dyDescent="0.2">
      <c r="A26" s="848">
        <f>A23+1</f>
        <v>4</v>
      </c>
      <c r="B26" s="855" t="s">
        <v>1969</v>
      </c>
      <c r="C26" s="337"/>
      <c r="D26" s="337"/>
      <c r="E26" s="337"/>
      <c r="F26" s="845"/>
      <c r="G26" s="845"/>
    </row>
    <row r="27" spans="1:20" x14ac:dyDescent="0.2">
      <c r="A27" s="848"/>
      <c r="B27" s="337"/>
      <c r="C27" s="1506"/>
      <c r="D27" s="1506"/>
      <c r="E27" s="1506"/>
      <c r="F27" s="1502"/>
      <c r="G27" s="845"/>
    </row>
    <row r="28" spans="1:20" x14ac:dyDescent="0.2">
      <c r="B28" s="845"/>
      <c r="C28" s="337"/>
      <c r="D28" s="337"/>
      <c r="E28" s="337"/>
      <c r="F28" s="845"/>
      <c r="G28" s="845"/>
    </row>
    <row r="29" spans="1:20" x14ac:dyDescent="0.2">
      <c r="A29" s="848"/>
      <c r="B29" s="337"/>
      <c r="C29" s="1508"/>
      <c r="D29" s="1508"/>
      <c r="E29" s="1508"/>
      <c r="F29" s="1497"/>
      <c r="G29" s="1497"/>
    </row>
    <row r="30" spans="1:20" x14ac:dyDescent="0.2">
      <c r="B30" s="845"/>
      <c r="C30" s="337"/>
      <c r="D30" s="337"/>
      <c r="E30" s="337"/>
      <c r="F30" s="845"/>
      <c r="G30" s="845"/>
    </row>
    <row r="31" spans="1:20" x14ac:dyDescent="0.2">
      <c r="B31" s="845"/>
      <c r="C31" s="337"/>
      <c r="D31" s="337"/>
      <c r="E31" s="337"/>
      <c r="F31" s="845"/>
      <c r="G31" s="845"/>
    </row>
    <row r="32" spans="1:20" x14ac:dyDescent="0.2">
      <c r="A32" s="848"/>
      <c r="B32" s="1496"/>
      <c r="C32" s="337"/>
      <c r="D32" s="337"/>
      <c r="E32" s="337"/>
      <c r="F32" s="845"/>
      <c r="G32" s="845"/>
    </row>
    <row r="33" spans="2:7" x14ac:dyDescent="0.2">
      <c r="B33" s="845"/>
      <c r="C33" s="337"/>
      <c r="D33" s="337"/>
      <c r="E33" s="337"/>
      <c r="F33" s="845"/>
      <c r="G33" s="845"/>
    </row>
    <row r="34" spans="2:7" x14ac:dyDescent="0.2">
      <c r="B34" s="845"/>
      <c r="C34" s="845"/>
      <c r="D34" s="845"/>
      <c r="E34" s="845"/>
      <c r="F34" s="845"/>
      <c r="G34" s="845"/>
    </row>
    <row r="35" spans="2:7" x14ac:dyDescent="0.2">
      <c r="B35" s="845"/>
      <c r="C35" s="845"/>
      <c r="D35" s="845"/>
      <c r="E35" s="845"/>
      <c r="F35" s="845"/>
      <c r="G35" s="845"/>
    </row>
    <row r="36" spans="2:7" x14ac:dyDescent="0.2">
      <c r="B36" s="845"/>
      <c r="C36" s="845"/>
      <c r="D36" s="845"/>
      <c r="E36" s="845"/>
      <c r="F36" s="845"/>
      <c r="G36" s="845"/>
    </row>
    <row r="37" spans="2:7" x14ac:dyDescent="0.2">
      <c r="B37" s="845"/>
      <c r="C37" s="845"/>
      <c r="D37" s="845"/>
      <c r="E37" s="845"/>
      <c r="F37" s="845"/>
      <c r="G37" s="845"/>
    </row>
    <row r="38" spans="2:7" x14ac:dyDescent="0.2">
      <c r="B38" s="845"/>
      <c r="C38" s="845"/>
      <c r="D38" s="845"/>
      <c r="E38" s="845"/>
      <c r="F38" s="845"/>
      <c r="G38" s="845"/>
    </row>
    <row r="39" spans="2:7" x14ac:dyDescent="0.2">
      <c r="B39" s="845"/>
      <c r="C39" s="845"/>
      <c r="D39" s="845"/>
      <c r="E39" s="845"/>
      <c r="F39" s="845"/>
      <c r="G39" s="845"/>
    </row>
    <row r="40" spans="2:7" x14ac:dyDescent="0.2">
      <c r="B40" s="845"/>
      <c r="C40" s="845"/>
      <c r="D40" s="845"/>
      <c r="E40" s="845"/>
      <c r="F40" s="845"/>
      <c r="G40" s="845"/>
    </row>
    <row r="41" spans="2:7" x14ac:dyDescent="0.2">
      <c r="B41" s="845"/>
      <c r="C41" s="845"/>
      <c r="D41" s="845"/>
      <c r="E41" s="845"/>
      <c r="F41" s="845"/>
      <c r="G41" s="845"/>
    </row>
    <row r="42" spans="2:7" x14ac:dyDescent="0.2">
      <c r="B42" s="845"/>
      <c r="C42" s="845"/>
      <c r="D42" s="845"/>
      <c r="E42" s="845"/>
      <c r="F42" s="845"/>
      <c r="G42" s="845"/>
    </row>
    <row r="43" spans="2:7" x14ac:dyDescent="0.2">
      <c r="B43" s="845"/>
      <c r="C43" s="845"/>
      <c r="D43" s="845"/>
      <c r="E43" s="845"/>
      <c r="F43" s="845"/>
      <c r="G43" s="845"/>
    </row>
    <row r="44" spans="2:7" x14ac:dyDescent="0.2">
      <c r="B44" s="845"/>
      <c r="C44" s="845"/>
      <c r="D44" s="845"/>
      <c r="E44" s="845"/>
      <c r="F44" s="845"/>
      <c r="G44" s="845"/>
    </row>
    <row r="45" spans="2:7" x14ac:dyDescent="0.2">
      <c r="B45" s="845"/>
      <c r="C45" s="845"/>
      <c r="D45" s="845"/>
      <c r="E45" s="845"/>
      <c r="F45" s="845"/>
      <c r="G45" s="845"/>
    </row>
    <row r="46" spans="2:7" x14ac:dyDescent="0.2">
      <c r="B46" s="845"/>
      <c r="C46" s="845"/>
      <c r="D46" s="845"/>
      <c r="E46" s="845"/>
      <c r="F46" s="845"/>
      <c r="G46" s="845"/>
    </row>
    <row r="47" spans="2:7" x14ac:dyDescent="0.2">
      <c r="B47" s="845"/>
      <c r="C47" s="845"/>
      <c r="D47" s="845"/>
      <c r="E47" s="845"/>
      <c r="F47" s="845"/>
      <c r="G47" s="845"/>
    </row>
    <row r="48" spans="2:7" x14ac:dyDescent="0.2">
      <c r="B48" s="845"/>
      <c r="C48" s="845"/>
      <c r="D48" s="845"/>
      <c r="E48" s="845"/>
      <c r="F48" s="845"/>
      <c r="G48" s="845"/>
    </row>
    <row r="49" spans="2:7" x14ac:dyDescent="0.2">
      <c r="B49" s="845"/>
      <c r="C49" s="845"/>
      <c r="D49" s="845"/>
      <c r="E49" s="845"/>
      <c r="F49" s="845"/>
      <c r="G49" s="845"/>
    </row>
  </sheetData>
  <mergeCells count="5">
    <mergeCell ref="A4:G4"/>
    <mergeCell ref="A5:G5"/>
    <mergeCell ref="A6:G6"/>
    <mergeCell ref="A7:G7"/>
    <mergeCell ref="A8:G8"/>
  </mergeCells>
  <printOptions horizontalCentered="1"/>
  <pageMargins left="1" right="1" top="1" bottom="1" header="0.5" footer="0.5"/>
  <pageSetup fitToHeight="0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4:P33"/>
  <sheetViews>
    <sheetView topLeftCell="A5" zoomScaleNormal="100" workbookViewId="0">
      <selection activeCell="N28" sqref="N28"/>
    </sheetView>
  </sheetViews>
  <sheetFormatPr defaultColWidth="9.33203125" defaultRowHeight="12.75" x14ac:dyDescent="0.2"/>
  <cols>
    <col min="1" max="1" width="5.83203125" style="659" customWidth="1"/>
    <col min="2" max="2" width="2.33203125" style="659" customWidth="1"/>
    <col min="3" max="3" width="51" style="659" customWidth="1"/>
    <col min="4" max="5" width="9.33203125" style="659"/>
    <col min="6" max="6" width="13.1640625" style="659" bestFit="1" customWidth="1"/>
    <col min="7" max="7" width="6.83203125" style="659" customWidth="1"/>
    <col min="8" max="8" width="13.6640625" style="659" customWidth="1"/>
    <col min="9" max="9" width="5.33203125" style="659" customWidth="1"/>
    <col min="10" max="10" width="3.1640625" style="659" customWidth="1"/>
    <col min="11" max="16384" width="9.33203125" style="659"/>
  </cols>
  <sheetData>
    <row r="4" spans="1:15" x14ac:dyDescent="0.2">
      <c r="A4" s="2172" t="str">
        <f>co</f>
        <v>COLUMBIA GAS OF KENTUCKY, INC.</v>
      </c>
      <c r="B4" s="2172"/>
      <c r="C4" s="2172"/>
      <c r="D4" s="2172"/>
      <c r="E4" s="2172"/>
      <c r="F4" s="2172"/>
      <c r="G4" s="2172"/>
      <c r="H4" s="2172"/>
      <c r="I4" s="2172"/>
      <c r="J4" s="858"/>
      <c r="K4" s="858"/>
      <c r="L4" s="858"/>
      <c r="M4" s="858"/>
      <c r="N4" s="858"/>
      <c r="O4" s="858"/>
    </row>
    <row r="5" spans="1:15" x14ac:dyDescent="0.2">
      <c r="A5" s="2172" t="str">
        <f>case</f>
        <v>CASE NO. 2016 - 00162</v>
      </c>
      <c r="B5" s="2172"/>
      <c r="C5" s="2172"/>
      <c r="D5" s="2172"/>
      <c r="E5" s="2172"/>
      <c r="F5" s="2172"/>
      <c r="G5" s="2172"/>
      <c r="H5" s="2172"/>
      <c r="I5" s="2172"/>
      <c r="J5" s="858"/>
      <c r="K5" s="858"/>
      <c r="L5" s="858"/>
      <c r="M5" s="858"/>
      <c r="N5" s="858"/>
      <c r="O5" s="858"/>
    </row>
    <row r="6" spans="1:15" x14ac:dyDescent="0.2">
      <c r="A6" s="2174" t="s">
        <v>297</v>
      </c>
      <c r="B6" s="2174"/>
      <c r="C6" s="2174"/>
      <c r="D6" s="2174"/>
      <c r="E6" s="2174"/>
      <c r="F6" s="2174"/>
      <c r="G6" s="2174"/>
      <c r="H6" s="2174"/>
      <c r="I6" s="2174"/>
      <c r="J6" s="859"/>
      <c r="K6" s="859"/>
      <c r="L6" s="859"/>
      <c r="M6" s="859"/>
      <c r="N6" s="859"/>
      <c r="O6" s="859"/>
    </row>
    <row r="7" spans="1:15" x14ac:dyDescent="0.2">
      <c r="A7" s="2172" t="str">
        <f>'F-1 Corp Due &amp; Memberships'!A7:Q7</f>
        <v>BASE PERIOD: TWELVE MONTHS ENDED AUGUST 31, 2016</v>
      </c>
      <c r="B7" s="2172"/>
      <c r="C7" s="2172"/>
      <c r="D7" s="2172"/>
      <c r="E7" s="2172"/>
      <c r="F7" s="2172"/>
      <c r="G7" s="2172"/>
      <c r="H7" s="2172"/>
      <c r="I7" s="2172"/>
      <c r="J7" s="858"/>
      <c r="K7" s="858"/>
      <c r="L7" s="858"/>
      <c r="M7" s="858"/>
      <c r="N7" s="858"/>
      <c r="O7" s="858"/>
    </row>
    <row r="8" spans="1:15" x14ac:dyDescent="0.2">
      <c r="A8" s="2172" t="str">
        <f>'F-1 Corp Due &amp; Memberships'!A8:Q8</f>
        <v>FORECASTED PERIOD: TWELVE MONTHS ENDED DECEMBER 31, 2017</v>
      </c>
      <c r="B8" s="2172"/>
      <c r="C8" s="2172"/>
      <c r="D8" s="2172"/>
      <c r="E8" s="2172"/>
      <c r="F8" s="2172"/>
      <c r="G8" s="2172"/>
      <c r="H8" s="2172"/>
      <c r="I8" s="2172"/>
      <c r="J8" s="858"/>
      <c r="K8" s="858"/>
      <c r="L8" s="858"/>
      <c r="M8" s="858"/>
      <c r="N8" s="858"/>
      <c r="O8" s="858"/>
    </row>
    <row r="10" spans="1:15" x14ac:dyDescent="0.2">
      <c r="A10" s="840" t="s">
        <v>253</v>
      </c>
      <c r="I10" s="841" t="s">
        <v>307</v>
      </c>
    </row>
    <row r="11" spans="1:15" ht="12.75" customHeight="1" x14ac:dyDescent="0.2">
      <c r="A11" s="840" t="s">
        <v>245</v>
      </c>
      <c r="I11" s="841" t="s">
        <v>246</v>
      </c>
      <c r="J11" s="845"/>
      <c r="K11" s="1455"/>
      <c r="L11" s="1455"/>
      <c r="M11" s="1455"/>
      <c r="N11" s="1455"/>
    </row>
    <row r="12" spans="1:15" x14ac:dyDescent="0.2">
      <c r="A12" s="840" t="s">
        <v>247</v>
      </c>
      <c r="I12" s="870" t="str">
        <f>JTC</f>
        <v>WITNESS:  J. T. CROOM</v>
      </c>
      <c r="J12" s="845"/>
      <c r="K12" s="1455"/>
      <c r="L12" s="1455"/>
      <c r="M12" s="1455"/>
      <c r="N12" s="1455"/>
    </row>
    <row r="13" spans="1:15" x14ac:dyDescent="0.2">
      <c r="A13" s="844"/>
      <c r="B13" s="843"/>
      <c r="C13" s="843"/>
      <c r="D13" s="843"/>
      <c r="E13" s="843"/>
      <c r="F13" s="843"/>
      <c r="G13" s="843"/>
      <c r="H13" s="843"/>
      <c r="I13" s="873"/>
      <c r="J13" s="845"/>
      <c r="K13" s="1455"/>
      <c r="L13" s="1455"/>
      <c r="M13" s="1455"/>
      <c r="N13" s="1455"/>
    </row>
    <row r="14" spans="1:15" x14ac:dyDescent="0.2">
      <c r="A14" s="874" t="s">
        <v>632</v>
      </c>
      <c r="J14" s="845"/>
      <c r="K14" s="1455"/>
      <c r="L14" s="1455"/>
      <c r="M14" s="1455"/>
      <c r="N14" s="1455"/>
    </row>
    <row r="15" spans="1:15" x14ac:dyDescent="0.2">
      <c r="A15" s="875" t="s">
        <v>635</v>
      </c>
      <c r="B15" s="843"/>
      <c r="C15" s="876" t="s">
        <v>778</v>
      </c>
      <c r="D15" s="843"/>
      <c r="E15" s="843"/>
      <c r="F15" s="843"/>
      <c r="G15" s="843"/>
      <c r="H15" s="847" t="s">
        <v>771</v>
      </c>
      <c r="I15" s="843"/>
      <c r="J15" s="845"/>
      <c r="K15" s="1455"/>
      <c r="L15" s="1455"/>
      <c r="M15" s="1455"/>
      <c r="N15" s="1455"/>
    </row>
    <row r="16" spans="1:15" x14ac:dyDescent="0.2">
      <c r="A16" s="848"/>
      <c r="J16" s="845"/>
      <c r="K16" s="877"/>
      <c r="L16" s="877"/>
      <c r="M16" s="877"/>
      <c r="N16" s="877"/>
    </row>
    <row r="17" spans="1:16" x14ac:dyDescent="0.2">
      <c r="A17" s="848">
        <v>1</v>
      </c>
      <c r="C17" s="881" t="s">
        <v>299</v>
      </c>
      <c r="D17" s="881"/>
      <c r="E17" s="881"/>
      <c r="F17" s="881"/>
      <c r="G17" s="881"/>
      <c r="H17" s="881"/>
      <c r="J17" s="845"/>
      <c r="K17" s="877"/>
      <c r="L17" s="877"/>
      <c r="M17" s="877"/>
      <c r="N17" s="877"/>
    </row>
    <row r="18" spans="1:16" x14ac:dyDescent="0.2">
      <c r="A18" s="848">
        <f>A17+1</f>
        <v>2</v>
      </c>
      <c r="C18" s="896" t="s">
        <v>1903</v>
      </c>
      <c r="D18" s="881"/>
      <c r="E18" s="881"/>
      <c r="F18" s="895"/>
      <c r="G18" s="881"/>
      <c r="H18" s="1830">
        <v>0</v>
      </c>
      <c r="J18" s="845"/>
      <c r="K18" s="1699"/>
      <c r="L18" s="881"/>
      <c r="M18" s="881"/>
      <c r="N18" s="881"/>
      <c r="O18" s="881"/>
      <c r="P18" s="881"/>
    </row>
    <row r="19" spans="1:16" x14ac:dyDescent="0.2">
      <c r="A19" s="848">
        <f>A18+1</f>
        <v>3</v>
      </c>
      <c r="C19" s="896" t="s">
        <v>1900</v>
      </c>
      <c r="D19" s="881"/>
      <c r="E19" s="881"/>
      <c r="F19" s="1371"/>
      <c r="G19" s="881"/>
      <c r="H19" s="1829">
        <v>58000</v>
      </c>
    </row>
    <row r="20" spans="1:16" ht="15" x14ac:dyDescent="0.35">
      <c r="A20" s="848">
        <f>A19+1</f>
        <v>4</v>
      </c>
      <c r="C20" s="896" t="s">
        <v>1899</v>
      </c>
      <c r="D20" s="881"/>
      <c r="E20" s="881"/>
      <c r="F20" s="1371"/>
      <c r="G20" s="881"/>
      <c r="H20" s="1843">
        <v>100000</v>
      </c>
    </row>
    <row r="21" spans="1:16" x14ac:dyDescent="0.2">
      <c r="A21" s="848">
        <f>A20+1</f>
        <v>5</v>
      </c>
      <c r="C21" s="896" t="s">
        <v>300</v>
      </c>
      <c r="D21" s="881"/>
      <c r="E21" s="881"/>
      <c r="F21" s="881"/>
      <c r="G21" s="881"/>
      <c r="H21" s="1524">
        <f>SUM(H18:H20)</f>
        <v>158000</v>
      </c>
      <c r="K21" s="1684"/>
    </row>
    <row r="22" spans="1:16" x14ac:dyDescent="0.2">
      <c r="A22" s="848"/>
      <c r="C22" s="881"/>
      <c r="D22" s="881"/>
      <c r="E22" s="881"/>
      <c r="F22" s="881"/>
      <c r="G22" s="881"/>
      <c r="H22" s="1524"/>
    </row>
    <row r="23" spans="1:16" x14ac:dyDescent="0.2">
      <c r="A23" s="848">
        <f>A21+1</f>
        <v>6</v>
      </c>
      <c r="C23" s="881" t="s">
        <v>301</v>
      </c>
      <c r="D23" s="881"/>
      <c r="E23" s="881"/>
      <c r="F23" s="1371"/>
      <c r="G23" s="881"/>
      <c r="H23" s="1829">
        <v>425000</v>
      </c>
    </row>
    <row r="24" spans="1:16" x14ac:dyDescent="0.2">
      <c r="A24" s="848"/>
      <c r="C24" s="881"/>
      <c r="D24" s="881"/>
      <c r="E24" s="881"/>
      <c r="F24" s="881"/>
      <c r="G24" s="881"/>
      <c r="H24" s="1524"/>
    </row>
    <row r="25" spans="1:16" x14ac:dyDescent="0.2">
      <c r="A25" s="848">
        <f>A23+1</f>
        <v>7</v>
      </c>
      <c r="C25" s="881" t="s">
        <v>1901</v>
      </c>
      <c r="D25" s="881"/>
      <c r="E25" s="881"/>
      <c r="F25" s="881"/>
      <c r="G25" s="881"/>
      <c r="H25" s="1524"/>
    </row>
    <row r="26" spans="1:16" ht="15" x14ac:dyDescent="0.35">
      <c r="A26" s="848">
        <f>A25+1</f>
        <v>8</v>
      </c>
      <c r="C26" s="896" t="s">
        <v>1902</v>
      </c>
      <c r="D26" s="881"/>
      <c r="E26" s="881"/>
      <c r="F26" s="1371"/>
      <c r="G26" s="881"/>
      <c r="H26" s="1843">
        <v>75000</v>
      </c>
    </row>
    <row r="27" spans="1:16" x14ac:dyDescent="0.2">
      <c r="A27" s="848"/>
      <c r="C27" s="881"/>
      <c r="D27" s="881"/>
      <c r="E27" s="881"/>
      <c r="F27" s="881"/>
      <c r="G27" s="881"/>
      <c r="H27" s="1524"/>
    </row>
    <row r="28" spans="1:16" x14ac:dyDescent="0.2">
      <c r="A28" s="848">
        <f>A26+1</f>
        <v>9</v>
      </c>
      <c r="C28" s="896" t="s">
        <v>302</v>
      </c>
      <c r="D28" s="881"/>
      <c r="E28" s="881"/>
      <c r="F28" s="881"/>
      <c r="G28" s="881"/>
      <c r="H28" s="907">
        <f>SUM(H21:H26)</f>
        <v>658000</v>
      </c>
    </row>
    <row r="29" spans="1:16" x14ac:dyDescent="0.2">
      <c r="A29" s="848"/>
      <c r="C29" s="881"/>
      <c r="D29" s="881"/>
      <c r="E29" s="881"/>
      <c r="F29" s="881"/>
      <c r="G29" s="881"/>
      <c r="H29" s="1524"/>
    </row>
    <row r="30" spans="1:16" x14ac:dyDescent="0.2">
      <c r="A30" s="848">
        <f>A28+1</f>
        <v>10</v>
      </c>
      <c r="C30" s="896" t="s">
        <v>303</v>
      </c>
      <c r="D30" s="881"/>
      <c r="E30" s="881"/>
      <c r="F30" s="881"/>
      <c r="G30" s="881"/>
      <c r="H30" s="1443">
        <f>ROUND(H28/3,0)</f>
        <v>219333</v>
      </c>
    </row>
    <row r="31" spans="1:16" x14ac:dyDescent="0.2">
      <c r="A31" s="848"/>
      <c r="C31" s="333"/>
      <c r="H31" s="903"/>
    </row>
    <row r="32" spans="1:16" x14ac:dyDescent="0.2">
      <c r="A32" s="848"/>
    </row>
    <row r="33" spans="1:3" x14ac:dyDescent="0.2">
      <c r="A33" s="848">
        <f>A30+1</f>
        <v>11</v>
      </c>
      <c r="C33" s="855" t="s">
        <v>1969</v>
      </c>
    </row>
  </sheetData>
  <mergeCells count="5">
    <mergeCell ref="A8:I8"/>
    <mergeCell ref="A4:I4"/>
    <mergeCell ref="A5:I5"/>
    <mergeCell ref="A6:I6"/>
    <mergeCell ref="A7:I7"/>
  </mergeCells>
  <phoneticPr fontId="0" type="noConversion"/>
  <printOptions horizontalCentered="1"/>
  <pageMargins left="0.5" right="0.5" top="0.75" bottom="0.5" header="0.5" footer="0.5"/>
  <pageSetup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4:S41"/>
  <sheetViews>
    <sheetView zoomScaleNormal="100" workbookViewId="0">
      <selection activeCell="K30" sqref="K30"/>
    </sheetView>
  </sheetViews>
  <sheetFormatPr defaultColWidth="9.33203125" defaultRowHeight="12.75" x14ac:dyDescent="0.2"/>
  <cols>
    <col min="1" max="1" width="6.6640625" style="659" customWidth="1"/>
    <col min="2" max="2" width="26.1640625" style="659" customWidth="1"/>
    <col min="3" max="3" width="24.83203125" style="659" customWidth="1"/>
    <col min="4" max="4" width="14.83203125" style="659" customWidth="1"/>
    <col min="5" max="5" width="24.83203125" style="659" customWidth="1"/>
    <col min="6" max="16384" width="9.33203125" style="659"/>
  </cols>
  <sheetData>
    <row r="4" spans="1:17" x14ac:dyDescent="0.2">
      <c r="A4" s="2172" t="str">
        <f>co</f>
        <v>COLUMBIA GAS OF KENTUCKY, INC.</v>
      </c>
      <c r="B4" s="2172"/>
      <c r="C4" s="2172"/>
      <c r="D4" s="2172"/>
      <c r="E4" s="2172"/>
      <c r="F4" s="2172"/>
      <c r="G4" s="2172"/>
      <c r="H4" s="858"/>
      <c r="I4" s="858"/>
      <c r="J4" s="858"/>
      <c r="K4" s="858"/>
      <c r="L4" s="858"/>
      <c r="M4" s="858"/>
      <c r="N4" s="858"/>
    </row>
    <row r="5" spans="1:17" x14ac:dyDescent="0.2">
      <c r="A5" s="2172" t="str">
        <f>case</f>
        <v>CASE NO. 2016 - 00162</v>
      </c>
      <c r="B5" s="2172"/>
      <c r="C5" s="2172"/>
      <c r="D5" s="2172"/>
      <c r="E5" s="2172"/>
      <c r="F5" s="2172"/>
      <c r="G5" s="2172"/>
      <c r="H5" s="858"/>
      <c r="I5" s="858"/>
      <c r="J5" s="858"/>
      <c r="K5" s="858"/>
      <c r="L5" s="858"/>
      <c r="M5" s="858"/>
      <c r="N5" s="858"/>
    </row>
    <row r="6" spans="1:17" x14ac:dyDescent="0.2">
      <c r="A6" s="2174" t="s">
        <v>242</v>
      </c>
      <c r="B6" s="2174"/>
      <c r="C6" s="2174"/>
      <c r="D6" s="2174"/>
      <c r="E6" s="2174"/>
      <c r="F6" s="2174"/>
      <c r="G6" s="2174"/>
      <c r="H6" s="859"/>
      <c r="I6" s="859"/>
      <c r="J6" s="859"/>
      <c r="K6" s="859"/>
      <c r="L6" s="859"/>
      <c r="M6" s="859"/>
      <c r="N6" s="859"/>
    </row>
    <row r="7" spans="1:17" x14ac:dyDescent="0.2">
      <c r="A7" s="2172" t="str">
        <f>'F-1 Corp Due &amp; Memberships'!A7:Q7</f>
        <v>BASE PERIOD: TWELVE MONTHS ENDED AUGUST 31, 2016</v>
      </c>
      <c r="B7" s="2172"/>
      <c r="C7" s="2172"/>
      <c r="D7" s="2172"/>
      <c r="E7" s="2172"/>
      <c r="F7" s="2172"/>
      <c r="G7" s="2172"/>
      <c r="H7" s="858"/>
      <c r="I7" s="858"/>
      <c r="J7" s="858"/>
      <c r="K7" s="858"/>
      <c r="L7" s="858"/>
      <c r="M7" s="858"/>
      <c r="N7" s="858"/>
    </row>
    <row r="8" spans="1:17" x14ac:dyDescent="0.2">
      <c r="A8" s="2172" t="str">
        <f>'F-1 Corp Due &amp; Memberships'!A8:Q8</f>
        <v>FORECASTED PERIOD: TWELVE MONTHS ENDED DECEMBER 31, 2017</v>
      </c>
      <c r="B8" s="2172"/>
      <c r="C8" s="2172"/>
      <c r="D8" s="2172"/>
      <c r="E8" s="2172"/>
      <c r="F8" s="2172"/>
      <c r="G8" s="2172"/>
      <c r="H8" s="858"/>
      <c r="I8" s="858"/>
      <c r="J8" s="858"/>
      <c r="K8" s="858"/>
      <c r="L8" s="858"/>
      <c r="M8" s="858"/>
      <c r="N8" s="858"/>
    </row>
    <row r="9" spans="1:17" x14ac:dyDescent="0.2">
      <c r="G9" s="845"/>
      <c r="H9" s="845"/>
      <c r="I9" s="845"/>
      <c r="J9" s="845"/>
      <c r="K9" s="845"/>
      <c r="L9" s="845"/>
      <c r="M9" s="845"/>
      <c r="N9" s="845"/>
      <c r="O9" s="845"/>
      <c r="P9" s="845"/>
      <c r="Q9" s="845"/>
    </row>
    <row r="10" spans="1:17" x14ac:dyDescent="0.2">
      <c r="A10" s="840" t="s">
        <v>253</v>
      </c>
      <c r="F10" s="878"/>
      <c r="G10" s="841" t="s">
        <v>1974</v>
      </c>
      <c r="H10" s="845"/>
      <c r="I10" s="845"/>
      <c r="J10" s="845"/>
      <c r="K10" s="845"/>
      <c r="L10" s="845"/>
      <c r="M10" s="845"/>
      <c r="N10" s="845"/>
      <c r="O10" s="845"/>
      <c r="P10" s="845"/>
      <c r="Q10" s="845"/>
    </row>
    <row r="11" spans="1:17" x14ac:dyDescent="0.2">
      <c r="A11" s="840" t="s">
        <v>245</v>
      </c>
      <c r="F11" s="878"/>
      <c r="G11" s="841" t="s">
        <v>246</v>
      </c>
      <c r="H11" s="845"/>
      <c r="I11" s="845"/>
      <c r="J11" s="845"/>
      <c r="K11" s="845"/>
      <c r="L11" s="845"/>
      <c r="M11" s="845"/>
      <c r="N11" s="845"/>
      <c r="O11" s="845"/>
      <c r="P11" s="845"/>
      <c r="Q11" s="845"/>
    </row>
    <row r="12" spans="1:17" x14ac:dyDescent="0.2">
      <c r="A12" s="840" t="s">
        <v>247</v>
      </c>
      <c r="F12" s="869"/>
      <c r="G12" s="870" t="str">
        <f>JTC</f>
        <v>WITNESS:  J. T. CROOM</v>
      </c>
      <c r="H12" s="845"/>
      <c r="I12" s="845"/>
      <c r="J12" s="845"/>
      <c r="K12" s="845"/>
      <c r="L12" s="845"/>
      <c r="M12" s="845"/>
      <c r="N12" s="845"/>
      <c r="O12" s="845"/>
      <c r="P12" s="845"/>
      <c r="Q12" s="845"/>
    </row>
    <row r="13" spans="1:17" x14ac:dyDescent="0.2">
      <c r="A13" s="844"/>
      <c r="B13" s="843"/>
      <c r="C13" s="843"/>
      <c r="D13" s="843"/>
      <c r="E13" s="843"/>
      <c r="F13" s="843"/>
      <c r="G13" s="843"/>
      <c r="H13" s="845"/>
      <c r="I13" s="845"/>
      <c r="J13" s="845"/>
      <c r="K13" s="845"/>
      <c r="L13" s="845"/>
      <c r="M13" s="845"/>
      <c r="N13" s="869"/>
      <c r="O13" s="845"/>
      <c r="P13" s="845"/>
      <c r="Q13" s="845"/>
    </row>
    <row r="14" spans="1:17" x14ac:dyDescent="0.2">
      <c r="A14" s="848"/>
      <c r="B14" s="848"/>
      <c r="C14" s="848" t="s">
        <v>830</v>
      </c>
      <c r="E14" s="848" t="s">
        <v>1264</v>
      </c>
      <c r="G14" s="845"/>
      <c r="H14" s="845"/>
      <c r="I14" s="845"/>
      <c r="J14" s="845"/>
      <c r="K14" s="845"/>
      <c r="L14" s="845"/>
      <c r="M14" s="845"/>
      <c r="N14" s="845"/>
      <c r="O14" s="845"/>
      <c r="P14" s="845"/>
      <c r="Q14" s="845"/>
    </row>
    <row r="15" spans="1:17" x14ac:dyDescent="0.2">
      <c r="A15" s="848" t="s">
        <v>632</v>
      </c>
      <c r="B15" s="848" t="s">
        <v>279</v>
      </c>
      <c r="C15" s="848" t="s">
        <v>771</v>
      </c>
      <c r="E15" s="848" t="s">
        <v>771</v>
      </c>
      <c r="G15" s="845"/>
      <c r="H15" s="845"/>
      <c r="I15" s="845"/>
      <c r="J15" s="845"/>
      <c r="K15" s="845"/>
      <c r="L15" s="845"/>
      <c r="M15" s="845"/>
      <c r="N15" s="845"/>
      <c r="O15" s="845"/>
      <c r="P15" s="845"/>
      <c r="Q15" s="845"/>
    </row>
    <row r="16" spans="1:17" x14ac:dyDescent="0.2">
      <c r="A16" s="847" t="s">
        <v>635</v>
      </c>
      <c r="B16" s="863" t="s">
        <v>834</v>
      </c>
      <c r="C16" s="863" t="s">
        <v>835</v>
      </c>
      <c r="D16" s="843"/>
      <c r="E16" s="863" t="s">
        <v>836</v>
      </c>
      <c r="F16" s="843"/>
      <c r="G16" s="843"/>
      <c r="H16" s="845"/>
      <c r="I16" s="845"/>
      <c r="J16" s="845"/>
      <c r="K16" s="845"/>
      <c r="L16" s="845"/>
      <c r="M16" s="845"/>
      <c r="N16" s="845"/>
      <c r="O16" s="845"/>
      <c r="P16" s="845"/>
      <c r="Q16" s="845"/>
    </row>
    <row r="17" spans="1:19" x14ac:dyDescent="0.2">
      <c r="C17" s="853"/>
      <c r="D17" s="853"/>
      <c r="E17" s="853"/>
      <c r="G17" s="845"/>
      <c r="H17" s="845"/>
      <c r="I17" s="845"/>
      <c r="J17" s="845"/>
      <c r="K17" s="845"/>
      <c r="L17" s="845"/>
      <c r="M17" s="845"/>
      <c r="N17" s="845"/>
      <c r="O17" s="845"/>
      <c r="P17" s="845"/>
      <c r="Q17" s="845"/>
    </row>
    <row r="18" spans="1:19" x14ac:dyDescent="0.2">
      <c r="A18" s="848">
        <v>1</v>
      </c>
      <c r="B18" s="659" t="s">
        <v>1837</v>
      </c>
      <c r="C18" s="849">
        <v>0</v>
      </c>
      <c r="D18" s="853"/>
      <c r="E18" s="849">
        <v>0</v>
      </c>
      <c r="G18" s="845"/>
      <c r="H18" s="845"/>
      <c r="I18" s="845"/>
      <c r="J18" s="845"/>
      <c r="K18" s="845"/>
      <c r="L18" s="845"/>
      <c r="M18" s="845"/>
      <c r="N18" s="845"/>
      <c r="O18" s="845"/>
      <c r="P18" s="845"/>
      <c r="Q18" s="845"/>
    </row>
    <row r="19" spans="1:19" x14ac:dyDescent="0.2">
      <c r="A19" s="848"/>
      <c r="C19" s="853"/>
      <c r="D19" s="853"/>
      <c r="E19" s="853"/>
      <c r="G19" s="845"/>
      <c r="H19" s="845"/>
      <c r="I19" s="845"/>
      <c r="J19" s="845"/>
      <c r="K19" s="845"/>
      <c r="L19" s="845"/>
      <c r="M19" s="845"/>
      <c r="N19" s="845"/>
      <c r="O19" s="845"/>
      <c r="P19" s="845"/>
      <c r="Q19" s="845"/>
    </row>
    <row r="20" spans="1:19" x14ac:dyDescent="0.2">
      <c r="A20" s="848">
        <f>A18+1</f>
        <v>2</v>
      </c>
      <c r="B20" s="659" t="s">
        <v>305</v>
      </c>
      <c r="C20" s="503">
        <v>0</v>
      </c>
      <c r="D20" s="853"/>
      <c r="E20" s="503">
        <v>0</v>
      </c>
    </row>
    <row r="21" spans="1:19" x14ac:dyDescent="0.2">
      <c r="A21" s="848"/>
      <c r="C21" s="853"/>
      <c r="D21" s="853"/>
      <c r="E21" s="853"/>
    </row>
    <row r="22" spans="1:19" x14ac:dyDescent="0.2">
      <c r="A22" s="848">
        <f>A20+1</f>
        <v>3</v>
      </c>
      <c r="B22" s="659" t="s">
        <v>306</v>
      </c>
      <c r="C22" s="1373">
        <v>9170</v>
      </c>
      <c r="D22" s="894"/>
      <c r="E22" s="1371">
        <v>9559</v>
      </c>
      <c r="J22" s="881"/>
      <c r="K22" s="881"/>
      <c r="L22" s="1699"/>
      <c r="M22" s="881"/>
      <c r="N22" s="881"/>
      <c r="O22" s="881"/>
      <c r="P22" s="881"/>
      <c r="Q22" s="881"/>
      <c r="R22" s="881"/>
      <c r="S22" s="881"/>
    </row>
    <row r="23" spans="1:19" x14ac:dyDescent="0.2">
      <c r="A23" s="848"/>
      <c r="C23" s="853"/>
      <c r="D23" s="853"/>
      <c r="E23" s="853"/>
    </row>
    <row r="24" spans="1:19" ht="15" x14ac:dyDescent="0.35">
      <c r="A24" s="848">
        <f>A22+1</f>
        <v>4</v>
      </c>
      <c r="B24" s="659" t="s">
        <v>686</v>
      </c>
      <c r="C24" s="879">
        <v>0</v>
      </c>
      <c r="D24" s="853"/>
      <c r="E24" s="879">
        <v>0</v>
      </c>
    </row>
    <row r="25" spans="1:19" x14ac:dyDescent="0.2">
      <c r="A25" s="848"/>
      <c r="C25" s="853"/>
      <c r="D25" s="853"/>
      <c r="E25" s="853"/>
    </row>
    <row r="26" spans="1:19" ht="15" x14ac:dyDescent="0.35">
      <c r="A26" s="848">
        <f>A24+1</f>
        <v>5</v>
      </c>
      <c r="B26" s="659" t="s">
        <v>670</v>
      </c>
      <c r="C26" s="1499">
        <f>SUM(C18:C24)</f>
        <v>9170</v>
      </c>
      <c r="D26" s="334"/>
      <c r="E26" s="1499">
        <f>SUM(E18:E24)</f>
        <v>9559</v>
      </c>
    </row>
    <row r="27" spans="1:19" x14ac:dyDescent="0.2">
      <c r="A27" s="848"/>
      <c r="C27" s="853"/>
      <c r="D27" s="853"/>
      <c r="E27" s="853"/>
    </row>
    <row r="28" spans="1:19" x14ac:dyDescent="0.2">
      <c r="C28" s="853"/>
      <c r="D28" s="853"/>
      <c r="E28" s="853"/>
    </row>
    <row r="29" spans="1:19" x14ac:dyDescent="0.2">
      <c r="A29" s="848">
        <f>A26+1</f>
        <v>6</v>
      </c>
      <c r="B29" s="855" t="s">
        <v>1969</v>
      </c>
      <c r="C29" s="853"/>
      <c r="D29" s="853"/>
      <c r="E29" s="853"/>
    </row>
    <row r="30" spans="1:19" x14ac:dyDescent="0.2">
      <c r="C30" s="853"/>
      <c r="D30" s="853"/>
      <c r="E30" s="853"/>
    </row>
    <row r="31" spans="1:19" x14ac:dyDescent="0.2">
      <c r="C31" s="853"/>
      <c r="D31" s="853"/>
      <c r="E31" s="853"/>
    </row>
    <row r="32" spans="1:19" x14ac:dyDescent="0.2">
      <c r="C32" s="853"/>
      <c r="D32" s="853"/>
      <c r="E32" s="853"/>
    </row>
    <row r="33" spans="3:5" x14ac:dyDescent="0.2">
      <c r="C33" s="853"/>
      <c r="D33" s="853"/>
      <c r="E33" s="853"/>
    </row>
    <row r="34" spans="3:5" x14ac:dyDescent="0.2">
      <c r="C34" s="853"/>
      <c r="D34" s="853"/>
      <c r="E34" s="853"/>
    </row>
    <row r="35" spans="3:5" x14ac:dyDescent="0.2">
      <c r="C35" s="853"/>
      <c r="D35" s="853"/>
      <c r="E35" s="853"/>
    </row>
    <row r="36" spans="3:5" x14ac:dyDescent="0.2">
      <c r="C36" s="853"/>
      <c r="D36" s="853"/>
      <c r="E36" s="853"/>
    </row>
    <row r="37" spans="3:5" x14ac:dyDescent="0.2">
      <c r="C37" s="853"/>
      <c r="D37" s="853"/>
      <c r="E37" s="853"/>
    </row>
    <row r="38" spans="3:5" x14ac:dyDescent="0.2">
      <c r="C38" s="853"/>
      <c r="D38" s="853"/>
      <c r="E38" s="853"/>
    </row>
    <row r="39" spans="3:5" x14ac:dyDescent="0.2">
      <c r="C39" s="853"/>
      <c r="D39" s="853"/>
      <c r="E39" s="853"/>
    </row>
    <row r="40" spans="3:5" x14ac:dyDescent="0.2">
      <c r="C40" s="853"/>
      <c r="D40" s="853"/>
      <c r="E40" s="853"/>
    </row>
    <row r="41" spans="3:5" x14ac:dyDescent="0.2">
      <c r="C41" s="853"/>
      <c r="D41" s="853"/>
      <c r="E41" s="853"/>
    </row>
  </sheetData>
  <mergeCells count="5">
    <mergeCell ref="A8:G8"/>
    <mergeCell ref="A4:G4"/>
    <mergeCell ref="A5:G5"/>
    <mergeCell ref="A6:G6"/>
    <mergeCell ref="A7:G7"/>
  </mergeCells>
  <phoneticPr fontId="0" type="noConversion"/>
  <printOptions horizontalCentered="1"/>
  <pageMargins left="1.25" right="0.5" top="0.75" bottom="0.5" header="0.5" footer="0.5"/>
  <pageSetup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tabColor rgb="FFFFFF00"/>
  </sheetPr>
  <dimension ref="A1:Q39"/>
  <sheetViews>
    <sheetView zoomScaleNormal="100" workbookViewId="0">
      <selection activeCell="G10" sqref="G10"/>
    </sheetView>
  </sheetViews>
  <sheetFormatPr defaultColWidth="9.33203125" defaultRowHeight="12.75" x14ac:dyDescent="0.2"/>
  <cols>
    <col min="1" max="1" width="6.6640625" style="881" customWidth="1"/>
    <col min="2" max="2" width="26.1640625" style="881" customWidth="1"/>
    <col min="3" max="3" width="24.83203125" style="881" customWidth="1"/>
    <col min="4" max="4" width="14.83203125" style="881" customWidth="1"/>
    <col min="5" max="5" width="24.83203125" style="881" customWidth="1"/>
    <col min="6" max="16384" width="9.33203125" style="881"/>
  </cols>
  <sheetData>
    <row r="1" spans="1:17" x14ac:dyDescent="0.2">
      <c r="A1" s="2173" t="str">
        <f>co</f>
        <v>COLUMBIA GAS OF KENTUCKY, INC.</v>
      </c>
      <c r="B1" s="2173"/>
      <c r="C1" s="2173"/>
      <c r="D1" s="2173"/>
      <c r="E1" s="2173"/>
      <c r="F1" s="2173"/>
      <c r="G1" s="2173"/>
      <c r="H1" s="880"/>
      <c r="I1" s="880"/>
      <c r="J1" s="880"/>
      <c r="K1" s="880"/>
      <c r="L1" s="880"/>
      <c r="M1" s="880"/>
      <c r="N1" s="880"/>
    </row>
    <row r="2" spans="1:17" x14ac:dyDescent="0.2">
      <c r="A2" s="2173" t="str">
        <f>case</f>
        <v>CASE NO. 2016 - 00162</v>
      </c>
      <c r="B2" s="2173"/>
      <c r="C2" s="2173"/>
      <c r="D2" s="2173"/>
      <c r="E2" s="2173"/>
      <c r="F2" s="2173"/>
      <c r="G2" s="2173"/>
      <c r="H2" s="880"/>
      <c r="I2" s="880"/>
      <c r="J2" s="880"/>
      <c r="K2" s="880"/>
      <c r="L2" s="880"/>
      <c r="M2" s="880"/>
      <c r="N2" s="880"/>
    </row>
    <row r="3" spans="1:17" x14ac:dyDescent="0.2">
      <c r="A3" s="2169" t="s">
        <v>243</v>
      </c>
      <c r="B3" s="2169"/>
      <c r="C3" s="2169"/>
      <c r="D3" s="2169"/>
      <c r="E3" s="2169"/>
      <c r="F3" s="2169"/>
      <c r="G3" s="2169"/>
      <c r="H3" s="882"/>
      <c r="I3" s="882"/>
      <c r="J3" s="882"/>
      <c r="K3" s="882"/>
      <c r="L3" s="882"/>
      <c r="M3" s="882"/>
      <c r="N3" s="882"/>
    </row>
    <row r="4" spans="1:17" x14ac:dyDescent="0.2">
      <c r="A4" s="2173" t="str">
        <f>'F-1 Corp Due &amp; Memberships'!A7:Q7</f>
        <v>BASE PERIOD: TWELVE MONTHS ENDED AUGUST 31, 2016</v>
      </c>
      <c r="B4" s="2173"/>
      <c r="C4" s="2173"/>
      <c r="D4" s="2173"/>
      <c r="E4" s="2173"/>
      <c r="F4" s="2173"/>
      <c r="G4" s="2173"/>
      <c r="H4" s="880"/>
      <c r="I4" s="880"/>
      <c r="J4" s="880"/>
      <c r="K4" s="880"/>
      <c r="L4" s="880"/>
      <c r="M4" s="880"/>
      <c r="N4" s="880"/>
    </row>
    <row r="5" spans="1:17" x14ac:dyDescent="0.2">
      <c r="A5" s="2173" t="str">
        <f>'F-1 Corp Due &amp; Memberships'!A8:Q8</f>
        <v>FORECASTED PERIOD: TWELVE MONTHS ENDED DECEMBER 31, 2017</v>
      </c>
      <c r="B5" s="2173"/>
      <c r="C5" s="2173"/>
      <c r="D5" s="2173"/>
      <c r="E5" s="2173"/>
      <c r="F5" s="2173"/>
      <c r="G5" s="2173"/>
      <c r="H5" s="880"/>
      <c r="I5" s="880"/>
      <c r="J5" s="880"/>
      <c r="K5" s="880"/>
      <c r="L5" s="880"/>
      <c r="M5" s="880"/>
      <c r="N5" s="880"/>
    </row>
    <row r="6" spans="1:17" x14ac:dyDescent="0.2">
      <c r="G6" s="883"/>
      <c r="H6" s="883"/>
      <c r="I6" s="883"/>
      <c r="J6" s="883"/>
      <c r="K6" s="883"/>
      <c r="L6" s="883"/>
      <c r="M6" s="883"/>
      <c r="N6" s="883"/>
      <c r="O6" s="883"/>
      <c r="P6" s="883"/>
      <c r="Q6" s="883"/>
    </row>
    <row r="7" spans="1:17" x14ac:dyDescent="0.2">
      <c r="A7" s="884" t="s">
        <v>253</v>
      </c>
      <c r="F7" s="885"/>
      <c r="G7" s="886" t="s">
        <v>307</v>
      </c>
      <c r="H7" s="883"/>
      <c r="I7" s="883"/>
      <c r="J7" s="883"/>
      <c r="K7" s="883"/>
      <c r="L7" s="883"/>
      <c r="M7" s="883"/>
      <c r="N7" s="883"/>
      <c r="O7" s="883"/>
      <c r="P7" s="883"/>
      <c r="Q7" s="883"/>
    </row>
    <row r="8" spans="1:17" x14ac:dyDescent="0.2">
      <c r="A8" s="884" t="s">
        <v>245</v>
      </c>
      <c r="F8" s="885"/>
      <c r="G8" s="886" t="s">
        <v>246</v>
      </c>
      <c r="H8" s="883"/>
      <c r="I8" s="883"/>
      <c r="J8" s="883"/>
      <c r="K8" s="883"/>
      <c r="L8" s="883"/>
      <c r="M8" s="883"/>
      <c r="N8" s="883"/>
      <c r="O8" s="883"/>
      <c r="P8" s="883"/>
      <c r="Q8" s="883"/>
    </row>
    <row r="9" spans="1:17" x14ac:dyDescent="0.2">
      <c r="A9" s="884" t="s">
        <v>247</v>
      </c>
      <c r="F9" s="887"/>
      <c r="G9" s="888" t="str">
        <f>JTC</f>
        <v>WITNESS:  J. T. CROOM</v>
      </c>
      <c r="H9" s="883"/>
      <c r="I9" s="883"/>
      <c r="J9" s="883"/>
      <c r="K9" s="883"/>
      <c r="L9" s="883"/>
      <c r="M9" s="883"/>
      <c r="N9" s="883"/>
      <c r="O9" s="883"/>
      <c r="P9" s="883"/>
      <c r="Q9" s="883"/>
    </row>
    <row r="10" spans="1:17" x14ac:dyDescent="0.2">
      <c r="A10" s="889"/>
      <c r="B10" s="890"/>
      <c r="C10" s="890"/>
      <c r="D10" s="890"/>
      <c r="E10" s="890"/>
      <c r="F10" s="890"/>
      <c r="G10" s="890"/>
      <c r="H10" s="883"/>
      <c r="I10" s="883"/>
      <c r="J10" s="883"/>
      <c r="K10" s="883"/>
      <c r="L10" s="883"/>
      <c r="M10" s="883"/>
      <c r="N10" s="887"/>
      <c r="O10" s="883"/>
      <c r="P10" s="883"/>
      <c r="Q10" s="883"/>
    </row>
    <row r="11" spans="1:17" x14ac:dyDescent="0.2">
      <c r="A11" s="891"/>
      <c r="B11" s="891"/>
      <c r="C11" s="891" t="s">
        <v>830</v>
      </c>
      <c r="E11" s="891" t="s">
        <v>1264</v>
      </c>
      <c r="G11" s="883"/>
      <c r="H11" s="883"/>
      <c r="I11" s="883"/>
      <c r="J11" s="883"/>
      <c r="K11" s="883"/>
      <c r="L11" s="883"/>
      <c r="M11" s="883"/>
      <c r="N11" s="883"/>
      <c r="O11" s="883"/>
      <c r="P11" s="883"/>
      <c r="Q11" s="883"/>
    </row>
    <row r="12" spans="1:17" x14ac:dyDescent="0.2">
      <c r="A12" s="891" t="s">
        <v>632</v>
      </c>
      <c r="B12" s="891" t="s">
        <v>279</v>
      </c>
      <c r="C12" s="891" t="s">
        <v>771</v>
      </c>
      <c r="E12" s="891" t="s">
        <v>771</v>
      </c>
      <c r="G12" s="883"/>
      <c r="H12" s="883"/>
      <c r="I12" s="883"/>
      <c r="J12" s="883"/>
      <c r="K12" s="883"/>
      <c r="L12" s="883"/>
      <c r="M12" s="883"/>
      <c r="N12" s="883"/>
      <c r="O12" s="883"/>
      <c r="P12" s="883"/>
      <c r="Q12" s="883"/>
    </row>
    <row r="13" spans="1:17" x14ac:dyDescent="0.2">
      <c r="A13" s="892" t="s">
        <v>635</v>
      </c>
      <c r="B13" s="893" t="s">
        <v>834</v>
      </c>
      <c r="C13" s="893" t="s">
        <v>835</v>
      </c>
      <c r="D13" s="890"/>
      <c r="E13" s="893" t="s">
        <v>836</v>
      </c>
      <c r="F13" s="890"/>
      <c r="G13" s="890"/>
      <c r="H13" s="883"/>
      <c r="I13" s="883"/>
      <c r="J13" s="883"/>
      <c r="K13" s="883"/>
      <c r="L13" s="883"/>
      <c r="M13" s="883"/>
      <c r="N13" s="883"/>
      <c r="O13" s="883"/>
      <c r="P13" s="883"/>
      <c r="Q13" s="883"/>
    </row>
    <row r="14" spans="1:17" x14ac:dyDescent="0.2">
      <c r="C14" s="894"/>
      <c r="D14" s="894"/>
      <c r="E14" s="894"/>
      <c r="G14" s="883"/>
      <c r="H14" s="883"/>
      <c r="I14" s="883"/>
      <c r="J14" s="883"/>
      <c r="K14" s="883"/>
      <c r="L14" s="883"/>
      <c r="M14" s="883"/>
      <c r="N14" s="883"/>
      <c r="O14" s="883"/>
      <c r="P14" s="883"/>
      <c r="Q14" s="883"/>
    </row>
    <row r="15" spans="1:17" x14ac:dyDescent="0.2">
      <c r="A15" s="891">
        <v>1</v>
      </c>
      <c r="B15" s="881" t="s">
        <v>243</v>
      </c>
      <c r="C15" s="895"/>
      <c r="D15" s="894"/>
      <c r="E15" s="895"/>
      <c r="G15" s="883"/>
      <c r="H15" s="883"/>
      <c r="I15" s="883"/>
      <c r="J15" s="883"/>
      <c r="K15" s="883"/>
      <c r="L15" s="883"/>
      <c r="M15" s="883"/>
      <c r="N15" s="883"/>
      <c r="O15" s="883"/>
      <c r="P15" s="883"/>
      <c r="Q15" s="883"/>
    </row>
    <row r="16" spans="1:17" x14ac:dyDescent="0.2">
      <c r="A16" s="891"/>
      <c r="C16" s="894"/>
      <c r="D16" s="894"/>
      <c r="E16" s="894"/>
      <c r="G16" s="883"/>
      <c r="H16" s="883"/>
      <c r="I16" s="883"/>
      <c r="J16" s="883"/>
      <c r="K16" s="883"/>
      <c r="L16" s="883"/>
      <c r="M16" s="883"/>
      <c r="N16" s="883"/>
      <c r="O16" s="883"/>
      <c r="P16" s="883"/>
      <c r="Q16" s="883"/>
    </row>
    <row r="17" spans="1:5" ht="13.5" thickBot="1" x14ac:dyDescent="0.25">
      <c r="A17" s="891">
        <f>A15+1</f>
        <v>2</v>
      </c>
      <c r="B17" s="896" t="s">
        <v>670</v>
      </c>
      <c r="C17" s="897">
        <f>SUM(C15:C16)</f>
        <v>0</v>
      </c>
      <c r="D17" s="894"/>
      <c r="E17" s="897">
        <f>SUM(E15:E16)</f>
        <v>0</v>
      </c>
    </row>
    <row r="18" spans="1:5" ht="13.5" thickTop="1" x14ac:dyDescent="0.2">
      <c r="A18" s="891"/>
      <c r="C18" s="894"/>
      <c r="D18" s="894"/>
      <c r="E18" s="894"/>
    </row>
    <row r="19" spans="1:5" x14ac:dyDescent="0.2">
      <c r="A19" s="891"/>
      <c r="C19" s="898"/>
      <c r="D19" s="898"/>
      <c r="E19" s="898"/>
    </row>
    <row r="20" spans="1:5" x14ac:dyDescent="0.2">
      <c r="A20" s="891"/>
      <c r="B20" s="1468" t="s">
        <v>1881</v>
      </c>
      <c r="C20" s="1469"/>
      <c r="D20" s="1469"/>
      <c r="E20" s="898"/>
    </row>
    <row r="21" spans="1:5" x14ac:dyDescent="0.2">
      <c r="A21" s="891"/>
      <c r="C21" s="898"/>
      <c r="D21" s="898"/>
      <c r="E21" s="898"/>
    </row>
    <row r="22" spans="1:5" x14ac:dyDescent="0.2">
      <c r="A22" s="891"/>
      <c r="C22" s="898"/>
      <c r="D22" s="898"/>
      <c r="E22" s="898"/>
    </row>
    <row r="23" spans="1:5" x14ac:dyDescent="0.2">
      <c r="A23" s="891"/>
      <c r="C23" s="898"/>
      <c r="D23" s="898"/>
      <c r="E23" s="898"/>
    </row>
    <row r="24" spans="1:5" x14ac:dyDescent="0.2">
      <c r="A24" s="891"/>
      <c r="C24" s="894"/>
      <c r="D24" s="894"/>
      <c r="E24" s="894"/>
    </row>
    <row r="25" spans="1:5" x14ac:dyDescent="0.2">
      <c r="C25" s="894"/>
      <c r="D25" s="894"/>
      <c r="E25" s="894"/>
    </row>
    <row r="26" spans="1:5" x14ac:dyDescent="0.2">
      <c r="C26" s="894"/>
      <c r="D26" s="894"/>
      <c r="E26" s="894"/>
    </row>
    <row r="27" spans="1:5" x14ac:dyDescent="0.2">
      <c r="C27" s="894"/>
      <c r="D27" s="894"/>
      <c r="E27" s="894"/>
    </row>
    <row r="28" spans="1:5" x14ac:dyDescent="0.2">
      <c r="C28" s="894"/>
      <c r="D28" s="894"/>
      <c r="E28" s="894"/>
    </row>
    <row r="29" spans="1:5" x14ac:dyDescent="0.2">
      <c r="C29" s="894"/>
      <c r="D29" s="894"/>
      <c r="E29" s="894"/>
    </row>
    <row r="30" spans="1:5" x14ac:dyDescent="0.2">
      <c r="C30" s="894"/>
      <c r="D30" s="894"/>
      <c r="E30" s="894"/>
    </row>
    <row r="31" spans="1:5" x14ac:dyDescent="0.2">
      <c r="C31" s="894"/>
      <c r="D31" s="894"/>
      <c r="E31" s="894"/>
    </row>
    <row r="32" spans="1:5" x14ac:dyDescent="0.2">
      <c r="C32" s="894"/>
      <c r="D32" s="894"/>
      <c r="E32" s="894"/>
    </row>
    <row r="33" spans="3:5" x14ac:dyDescent="0.2">
      <c r="C33" s="894"/>
      <c r="D33" s="894"/>
      <c r="E33" s="894"/>
    </row>
    <row r="34" spans="3:5" x14ac:dyDescent="0.2">
      <c r="C34" s="894"/>
      <c r="D34" s="894"/>
      <c r="E34" s="894"/>
    </row>
    <row r="35" spans="3:5" x14ac:dyDescent="0.2">
      <c r="C35" s="894"/>
      <c r="D35" s="894"/>
      <c r="E35" s="894"/>
    </row>
    <row r="36" spans="3:5" x14ac:dyDescent="0.2">
      <c r="C36" s="894"/>
      <c r="D36" s="894"/>
      <c r="E36" s="894"/>
    </row>
    <row r="37" spans="3:5" x14ac:dyDescent="0.2">
      <c r="C37" s="894"/>
      <c r="D37" s="894"/>
      <c r="E37" s="894"/>
    </row>
    <row r="38" spans="3:5" x14ac:dyDescent="0.2">
      <c r="C38" s="894"/>
      <c r="D38" s="894"/>
      <c r="E38" s="894"/>
    </row>
    <row r="39" spans="3:5" x14ac:dyDescent="0.2">
      <c r="C39" s="894"/>
      <c r="D39" s="894"/>
      <c r="E39" s="894"/>
    </row>
  </sheetData>
  <mergeCells count="5">
    <mergeCell ref="A5:G5"/>
    <mergeCell ref="A1:G1"/>
    <mergeCell ref="A2:G2"/>
    <mergeCell ref="A3:G3"/>
    <mergeCell ref="A4:G4"/>
  </mergeCells>
  <phoneticPr fontId="0" type="noConversion"/>
  <printOptions horizontalCentered="1"/>
  <pageMargins left="0.5" right="0.5" top="0.5" bottom="0.5" header="0.5" footer="0.5"/>
  <pageSetup orientation="landscape" verticalDpi="0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76">
    <pageSetUpPr fitToPage="1"/>
  </sheetPr>
  <dimension ref="A1:E86"/>
  <sheetViews>
    <sheetView zoomScaleNormal="100" workbookViewId="0">
      <selection activeCell="C27" sqref="C27"/>
    </sheetView>
  </sheetViews>
  <sheetFormatPr defaultColWidth="9.83203125" defaultRowHeight="10.5" x14ac:dyDescent="0.15"/>
  <cols>
    <col min="1" max="1" width="25.1640625" style="836" customWidth="1"/>
    <col min="2" max="2" width="3.5" style="836" customWidth="1"/>
    <col min="3" max="3" width="76.33203125" style="836" customWidth="1"/>
    <col min="4" max="4" width="1" style="836" customWidth="1"/>
    <col min="5" max="5" width="9.83203125" style="836"/>
    <col min="6" max="6" width="1.83203125" style="836" customWidth="1"/>
    <col min="7" max="7" width="7.83203125" style="836" customWidth="1"/>
    <col min="8" max="8" width="6.83203125" style="836" customWidth="1"/>
    <col min="9" max="16384" width="9.83203125" style="836"/>
  </cols>
  <sheetData>
    <row r="1" spans="1:5" ht="12.75" x14ac:dyDescent="0.2">
      <c r="A1" s="242" t="s">
        <v>680</v>
      </c>
      <c r="B1" s="241"/>
      <c r="C1" s="241"/>
      <c r="D1" s="577"/>
      <c r="E1" s="577"/>
    </row>
    <row r="2" spans="1:5" ht="12.75" x14ac:dyDescent="0.2">
      <c r="A2" s="241"/>
      <c r="B2" s="241"/>
      <c r="C2" s="241"/>
      <c r="D2" s="577"/>
      <c r="E2" s="577"/>
    </row>
    <row r="3" spans="1:5" ht="12.75" x14ac:dyDescent="0.2">
      <c r="A3" s="241"/>
      <c r="B3" s="241"/>
      <c r="C3" s="241"/>
      <c r="D3" s="577"/>
      <c r="E3" s="577"/>
    </row>
    <row r="4" spans="1:5" ht="12.75" x14ac:dyDescent="0.2">
      <c r="A4" s="241"/>
      <c r="B4" s="241"/>
      <c r="C4" s="241"/>
      <c r="D4" s="577"/>
      <c r="E4" s="577"/>
    </row>
    <row r="5" spans="1:5" ht="12.75" x14ac:dyDescent="0.2">
      <c r="A5" s="2055" t="s">
        <v>1844</v>
      </c>
      <c r="B5" s="2055"/>
      <c r="C5" s="2055"/>
      <c r="D5" s="577"/>
      <c r="E5" s="577"/>
    </row>
    <row r="6" spans="1:5" ht="12.75" x14ac:dyDescent="0.2">
      <c r="A6" s="241"/>
      <c r="B6" s="241"/>
      <c r="C6" s="241"/>
      <c r="D6" s="577"/>
      <c r="E6" s="577"/>
    </row>
    <row r="7" spans="1:5" ht="12.75" x14ac:dyDescent="0.2">
      <c r="A7" s="2055" t="s">
        <v>308</v>
      </c>
      <c r="B7" s="2055"/>
      <c r="C7" s="2055"/>
      <c r="D7" s="577"/>
      <c r="E7" s="577"/>
    </row>
    <row r="8" spans="1:5" ht="12.75" x14ac:dyDescent="0.2">
      <c r="A8" s="241"/>
      <c r="B8" s="241"/>
      <c r="C8" s="241"/>
      <c r="D8" s="577"/>
      <c r="E8" s="577"/>
    </row>
    <row r="9" spans="1:5" ht="12.75" x14ac:dyDescent="0.2">
      <c r="A9" s="2055" t="s">
        <v>624</v>
      </c>
      <c r="B9" s="2055"/>
      <c r="C9" s="2055"/>
      <c r="D9" s="577"/>
      <c r="E9" s="577"/>
    </row>
    <row r="10" spans="1:5" ht="12.75" x14ac:dyDescent="0.2">
      <c r="A10" s="241"/>
      <c r="B10" s="241"/>
      <c r="C10" s="241"/>
      <c r="D10" s="577"/>
      <c r="E10" s="577"/>
    </row>
    <row r="11" spans="1:5" ht="12.75" x14ac:dyDescent="0.2">
      <c r="A11" s="2055" t="str">
        <f>case</f>
        <v>CASE NO. 2016 - 00162</v>
      </c>
      <c r="B11" s="2055"/>
      <c r="C11" s="2055"/>
      <c r="D11" s="577"/>
      <c r="E11" s="577"/>
    </row>
    <row r="12" spans="1:5" ht="12.75" x14ac:dyDescent="0.2">
      <c r="A12" s="241"/>
      <c r="B12" s="241"/>
      <c r="C12" s="241"/>
      <c r="D12" s="577"/>
      <c r="E12" s="577"/>
    </row>
    <row r="13" spans="1:5" ht="12.75" x14ac:dyDescent="0.2">
      <c r="A13" s="241"/>
      <c r="B13" s="241"/>
      <c r="C13" s="241"/>
      <c r="D13" s="577"/>
      <c r="E13" s="577"/>
    </row>
    <row r="14" spans="1:5" ht="12.75" x14ac:dyDescent="0.2">
      <c r="A14" s="241"/>
      <c r="B14" s="241"/>
      <c r="C14" s="241"/>
      <c r="D14" s="577"/>
      <c r="E14" s="577"/>
    </row>
    <row r="15" spans="1:5" ht="12.75" x14ac:dyDescent="0.2">
      <c r="A15" s="241"/>
      <c r="B15" s="241"/>
      <c r="C15" s="241"/>
      <c r="D15" s="577"/>
      <c r="E15" s="577"/>
    </row>
    <row r="16" spans="1:5" ht="12.75" x14ac:dyDescent="0.2">
      <c r="A16" s="242" t="s">
        <v>830</v>
      </c>
      <c r="B16" s="241"/>
      <c r="C16" s="242" t="str">
        <f>base</f>
        <v>FOR THE TWELVE MONTHS ENDED AUGUST 31, 2016</v>
      </c>
      <c r="D16" s="577"/>
      <c r="E16" s="577"/>
    </row>
    <row r="17" spans="1:5" ht="12.75" x14ac:dyDescent="0.2">
      <c r="A17" s="241"/>
      <c r="B17" s="241"/>
      <c r="C17" s="241"/>
      <c r="D17" s="577"/>
      <c r="E17" s="577"/>
    </row>
    <row r="18" spans="1:5" ht="12.75" x14ac:dyDescent="0.2">
      <c r="A18" s="242" t="s">
        <v>1264</v>
      </c>
      <c r="B18" s="241"/>
      <c r="C18" s="242" t="str">
        <f>forecast</f>
        <v>FOR THE TWELVE MONTHS ENDED DECEMBER 31, 2017</v>
      </c>
      <c r="D18" s="577"/>
      <c r="E18" s="577"/>
    </row>
    <row r="19" spans="1:5" ht="12.75" x14ac:dyDescent="0.2">
      <c r="A19" s="241"/>
      <c r="B19" s="241"/>
      <c r="C19" s="241"/>
      <c r="D19" s="577"/>
      <c r="E19" s="577"/>
    </row>
    <row r="20" spans="1:5" ht="12.75" x14ac:dyDescent="0.2">
      <c r="A20" s="241"/>
      <c r="B20" s="241"/>
      <c r="C20" s="241"/>
      <c r="D20" s="577"/>
      <c r="E20" s="577"/>
    </row>
    <row r="21" spans="1:5" ht="12.75" x14ac:dyDescent="0.2">
      <c r="A21" s="244" t="s">
        <v>633</v>
      </c>
      <c r="B21" s="244"/>
      <c r="C21" s="245" t="s">
        <v>778</v>
      </c>
      <c r="D21" s="899"/>
      <c r="E21" s="899"/>
    </row>
    <row r="22" spans="1:5" ht="12.75" x14ac:dyDescent="0.2">
      <c r="A22" s="241"/>
      <c r="B22" s="241"/>
      <c r="C22" s="241"/>
      <c r="D22" s="577"/>
      <c r="E22" s="577"/>
    </row>
    <row r="23" spans="1:5" ht="12.75" x14ac:dyDescent="0.2">
      <c r="A23" s="837" t="s">
        <v>309</v>
      </c>
      <c r="B23" s="241"/>
      <c r="C23" s="241" t="s">
        <v>310</v>
      </c>
      <c r="D23" s="577"/>
      <c r="E23" s="577"/>
    </row>
    <row r="24" spans="1:5" ht="12.75" x14ac:dyDescent="0.2">
      <c r="A24" s="241" t="s">
        <v>311</v>
      </c>
      <c r="B24" s="241"/>
      <c r="C24" s="247" t="s">
        <v>312</v>
      </c>
      <c r="D24" s="577"/>
      <c r="E24" s="577"/>
    </row>
    <row r="25" spans="1:5" ht="12.75" x14ac:dyDescent="0.2">
      <c r="A25" s="241" t="s">
        <v>313</v>
      </c>
      <c r="B25" s="241"/>
      <c r="C25" s="247" t="s">
        <v>314</v>
      </c>
      <c r="D25" s="577"/>
      <c r="E25" s="577"/>
    </row>
    <row r="26" spans="1:5" ht="12.75" x14ac:dyDescent="0.2">
      <c r="A26" s="241"/>
      <c r="B26" s="241"/>
      <c r="C26" s="247"/>
      <c r="D26" s="577"/>
      <c r="E26" s="577"/>
    </row>
    <row r="27" spans="1:5" ht="12.75" x14ac:dyDescent="0.2">
      <c r="A27" s="673"/>
      <c r="B27" s="673"/>
      <c r="C27" s="838"/>
      <c r="D27" s="673"/>
      <c r="E27" s="577"/>
    </row>
    <row r="28" spans="1:5" ht="12.75" x14ac:dyDescent="0.2">
      <c r="A28" s="673"/>
      <c r="B28" s="673"/>
      <c r="C28" s="673"/>
      <c r="D28" s="577"/>
      <c r="E28" s="577"/>
    </row>
    <row r="29" spans="1:5" ht="12.75" x14ac:dyDescent="0.2">
      <c r="A29" s="673"/>
      <c r="B29" s="673"/>
      <c r="C29" s="673"/>
      <c r="D29" s="577"/>
      <c r="E29" s="577"/>
    </row>
    <row r="30" spans="1:5" ht="12.75" x14ac:dyDescent="0.2">
      <c r="A30" s="673"/>
      <c r="B30" s="673"/>
      <c r="C30" s="673"/>
      <c r="D30" s="577"/>
      <c r="E30" s="577"/>
    </row>
    <row r="31" spans="1:5" ht="12.75" x14ac:dyDescent="0.2">
      <c r="A31" s="673"/>
      <c r="B31" s="673"/>
      <c r="C31" s="673"/>
      <c r="D31" s="577"/>
      <c r="E31" s="577"/>
    </row>
    <row r="32" spans="1:5" ht="12.75" x14ac:dyDescent="0.2">
      <c r="A32" s="838"/>
      <c r="B32" s="838"/>
      <c r="C32" s="838"/>
      <c r="D32" s="577"/>
      <c r="E32" s="577"/>
    </row>
    <row r="33" spans="1:5" ht="12.75" x14ac:dyDescent="0.2">
      <c r="A33" s="673"/>
      <c r="B33" s="673"/>
      <c r="C33" s="673"/>
      <c r="D33" s="577"/>
      <c r="E33" s="577"/>
    </row>
    <row r="34" spans="1:5" ht="12.75" x14ac:dyDescent="0.2">
      <c r="A34" s="673"/>
      <c r="B34" s="673"/>
      <c r="C34" s="673"/>
      <c r="D34" s="577"/>
      <c r="E34" s="577"/>
    </row>
    <row r="35" spans="1:5" ht="12.75" x14ac:dyDescent="0.2">
      <c r="A35" s="673"/>
      <c r="B35" s="673"/>
      <c r="C35" s="673"/>
      <c r="D35" s="577"/>
      <c r="E35" s="577"/>
    </row>
    <row r="36" spans="1:5" ht="12.75" x14ac:dyDescent="0.2">
      <c r="A36" s="673"/>
      <c r="B36" s="673"/>
      <c r="C36" s="673"/>
      <c r="D36" s="577"/>
      <c r="E36" s="577"/>
    </row>
    <row r="37" spans="1:5" ht="12.75" x14ac:dyDescent="0.2">
      <c r="A37" s="673"/>
      <c r="B37" s="673"/>
      <c r="C37" s="673"/>
      <c r="D37" s="577"/>
      <c r="E37" s="577"/>
    </row>
    <row r="38" spans="1:5" ht="12.75" x14ac:dyDescent="0.2">
      <c r="A38" s="673"/>
      <c r="B38" s="673"/>
      <c r="C38" s="673"/>
      <c r="D38" s="577"/>
      <c r="E38" s="577"/>
    </row>
    <row r="39" spans="1:5" ht="12.75" x14ac:dyDescent="0.2">
      <c r="A39" s="673"/>
      <c r="B39" s="673"/>
      <c r="C39" s="673"/>
      <c r="D39" s="577"/>
      <c r="E39" s="577"/>
    </row>
    <row r="40" spans="1:5" ht="12.75" x14ac:dyDescent="0.2">
      <c r="A40" s="673"/>
      <c r="B40" s="673"/>
      <c r="C40" s="673"/>
      <c r="D40" s="577"/>
      <c r="E40" s="577"/>
    </row>
    <row r="41" spans="1:5" ht="11.25" x14ac:dyDescent="0.2">
      <c r="A41" s="577"/>
      <c r="B41" s="577"/>
      <c r="C41" s="577"/>
      <c r="D41" s="577"/>
      <c r="E41" s="577"/>
    </row>
    <row r="42" spans="1:5" ht="11.25" x14ac:dyDescent="0.2">
      <c r="A42" s="577"/>
      <c r="B42" s="577"/>
      <c r="C42" s="577"/>
      <c r="D42" s="577"/>
      <c r="E42" s="577"/>
    </row>
    <row r="43" spans="1:5" ht="11.25" x14ac:dyDescent="0.2">
      <c r="A43" s="577"/>
      <c r="B43" s="577"/>
      <c r="C43" s="577"/>
      <c r="D43" s="577"/>
      <c r="E43" s="577"/>
    </row>
    <row r="44" spans="1:5" ht="11.25" x14ac:dyDescent="0.2">
      <c r="A44" s="577"/>
      <c r="B44" s="577"/>
      <c r="C44" s="577"/>
      <c r="D44" s="577"/>
      <c r="E44" s="577"/>
    </row>
    <row r="45" spans="1:5" ht="11.25" x14ac:dyDescent="0.2">
      <c r="A45" s="577"/>
      <c r="B45" s="577"/>
      <c r="C45" s="577"/>
      <c r="D45" s="577"/>
      <c r="E45" s="577"/>
    </row>
    <row r="46" spans="1:5" ht="11.25" x14ac:dyDescent="0.2">
      <c r="A46" s="577"/>
      <c r="B46" s="577"/>
      <c r="C46" s="577"/>
      <c r="D46" s="577"/>
      <c r="E46" s="577"/>
    </row>
    <row r="47" spans="1:5" ht="11.25" x14ac:dyDescent="0.2">
      <c r="A47" s="577"/>
      <c r="B47" s="577"/>
      <c r="C47" s="577"/>
      <c r="D47" s="577"/>
      <c r="E47" s="577"/>
    </row>
    <row r="48" spans="1:5" ht="11.25" x14ac:dyDescent="0.2">
      <c r="A48" s="577"/>
      <c r="B48" s="577"/>
      <c r="C48" s="577"/>
      <c r="D48" s="577"/>
      <c r="E48" s="577"/>
    </row>
    <row r="49" spans="1:5" ht="11.25" x14ac:dyDescent="0.2">
      <c r="A49" s="577"/>
      <c r="B49" s="577"/>
      <c r="C49" s="577"/>
      <c r="D49" s="577"/>
      <c r="E49" s="577"/>
    </row>
    <row r="50" spans="1:5" ht="11.25" x14ac:dyDescent="0.2">
      <c r="A50" s="577"/>
      <c r="B50" s="577"/>
      <c r="C50" s="577"/>
      <c r="D50" s="577"/>
      <c r="E50" s="577"/>
    </row>
    <row r="51" spans="1:5" ht="11.25" x14ac:dyDescent="0.2">
      <c r="A51" s="577"/>
      <c r="B51" s="577"/>
      <c r="C51" s="577"/>
      <c r="D51" s="577"/>
      <c r="E51" s="577"/>
    </row>
    <row r="52" spans="1:5" ht="11.25" x14ac:dyDescent="0.2">
      <c r="A52" s="577"/>
      <c r="B52" s="577"/>
      <c r="C52" s="577"/>
      <c r="D52" s="577"/>
      <c r="E52" s="577"/>
    </row>
    <row r="53" spans="1:5" ht="11.25" x14ac:dyDescent="0.2">
      <c r="A53" s="577"/>
      <c r="B53" s="577"/>
      <c r="C53" s="577"/>
      <c r="D53" s="577"/>
      <c r="E53" s="577"/>
    </row>
    <row r="54" spans="1:5" ht="11.25" x14ac:dyDescent="0.2">
      <c r="A54" s="577"/>
      <c r="B54" s="577"/>
      <c r="C54" s="577"/>
      <c r="D54" s="577"/>
      <c r="E54" s="577"/>
    </row>
    <row r="55" spans="1:5" ht="11.25" x14ac:dyDescent="0.2">
      <c r="A55" s="577"/>
      <c r="B55" s="577"/>
      <c r="C55" s="577"/>
      <c r="D55" s="577"/>
      <c r="E55" s="577"/>
    </row>
    <row r="56" spans="1:5" ht="11.25" x14ac:dyDescent="0.2">
      <c r="A56" s="577"/>
      <c r="B56" s="577"/>
      <c r="C56" s="577"/>
      <c r="D56" s="577"/>
      <c r="E56" s="577"/>
    </row>
    <row r="57" spans="1:5" ht="11.25" x14ac:dyDescent="0.2">
      <c r="A57" s="577"/>
      <c r="B57" s="577"/>
      <c r="C57" s="577"/>
      <c r="D57" s="577"/>
      <c r="E57" s="577"/>
    </row>
    <row r="58" spans="1:5" ht="11.25" x14ac:dyDescent="0.2">
      <c r="A58" s="577"/>
      <c r="B58" s="577"/>
      <c r="C58" s="577"/>
      <c r="D58" s="577"/>
      <c r="E58" s="577"/>
    </row>
    <row r="59" spans="1:5" ht="11.25" x14ac:dyDescent="0.2">
      <c r="A59" s="577"/>
      <c r="B59" s="577"/>
      <c r="C59" s="577"/>
      <c r="D59" s="577"/>
      <c r="E59" s="577"/>
    </row>
    <row r="60" spans="1:5" ht="11.25" x14ac:dyDescent="0.2">
      <c r="A60" s="577"/>
      <c r="B60" s="577"/>
      <c r="C60" s="577"/>
      <c r="D60" s="577"/>
      <c r="E60" s="577"/>
    </row>
    <row r="61" spans="1:5" ht="11.25" x14ac:dyDescent="0.2">
      <c r="A61" s="577"/>
      <c r="B61" s="577"/>
      <c r="C61" s="577"/>
      <c r="D61" s="577"/>
      <c r="E61" s="577"/>
    </row>
    <row r="62" spans="1:5" ht="11.25" x14ac:dyDescent="0.2">
      <c r="A62" s="577"/>
      <c r="B62" s="577"/>
      <c r="C62" s="577"/>
      <c r="D62" s="577"/>
      <c r="E62" s="577"/>
    </row>
    <row r="63" spans="1:5" ht="11.25" x14ac:dyDescent="0.2">
      <c r="A63" s="577"/>
      <c r="B63" s="577"/>
      <c r="C63" s="577"/>
      <c r="D63" s="577"/>
      <c r="E63" s="577"/>
    </row>
    <row r="64" spans="1:5" ht="11.25" x14ac:dyDescent="0.2">
      <c r="A64" s="577"/>
      <c r="B64" s="577"/>
      <c r="C64" s="577"/>
      <c r="D64" s="577"/>
      <c r="E64" s="577"/>
    </row>
    <row r="65" spans="1:5" ht="11.25" x14ac:dyDescent="0.2">
      <c r="A65" s="577"/>
      <c r="B65" s="577"/>
      <c r="C65" s="577"/>
      <c r="D65" s="577"/>
      <c r="E65" s="577"/>
    </row>
    <row r="66" spans="1:5" ht="11.25" x14ac:dyDescent="0.2">
      <c r="A66" s="577"/>
      <c r="B66" s="577"/>
      <c r="C66" s="577"/>
      <c r="D66" s="577"/>
      <c r="E66" s="577"/>
    </row>
    <row r="67" spans="1:5" ht="11.25" x14ac:dyDescent="0.2">
      <c r="A67" s="577"/>
      <c r="B67" s="577"/>
      <c r="C67" s="577"/>
      <c r="D67" s="577"/>
      <c r="E67" s="577"/>
    </row>
    <row r="68" spans="1:5" ht="11.25" x14ac:dyDescent="0.2">
      <c r="A68" s="577"/>
      <c r="B68" s="577"/>
      <c r="C68" s="577"/>
      <c r="D68" s="577"/>
      <c r="E68" s="577"/>
    </row>
    <row r="69" spans="1:5" ht="11.25" x14ac:dyDescent="0.2">
      <c r="A69" s="577"/>
      <c r="B69" s="577"/>
      <c r="C69" s="577"/>
      <c r="D69" s="577"/>
      <c r="E69" s="577"/>
    </row>
    <row r="70" spans="1:5" ht="11.25" x14ac:dyDescent="0.2">
      <c r="A70" s="577"/>
      <c r="B70" s="577"/>
      <c r="C70" s="577"/>
      <c r="D70" s="577"/>
      <c r="E70" s="577"/>
    </row>
    <row r="71" spans="1:5" ht="11.25" x14ac:dyDescent="0.2">
      <c r="A71" s="577"/>
      <c r="B71" s="577"/>
      <c r="C71" s="577"/>
      <c r="D71" s="577"/>
      <c r="E71" s="577"/>
    </row>
    <row r="72" spans="1:5" ht="11.25" x14ac:dyDescent="0.2">
      <c r="A72" s="577"/>
      <c r="B72" s="577"/>
      <c r="C72" s="577"/>
      <c r="D72" s="577"/>
      <c r="E72" s="577"/>
    </row>
    <row r="73" spans="1:5" ht="11.25" x14ac:dyDescent="0.2">
      <c r="A73" s="577"/>
      <c r="B73" s="577"/>
      <c r="C73" s="577"/>
      <c r="D73" s="577"/>
      <c r="E73" s="577"/>
    </row>
    <row r="74" spans="1:5" ht="11.25" x14ac:dyDescent="0.2">
      <c r="A74" s="577"/>
      <c r="B74" s="577"/>
      <c r="C74" s="577"/>
      <c r="D74" s="577"/>
      <c r="E74" s="577"/>
    </row>
    <row r="75" spans="1:5" ht="11.25" x14ac:dyDescent="0.2">
      <c r="A75" s="577"/>
      <c r="B75" s="577"/>
      <c r="C75" s="577"/>
      <c r="D75" s="577"/>
      <c r="E75" s="577"/>
    </row>
    <row r="76" spans="1:5" ht="11.25" x14ac:dyDescent="0.2">
      <c r="A76" s="577"/>
      <c r="B76" s="577"/>
      <c r="C76" s="577"/>
      <c r="D76" s="577"/>
      <c r="E76" s="577"/>
    </row>
    <row r="77" spans="1:5" ht="11.25" x14ac:dyDescent="0.2">
      <c r="A77" s="577"/>
      <c r="B77" s="577"/>
      <c r="C77" s="577"/>
      <c r="D77" s="577"/>
      <c r="E77" s="577"/>
    </row>
    <row r="78" spans="1:5" ht="11.25" x14ac:dyDescent="0.2">
      <c r="A78" s="577"/>
      <c r="B78" s="577"/>
      <c r="C78" s="577"/>
      <c r="D78" s="577"/>
      <c r="E78" s="577"/>
    </row>
    <row r="79" spans="1:5" ht="11.25" x14ac:dyDescent="0.2">
      <c r="A79" s="577"/>
      <c r="B79" s="577"/>
      <c r="C79" s="577"/>
      <c r="D79" s="577"/>
      <c r="E79" s="577"/>
    </row>
    <row r="80" spans="1:5" ht="11.25" x14ac:dyDescent="0.2">
      <c r="A80" s="577"/>
      <c r="B80" s="577"/>
      <c r="C80" s="577"/>
      <c r="D80" s="577"/>
      <c r="E80" s="577"/>
    </row>
    <row r="81" spans="1:5" ht="11.25" x14ac:dyDescent="0.2">
      <c r="A81" s="577"/>
      <c r="B81" s="577"/>
      <c r="C81" s="577"/>
      <c r="D81" s="577"/>
      <c r="E81" s="577"/>
    </row>
    <row r="82" spans="1:5" ht="11.25" x14ac:dyDescent="0.2">
      <c r="A82" s="577"/>
      <c r="B82" s="577"/>
      <c r="C82" s="577"/>
      <c r="D82" s="577"/>
      <c r="E82" s="577"/>
    </row>
    <row r="83" spans="1:5" ht="11.25" x14ac:dyDescent="0.2">
      <c r="A83" s="577"/>
      <c r="B83" s="577"/>
      <c r="C83" s="577"/>
      <c r="D83" s="577"/>
      <c r="E83" s="577"/>
    </row>
    <row r="84" spans="1:5" ht="11.25" x14ac:dyDescent="0.2">
      <c r="A84" s="577"/>
      <c r="B84" s="577"/>
      <c r="C84" s="577"/>
      <c r="D84" s="577"/>
      <c r="E84" s="577"/>
    </row>
    <row r="85" spans="1:5" ht="11.25" x14ac:dyDescent="0.2">
      <c r="A85" s="577"/>
      <c r="B85" s="577"/>
      <c r="C85" s="577"/>
      <c r="D85" s="577"/>
      <c r="E85" s="577"/>
    </row>
    <row r="86" spans="1:5" ht="11.25" x14ac:dyDescent="0.2">
      <c r="A86" s="577"/>
      <c r="B86" s="577"/>
      <c r="C86" s="577"/>
      <c r="D86" s="577"/>
      <c r="E86" s="577"/>
    </row>
  </sheetData>
  <mergeCells count="4">
    <mergeCell ref="A5:C5"/>
    <mergeCell ref="A7:C7"/>
    <mergeCell ref="A9:C9"/>
    <mergeCell ref="A11:C11"/>
  </mergeCells>
  <phoneticPr fontId="0" type="noConversion"/>
  <printOptions horizontalCentered="1"/>
  <pageMargins left="1" right="1" top="1" bottom="1" header="0.5" footer="0.5"/>
  <pageSetup scale="99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4:T38"/>
  <sheetViews>
    <sheetView zoomScaleNormal="100" workbookViewId="0">
      <selection activeCell="M24" sqref="M24"/>
    </sheetView>
  </sheetViews>
  <sheetFormatPr defaultColWidth="9.33203125" defaultRowHeight="12.75" x14ac:dyDescent="0.2"/>
  <cols>
    <col min="1" max="1" width="9.33203125" style="333"/>
    <col min="2" max="2" width="2" style="333" customWidth="1"/>
    <col min="3" max="3" width="46.6640625" style="333" customWidth="1"/>
    <col min="4" max="4" width="2" style="333" customWidth="1"/>
    <col min="5" max="5" width="19.6640625" style="333" customWidth="1"/>
    <col min="6" max="6" width="2" style="333" customWidth="1"/>
    <col min="7" max="7" width="19.6640625" style="333" customWidth="1"/>
    <col min="8" max="8" width="2" style="333" customWidth="1"/>
    <col min="9" max="9" width="19.6640625" style="333" customWidth="1"/>
    <col min="10" max="10" width="2" style="333" customWidth="1"/>
    <col min="11" max="11" width="9.33203125" style="333" customWidth="1"/>
    <col min="12" max="12" width="3.5" style="333" customWidth="1"/>
    <col min="13" max="13" width="38" style="333" bestFit="1" customWidth="1"/>
    <col min="14" max="14" width="26.6640625" style="333" bestFit="1" customWidth="1"/>
    <col min="15" max="16384" width="9.33203125" style="333"/>
  </cols>
  <sheetData>
    <row r="4" spans="1:15" x14ac:dyDescent="0.2">
      <c r="A4" s="2174" t="s">
        <v>624</v>
      </c>
      <c r="B4" s="2174"/>
      <c r="C4" s="2174"/>
      <c r="D4" s="2174"/>
      <c r="E4" s="2174"/>
      <c r="F4" s="2174"/>
      <c r="G4" s="2174"/>
      <c r="H4" s="2174"/>
      <c r="I4" s="2174"/>
      <c r="J4" s="2174"/>
      <c r="K4" s="2174"/>
    </row>
    <row r="5" spans="1:15" x14ac:dyDescent="0.2">
      <c r="A5" s="2169" t="str">
        <f>case</f>
        <v>CASE NO. 2016 - 00162</v>
      </c>
      <c r="B5" s="2169"/>
      <c r="C5" s="2169"/>
      <c r="D5" s="2169"/>
      <c r="E5" s="2169"/>
      <c r="F5" s="2169"/>
      <c r="G5" s="2169"/>
      <c r="H5" s="2169"/>
      <c r="I5" s="2169"/>
      <c r="J5" s="2169"/>
      <c r="K5" s="2169"/>
    </row>
    <row r="6" spans="1:15" x14ac:dyDescent="0.2">
      <c r="A6" s="2169" t="s">
        <v>310</v>
      </c>
      <c r="B6" s="2169"/>
      <c r="C6" s="2169"/>
      <c r="D6" s="2169"/>
      <c r="E6" s="2169"/>
      <c r="F6" s="2169"/>
      <c r="G6" s="2169"/>
      <c r="H6" s="2169"/>
      <c r="I6" s="2169"/>
      <c r="J6" s="2169"/>
      <c r="K6" s="2169"/>
    </row>
    <row r="7" spans="1:15" x14ac:dyDescent="0.2">
      <c r="A7" s="2169" t="s">
        <v>1984</v>
      </c>
      <c r="B7" s="2169"/>
      <c r="C7" s="2169"/>
      <c r="D7" s="2169"/>
      <c r="E7" s="2169"/>
      <c r="F7" s="2169"/>
      <c r="G7" s="2169"/>
      <c r="H7" s="2169"/>
      <c r="I7" s="2169"/>
      <c r="J7" s="2169"/>
      <c r="K7" s="2169"/>
    </row>
    <row r="8" spans="1:15" x14ac:dyDescent="0.2">
      <c r="A8" s="2169" t="s">
        <v>1985</v>
      </c>
      <c r="B8" s="2169"/>
      <c r="C8" s="2169"/>
      <c r="D8" s="2169"/>
      <c r="E8" s="2169"/>
      <c r="F8" s="2169"/>
      <c r="G8" s="2169"/>
      <c r="H8" s="2169"/>
      <c r="I8" s="2169"/>
      <c r="J8" s="2169"/>
      <c r="K8" s="2169"/>
    </row>
    <row r="9" spans="1:15" x14ac:dyDescent="0.2">
      <c r="A9" s="1405"/>
      <c r="B9" s="1405"/>
      <c r="C9" s="1405"/>
      <c r="D9" s="1405"/>
      <c r="E9" s="1405"/>
      <c r="F9" s="1405"/>
      <c r="G9" s="1405"/>
      <c r="H9" s="1405"/>
      <c r="I9" s="1405"/>
      <c r="J9" s="1405"/>
      <c r="K9" s="1405"/>
    </row>
    <row r="11" spans="1:15" x14ac:dyDescent="0.2">
      <c r="A11" s="840" t="s">
        <v>1256</v>
      </c>
      <c r="G11" s="902"/>
      <c r="H11" s="902"/>
      <c r="I11" s="902"/>
      <c r="J11" s="841"/>
      <c r="K11" s="841" t="s">
        <v>1874</v>
      </c>
    </row>
    <row r="12" spans="1:15" x14ac:dyDescent="0.2">
      <c r="A12" s="840" t="s">
        <v>245</v>
      </c>
      <c r="J12" s="841"/>
      <c r="K12" s="841" t="s">
        <v>246</v>
      </c>
    </row>
    <row r="13" spans="1:15" x14ac:dyDescent="0.2">
      <c r="A13" s="840" t="s">
        <v>247</v>
      </c>
      <c r="J13" s="841"/>
      <c r="K13" s="842" t="str">
        <f>JTC</f>
        <v>WITNESS:  J. T. CROOM</v>
      </c>
    </row>
    <row r="14" spans="1:15" x14ac:dyDescent="0.2">
      <c r="A14" s="876"/>
      <c r="B14" s="876"/>
      <c r="C14" s="876"/>
      <c r="D14" s="876"/>
      <c r="E14" s="876"/>
      <c r="F14" s="876"/>
      <c r="G14" s="876"/>
      <c r="H14" s="876"/>
      <c r="I14" s="876"/>
      <c r="J14" s="876"/>
      <c r="K14" s="876"/>
    </row>
    <row r="15" spans="1:15" x14ac:dyDescent="0.2">
      <c r="A15" s="332" t="s">
        <v>632</v>
      </c>
      <c r="B15" s="332"/>
      <c r="E15" s="904" t="s">
        <v>634</v>
      </c>
      <c r="G15" s="904"/>
      <c r="H15" s="337"/>
      <c r="I15" s="900" t="s">
        <v>1320</v>
      </c>
      <c r="J15" s="337"/>
      <c r="K15" s="904"/>
      <c r="M15" s="1464"/>
      <c r="N15" s="1464"/>
      <c r="O15" s="1464"/>
    </row>
    <row r="16" spans="1:15" x14ac:dyDescent="0.2">
      <c r="A16" s="846" t="s">
        <v>635</v>
      </c>
      <c r="B16" s="846"/>
      <c r="C16" s="875" t="s">
        <v>778</v>
      </c>
      <c r="D16" s="1897"/>
      <c r="E16" s="875" t="s">
        <v>638</v>
      </c>
      <c r="F16" s="1897"/>
      <c r="G16" s="875" t="s">
        <v>677</v>
      </c>
      <c r="H16" s="1897"/>
      <c r="I16" s="875" t="s">
        <v>638</v>
      </c>
      <c r="J16" s="876"/>
      <c r="K16" s="846"/>
      <c r="M16" s="1822"/>
      <c r="N16" s="1464"/>
      <c r="O16" s="1464"/>
    </row>
    <row r="17" spans="1:20" x14ac:dyDescent="0.2">
      <c r="C17" s="896"/>
      <c r="D17" s="896"/>
      <c r="E17" s="896"/>
      <c r="F17" s="896"/>
      <c r="G17" s="896"/>
      <c r="H17" s="896"/>
      <c r="I17" s="896"/>
      <c r="M17" s="1822"/>
      <c r="N17" s="1823"/>
      <c r="O17" s="1464"/>
      <c r="P17" s="896"/>
      <c r="Q17" s="896"/>
      <c r="R17" s="896"/>
      <c r="S17" s="896"/>
      <c r="T17" s="896"/>
    </row>
    <row r="18" spans="1:20" x14ac:dyDescent="0.2">
      <c r="A18" s="332">
        <v>1</v>
      </c>
      <c r="B18" s="336" t="s">
        <v>310</v>
      </c>
      <c r="C18" s="896"/>
      <c r="D18" s="896"/>
      <c r="E18" s="896"/>
      <c r="F18" s="896"/>
      <c r="G18" s="896"/>
      <c r="H18" s="896"/>
      <c r="I18" s="896"/>
      <c r="M18" s="1824"/>
      <c r="N18" s="1823"/>
    </row>
    <row r="19" spans="1:20" x14ac:dyDescent="0.2">
      <c r="A19" s="332">
        <f>A18+1</f>
        <v>2</v>
      </c>
      <c r="C19" s="896" t="s">
        <v>316</v>
      </c>
      <c r="D19" s="896"/>
      <c r="E19" s="1806">
        <f>'WPG-2'!O174</f>
        <v>11748155.030000001</v>
      </c>
      <c r="F19" s="896"/>
      <c r="G19" s="1898">
        <f>I19-E19</f>
        <v>546797.96999999881</v>
      </c>
      <c r="H19" s="896"/>
      <c r="I19" s="1830">
        <f>'WPG-2'!O202</f>
        <v>12294953</v>
      </c>
      <c r="K19" s="1511"/>
      <c r="M19" s="1825"/>
      <c r="N19" s="1826"/>
      <c r="O19" s="902"/>
      <c r="P19" s="896"/>
      <c r="Q19" s="896"/>
    </row>
    <row r="20" spans="1:20" x14ac:dyDescent="0.2">
      <c r="A20" s="332"/>
      <c r="C20" s="896"/>
      <c r="D20" s="896"/>
      <c r="E20" s="1806"/>
      <c r="F20" s="896"/>
      <c r="G20" s="1369"/>
      <c r="H20" s="896"/>
      <c r="I20" s="1443"/>
      <c r="K20" s="903"/>
      <c r="M20" s="1825"/>
      <c r="N20" s="1825"/>
      <c r="O20" s="902"/>
    </row>
    <row r="21" spans="1:20" x14ac:dyDescent="0.2">
      <c r="A21" s="332">
        <f>A19+1</f>
        <v>3</v>
      </c>
      <c r="B21" s="336" t="s">
        <v>317</v>
      </c>
      <c r="C21" s="896"/>
      <c r="D21" s="896"/>
      <c r="E21" s="1806"/>
      <c r="F21" s="896"/>
      <c r="G21" s="1369"/>
      <c r="H21" s="896"/>
      <c r="I21" s="1443"/>
      <c r="K21" s="903"/>
      <c r="M21" s="1824"/>
      <c r="N21" s="1823"/>
      <c r="O21" s="896"/>
      <c r="P21" s="896"/>
      <c r="Q21" s="896"/>
      <c r="R21" s="896"/>
      <c r="S21" s="896"/>
      <c r="T21" s="896"/>
    </row>
    <row r="22" spans="1:20" x14ac:dyDescent="0.2">
      <c r="A22" s="332">
        <f>A21+1</f>
        <v>4</v>
      </c>
      <c r="C22" s="896" t="s">
        <v>1880</v>
      </c>
      <c r="D22" s="896"/>
      <c r="E22" s="1830">
        <v>335195</v>
      </c>
      <c r="F22" s="896"/>
      <c r="G22" s="1898">
        <f>I22-E22</f>
        <v>-76199</v>
      </c>
      <c r="H22" s="896"/>
      <c r="I22" s="1830">
        <f>'Forecast TY Budget &amp; D-2.4 Adj'!E83</f>
        <v>258996</v>
      </c>
      <c r="K22" s="903"/>
      <c r="M22" s="1824"/>
      <c r="N22" s="1826"/>
    </row>
    <row r="23" spans="1:20" x14ac:dyDescent="0.2">
      <c r="A23" s="332">
        <f>A22+1</f>
        <v>5</v>
      </c>
      <c r="C23" s="896" t="s">
        <v>318</v>
      </c>
      <c r="D23" s="896"/>
      <c r="E23" s="1829">
        <f>SUM('Base TY Budget'!E83:E99)-E22-E24</f>
        <v>664588.67000000016</v>
      </c>
      <c r="F23" s="896"/>
      <c r="G23" s="1524">
        <f>I23-E23</f>
        <v>277031.32999999984</v>
      </c>
      <c r="H23" s="896"/>
      <c r="I23" s="1829">
        <f>SUM('Forecast TY Budget &amp; D-2.4 Adj'!E84:E93,'Forecast TY Budget &amp; D-2.4 Adj'!E95:E99)</f>
        <v>941620</v>
      </c>
      <c r="K23" s="501"/>
      <c r="M23" s="1824"/>
      <c r="N23" s="1826"/>
    </row>
    <row r="24" spans="1:20" ht="15" x14ac:dyDescent="0.35">
      <c r="A24" s="332">
        <f>A23+1</f>
        <v>6</v>
      </c>
      <c r="C24" s="896" t="s">
        <v>319</v>
      </c>
      <c r="D24" s="896"/>
      <c r="E24" s="1843">
        <v>539920</v>
      </c>
      <c r="F24" s="896"/>
      <c r="G24" s="1899">
        <f>I24-E24</f>
        <v>41240</v>
      </c>
      <c r="H24" s="896"/>
      <c r="I24" s="1843">
        <f>'Forecast TY Budget &amp; D-2.4 Adj'!E94</f>
        <v>581160</v>
      </c>
      <c r="K24" s="866"/>
      <c r="M24" s="1824"/>
      <c r="N24" s="1826"/>
    </row>
    <row r="25" spans="1:20" x14ac:dyDescent="0.2">
      <c r="A25" s="332">
        <f>A24+1</f>
        <v>7</v>
      </c>
      <c r="B25" s="896" t="s">
        <v>320</v>
      </c>
      <c r="C25" s="896"/>
      <c r="D25" s="896"/>
      <c r="E25" s="1443">
        <f>SUM(E22:E24)</f>
        <v>1539703.6700000002</v>
      </c>
      <c r="F25" s="896"/>
      <c r="G25" s="1898">
        <f>SUM(G22:G24)</f>
        <v>242072.32999999984</v>
      </c>
      <c r="H25" s="896"/>
      <c r="I25" s="1443">
        <f>SUM(I22:I24)</f>
        <v>1781776</v>
      </c>
      <c r="K25" s="903"/>
      <c r="M25" s="1824"/>
      <c r="N25" s="1823"/>
    </row>
    <row r="26" spans="1:20" x14ac:dyDescent="0.2">
      <c r="A26" s="332"/>
      <c r="C26" s="896"/>
      <c r="D26" s="896"/>
      <c r="E26" s="1806"/>
      <c r="F26" s="896"/>
      <c r="G26" s="1369"/>
      <c r="H26" s="896"/>
      <c r="I26" s="1443"/>
      <c r="K26" s="903"/>
      <c r="M26" s="1824"/>
      <c r="N26" s="1823"/>
    </row>
    <row r="27" spans="1:20" x14ac:dyDescent="0.2">
      <c r="A27" s="332">
        <f>A25+1</f>
        <v>8</v>
      </c>
      <c r="B27" s="336" t="s">
        <v>321</v>
      </c>
      <c r="C27" s="896"/>
      <c r="D27" s="896"/>
      <c r="E27" s="1443"/>
      <c r="F27" s="896"/>
      <c r="G27" s="1369"/>
      <c r="H27" s="896"/>
      <c r="I27" s="1443"/>
      <c r="K27" s="903"/>
      <c r="M27" s="1824"/>
      <c r="N27" s="1823"/>
    </row>
    <row r="28" spans="1:20" x14ac:dyDescent="0.2">
      <c r="A28" s="332">
        <f>A27+1</f>
        <v>9</v>
      </c>
      <c r="C28" s="896" t="s">
        <v>322</v>
      </c>
      <c r="D28" s="896"/>
      <c r="E28" s="1830">
        <f>ROUND(0.979*'WPG-2'!O184,0)</f>
        <v>597471</v>
      </c>
      <c r="F28" s="896"/>
      <c r="G28" s="1443">
        <f>I28-E28</f>
        <v>60417</v>
      </c>
      <c r="H28" s="896"/>
      <c r="I28" s="1830">
        <f>ROUND(0.979*'WPG-2'!O212,0)</f>
        <v>657888</v>
      </c>
      <c r="K28" s="903"/>
      <c r="M28" s="1824"/>
      <c r="N28" s="1826"/>
    </row>
    <row r="29" spans="1:20" x14ac:dyDescent="0.2">
      <c r="A29" s="332">
        <f>A28+1</f>
        <v>10</v>
      </c>
      <c r="C29" s="896" t="s">
        <v>323</v>
      </c>
      <c r="D29" s="896"/>
      <c r="E29" s="1829">
        <f>ROUND(0.007*'WPG-2'!O184,0)</f>
        <v>4272</v>
      </c>
      <c r="F29" s="896"/>
      <c r="G29" s="1524">
        <f>I29-E29</f>
        <v>432</v>
      </c>
      <c r="H29" s="896"/>
      <c r="I29" s="1829">
        <f>ROUND(0.007*'WPG-2'!O212,0)</f>
        <v>4704</v>
      </c>
      <c r="K29" s="501"/>
      <c r="M29" s="1824"/>
      <c r="N29" s="1826"/>
    </row>
    <row r="30" spans="1:20" ht="15" x14ac:dyDescent="0.35">
      <c r="A30" s="332">
        <f>A29+1</f>
        <v>11</v>
      </c>
      <c r="C30" s="896" t="s">
        <v>324</v>
      </c>
      <c r="D30" s="896"/>
      <c r="E30" s="1843">
        <f>ROUND(0.014*'WPG-2'!O184,0)</f>
        <v>8544</v>
      </c>
      <c r="F30" s="896"/>
      <c r="G30" s="1899">
        <f>I30-E30</f>
        <v>864</v>
      </c>
      <c r="H30" s="896"/>
      <c r="I30" s="1843">
        <f>ROUND(0.014*'WPG-2'!O212,0)</f>
        <v>9408</v>
      </c>
      <c r="K30" s="866"/>
      <c r="M30" s="1824"/>
      <c r="N30" s="1826"/>
    </row>
    <row r="31" spans="1:20" x14ac:dyDescent="0.2">
      <c r="A31" s="332">
        <f>A30+1</f>
        <v>12</v>
      </c>
      <c r="B31" s="333" t="s">
        <v>325</v>
      </c>
      <c r="C31" s="896"/>
      <c r="D31" s="896"/>
      <c r="E31" s="1900">
        <f>SUM(E28:E30)</f>
        <v>610287</v>
      </c>
      <c r="F31" s="896"/>
      <c r="G31" s="1900">
        <f>SUM(G28:G30)</f>
        <v>61713</v>
      </c>
      <c r="H31" s="896"/>
      <c r="I31" s="1443">
        <f>SUM(I28:I30)</f>
        <v>672000</v>
      </c>
      <c r="K31" s="1445"/>
      <c r="N31" s="1524"/>
    </row>
    <row r="32" spans="1:20" x14ac:dyDescent="0.2">
      <c r="A32" s="332"/>
      <c r="I32" s="334"/>
      <c r="N32" s="896"/>
    </row>
    <row r="33" spans="1:14" ht="13.5" thickBot="1" x14ac:dyDescent="0.25">
      <c r="A33" s="332">
        <f>A31+1</f>
        <v>13</v>
      </c>
      <c r="B33" s="333" t="s">
        <v>326</v>
      </c>
      <c r="E33" s="1368">
        <f>E19+E25+E31</f>
        <v>13898145.700000001</v>
      </c>
      <c r="G33" s="1368">
        <f>G19+G25+G31</f>
        <v>850583.29999999865</v>
      </c>
      <c r="I33" s="1368">
        <f>I19+I25+I31</f>
        <v>14748729</v>
      </c>
      <c r="K33" s="1490"/>
      <c r="N33" s="896"/>
    </row>
    <row r="34" spans="1:14" ht="13.5" thickTop="1" x14ac:dyDescent="0.2">
      <c r="I34" s="334"/>
      <c r="N34" s="896"/>
    </row>
    <row r="35" spans="1:14" x14ac:dyDescent="0.2">
      <c r="I35" s="334"/>
      <c r="N35" s="896"/>
    </row>
    <row r="36" spans="1:14" x14ac:dyDescent="0.2">
      <c r="A36" s="332">
        <f>A33+1</f>
        <v>14</v>
      </c>
      <c r="B36" s="855" t="s">
        <v>1969</v>
      </c>
      <c r="E36" s="1511"/>
      <c r="I36" s="949"/>
      <c r="N36" s="1522"/>
    </row>
    <row r="37" spans="1:14" x14ac:dyDescent="0.2">
      <c r="I37" s="334"/>
    </row>
    <row r="38" spans="1:14" x14ac:dyDescent="0.2">
      <c r="I38" s="334"/>
    </row>
  </sheetData>
  <mergeCells count="5">
    <mergeCell ref="A8:K8"/>
    <mergeCell ref="A4:K4"/>
    <mergeCell ref="A5:K5"/>
    <mergeCell ref="A6:K6"/>
    <mergeCell ref="A7:K7"/>
  </mergeCells>
  <phoneticPr fontId="0" type="noConversion"/>
  <printOptions horizontalCentered="1"/>
  <pageMargins left="0.5" right="0.5" top="1" bottom="0.5" header="0.3" footer="0.3"/>
  <pageSetup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4:W59"/>
  <sheetViews>
    <sheetView topLeftCell="B15" zoomScaleNormal="100" workbookViewId="0">
      <selection activeCell="H45" sqref="H45"/>
    </sheetView>
  </sheetViews>
  <sheetFormatPr defaultColWidth="9.33203125" defaultRowHeight="12.75" x14ac:dyDescent="0.2"/>
  <cols>
    <col min="1" max="1" width="5.6640625" style="333" customWidth="1"/>
    <col min="2" max="2" width="2" style="333" customWidth="1"/>
    <col min="3" max="3" width="48.5" style="333" customWidth="1"/>
    <col min="4" max="4" width="1.33203125" style="333" customWidth="1"/>
    <col min="5" max="5" width="14.6640625" style="333" customWidth="1"/>
    <col min="6" max="6" width="11.1640625" style="333" bestFit="1" customWidth="1"/>
    <col min="7" max="7" width="14.6640625" style="333" customWidth="1"/>
    <col min="8" max="8" width="11.1640625" style="333" bestFit="1" customWidth="1"/>
    <col min="9" max="9" width="14.6640625" style="333" customWidth="1"/>
    <col min="10" max="10" width="11.1640625" style="333" bestFit="1" customWidth="1"/>
    <col min="11" max="11" width="14.6640625" style="333" customWidth="1"/>
    <col min="12" max="12" width="11.1640625" style="333" bestFit="1" customWidth="1"/>
    <col min="13" max="13" width="14.6640625" style="333" customWidth="1"/>
    <col min="14" max="14" width="11.1640625" style="333" customWidth="1"/>
    <col min="15" max="15" width="14.6640625" style="333" customWidth="1"/>
    <col min="16" max="16" width="11.1640625" style="333" customWidth="1"/>
    <col min="17" max="17" width="14.6640625" style="333" customWidth="1"/>
    <col min="18" max="18" width="3.5" style="333" customWidth="1"/>
    <col min="19" max="16384" width="9.33203125" style="333"/>
  </cols>
  <sheetData>
    <row r="4" spans="1:23" x14ac:dyDescent="0.2">
      <c r="A4" s="2174" t="s">
        <v>624</v>
      </c>
      <c r="B4" s="2174"/>
      <c r="C4" s="2174"/>
      <c r="D4" s="2174"/>
      <c r="E4" s="2174"/>
      <c r="F4" s="2174"/>
      <c r="G4" s="2174"/>
      <c r="H4" s="2174"/>
      <c r="I4" s="2174"/>
      <c r="J4" s="2174"/>
      <c r="K4" s="2174"/>
      <c r="L4" s="2174"/>
      <c r="M4" s="2174"/>
      <c r="N4" s="2174"/>
      <c r="O4" s="2174"/>
      <c r="P4" s="2174"/>
      <c r="Q4" s="2174"/>
    </row>
    <row r="5" spans="1:23" x14ac:dyDescent="0.2">
      <c r="A5" s="2173" t="str">
        <f>case</f>
        <v>CASE NO. 2016 - 00162</v>
      </c>
      <c r="B5" s="2173"/>
      <c r="C5" s="2173"/>
      <c r="D5" s="2173"/>
      <c r="E5" s="2173"/>
      <c r="F5" s="2173"/>
      <c r="G5" s="2173"/>
      <c r="H5" s="2173"/>
      <c r="I5" s="2173"/>
      <c r="J5" s="2173"/>
      <c r="K5" s="2173"/>
      <c r="L5" s="2173"/>
      <c r="M5" s="2173"/>
      <c r="N5" s="2173"/>
      <c r="O5" s="2173"/>
      <c r="P5" s="2173"/>
      <c r="Q5" s="2173"/>
    </row>
    <row r="6" spans="1:23" x14ac:dyDescent="0.2">
      <c r="A6" s="2174" t="s">
        <v>312</v>
      </c>
      <c r="B6" s="2174"/>
      <c r="C6" s="2174"/>
      <c r="D6" s="2174"/>
      <c r="E6" s="2174"/>
      <c r="F6" s="2174"/>
      <c r="G6" s="2174"/>
      <c r="H6" s="2174"/>
      <c r="I6" s="2174"/>
      <c r="J6" s="2174"/>
      <c r="K6" s="2174"/>
      <c r="L6" s="2174"/>
      <c r="M6" s="2174"/>
      <c r="N6" s="2174"/>
      <c r="O6" s="2174"/>
      <c r="P6" s="2174"/>
      <c r="Q6" s="2174"/>
    </row>
    <row r="7" spans="1:23" x14ac:dyDescent="0.2">
      <c r="A7" s="2177" t="str">
        <f>'G-1 Payroll Cost'!A7:K7</f>
        <v>BASE PERIOD: TWELVE MONTHS ENDED AUGUST 31, 2016</v>
      </c>
      <c r="B7" s="2177"/>
      <c r="C7" s="2177"/>
      <c r="D7" s="2177"/>
      <c r="E7" s="2177"/>
      <c r="F7" s="2177"/>
      <c r="G7" s="2177"/>
      <c r="H7" s="2177"/>
      <c r="I7" s="2177"/>
      <c r="J7" s="2177"/>
      <c r="K7" s="2177"/>
      <c r="L7" s="2177"/>
      <c r="M7" s="2177"/>
      <c r="N7" s="2177"/>
      <c r="O7" s="2177"/>
      <c r="P7" s="2177"/>
      <c r="Q7" s="2177"/>
    </row>
    <row r="8" spans="1:23" x14ac:dyDescent="0.2">
      <c r="A8" s="2177" t="str">
        <f>'G-1 Payroll Cost'!A8:K8</f>
        <v>FORECASTED PERIOD: TWELVE MONTHS ENDED DECEMBER 31, 2017</v>
      </c>
      <c r="B8" s="2177"/>
      <c r="C8" s="2177"/>
      <c r="D8" s="2177"/>
      <c r="E8" s="2177"/>
      <c r="F8" s="2177"/>
      <c r="G8" s="2177"/>
      <c r="H8" s="2177"/>
      <c r="I8" s="2177"/>
      <c r="J8" s="2177"/>
      <c r="K8" s="2177"/>
      <c r="L8" s="2177"/>
      <c r="M8" s="2177"/>
      <c r="N8" s="2177"/>
      <c r="O8" s="2177"/>
      <c r="P8" s="2177"/>
      <c r="Q8" s="2177"/>
    </row>
    <row r="9" spans="1:23" x14ac:dyDescent="0.2">
      <c r="A9" s="839"/>
      <c r="B9" s="839"/>
      <c r="C9" s="839"/>
      <c r="D9" s="839"/>
      <c r="E9" s="839"/>
      <c r="F9" s="839"/>
      <c r="G9" s="839"/>
      <c r="H9" s="839"/>
      <c r="I9" s="839"/>
      <c r="J9" s="839"/>
      <c r="K9" s="839"/>
      <c r="L9" s="839"/>
      <c r="M9" s="839"/>
      <c r="N9" s="839"/>
      <c r="O9" s="839"/>
      <c r="P9" s="839"/>
      <c r="Q9" s="839"/>
    </row>
    <row r="11" spans="1:23" x14ac:dyDescent="0.2">
      <c r="A11" s="840" t="s">
        <v>1256</v>
      </c>
      <c r="J11" s="841"/>
      <c r="K11" s="841"/>
      <c r="L11" s="841"/>
      <c r="M11" s="841"/>
      <c r="N11" s="841"/>
      <c r="O11" s="841"/>
      <c r="P11" s="841"/>
      <c r="Q11" s="841" t="s">
        <v>1875</v>
      </c>
    </row>
    <row r="12" spans="1:23" x14ac:dyDescent="0.2">
      <c r="A12" s="840" t="s">
        <v>245</v>
      </c>
      <c r="J12" s="841"/>
      <c r="K12" s="841"/>
      <c r="L12" s="841"/>
      <c r="M12" s="841"/>
      <c r="N12" s="841"/>
      <c r="O12" s="841"/>
      <c r="P12" s="841"/>
      <c r="Q12" s="841" t="s">
        <v>246</v>
      </c>
    </row>
    <row r="13" spans="1:23" x14ac:dyDescent="0.2">
      <c r="A13" s="840" t="s">
        <v>327</v>
      </c>
      <c r="J13" s="841"/>
      <c r="K13" s="841"/>
      <c r="L13" s="841"/>
      <c r="M13" s="841"/>
      <c r="N13" s="841"/>
      <c r="O13" s="841"/>
      <c r="P13" s="841"/>
      <c r="Q13" s="842" t="str">
        <f>JTC</f>
        <v>WITNESS:  J. T. CROOM</v>
      </c>
    </row>
    <row r="14" spans="1:23" ht="12.75" customHeight="1" x14ac:dyDescent="0.2">
      <c r="A14" s="876"/>
      <c r="B14" s="876"/>
      <c r="C14" s="876"/>
      <c r="D14" s="876"/>
      <c r="E14" s="876"/>
      <c r="F14" s="876"/>
      <c r="G14" s="876"/>
      <c r="H14" s="876"/>
      <c r="I14" s="876"/>
      <c r="J14" s="876"/>
      <c r="K14" s="876"/>
      <c r="L14" s="876"/>
      <c r="M14" s="876"/>
      <c r="N14" s="876"/>
      <c r="O14" s="876"/>
      <c r="P14" s="876"/>
      <c r="Q14" s="876"/>
      <c r="S14" s="1455"/>
      <c r="T14" s="1455"/>
      <c r="U14" s="1455"/>
      <c r="V14" s="1455"/>
      <c r="W14" s="1455"/>
    </row>
    <row r="15" spans="1:23" ht="12.75" customHeight="1" x14ac:dyDescent="0.2">
      <c r="A15" s="337"/>
      <c r="B15" s="337"/>
      <c r="C15" s="337"/>
      <c r="D15" s="337"/>
      <c r="E15" s="2176" t="s">
        <v>328</v>
      </c>
      <c r="F15" s="2176"/>
      <c r="G15" s="2176"/>
      <c r="H15" s="2176"/>
      <c r="I15" s="2176"/>
      <c r="J15" s="2176"/>
      <c r="K15" s="2176"/>
      <c r="L15" s="2176"/>
      <c r="M15" s="2176"/>
      <c r="N15" s="901"/>
      <c r="O15" s="901"/>
      <c r="P15" s="901"/>
      <c r="Q15" s="900"/>
      <c r="S15" s="1455"/>
      <c r="T15" s="1455"/>
      <c r="U15" s="1455"/>
      <c r="V15" s="1455"/>
      <c r="W15" s="1455"/>
    </row>
    <row r="16" spans="1:23" x14ac:dyDescent="0.2">
      <c r="A16" s="332" t="s">
        <v>632</v>
      </c>
      <c r="B16" s="332"/>
      <c r="E16" s="332"/>
      <c r="G16" s="337"/>
      <c r="H16" s="337"/>
      <c r="I16" s="904"/>
      <c r="J16" s="337"/>
      <c r="K16" s="904"/>
      <c r="L16" s="337"/>
      <c r="M16" s="337"/>
      <c r="N16" s="337"/>
      <c r="O16" s="904" t="s">
        <v>1963</v>
      </c>
      <c r="P16" s="904"/>
      <c r="Q16" s="904" t="s">
        <v>1598</v>
      </c>
      <c r="S16" s="1455"/>
      <c r="T16" s="1455"/>
      <c r="U16" s="1455"/>
      <c r="V16" s="1455"/>
      <c r="W16" s="1455"/>
    </row>
    <row r="17" spans="1:23" x14ac:dyDescent="0.2">
      <c r="A17" s="846" t="s">
        <v>635</v>
      </c>
      <c r="B17" s="846"/>
      <c r="C17" s="846" t="s">
        <v>778</v>
      </c>
      <c r="D17" s="876"/>
      <c r="E17" s="846">
        <v>2011</v>
      </c>
      <c r="F17" s="846" t="s">
        <v>329</v>
      </c>
      <c r="G17" s="846">
        <v>2012</v>
      </c>
      <c r="H17" s="846" t="s">
        <v>329</v>
      </c>
      <c r="I17" s="846">
        <v>2013</v>
      </c>
      <c r="J17" s="846" t="s">
        <v>329</v>
      </c>
      <c r="K17" s="846">
        <v>2014</v>
      </c>
      <c r="L17" s="846" t="s">
        <v>329</v>
      </c>
      <c r="M17" s="846">
        <v>2015</v>
      </c>
      <c r="N17" s="846" t="s">
        <v>329</v>
      </c>
      <c r="O17" s="846" t="s">
        <v>330</v>
      </c>
      <c r="P17" s="846" t="s">
        <v>329</v>
      </c>
      <c r="Q17" s="846" t="s">
        <v>330</v>
      </c>
      <c r="S17" s="1455"/>
      <c r="T17" s="1455"/>
      <c r="U17" s="1455"/>
      <c r="V17" s="1455"/>
      <c r="W17" s="1455"/>
    </row>
    <row r="18" spans="1:23" x14ac:dyDescent="0.2">
      <c r="S18" s="1455"/>
      <c r="T18" s="1455"/>
      <c r="U18" s="1455"/>
      <c r="V18" s="1455"/>
      <c r="W18" s="1455"/>
    </row>
    <row r="19" spans="1:23" x14ac:dyDescent="0.2">
      <c r="A19" s="332">
        <v>1</v>
      </c>
      <c r="C19" s="905" t="s">
        <v>695</v>
      </c>
      <c r="S19" s="1455"/>
      <c r="T19" s="1455"/>
      <c r="U19" s="1455"/>
      <c r="V19" s="1455"/>
      <c r="W19" s="1455"/>
    </row>
    <row r="20" spans="1:23" x14ac:dyDescent="0.2">
      <c r="A20" s="332"/>
      <c r="C20" s="896"/>
      <c r="E20" s="1453"/>
      <c r="F20" s="908"/>
      <c r="G20" s="906"/>
      <c r="H20" s="908"/>
      <c r="I20" s="907"/>
      <c r="J20" s="908"/>
      <c r="K20" s="907"/>
      <c r="L20" s="908"/>
      <c r="M20" s="908"/>
      <c r="N20" s="908"/>
      <c r="O20" s="908"/>
      <c r="P20" s="908"/>
      <c r="Q20" s="907"/>
      <c r="S20" s="1455"/>
      <c r="T20" s="1455"/>
      <c r="U20" s="1455"/>
      <c r="V20" s="1455"/>
      <c r="W20" s="1455"/>
    </row>
    <row r="21" spans="1:23" x14ac:dyDescent="0.2">
      <c r="A21" s="332">
        <f>A19+1</f>
        <v>2</v>
      </c>
      <c r="C21" s="905" t="s">
        <v>331</v>
      </c>
      <c r="E21" s="1453"/>
      <c r="F21" s="908"/>
      <c r="G21" s="906"/>
      <c r="H21" s="908"/>
      <c r="I21" s="907"/>
      <c r="J21" s="908"/>
      <c r="K21" s="907"/>
      <c r="L21" s="908"/>
      <c r="M21" s="908"/>
      <c r="N21" s="908"/>
      <c r="O21" s="908"/>
      <c r="P21" s="908"/>
      <c r="Q21" s="907"/>
      <c r="S21" s="1455"/>
      <c r="T21" s="1455"/>
      <c r="U21" s="1455"/>
      <c r="V21" s="1455"/>
      <c r="W21" s="1455"/>
    </row>
    <row r="22" spans="1:23" ht="12.75" customHeight="1" x14ac:dyDescent="0.2">
      <c r="A22" s="332">
        <f t="shared" ref="A22:A30" si="0">A21+1</f>
        <v>3</v>
      </c>
      <c r="C22" s="896" t="s">
        <v>332</v>
      </c>
      <c r="E22" s="909">
        <f>'WPG-2'!O13</f>
        <v>241526.5</v>
      </c>
      <c r="F22" s="914">
        <f>ROUND((G22-E22)/E22,4)</f>
        <v>2.8000000000000001E-2</v>
      </c>
      <c r="G22" s="909">
        <f>'WPG-2'!O40</f>
        <v>248301</v>
      </c>
      <c r="H22" s="914">
        <f>ROUND((I22-G22)/G22,4)</f>
        <v>4.3499999999999997E-2</v>
      </c>
      <c r="I22" s="909">
        <f>'WPG-2'!O74</f>
        <v>259111.5</v>
      </c>
      <c r="J22" s="914">
        <f>ROUND((K22-I22)/I22,4)</f>
        <v>6.1899999999999997E-2</v>
      </c>
      <c r="K22" s="909">
        <f>'WPG-2'!O101</f>
        <v>275139.75</v>
      </c>
      <c r="L22" s="914">
        <f>ROUND((M22-K22)/K22,4)</f>
        <v>7.17E-2</v>
      </c>
      <c r="M22" s="909">
        <f>'WPG-2'!O134</f>
        <v>294862.5</v>
      </c>
      <c r="N22" s="914"/>
      <c r="O22" s="1486" t="s">
        <v>546</v>
      </c>
      <c r="P22" s="914"/>
      <c r="Q22" s="1486" t="s">
        <v>546</v>
      </c>
      <c r="S22" s="896"/>
      <c r="T22" s="896"/>
      <c r="U22" s="896"/>
      <c r="V22" s="896"/>
      <c r="W22" s="896"/>
    </row>
    <row r="23" spans="1:23" ht="15" x14ac:dyDescent="0.35">
      <c r="A23" s="332">
        <f t="shared" si="0"/>
        <v>4</v>
      </c>
      <c r="C23" s="896" t="s">
        <v>333</v>
      </c>
      <c r="E23" s="910">
        <f>'WPG-2'!O14</f>
        <v>23760.75</v>
      </c>
      <c r="F23" s="914">
        <f>ROUND((G23-E23)/E23,4)</f>
        <v>7.6399999999999996E-2</v>
      </c>
      <c r="G23" s="910">
        <f>'WPG-2'!O41</f>
        <v>25575.75</v>
      </c>
      <c r="H23" s="914">
        <f>ROUND((I23-G23)/G23,4)</f>
        <v>0.28560000000000002</v>
      </c>
      <c r="I23" s="910">
        <f>'WPG-2'!O75</f>
        <v>32879</v>
      </c>
      <c r="J23" s="914">
        <f>ROUND((K23-I23)/I23,4)</f>
        <v>3.5999999999999997E-2</v>
      </c>
      <c r="K23" s="910">
        <f>'WPG-2'!O102</f>
        <v>34063.25</v>
      </c>
      <c r="L23" s="914">
        <f>ROUND((M23-K23)/K23,4)</f>
        <v>-8.5500000000000007E-2</v>
      </c>
      <c r="M23" s="910">
        <f>'WPG-2'!O135</f>
        <v>31151.75</v>
      </c>
      <c r="N23" s="914"/>
      <c r="O23" s="1487" t="s">
        <v>546</v>
      </c>
      <c r="P23" s="914"/>
      <c r="Q23" s="1487" t="s">
        <v>546</v>
      </c>
      <c r="S23" s="896"/>
      <c r="T23" s="896"/>
      <c r="U23" s="896"/>
      <c r="V23" s="896"/>
      <c r="W23" s="896"/>
    </row>
    <row r="24" spans="1:23" x14ac:dyDescent="0.2">
      <c r="A24" s="332">
        <f t="shared" si="0"/>
        <v>5</v>
      </c>
      <c r="C24" s="896" t="s">
        <v>334</v>
      </c>
      <c r="E24" s="909">
        <f>SUM(E22:E23)</f>
        <v>265287.25</v>
      </c>
      <c r="F24" s="914">
        <f>ROUND((G24-E24)/E24,4)</f>
        <v>3.2399999999999998E-2</v>
      </c>
      <c r="G24" s="909">
        <f>SUM(G22:G23)</f>
        <v>273876.75</v>
      </c>
      <c r="H24" s="914">
        <f>ROUND((I24-G24)/G24,4)</f>
        <v>6.6100000000000006E-2</v>
      </c>
      <c r="I24" s="909">
        <f>SUM(I22:I23)</f>
        <v>291990.5</v>
      </c>
      <c r="J24" s="914">
        <f>ROUND((K24-I24)/I24,4)</f>
        <v>5.8900000000000001E-2</v>
      </c>
      <c r="K24" s="909">
        <f>SUM(K22:K23)</f>
        <v>309203</v>
      </c>
      <c r="L24" s="914">
        <f>ROUND((M24-K24)/K24,4)</f>
        <v>5.4399999999999997E-2</v>
      </c>
      <c r="M24" s="909">
        <f>SUM(M22:M23)</f>
        <v>326014.25</v>
      </c>
      <c r="N24" s="914"/>
      <c r="O24" s="1486" t="s">
        <v>546</v>
      </c>
      <c r="P24" s="914"/>
      <c r="Q24" s="1486" t="s">
        <v>546</v>
      </c>
      <c r="S24" s="1455"/>
      <c r="T24" s="1455"/>
      <c r="U24" s="1455"/>
      <c r="V24" s="896"/>
      <c r="W24" s="896"/>
    </row>
    <row r="25" spans="1:23" x14ac:dyDescent="0.2">
      <c r="A25" s="332"/>
      <c r="C25" s="896"/>
      <c r="E25" s="909"/>
      <c r="F25" s="914"/>
      <c r="G25" s="909"/>
      <c r="H25" s="914"/>
      <c r="I25" s="909"/>
      <c r="J25" s="914"/>
      <c r="K25" s="909"/>
      <c r="L25" s="914"/>
      <c r="M25" s="909"/>
      <c r="N25" s="914"/>
      <c r="O25" s="909"/>
      <c r="P25" s="914"/>
      <c r="Q25" s="909"/>
      <c r="S25" s="1455"/>
      <c r="T25" s="1455"/>
      <c r="U25" s="1455"/>
      <c r="V25" s="896"/>
      <c r="W25" s="896"/>
    </row>
    <row r="26" spans="1:23" ht="13.5" thickBot="1" x14ac:dyDescent="0.25">
      <c r="A26" s="332">
        <f>A24+1</f>
        <v>6</v>
      </c>
      <c r="C26" s="896" t="s">
        <v>335</v>
      </c>
      <c r="E26" s="911">
        <f>ROUND(E23/E22,4)</f>
        <v>9.8400000000000001E-2</v>
      </c>
      <c r="F26" s="914"/>
      <c r="G26" s="911">
        <f>ROUND(G23/G22,4)</f>
        <v>0.10299999999999999</v>
      </c>
      <c r="H26" s="908"/>
      <c r="I26" s="911">
        <f>ROUND(I23/I22,4)</f>
        <v>0.12690000000000001</v>
      </c>
      <c r="J26" s="908"/>
      <c r="K26" s="911">
        <f>ROUND(K23/K22,4)</f>
        <v>0.12379999999999999</v>
      </c>
      <c r="L26" s="908"/>
      <c r="M26" s="911">
        <f>ROUND(M23/M22,4)</f>
        <v>0.1056</v>
      </c>
      <c r="N26" s="908"/>
      <c r="O26" s="1488" t="s">
        <v>546</v>
      </c>
      <c r="P26" s="908"/>
      <c r="Q26" s="1488" t="s">
        <v>546</v>
      </c>
      <c r="S26" s="1455"/>
      <c r="T26" s="1455"/>
      <c r="U26" s="1455"/>
      <c r="V26" s="896"/>
      <c r="W26" s="896"/>
    </row>
    <row r="27" spans="1:23" ht="15.75" thickTop="1" x14ac:dyDescent="0.35">
      <c r="A27" s="332"/>
      <c r="C27" s="896"/>
      <c r="E27" s="910"/>
      <c r="F27" s="908"/>
      <c r="G27" s="906"/>
      <c r="H27" s="908"/>
      <c r="I27" s="910"/>
      <c r="J27" s="908"/>
      <c r="K27" s="910"/>
      <c r="L27" s="908"/>
      <c r="M27" s="908"/>
      <c r="N27" s="908"/>
      <c r="O27" s="908"/>
      <c r="P27" s="908"/>
      <c r="Q27" s="910"/>
      <c r="S27" s="896"/>
      <c r="T27" s="896"/>
      <c r="U27" s="896"/>
      <c r="V27" s="896"/>
      <c r="W27" s="896"/>
    </row>
    <row r="28" spans="1:23" x14ac:dyDescent="0.2">
      <c r="A28" s="332">
        <f>A26+1</f>
        <v>7</v>
      </c>
      <c r="C28" s="905" t="s">
        <v>336</v>
      </c>
      <c r="E28" s="907"/>
      <c r="F28" s="908"/>
      <c r="G28" s="906"/>
      <c r="H28" s="908"/>
      <c r="I28" s="907"/>
      <c r="J28" s="908"/>
      <c r="K28" s="907"/>
      <c r="L28" s="908"/>
      <c r="M28" s="908"/>
      <c r="N28" s="908"/>
      <c r="O28" s="908"/>
      <c r="P28" s="908"/>
      <c r="Q28" s="907"/>
      <c r="S28" s="896"/>
      <c r="T28" s="896"/>
      <c r="U28" s="896"/>
      <c r="V28" s="896"/>
      <c r="W28" s="896"/>
    </row>
    <row r="29" spans="1:23" x14ac:dyDescent="0.2">
      <c r="A29" s="332">
        <f t="shared" si="0"/>
        <v>8</v>
      </c>
      <c r="C29" s="896" t="s">
        <v>332</v>
      </c>
      <c r="E29" s="907">
        <f>'WPG-2'!O18</f>
        <v>7384396.6799999997</v>
      </c>
      <c r="F29" s="914">
        <f>ROUND((G29-E29)/E29,4)</f>
        <v>5.3600000000000002E-2</v>
      </c>
      <c r="G29" s="907">
        <f>'WPG-2'!O45</f>
        <v>7780334.8599999994</v>
      </c>
      <c r="H29" s="914">
        <f>ROUND((I29-G29)/G29,4)</f>
        <v>3.9699999999999999E-2</v>
      </c>
      <c r="I29" s="907">
        <f>'WPG-2'!O79</f>
        <v>8089234.9299999997</v>
      </c>
      <c r="J29" s="914">
        <f>ROUND((K29-I29)/I29,4)</f>
        <v>0.111</v>
      </c>
      <c r="K29" s="907">
        <f>'WPG-2'!O106</f>
        <v>8986958.6099999994</v>
      </c>
      <c r="L29" s="914">
        <f>ROUND((M29-K29)/K29,4)</f>
        <v>8.1199999999999994E-2</v>
      </c>
      <c r="M29" s="907">
        <f>'WPG-2'!O139</f>
        <v>9716962.4299999997</v>
      </c>
      <c r="N29" s="914">
        <f>ROUND((O29-M29)/M29,4)</f>
        <v>5.9299999999999999E-2</v>
      </c>
      <c r="O29" s="907">
        <f>'WPG-2'!O172</f>
        <v>10292707.98</v>
      </c>
      <c r="P29" s="914">
        <f>ROUND((Q29-O29)/O29,4)</f>
        <v>4.5900000000000003E-2</v>
      </c>
      <c r="Q29" s="907">
        <f>'WPG-2'!O200</f>
        <v>10764768</v>
      </c>
      <c r="S29" s="1455"/>
      <c r="T29" s="1455"/>
      <c r="U29" s="1455"/>
      <c r="V29" s="1455"/>
      <c r="W29" s="1455"/>
    </row>
    <row r="30" spans="1:23" ht="15" x14ac:dyDescent="0.35">
      <c r="A30" s="332">
        <f t="shared" si="0"/>
        <v>9</v>
      </c>
      <c r="C30" s="896" t="s">
        <v>333</v>
      </c>
      <c r="E30" s="910">
        <f>'WPG-2'!O19</f>
        <v>892409.26</v>
      </c>
      <c r="F30" s="914">
        <f>ROUND((G30-E30)/E30,4)</f>
        <v>0.1653</v>
      </c>
      <c r="G30" s="910">
        <f>'WPG-2'!O46</f>
        <v>1039934.04</v>
      </c>
      <c r="H30" s="914">
        <f>ROUND((I30-G30)/G30,4)</f>
        <v>0.31109999999999999</v>
      </c>
      <c r="I30" s="910">
        <f>'WPG-2'!O80</f>
        <v>1363439.92</v>
      </c>
      <c r="J30" s="914">
        <f>ROUND((K30-I30)/I30,4)</f>
        <v>8.4400000000000003E-2</v>
      </c>
      <c r="K30" s="910">
        <f>'WPG-2'!O107</f>
        <v>1478567.9599999997</v>
      </c>
      <c r="L30" s="914">
        <f>ROUND((M30-K30)/K30,4)</f>
        <v>-6.0900000000000003E-2</v>
      </c>
      <c r="M30" s="910">
        <f>'WPG-2'!O140</f>
        <v>1388468.6200000003</v>
      </c>
      <c r="N30" s="914">
        <f>ROUND((O30-M30)/M30,4)</f>
        <v>4.82E-2</v>
      </c>
      <c r="O30" s="910">
        <f>'WPG-2'!O173</f>
        <v>1455447.05</v>
      </c>
      <c r="P30" s="914">
        <f>ROUND((Q30-O30)/O30,4)</f>
        <v>5.1400000000000001E-2</v>
      </c>
      <c r="Q30" s="910">
        <f>'WPG-2'!O201</f>
        <v>1530185</v>
      </c>
      <c r="S30" s="1455"/>
      <c r="T30" s="1455"/>
      <c r="U30" s="1455"/>
      <c r="V30" s="1455"/>
      <c r="W30" s="1455"/>
    </row>
    <row r="31" spans="1:23" x14ac:dyDescent="0.2">
      <c r="A31" s="332">
        <f>A30+1</f>
        <v>10</v>
      </c>
      <c r="C31" s="896" t="s">
        <v>337</v>
      </c>
      <c r="E31" s="907">
        <f>SUM(E29:E30)</f>
        <v>8276805.9399999995</v>
      </c>
      <c r="F31" s="914">
        <f>ROUND((G31-E31)/E31,4)</f>
        <v>6.5699999999999995E-2</v>
      </c>
      <c r="G31" s="907">
        <f>SUM(G29:G30)</f>
        <v>8820268.8999999985</v>
      </c>
      <c r="H31" s="914">
        <f>ROUND((I31-G31)/G31,4)</f>
        <v>7.17E-2</v>
      </c>
      <c r="I31" s="907">
        <f>SUM(I29:I30)</f>
        <v>9452674.8499999996</v>
      </c>
      <c r="J31" s="914">
        <f>ROUND((K31-I31)/I31,4)</f>
        <v>0.1071</v>
      </c>
      <c r="K31" s="907">
        <f>SUM(K29:K30)</f>
        <v>10465526.569999998</v>
      </c>
      <c r="L31" s="914">
        <f>ROUND((M31-K31)/K31,4)</f>
        <v>6.1100000000000002E-2</v>
      </c>
      <c r="M31" s="907">
        <f>SUM(M29:M30)</f>
        <v>11105431.050000001</v>
      </c>
      <c r="N31" s="914">
        <f>ROUND((O31-M31)/M31,4)</f>
        <v>5.79E-2</v>
      </c>
      <c r="O31" s="907">
        <f>SUM(O29:O30)</f>
        <v>11748155.030000001</v>
      </c>
      <c r="P31" s="914">
        <f>ROUND((Q31-O31)/O31,4)</f>
        <v>4.65E-2</v>
      </c>
      <c r="Q31" s="907">
        <f>SUM(Q29:Q30)</f>
        <v>12294953</v>
      </c>
      <c r="S31" s="1455"/>
      <c r="T31" s="1455"/>
      <c r="U31" s="1455"/>
      <c r="V31" s="1455"/>
      <c r="W31" s="1455"/>
    </row>
    <row r="32" spans="1:23" x14ac:dyDescent="0.2">
      <c r="A32" s="332"/>
      <c r="C32" s="896"/>
      <c r="E32" s="907"/>
      <c r="F32" s="914"/>
      <c r="G32" s="907"/>
      <c r="H32" s="914"/>
      <c r="I32" s="907"/>
      <c r="J32" s="914"/>
      <c r="K32" s="907"/>
      <c r="L32" s="914"/>
      <c r="M32" s="907"/>
      <c r="N32" s="914"/>
      <c r="O32" s="907"/>
      <c r="P32" s="914"/>
      <c r="Q32" s="907"/>
      <c r="S32" s="1455"/>
      <c r="T32" s="1455"/>
      <c r="U32" s="1455"/>
      <c r="V32" s="1455"/>
      <c r="W32" s="1455"/>
    </row>
    <row r="33" spans="1:23" ht="13.5" thickBot="1" x14ac:dyDescent="0.25">
      <c r="A33" s="332">
        <f>A31+1</f>
        <v>11</v>
      </c>
      <c r="C33" s="896" t="s">
        <v>338</v>
      </c>
      <c r="E33" s="911">
        <f>ROUND(E30/E29,4)</f>
        <v>0.12089999999999999</v>
      </c>
      <c r="F33" s="908"/>
      <c r="G33" s="911">
        <f>ROUND(G30/G29,4)</f>
        <v>0.13370000000000001</v>
      </c>
      <c r="H33" s="908"/>
      <c r="I33" s="911">
        <f>ROUND(I30/I29,4)</f>
        <v>0.16850000000000001</v>
      </c>
      <c r="J33" s="908"/>
      <c r="K33" s="911">
        <f>ROUND(K30/K29,4)</f>
        <v>0.16450000000000001</v>
      </c>
      <c r="L33" s="908"/>
      <c r="M33" s="911">
        <f>ROUND(M30/M29,4)</f>
        <v>0.1429</v>
      </c>
      <c r="N33" s="908"/>
      <c r="O33" s="911">
        <f>ROUND(O30/O29,4)</f>
        <v>0.1414</v>
      </c>
      <c r="P33" s="908"/>
      <c r="Q33" s="911">
        <f>ROUND(Q30/Q29,4)</f>
        <v>0.1421</v>
      </c>
      <c r="S33" s="1455"/>
      <c r="T33" s="1455"/>
      <c r="U33" s="1455"/>
      <c r="V33" s="1455"/>
      <c r="W33" s="1455"/>
    </row>
    <row r="34" spans="1:23" ht="15.75" thickTop="1" x14ac:dyDescent="0.35">
      <c r="A34" s="332"/>
      <c r="C34" s="896"/>
      <c r="E34" s="912"/>
      <c r="F34" s="908"/>
      <c r="G34" s="908"/>
      <c r="H34" s="908"/>
      <c r="I34" s="910"/>
      <c r="J34" s="908"/>
      <c r="K34" s="912"/>
      <c r="L34" s="908"/>
      <c r="M34" s="908"/>
      <c r="N34" s="908"/>
      <c r="O34" s="908"/>
      <c r="P34" s="908"/>
      <c r="Q34" s="910"/>
    </row>
    <row r="35" spans="1:23" x14ac:dyDescent="0.2">
      <c r="A35" s="332">
        <f>A33+1</f>
        <v>12</v>
      </c>
      <c r="C35" s="905" t="s">
        <v>339</v>
      </c>
      <c r="E35" s="907">
        <f>'WPG-2'!O22</f>
        <v>6778705</v>
      </c>
      <c r="F35" s="914">
        <f>ROUND((G35-E35)/E35,4)</f>
        <v>8.3099999999999993E-2</v>
      </c>
      <c r="G35" s="907">
        <f>'WPG-2'!O49</f>
        <v>7342223</v>
      </c>
      <c r="H35" s="914">
        <f>ROUND((I35-G35)/G35,4)</f>
        <v>5.2200000000000003E-2</v>
      </c>
      <c r="I35" s="907">
        <f>'WPG-2'!O83</f>
        <v>7725281.9199999934</v>
      </c>
      <c r="J35" s="914">
        <f>ROUND((K35-I35)/I35,4)</f>
        <v>-3.4000000000000002E-2</v>
      </c>
      <c r="K35" s="907">
        <f>'WPG-2'!O110</f>
        <v>7462952.6599999983</v>
      </c>
      <c r="L35" s="914">
        <f>ROUND((M35-K35)/K35,4)</f>
        <v>8.3299999999999999E-2</v>
      </c>
      <c r="M35" s="907">
        <f>'WPG-2'!O143</f>
        <v>8084844.1199999992</v>
      </c>
      <c r="N35" s="914">
        <f>ROUND((O35-M35)/M35,4)</f>
        <v>6.88E-2</v>
      </c>
      <c r="O35" s="907">
        <f>'WPG-2'!O176</f>
        <v>8641279.9700000007</v>
      </c>
      <c r="P35" s="914">
        <f>ROUND((Q35-O35)/O35,4)</f>
        <v>8.3000000000000004E-2</v>
      </c>
      <c r="Q35" s="907">
        <f>'WPG-2'!O204</f>
        <v>9358726.4399999995</v>
      </c>
    </row>
    <row r="36" spans="1:23" x14ac:dyDescent="0.2">
      <c r="A36" s="332"/>
      <c r="C36" s="905"/>
      <c r="E36" s="1453"/>
      <c r="F36" s="914"/>
      <c r="G36" s="1453"/>
      <c r="H36" s="914"/>
      <c r="I36" s="1453"/>
      <c r="J36" s="914"/>
      <c r="K36" s="1453"/>
      <c r="L36" s="914"/>
      <c r="M36" s="1453"/>
      <c r="N36" s="914"/>
      <c r="O36" s="1453"/>
      <c r="P36" s="914"/>
      <c r="Q36" s="1453"/>
    </row>
    <row r="37" spans="1:23" ht="13.5" thickBot="1" x14ac:dyDescent="0.25">
      <c r="A37" s="332">
        <f>A35+1</f>
        <v>13</v>
      </c>
      <c r="C37" s="896" t="s">
        <v>340</v>
      </c>
      <c r="E37" s="911">
        <f>ROUND(E35/E31,4)</f>
        <v>0.81899999999999995</v>
      </c>
      <c r="F37" s="908"/>
      <c r="G37" s="911">
        <f>ROUND(G35/G31,4)</f>
        <v>0.83240000000000003</v>
      </c>
      <c r="H37" s="908"/>
      <c r="I37" s="911">
        <f>ROUND(I35/I31,4)</f>
        <v>0.81730000000000003</v>
      </c>
      <c r="J37" s="908"/>
      <c r="K37" s="911">
        <f>ROUND(K35/K31,4)</f>
        <v>0.71309999999999996</v>
      </c>
      <c r="L37" s="908"/>
      <c r="M37" s="911">
        <f>ROUND(M35/M31,4)</f>
        <v>0.72799999999999998</v>
      </c>
      <c r="N37" s="908"/>
      <c r="O37" s="911">
        <f>ROUND(O35/O31,4)</f>
        <v>0.73550000000000004</v>
      </c>
      <c r="P37" s="908"/>
      <c r="Q37" s="911">
        <f>ROUND(Q35/Q31,4)</f>
        <v>0.76119999999999999</v>
      </c>
    </row>
    <row r="38" spans="1:23" ht="15.75" thickTop="1" x14ac:dyDescent="0.35">
      <c r="A38" s="332"/>
      <c r="C38" s="896"/>
      <c r="E38" s="912"/>
      <c r="F38" s="908"/>
      <c r="G38" s="908"/>
      <c r="H38" s="908"/>
      <c r="I38" s="910"/>
      <c r="J38" s="908"/>
      <c r="K38" s="912"/>
      <c r="L38" s="908"/>
      <c r="M38" s="908"/>
      <c r="N38" s="908"/>
      <c r="O38" s="908"/>
      <c r="P38" s="908"/>
      <c r="Q38" s="910"/>
    </row>
    <row r="39" spans="1:23" ht="15" x14ac:dyDescent="0.35">
      <c r="A39" s="332">
        <f>A37+1</f>
        <v>14</v>
      </c>
      <c r="C39" s="905" t="s">
        <v>341</v>
      </c>
      <c r="E39" s="912"/>
      <c r="F39" s="908"/>
      <c r="G39" s="908"/>
      <c r="H39" s="908"/>
      <c r="I39" s="910"/>
      <c r="J39" s="908"/>
      <c r="K39" s="912"/>
      <c r="L39" s="908"/>
      <c r="M39" s="908"/>
      <c r="N39" s="908"/>
      <c r="O39" s="908"/>
      <c r="P39" s="908"/>
      <c r="Q39" s="910"/>
    </row>
    <row r="40" spans="1:23" x14ac:dyDescent="0.2">
      <c r="A40" s="332">
        <f>A39+1</f>
        <v>15</v>
      </c>
      <c r="C40" s="896" t="s">
        <v>342</v>
      </c>
      <c r="E40" s="907">
        <f>'WPG-2'!O25</f>
        <v>2482591</v>
      </c>
      <c r="F40" s="914">
        <f>ROUND((G40-E40)/E40,4)</f>
        <v>0.25979999999999998</v>
      </c>
      <c r="G40" s="907">
        <f>'WPG-2'!O52</f>
        <v>3127605</v>
      </c>
      <c r="H40" s="914">
        <f>ROUND((I40-G40)/G40,4)</f>
        <v>2.63E-2</v>
      </c>
      <c r="I40" s="907">
        <f>'WPG-2'!O86</f>
        <v>3209933.34</v>
      </c>
      <c r="J40" s="914">
        <f>ROUND((K40-I40)/I40,4)</f>
        <v>-0.44280000000000003</v>
      </c>
      <c r="K40" s="907">
        <f>'WPG-2'!O113</f>
        <v>1788592.79</v>
      </c>
      <c r="L40" s="914">
        <f>ROUND((M40-K40)/K40,4)</f>
        <v>0.19620000000000001</v>
      </c>
      <c r="M40" s="907">
        <f>'WPG-2'!O146</f>
        <v>2139584.9899999998</v>
      </c>
      <c r="N40" s="914">
        <f>ROUND((O40-M40)/M40,4)</f>
        <v>9.7699999999999995E-2</v>
      </c>
      <c r="O40" s="907">
        <f>'WPG-2'!O179</f>
        <v>2348525.08</v>
      </c>
      <c r="P40" s="914">
        <f>ROUND((Q40-O40)/O40,4)</f>
        <v>0.13780000000000001</v>
      </c>
      <c r="Q40" s="907">
        <f>'WPG-2'!O207</f>
        <v>2672085</v>
      </c>
    </row>
    <row r="41" spans="1:23" x14ac:dyDescent="0.2">
      <c r="A41" s="332">
        <f>A40+1</f>
        <v>16</v>
      </c>
      <c r="C41" s="896" t="s">
        <v>343</v>
      </c>
      <c r="E41" s="909">
        <f>'WPG-2'!O26</f>
        <v>1817335</v>
      </c>
      <c r="F41" s="914">
        <f>ROUND((G41-E41)/E41,4)</f>
        <v>0.36520000000000002</v>
      </c>
      <c r="G41" s="909">
        <f>'WPG-2'!O53</f>
        <v>2481112</v>
      </c>
      <c r="H41" s="914">
        <f>ROUND((I41-G41)/G41,4)</f>
        <v>-0.14349999999999999</v>
      </c>
      <c r="I41" s="909">
        <f>'WPG-2'!O87</f>
        <v>2125094.8399999971</v>
      </c>
      <c r="J41" s="914">
        <f>ROUND((K41-I41)/I41,4)</f>
        <v>-0.48420000000000002</v>
      </c>
      <c r="K41" s="909">
        <f>'WPG-2'!O114</f>
        <v>1096074.1500000001</v>
      </c>
      <c r="L41" s="914">
        <f>ROUND((M41-K41)/K41,4)</f>
        <v>0.29449999999999998</v>
      </c>
      <c r="M41" s="909">
        <f>'WPG-2'!O147</f>
        <v>1418884.8699999999</v>
      </c>
      <c r="N41" s="914">
        <f>ROUND((O41-M41)/M41,4)</f>
        <v>8.5199999999999998E-2</v>
      </c>
      <c r="O41" s="909">
        <f>'WPG-2'!O180</f>
        <v>1539703.8</v>
      </c>
      <c r="P41" s="914">
        <f>ROUND((Q41-O41)/O41,4)</f>
        <v>0.15720000000000001</v>
      </c>
      <c r="Q41" s="909">
        <f>'WPG-2'!O208</f>
        <v>1781776</v>
      </c>
    </row>
    <row r="42" spans="1:23" x14ac:dyDescent="0.2">
      <c r="A42" s="332">
        <f>A41+1</f>
        <v>17</v>
      </c>
      <c r="C42" s="896" t="s">
        <v>344</v>
      </c>
      <c r="F42" s="908"/>
      <c r="H42" s="908"/>
      <c r="J42" s="908"/>
      <c r="L42" s="908"/>
      <c r="N42" s="908"/>
      <c r="P42" s="908"/>
    </row>
    <row r="43" spans="1:23" ht="13.5" thickBot="1" x14ac:dyDescent="0.25">
      <c r="A43" s="332">
        <f>A42+1</f>
        <v>18</v>
      </c>
      <c r="C43" s="896" t="s">
        <v>345</v>
      </c>
      <c r="E43" s="911">
        <f>ROUND(E41/E40,4)</f>
        <v>0.73199999999999998</v>
      </c>
      <c r="F43" s="908"/>
      <c r="G43" s="911">
        <f>ROUND(G41/G40,4)</f>
        <v>0.79330000000000001</v>
      </c>
      <c r="H43" s="908"/>
      <c r="I43" s="911">
        <f>ROUND(I41/I40,4)</f>
        <v>0.66200000000000003</v>
      </c>
      <c r="J43" s="908"/>
      <c r="K43" s="911">
        <f>ROUND(K41/K40,4)</f>
        <v>0.61280000000000001</v>
      </c>
      <c r="L43" s="908"/>
      <c r="M43" s="911">
        <f>ROUND(M41/M40,4)</f>
        <v>0.66320000000000001</v>
      </c>
      <c r="N43" s="908"/>
      <c r="O43" s="911">
        <f>ROUND(O41/O40,4)</f>
        <v>0.65559999999999996</v>
      </c>
      <c r="P43" s="908"/>
      <c r="Q43" s="911">
        <f>ROUND(Q41/Q40,4)</f>
        <v>0.66679999999999995</v>
      </c>
    </row>
    <row r="44" spans="1:23" ht="13.5" thickTop="1" x14ac:dyDescent="0.2">
      <c r="A44" s="332"/>
      <c r="C44" s="896"/>
      <c r="E44" s="908"/>
      <c r="F44" s="908"/>
      <c r="G44" s="908"/>
      <c r="H44" s="908"/>
      <c r="I44" s="913"/>
      <c r="J44" s="908"/>
      <c r="K44" s="908"/>
      <c r="L44" s="908"/>
      <c r="M44" s="908"/>
      <c r="N44" s="908"/>
      <c r="O44" s="908"/>
      <c r="P44" s="908"/>
      <c r="Q44" s="908"/>
    </row>
    <row r="45" spans="1:23" x14ac:dyDescent="0.2">
      <c r="A45" s="332">
        <f>A43+1</f>
        <v>19</v>
      </c>
      <c r="C45" s="905" t="s">
        <v>346</v>
      </c>
      <c r="E45" s="908"/>
      <c r="F45" s="908"/>
      <c r="G45" s="908"/>
      <c r="H45" s="908"/>
      <c r="I45" s="913"/>
      <c r="J45" s="908"/>
      <c r="K45" s="908"/>
      <c r="L45" s="908"/>
      <c r="M45" s="908"/>
      <c r="N45" s="908"/>
      <c r="O45" s="908"/>
      <c r="P45" s="908"/>
      <c r="Q45" s="908"/>
    </row>
    <row r="46" spans="1:23" x14ac:dyDescent="0.2">
      <c r="A46" s="332">
        <f>A45+1</f>
        <v>20</v>
      </c>
      <c r="C46" s="896" t="s">
        <v>347</v>
      </c>
      <c r="E46" s="907">
        <f>'WPG-2'!O29</f>
        <v>678947</v>
      </c>
      <c r="F46" s="914">
        <f>ROUND((G46-E46)/E46,4)</f>
        <v>8.14E-2</v>
      </c>
      <c r="G46" s="907">
        <f>'WPG-2'!O56</f>
        <v>734207</v>
      </c>
      <c r="H46" s="914">
        <f>ROUND((I46-G46)/G46,4)</f>
        <v>6.0299999999999999E-2</v>
      </c>
      <c r="I46" s="907">
        <f>'WPG-2'!O90</f>
        <v>778453.62000000011</v>
      </c>
      <c r="J46" s="914">
        <f>ROUND((K46-I46)/I46,4)</f>
        <v>0.1447</v>
      </c>
      <c r="K46" s="907">
        <f>'WPG-2'!O117</f>
        <v>891059.4</v>
      </c>
      <c r="L46" s="914">
        <f>ROUND((M46-K46)/K46,4)</f>
        <v>1.1000000000000001E-3</v>
      </c>
      <c r="M46" s="907">
        <f>'WPG-2'!O150</f>
        <v>892070.03999999992</v>
      </c>
      <c r="N46" s="914">
        <f>ROUND((O46-M46)/M46,4)</f>
        <v>3.7699999999999997E-2</v>
      </c>
      <c r="O46" s="907">
        <f>'WPG-2'!O183</f>
        <v>925697.66287325614</v>
      </c>
      <c r="P46" s="914">
        <f>ROUND((Q46-O46)/O46,4)</f>
        <v>7.7100000000000002E-2</v>
      </c>
      <c r="Q46" s="907">
        <f>'WPG-2'!O211</f>
        <v>997112.95636687451</v>
      </c>
    </row>
    <row r="47" spans="1:23" x14ac:dyDescent="0.2">
      <c r="A47" s="332">
        <f>A46+1</f>
        <v>21</v>
      </c>
      <c r="C47" s="896" t="s">
        <v>348</v>
      </c>
      <c r="E47" s="909">
        <f>'WPG-2'!O30</f>
        <v>494062</v>
      </c>
      <c r="F47" s="914">
        <f>ROUND((G47-E47)/E47,4)</f>
        <v>0.13</v>
      </c>
      <c r="G47" s="909">
        <f>'WPG-2'!O57</f>
        <v>558280</v>
      </c>
      <c r="H47" s="914">
        <f>ROUND((I47-G47)/G47,4)</f>
        <v>1.2E-2</v>
      </c>
      <c r="I47" s="909">
        <f>'WPG-2'!O91</f>
        <v>564963.71999999916</v>
      </c>
      <c r="J47" s="914">
        <f>ROUND((K47-I47)/I47,4)</f>
        <v>-2.87E-2</v>
      </c>
      <c r="K47" s="909">
        <f>'WPG-2'!O118</f>
        <v>548776.51</v>
      </c>
      <c r="L47" s="914">
        <f>ROUND((M47-K47)/K47,4)</f>
        <v>8.09E-2</v>
      </c>
      <c r="M47" s="909">
        <f>'WPG-2'!O151</f>
        <v>593190.27</v>
      </c>
      <c r="N47" s="914">
        <f>ROUND((O47-M47)/M47,4)</f>
        <v>2.8799999999999999E-2</v>
      </c>
      <c r="O47" s="909">
        <f>'WPG-2'!O184</f>
        <v>610286.88</v>
      </c>
      <c r="P47" s="914">
        <f>ROUND((Q47-O47)/O47,4)</f>
        <v>0.1011</v>
      </c>
      <c r="Q47" s="909">
        <f>'WPG-2'!O212</f>
        <v>672000</v>
      </c>
    </row>
    <row r="48" spans="1:23" x14ac:dyDescent="0.2">
      <c r="A48" s="332">
        <f>A47+1</f>
        <v>22</v>
      </c>
      <c r="C48" s="896" t="s">
        <v>349</v>
      </c>
      <c r="F48" s="908"/>
      <c r="J48" s="913"/>
      <c r="L48" s="908"/>
      <c r="N48" s="908"/>
      <c r="O48" s="896"/>
      <c r="P48" s="908"/>
      <c r="Q48" s="896"/>
    </row>
    <row r="49" spans="1:17" ht="13.5" thickBot="1" x14ac:dyDescent="0.25">
      <c r="A49" s="332">
        <f>A48+1</f>
        <v>23</v>
      </c>
      <c r="C49" s="896" t="s">
        <v>350</v>
      </c>
      <c r="E49" s="911">
        <f>ROUND(E47/E46,4)</f>
        <v>0.72770000000000001</v>
      </c>
      <c r="F49" s="908"/>
      <c r="G49" s="911">
        <f>ROUND(G47/G46,4)</f>
        <v>0.76039999999999996</v>
      </c>
      <c r="I49" s="911">
        <f>ROUND(I47/I46,4)</f>
        <v>0.7258</v>
      </c>
      <c r="J49" s="913"/>
      <c r="K49" s="911">
        <f>ROUND(K47/K46,4)</f>
        <v>0.6159</v>
      </c>
      <c r="L49" s="908"/>
      <c r="M49" s="911">
        <f>ROUND(M47/M46,4)</f>
        <v>0.66500000000000004</v>
      </c>
      <c r="N49" s="908"/>
      <c r="O49" s="911">
        <f>ROUND(O47/O46,4)</f>
        <v>0.6593</v>
      </c>
      <c r="P49" s="908"/>
      <c r="Q49" s="911">
        <f>ROUND(Q47/Q46,4)</f>
        <v>0.67390000000000005</v>
      </c>
    </row>
    <row r="50" spans="1:17" ht="13.5" thickTop="1" x14ac:dyDescent="0.2">
      <c r="A50" s="332"/>
      <c r="C50" s="896"/>
      <c r="E50" s="908"/>
      <c r="F50" s="908"/>
      <c r="G50" s="908"/>
      <c r="H50" s="908"/>
      <c r="I50" s="913"/>
      <c r="J50" s="908"/>
      <c r="K50" s="908"/>
      <c r="L50" s="908"/>
      <c r="M50" s="908"/>
      <c r="N50" s="908"/>
      <c r="O50" s="908"/>
      <c r="P50" s="908"/>
      <c r="Q50" s="908"/>
    </row>
    <row r="51" spans="1:17" x14ac:dyDescent="0.2">
      <c r="A51" s="332">
        <f>A49+1</f>
        <v>24</v>
      </c>
      <c r="C51" s="336" t="s">
        <v>351</v>
      </c>
      <c r="E51" s="908"/>
      <c r="F51" s="908"/>
      <c r="G51" s="908"/>
      <c r="H51" s="908"/>
      <c r="I51" s="913"/>
      <c r="J51" s="908"/>
      <c r="K51" s="908"/>
      <c r="L51" s="908"/>
      <c r="M51" s="908"/>
      <c r="N51" s="908"/>
      <c r="O51" s="908"/>
      <c r="P51" s="908"/>
      <c r="Q51" s="908"/>
    </row>
    <row r="52" spans="1:17" x14ac:dyDescent="0.2">
      <c r="A52" s="332">
        <f>A51+1</f>
        <v>25</v>
      </c>
      <c r="C52" s="333" t="s">
        <v>352</v>
      </c>
      <c r="E52" s="909">
        <f>'WPG-2'!O33</f>
        <v>117.66666666666667</v>
      </c>
      <c r="F52" s="914">
        <f>ROUND((G52-E52)/E52,4)</f>
        <v>2.8E-3</v>
      </c>
      <c r="G52" s="909">
        <f>'WPG-2'!O60</f>
        <v>118</v>
      </c>
      <c r="H52" s="914">
        <f>ROUND((I52-G52)/G52,4)</f>
        <v>3.6700000000000003E-2</v>
      </c>
      <c r="I52" s="909">
        <f>'WPG-2'!O94</f>
        <v>122.33333333333333</v>
      </c>
      <c r="J52" s="914">
        <f>ROUND((K52-I52)/I52,4)</f>
        <v>5.9900000000000002E-2</v>
      </c>
      <c r="K52" s="909">
        <f>'WPG-2'!O121</f>
        <v>129.66666666666666</v>
      </c>
      <c r="L52" s="914">
        <f>ROUND((M52-K52)/K52,4)</f>
        <v>8.2900000000000001E-2</v>
      </c>
      <c r="M52" s="909">
        <f>'WPG-2'!O154</f>
        <v>140.41666666666666</v>
      </c>
      <c r="N52" s="914">
        <f>ROUND((O52-M52)/M52,4)</f>
        <v>6.9400000000000003E-2</v>
      </c>
      <c r="O52" s="909">
        <f>'WPG-2'!O187</f>
        <v>150.16666666666666</v>
      </c>
      <c r="P52" s="914">
        <f>ROUND((Q52-O52)/O52,4)</f>
        <v>5.0500000000000003E-2</v>
      </c>
      <c r="Q52" s="909">
        <f>'WPG-2'!O215</f>
        <v>157.75</v>
      </c>
    </row>
    <row r="53" spans="1:17" x14ac:dyDescent="0.2">
      <c r="A53" s="332">
        <f>A52+1</f>
        <v>26</v>
      </c>
      <c r="C53" s="333" t="s">
        <v>353</v>
      </c>
      <c r="E53" s="909">
        <f>'WPG-2'!N33</f>
        <v>122</v>
      </c>
      <c r="F53" s="914">
        <f>ROUND((G53-E53)/E53,4)</f>
        <v>-4.1000000000000002E-2</v>
      </c>
      <c r="G53" s="909">
        <f>'WPG-2'!N60</f>
        <v>117</v>
      </c>
      <c r="H53" s="914">
        <f>ROUND((I53-G53)/G53,4)</f>
        <v>9.4E-2</v>
      </c>
      <c r="I53" s="909">
        <f>'WPG-2'!N94</f>
        <v>128</v>
      </c>
      <c r="J53" s="914">
        <f>ROUND((K53-I53)/I53,4)</f>
        <v>-7.7999999999999996E-3</v>
      </c>
      <c r="K53" s="909">
        <f>'WPG-2'!N121</f>
        <v>127</v>
      </c>
      <c r="L53" s="914">
        <f>ROUND((M53-K53)/K53,4)</f>
        <v>0.13389999999999999</v>
      </c>
      <c r="M53" s="909">
        <f>'WPG-2'!N154</f>
        <v>144</v>
      </c>
      <c r="N53" s="914">
        <f>ROUND((O53-M53)/M53,4)</f>
        <v>6.9400000000000003E-2</v>
      </c>
      <c r="O53" s="909">
        <f>'WPG-2'!N187</f>
        <v>154</v>
      </c>
      <c r="P53" s="914">
        <f>ROUND((Q53-O53)/O53,4)</f>
        <v>2.5999999999999999E-2</v>
      </c>
      <c r="Q53" s="909">
        <f>'WPG-2'!N215</f>
        <v>158</v>
      </c>
    </row>
    <row r="54" spans="1:17" x14ac:dyDescent="0.2">
      <c r="A54" s="332"/>
      <c r="E54" s="909"/>
      <c r="F54" s="914"/>
      <c r="G54" s="909"/>
      <c r="H54" s="914"/>
      <c r="I54" s="909"/>
      <c r="J54" s="914"/>
      <c r="K54" s="909"/>
      <c r="L54" s="914"/>
      <c r="M54" s="909"/>
      <c r="N54" s="914"/>
      <c r="O54" s="909"/>
      <c r="P54" s="914"/>
      <c r="Q54" s="909"/>
    </row>
    <row r="55" spans="1:17" x14ac:dyDescent="0.2">
      <c r="E55" s="1454"/>
      <c r="F55" s="1454"/>
      <c r="G55" s="1454"/>
      <c r="H55" s="1454"/>
      <c r="I55" s="1454"/>
      <c r="J55" s="1454"/>
      <c r="K55" s="909"/>
      <c r="M55" s="896"/>
      <c r="Q55" s="896"/>
    </row>
    <row r="56" spans="1:17" x14ac:dyDescent="0.2">
      <c r="A56" s="332">
        <f>A53+1</f>
        <v>27</v>
      </c>
      <c r="C56" s="333" t="s">
        <v>1898</v>
      </c>
      <c r="I56" s="334"/>
      <c r="Q56" s="896"/>
    </row>
    <row r="57" spans="1:17" x14ac:dyDescent="0.2">
      <c r="I57" s="334"/>
    </row>
    <row r="58" spans="1:17" x14ac:dyDescent="0.2">
      <c r="I58" s="334"/>
    </row>
    <row r="59" spans="1:17" x14ac:dyDescent="0.2">
      <c r="I59" s="334"/>
    </row>
  </sheetData>
  <mergeCells count="6">
    <mergeCell ref="E15:M15"/>
    <mergeCell ref="A4:Q4"/>
    <mergeCell ref="A5:Q5"/>
    <mergeCell ref="A6:Q6"/>
    <mergeCell ref="A7:Q7"/>
    <mergeCell ref="A8:Q8"/>
  </mergeCells>
  <phoneticPr fontId="0" type="noConversion"/>
  <printOptions horizontalCentered="1"/>
  <pageMargins left="0.5" right="0.5" top="1" bottom="0.5" header="0.3" footer="0.3"/>
  <pageSetup scale="70" orientation="landscape" r:id="rId1"/>
  <headerFooter alignWithMargins="0"/>
  <ignoredErrors>
    <ignoredError sqref="G22:Q53" formula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4"/>
  <sheetViews>
    <sheetView topLeftCell="A40" zoomScale="90" zoomScaleNormal="90" workbookViewId="0">
      <selection activeCell="U75" sqref="U75"/>
    </sheetView>
  </sheetViews>
  <sheetFormatPr defaultColWidth="9.33203125" defaultRowHeight="12.75" x14ac:dyDescent="0.2"/>
  <cols>
    <col min="1" max="1" width="10.83203125" style="1949" customWidth="1"/>
    <col min="2" max="2" width="2.33203125" style="1949" customWidth="1"/>
    <col min="3" max="3" width="48.5" style="1949" customWidth="1"/>
    <col min="4" max="4" width="2.33203125" style="1949" customWidth="1"/>
    <col min="5" max="5" width="22.33203125" style="1949" customWidth="1"/>
    <col min="6" max="6" width="2.33203125" style="1949" customWidth="1"/>
    <col min="7" max="7" width="22.33203125" style="1949" customWidth="1"/>
    <col min="8" max="8" width="2.33203125" style="1949" customWidth="1"/>
    <col min="9" max="9" width="22.33203125" style="1949" customWidth="1"/>
    <col min="10" max="10" width="2.33203125" style="1949" customWidth="1"/>
    <col min="11" max="11" width="10.83203125" style="1949" customWidth="1"/>
    <col min="12" max="12" width="3.5" style="1949" customWidth="1"/>
    <col min="13" max="16384" width="9.33203125" style="1949"/>
  </cols>
  <sheetData>
    <row r="1" spans="1:17" x14ac:dyDescent="0.2">
      <c r="A1" s="2179" t="s">
        <v>624</v>
      </c>
      <c r="B1" s="2179"/>
      <c r="C1" s="2179"/>
      <c r="D1" s="2179"/>
      <c r="E1" s="2179"/>
      <c r="F1" s="2179"/>
      <c r="G1" s="2179"/>
      <c r="H1" s="2179"/>
      <c r="I1" s="2179"/>
      <c r="J1" s="2179"/>
      <c r="K1" s="2179"/>
    </row>
    <row r="2" spans="1:17" x14ac:dyDescent="0.2">
      <c r="A2" s="2180" t="str">
        <f>case</f>
        <v>CASE NO. 2016 - 00162</v>
      </c>
      <c r="B2" s="2180"/>
      <c r="C2" s="2180"/>
      <c r="D2" s="2180"/>
      <c r="E2" s="2180"/>
      <c r="F2" s="2180"/>
      <c r="G2" s="2180"/>
      <c r="H2" s="2180"/>
      <c r="I2" s="2180"/>
      <c r="J2" s="2180"/>
      <c r="K2" s="2180"/>
    </row>
    <row r="3" spans="1:17" x14ac:dyDescent="0.2">
      <c r="A3" s="2179" t="s">
        <v>314</v>
      </c>
      <c r="B3" s="2179"/>
      <c r="C3" s="2179"/>
      <c r="D3" s="2179"/>
      <c r="E3" s="2179"/>
      <c r="F3" s="2179"/>
      <c r="G3" s="2179"/>
      <c r="H3" s="2179"/>
      <c r="I3" s="2179"/>
      <c r="J3" s="2179"/>
      <c r="K3" s="2179"/>
    </row>
    <row r="4" spans="1:17" x14ac:dyDescent="0.2">
      <c r="A4" s="2181" t="str">
        <f>'[16]G-2 Payroll Analysis'!A7:Q7</f>
        <v>BASE PERIOD: TWELVE MONTHS ENDED AUGUST 31, 2016</v>
      </c>
      <c r="B4" s="2181"/>
      <c r="C4" s="2181"/>
      <c r="D4" s="2181"/>
      <c r="E4" s="2181"/>
      <c r="F4" s="2181"/>
      <c r="G4" s="2181"/>
      <c r="H4" s="2181"/>
      <c r="I4" s="2181"/>
      <c r="J4" s="2181"/>
      <c r="K4" s="2181"/>
    </row>
    <row r="5" spans="1:17" x14ac:dyDescent="0.2">
      <c r="A5" s="2181" t="str">
        <f>'[16]G-2 Payroll Analysis'!A8:Q8</f>
        <v>FORECASTED PERIOD: TWELVE MONTHS ENDED DECEMBER 31, 2017</v>
      </c>
      <c r="B5" s="2181"/>
      <c r="C5" s="2181"/>
      <c r="D5" s="2181"/>
      <c r="E5" s="2181"/>
      <c r="F5" s="2181"/>
      <c r="G5" s="2181"/>
      <c r="H5" s="2181"/>
      <c r="I5" s="2181"/>
      <c r="J5" s="2181"/>
      <c r="K5" s="2181"/>
    </row>
    <row r="6" spans="1:17" x14ac:dyDescent="0.2">
      <c r="A6" s="1950"/>
      <c r="B6" s="1950"/>
      <c r="C6" s="1950"/>
      <c r="D6" s="1950"/>
      <c r="E6" s="1950"/>
      <c r="F6" s="1950"/>
      <c r="G6" s="1950"/>
      <c r="H6" s="1950"/>
      <c r="I6" s="1950"/>
      <c r="J6" s="1950"/>
      <c r="K6" s="1950"/>
    </row>
    <row r="8" spans="1:17" x14ac:dyDescent="0.2">
      <c r="A8" s="1951" t="s">
        <v>1256</v>
      </c>
      <c r="K8" s="1952" t="s">
        <v>1876</v>
      </c>
    </row>
    <row r="9" spans="1:17" x14ac:dyDescent="0.2">
      <c r="A9" s="1951" t="s">
        <v>245</v>
      </c>
      <c r="K9" s="1952" t="s">
        <v>2412</v>
      </c>
    </row>
    <row r="10" spans="1:17" x14ac:dyDescent="0.2">
      <c r="A10" s="1951" t="s">
        <v>247</v>
      </c>
      <c r="K10" s="1953" t="str">
        <f>JTC</f>
        <v>WITNESS:  J. T. CROOM</v>
      </c>
    </row>
    <row r="11" spans="1:17" ht="12.75" customHeight="1" x14ac:dyDescent="0.2">
      <c r="A11" s="1954"/>
      <c r="B11" s="1954"/>
      <c r="C11" s="1954"/>
      <c r="D11" s="1954"/>
      <c r="E11" s="1954"/>
      <c r="F11" s="1954"/>
      <c r="G11" s="1954"/>
      <c r="H11" s="1954"/>
      <c r="I11" s="1954"/>
      <c r="J11" s="1954"/>
      <c r="K11" s="1954"/>
      <c r="M11" s="1955"/>
      <c r="N11" s="1955"/>
      <c r="O11" s="1955"/>
      <c r="P11" s="1955"/>
      <c r="Q11" s="1955"/>
    </row>
    <row r="12" spans="1:17" ht="12.75" customHeight="1" x14ac:dyDescent="0.2">
      <c r="A12" s="1956" t="s">
        <v>632</v>
      </c>
      <c r="B12" s="1957"/>
      <c r="C12" s="1958"/>
      <c r="D12" s="1957"/>
      <c r="E12" s="1959" t="s">
        <v>634</v>
      </c>
      <c r="F12" s="1958"/>
      <c r="G12" s="1959"/>
      <c r="H12" s="1960"/>
      <c r="I12" s="1961" t="s">
        <v>1320</v>
      </c>
      <c r="J12" s="1960"/>
      <c r="K12" s="1959"/>
      <c r="M12" s="1955"/>
      <c r="N12" s="1955"/>
      <c r="O12" s="1955"/>
      <c r="P12" s="1955"/>
      <c r="Q12" s="1955"/>
    </row>
    <row r="13" spans="1:17" ht="12.75" customHeight="1" x14ac:dyDescent="0.2">
      <c r="A13" s="1962" t="s">
        <v>635</v>
      </c>
      <c r="B13" s="1957"/>
      <c r="C13" s="1962" t="s">
        <v>778</v>
      </c>
      <c r="D13" s="1957"/>
      <c r="E13" s="1962" t="s">
        <v>638</v>
      </c>
      <c r="F13" s="1963"/>
      <c r="G13" s="1962" t="s">
        <v>677</v>
      </c>
      <c r="H13" s="1963"/>
      <c r="I13" s="1962" t="s">
        <v>638</v>
      </c>
      <c r="J13" s="1963"/>
      <c r="K13" s="1962"/>
      <c r="M13" s="1955"/>
      <c r="N13" s="1955"/>
      <c r="O13" s="1955"/>
      <c r="P13" s="1955"/>
      <c r="Q13" s="1955"/>
    </row>
    <row r="14" spans="1:17" ht="12.75" customHeight="1" x14ac:dyDescent="0.2">
      <c r="A14" s="1959"/>
      <c r="B14" s="1957"/>
      <c r="C14" s="1959"/>
      <c r="D14" s="1957"/>
      <c r="E14" s="1959"/>
      <c r="F14" s="1960"/>
      <c r="G14" s="1959"/>
      <c r="H14" s="1960"/>
      <c r="I14" s="1959"/>
      <c r="J14" s="1960"/>
      <c r="K14" s="1959"/>
      <c r="M14" s="1955"/>
      <c r="N14" s="1955"/>
      <c r="O14" s="1955"/>
      <c r="P14" s="1955"/>
      <c r="Q14" s="1955"/>
    </row>
    <row r="15" spans="1:17" ht="12.75" customHeight="1" x14ac:dyDescent="0.2">
      <c r="A15" s="1957"/>
      <c r="B15" s="1957"/>
      <c r="C15" s="1995" t="s">
        <v>1976</v>
      </c>
      <c r="D15" s="1957"/>
      <c r="E15" s="1957"/>
      <c r="F15" s="1957"/>
      <c r="G15" s="1957"/>
      <c r="H15" s="1957"/>
      <c r="I15" s="1957"/>
      <c r="J15" s="1957"/>
      <c r="K15" s="1957"/>
      <c r="M15" s="1955"/>
      <c r="N15" s="1955"/>
      <c r="O15" s="1955"/>
      <c r="P15" s="1955"/>
      <c r="Q15" s="1955"/>
    </row>
    <row r="16" spans="1:17" x14ac:dyDescent="0.2">
      <c r="A16" s="1964">
        <v>1</v>
      </c>
      <c r="C16" s="1965" t="s">
        <v>354</v>
      </c>
      <c r="E16" s="1966"/>
      <c r="F16" s="1967"/>
      <c r="G16" s="1967"/>
      <c r="H16" s="1967"/>
      <c r="I16" s="1968"/>
      <c r="J16" s="1967"/>
      <c r="K16" s="1969"/>
      <c r="M16" s="1955"/>
      <c r="N16" s="1955"/>
      <c r="O16" s="1955"/>
      <c r="P16" s="1955"/>
      <c r="Q16" s="1955"/>
    </row>
    <row r="17" spans="1:17" ht="12.75" customHeight="1" x14ac:dyDescent="0.2">
      <c r="A17" s="1964">
        <f t="shared" ref="A17:A23" si="0">A16+1</f>
        <v>2</v>
      </c>
      <c r="C17" s="1970" t="s">
        <v>355</v>
      </c>
      <c r="E17" s="1971">
        <v>25245</v>
      </c>
      <c r="F17" s="1972"/>
      <c r="G17" s="1973">
        <v>757.35000000000218</v>
      </c>
      <c r="H17" s="1972"/>
      <c r="I17" s="1971">
        <v>26002.350000000002</v>
      </c>
      <c r="J17" s="1972"/>
      <c r="K17" s="1974"/>
      <c r="M17" s="1975"/>
      <c r="N17" s="1975"/>
      <c r="O17" s="1975"/>
      <c r="P17" s="1975"/>
      <c r="Q17" s="1975"/>
    </row>
    <row r="18" spans="1:17" ht="15" x14ac:dyDescent="0.35">
      <c r="A18" s="1964">
        <f t="shared" si="0"/>
        <v>3</v>
      </c>
      <c r="C18" s="1970" t="s">
        <v>356</v>
      </c>
      <c r="E18" s="1976">
        <v>94860</v>
      </c>
      <c r="F18" s="1972"/>
      <c r="G18" s="1977">
        <v>-1458.4725000000035</v>
      </c>
      <c r="H18" s="1972"/>
      <c r="I18" s="1978">
        <v>93401.527499999997</v>
      </c>
      <c r="J18" s="1972"/>
      <c r="K18" s="1977"/>
      <c r="M18" s="1955"/>
      <c r="N18" s="1979"/>
      <c r="O18" s="1979"/>
      <c r="P18" s="1979"/>
      <c r="Q18" s="1979"/>
    </row>
    <row r="19" spans="1:17" x14ac:dyDescent="0.2">
      <c r="A19" s="1964">
        <f t="shared" si="0"/>
        <v>4</v>
      </c>
      <c r="C19" s="1970" t="s">
        <v>357</v>
      </c>
      <c r="E19" s="1973">
        <v>120105</v>
      </c>
      <c r="F19" s="1972"/>
      <c r="G19" s="1980">
        <v>-701.12250000000131</v>
      </c>
      <c r="H19" s="1972"/>
      <c r="I19" s="1973">
        <v>119403.8775</v>
      </c>
      <c r="J19" s="1972"/>
      <c r="K19" s="1973"/>
      <c r="M19" s="1979"/>
      <c r="N19" s="1979"/>
      <c r="O19" s="1979"/>
      <c r="P19" s="1979"/>
      <c r="Q19" s="1979"/>
    </row>
    <row r="20" spans="1:17" ht="15" x14ac:dyDescent="0.35">
      <c r="A20" s="1964"/>
      <c r="C20" s="1970"/>
      <c r="E20" s="1977"/>
      <c r="F20" s="1981"/>
      <c r="G20" s="1981"/>
      <c r="H20" s="1981"/>
      <c r="I20" s="1977"/>
      <c r="J20" s="1981"/>
      <c r="K20" s="1977"/>
      <c r="M20" s="1979"/>
      <c r="N20" s="1979"/>
      <c r="O20" s="1979"/>
      <c r="P20" s="1979"/>
      <c r="Q20" s="1979"/>
    </row>
    <row r="21" spans="1:17" x14ac:dyDescent="0.2">
      <c r="A21" s="1964">
        <f>A19+1</f>
        <v>5</v>
      </c>
      <c r="C21" s="1965" t="s">
        <v>341</v>
      </c>
      <c r="E21" s="1973"/>
      <c r="F21" s="1981"/>
      <c r="G21" s="1981"/>
      <c r="H21" s="1981"/>
      <c r="I21" s="1973"/>
      <c r="J21" s="1981"/>
      <c r="K21" s="1973"/>
      <c r="M21" s="1979"/>
      <c r="N21" s="1979"/>
      <c r="O21" s="1979"/>
      <c r="P21" s="1979"/>
      <c r="Q21" s="1979"/>
    </row>
    <row r="22" spans="1:17" x14ac:dyDescent="0.2">
      <c r="A22" s="1964">
        <f t="shared" si="0"/>
        <v>6</v>
      </c>
      <c r="C22" s="1970" t="s">
        <v>358</v>
      </c>
      <c r="E22" s="1971">
        <v>0</v>
      </c>
      <c r="F22" s="1972"/>
      <c r="G22" s="1973">
        <v>0</v>
      </c>
      <c r="H22" s="1972"/>
      <c r="I22" s="1971">
        <v>0</v>
      </c>
      <c r="J22" s="1972"/>
      <c r="K22" s="1973"/>
    </row>
    <row r="23" spans="1:17" ht="15" x14ac:dyDescent="0.35">
      <c r="A23" s="1964">
        <f t="shared" si="0"/>
        <v>7</v>
      </c>
      <c r="C23" s="1970" t="s">
        <v>359</v>
      </c>
      <c r="E23" s="1976">
        <v>4664.5842942798363</v>
      </c>
      <c r="F23" s="1972"/>
      <c r="G23" s="1977">
        <v>139.93752882839544</v>
      </c>
      <c r="H23" s="1972"/>
      <c r="I23" s="1978">
        <v>4804.5218231082317</v>
      </c>
      <c r="J23" s="1972"/>
      <c r="K23" s="1977"/>
    </row>
    <row r="24" spans="1:17" x14ac:dyDescent="0.2">
      <c r="A24" s="1964">
        <f>A23+1</f>
        <v>8</v>
      </c>
      <c r="C24" s="1970" t="s">
        <v>360</v>
      </c>
      <c r="E24" s="1973">
        <v>4664.5842942798363</v>
      </c>
      <c r="F24" s="1972"/>
      <c r="G24" s="1980">
        <v>139.93752882839544</v>
      </c>
      <c r="H24" s="1972"/>
      <c r="I24" s="1973">
        <v>4804.5218231082317</v>
      </c>
      <c r="J24" s="1972"/>
      <c r="K24" s="1973"/>
    </row>
    <row r="25" spans="1:17" x14ac:dyDescent="0.2">
      <c r="A25" s="1964"/>
      <c r="C25" s="1970"/>
      <c r="E25" s="1982"/>
      <c r="F25" s="1972"/>
      <c r="G25" s="1972"/>
      <c r="H25" s="1972"/>
      <c r="I25" s="1982"/>
      <c r="J25" s="1972"/>
      <c r="K25" s="1973"/>
    </row>
    <row r="26" spans="1:17" x14ac:dyDescent="0.2">
      <c r="A26" s="1964">
        <f>A24+1</f>
        <v>9</v>
      </c>
      <c r="C26" s="1983" t="s">
        <v>346</v>
      </c>
      <c r="E26" s="1981"/>
      <c r="F26" s="1981"/>
      <c r="G26" s="1981"/>
      <c r="H26" s="1981"/>
      <c r="I26" s="1981"/>
      <c r="J26" s="1981"/>
      <c r="K26" s="1981"/>
    </row>
    <row r="27" spans="1:17" x14ac:dyDescent="0.2">
      <c r="A27" s="1964">
        <f>A26+1</f>
        <v>10</v>
      </c>
      <c r="C27" s="1958" t="s">
        <v>361</v>
      </c>
      <c r="E27" s="1971">
        <v>9271.0918489673004</v>
      </c>
      <c r="F27" s="1972"/>
      <c r="G27" s="1973">
        <v>-54.120736812601535</v>
      </c>
      <c r="H27" s="1972"/>
      <c r="I27" s="1971">
        <v>9216.9711121546989</v>
      </c>
      <c r="J27" s="1972"/>
      <c r="K27" s="1984"/>
      <c r="N27" s="1985"/>
    </row>
    <row r="28" spans="1:17" x14ac:dyDescent="0.2">
      <c r="A28" s="1964">
        <f>A27+1</f>
        <v>11</v>
      </c>
      <c r="C28" s="1958" t="s">
        <v>362</v>
      </c>
      <c r="E28" s="1986">
        <v>66.237633375709763</v>
      </c>
      <c r="F28" s="1972"/>
      <c r="G28" s="1987">
        <v>-0.38666745852762574</v>
      </c>
      <c r="H28" s="1972"/>
      <c r="I28" s="1986">
        <v>65.850965917182137</v>
      </c>
      <c r="J28" s="1972"/>
      <c r="K28" s="1984"/>
      <c r="N28" s="1985"/>
    </row>
    <row r="29" spans="1:17" ht="15" x14ac:dyDescent="0.35">
      <c r="A29" s="1964">
        <f>A28+1</f>
        <v>12</v>
      </c>
      <c r="C29" s="1958" t="s">
        <v>363</v>
      </c>
      <c r="E29" s="1976">
        <v>132.47526675141953</v>
      </c>
      <c r="F29" s="1981"/>
      <c r="G29" s="1977">
        <v>-0.77333491705525148</v>
      </c>
      <c r="H29" s="1981"/>
      <c r="I29" s="1976">
        <v>131.70193183436427</v>
      </c>
      <c r="J29" s="1981"/>
      <c r="K29" s="1984"/>
      <c r="N29" s="1985"/>
    </row>
    <row r="30" spans="1:17" ht="15" x14ac:dyDescent="0.35">
      <c r="A30" s="1964">
        <f>A29+1</f>
        <v>13</v>
      </c>
      <c r="C30" s="1958" t="s">
        <v>364</v>
      </c>
      <c r="E30" s="1988">
        <v>9469.80474909443</v>
      </c>
      <c r="F30" s="1981"/>
      <c r="G30" s="1989">
        <v>-55.280739188184413</v>
      </c>
      <c r="H30" s="1981"/>
      <c r="I30" s="1990">
        <v>9414.5240099062448</v>
      </c>
      <c r="J30" s="1981"/>
      <c r="K30" s="1984"/>
      <c r="M30" s="1991"/>
      <c r="N30" s="1985"/>
    </row>
    <row r="31" spans="1:17" x14ac:dyDescent="0.2">
      <c r="A31" s="1964"/>
      <c r="C31" s="1958"/>
      <c r="E31" s="1992"/>
      <c r="F31" s="1981"/>
      <c r="G31" s="1981"/>
      <c r="H31" s="1981"/>
      <c r="I31" s="1992"/>
      <c r="J31" s="1981"/>
      <c r="K31" s="1981"/>
    </row>
    <row r="32" spans="1:17" ht="15" x14ac:dyDescent="0.35">
      <c r="A32" s="1964">
        <f>A30+1</f>
        <v>14</v>
      </c>
      <c r="C32" s="1958" t="s">
        <v>365</v>
      </c>
      <c r="E32" s="1993">
        <v>134239.38904337428</v>
      </c>
      <c r="F32" s="1981"/>
      <c r="G32" s="1993">
        <v>-616.46571035979025</v>
      </c>
      <c r="H32" s="1981"/>
      <c r="I32" s="1993">
        <v>133622.92333301448</v>
      </c>
      <c r="J32" s="1981"/>
      <c r="K32" s="1994"/>
      <c r="M32" s="1991"/>
    </row>
    <row r="33" spans="1:17" ht="15" x14ac:dyDescent="0.35">
      <c r="A33" s="1964"/>
      <c r="C33" s="1958"/>
      <c r="E33" s="1993"/>
      <c r="F33" s="1981"/>
      <c r="G33" s="1993"/>
      <c r="H33" s="1981"/>
      <c r="I33" s="1993"/>
      <c r="J33" s="1981"/>
      <c r="K33" s="1994"/>
      <c r="M33" s="1991"/>
    </row>
    <row r="34" spans="1:17" x14ac:dyDescent="0.2">
      <c r="C34" s="1996" t="s">
        <v>2321</v>
      </c>
    </row>
    <row r="35" spans="1:17" x14ac:dyDescent="0.2">
      <c r="A35" s="1964">
        <f>A32+1</f>
        <v>15</v>
      </c>
      <c r="C35" s="1965" t="s">
        <v>354</v>
      </c>
      <c r="E35" s="1966"/>
      <c r="F35" s="1967"/>
      <c r="G35" s="1967"/>
      <c r="H35" s="1967"/>
      <c r="I35" s="1968"/>
      <c r="J35" s="1967"/>
      <c r="K35" s="1969"/>
      <c r="M35" s="1955"/>
      <c r="N35" s="1955"/>
      <c r="O35" s="1955"/>
      <c r="P35" s="1955"/>
      <c r="Q35" s="1955"/>
    </row>
    <row r="36" spans="1:17" ht="12.75" customHeight="1" x14ac:dyDescent="0.2">
      <c r="A36" s="1964">
        <f t="shared" ref="A36:A42" si="1">A35+1</f>
        <v>16</v>
      </c>
      <c r="C36" s="1970" t="s">
        <v>355</v>
      </c>
      <c r="E36" s="1971">
        <v>14152.5306</v>
      </c>
      <c r="F36" s="1972"/>
      <c r="G36" s="1973">
        <v>424.57591800000046</v>
      </c>
      <c r="H36" s="1972"/>
      <c r="I36" s="1971">
        <v>14577.106518000001</v>
      </c>
      <c r="J36" s="1972"/>
      <c r="K36" s="1974"/>
      <c r="M36" s="1975"/>
      <c r="N36" s="1975"/>
      <c r="O36" s="1975"/>
      <c r="P36" s="1975"/>
      <c r="Q36" s="1975"/>
    </row>
    <row r="37" spans="1:17" ht="15" x14ac:dyDescent="0.35">
      <c r="A37" s="1964">
        <f t="shared" si="1"/>
        <v>17</v>
      </c>
      <c r="C37" s="1970" t="s">
        <v>356</v>
      </c>
      <c r="E37" s="1976">
        <v>33660</v>
      </c>
      <c r="F37" s="1972"/>
      <c r="G37" s="1977">
        <v>1096.2639108000003</v>
      </c>
      <c r="H37" s="1972"/>
      <c r="I37" s="1978">
        <v>34756.2639108</v>
      </c>
      <c r="J37" s="1972"/>
      <c r="K37" s="1977"/>
      <c r="M37" s="1955"/>
      <c r="N37" s="1979"/>
      <c r="O37" s="1979"/>
      <c r="P37" s="1979"/>
      <c r="Q37" s="1979"/>
    </row>
    <row r="38" spans="1:17" x14ac:dyDescent="0.2">
      <c r="A38" s="1964">
        <f t="shared" si="1"/>
        <v>18</v>
      </c>
      <c r="C38" s="1970" t="s">
        <v>357</v>
      </c>
      <c r="E38" s="1973">
        <v>47812.530599999998</v>
      </c>
      <c r="F38" s="1972"/>
      <c r="G38" s="1980">
        <v>1520.8398288000008</v>
      </c>
      <c r="H38" s="1972"/>
      <c r="I38" s="1973">
        <v>49333.370428800001</v>
      </c>
      <c r="J38" s="1972"/>
      <c r="K38" s="1973"/>
      <c r="M38" s="1979"/>
      <c r="N38" s="1979"/>
      <c r="O38" s="1979"/>
      <c r="P38" s="1979"/>
      <c r="Q38" s="1979"/>
    </row>
    <row r="39" spans="1:17" ht="15" x14ac:dyDescent="0.35">
      <c r="A39" s="1964"/>
      <c r="C39" s="1970"/>
      <c r="E39" s="1977"/>
      <c r="F39" s="1981"/>
      <c r="G39" s="1981"/>
      <c r="H39" s="1981"/>
      <c r="I39" s="1977"/>
      <c r="J39" s="1981"/>
      <c r="K39" s="1977"/>
      <c r="M39" s="1979"/>
      <c r="N39" s="1979"/>
      <c r="O39" s="1979"/>
      <c r="P39" s="1979"/>
      <c r="Q39" s="1979"/>
    </row>
    <row r="40" spans="1:17" x14ac:dyDescent="0.2">
      <c r="A40" s="1964">
        <f>A38+1</f>
        <v>19</v>
      </c>
      <c r="C40" s="1965" t="s">
        <v>341</v>
      </c>
      <c r="E40" s="1973"/>
      <c r="F40" s="1981"/>
      <c r="G40" s="1981"/>
      <c r="H40" s="1981"/>
      <c r="I40" s="1973"/>
      <c r="J40" s="1981"/>
      <c r="K40" s="1973"/>
      <c r="M40" s="1979"/>
      <c r="N40" s="1979"/>
      <c r="O40" s="1979"/>
      <c r="P40" s="1979"/>
      <c r="Q40" s="1979"/>
    </row>
    <row r="41" spans="1:17" x14ac:dyDescent="0.2">
      <c r="A41" s="1964">
        <f t="shared" si="1"/>
        <v>20</v>
      </c>
      <c r="C41" s="1970" t="s">
        <v>358</v>
      </c>
      <c r="E41" s="1971">
        <v>0</v>
      </c>
      <c r="F41" s="1972"/>
      <c r="G41" s="1973">
        <v>0</v>
      </c>
      <c r="H41" s="1972"/>
      <c r="I41" s="1971">
        <v>0</v>
      </c>
      <c r="J41" s="1972"/>
      <c r="K41" s="1973"/>
    </row>
    <row r="42" spans="1:17" ht="15" x14ac:dyDescent="0.35">
      <c r="A42" s="1964">
        <f t="shared" si="1"/>
        <v>21</v>
      </c>
      <c r="C42" s="1970" t="s">
        <v>359</v>
      </c>
      <c r="E42" s="1976">
        <v>2614.9998796226891</v>
      </c>
      <c r="F42" s="1972"/>
      <c r="G42" s="1977">
        <v>78.449996388680574</v>
      </c>
      <c r="H42" s="1972"/>
      <c r="I42" s="1978">
        <v>2693.4498760113697</v>
      </c>
      <c r="J42" s="1972"/>
      <c r="K42" s="1977"/>
    </row>
    <row r="43" spans="1:17" x14ac:dyDescent="0.2">
      <c r="A43" s="1964">
        <f>A42+1</f>
        <v>22</v>
      </c>
      <c r="C43" s="1970" t="s">
        <v>360</v>
      </c>
      <c r="E43" s="1973">
        <v>2614.9998796226891</v>
      </c>
      <c r="F43" s="1972"/>
      <c r="G43" s="1980">
        <v>78.449996388680574</v>
      </c>
      <c r="H43" s="1972"/>
      <c r="I43" s="1973">
        <v>2693.4498760113697</v>
      </c>
      <c r="J43" s="1972"/>
      <c r="K43" s="1973"/>
    </row>
    <row r="44" spans="1:17" x14ac:dyDescent="0.2">
      <c r="A44" s="1964"/>
      <c r="C44" s="1970"/>
      <c r="E44" s="1982"/>
      <c r="F44" s="1972"/>
      <c r="G44" s="1972"/>
      <c r="H44" s="1972"/>
      <c r="I44" s="1982"/>
      <c r="J44" s="1972"/>
      <c r="K44" s="1973"/>
    </row>
    <row r="45" spans="1:17" x14ac:dyDescent="0.2">
      <c r="A45" s="1964">
        <f>A43+1</f>
        <v>23</v>
      </c>
      <c r="C45" s="1983" t="s">
        <v>346</v>
      </c>
      <c r="E45" s="1981"/>
      <c r="F45" s="1981"/>
      <c r="G45" s="1981"/>
      <c r="H45" s="1981"/>
      <c r="I45" s="1981"/>
      <c r="J45" s="1981"/>
      <c r="K45" s="1981"/>
    </row>
    <row r="46" spans="1:17" x14ac:dyDescent="0.2">
      <c r="A46" s="1964">
        <f>A45+1</f>
        <v>24</v>
      </c>
      <c r="C46" s="1958" t="s">
        <v>361</v>
      </c>
      <c r="E46" s="1971">
        <v>3690.7236395167529</v>
      </c>
      <c r="F46" s="1972"/>
      <c r="G46" s="1973">
        <v>117.39599300922146</v>
      </c>
      <c r="H46" s="1972"/>
      <c r="I46" s="1971">
        <v>3808.1196325259743</v>
      </c>
      <c r="J46" s="1972"/>
      <c r="K46" s="1984"/>
      <c r="N46" s="1985"/>
    </row>
    <row r="47" spans="1:17" x14ac:dyDescent="0.2">
      <c r="A47" s="1964">
        <f>A46+1</f>
        <v>25</v>
      </c>
      <c r="C47" s="1958" t="s">
        <v>362</v>
      </c>
      <c r="E47" s="1986">
        <v>26.368501499918441</v>
      </c>
      <c r="F47" s="1972"/>
      <c r="G47" s="1987">
        <v>0.83873969446094421</v>
      </c>
      <c r="H47" s="1972"/>
      <c r="I47" s="1986">
        <v>27.207241194379385</v>
      </c>
      <c r="J47" s="1972"/>
      <c r="K47" s="1984"/>
      <c r="N47" s="1985"/>
    </row>
    <row r="48" spans="1:17" ht="15" x14ac:dyDescent="0.35">
      <c r="A48" s="1964">
        <f>A47+1</f>
        <v>26</v>
      </c>
      <c r="C48" s="1958" t="s">
        <v>363</v>
      </c>
      <c r="E48" s="1976">
        <v>52.737002999836882</v>
      </c>
      <c r="F48" s="1981"/>
      <c r="G48" s="1977">
        <v>1.6774793889218884</v>
      </c>
      <c r="H48" s="1981"/>
      <c r="I48" s="1976">
        <v>54.414482388758771</v>
      </c>
      <c r="J48" s="1981"/>
      <c r="K48" s="1984"/>
      <c r="N48" s="1985"/>
    </row>
    <row r="49" spans="1:17" ht="15" x14ac:dyDescent="0.35">
      <c r="A49" s="1964">
        <f>A48+1</f>
        <v>27</v>
      </c>
      <c r="C49" s="1958" t="s">
        <v>364</v>
      </c>
      <c r="E49" s="1988">
        <v>3769.8291440165081</v>
      </c>
      <c r="F49" s="1981"/>
      <c r="G49" s="1989">
        <v>119.91221209260428</v>
      </c>
      <c r="H49" s="1981"/>
      <c r="I49" s="1990">
        <v>3889.7413561091125</v>
      </c>
      <c r="J49" s="1981"/>
      <c r="K49" s="1984"/>
      <c r="M49" s="1991"/>
      <c r="N49" s="1985"/>
    </row>
    <row r="50" spans="1:17" x14ac:dyDescent="0.2">
      <c r="A50" s="1964"/>
      <c r="C50" s="1958"/>
      <c r="E50" s="1992"/>
      <c r="F50" s="1981"/>
      <c r="G50" s="1981"/>
      <c r="H50" s="1981"/>
      <c r="I50" s="1992"/>
      <c r="J50" s="1981"/>
      <c r="K50" s="1981"/>
    </row>
    <row r="51" spans="1:17" ht="15" x14ac:dyDescent="0.35">
      <c r="A51" s="1964">
        <f>A49+1</f>
        <v>28</v>
      </c>
      <c r="C51" s="1958" t="s">
        <v>365</v>
      </c>
      <c r="E51" s="1993">
        <v>54197.35962363919</v>
      </c>
      <c r="F51" s="1981"/>
      <c r="G51" s="1993">
        <v>1719.2020372812856</v>
      </c>
      <c r="H51" s="1981"/>
      <c r="I51" s="1993">
        <v>55916.561660920488</v>
      </c>
      <c r="J51" s="1981"/>
      <c r="K51" s="1994"/>
      <c r="M51" s="1991"/>
    </row>
    <row r="52" spans="1:17" ht="15" x14ac:dyDescent="0.35">
      <c r="A52" s="1964"/>
      <c r="C52" s="1958"/>
      <c r="E52" s="1993"/>
      <c r="F52" s="1981"/>
      <c r="G52" s="1993"/>
      <c r="H52" s="1981"/>
      <c r="I52" s="1993"/>
      <c r="J52" s="1981"/>
      <c r="K52" s="1994"/>
      <c r="M52" s="1991"/>
    </row>
    <row r="53" spans="1:17" x14ac:dyDescent="0.2">
      <c r="A53" s="2178" t="str">
        <f>A1</f>
        <v>COLUMBIA GAS OF KENTUCKY, INC.</v>
      </c>
      <c r="B53" s="2178"/>
      <c r="C53" s="2178"/>
      <c r="D53" s="2178"/>
      <c r="E53" s="2178"/>
      <c r="F53" s="2178"/>
      <c r="G53" s="2178"/>
      <c r="H53" s="2178"/>
      <c r="I53" s="2178"/>
      <c r="J53" s="2178"/>
      <c r="K53" s="2178"/>
    </row>
    <row r="54" spans="1:17" x14ac:dyDescent="0.2">
      <c r="A54" s="2178" t="str">
        <f>A2</f>
        <v>CASE NO. 2016 - 00162</v>
      </c>
      <c r="B54" s="2178"/>
      <c r="C54" s="2178"/>
      <c r="D54" s="2178"/>
      <c r="E54" s="2178"/>
      <c r="F54" s="2178"/>
      <c r="G54" s="2178"/>
      <c r="H54" s="2178"/>
      <c r="I54" s="2178"/>
      <c r="J54" s="2178"/>
      <c r="K54" s="2178"/>
    </row>
    <row r="55" spans="1:17" x14ac:dyDescent="0.2">
      <c r="A55" s="2178" t="str">
        <f>A3</f>
        <v>EXECUTIVE COMPENSATION</v>
      </c>
      <c r="B55" s="2178"/>
      <c r="C55" s="2178"/>
      <c r="D55" s="2178"/>
      <c r="E55" s="2178"/>
      <c r="F55" s="2178"/>
      <c r="G55" s="2178"/>
      <c r="H55" s="2178"/>
      <c r="I55" s="2178"/>
      <c r="J55" s="2178"/>
      <c r="K55" s="2178"/>
    </row>
    <row r="56" spans="1:17" x14ac:dyDescent="0.2">
      <c r="A56" s="2178" t="str">
        <f>A4</f>
        <v>BASE PERIOD: TWELVE MONTHS ENDED AUGUST 31, 2016</v>
      </c>
      <c r="B56" s="2178"/>
      <c r="C56" s="2178"/>
      <c r="D56" s="2178"/>
      <c r="E56" s="2178"/>
      <c r="F56" s="2178"/>
      <c r="G56" s="2178"/>
      <c r="H56" s="2178"/>
      <c r="I56" s="2178"/>
      <c r="J56" s="2178"/>
      <c r="K56" s="2178"/>
    </row>
    <row r="57" spans="1:17" x14ac:dyDescent="0.2">
      <c r="A57" s="2178" t="str">
        <f>A5</f>
        <v>FORECASTED PERIOD: TWELVE MONTHS ENDED DECEMBER 31, 2017</v>
      </c>
      <c r="B57" s="2178"/>
      <c r="C57" s="2178"/>
      <c r="D57" s="2178"/>
      <c r="E57" s="2178"/>
      <c r="F57" s="2178"/>
      <c r="G57" s="2178"/>
      <c r="H57" s="2178"/>
      <c r="I57" s="2178"/>
      <c r="J57" s="2178"/>
      <c r="K57" s="2178"/>
    </row>
    <row r="58" spans="1:17" x14ac:dyDescent="0.2">
      <c r="A58" s="1950"/>
      <c r="B58" s="1950"/>
      <c r="C58" s="1950"/>
      <c r="D58" s="1950"/>
      <c r="E58" s="1950"/>
      <c r="F58" s="1950"/>
      <c r="G58" s="1950"/>
      <c r="H58" s="1950"/>
      <c r="I58" s="1950"/>
      <c r="J58" s="1950"/>
      <c r="K58" s="1950"/>
    </row>
    <row r="60" spans="1:17" x14ac:dyDescent="0.2">
      <c r="A60" s="1951" t="s">
        <v>1256</v>
      </c>
      <c r="K60" s="1952" t="s">
        <v>1876</v>
      </c>
    </row>
    <row r="61" spans="1:17" x14ac:dyDescent="0.2">
      <c r="A61" s="1951" t="s">
        <v>245</v>
      </c>
      <c r="K61" s="1952" t="s">
        <v>2413</v>
      </c>
    </row>
    <row r="62" spans="1:17" x14ac:dyDescent="0.2">
      <c r="A62" s="1951" t="s">
        <v>247</v>
      </c>
      <c r="K62" s="1953" t="str">
        <f>JTC</f>
        <v>WITNESS:  J. T. CROOM</v>
      </c>
    </row>
    <row r="63" spans="1:17" ht="12.75" customHeight="1" x14ac:dyDescent="0.2">
      <c r="A63" s="1954"/>
      <c r="B63" s="1954"/>
      <c r="C63" s="1954"/>
      <c r="D63" s="1954"/>
      <c r="E63" s="1954"/>
      <c r="F63" s="1954"/>
      <c r="G63" s="1954"/>
      <c r="H63" s="1954"/>
      <c r="I63" s="1954"/>
      <c r="J63" s="1954"/>
      <c r="K63" s="1954"/>
      <c r="M63" s="1955"/>
      <c r="N63" s="1955"/>
      <c r="O63" s="1955"/>
      <c r="P63" s="1955"/>
      <c r="Q63" s="1955"/>
    </row>
    <row r="64" spans="1:17" ht="12.75" customHeight="1" x14ac:dyDescent="0.2">
      <c r="A64" s="1956" t="s">
        <v>632</v>
      </c>
      <c r="B64" s="1957"/>
      <c r="C64" s="1958"/>
      <c r="D64" s="1957"/>
      <c r="E64" s="1959" t="s">
        <v>634</v>
      </c>
      <c r="F64" s="1958"/>
      <c r="G64" s="1959"/>
      <c r="H64" s="1960"/>
      <c r="I64" s="1961" t="s">
        <v>1320</v>
      </c>
      <c r="J64" s="1960"/>
      <c r="K64" s="1959"/>
      <c r="M64" s="1955"/>
      <c r="N64" s="1955"/>
      <c r="O64" s="1955"/>
      <c r="P64" s="1955"/>
      <c r="Q64" s="1955"/>
    </row>
    <row r="65" spans="1:17" ht="12.75" customHeight="1" x14ac:dyDescent="0.2">
      <c r="A65" s="1962" t="s">
        <v>635</v>
      </c>
      <c r="B65" s="1957"/>
      <c r="C65" s="1962" t="s">
        <v>778</v>
      </c>
      <c r="D65" s="1957"/>
      <c r="E65" s="1962" t="s">
        <v>638</v>
      </c>
      <c r="F65" s="1963"/>
      <c r="G65" s="1962" t="s">
        <v>677</v>
      </c>
      <c r="H65" s="1963"/>
      <c r="I65" s="1962" t="s">
        <v>638</v>
      </c>
      <c r="J65" s="1963"/>
      <c r="K65" s="1962"/>
      <c r="M65" s="1955"/>
      <c r="N65" s="1955"/>
      <c r="O65" s="1955"/>
      <c r="P65" s="1955"/>
      <c r="Q65" s="1955"/>
    </row>
    <row r="66" spans="1:17" ht="15" x14ac:dyDescent="0.35">
      <c r="A66" s="1964"/>
      <c r="C66" s="1958"/>
      <c r="E66" s="1993"/>
      <c r="F66" s="1981"/>
      <c r="G66" s="1993"/>
      <c r="H66" s="1981"/>
      <c r="I66" s="1993"/>
      <c r="J66" s="1981"/>
      <c r="K66" s="1994"/>
      <c r="M66" s="1991"/>
    </row>
    <row r="67" spans="1:17" x14ac:dyDescent="0.2">
      <c r="C67" s="1996" t="s">
        <v>1977</v>
      </c>
    </row>
    <row r="68" spans="1:17" x14ac:dyDescent="0.2">
      <c r="A68" s="1964">
        <v>1</v>
      </c>
      <c r="C68" s="1965" t="s">
        <v>354</v>
      </c>
      <c r="E68" s="1966"/>
      <c r="F68" s="1967"/>
      <c r="G68" s="1967"/>
      <c r="H68" s="1967"/>
      <c r="I68" s="1968"/>
      <c r="J68" s="1967"/>
      <c r="K68" s="1969"/>
      <c r="M68" s="1955"/>
      <c r="N68" s="1955"/>
      <c r="O68" s="1955"/>
      <c r="P68" s="1955"/>
      <c r="Q68" s="1955"/>
    </row>
    <row r="69" spans="1:17" ht="12.75" customHeight="1" x14ac:dyDescent="0.2">
      <c r="A69" s="1964">
        <f t="shared" ref="A69:A75" si="2">A68+1</f>
        <v>2</v>
      </c>
      <c r="C69" s="1970" t="s">
        <v>355</v>
      </c>
      <c r="E69" s="1971">
        <v>16256.2194</v>
      </c>
      <c r="F69" s="1972"/>
      <c r="G69" s="1973">
        <v>487.68658200000027</v>
      </c>
      <c r="H69" s="1972"/>
      <c r="I69" s="1971">
        <v>16743.905982</v>
      </c>
      <c r="J69" s="1972"/>
      <c r="K69" s="1974"/>
      <c r="M69" s="1975"/>
      <c r="N69" s="1975"/>
      <c r="O69" s="1975"/>
      <c r="P69" s="1975"/>
      <c r="Q69" s="1975"/>
    </row>
    <row r="70" spans="1:17" ht="15" x14ac:dyDescent="0.35">
      <c r="A70" s="1964">
        <f t="shared" si="2"/>
        <v>3</v>
      </c>
      <c r="C70" s="1970" t="s">
        <v>356</v>
      </c>
      <c r="E70" s="1976">
        <v>42817.998599999999</v>
      </c>
      <c r="F70" s="1972"/>
      <c r="G70" s="1977">
        <v>195.54028829999879</v>
      </c>
      <c r="H70" s="1972"/>
      <c r="I70" s="1978">
        <v>43013.538888299998</v>
      </c>
      <c r="J70" s="1972"/>
      <c r="K70" s="1977"/>
      <c r="M70" s="1955"/>
      <c r="N70" s="1979"/>
      <c r="O70" s="1979"/>
      <c r="P70" s="1979"/>
      <c r="Q70" s="1979"/>
    </row>
    <row r="71" spans="1:17" x14ac:dyDescent="0.2">
      <c r="A71" s="1964">
        <f t="shared" si="2"/>
        <v>4</v>
      </c>
      <c r="C71" s="1970" t="s">
        <v>357</v>
      </c>
      <c r="E71" s="1973">
        <v>59074.218000000001</v>
      </c>
      <c r="F71" s="1972"/>
      <c r="G71" s="1980">
        <v>683.22687029999906</v>
      </c>
      <c r="H71" s="1972"/>
      <c r="I71" s="1973">
        <v>59757.444870299994</v>
      </c>
      <c r="J71" s="1972"/>
      <c r="K71" s="1973"/>
      <c r="M71" s="1979"/>
      <c r="N71" s="1979"/>
      <c r="O71" s="1979"/>
      <c r="P71" s="1979"/>
      <c r="Q71" s="1979"/>
    </row>
    <row r="72" spans="1:17" ht="15" x14ac:dyDescent="0.35">
      <c r="A72" s="1964"/>
      <c r="C72" s="1970"/>
      <c r="E72" s="1977"/>
      <c r="F72" s="1981"/>
      <c r="G72" s="1981"/>
      <c r="H72" s="1981"/>
      <c r="I72" s="1977"/>
      <c r="J72" s="1981"/>
      <c r="K72" s="1977"/>
      <c r="M72" s="1979"/>
      <c r="N72" s="1979"/>
      <c r="O72" s="1979"/>
      <c r="P72" s="1979"/>
      <c r="Q72" s="1979"/>
    </row>
    <row r="73" spans="1:17" x14ac:dyDescent="0.2">
      <c r="A73" s="1964">
        <f>A71+1</f>
        <v>5</v>
      </c>
      <c r="C73" s="1965" t="s">
        <v>341</v>
      </c>
      <c r="E73" s="1973"/>
      <c r="F73" s="1981"/>
      <c r="G73" s="1981"/>
      <c r="H73" s="1981"/>
      <c r="I73" s="1973"/>
      <c r="J73" s="1981"/>
      <c r="K73" s="1973"/>
      <c r="M73" s="1979"/>
      <c r="N73" s="1979"/>
      <c r="O73" s="1979"/>
      <c r="P73" s="1979"/>
      <c r="Q73" s="1979"/>
    </row>
    <row r="74" spans="1:17" x14ac:dyDescent="0.2">
      <c r="A74" s="1964">
        <f t="shared" si="2"/>
        <v>6</v>
      </c>
      <c r="C74" s="1970" t="s">
        <v>358</v>
      </c>
      <c r="E74" s="1971">
        <v>0</v>
      </c>
      <c r="F74" s="1972"/>
      <c r="G74" s="1973">
        <v>0</v>
      </c>
      <c r="H74" s="1972"/>
      <c r="I74" s="1971">
        <v>0</v>
      </c>
      <c r="J74" s="1972"/>
      <c r="K74" s="1973"/>
    </row>
    <row r="75" spans="1:17" ht="15" x14ac:dyDescent="0.35">
      <c r="A75" s="1964">
        <f t="shared" si="2"/>
        <v>7</v>
      </c>
      <c r="C75" s="1970" t="s">
        <v>359</v>
      </c>
      <c r="E75" s="1976">
        <v>3003.7039293962043</v>
      </c>
      <c r="F75" s="1972"/>
      <c r="G75" s="1977">
        <v>90.111117881886457</v>
      </c>
      <c r="H75" s="1972"/>
      <c r="I75" s="1978">
        <v>3093.8150472780908</v>
      </c>
      <c r="J75" s="1972"/>
      <c r="K75" s="1977"/>
    </row>
    <row r="76" spans="1:17" x14ac:dyDescent="0.2">
      <c r="A76" s="1964">
        <f>A75+1</f>
        <v>8</v>
      </c>
      <c r="C76" s="1970" t="s">
        <v>360</v>
      </c>
      <c r="E76" s="1973">
        <v>3003.7039293962043</v>
      </c>
      <c r="F76" s="1972"/>
      <c r="G76" s="1980">
        <v>90.111117881886457</v>
      </c>
      <c r="H76" s="1972"/>
      <c r="I76" s="1973">
        <v>3093.8150472780908</v>
      </c>
      <c r="J76" s="1972"/>
      <c r="K76" s="1973"/>
    </row>
    <row r="77" spans="1:17" x14ac:dyDescent="0.2">
      <c r="A77" s="1964"/>
      <c r="C77" s="1970"/>
      <c r="E77" s="1982"/>
      <c r="F77" s="1972"/>
      <c r="G77" s="1972"/>
      <c r="H77" s="1972"/>
      <c r="I77" s="1982"/>
      <c r="J77" s="1972"/>
      <c r="K77" s="1973"/>
    </row>
    <row r="78" spans="1:17" x14ac:dyDescent="0.2">
      <c r="A78" s="1964">
        <f>A76+1</f>
        <v>9</v>
      </c>
      <c r="C78" s="1983" t="s">
        <v>346</v>
      </c>
      <c r="E78" s="1981"/>
      <c r="F78" s="1981"/>
      <c r="G78" s="1981"/>
      <c r="H78" s="1981"/>
      <c r="I78" s="1981"/>
      <c r="J78" s="1981"/>
      <c r="K78" s="1981"/>
    </row>
    <row r="79" spans="1:17" x14ac:dyDescent="0.2">
      <c r="A79" s="1964">
        <f>A78+1</f>
        <v>10</v>
      </c>
      <c r="C79" s="1958" t="s">
        <v>361</v>
      </c>
      <c r="E79" s="1971">
        <v>4560.0308145698964</v>
      </c>
      <c r="F79" s="1972"/>
      <c r="G79" s="1973">
        <v>52.739345308135853</v>
      </c>
      <c r="H79" s="1972"/>
      <c r="I79" s="1971">
        <v>4612.7701598780322</v>
      </c>
      <c r="J79" s="1972"/>
      <c r="K79" s="1984"/>
      <c r="N79" s="1985"/>
    </row>
    <row r="80" spans="1:17" x14ac:dyDescent="0.2">
      <c r="A80" s="1964">
        <f>A79+1</f>
        <v>11</v>
      </c>
      <c r="C80" s="1958" t="s">
        <v>362</v>
      </c>
      <c r="E80" s="1986">
        <v>32.579296397658339</v>
      </c>
      <c r="F80" s="1972"/>
      <c r="G80" s="1987">
        <v>0.3767980595925593</v>
      </c>
      <c r="H80" s="1972"/>
      <c r="I80" s="1986">
        <v>32.956094457250899</v>
      </c>
      <c r="J80" s="1972"/>
      <c r="K80" s="1984"/>
      <c r="N80" s="1985"/>
    </row>
    <row r="81" spans="1:17" ht="15" x14ac:dyDescent="0.35">
      <c r="A81" s="1964">
        <f>A80+1</f>
        <v>12</v>
      </c>
      <c r="C81" s="1958" t="s">
        <v>363</v>
      </c>
      <c r="E81" s="1976">
        <v>65.158592795316679</v>
      </c>
      <c r="F81" s="1981"/>
      <c r="G81" s="1977">
        <v>0.7535961191851186</v>
      </c>
      <c r="H81" s="1981"/>
      <c r="I81" s="1976">
        <v>65.912188914501797</v>
      </c>
      <c r="J81" s="1981"/>
      <c r="K81" s="1984"/>
      <c r="N81" s="1985"/>
    </row>
    <row r="82" spans="1:17" ht="15" x14ac:dyDescent="0.35">
      <c r="A82" s="1964">
        <f>A81+1</f>
        <v>13</v>
      </c>
      <c r="C82" s="1958" t="s">
        <v>364</v>
      </c>
      <c r="E82" s="1988">
        <v>4657.7687037628712</v>
      </c>
      <c r="F82" s="1981"/>
      <c r="G82" s="1989">
        <v>53.869739486913531</v>
      </c>
      <c r="H82" s="1981"/>
      <c r="I82" s="1990">
        <v>4711.6384432497853</v>
      </c>
      <c r="J82" s="1981"/>
      <c r="K82" s="1984"/>
      <c r="M82" s="1991"/>
      <c r="N82" s="1985"/>
    </row>
    <row r="83" spans="1:17" x14ac:dyDescent="0.2">
      <c r="A83" s="1964"/>
      <c r="C83" s="1958"/>
      <c r="E83" s="1992"/>
      <c r="F83" s="1981"/>
      <c r="G83" s="1981"/>
      <c r="H83" s="1981"/>
      <c r="I83" s="1992"/>
      <c r="J83" s="1981"/>
      <c r="K83" s="1981"/>
    </row>
    <row r="84" spans="1:17" ht="15" x14ac:dyDescent="0.35">
      <c r="A84" s="1964">
        <f>A82+1</f>
        <v>14</v>
      </c>
      <c r="C84" s="1958" t="s">
        <v>365</v>
      </c>
      <c r="E84" s="1993">
        <v>66735.690633159073</v>
      </c>
      <c r="F84" s="1981"/>
      <c r="G84" s="1993">
        <v>827.20772766879907</v>
      </c>
      <c r="H84" s="1981"/>
      <c r="I84" s="1993">
        <v>67562.898360827865</v>
      </c>
      <c r="J84" s="1981"/>
      <c r="K84" s="1994"/>
      <c r="M84" s="1991"/>
    </row>
    <row r="85" spans="1:17" ht="15" x14ac:dyDescent="0.35">
      <c r="A85" s="1964"/>
      <c r="C85" s="1958"/>
      <c r="E85" s="1993"/>
      <c r="F85" s="1981"/>
      <c r="G85" s="1993"/>
      <c r="H85" s="1981"/>
      <c r="I85" s="1993"/>
      <c r="J85" s="1981"/>
      <c r="K85" s="1994"/>
      <c r="M85" s="1991"/>
    </row>
    <row r="86" spans="1:17" x14ac:dyDescent="0.2">
      <c r="C86" s="1996" t="s">
        <v>2403</v>
      </c>
    </row>
    <row r="87" spans="1:17" x14ac:dyDescent="0.2">
      <c r="A87" s="1964">
        <f>A84+1</f>
        <v>15</v>
      </c>
      <c r="C87" s="1965" t="s">
        <v>354</v>
      </c>
      <c r="E87" s="1966"/>
      <c r="F87" s="1967"/>
      <c r="G87" s="1967"/>
      <c r="H87" s="1967"/>
      <c r="I87" s="1968"/>
      <c r="J87" s="1967"/>
      <c r="K87" s="1969"/>
      <c r="M87" s="1955"/>
      <c r="N87" s="1955"/>
      <c r="O87" s="1955"/>
      <c r="P87" s="1955"/>
      <c r="Q87" s="1955"/>
    </row>
    <row r="88" spans="1:17" ht="12.75" customHeight="1" x14ac:dyDescent="0.2">
      <c r="A88" s="1964">
        <f t="shared" ref="A88:A94" si="3">A87+1</f>
        <v>16</v>
      </c>
      <c r="C88" s="1970" t="s">
        <v>355</v>
      </c>
      <c r="E88" s="1971">
        <v>14994</v>
      </c>
      <c r="F88" s="1972"/>
      <c r="G88" s="1973">
        <v>449.81999999999971</v>
      </c>
      <c r="H88" s="1972"/>
      <c r="I88" s="1971">
        <v>15443.82</v>
      </c>
      <c r="J88" s="1972"/>
      <c r="K88" s="1974"/>
      <c r="M88" s="1975"/>
      <c r="N88" s="1975"/>
      <c r="O88" s="1975"/>
      <c r="P88" s="1975"/>
      <c r="Q88" s="1975"/>
    </row>
    <row r="89" spans="1:17" ht="15" x14ac:dyDescent="0.35">
      <c r="A89" s="1964">
        <f t="shared" si="3"/>
        <v>17</v>
      </c>
      <c r="C89" s="1970" t="s">
        <v>356</v>
      </c>
      <c r="E89" s="1976">
        <v>33565.752</v>
      </c>
      <c r="F89" s="1972"/>
      <c r="G89" s="1977">
        <v>-1349.4599999999991</v>
      </c>
      <c r="H89" s="1972"/>
      <c r="I89" s="1978">
        <v>32216.292000000001</v>
      </c>
      <c r="J89" s="1972"/>
      <c r="K89" s="1977"/>
      <c r="M89" s="1955"/>
      <c r="N89" s="1979"/>
      <c r="O89" s="1979"/>
      <c r="P89" s="1979"/>
      <c r="Q89" s="1979"/>
    </row>
    <row r="90" spans="1:17" x14ac:dyDescent="0.2">
      <c r="A90" s="1964">
        <f t="shared" si="3"/>
        <v>18</v>
      </c>
      <c r="C90" s="1970" t="s">
        <v>357</v>
      </c>
      <c r="E90" s="1973">
        <v>48559.752</v>
      </c>
      <c r="F90" s="1972"/>
      <c r="G90" s="1980">
        <v>-899.63999999999942</v>
      </c>
      <c r="H90" s="1972"/>
      <c r="I90" s="1973">
        <v>47660.112000000001</v>
      </c>
      <c r="J90" s="1972"/>
      <c r="K90" s="1973"/>
      <c r="M90" s="1979"/>
      <c r="N90" s="1979"/>
      <c r="O90" s="1979"/>
      <c r="P90" s="1979"/>
      <c r="Q90" s="1979"/>
    </row>
    <row r="91" spans="1:17" ht="15" x14ac:dyDescent="0.35">
      <c r="A91" s="1964"/>
      <c r="C91" s="1970"/>
      <c r="E91" s="1977"/>
      <c r="F91" s="1981"/>
      <c r="G91" s="1981"/>
      <c r="H91" s="1981"/>
      <c r="I91" s="1977"/>
      <c r="J91" s="1981"/>
      <c r="K91" s="1977"/>
      <c r="M91" s="1979"/>
      <c r="N91" s="1979"/>
      <c r="O91" s="1979"/>
      <c r="P91" s="1979"/>
      <c r="Q91" s="1979"/>
    </row>
    <row r="92" spans="1:17" x14ac:dyDescent="0.2">
      <c r="A92" s="1964">
        <f>A90+1</f>
        <v>19</v>
      </c>
      <c r="C92" s="1965" t="s">
        <v>341</v>
      </c>
      <c r="E92" s="1973"/>
      <c r="F92" s="1981"/>
      <c r="G92" s="1981"/>
      <c r="H92" s="1981"/>
      <c r="I92" s="1973"/>
      <c r="J92" s="1981"/>
      <c r="K92" s="1973"/>
      <c r="M92" s="1979"/>
      <c r="N92" s="1979"/>
      <c r="O92" s="1979"/>
      <c r="P92" s="1979"/>
      <c r="Q92" s="1979"/>
    </row>
    <row r="93" spans="1:17" x14ac:dyDescent="0.2">
      <c r="A93" s="1964">
        <f t="shared" si="3"/>
        <v>20</v>
      </c>
      <c r="C93" s="1970" t="s">
        <v>358</v>
      </c>
      <c r="E93" s="1971">
        <v>2268.4085999999998</v>
      </c>
      <c r="F93" s="1972"/>
      <c r="G93" s="1973">
        <v>-36.842399999999998</v>
      </c>
      <c r="H93" s="1972"/>
      <c r="I93" s="1971">
        <v>2231.5661999999998</v>
      </c>
      <c r="J93" s="1972"/>
      <c r="K93" s="1973"/>
    </row>
    <row r="94" spans="1:17" ht="15" x14ac:dyDescent="0.35">
      <c r="A94" s="1964">
        <f t="shared" si="3"/>
        <v>21</v>
      </c>
      <c r="C94" s="1970" t="s">
        <v>359</v>
      </c>
      <c r="E94" s="1976">
        <v>2770.4803687237813</v>
      </c>
      <c r="F94" s="1972"/>
      <c r="G94" s="1977">
        <v>83.114411061713781</v>
      </c>
      <c r="H94" s="1972"/>
      <c r="I94" s="1978">
        <v>2853.5947797854951</v>
      </c>
      <c r="J94" s="1972"/>
      <c r="K94" s="1977"/>
    </row>
    <row r="95" spans="1:17" x14ac:dyDescent="0.2">
      <c r="A95" s="1964">
        <f>A94+1</f>
        <v>22</v>
      </c>
      <c r="C95" s="1970" t="s">
        <v>360</v>
      </c>
      <c r="E95" s="1973">
        <v>5038.8889687237806</v>
      </c>
      <c r="F95" s="1972"/>
      <c r="G95" s="1980">
        <v>46.272011061713783</v>
      </c>
      <c r="H95" s="1972"/>
      <c r="I95" s="1973">
        <v>5085.1609797854944</v>
      </c>
      <c r="J95" s="1972"/>
      <c r="K95" s="1973"/>
    </row>
    <row r="96" spans="1:17" x14ac:dyDescent="0.2">
      <c r="A96" s="1964"/>
      <c r="C96" s="1970"/>
      <c r="E96" s="1982"/>
      <c r="F96" s="1972"/>
      <c r="G96" s="1972"/>
      <c r="H96" s="1972"/>
      <c r="I96" s="1982"/>
      <c r="J96" s="1972"/>
      <c r="K96" s="1973"/>
    </row>
    <row r="97" spans="1:17" x14ac:dyDescent="0.2">
      <c r="A97" s="1964">
        <f>A95+1</f>
        <v>23</v>
      </c>
      <c r="C97" s="1983" t="s">
        <v>346</v>
      </c>
      <c r="E97" s="1981"/>
      <c r="F97" s="1981"/>
      <c r="G97" s="1981"/>
      <c r="H97" s="1981"/>
      <c r="I97" s="1981"/>
      <c r="J97" s="1981"/>
      <c r="K97" s="1981"/>
    </row>
    <row r="98" spans="1:17" x14ac:dyDescent="0.2">
      <c r="A98" s="1964">
        <f>A97+1</f>
        <v>24</v>
      </c>
      <c r="C98" s="1958" t="s">
        <v>361</v>
      </c>
      <c r="E98" s="1971">
        <v>3748.4028221562262</v>
      </c>
      <c r="F98" s="1972"/>
      <c r="G98" s="1973">
        <v>-69.444611556595646</v>
      </c>
      <c r="H98" s="1972"/>
      <c r="I98" s="1971">
        <v>3678.9582105996305</v>
      </c>
      <c r="J98" s="1972"/>
      <c r="K98" s="1984"/>
      <c r="N98" s="1985"/>
    </row>
    <row r="99" spans="1:17" x14ac:dyDescent="0.2">
      <c r="A99" s="1964">
        <f>A98+1</f>
        <v>25</v>
      </c>
      <c r="C99" s="1958" t="s">
        <v>362</v>
      </c>
      <c r="E99" s="1986">
        <v>26.780592396581234</v>
      </c>
      <c r="F99" s="1972"/>
      <c r="G99" s="1987">
        <v>-0.49614940668684682</v>
      </c>
      <c r="H99" s="1972"/>
      <c r="I99" s="1986">
        <v>26.284442989894387</v>
      </c>
      <c r="J99" s="1972"/>
      <c r="K99" s="1984"/>
      <c r="N99" s="1985"/>
    </row>
    <row r="100" spans="1:17" ht="15" x14ac:dyDescent="0.35">
      <c r="A100" s="1964">
        <f>A99+1</f>
        <v>26</v>
      </c>
      <c r="C100" s="1958" t="s">
        <v>363</v>
      </c>
      <c r="E100" s="1976">
        <v>53.561184793162468</v>
      </c>
      <c r="F100" s="1981"/>
      <c r="G100" s="1977">
        <v>-0.99229881337369363</v>
      </c>
      <c r="H100" s="1981"/>
      <c r="I100" s="1976">
        <v>52.568885979788774</v>
      </c>
      <c r="J100" s="1981"/>
      <c r="K100" s="1984"/>
      <c r="N100" s="1985"/>
    </row>
    <row r="101" spans="1:17" ht="15" x14ac:dyDescent="0.35">
      <c r="A101" s="1964">
        <f>A100+1</f>
        <v>27</v>
      </c>
      <c r="C101" s="1958" t="s">
        <v>364</v>
      </c>
      <c r="E101" s="1988">
        <v>3828.7445993459696</v>
      </c>
      <c r="F101" s="1981"/>
      <c r="G101" s="1989">
        <v>-70.933059776656179</v>
      </c>
      <c r="H101" s="1981"/>
      <c r="I101" s="1990">
        <v>3757.8115395693135</v>
      </c>
      <c r="J101" s="1981"/>
      <c r="K101" s="1984"/>
      <c r="M101" s="1991"/>
      <c r="N101" s="1985"/>
    </row>
    <row r="102" spans="1:17" x14ac:dyDescent="0.2">
      <c r="A102" s="1964"/>
      <c r="C102" s="1958"/>
      <c r="E102" s="1992"/>
      <c r="F102" s="1981"/>
      <c r="G102" s="1981"/>
      <c r="H102" s="1981"/>
      <c r="I102" s="1992"/>
      <c r="J102" s="1981"/>
      <c r="K102" s="1981"/>
    </row>
    <row r="103" spans="1:17" ht="15" x14ac:dyDescent="0.35">
      <c r="A103" s="1964">
        <f>A101+1</f>
        <v>28</v>
      </c>
      <c r="C103" s="1958" t="s">
        <v>365</v>
      </c>
      <c r="E103" s="1993">
        <v>57427.385568069752</v>
      </c>
      <c r="F103" s="1981"/>
      <c r="G103" s="1993">
        <v>-924.30104871494177</v>
      </c>
      <c r="H103" s="1981"/>
      <c r="I103" s="1993">
        <v>56503.084519354816</v>
      </c>
      <c r="J103" s="1981"/>
      <c r="K103" s="1994"/>
      <c r="M103" s="1991"/>
    </row>
    <row r="104" spans="1:17" ht="15" x14ac:dyDescent="0.35">
      <c r="A104" s="1964"/>
      <c r="C104" s="1958"/>
      <c r="E104" s="1993"/>
      <c r="F104" s="1981"/>
      <c r="G104" s="1993"/>
      <c r="H104" s="1981"/>
      <c r="I104" s="1993"/>
      <c r="J104" s="1981"/>
      <c r="K104" s="1994"/>
      <c r="M104" s="1991"/>
    </row>
    <row r="105" spans="1:17" x14ac:dyDescent="0.2">
      <c r="C105" s="1996" t="s">
        <v>1978</v>
      </c>
    </row>
    <row r="106" spans="1:17" x14ac:dyDescent="0.2">
      <c r="A106" s="1964">
        <f>A103+1</f>
        <v>29</v>
      </c>
      <c r="C106" s="1965" t="s">
        <v>354</v>
      </c>
      <c r="E106" s="1966"/>
      <c r="F106" s="1967"/>
      <c r="G106" s="1967"/>
      <c r="H106" s="1967"/>
      <c r="I106" s="1968"/>
      <c r="J106" s="1967"/>
      <c r="K106" s="1969"/>
      <c r="M106" s="1955"/>
      <c r="N106" s="1955"/>
      <c r="O106" s="1955"/>
      <c r="P106" s="1955"/>
      <c r="Q106" s="1955"/>
    </row>
    <row r="107" spans="1:17" ht="12.75" customHeight="1" x14ac:dyDescent="0.2">
      <c r="A107" s="1964">
        <f t="shared" ref="A107:A113" si="4">A106+1</f>
        <v>30</v>
      </c>
      <c r="C107" s="1970" t="s">
        <v>355</v>
      </c>
      <c r="E107" s="1971">
        <v>15279</v>
      </c>
      <c r="F107" s="1972"/>
      <c r="G107" s="1973">
        <v>458.3700000000008</v>
      </c>
      <c r="H107" s="1972"/>
      <c r="I107" s="1971">
        <v>15737.37</v>
      </c>
      <c r="J107" s="1972"/>
      <c r="K107" s="1974"/>
      <c r="M107" s="1975"/>
      <c r="N107" s="1975"/>
      <c r="O107" s="1975"/>
      <c r="P107" s="1975"/>
      <c r="Q107" s="1975"/>
    </row>
    <row r="108" spans="1:17" ht="15" x14ac:dyDescent="0.35">
      <c r="A108" s="1964">
        <f t="shared" si="4"/>
        <v>31</v>
      </c>
      <c r="C108" s="1970" t="s">
        <v>356</v>
      </c>
      <c r="E108" s="1976">
        <v>28887.357100000001</v>
      </c>
      <c r="F108" s="1972"/>
      <c r="G108" s="1977">
        <v>1390.0648999999976</v>
      </c>
      <c r="H108" s="1972"/>
      <c r="I108" s="1978">
        <v>30277.421999999999</v>
      </c>
      <c r="J108" s="1972"/>
      <c r="K108" s="1977"/>
      <c r="M108" s="1955"/>
      <c r="N108" s="1979"/>
      <c r="O108" s="1979"/>
      <c r="P108" s="1979"/>
      <c r="Q108" s="1979"/>
    </row>
    <row r="109" spans="1:17" x14ac:dyDescent="0.2">
      <c r="A109" s="1964">
        <f t="shared" si="4"/>
        <v>32</v>
      </c>
      <c r="C109" s="1970" t="s">
        <v>357</v>
      </c>
      <c r="E109" s="1973">
        <v>44166.357100000001</v>
      </c>
      <c r="F109" s="1972"/>
      <c r="G109" s="1980">
        <v>1848.4348999999984</v>
      </c>
      <c r="H109" s="1972"/>
      <c r="I109" s="1973">
        <v>46014.792000000001</v>
      </c>
      <c r="J109" s="1972"/>
      <c r="K109" s="1973"/>
      <c r="M109" s="1979"/>
      <c r="N109" s="1979"/>
      <c r="O109" s="1979"/>
      <c r="P109" s="1979"/>
      <c r="Q109" s="1979"/>
    </row>
    <row r="110" spans="1:17" ht="15" x14ac:dyDescent="0.35">
      <c r="A110" s="1964"/>
      <c r="C110" s="1970"/>
      <c r="E110" s="1977"/>
      <c r="F110" s="1981"/>
      <c r="G110" s="1981"/>
      <c r="H110" s="1981"/>
      <c r="I110" s="1977"/>
      <c r="J110" s="1981"/>
      <c r="K110" s="1977"/>
      <c r="M110" s="1979"/>
      <c r="N110" s="1979"/>
      <c r="O110" s="1979"/>
      <c r="P110" s="1979"/>
      <c r="Q110" s="1979"/>
    </row>
    <row r="111" spans="1:17" x14ac:dyDescent="0.2">
      <c r="A111" s="1964">
        <f>A109+1</f>
        <v>33</v>
      </c>
      <c r="C111" s="1965" t="s">
        <v>341</v>
      </c>
      <c r="E111" s="1973"/>
      <c r="F111" s="1981"/>
      <c r="G111" s="1981"/>
      <c r="H111" s="1981"/>
      <c r="I111" s="1973"/>
      <c r="J111" s="1981"/>
      <c r="K111" s="1973"/>
      <c r="M111" s="1979"/>
      <c r="N111" s="1979"/>
      <c r="O111" s="1979"/>
      <c r="P111" s="1979"/>
      <c r="Q111" s="1979"/>
    </row>
    <row r="112" spans="1:17" x14ac:dyDescent="0.2">
      <c r="A112" s="1964">
        <f t="shared" si="4"/>
        <v>34</v>
      </c>
      <c r="C112" s="1970" t="s">
        <v>358</v>
      </c>
      <c r="E112" s="1971">
        <v>0</v>
      </c>
      <c r="F112" s="1972"/>
      <c r="G112" s="1973">
        <v>0</v>
      </c>
      <c r="H112" s="1972"/>
      <c r="I112" s="1971">
        <v>0</v>
      </c>
      <c r="J112" s="1972"/>
      <c r="K112" s="1973"/>
    </row>
    <row r="113" spans="1:17" ht="15" x14ac:dyDescent="0.35">
      <c r="A113" s="1964">
        <f t="shared" si="4"/>
        <v>35</v>
      </c>
      <c r="C113" s="1970" t="s">
        <v>359</v>
      </c>
      <c r="E113" s="1976">
        <v>2823.1405598059664</v>
      </c>
      <c r="F113" s="1972"/>
      <c r="G113" s="1977">
        <v>84.694216794178828</v>
      </c>
      <c r="H113" s="1972"/>
      <c r="I113" s="1978">
        <v>2907.8347766001452</v>
      </c>
      <c r="J113" s="1972"/>
      <c r="K113" s="1977"/>
    </row>
    <row r="114" spans="1:17" x14ac:dyDescent="0.2">
      <c r="A114" s="1964">
        <f>A113+1</f>
        <v>36</v>
      </c>
      <c r="C114" s="1970" t="s">
        <v>360</v>
      </c>
      <c r="E114" s="1973">
        <v>2823.1405598059664</v>
      </c>
      <c r="F114" s="1972"/>
      <c r="G114" s="1980">
        <v>84.694216794178828</v>
      </c>
      <c r="H114" s="1972"/>
      <c r="I114" s="1973">
        <v>2907.8347766001452</v>
      </c>
      <c r="J114" s="1972"/>
      <c r="K114" s="1973"/>
    </row>
    <row r="115" spans="1:17" x14ac:dyDescent="0.2">
      <c r="A115" s="1964"/>
      <c r="C115" s="1970"/>
      <c r="E115" s="1982"/>
      <c r="F115" s="1972"/>
      <c r="G115" s="1972"/>
      <c r="H115" s="1972"/>
      <c r="I115" s="1982"/>
      <c r="J115" s="1972"/>
      <c r="K115" s="1973"/>
    </row>
    <row r="116" spans="1:17" x14ac:dyDescent="0.2">
      <c r="A116" s="1964">
        <f>A114+1</f>
        <v>37</v>
      </c>
      <c r="C116" s="1983" t="s">
        <v>346</v>
      </c>
      <c r="E116" s="1981"/>
      <c r="F116" s="1981"/>
      <c r="G116" s="1981"/>
      <c r="H116" s="1981"/>
      <c r="I116" s="1981"/>
      <c r="J116" s="1981"/>
      <c r="K116" s="1981"/>
    </row>
    <row r="117" spans="1:17" x14ac:dyDescent="0.2">
      <c r="A117" s="1964">
        <f>A116+1</f>
        <v>38</v>
      </c>
      <c r="C117" s="1958" t="s">
        <v>361</v>
      </c>
      <c r="E117" s="1971">
        <v>3409.2698331325846</v>
      </c>
      <c r="F117" s="1972"/>
      <c r="G117" s="1973">
        <v>142.68356633559551</v>
      </c>
      <c r="H117" s="1972"/>
      <c r="I117" s="1971">
        <v>3551.9533994681801</v>
      </c>
      <c r="J117" s="1972"/>
      <c r="K117" s="1984"/>
      <c r="N117" s="1985"/>
    </row>
    <row r="118" spans="1:17" x14ac:dyDescent="0.2">
      <c r="A118" s="1964">
        <f>A117+1</f>
        <v>39</v>
      </c>
      <c r="C118" s="1958" t="s">
        <v>362</v>
      </c>
      <c r="E118" s="1986">
        <v>24.35764513659278</v>
      </c>
      <c r="F118" s="1972"/>
      <c r="G118" s="1987">
        <v>1.0194076285339229</v>
      </c>
      <c r="H118" s="1972"/>
      <c r="I118" s="1986">
        <v>25.377052765126702</v>
      </c>
      <c r="J118" s="1972"/>
      <c r="K118" s="1984"/>
      <c r="N118" s="1985"/>
    </row>
    <row r="119" spans="1:17" ht="15" x14ac:dyDescent="0.35">
      <c r="A119" s="1964">
        <f>A118+1</f>
        <v>40</v>
      </c>
      <c r="C119" s="1958" t="s">
        <v>363</v>
      </c>
      <c r="E119" s="1976">
        <v>48.715290273185559</v>
      </c>
      <c r="F119" s="1981"/>
      <c r="G119" s="1977">
        <v>2.0388152570678457</v>
      </c>
      <c r="H119" s="1981"/>
      <c r="I119" s="1976">
        <v>50.754105530253405</v>
      </c>
      <c r="J119" s="1981"/>
      <c r="K119" s="1984"/>
      <c r="N119" s="1985"/>
    </row>
    <row r="120" spans="1:17" ht="15" x14ac:dyDescent="0.35">
      <c r="A120" s="1964">
        <f>A119+1</f>
        <v>41</v>
      </c>
      <c r="C120" s="1958" t="s">
        <v>364</v>
      </c>
      <c r="E120" s="1988">
        <v>3482.342768542363</v>
      </c>
      <c r="F120" s="1981"/>
      <c r="G120" s="1989">
        <v>145.74178922119728</v>
      </c>
      <c r="H120" s="1981"/>
      <c r="I120" s="1990">
        <v>3628.0845577635605</v>
      </c>
      <c r="J120" s="1981"/>
      <c r="K120" s="1984"/>
      <c r="M120" s="1991"/>
      <c r="N120" s="1985"/>
    </row>
    <row r="121" spans="1:17" x14ac:dyDescent="0.2">
      <c r="A121" s="1964"/>
      <c r="C121" s="1958"/>
      <c r="E121" s="1992"/>
      <c r="F121" s="1981"/>
      <c r="G121" s="1981"/>
      <c r="H121" s="1981"/>
      <c r="I121" s="1992"/>
      <c r="J121" s="1981"/>
      <c r="K121" s="1981"/>
    </row>
    <row r="122" spans="1:17" ht="15" x14ac:dyDescent="0.35">
      <c r="A122" s="1964">
        <f>A120+1</f>
        <v>42</v>
      </c>
      <c r="C122" s="1958" t="s">
        <v>365</v>
      </c>
      <c r="E122" s="1993">
        <v>50471.840428348325</v>
      </c>
      <c r="F122" s="1981"/>
      <c r="G122" s="1993">
        <v>2078.8709060153747</v>
      </c>
      <c r="H122" s="1981"/>
      <c r="I122" s="1993">
        <v>52550.71133436371</v>
      </c>
      <c r="J122" s="1981"/>
      <c r="K122" s="1994"/>
      <c r="M122" s="1991"/>
    </row>
    <row r="123" spans="1:17" ht="12.75" customHeight="1" x14ac:dyDescent="0.2">
      <c r="A123" s="1957"/>
      <c r="B123" s="1957"/>
      <c r="C123" s="1957"/>
      <c r="D123" s="1957"/>
      <c r="E123" s="1957"/>
      <c r="F123" s="1957"/>
      <c r="G123" s="1957"/>
      <c r="H123" s="1957"/>
      <c r="I123" s="1957"/>
      <c r="J123" s="1957"/>
      <c r="K123" s="1957"/>
      <c r="M123" s="1955"/>
      <c r="N123" s="1955"/>
      <c r="O123" s="1955"/>
      <c r="P123" s="1955"/>
      <c r="Q123" s="1955"/>
    </row>
    <row r="124" spans="1:17" x14ac:dyDescent="0.2">
      <c r="A124" s="2178" t="str">
        <f>A1</f>
        <v>COLUMBIA GAS OF KENTUCKY, INC.</v>
      </c>
      <c r="B124" s="2178"/>
      <c r="C124" s="2178"/>
      <c r="D124" s="2178"/>
      <c r="E124" s="2178"/>
      <c r="F124" s="2178"/>
      <c r="G124" s="2178"/>
      <c r="H124" s="2178"/>
      <c r="I124" s="2178"/>
      <c r="J124" s="2178"/>
      <c r="K124" s="2178"/>
    </row>
    <row r="125" spans="1:17" x14ac:dyDescent="0.2">
      <c r="A125" s="2178" t="str">
        <f>A2</f>
        <v>CASE NO. 2016 - 00162</v>
      </c>
      <c r="B125" s="2178"/>
      <c r="C125" s="2178"/>
      <c r="D125" s="2178"/>
      <c r="E125" s="2178"/>
      <c r="F125" s="2178"/>
      <c r="G125" s="2178"/>
      <c r="H125" s="2178"/>
      <c r="I125" s="2178"/>
      <c r="J125" s="2178"/>
      <c r="K125" s="2178"/>
    </row>
    <row r="126" spans="1:17" x14ac:dyDescent="0.2">
      <c r="A126" s="2178" t="str">
        <f>A3</f>
        <v>EXECUTIVE COMPENSATION</v>
      </c>
      <c r="B126" s="2178"/>
      <c r="C126" s="2178"/>
      <c r="D126" s="2178"/>
      <c r="E126" s="2178"/>
      <c r="F126" s="2178"/>
      <c r="G126" s="2178"/>
      <c r="H126" s="2178"/>
      <c r="I126" s="2178"/>
      <c r="J126" s="2178"/>
      <c r="K126" s="2178"/>
    </row>
    <row r="127" spans="1:17" x14ac:dyDescent="0.2">
      <c r="A127" s="2178" t="str">
        <f>A4</f>
        <v>BASE PERIOD: TWELVE MONTHS ENDED AUGUST 31, 2016</v>
      </c>
      <c r="B127" s="2178"/>
      <c r="C127" s="2178"/>
      <c r="D127" s="2178"/>
      <c r="E127" s="2178"/>
      <c r="F127" s="2178"/>
      <c r="G127" s="2178"/>
      <c r="H127" s="2178"/>
      <c r="I127" s="2178"/>
      <c r="J127" s="2178"/>
      <c r="K127" s="2178"/>
    </row>
    <row r="128" spans="1:17" x14ac:dyDescent="0.2">
      <c r="A128" s="2178" t="str">
        <f>A5</f>
        <v>FORECASTED PERIOD: TWELVE MONTHS ENDED DECEMBER 31, 2017</v>
      </c>
      <c r="B128" s="2178"/>
      <c r="C128" s="2178"/>
      <c r="D128" s="2178"/>
      <c r="E128" s="2178"/>
      <c r="F128" s="2178"/>
      <c r="G128" s="2178"/>
      <c r="H128" s="2178"/>
      <c r="I128" s="2178"/>
      <c r="J128" s="2178"/>
      <c r="K128" s="2178"/>
    </row>
    <row r="129" spans="1:17" x14ac:dyDescent="0.2">
      <c r="A129" s="1950"/>
      <c r="B129" s="1950"/>
      <c r="C129" s="1950"/>
      <c r="D129" s="1950"/>
      <c r="E129" s="1950"/>
      <c r="F129" s="1950"/>
      <c r="G129" s="1950"/>
      <c r="H129" s="1950"/>
      <c r="I129" s="1950"/>
      <c r="J129" s="1950"/>
      <c r="K129" s="1950"/>
    </row>
    <row r="131" spans="1:17" x14ac:dyDescent="0.2">
      <c r="A131" s="1951" t="s">
        <v>1256</v>
      </c>
      <c r="K131" s="1952" t="s">
        <v>1876</v>
      </c>
    </row>
    <row r="132" spans="1:17" x14ac:dyDescent="0.2">
      <c r="A132" s="1951" t="s">
        <v>245</v>
      </c>
      <c r="K132" s="1952" t="s">
        <v>2414</v>
      </c>
    </row>
    <row r="133" spans="1:17" x14ac:dyDescent="0.2">
      <c r="A133" s="1951" t="s">
        <v>247</v>
      </c>
      <c r="K133" s="1953" t="str">
        <f>JTC</f>
        <v>WITNESS:  J. T. CROOM</v>
      </c>
    </row>
    <row r="134" spans="1:17" ht="12.75" customHeight="1" x14ac:dyDescent="0.2">
      <c r="A134" s="1954"/>
      <c r="B134" s="1954"/>
      <c r="C134" s="1954"/>
      <c r="D134" s="1954"/>
      <c r="E134" s="1954"/>
      <c r="F134" s="1954"/>
      <c r="G134" s="1954"/>
      <c r="H134" s="1954"/>
      <c r="I134" s="1954"/>
      <c r="J134" s="1954"/>
      <c r="K134" s="1954"/>
      <c r="M134" s="1955"/>
      <c r="N134" s="1955"/>
      <c r="O134" s="1955"/>
      <c r="P134" s="1955"/>
      <c r="Q134" s="1955"/>
    </row>
    <row r="135" spans="1:17" ht="12.75" customHeight="1" x14ac:dyDescent="0.2">
      <c r="A135" s="1956" t="s">
        <v>632</v>
      </c>
      <c r="B135" s="1957"/>
      <c r="C135" s="1958"/>
      <c r="D135" s="1957"/>
      <c r="E135" s="1959" t="s">
        <v>634</v>
      </c>
      <c r="F135" s="1958"/>
      <c r="G135" s="1959"/>
      <c r="H135" s="1960"/>
      <c r="I135" s="1961" t="s">
        <v>1320</v>
      </c>
      <c r="J135" s="1960"/>
      <c r="K135" s="1959"/>
      <c r="M135" s="1955"/>
      <c r="N135" s="1955"/>
      <c r="O135" s="1955"/>
      <c r="P135" s="1955"/>
      <c r="Q135" s="1955"/>
    </row>
    <row r="136" spans="1:17" ht="12.75" customHeight="1" x14ac:dyDescent="0.2">
      <c r="A136" s="1962" t="s">
        <v>635</v>
      </c>
      <c r="B136" s="1957"/>
      <c r="C136" s="1962" t="s">
        <v>778</v>
      </c>
      <c r="D136" s="1957"/>
      <c r="E136" s="1962" t="s">
        <v>638</v>
      </c>
      <c r="F136" s="1963"/>
      <c r="G136" s="1962" t="s">
        <v>677</v>
      </c>
      <c r="H136" s="1963"/>
      <c r="I136" s="1962" t="s">
        <v>638</v>
      </c>
      <c r="J136" s="1963"/>
      <c r="K136" s="1962"/>
      <c r="M136" s="1955"/>
      <c r="N136" s="1955"/>
      <c r="O136" s="1955"/>
      <c r="P136" s="1955"/>
      <c r="Q136" s="1955"/>
    </row>
    <row r="137" spans="1:17" ht="12.75" customHeight="1" x14ac:dyDescent="0.2">
      <c r="A137" s="1959"/>
      <c r="B137" s="1957"/>
      <c r="C137" s="1959"/>
      <c r="D137" s="1957"/>
      <c r="E137" s="1959"/>
      <c r="F137" s="1960"/>
      <c r="G137" s="1959"/>
      <c r="H137" s="1960"/>
      <c r="I137" s="1959"/>
      <c r="J137" s="1960"/>
      <c r="K137" s="1959"/>
      <c r="M137" s="1955"/>
      <c r="N137" s="1955"/>
      <c r="O137" s="1955"/>
      <c r="P137" s="1955"/>
      <c r="Q137" s="1955"/>
    </row>
    <row r="138" spans="1:17" x14ac:dyDescent="0.2">
      <c r="C138" s="1996" t="s">
        <v>2411</v>
      </c>
      <c r="M138" s="1955"/>
      <c r="N138" s="1955"/>
      <c r="O138" s="1955"/>
      <c r="P138" s="1955"/>
      <c r="Q138" s="1955"/>
    </row>
    <row r="139" spans="1:17" x14ac:dyDescent="0.2">
      <c r="A139" s="1964">
        <v>1</v>
      </c>
      <c r="C139" s="1965" t="s">
        <v>354</v>
      </c>
      <c r="E139" s="1966"/>
      <c r="F139" s="1967"/>
      <c r="G139" s="1967"/>
      <c r="H139" s="1967"/>
      <c r="I139" s="1968"/>
      <c r="J139" s="1967"/>
      <c r="K139" s="1969"/>
      <c r="M139" s="1955"/>
      <c r="N139" s="1955"/>
      <c r="O139" s="1955"/>
      <c r="P139" s="1955"/>
      <c r="Q139" s="1955"/>
    </row>
    <row r="140" spans="1:17" ht="12.75" customHeight="1" x14ac:dyDescent="0.2">
      <c r="A140" s="1964">
        <f t="shared" ref="A140:A146" si="5">A139+1</f>
        <v>2</v>
      </c>
      <c r="C140" s="1970" t="s">
        <v>355</v>
      </c>
      <c r="E140" s="1971">
        <v>216594.37733333331</v>
      </c>
      <c r="F140" s="1972"/>
      <c r="G140" s="1973">
        <v>6497.8313199999975</v>
      </c>
      <c r="H140" s="1972"/>
      <c r="I140" s="1971">
        <v>223092.20865333331</v>
      </c>
      <c r="J140" s="1972"/>
      <c r="K140" s="1974"/>
      <c r="M140" s="1975"/>
      <c r="N140" s="1975"/>
      <c r="O140" s="1975"/>
      <c r="P140" s="1975"/>
      <c r="Q140" s="1975"/>
    </row>
    <row r="141" spans="1:17" ht="15" x14ac:dyDescent="0.35">
      <c r="A141" s="1964">
        <f t="shared" si="5"/>
        <v>3</v>
      </c>
      <c r="C141" s="1970" t="s">
        <v>356</v>
      </c>
      <c r="E141" s="1976">
        <v>182430.88</v>
      </c>
      <c r="F141" s="1972"/>
      <c r="G141" s="1977">
        <v>-3193.996538666659</v>
      </c>
      <c r="H141" s="1972"/>
      <c r="I141" s="1978">
        <v>179236.88346133335</v>
      </c>
      <c r="J141" s="1972"/>
      <c r="K141" s="1977"/>
      <c r="M141" s="1955"/>
      <c r="N141" s="1979"/>
      <c r="O141" s="1979"/>
      <c r="P141" s="1979"/>
      <c r="Q141" s="1979"/>
    </row>
    <row r="142" spans="1:17" x14ac:dyDescent="0.2">
      <c r="A142" s="1964">
        <f t="shared" si="5"/>
        <v>4</v>
      </c>
      <c r="C142" s="1970" t="s">
        <v>357</v>
      </c>
      <c r="E142" s="1973">
        <v>399025.25733333331</v>
      </c>
      <c r="F142" s="1972"/>
      <c r="G142" s="1980">
        <v>3303.8347813333385</v>
      </c>
      <c r="H142" s="1972"/>
      <c r="I142" s="1973">
        <v>402329.09211466665</v>
      </c>
      <c r="J142" s="1972"/>
      <c r="K142" s="1973"/>
      <c r="M142" s="1979"/>
      <c r="N142" s="1979"/>
      <c r="O142" s="1979"/>
      <c r="P142" s="1979"/>
      <c r="Q142" s="1979"/>
    </row>
    <row r="143" spans="1:17" ht="15" x14ac:dyDescent="0.35">
      <c r="A143" s="1964"/>
      <c r="C143" s="1970"/>
      <c r="E143" s="1977"/>
      <c r="F143" s="1981"/>
      <c r="G143" s="1981"/>
      <c r="H143" s="1981"/>
      <c r="I143" s="1977"/>
      <c r="J143" s="1981"/>
      <c r="K143" s="1977"/>
      <c r="M143" s="1979"/>
      <c r="N143" s="1979"/>
      <c r="O143" s="1979"/>
      <c r="P143" s="1979"/>
      <c r="Q143" s="1979"/>
    </row>
    <row r="144" spans="1:17" x14ac:dyDescent="0.2">
      <c r="A144" s="1964">
        <f>A142+1</f>
        <v>5</v>
      </c>
      <c r="C144" s="1965" t="s">
        <v>341</v>
      </c>
      <c r="E144" s="1973"/>
      <c r="F144" s="1981"/>
      <c r="G144" s="1981"/>
      <c r="H144" s="1981"/>
      <c r="I144" s="1973"/>
      <c r="J144" s="1981"/>
      <c r="K144" s="1973"/>
      <c r="M144" s="1979"/>
      <c r="N144" s="1979"/>
      <c r="O144" s="1979"/>
      <c r="P144" s="1979"/>
      <c r="Q144" s="1979"/>
    </row>
    <row r="145" spans="1:17" x14ac:dyDescent="0.2">
      <c r="A145" s="1964">
        <f t="shared" si="5"/>
        <v>6</v>
      </c>
      <c r="C145" s="1970" t="s">
        <v>358</v>
      </c>
      <c r="E145" s="1971">
        <v>23081</v>
      </c>
      <c r="F145" s="1972"/>
      <c r="G145" s="1973">
        <v>353</v>
      </c>
      <c r="H145" s="1972"/>
      <c r="I145" s="1971">
        <v>23434</v>
      </c>
      <c r="J145" s="1972"/>
      <c r="K145" s="1973"/>
    </row>
    <row r="146" spans="1:17" ht="15" x14ac:dyDescent="0.35">
      <c r="A146" s="1964">
        <f t="shared" si="5"/>
        <v>7</v>
      </c>
      <c r="C146" s="1970" t="s">
        <v>359</v>
      </c>
      <c r="E146" s="1976">
        <v>40020.706307719833</v>
      </c>
      <c r="F146" s="1972"/>
      <c r="G146" s="1977">
        <v>1200.6211892315914</v>
      </c>
      <c r="H146" s="1972"/>
      <c r="I146" s="1978">
        <v>41221.327496951424</v>
      </c>
      <c r="J146" s="1972"/>
      <c r="K146" s="1977"/>
    </row>
    <row r="147" spans="1:17" x14ac:dyDescent="0.2">
      <c r="A147" s="1964">
        <f>A146+1</f>
        <v>8</v>
      </c>
      <c r="C147" s="1970" t="s">
        <v>360</v>
      </c>
      <c r="E147" s="1973">
        <v>63101.706307719833</v>
      </c>
      <c r="F147" s="1972"/>
      <c r="G147" s="1980">
        <v>1553.6211892315914</v>
      </c>
      <c r="H147" s="1972"/>
      <c r="I147" s="1973">
        <v>64655.327496951424</v>
      </c>
      <c r="J147" s="1972"/>
      <c r="K147" s="1973"/>
    </row>
    <row r="148" spans="1:17" x14ac:dyDescent="0.2">
      <c r="A148" s="1964"/>
      <c r="C148" s="1970"/>
      <c r="E148" s="1982"/>
      <c r="F148" s="1972"/>
      <c r="G148" s="1972"/>
      <c r="H148" s="1972"/>
      <c r="I148" s="1982"/>
      <c r="J148" s="1972"/>
      <c r="K148" s="1973"/>
    </row>
    <row r="149" spans="1:17" x14ac:dyDescent="0.2">
      <c r="A149" s="1964">
        <f>A147+1</f>
        <v>9</v>
      </c>
      <c r="C149" s="1983" t="s">
        <v>346</v>
      </c>
      <c r="E149" s="1981"/>
      <c r="F149" s="1981"/>
      <c r="G149" s="1981"/>
      <c r="H149" s="1981"/>
      <c r="I149" s="1981"/>
      <c r="J149" s="1981"/>
      <c r="K149" s="1981"/>
    </row>
    <row r="150" spans="1:17" x14ac:dyDescent="0.2">
      <c r="A150" s="1964">
        <f>A149+1</f>
        <v>10</v>
      </c>
      <c r="C150" s="1958" t="s">
        <v>361</v>
      </c>
      <c r="E150" s="1971">
        <v>30801.38054864615</v>
      </c>
      <c r="F150" s="1972"/>
      <c r="G150" s="1973">
        <v>255.0281479668156</v>
      </c>
      <c r="H150" s="1972"/>
      <c r="I150" s="1971">
        <v>31056.408696612965</v>
      </c>
      <c r="J150" s="1972"/>
      <c r="K150" s="1984"/>
      <c r="N150" s="1985"/>
    </row>
    <row r="151" spans="1:17" x14ac:dyDescent="0.2">
      <c r="A151" s="1964">
        <f>A150+1</f>
        <v>11</v>
      </c>
      <c r="C151" s="1958" t="s">
        <v>362</v>
      </c>
      <c r="E151" s="1986">
        <v>220.06151869525479</v>
      </c>
      <c r="F151" s="1972"/>
      <c r="G151" s="1987">
        <v>1.8220573413252907</v>
      </c>
      <c r="H151" s="1972"/>
      <c r="I151" s="1986">
        <v>221.88357603658008</v>
      </c>
      <c r="J151" s="1972"/>
      <c r="K151" s="1984"/>
      <c r="N151" s="1985"/>
    </row>
    <row r="152" spans="1:17" ht="15" x14ac:dyDescent="0.35">
      <c r="A152" s="1964">
        <f>A151+1</f>
        <v>12</v>
      </c>
      <c r="C152" s="1958" t="s">
        <v>363</v>
      </c>
      <c r="E152" s="1976">
        <v>440.12303739050958</v>
      </c>
      <c r="F152" s="1981"/>
      <c r="G152" s="1977">
        <v>3.6441146826505815</v>
      </c>
      <c r="H152" s="1981"/>
      <c r="I152" s="1976">
        <v>443.76715207316016</v>
      </c>
      <c r="J152" s="1981"/>
      <c r="K152" s="1984"/>
      <c r="N152" s="1985"/>
    </row>
    <row r="153" spans="1:17" ht="15" x14ac:dyDescent="0.35">
      <c r="A153" s="1964">
        <f>A152+1</f>
        <v>13</v>
      </c>
      <c r="C153" s="1958" t="s">
        <v>364</v>
      </c>
      <c r="E153" s="1988">
        <v>31461.565104731915</v>
      </c>
      <c r="F153" s="1981"/>
      <c r="G153" s="1989">
        <v>260.49431999079144</v>
      </c>
      <c r="H153" s="1981"/>
      <c r="I153" s="1990">
        <v>31722.059424722705</v>
      </c>
      <c r="J153" s="1981"/>
      <c r="K153" s="1984"/>
      <c r="M153" s="1991"/>
      <c r="N153" s="1985"/>
    </row>
    <row r="154" spans="1:17" x14ac:dyDescent="0.2">
      <c r="A154" s="1964"/>
      <c r="C154" s="1958"/>
      <c r="E154" s="1992"/>
      <c r="F154" s="1981"/>
      <c r="G154" s="1981"/>
      <c r="H154" s="1981"/>
      <c r="I154" s="1992"/>
      <c r="J154" s="1981"/>
      <c r="K154" s="1981"/>
    </row>
    <row r="155" spans="1:17" ht="15" x14ac:dyDescent="0.35">
      <c r="A155" s="1964">
        <f>A153+1</f>
        <v>14</v>
      </c>
      <c r="C155" s="1958" t="s">
        <v>365</v>
      </c>
      <c r="E155" s="1993">
        <v>493588.52874578506</v>
      </c>
      <c r="F155" s="1981"/>
      <c r="G155" s="1993">
        <v>5117.950290555721</v>
      </c>
      <c r="H155" s="1981"/>
      <c r="I155" s="1993">
        <v>498706.47903634078</v>
      </c>
      <c r="J155" s="1981"/>
      <c r="K155" s="1994"/>
      <c r="M155" s="1991"/>
    </row>
    <row r="156" spans="1:17" ht="15" x14ac:dyDescent="0.35">
      <c r="A156" s="1964"/>
      <c r="C156" s="1958"/>
      <c r="E156" s="1993"/>
      <c r="F156" s="1981"/>
      <c r="G156" s="1993"/>
      <c r="H156" s="1981"/>
      <c r="I156" s="1993"/>
      <c r="J156" s="1981"/>
      <c r="K156" s="1994"/>
      <c r="M156" s="1991"/>
    </row>
    <row r="157" spans="1:17" x14ac:dyDescent="0.2">
      <c r="A157" s="1964"/>
      <c r="C157" s="1996" t="s">
        <v>2410</v>
      </c>
      <c r="E157" s="1987"/>
      <c r="F157" s="1972"/>
      <c r="G157" s="1972"/>
      <c r="H157" s="1972"/>
      <c r="I157" s="1987"/>
      <c r="J157" s="1972"/>
      <c r="K157" s="1987"/>
    </row>
    <row r="158" spans="1:17" x14ac:dyDescent="0.2">
      <c r="A158" s="1964">
        <f>A155+1</f>
        <v>15</v>
      </c>
      <c r="C158" s="1965" t="s">
        <v>354</v>
      </c>
      <c r="E158" s="1966"/>
      <c r="F158" s="1967"/>
      <c r="G158" s="1967"/>
      <c r="H158" s="1967"/>
      <c r="I158" s="1968"/>
      <c r="J158" s="1967"/>
      <c r="K158" s="1969"/>
      <c r="M158" s="1955"/>
      <c r="N158" s="1955"/>
      <c r="O158" s="1955"/>
      <c r="P158" s="1955"/>
      <c r="Q158" s="1955"/>
    </row>
    <row r="159" spans="1:17" ht="12.75" customHeight="1" x14ac:dyDescent="0.2">
      <c r="A159" s="1964">
        <f t="shared" ref="A159:A165" si="6">A158+1</f>
        <v>16</v>
      </c>
      <c r="C159" s="1970" t="s">
        <v>355</v>
      </c>
      <c r="E159" s="1971">
        <v>139466.96833333332</v>
      </c>
      <c r="F159" s="1972"/>
      <c r="G159" s="1973">
        <v>4184.0090499999933</v>
      </c>
      <c r="H159" s="1972"/>
      <c r="I159" s="1971">
        <v>143650.97738333332</v>
      </c>
      <c r="J159" s="1972"/>
      <c r="K159" s="1974"/>
      <c r="M159" s="1975"/>
      <c r="N159" s="1975"/>
      <c r="O159" s="1975"/>
      <c r="P159" s="1975"/>
      <c r="Q159" s="1975"/>
    </row>
    <row r="160" spans="1:17" ht="15" x14ac:dyDescent="0.35">
      <c r="A160" s="1964">
        <f t="shared" si="6"/>
        <v>17</v>
      </c>
      <c r="C160" s="1970" t="s">
        <v>356</v>
      </c>
      <c r="E160" s="1976">
        <v>116496</v>
      </c>
      <c r="F160" s="1972"/>
      <c r="G160" s="1977">
        <v>-4035.6090466666792</v>
      </c>
      <c r="H160" s="1972"/>
      <c r="I160" s="1978">
        <v>112460.39095333332</v>
      </c>
      <c r="J160" s="1972"/>
      <c r="K160" s="1977"/>
      <c r="M160" s="1955"/>
      <c r="N160" s="1979"/>
      <c r="O160" s="1979"/>
      <c r="P160" s="1979"/>
      <c r="Q160" s="1979"/>
    </row>
    <row r="161" spans="1:17" x14ac:dyDescent="0.2">
      <c r="A161" s="1964">
        <f t="shared" si="6"/>
        <v>18</v>
      </c>
      <c r="C161" s="1970" t="s">
        <v>357</v>
      </c>
      <c r="E161" s="1973">
        <v>255962.96833333332</v>
      </c>
      <c r="F161" s="1972"/>
      <c r="G161" s="1980">
        <v>148.40000333331409</v>
      </c>
      <c r="H161" s="1972"/>
      <c r="I161" s="1973">
        <v>256111.36833666664</v>
      </c>
      <c r="J161" s="1972"/>
      <c r="K161" s="1973"/>
      <c r="M161" s="1979"/>
      <c r="N161" s="1979"/>
      <c r="O161" s="1979"/>
      <c r="P161" s="1979"/>
      <c r="Q161" s="1979"/>
    </row>
    <row r="162" spans="1:17" ht="15" x14ac:dyDescent="0.35">
      <c r="A162" s="1964"/>
      <c r="C162" s="1970"/>
      <c r="E162" s="1977"/>
      <c r="F162" s="1981"/>
      <c r="G162" s="1981"/>
      <c r="H162" s="1981"/>
      <c r="I162" s="1977"/>
      <c r="J162" s="1981"/>
      <c r="K162" s="1977"/>
      <c r="M162" s="1979"/>
      <c r="N162" s="1979"/>
      <c r="O162" s="1979"/>
      <c r="P162" s="1979"/>
      <c r="Q162" s="1979"/>
    </row>
    <row r="163" spans="1:17" x14ac:dyDescent="0.2">
      <c r="A163" s="1964">
        <f>A161+1</f>
        <v>19</v>
      </c>
      <c r="C163" s="1965" t="s">
        <v>341</v>
      </c>
      <c r="E163" s="1973"/>
      <c r="F163" s="1981"/>
      <c r="G163" s="1981"/>
      <c r="H163" s="1981"/>
      <c r="I163" s="1973"/>
      <c r="J163" s="1981"/>
      <c r="K163" s="1973"/>
      <c r="M163" s="1979"/>
      <c r="N163" s="1979"/>
      <c r="O163" s="1979"/>
      <c r="P163" s="1979"/>
      <c r="Q163" s="1979"/>
    </row>
    <row r="164" spans="1:17" x14ac:dyDescent="0.2">
      <c r="A164" s="1964">
        <f t="shared" si="6"/>
        <v>20</v>
      </c>
      <c r="C164" s="1970" t="s">
        <v>358</v>
      </c>
      <c r="E164" s="1971">
        <v>0</v>
      </c>
      <c r="F164" s="1972"/>
      <c r="G164" s="1973">
        <v>0</v>
      </c>
      <c r="H164" s="1972"/>
      <c r="I164" s="1971">
        <v>0</v>
      </c>
      <c r="J164" s="1972"/>
      <c r="K164" s="1973"/>
    </row>
    <row r="165" spans="1:17" ht="15" x14ac:dyDescent="0.35">
      <c r="A165" s="1964">
        <f t="shared" si="6"/>
        <v>21</v>
      </c>
      <c r="C165" s="1970" t="s">
        <v>359</v>
      </c>
      <c r="E165" s="1976">
        <v>25769.674393285401</v>
      </c>
      <c r="F165" s="1972"/>
      <c r="G165" s="1977">
        <v>773.09023179856013</v>
      </c>
      <c r="H165" s="1972"/>
      <c r="I165" s="1978">
        <v>26542.764625083961</v>
      </c>
      <c r="J165" s="1972"/>
      <c r="K165" s="1977"/>
    </row>
    <row r="166" spans="1:17" x14ac:dyDescent="0.2">
      <c r="A166" s="1964">
        <f>A165+1</f>
        <v>22</v>
      </c>
      <c r="C166" s="1970" t="s">
        <v>360</v>
      </c>
      <c r="E166" s="1973">
        <v>25769.674393285401</v>
      </c>
      <c r="F166" s="1972"/>
      <c r="G166" s="1980">
        <v>773.09023179856013</v>
      </c>
      <c r="H166" s="1972"/>
      <c r="I166" s="1973">
        <v>26542.764625083961</v>
      </c>
      <c r="J166" s="1972"/>
      <c r="K166" s="1973"/>
    </row>
    <row r="167" spans="1:17" x14ac:dyDescent="0.2">
      <c r="A167" s="1964"/>
      <c r="C167" s="1970"/>
      <c r="E167" s="1982"/>
      <c r="F167" s="1972"/>
      <c r="G167" s="1972"/>
      <c r="H167" s="1972"/>
      <c r="I167" s="1982"/>
      <c r="J167" s="1972"/>
      <c r="K167" s="1973"/>
    </row>
    <row r="168" spans="1:17" x14ac:dyDescent="0.2">
      <c r="A168" s="1964">
        <f>A166+1</f>
        <v>23</v>
      </c>
      <c r="C168" s="1983" t="s">
        <v>346</v>
      </c>
      <c r="E168" s="1981"/>
      <c r="F168" s="1981"/>
      <c r="G168" s="1981"/>
      <c r="H168" s="1981"/>
      <c r="I168" s="1981"/>
      <c r="J168" s="1981"/>
      <c r="K168" s="1981"/>
    </row>
    <row r="169" spans="1:17" x14ac:dyDescent="0.2">
      <c r="A169" s="1964">
        <f>A168+1</f>
        <v>24</v>
      </c>
      <c r="C169" s="1958" t="s">
        <v>361</v>
      </c>
      <c r="E169" s="1971">
        <v>19758.179837247757</v>
      </c>
      <c r="F169" s="1972"/>
      <c r="G169" s="1973">
        <v>11.455227186961565</v>
      </c>
      <c r="H169" s="1972"/>
      <c r="I169" s="1971">
        <v>19769.635064434719</v>
      </c>
      <c r="J169" s="1972"/>
      <c r="K169" s="1984"/>
      <c r="N169" s="1985"/>
    </row>
    <row r="170" spans="1:17" x14ac:dyDescent="0.2">
      <c r="A170" s="1964">
        <f>A169+1</f>
        <v>25</v>
      </c>
      <c r="C170" s="1958" t="s">
        <v>362</v>
      </c>
      <c r="E170" s="1986">
        <v>141.16299283311886</v>
      </c>
      <c r="F170" s="1972"/>
      <c r="G170" s="1987">
        <v>8.1842263134291215E-2</v>
      </c>
      <c r="H170" s="1972"/>
      <c r="I170" s="1986">
        <v>141.24483509625315</v>
      </c>
      <c r="J170" s="1972"/>
      <c r="K170" s="1984"/>
      <c r="N170" s="1985"/>
    </row>
    <row r="171" spans="1:17" ht="15" x14ac:dyDescent="0.35">
      <c r="A171" s="1964">
        <f>A170+1</f>
        <v>26</v>
      </c>
      <c r="C171" s="1958" t="s">
        <v>363</v>
      </c>
      <c r="E171" s="1976">
        <v>282.32598566623773</v>
      </c>
      <c r="F171" s="1981"/>
      <c r="G171" s="1977">
        <v>0.16368452626858243</v>
      </c>
      <c r="H171" s="1981"/>
      <c r="I171" s="1976">
        <v>282.48967019250631</v>
      </c>
      <c r="J171" s="1981"/>
      <c r="K171" s="1984"/>
      <c r="N171" s="1985"/>
    </row>
    <row r="172" spans="1:17" ht="15" x14ac:dyDescent="0.35">
      <c r="A172" s="1964">
        <f>A171+1</f>
        <v>27</v>
      </c>
      <c r="C172" s="1958" t="s">
        <v>364</v>
      </c>
      <c r="E172" s="1988">
        <v>20181.668815747114</v>
      </c>
      <c r="F172" s="1981"/>
      <c r="G172" s="1989">
        <v>11.700753976364439</v>
      </c>
      <c r="H172" s="1981"/>
      <c r="I172" s="1990">
        <v>20193.369569723476</v>
      </c>
      <c r="J172" s="1981"/>
      <c r="K172" s="1984"/>
      <c r="M172" s="1991"/>
      <c r="N172" s="1985"/>
    </row>
    <row r="173" spans="1:17" x14ac:dyDescent="0.2">
      <c r="A173" s="1964"/>
      <c r="C173" s="1958"/>
      <c r="E173" s="1992"/>
      <c r="F173" s="1981"/>
      <c r="G173" s="1981"/>
      <c r="H173" s="1981"/>
      <c r="I173" s="1992"/>
      <c r="J173" s="1981"/>
      <c r="K173" s="1981"/>
    </row>
    <row r="174" spans="1:17" ht="15" x14ac:dyDescent="0.35">
      <c r="A174" s="1964">
        <f>A172+1</f>
        <v>28</v>
      </c>
      <c r="C174" s="1958" t="s">
        <v>365</v>
      </c>
      <c r="E174" s="1993">
        <v>301914.31154236587</v>
      </c>
      <c r="F174" s="1981"/>
      <c r="G174" s="1993">
        <v>933.19098910823868</v>
      </c>
      <c r="H174" s="1981"/>
      <c r="I174" s="1993">
        <v>302847.50253147411</v>
      </c>
      <c r="J174" s="1981"/>
      <c r="K174" s="1994"/>
      <c r="M174" s="1991"/>
    </row>
  </sheetData>
  <mergeCells count="15">
    <mergeCell ref="A1:K1"/>
    <mergeCell ref="A2:K2"/>
    <mergeCell ref="A3:K3"/>
    <mergeCell ref="A4:K4"/>
    <mergeCell ref="A5:K5"/>
    <mergeCell ref="A53:K53"/>
    <mergeCell ref="A54:K54"/>
    <mergeCell ref="A55:K55"/>
    <mergeCell ref="A56:K56"/>
    <mergeCell ref="A57:K57"/>
    <mergeCell ref="A124:K124"/>
    <mergeCell ref="A125:K125"/>
    <mergeCell ref="A126:K126"/>
    <mergeCell ref="A127:K127"/>
    <mergeCell ref="A128:K128"/>
  </mergeCells>
  <pageMargins left="0.75" right="0.5" top="1" bottom="0.75" header="0.3" footer="0.3"/>
  <pageSetup scale="72" orientation="portrait" r:id="rId1"/>
  <rowBreaks count="2" manualBreakCount="2">
    <brk id="52" max="16383" man="1"/>
    <brk id="12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6">
    <pageSetUpPr fitToPage="1"/>
  </sheetPr>
  <dimension ref="A1:I86"/>
  <sheetViews>
    <sheetView showGridLines="0" view="pageBreakPreview" zoomScale="75" zoomScaleNormal="100" zoomScaleSheetLayoutView="75" workbookViewId="0">
      <selection activeCell="F46" sqref="F46"/>
    </sheetView>
  </sheetViews>
  <sheetFormatPr defaultColWidth="12.5" defaultRowHeight="12.75" x14ac:dyDescent="0.2"/>
  <cols>
    <col min="1" max="1" width="4.1640625" style="42" customWidth="1"/>
    <col min="2" max="2" width="9.5" style="42" bestFit="1" customWidth="1"/>
    <col min="3" max="3" width="51.1640625" style="42" bestFit="1" customWidth="1"/>
    <col min="4" max="4" width="20.83203125" style="42" customWidth="1"/>
    <col min="5" max="5" width="11.6640625" style="42" bestFit="1" customWidth="1"/>
    <col min="6" max="6" width="15" style="42" customWidth="1"/>
    <col min="7" max="7" width="17" style="161" bestFit="1" customWidth="1"/>
    <col min="8" max="8" width="14.6640625" style="42" customWidth="1"/>
    <col min="9" max="9" width="16.6640625" style="42" customWidth="1"/>
    <col min="10" max="16384" width="12.5" style="42"/>
  </cols>
  <sheetData>
    <row r="1" spans="1:9" x14ac:dyDescent="0.2">
      <c r="A1" s="2064" t="str">
        <f>co</f>
        <v>COLUMBIA GAS OF KENTUCKY, INC.</v>
      </c>
      <c r="B1" s="2064"/>
      <c r="C1" s="2064"/>
      <c r="D1" s="2064"/>
      <c r="E1" s="2064"/>
      <c r="F1" s="2064"/>
      <c r="G1" s="2064"/>
      <c r="H1" s="2064"/>
      <c r="I1" s="2064"/>
    </row>
    <row r="2" spans="1:9" x14ac:dyDescent="0.2">
      <c r="A2" s="2064" t="str">
        <f>case</f>
        <v>CASE NO. 2016 - 00162</v>
      </c>
      <c r="B2" s="2064"/>
      <c r="C2" s="2064"/>
      <c r="D2" s="2064"/>
      <c r="E2" s="2064"/>
      <c r="F2" s="2064"/>
      <c r="G2" s="2064"/>
      <c r="H2" s="2064"/>
      <c r="I2" s="2064"/>
    </row>
    <row r="3" spans="1:9" x14ac:dyDescent="0.2">
      <c r="A3" s="2065" t="s">
        <v>687</v>
      </c>
      <c r="B3" s="2065"/>
      <c r="C3" s="2065"/>
      <c r="D3" s="2065"/>
      <c r="E3" s="2065"/>
      <c r="F3" s="2065"/>
      <c r="G3" s="2065"/>
      <c r="H3" s="2065"/>
      <c r="I3" s="2065"/>
    </row>
    <row r="4" spans="1:9" x14ac:dyDescent="0.2">
      <c r="A4" s="2064" t="str">
        <f>datef</f>
        <v>AS OF DECEMBER 31, 2017</v>
      </c>
      <c r="B4" s="2064"/>
      <c r="C4" s="2064"/>
      <c r="D4" s="2064"/>
      <c r="E4" s="2064"/>
      <c r="F4" s="2064"/>
      <c r="G4" s="2064"/>
      <c r="H4" s="2064"/>
      <c r="I4" s="2064"/>
    </row>
    <row r="5" spans="1:9" x14ac:dyDescent="0.2">
      <c r="A5" s="43"/>
      <c r="B5" s="43"/>
      <c r="C5" s="43"/>
      <c r="D5" s="43"/>
      <c r="E5" s="43"/>
      <c r="F5" s="43"/>
      <c r="G5" s="1108"/>
      <c r="H5" s="43"/>
      <c r="I5" s="43"/>
    </row>
    <row r="6" spans="1:9" x14ac:dyDescent="0.2">
      <c r="A6" s="287" t="s">
        <v>1119</v>
      </c>
      <c r="I6" s="149" t="s">
        <v>689</v>
      </c>
    </row>
    <row r="7" spans="1:9" x14ac:dyDescent="0.2">
      <c r="A7" s="44" t="s">
        <v>690</v>
      </c>
      <c r="I7" s="1129" t="s">
        <v>1111</v>
      </c>
    </row>
    <row r="8" spans="1:9" x14ac:dyDescent="0.2">
      <c r="A8" s="1336" t="s">
        <v>1781</v>
      </c>
      <c r="B8" s="1116"/>
      <c r="C8" s="1116"/>
      <c r="D8" s="104"/>
      <c r="E8" s="104"/>
      <c r="F8" s="104"/>
      <c r="G8" s="1116"/>
      <c r="H8" s="104"/>
      <c r="I8" s="196" t="str">
        <f>SMK</f>
        <v>WITNESS:  S. M. KATKO</v>
      </c>
    </row>
    <row r="9" spans="1:9" x14ac:dyDescent="0.2">
      <c r="A9" s="105"/>
      <c r="B9" s="104"/>
      <c r="C9" s="104"/>
      <c r="D9" s="104"/>
      <c r="E9" s="104"/>
      <c r="F9" s="104"/>
      <c r="G9" s="1116"/>
      <c r="H9" s="104"/>
      <c r="I9" s="105"/>
    </row>
    <row r="10" spans="1:9" x14ac:dyDescent="0.2">
      <c r="A10" s="197"/>
      <c r="B10" s="198"/>
      <c r="C10" s="198"/>
      <c r="D10" s="319" t="s">
        <v>1112</v>
      </c>
      <c r="E10" s="198"/>
      <c r="F10" s="198"/>
      <c r="G10" s="1117"/>
      <c r="H10" s="198"/>
      <c r="I10" s="197"/>
    </row>
    <row r="11" spans="1:9" x14ac:dyDescent="0.2">
      <c r="A11" s="44" t="s">
        <v>632</v>
      </c>
      <c r="B11" s="43" t="s">
        <v>692</v>
      </c>
      <c r="C11" s="43" t="s">
        <v>693</v>
      </c>
      <c r="D11" s="199" t="s">
        <v>638</v>
      </c>
      <c r="E11" s="1126" t="s">
        <v>315</v>
      </c>
      <c r="F11" s="1126" t="s">
        <v>315</v>
      </c>
      <c r="H11" s="43" t="s">
        <v>672</v>
      </c>
      <c r="I11" s="320" t="s">
        <v>673</v>
      </c>
    </row>
    <row r="12" spans="1:9" x14ac:dyDescent="0.2">
      <c r="A12" s="47" t="s">
        <v>635</v>
      </c>
      <c r="B12" s="47" t="s">
        <v>635</v>
      </c>
      <c r="C12" s="47" t="s">
        <v>694</v>
      </c>
      <c r="D12" s="47" t="s">
        <v>695</v>
      </c>
      <c r="E12" s="47" t="s">
        <v>676</v>
      </c>
      <c r="F12" s="47" t="s">
        <v>670</v>
      </c>
      <c r="G12" s="1118" t="s">
        <v>677</v>
      </c>
      <c r="H12" s="1127" t="s">
        <v>315</v>
      </c>
      <c r="I12" s="321" t="s">
        <v>631</v>
      </c>
    </row>
    <row r="13" spans="1:9" x14ac:dyDescent="0.2">
      <c r="D13" s="43" t="s">
        <v>639</v>
      </c>
      <c r="F13" s="43" t="s">
        <v>639</v>
      </c>
      <c r="G13" s="1108" t="s">
        <v>639</v>
      </c>
      <c r="H13" s="43" t="s">
        <v>639</v>
      </c>
      <c r="I13" s="43" t="s">
        <v>639</v>
      </c>
    </row>
    <row r="14" spans="1:9" x14ac:dyDescent="0.2">
      <c r="A14" s="48">
        <v>1</v>
      </c>
      <c r="B14" s="49"/>
      <c r="C14" s="50" t="s">
        <v>697</v>
      </c>
      <c r="D14" s="51"/>
      <c r="G14" s="162"/>
      <c r="H14" s="51"/>
    </row>
    <row r="15" spans="1:9" x14ac:dyDescent="0.2">
      <c r="A15" s="48">
        <f t="shared" ref="A15:A20" si="0">A14+1</f>
        <v>2</v>
      </c>
      <c r="B15" s="49">
        <v>301</v>
      </c>
      <c r="C15" s="52" t="s">
        <v>698</v>
      </c>
      <c r="D15" s="51">
        <f>'WPB-2.1 13 mo avg'!R14</f>
        <v>521.20000000000005</v>
      </c>
      <c r="E15" s="1125">
        <v>1</v>
      </c>
      <c r="F15" s="51">
        <f t="shared" ref="F15:F20" si="1">D15</f>
        <v>521.20000000000005</v>
      </c>
      <c r="G15" s="1122">
        <v>0</v>
      </c>
      <c r="H15" s="51">
        <f>(+F15+G15)</f>
        <v>521.20000000000005</v>
      </c>
      <c r="I15" s="51">
        <f>'WPB-2.1 13 mo avg'!S14</f>
        <v>521.19999999999993</v>
      </c>
    </row>
    <row r="16" spans="1:9" x14ac:dyDescent="0.2">
      <c r="A16" s="48">
        <f t="shared" si="0"/>
        <v>3</v>
      </c>
      <c r="B16" s="49">
        <v>303</v>
      </c>
      <c r="C16" s="52" t="s">
        <v>699</v>
      </c>
      <c r="D16" s="51">
        <f>'WPB-2.1 13 mo avg'!R15</f>
        <v>74347.509999999995</v>
      </c>
      <c r="E16" s="51"/>
      <c r="F16" s="51">
        <f t="shared" si="1"/>
        <v>74347.509999999995</v>
      </c>
      <c r="G16" s="1122">
        <v>0</v>
      </c>
      <c r="H16" s="51">
        <f>(+F16+G16)</f>
        <v>74347.509999999995</v>
      </c>
      <c r="I16" s="51">
        <f>'WPB-2.1 13 mo avg'!S15</f>
        <v>74347.509999999995</v>
      </c>
    </row>
    <row r="17" spans="1:9" x14ac:dyDescent="0.2">
      <c r="A17" s="48">
        <f t="shared" si="0"/>
        <v>4</v>
      </c>
      <c r="B17" s="49">
        <v>303.10000000000002</v>
      </c>
      <c r="C17" s="52" t="s">
        <v>700</v>
      </c>
      <c r="D17" s="51">
        <f>'WPB-2.1 13 mo avg'!R16</f>
        <v>0</v>
      </c>
      <c r="E17" s="51"/>
      <c r="F17" s="51">
        <f t="shared" si="1"/>
        <v>0</v>
      </c>
      <c r="G17" s="1122">
        <v>0</v>
      </c>
      <c r="H17" s="51">
        <f>(+F17+G17)</f>
        <v>0</v>
      </c>
      <c r="I17" s="51">
        <f>'WPB-2.1 13 mo avg'!S16</f>
        <v>0</v>
      </c>
    </row>
    <row r="18" spans="1:9" x14ac:dyDescent="0.2">
      <c r="A18" s="48">
        <f t="shared" si="0"/>
        <v>5</v>
      </c>
      <c r="B18" s="49">
        <v>303.2</v>
      </c>
      <c r="C18" s="52" t="s">
        <v>701</v>
      </c>
      <c r="D18" s="51">
        <f>'WPB-2.1 13 mo avg'!R17</f>
        <v>0</v>
      </c>
      <c r="E18" s="51"/>
      <c r="F18" s="51">
        <f t="shared" si="1"/>
        <v>0</v>
      </c>
      <c r="G18" s="1122">
        <v>0</v>
      </c>
      <c r="H18" s="51">
        <f>(+F18+G18)</f>
        <v>0</v>
      </c>
      <c r="I18" s="51">
        <f>'WPB-2.1 13 mo avg'!S17</f>
        <v>0</v>
      </c>
    </row>
    <row r="19" spans="1:9" x14ac:dyDescent="0.2">
      <c r="A19" s="48">
        <f t="shared" si="0"/>
        <v>6</v>
      </c>
      <c r="B19" s="49">
        <v>303.3</v>
      </c>
      <c r="C19" s="52" t="s">
        <v>702</v>
      </c>
      <c r="D19" s="103">
        <f>'WPB-2.1 13 mo avg'!R18</f>
        <v>9717186</v>
      </c>
      <c r="E19" s="51"/>
      <c r="F19" s="54">
        <f t="shared" si="1"/>
        <v>9717186</v>
      </c>
      <c r="G19" s="1123">
        <v>0</v>
      </c>
      <c r="H19" s="54">
        <f>(+F19+G19)</f>
        <v>9717186</v>
      </c>
      <c r="I19" s="103">
        <f>'WPB-2.1 13 mo avg'!S18</f>
        <v>8188355.230769231</v>
      </c>
    </row>
    <row r="20" spans="1:9" x14ac:dyDescent="0.2">
      <c r="A20" s="48">
        <f t="shared" si="0"/>
        <v>7</v>
      </c>
      <c r="B20" s="49"/>
      <c r="C20" s="52" t="s">
        <v>703</v>
      </c>
      <c r="D20" s="51">
        <f>SUM(D15:D19)</f>
        <v>9792054.7100000009</v>
      </c>
      <c r="E20" s="51"/>
      <c r="F20" s="51">
        <f t="shared" si="1"/>
        <v>9792054.7100000009</v>
      </c>
      <c r="G20" s="51">
        <f>SUM(G15:G19)</f>
        <v>0</v>
      </c>
      <c r="H20" s="51">
        <f>SUM(H15:H19)</f>
        <v>9792054.7100000009</v>
      </c>
      <c r="I20" s="51">
        <f>SUM(I15:I19)</f>
        <v>8263223.9407692309</v>
      </c>
    </row>
    <row r="21" spans="1:9" x14ac:dyDescent="0.2">
      <c r="A21" s="48"/>
      <c r="B21" s="49"/>
      <c r="C21" s="49"/>
      <c r="D21" s="51"/>
      <c r="E21" s="51"/>
      <c r="F21" s="55" t="s">
        <v>680</v>
      </c>
      <c r="G21" s="162"/>
      <c r="H21" s="55" t="s">
        <v>680</v>
      </c>
      <c r="I21" s="55"/>
    </row>
    <row r="22" spans="1:9" x14ac:dyDescent="0.2">
      <c r="A22" s="48">
        <f>A20+1</f>
        <v>8</v>
      </c>
      <c r="B22" s="49"/>
      <c r="C22" s="50" t="s">
        <v>704</v>
      </c>
      <c r="D22" s="51"/>
      <c r="E22" s="51"/>
      <c r="F22" s="55" t="s">
        <v>680</v>
      </c>
      <c r="G22" s="162"/>
      <c r="H22" s="55" t="s">
        <v>680</v>
      </c>
      <c r="I22" s="55"/>
    </row>
    <row r="23" spans="1:9" x14ac:dyDescent="0.2">
      <c r="A23" s="48">
        <f>A22+1</f>
        <v>9</v>
      </c>
      <c r="B23" s="49">
        <v>304.10000000000002</v>
      </c>
      <c r="C23" s="52" t="s">
        <v>705</v>
      </c>
      <c r="D23" s="103">
        <f>'WPB-2.1 13 mo avg'!R22</f>
        <v>0</v>
      </c>
      <c r="E23" s="51"/>
      <c r="F23" s="103">
        <f>D23</f>
        <v>0</v>
      </c>
      <c r="G23" s="1123">
        <v>0</v>
      </c>
      <c r="H23" s="103">
        <f>(+F23+G23)</f>
        <v>0</v>
      </c>
      <c r="I23" s="103">
        <f>'WPB-2.1 13 mo avg'!S22</f>
        <v>0</v>
      </c>
    </row>
    <row r="24" spans="1:9" x14ac:dyDescent="0.2">
      <c r="A24" s="48">
        <f>A23+1</f>
        <v>10</v>
      </c>
      <c r="B24" s="49"/>
      <c r="C24" s="52" t="s">
        <v>706</v>
      </c>
      <c r="D24" s="51">
        <f>SUM(D23:D23)</f>
        <v>0</v>
      </c>
      <c r="E24" s="51"/>
      <c r="F24" s="51">
        <f>D24</f>
        <v>0</v>
      </c>
      <c r="G24" s="51">
        <f>G23</f>
        <v>0</v>
      </c>
      <c r="H24" s="51">
        <f>H23</f>
        <v>0</v>
      </c>
      <c r="I24" s="51">
        <f>I23</f>
        <v>0</v>
      </c>
    </row>
    <row r="25" spans="1:9" x14ac:dyDescent="0.2">
      <c r="A25" s="48"/>
      <c r="B25" s="49"/>
      <c r="C25" s="49"/>
      <c r="D25" s="51"/>
      <c r="E25" s="51"/>
      <c r="F25" s="55" t="s">
        <v>680</v>
      </c>
      <c r="G25" s="162"/>
      <c r="H25" s="51"/>
      <c r="I25" s="51" t="s">
        <v>680</v>
      </c>
    </row>
    <row r="26" spans="1:9" x14ac:dyDescent="0.2">
      <c r="A26" s="48">
        <f>A24+1</f>
        <v>11</v>
      </c>
      <c r="B26" s="49"/>
      <c r="C26" s="50" t="s">
        <v>707</v>
      </c>
      <c r="D26" s="51"/>
      <c r="E26" s="51"/>
      <c r="F26" s="55" t="s">
        <v>680</v>
      </c>
      <c r="G26" s="162"/>
      <c r="H26" s="51"/>
      <c r="I26" s="51" t="s">
        <v>680</v>
      </c>
    </row>
    <row r="27" spans="1:9" x14ac:dyDescent="0.2">
      <c r="A27" s="48">
        <f>A26+1</f>
        <v>12</v>
      </c>
      <c r="B27" s="49">
        <v>374.1</v>
      </c>
      <c r="C27" s="52" t="s">
        <v>708</v>
      </c>
      <c r="D27" s="51">
        <f>'WPB-2.1 13 mo avg'!R26</f>
        <v>206</v>
      </c>
      <c r="E27" s="51"/>
      <c r="F27" s="51">
        <f t="shared" ref="F27:F43" si="2">D27</f>
        <v>206</v>
      </c>
      <c r="G27" s="1122">
        <v>0</v>
      </c>
      <c r="H27" s="51">
        <f t="shared" ref="H27:H43" si="3">(+F27+G27)</f>
        <v>206</v>
      </c>
      <c r="I27" s="51">
        <f>'WPB-2.1 13 mo avg'!S26</f>
        <v>206</v>
      </c>
    </row>
    <row r="28" spans="1:9" x14ac:dyDescent="0.2">
      <c r="A28" s="48">
        <f t="shared" ref="A28:A56" si="4">A27+1</f>
        <v>13</v>
      </c>
      <c r="B28" s="49">
        <v>374.2</v>
      </c>
      <c r="C28" s="52" t="s">
        <v>709</v>
      </c>
      <c r="D28" s="51">
        <f>'WPB-2.1 13 mo avg'!R27</f>
        <v>877756.18</v>
      </c>
      <c r="E28" s="51"/>
      <c r="F28" s="51">
        <f t="shared" si="2"/>
        <v>877756.18</v>
      </c>
      <c r="G28" s="1122">
        <v>0</v>
      </c>
      <c r="H28" s="51">
        <f t="shared" si="3"/>
        <v>877756.18</v>
      </c>
      <c r="I28" s="51">
        <f>'WPB-2.1 13 mo avg'!S27</f>
        <v>877756.17999999982</v>
      </c>
    </row>
    <row r="29" spans="1:9" x14ac:dyDescent="0.2">
      <c r="A29" s="48">
        <f t="shared" si="4"/>
        <v>14</v>
      </c>
      <c r="B29" s="49">
        <v>374.4</v>
      </c>
      <c r="C29" s="52" t="s">
        <v>710</v>
      </c>
      <c r="D29" s="51">
        <f>'WPB-2.1 13 mo avg'!R28</f>
        <v>661305.66</v>
      </c>
      <c r="E29" s="51"/>
      <c r="F29" s="51">
        <f t="shared" si="2"/>
        <v>661305.66</v>
      </c>
      <c r="G29" s="1122">
        <v>0</v>
      </c>
      <c r="H29" s="51">
        <f t="shared" si="3"/>
        <v>661305.66</v>
      </c>
      <c r="I29" s="51">
        <f>'WPB-2.1 13 mo avg'!S28</f>
        <v>661305.66</v>
      </c>
    </row>
    <row r="30" spans="1:9" x14ac:dyDescent="0.2">
      <c r="A30" s="48">
        <f t="shared" si="4"/>
        <v>15</v>
      </c>
      <c r="B30" s="49">
        <v>374.5</v>
      </c>
      <c r="C30" s="52" t="s">
        <v>711</v>
      </c>
      <c r="D30" s="51">
        <f>'WPB-2.1 13 mo avg'!R29</f>
        <v>2750972.55</v>
      </c>
      <c r="E30" s="51"/>
      <c r="F30" s="51">
        <f t="shared" si="2"/>
        <v>2750972.55</v>
      </c>
      <c r="G30" s="1122">
        <v>0</v>
      </c>
      <c r="H30" s="51">
        <f t="shared" si="3"/>
        <v>2750972.55</v>
      </c>
      <c r="I30" s="51">
        <f>'WPB-2.1 13 mo avg'!S29</f>
        <v>2726641.7807692313</v>
      </c>
    </row>
    <row r="31" spans="1:9" x14ac:dyDescent="0.2">
      <c r="A31" s="48">
        <f t="shared" si="4"/>
        <v>16</v>
      </c>
      <c r="B31" s="49">
        <v>375.2</v>
      </c>
      <c r="C31" s="52" t="s">
        <v>712</v>
      </c>
      <c r="D31" s="51">
        <f>'WPB-2.1 13 mo avg'!R30</f>
        <v>2124.98</v>
      </c>
      <c r="E31" s="51"/>
      <c r="F31" s="51">
        <f t="shared" si="2"/>
        <v>2124.98</v>
      </c>
      <c r="G31" s="1122">
        <v>0</v>
      </c>
      <c r="H31" s="51">
        <f t="shared" si="3"/>
        <v>2124.98</v>
      </c>
      <c r="I31" s="51">
        <f>'WPB-2.1 13 mo avg'!S30</f>
        <v>2124.98</v>
      </c>
    </row>
    <row r="32" spans="1:9" x14ac:dyDescent="0.2">
      <c r="A32" s="48">
        <f t="shared" si="4"/>
        <v>17</v>
      </c>
      <c r="B32" s="49">
        <v>375.3</v>
      </c>
      <c r="C32" s="52" t="s">
        <v>713</v>
      </c>
      <c r="D32" s="51">
        <f>'WPB-2.1 13 mo avg'!R31</f>
        <v>0</v>
      </c>
      <c r="E32" s="51"/>
      <c r="F32" s="51">
        <f t="shared" si="2"/>
        <v>0</v>
      </c>
      <c r="G32" s="1122">
        <v>0</v>
      </c>
      <c r="H32" s="51">
        <f t="shared" si="3"/>
        <v>0</v>
      </c>
      <c r="I32" s="51">
        <f>'WPB-2.1 13 mo avg'!S31</f>
        <v>0</v>
      </c>
    </row>
    <row r="33" spans="1:9" x14ac:dyDescent="0.2">
      <c r="A33" s="48">
        <f t="shared" si="4"/>
        <v>18</v>
      </c>
      <c r="B33" s="49">
        <v>375.4</v>
      </c>
      <c r="C33" s="52" t="s">
        <v>714</v>
      </c>
      <c r="D33" s="51">
        <f>'WPB-2.1 13 mo avg'!R32</f>
        <v>2351830.02</v>
      </c>
      <c r="E33" s="51"/>
      <c r="F33" s="51">
        <f t="shared" si="2"/>
        <v>2351830.02</v>
      </c>
      <c r="G33" s="1122">
        <v>0</v>
      </c>
      <c r="H33" s="51">
        <f t="shared" si="3"/>
        <v>2351830.02</v>
      </c>
      <c r="I33" s="51">
        <f>'WPB-2.1 13 mo avg'!S32</f>
        <v>2205199.2507692305</v>
      </c>
    </row>
    <row r="34" spans="1:9" x14ac:dyDescent="0.2">
      <c r="A34" s="48">
        <f t="shared" si="4"/>
        <v>19</v>
      </c>
      <c r="B34" s="49">
        <v>375.6</v>
      </c>
      <c r="C34" s="52" t="s">
        <v>715</v>
      </c>
      <c r="D34" s="51">
        <f>'WPB-2.1 13 mo avg'!R33</f>
        <v>0</v>
      </c>
      <c r="E34" s="51"/>
      <c r="F34" s="51">
        <f t="shared" si="2"/>
        <v>0</v>
      </c>
      <c r="G34" s="1122">
        <v>0</v>
      </c>
      <c r="H34" s="51">
        <f t="shared" si="3"/>
        <v>0</v>
      </c>
      <c r="I34" s="51">
        <f>'WPB-2.1 13 mo avg'!S33</f>
        <v>0</v>
      </c>
    </row>
    <row r="35" spans="1:9" x14ac:dyDescent="0.2">
      <c r="A35" s="48">
        <f t="shared" si="4"/>
        <v>20</v>
      </c>
      <c r="B35" s="49">
        <v>375.7</v>
      </c>
      <c r="C35" s="52" t="s">
        <v>716</v>
      </c>
      <c r="D35" s="51">
        <f>'WPB-2.1 13 mo avg'!R34</f>
        <v>10137950.210000001</v>
      </c>
      <c r="E35" s="51"/>
      <c r="F35" s="51">
        <f t="shared" si="2"/>
        <v>10137950.210000001</v>
      </c>
      <c r="G35" s="1122">
        <v>0</v>
      </c>
      <c r="H35" s="51">
        <f t="shared" si="3"/>
        <v>10137950.210000001</v>
      </c>
      <c r="I35" s="51">
        <f>'WPB-2.1 13 mo avg'!S34</f>
        <v>8721688.6715384647</v>
      </c>
    </row>
    <row r="36" spans="1:9" x14ac:dyDescent="0.2">
      <c r="A36" s="48">
        <f t="shared" si="4"/>
        <v>21</v>
      </c>
      <c r="B36" s="49">
        <v>375.71</v>
      </c>
      <c r="C36" s="52" t="s">
        <v>717</v>
      </c>
      <c r="D36" s="51">
        <f>'WPB-2.1 13 mo avg'!R35</f>
        <v>259808.94</v>
      </c>
      <c r="E36" s="51"/>
      <c r="F36" s="51">
        <f t="shared" si="2"/>
        <v>259808.94</v>
      </c>
      <c r="G36" s="1122">
        <v>0</v>
      </c>
      <c r="H36" s="51">
        <f t="shared" si="3"/>
        <v>259808.94</v>
      </c>
      <c r="I36" s="51">
        <f>'WPB-2.1 13 mo avg'!S35</f>
        <v>259808.93999999997</v>
      </c>
    </row>
    <row r="37" spans="1:9" x14ac:dyDescent="0.2">
      <c r="A37" s="48">
        <f t="shared" si="4"/>
        <v>22</v>
      </c>
      <c r="B37" s="49">
        <v>375.8</v>
      </c>
      <c r="C37" s="52" t="s">
        <v>718</v>
      </c>
      <c r="D37" s="51">
        <f>'WPB-2.1 13 mo avg'!R36</f>
        <v>0</v>
      </c>
      <c r="E37" s="51"/>
      <c r="F37" s="51">
        <f t="shared" si="2"/>
        <v>0</v>
      </c>
      <c r="G37" s="1122">
        <v>0</v>
      </c>
      <c r="H37" s="51">
        <f t="shared" si="3"/>
        <v>0</v>
      </c>
      <c r="I37" s="51">
        <f>'WPB-2.1 13 mo avg'!S36</f>
        <v>0</v>
      </c>
    </row>
    <row r="38" spans="1:9" x14ac:dyDescent="0.2">
      <c r="A38" s="48">
        <f t="shared" si="4"/>
        <v>23</v>
      </c>
      <c r="B38" s="49">
        <v>376</v>
      </c>
      <c r="C38" s="52" t="s">
        <v>1000</v>
      </c>
      <c r="D38" s="51">
        <f>'WPB-2.1 13 mo avg'!R37</f>
        <v>228158045.44</v>
      </c>
      <c r="E38" s="51"/>
      <c r="F38" s="51">
        <f t="shared" si="2"/>
        <v>228158045.44</v>
      </c>
      <c r="G38" s="1122">
        <v>0</v>
      </c>
      <c r="H38" s="51">
        <f t="shared" si="3"/>
        <v>228158045.44</v>
      </c>
      <c r="I38" s="51">
        <f>'WPB-2.1 13 mo avg'!S37</f>
        <v>219567763.90153849</v>
      </c>
    </row>
    <row r="39" spans="1:9" x14ac:dyDescent="0.2">
      <c r="A39" s="48">
        <f t="shared" si="4"/>
        <v>24</v>
      </c>
      <c r="B39" s="49">
        <v>378.1</v>
      </c>
      <c r="C39" s="52" t="s">
        <v>720</v>
      </c>
      <c r="D39" s="51">
        <f>'WPB-2.1 13 mo avg'!R38</f>
        <v>518504.18</v>
      </c>
      <c r="E39" s="51"/>
      <c r="F39" s="51">
        <f t="shared" si="2"/>
        <v>518504.18</v>
      </c>
      <c r="G39" s="1122">
        <v>0</v>
      </c>
      <c r="H39" s="51">
        <f t="shared" si="3"/>
        <v>518504.18</v>
      </c>
      <c r="I39" s="51">
        <f>'WPB-2.1 13 mo avg'!S38</f>
        <v>518504.17999999993</v>
      </c>
    </row>
    <row r="40" spans="1:9" x14ac:dyDescent="0.2">
      <c r="A40" s="48">
        <f t="shared" si="4"/>
        <v>25</v>
      </c>
      <c r="B40" s="49">
        <v>378.2</v>
      </c>
      <c r="C40" s="52" t="s">
        <v>721</v>
      </c>
      <c r="D40" s="51">
        <f>'WPB-2.1 13 mo avg'!R39</f>
        <v>10151124</v>
      </c>
      <c r="E40" s="51"/>
      <c r="F40" s="51">
        <f t="shared" si="2"/>
        <v>10151124</v>
      </c>
      <c r="G40" s="1122">
        <v>0</v>
      </c>
      <c r="H40" s="51">
        <f t="shared" si="3"/>
        <v>10151124</v>
      </c>
      <c r="I40" s="51">
        <f>'WPB-2.1 13 mo avg'!S39</f>
        <v>9929885.538461538</v>
      </c>
    </row>
    <row r="41" spans="1:9" x14ac:dyDescent="0.2">
      <c r="A41" s="48">
        <f t="shared" si="4"/>
        <v>26</v>
      </c>
      <c r="B41" s="49">
        <v>378.3</v>
      </c>
      <c r="C41" s="52" t="s">
        <v>722</v>
      </c>
      <c r="D41" s="51">
        <f>'WPB-2.1 13 mo avg'!R40</f>
        <v>45443.08</v>
      </c>
      <c r="E41" s="51"/>
      <c r="F41" s="51">
        <f t="shared" si="2"/>
        <v>45443.08</v>
      </c>
      <c r="G41" s="1122">
        <v>0</v>
      </c>
      <c r="H41" s="51">
        <f t="shared" si="3"/>
        <v>45443.08</v>
      </c>
      <c r="I41" s="51">
        <f>'WPB-2.1 13 mo avg'!S40</f>
        <v>45443.08</v>
      </c>
    </row>
    <row r="42" spans="1:9" x14ac:dyDescent="0.2">
      <c r="A42" s="48">
        <f t="shared" si="4"/>
        <v>27</v>
      </c>
      <c r="B42" s="49">
        <v>379.1</v>
      </c>
      <c r="C42" s="52" t="s">
        <v>723</v>
      </c>
      <c r="D42" s="51">
        <f>'WPB-2.1 13 mo avg'!R41</f>
        <v>254900.59</v>
      </c>
      <c r="E42" s="51"/>
      <c r="F42" s="51">
        <f t="shared" si="2"/>
        <v>254900.59</v>
      </c>
      <c r="G42" s="1122">
        <v>0</v>
      </c>
      <c r="H42" s="51">
        <f t="shared" si="3"/>
        <v>254900.59</v>
      </c>
      <c r="I42" s="51">
        <f>'WPB-2.1 13 mo avg'!S41</f>
        <v>254900.58999999997</v>
      </c>
    </row>
    <row r="43" spans="1:9" x14ac:dyDescent="0.2">
      <c r="A43" s="48">
        <f t="shared" si="4"/>
        <v>28</v>
      </c>
      <c r="B43" s="49">
        <v>380</v>
      </c>
      <c r="C43" s="52" t="s">
        <v>724</v>
      </c>
      <c r="D43" s="51">
        <f>'WPB-2.1 13 mo avg'!R42</f>
        <v>132472184.77</v>
      </c>
      <c r="E43" s="51"/>
      <c r="F43" s="51">
        <f t="shared" si="2"/>
        <v>132472184.77</v>
      </c>
      <c r="G43" s="1122">
        <v>0</v>
      </c>
      <c r="H43" s="51">
        <f t="shared" si="3"/>
        <v>132472184.77</v>
      </c>
      <c r="I43" s="51">
        <f>'WPB-2.1 13 mo avg'!S42</f>
        <v>126907585.69307692</v>
      </c>
    </row>
    <row r="44" spans="1:9" x14ac:dyDescent="0.2">
      <c r="A44" s="48">
        <f t="shared" si="4"/>
        <v>29</v>
      </c>
      <c r="B44" s="49">
        <v>381</v>
      </c>
      <c r="C44" s="52" t="s">
        <v>725</v>
      </c>
      <c r="D44" s="51">
        <f>'WPB-2.1 13 mo avg'!R56</f>
        <v>14249008.550000001</v>
      </c>
      <c r="E44" s="53"/>
      <c r="F44" s="51">
        <f t="shared" ref="F44:F55" si="5">D44</f>
        <v>14249008.550000001</v>
      </c>
      <c r="G44" s="1122">
        <v>0</v>
      </c>
      <c r="H44" s="51">
        <f t="shared" ref="H44:H55" si="6">(+F44+G44)</f>
        <v>14249008.550000001</v>
      </c>
      <c r="I44" s="51">
        <f>'WPB-2.1 13 mo avg'!S56</f>
        <v>13929423.934615387</v>
      </c>
    </row>
    <row r="45" spans="1:9" x14ac:dyDescent="0.2">
      <c r="A45" s="48">
        <f t="shared" si="4"/>
        <v>30</v>
      </c>
      <c r="B45" s="49">
        <v>381.1</v>
      </c>
      <c r="C45" s="251" t="s">
        <v>1117</v>
      </c>
      <c r="D45" s="51">
        <f>'WPB-2.1 13 mo avg'!R57</f>
        <v>8855612.0600000005</v>
      </c>
      <c r="E45" s="51"/>
      <c r="F45" s="51">
        <f t="shared" si="5"/>
        <v>8855612.0600000005</v>
      </c>
      <c r="G45" s="1122">
        <v>0</v>
      </c>
      <c r="H45" s="51">
        <f t="shared" si="6"/>
        <v>8855612.0600000005</v>
      </c>
      <c r="I45" s="51">
        <f>'WPB-2.1 13 mo avg'!S57</f>
        <v>8824212.0600000005</v>
      </c>
    </row>
    <row r="46" spans="1:9" x14ac:dyDescent="0.2">
      <c r="A46" s="48">
        <f t="shared" si="4"/>
        <v>31</v>
      </c>
      <c r="B46" s="49">
        <v>382</v>
      </c>
      <c r="C46" s="52" t="s">
        <v>726</v>
      </c>
      <c r="D46" s="51">
        <f>'WPB-2.1 13 mo avg'!R58</f>
        <v>9634192.6500000004</v>
      </c>
      <c r="E46" s="51"/>
      <c r="F46" s="51">
        <f t="shared" si="5"/>
        <v>9634192.6500000004</v>
      </c>
      <c r="G46" s="1122">
        <v>0</v>
      </c>
      <c r="H46" s="51">
        <f t="shared" si="6"/>
        <v>9634192.6500000004</v>
      </c>
      <c r="I46" s="51">
        <f>'WPB-2.1 13 mo avg'!S58</f>
        <v>9439600.3423076943</v>
      </c>
    </row>
    <row r="47" spans="1:9" x14ac:dyDescent="0.2">
      <c r="A47" s="48">
        <f t="shared" si="4"/>
        <v>32</v>
      </c>
      <c r="B47" s="49">
        <v>383</v>
      </c>
      <c r="C47" s="52" t="s">
        <v>727</v>
      </c>
      <c r="D47" s="51">
        <f>'WPB-2.1 13 mo avg'!R59</f>
        <v>5856120.7599999998</v>
      </c>
      <c r="E47" s="51"/>
      <c r="F47" s="51">
        <f t="shared" si="5"/>
        <v>5856120.7599999998</v>
      </c>
      <c r="G47" s="1122">
        <v>0</v>
      </c>
      <c r="H47" s="51">
        <f t="shared" si="6"/>
        <v>5856120.7599999998</v>
      </c>
      <c r="I47" s="51">
        <f>'WPB-2.1 13 mo avg'!S59</f>
        <v>5757997.6830769228</v>
      </c>
    </row>
    <row r="48" spans="1:9" x14ac:dyDescent="0.2">
      <c r="A48" s="48">
        <f t="shared" si="4"/>
        <v>33</v>
      </c>
      <c r="B48" s="49">
        <v>384</v>
      </c>
      <c r="C48" s="52" t="s">
        <v>728</v>
      </c>
      <c r="D48" s="51">
        <f>'WPB-2.1 13 mo avg'!R60</f>
        <v>2257522</v>
      </c>
      <c r="E48" s="51"/>
      <c r="F48" s="51">
        <f t="shared" si="5"/>
        <v>2257522</v>
      </c>
      <c r="G48" s="1122">
        <v>0</v>
      </c>
      <c r="H48" s="51">
        <f t="shared" si="6"/>
        <v>2257522</v>
      </c>
      <c r="I48" s="51">
        <f>'WPB-2.1 13 mo avg'!S60</f>
        <v>2257522</v>
      </c>
    </row>
    <row r="49" spans="1:9" x14ac:dyDescent="0.2">
      <c r="A49" s="48">
        <f t="shared" si="4"/>
        <v>34</v>
      </c>
      <c r="B49" s="49">
        <v>385</v>
      </c>
      <c r="C49" s="52" t="s">
        <v>729</v>
      </c>
      <c r="D49" s="51">
        <f>'WPB-2.1 13 mo avg'!R61</f>
        <v>3505583.36</v>
      </c>
      <c r="E49" s="51"/>
      <c r="F49" s="51">
        <f t="shared" si="5"/>
        <v>3505583.36</v>
      </c>
      <c r="G49" s="1122">
        <v>0</v>
      </c>
      <c r="H49" s="51">
        <f t="shared" si="6"/>
        <v>3505583.36</v>
      </c>
      <c r="I49" s="51">
        <f>'WPB-2.1 13 mo avg'!S61</f>
        <v>3358952.5907692309</v>
      </c>
    </row>
    <row r="50" spans="1:9" x14ac:dyDescent="0.2">
      <c r="A50" s="48">
        <f t="shared" si="4"/>
        <v>35</v>
      </c>
      <c r="B50" s="49">
        <v>387.2</v>
      </c>
      <c r="C50" s="52" t="s">
        <v>730</v>
      </c>
      <c r="D50" s="51">
        <f>'WPB-2.1 13 mo avg'!R62</f>
        <v>0</v>
      </c>
      <c r="E50" s="51"/>
      <c r="F50" s="51">
        <f t="shared" si="5"/>
        <v>0</v>
      </c>
      <c r="G50" s="1122">
        <v>0</v>
      </c>
      <c r="H50" s="51">
        <f t="shared" si="6"/>
        <v>0</v>
      </c>
      <c r="I50" s="51">
        <f>'WPB-2.1 13 mo avg'!S62</f>
        <v>0</v>
      </c>
    </row>
    <row r="51" spans="1:9" x14ac:dyDescent="0.2">
      <c r="A51" s="48">
        <f t="shared" si="4"/>
        <v>36</v>
      </c>
      <c r="B51" s="49">
        <v>387.41</v>
      </c>
      <c r="C51" s="52" t="s">
        <v>731</v>
      </c>
      <c r="D51" s="51">
        <f>'WPB-2.1 13 mo avg'!R63</f>
        <v>735770.76</v>
      </c>
      <c r="E51" s="51"/>
      <c r="F51" s="51">
        <f t="shared" si="5"/>
        <v>735770.76</v>
      </c>
      <c r="G51" s="1122">
        <v>0</v>
      </c>
      <c r="H51" s="51">
        <f t="shared" si="6"/>
        <v>735770.76</v>
      </c>
      <c r="I51" s="51">
        <f>'WPB-2.1 13 mo avg'!S63</f>
        <v>735770.75999999989</v>
      </c>
    </row>
    <row r="52" spans="1:9" x14ac:dyDescent="0.2">
      <c r="A52" s="48">
        <f t="shared" si="4"/>
        <v>37</v>
      </c>
      <c r="B52" s="49">
        <v>387.42</v>
      </c>
      <c r="C52" s="52" t="s">
        <v>732</v>
      </c>
      <c r="D52" s="51">
        <f>'WPB-2.1 13 mo avg'!R64</f>
        <v>795186.58</v>
      </c>
      <c r="E52" s="51"/>
      <c r="F52" s="51">
        <f t="shared" si="5"/>
        <v>795186.58</v>
      </c>
      <c r="G52" s="1122">
        <v>0</v>
      </c>
      <c r="H52" s="51">
        <f t="shared" si="6"/>
        <v>795186.58</v>
      </c>
      <c r="I52" s="51">
        <f>'WPB-2.1 13 mo avg'!S64</f>
        <v>795186.58</v>
      </c>
    </row>
    <row r="53" spans="1:9" x14ac:dyDescent="0.2">
      <c r="A53" s="48">
        <f t="shared" si="4"/>
        <v>38</v>
      </c>
      <c r="B53" s="49">
        <v>387.44</v>
      </c>
      <c r="C53" s="52" t="s">
        <v>733</v>
      </c>
      <c r="D53" s="51">
        <f>'WPB-2.1 13 mo avg'!R65</f>
        <v>143283.93</v>
      </c>
      <c r="E53" s="51"/>
      <c r="F53" s="51">
        <f t="shared" si="5"/>
        <v>143283.93</v>
      </c>
      <c r="G53" s="1122">
        <v>0</v>
      </c>
      <c r="H53" s="51">
        <f t="shared" si="6"/>
        <v>143283.93</v>
      </c>
      <c r="I53" s="51">
        <f>'WPB-2.1 13 mo avg'!S65</f>
        <v>143283.92999999996</v>
      </c>
    </row>
    <row r="54" spans="1:9" x14ac:dyDescent="0.2">
      <c r="A54" s="48">
        <f t="shared" si="4"/>
        <v>39</v>
      </c>
      <c r="B54" s="49">
        <v>387.45</v>
      </c>
      <c r="C54" s="52" t="s">
        <v>734</v>
      </c>
      <c r="D54" s="51">
        <f>'WPB-2.1 13 mo avg'!R66</f>
        <v>4488904.66</v>
      </c>
      <c r="E54" s="51"/>
      <c r="F54" s="51">
        <f t="shared" si="5"/>
        <v>4488904.66</v>
      </c>
      <c r="G54" s="1122">
        <v>0</v>
      </c>
      <c r="H54" s="51">
        <f t="shared" si="6"/>
        <v>4488904.66</v>
      </c>
      <c r="I54" s="51">
        <f>'WPB-2.1 13 mo avg'!S66</f>
        <v>3717650.8138461537</v>
      </c>
    </row>
    <row r="55" spans="1:9" x14ac:dyDescent="0.2">
      <c r="A55" s="48">
        <f t="shared" si="4"/>
        <v>40</v>
      </c>
      <c r="B55" s="49">
        <v>387.46</v>
      </c>
      <c r="C55" s="52" t="s">
        <v>735</v>
      </c>
      <c r="D55" s="103">
        <f>'WPB-2.1 13 mo avg'!R67</f>
        <v>113644.47</v>
      </c>
      <c r="E55" s="51"/>
      <c r="F55" s="54">
        <f t="shared" si="5"/>
        <v>113644.47</v>
      </c>
      <c r="G55" s="1124">
        <v>0</v>
      </c>
      <c r="H55" s="54">
        <f t="shared" si="6"/>
        <v>113644.47</v>
      </c>
      <c r="I55" s="103">
        <f>'WPB-2.1 13 mo avg'!S67</f>
        <v>113644.46999999999</v>
      </c>
    </row>
    <row r="56" spans="1:9" x14ac:dyDescent="0.2">
      <c r="A56" s="48">
        <f t="shared" si="4"/>
        <v>41</v>
      </c>
      <c r="B56" s="49"/>
      <c r="C56" s="52" t="s">
        <v>736</v>
      </c>
      <c r="D56" s="51">
        <f>SUM(D27:D43)+SUM(D44:D55)</f>
        <v>439276986.38</v>
      </c>
      <c r="E56" s="51"/>
      <c r="F56" s="51">
        <f>SUM(F27:F43)+SUM(F44:F55)</f>
        <v>439276986.38</v>
      </c>
      <c r="G56" s="51">
        <f>SUM(G27:G43)+SUM(G44:G55)</f>
        <v>0</v>
      </c>
      <c r="H56" s="51">
        <f>SUM(H27:H43)+SUM(H44:H55)</f>
        <v>439276986.38</v>
      </c>
      <c r="I56" s="51">
        <f>SUM(I27:I43)+SUM(I44:I55)</f>
        <v>421752059.61076927</v>
      </c>
    </row>
    <row r="57" spans="1:9" x14ac:dyDescent="0.2">
      <c r="A57" s="48"/>
      <c r="B57" s="49"/>
      <c r="C57" s="49"/>
      <c r="D57" s="51"/>
      <c r="E57" s="51"/>
      <c r="F57" s="55" t="s">
        <v>680</v>
      </c>
      <c r="G57" s="162"/>
      <c r="H57" s="51"/>
      <c r="I57" s="51" t="s">
        <v>680</v>
      </c>
    </row>
    <row r="58" spans="1:9" x14ac:dyDescent="0.2">
      <c r="A58" s="48">
        <f>A56+1</f>
        <v>42</v>
      </c>
      <c r="B58" s="49"/>
      <c r="C58" s="50" t="s">
        <v>737</v>
      </c>
      <c r="D58" s="51"/>
      <c r="E58" s="51"/>
      <c r="F58" s="55" t="s">
        <v>680</v>
      </c>
      <c r="G58" s="162"/>
      <c r="H58" s="51"/>
      <c r="I58" s="51" t="s">
        <v>680</v>
      </c>
    </row>
    <row r="59" spans="1:9" x14ac:dyDescent="0.2">
      <c r="A59" s="48">
        <f>A58+1</f>
        <v>43</v>
      </c>
      <c r="B59" s="49">
        <v>391.1</v>
      </c>
      <c r="C59" s="52" t="s">
        <v>738</v>
      </c>
      <c r="D59" s="51">
        <f>'WPB-2.1 13 mo avg'!R71</f>
        <v>848030.71</v>
      </c>
      <c r="E59" s="51"/>
      <c r="F59" s="51">
        <f t="shared" ref="F59:F72" si="7">D59</f>
        <v>848030.71</v>
      </c>
      <c r="G59" s="1122">
        <v>0</v>
      </c>
      <c r="H59" s="51">
        <f t="shared" ref="H59:H72" si="8">(+F59+G59)</f>
        <v>848030.71</v>
      </c>
      <c r="I59" s="51">
        <f>'WPB-2.1 13 mo avg'!S71</f>
        <v>734180.71000000008</v>
      </c>
    </row>
    <row r="60" spans="1:9" x14ac:dyDescent="0.2">
      <c r="A60" s="48">
        <f t="shared" ref="A60:A73" si="9">A59+1</f>
        <v>44</v>
      </c>
      <c r="B60" s="49">
        <v>391.11</v>
      </c>
      <c r="C60" s="52" t="s">
        <v>739</v>
      </c>
      <c r="D60" s="51">
        <f>'WPB-2.1 13 mo avg'!R72</f>
        <v>18815.57</v>
      </c>
      <c r="E60" s="51"/>
      <c r="F60" s="51">
        <f t="shared" si="7"/>
        <v>18815.57</v>
      </c>
      <c r="G60" s="1122">
        <v>0</v>
      </c>
      <c r="H60" s="51">
        <f t="shared" si="8"/>
        <v>18815.57</v>
      </c>
      <c r="I60" s="51">
        <f>'WPB-2.1 13 mo avg'!S72</f>
        <v>18815.570000000003</v>
      </c>
    </row>
    <row r="61" spans="1:9" x14ac:dyDescent="0.2">
      <c r="A61" s="48">
        <f t="shared" si="9"/>
        <v>45</v>
      </c>
      <c r="B61" s="49">
        <v>391.12</v>
      </c>
      <c r="C61" s="52" t="s">
        <v>740</v>
      </c>
      <c r="D61" s="51">
        <f>'WPB-2.1 13 mo avg'!R73</f>
        <v>1407883.4100000001</v>
      </c>
      <c r="E61" s="51"/>
      <c r="F61" s="51">
        <f t="shared" si="7"/>
        <v>1407883.4100000001</v>
      </c>
      <c r="G61" s="1122">
        <v>0</v>
      </c>
      <c r="H61" s="51">
        <f t="shared" si="8"/>
        <v>1407883.4100000001</v>
      </c>
      <c r="I61" s="51">
        <f>'WPB-2.1 13 mo avg'!S73</f>
        <v>1237298.7946153847</v>
      </c>
    </row>
    <row r="62" spans="1:9" x14ac:dyDescent="0.2">
      <c r="A62" s="48">
        <f t="shared" si="9"/>
        <v>46</v>
      </c>
      <c r="B62" s="49">
        <v>392.2</v>
      </c>
      <c r="C62" s="52" t="s">
        <v>852</v>
      </c>
      <c r="D62" s="51">
        <f>'WPB-2.1 13 mo avg'!R74</f>
        <v>95778</v>
      </c>
      <c r="E62" s="51"/>
      <c r="F62" s="51">
        <f t="shared" si="7"/>
        <v>95778</v>
      </c>
      <c r="G62" s="1122">
        <v>0</v>
      </c>
      <c r="H62" s="51">
        <f t="shared" si="8"/>
        <v>95778</v>
      </c>
      <c r="I62" s="51">
        <f>'WPB-2.1 13 mo avg'!S74</f>
        <v>95778</v>
      </c>
    </row>
    <row r="63" spans="1:9" x14ac:dyDescent="0.2">
      <c r="A63" s="48">
        <f t="shared" si="9"/>
        <v>47</v>
      </c>
      <c r="B63" s="49">
        <v>392.21</v>
      </c>
      <c r="C63" s="52" t="s">
        <v>741</v>
      </c>
      <c r="D63" s="51">
        <f>'WPB-2.1 13 mo avg'!R75</f>
        <v>24462.2</v>
      </c>
      <c r="E63" s="51"/>
      <c r="F63" s="51">
        <f t="shared" si="7"/>
        <v>24462.2</v>
      </c>
      <c r="G63" s="1122">
        <v>0</v>
      </c>
      <c r="H63" s="51">
        <f t="shared" si="8"/>
        <v>24462.2</v>
      </c>
      <c r="I63" s="51">
        <f>'WPB-2.1 13 mo avg'!S75</f>
        <v>24462.200000000008</v>
      </c>
    </row>
    <row r="64" spans="1:9" x14ac:dyDescent="0.2">
      <c r="A64" s="48">
        <f t="shared" si="9"/>
        <v>48</v>
      </c>
      <c r="B64" s="49">
        <v>393</v>
      </c>
      <c r="C64" s="52" t="s">
        <v>742</v>
      </c>
      <c r="D64" s="51">
        <f>'WPB-2.1 13 mo avg'!R76</f>
        <v>0</v>
      </c>
      <c r="E64" s="51"/>
      <c r="F64" s="51">
        <f t="shared" si="7"/>
        <v>0</v>
      </c>
      <c r="G64" s="1122">
        <v>0</v>
      </c>
      <c r="H64" s="51">
        <f t="shared" si="8"/>
        <v>0</v>
      </c>
      <c r="I64" s="51">
        <f>'WPB-2.1 13 mo avg'!S76</f>
        <v>0</v>
      </c>
    </row>
    <row r="65" spans="1:9" x14ac:dyDescent="0.2">
      <c r="A65" s="48">
        <f t="shared" si="9"/>
        <v>49</v>
      </c>
      <c r="B65" s="49">
        <v>394.1</v>
      </c>
      <c r="C65" s="52" t="s">
        <v>743</v>
      </c>
      <c r="D65" s="51">
        <f>'WPB-2.1 13 mo avg'!R77</f>
        <v>24240.799999999999</v>
      </c>
      <c r="E65" s="51"/>
      <c r="F65" s="51">
        <f t="shared" si="7"/>
        <v>24240.799999999999</v>
      </c>
      <c r="G65" s="1122">
        <v>0</v>
      </c>
      <c r="H65" s="51">
        <f t="shared" si="8"/>
        <v>24240.799999999999</v>
      </c>
      <c r="I65" s="51">
        <f>'WPB-2.1 13 mo avg'!S77</f>
        <v>24240.799999999992</v>
      </c>
    </row>
    <row r="66" spans="1:9" x14ac:dyDescent="0.2">
      <c r="A66" s="48">
        <f t="shared" si="9"/>
        <v>50</v>
      </c>
      <c r="B66" s="49">
        <v>394.11</v>
      </c>
      <c r="C66" s="52" t="s">
        <v>744</v>
      </c>
      <c r="D66" s="51">
        <f>'WPB-2.1 13 mo avg'!R78</f>
        <v>0</v>
      </c>
      <c r="E66" s="51"/>
      <c r="F66" s="51">
        <f t="shared" si="7"/>
        <v>0</v>
      </c>
      <c r="G66" s="1122">
        <v>0</v>
      </c>
      <c r="H66" s="51">
        <f t="shared" si="8"/>
        <v>0</v>
      </c>
      <c r="I66" s="51">
        <f>'WPB-2.1 13 mo avg'!S78</f>
        <v>0</v>
      </c>
    </row>
    <row r="67" spans="1:9" ht="13.5" customHeight="1" x14ac:dyDescent="0.2">
      <c r="A67" s="48">
        <f t="shared" si="9"/>
        <v>51</v>
      </c>
      <c r="B67" s="49">
        <v>394.13</v>
      </c>
      <c r="C67" s="52" t="s">
        <v>745</v>
      </c>
      <c r="D67" s="51">
        <f>'WPB-2.1 13 mo avg'!R79</f>
        <v>0</v>
      </c>
      <c r="E67" s="51"/>
      <c r="F67" s="51">
        <f t="shared" si="7"/>
        <v>0</v>
      </c>
      <c r="G67" s="1122">
        <v>0</v>
      </c>
      <c r="H67" s="51">
        <f t="shared" si="8"/>
        <v>0</v>
      </c>
      <c r="I67" s="51">
        <f>'WPB-2.1 13 mo avg'!S79</f>
        <v>0</v>
      </c>
    </row>
    <row r="68" spans="1:9" ht="13.5" customHeight="1" x14ac:dyDescent="0.2">
      <c r="A68" s="48">
        <f>A67+1</f>
        <v>52</v>
      </c>
      <c r="B68" s="49">
        <v>394.2</v>
      </c>
      <c r="C68" s="52" t="s">
        <v>843</v>
      </c>
      <c r="D68" s="51">
        <f>'WPB-2.1 13 mo avg'!R80</f>
        <v>0</v>
      </c>
      <c r="E68" s="51"/>
      <c r="F68" s="51">
        <f t="shared" si="7"/>
        <v>0</v>
      </c>
      <c r="G68" s="1122">
        <v>0</v>
      </c>
      <c r="H68" s="51">
        <f t="shared" si="8"/>
        <v>0</v>
      </c>
      <c r="I68" s="51">
        <f>'WPB-2.1 13 mo avg'!S80</f>
        <v>0</v>
      </c>
    </row>
    <row r="69" spans="1:9" x14ac:dyDescent="0.2">
      <c r="A69" s="48">
        <f>A68+1</f>
        <v>53</v>
      </c>
      <c r="B69" s="49">
        <v>394.3</v>
      </c>
      <c r="C69" s="52" t="s">
        <v>746</v>
      </c>
      <c r="D69" s="51">
        <f>'WPB-2.1 13 mo avg'!R81</f>
        <v>3780921.16</v>
      </c>
      <c r="E69" s="51"/>
      <c r="F69" s="51">
        <f t="shared" si="7"/>
        <v>3780921.16</v>
      </c>
      <c r="G69" s="1122">
        <v>0</v>
      </c>
      <c r="H69" s="51">
        <f t="shared" si="8"/>
        <v>3780921.16</v>
      </c>
      <c r="I69" s="51">
        <f>'WPB-2.1 13 mo avg'!S81</f>
        <v>3241398.0830769232</v>
      </c>
    </row>
    <row r="70" spans="1:9" x14ac:dyDescent="0.2">
      <c r="A70" s="48">
        <f t="shared" si="9"/>
        <v>54</v>
      </c>
      <c r="B70" s="49">
        <v>395</v>
      </c>
      <c r="C70" s="52" t="s">
        <v>747</v>
      </c>
      <c r="D70" s="51">
        <f>'WPB-2.1 13 mo avg'!R82</f>
        <v>9257.77</v>
      </c>
      <c r="E70" s="51"/>
      <c r="F70" s="51">
        <f t="shared" si="7"/>
        <v>9257.77</v>
      </c>
      <c r="G70" s="1122">
        <v>0</v>
      </c>
      <c r="H70" s="51">
        <f t="shared" si="8"/>
        <v>9257.77</v>
      </c>
      <c r="I70" s="51">
        <f>'WPB-2.1 13 mo avg'!S82</f>
        <v>9257.7700000000023</v>
      </c>
    </row>
    <row r="71" spans="1:9" x14ac:dyDescent="0.2">
      <c r="A71" s="48">
        <f t="shared" si="9"/>
        <v>55</v>
      </c>
      <c r="B71" s="49">
        <v>396</v>
      </c>
      <c r="C71" s="52" t="s">
        <v>748</v>
      </c>
      <c r="D71" s="51">
        <f>'WPB-2.1 13 mo avg'!R83</f>
        <v>253134.72</v>
      </c>
      <c r="E71" s="51"/>
      <c r="F71" s="51">
        <f t="shared" si="7"/>
        <v>253134.72</v>
      </c>
      <c r="G71" s="1122">
        <v>0</v>
      </c>
      <c r="H71" s="51">
        <f t="shared" si="8"/>
        <v>253134.72</v>
      </c>
      <c r="I71" s="51">
        <f>'WPB-2.1 13 mo avg'!S83</f>
        <v>253134.72000000006</v>
      </c>
    </row>
    <row r="72" spans="1:9" x14ac:dyDescent="0.2">
      <c r="A72" s="48">
        <f t="shared" si="9"/>
        <v>56</v>
      </c>
      <c r="B72" s="49">
        <v>398</v>
      </c>
      <c r="C72" s="52" t="s">
        <v>749</v>
      </c>
      <c r="D72" s="103">
        <f>'WPB-2.1 13 mo avg'!R84</f>
        <v>312161.94</v>
      </c>
      <c r="E72" s="51"/>
      <c r="F72" s="103">
        <f t="shared" si="7"/>
        <v>312161.94</v>
      </c>
      <c r="G72" s="1124">
        <v>0</v>
      </c>
      <c r="H72" s="103">
        <f t="shared" si="8"/>
        <v>312161.94</v>
      </c>
      <c r="I72" s="103">
        <f>'WPB-2.1 13 mo avg'!S84</f>
        <v>283931.17076923075</v>
      </c>
    </row>
    <row r="73" spans="1:9" x14ac:dyDescent="0.2">
      <c r="A73" s="48">
        <f t="shared" si="9"/>
        <v>57</v>
      </c>
      <c r="B73" s="49"/>
      <c r="C73" s="52" t="s">
        <v>751</v>
      </c>
      <c r="D73" s="51">
        <f>SUM(D59:D72)</f>
        <v>6774686.2799999993</v>
      </c>
      <c r="E73" s="51"/>
      <c r="F73" s="51">
        <f>SUM(F59:F72)</f>
        <v>6774686.2799999993</v>
      </c>
      <c r="G73" s="51">
        <f>SUM(G59:G72)</f>
        <v>0</v>
      </c>
      <c r="H73" s="51">
        <f>SUM(H59:H72)</f>
        <v>6774686.2799999993</v>
      </c>
      <c r="I73" s="51">
        <f>SUM(I59:I72)</f>
        <v>5922497.8184615374</v>
      </c>
    </row>
    <row r="74" spans="1:9" x14ac:dyDescent="0.2">
      <c r="A74" s="48"/>
      <c r="B74" s="49"/>
      <c r="C74" s="49"/>
      <c r="E74" s="51"/>
      <c r="F74" s="108" t="s">
        <v>680</v>
      </c>
      <c r="G74" s="1729"/>
      <c r="H74" s="108" t="s">
        <v>680</v>
      </c>
      <c r="I74" s="108"/>
    </row>
    <row r="75" spans="1:9" x14ac:dyDescent="0.2">
      <c r="A75" s="48">
        <f>A73+1</f>
        <v>58</v>
      </c>
      <c r="B75" s="49"/>
      <c r="C75" s="50" t="s">
        <v>2287</v>
      </c>
      <c r="D75" s="51"/>
      <c r="E75" s="51"/>
      <c r="F75" s="55" t="s">
        <v>680</v>
      </c>
      <c r="G75" s="162"/>
      <c r="H75" s="55" t="s">
        <v>680</v>
      </c>
    </row>
    <row r="76" spans="1:9" x14ac:dyDescent="0.2">
      <c r="A76" s="48">
        <f>A75+1</f>
        <v>59</v>
      </c>
      <c r="B76" s="49">
        <v>378.21</v>
      </c>
      <c r="C76" s="1726" t="s">
        <v>2245</v>
      </c>
      <c r="D76" s="51">
        <f>'WPB-2.1 13 mo avg'!R87</f>
        <v>-777092</v>
      </c>
      <c r="E76" s="51"/>
      <c r="F76" s="107">
        <f t="shared" ref="F76" si="10">D76</f>
        <v>-777092</v>
      </c>
      <c r="G76" s="1729">
        <v>0</v>
      </c>
      <c r="H76" s="107">
        <f t="shared" ref="H76" si="11">(+F76+G76)</f>
        <v>-777092</v>
      </c>
      <c r="I76" s="107">
        <f>H76</f>
        <v>-777092</v>
      </c>
    </row>
    <row r="77" spans="1:9" x14ac:dyDescent="0.2">
      <c r="A77" s="48"/>
      <c r="B77" s="49"/>
      <c r="C77" s="49"/>
      <c r="E77" s="51"/>
      <c r="F77" s="56" t="s">
        <v>680</v>
      </c>
      <c r="G77" s="1124"/>
      <c r="H77" s="56" t="s">
        <v>680</v>
      </c>
      <c r="I77" s="112"/>
    </row>
    <row r="78" spans="1:9" x14ac:dyDescent="0.2">
      <c r="A78" s="48">
        <f>A76+1</f>
        <v>60</v>
      </c>
      <c r="B78" s="49"/>
      <c r="C78" s="251" t="s">
        <v>101</v>
      </c>
      <c r="D78" s="57">
        <f>D20+D24+D56+D73+D76</f>
        <v>455066635.36999995</v>
      </c>
      <c r="E78" s="51"/>
      <c r="F78" s="57">
        <f>F20+F24+F56+F73+F76</f>
        <v>455066635.36999995</v>
      </c>
      <c r="G78" s="57">
        <f>G20+G24+G56+G73</f>
        <v>0</v>
      </c>
      <c r="H78" s="57">
        <f>H20+H24+H56+H73+H76</f>
        <v>455066635.36999995</v>
      </c>
      <c r="I78" s="57">
        <f>I20+I24+I56+I73+I76</f>
        <v>435160689.37000006</v>
      </c>
    </row>
    <row r="79" spans="1:9" x14ac:dyDescent="0.2">
      <c r="E79" s="51"/>
    </row>
    <row r="81" spans="1:2" x14ac:dyDescent="0.2">
      <c r="A81" s="44"/>
      <c r="B81" s="44"/>
    </row>
    <row r="82" spans="1:2" x14ac:dyDescent="0.2">
      <c r="B82" s="44"/>
    </row>
    <row r="83" spans="1:2" x14ac:dyDescent="0.2">
      <c r="B83" s="44"/>
    </row>
    <row r="84" spans="1:2" x14ac:dyDescent="0.2">
      <c r="B84" s="44"/>
    </row>
    <row r="85" spans="1:2" x14ac:dyDescent="0.2">
      <c r="B85" s="44"/>
    </row>
    <row r="86" spans="1:2" x14ac:dyDescent="0.2">
      <c r="B86" s="44"/>
    </row>
  </sheetData>
  <mergeCells count="4">
    <mergeCell ref="A1:I1"/>
    <mergeCell ref="A2:I2"/>
    <mergeCell ref="A3:I3"/>
    <mergeCell ref="A4:I4"/>
  </mergeCells>
  <phoneticPr fontId="0" type="noConversion"/>
  <pageMargins left="1" right="0.5" top="1" bottom="0.75" header="0.3" footer="0.3"/>
  <pageSetup scale="60" orientation="portrait" r:id="rId1"/>
  <headerFooter>
    <oddHeader>&amp;R&amp;"Arial,Regular"&amp;10KY PSC Case No. 2016-00162, Attachment A to Staff 3-4</oddHeader>
  </headerFooter>
  <rowBreaks count="1" manualBreakCount="1">
    <brk id="78" max="8" man="1"/>
  </rowBreaks>
  <ignoredErrors>
    <ignoredError sqref="G78" formula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41" transitionEvaluation="1" transitionEntry="1" codeName="Sheet80"/>
  <dimension ref="A1:W228"/>
  <sheetViews>
    <sheetView topLeftCell="A141" zoomScale="80" zoomScaleNormal="80" workbookViewId="0">
      <selection activeCell="P179" sqref="P179"/>
    </sheetView>
  </sheetViews>
  <sheetFormatPr defaultColWidth="9.83203125" defaultRowHeight="12.75" x14ac:dyDescent="0.2"/>
  <cols>
    <col min="1" max="1" width="36.6640625" style="1448" customWidth="1"/>
    <col min="2" max="2" width="1.83203125" style="1448" customWidth="1"/>
    <col min="3" max="3" width="15.6640625" style="1448" bestFit="1" customWidth="1"/>
    <col min="4" max="4" width="13.5" style="1448" bestFit="1" customWidth="1"/>
    <col min="5" max="5" width="13.6640625" style="1448" customWidth="1"/>
    <col min="6" max="6" width="13.5" style="1448" bestFit="1" customWidth="1"/>
    <col min="7" max="7" width="13.6640625" style="1448" bestFit="1" customWidth="1"/>
    <col min="8" max="8" width="13.5" style="1448" bestFit="1" customWidth="1"/>
    <col min="9" max="9" width="13.6640625" style="1448" bestFit="1" customWidth="1"/>
    <col min="10" max="10" width="13" style="1448" bestFit="1" customWidth="1"/>
    <col min="11" max="11" width="14.5" style="1448" bestFit="1" customWidth="1"/>
    <col min="12" max="12" width="13.5" style="1448" bestFit="1" customWidth="1"/>
    <col min="13" max="13" width="13.6640625" style="1448" bestFit="1" customWidth="1"/>
    <col min="14" max="14" width="13.83203125" style="1448" customWidth="1"/>
    <col min="15" max="15" width="16" style="1448" bestFit="1" customWidth="1"/>
    <col min="16" max="16" width="135.83203125" style="1647" bestFit="1" customWidth="1"/>
    <col min="17" max="17" width="16.83203125" style="916" bestFit="1" customWidth="1"/>
    <col min="18" max="18" width="16.5" style="1448" bestFit="1" customWidth="1"/>
    <col min="19" max="19" width="14.5" style="1448" bestFit="1" customWidth="1"/>
    <col min="20" max="20" width="16.5" style="1448" bestFit="1" customWidth="1"/>
    <col min="21" max="22" width="9.83203125" style="1448"/>
    <col min="23" max="16384" width="9.83203125" style="916"/>
  </cols>
  <sheetData>
    <row r="1" spans="1:23" ht="12.75" customHeight="1" x14ac:dyDescent="0.2">
      <c r="A1" s="2183" t="s">
        <v>624</v>
      </c>
      <c r="B1" s="2183"/>
      <c r="C1" s="2183"/>
      <c r="D1" s="2183"/>
      <c r="E1" s="2183"/>
      <c r="F1" s="2183"/>
      <c r="G1" s="2183"/>
      <c r="H1" s="2183"/>
      <c r="I1" s="2183"/>
      <c r="J1" s="2183"/>
      <c r="K1" s="2183"/>
      <c r="L1" s="2183"/>
      <c r="M1" s="2183"/>
      <c r="N1" s="2183"/>
      <c r="O1" s="2183"/>
      <c r="P1" s="1646"/>
      <c r="Q1" s="915"/>
    </row>
    <row r="2" spans="1:23" ht="12.75" customHeight="1" x14ac:dyDescent="0.2">
      <c r="A2" s="2183" t="str">
        <f>'G-2 Payroll Analysis'!A5:Q5</f>
        <v>CASE NO. 2016 - 00162</v>
      </c>
      <c r="B2" s="2183"/>
      <c r="C2" s="2183"/>
      <c r="D2" s="2183"/>
      <c r="E2" s="2183"/>
      <c r="F2" s="2183"/>
      <c r="G2" s="2183"/>
      <c r="H2" s="2183"/>
      <c r="I2" s="2183"/>
      <c r="J2" s="2183"/>
      <c r="K2" s="2183"/>
      <c r="L2" s="2183"/>
      <c r="M2" s="2183"/>
      <c r="N2" s="2183"/>
      <c r="O2" s="2183"/>
      <c r="P2" s="1646"/>
      <c r="Q2" s="915"/>
    </row>
    <row r="3" spans="1:23" ht="12.75" customHeight="1" x14ac:dyDescent="0.2">
      <c r="A3" s="2183" t="s">
        <v>366</v>
      </c>
      <c r="B3" s="2183"/>
      <c r="C3" s="2183"/>
      <c r="D3" s="2183"/>
      <c r="E3" s="2183"/>
      <c r="F3" s="2183"/>
      <c r="G3" s="2183"/>
      <c r="H3" s="2183"/>
      <c r="I3" s="2183"/>
      <c r="J3" s="2183"/>
      <c r="K3" s="2183"/>
      <c r="L3" s="2183"/>
      <c r="M3" s="2183"/>
      <c r="N3" s="2183"/>
      <c r="O3" s="2183"/>
      <c r="P3" s="1646"/>
      <c r="Q3" s="915"/>
    </row>
    <row r="4" spans="1:23" ht="12.75" customHeight="1" x14ac:dyDescent="0.2">
      <c r="A4" s="2183" t="s">
        <v>367</v>
      </c>
      <c r="B4" s="2183"/>
      <c r="C4" s="2183"/>
      <c r="D4" s="2183"/>
      <c r="E4" s="2183"/>
      <c r="F4" s="2183"/>
      <c r="G4" s="2183"/>
      <c r="H4" s="2183"/>
      <c r="I4" s="2183"/>
      <c r="J4" s="2183"/>
      <c r="K4" s="2183"/>
      <c r="L4" s="2183"/>
      <c r="M4" s="2183"/>
      <c r="N4" s="2183"/>
      <c r="O4" s="2183"/>
      <c r="P4" s="1646"/>
      <c r="Q4" s="915"/>
    </row>
    <row r="5" spans="1:23" ht="12.75" customHeight="1" x14ac:dyDescent="0.2">
      <c r="A5" s="1451"/>
      <c r="B5" s="1451"/>
      <c r="C5" s="1451"/>
      <c r="D5" s="1451"/>
      <c r="E5" s="1451"/>
      <c r="F5" s="1451"/>
      <c r="G5" s="1451"/>
      <c r="H5" s="1451"/>
      <c r="I5" s="1451"/>
      <c r="J5" s="1451"/>
      <c r="K5" s="1451"/>
      <c r="L5" s="1451"/>
      <c r="M5" s="1451"/>
      <c r="N5" s="1451"/>
      <c r="O5" s="1901" t="s">
        <v>1878</v>
      </c>
      <c r="P5" s="1646"/>
      <c r="Q5" s="915"/>
    </row>
    <row r="6" spans="1:23" ht="12.75" customHeight="1" x14ac:dyDescent="0.2">
      <c r="A6" s="1451"/>
      <c r="B6" s="1451"/>
      <c r="C6" s="1451"/>
      <c r="D6" s="1451"/>
      <c r="E6" s="1451"/>
      <c r="F6" s="1451"/>
      <c r="G6" s="1451"/>
      <c r="H6" s="1451"/>
      <c r="I6" s="1451"/>
      <c r="J6" s="1451"/>
      <c r="K6" s="1451"/>
      <c r="L6" s="1451"/>
      <c r="M6" s="1451"/>
      <c r="N6" s="1451"/>
      <c r="O6" s="1451" t="s">
        <v>1894</v>
      </c>
      <c r="P6" s="1646"/>
      <c r="Q6" s="915"/>
    </row>
    <row r="7" spans="1:23" ht="12.75" customHeight="1" x14ac:dyDescent="0.2">
      <c r="A7" s="1451"/>
      <c r="B7" s="1451"/>
      <c r="C7" s="1451"/>
      <c r="D7" s="1451"/>
      <c r="E7" s="1451"/>
      <c r="F7" s="1451"/>
      <c r="G7" s="1451"/>
      <c r="H7" s="1451"/>
      <c r="I7" s="1451"/>
      <c r="J7" s="1451"/>
      <c r="K7" s="1451"/>
      <c r="L7" s="1451"/>
      <c r="M7" s="1451"/>
      <c r="N7" s="1451"/>
      <c r="O7" s="1451"/>
      <c r="P7" s="1646"/>
      <c r="Q7" s="915"/>
    </row>
    <row r="8" spans="1:23" ht="12.75" customHeight="1" x14ac:dyDescent="0.2">
      <c r="A8" s="1451"/>
      <c r="B8" s="1451"/>
      <c r="C8" s="1451"/>
      <c r="D8" s="1451"/>
      <c r="E8" s="1451"/>
      <c r="F8" s="1451"/>
      <c r="G8" s="1451"/>
      <c r="H8" s="1451"/>
      <c r="I8" s="1451"/>
      <c r="J8" s="1451"/>
      <c r="K8" s="1451"/>
      <c r="L8" s="1451"/>
      <c r="M8" s="1451"/>
      <c r="N8" s="1451"/>
      <c r="O8" s="1451"/>
    </row>
    <row r="9" spans="1:23" ht="12.75" customHeight="1" x14ac:dyDescent="0.2">
      <c r="A9" s="1451"/>
      <c r="B9" s="1451"/>
      <c r="C9" s="1902" t="s">
        <v>1877</v>
      </c>
      <c r="D9" s="1902" t="s">
        <v>368</v>
      </c>
      <c r="E9" s="1902" t="s">
        <v>369</v>
      </c>
      <c r="F9" s="1902" t="s">
        <v>370</v>
      </c>
      <c r="G9" s="1902" t="s">
        <v>371</v>
      </c>
      <c r="H9" s="1902" t="s">
        <v>372</v>
      </c>
      <c r="I9" s="1902" t="s">
        <v>373</v>
      </c>
      <c r="J9" s="1902" t="s">
        <v>374</v>
      </c>
      <c r="K9" s="1902" t="s">
        <v>375</v>
      </c>
      <c r="L9" s="1902" t="s">
        <v>376</v>
      </c>
      <c r="M9" s="1902" t="s">
        <v>377</v>
      </c>
      <c r="N9" s="1902" t="s">
        <v>378</v>
      </c>
      <c r="O9" s="1902" t="s">
        <v>1194</v>
      </c>
    </row>
    <row r="10" spans="1:23" ht="12.75" customHeight="1" x14ac:dyDescent="0.2">
      <c r="A10" s="1484" t="s">
        <v>379</v>
      </c>
      <c r="C10" s="1902">
        <v>2011</v>
      </c>
      <c r="D10" s="1902">
        <v>2011</v>
      </c>
      <c r="E10" s="1902">
        <v>2011</v>
      </c>
      <c r="F10" s="1902">
        <v>2011</v>
      </c>
      <c r="G10" s="1902">
        <v>2011</v>
      </c>
      <c r="H10" s="1902">
        <v>2011</v>
      </c>
      <c r="I10" s="1902">
        <v>2011</v>
      </c>
      <c r="J10" s="1902">
        <v>2011</v>
      </c>
      <c r="K10" s="1902">
        <v>2011</v>
      </c>
      <c r="L10" s="1902">
        <v>2011</v>
      </c>
      <c r="M10" s="1902">
        <v>2011</v>
      </c>
      <c r="N10" s="1902">
        <v>2011</v>
      </c>
      <c r="O10" s="1902">
        <v>2011</v>
      </c>
    </row>
    <row r="11" spans="1:23" ht="12.75" customHeight="1" x14ac:dyDescent="0.2">
      <c r="D11" s="1449"/>
      <c r="F11" s="1449"/>
      <c r="H11" s="1449"/>
      <c r="J11" s="1449"/>
      <c r="L11" s="1449"/>
      <c r="N11" s="1449"/>
    </row>
    <row r="12" spans="1:23" ht="12.75" customHeight="1" x14ac:dyDescent="0.2">
      <c r="A12" s="1484" t="s">
        <v>1897</v>
      </c>
      <c r="C12" s="1450"/>
      <c r="D12" s="1446"/>
      <c r="E12" s="1450"/>
      <c r="F12" s="1446"/>
      <c r="G12" s="1450"/>
      <c r="H12" s="1446"/>
      <c r="I12" s="1450"/>
      <c r="J12" s="1446"/>
      <c r="K12" s="1450"/>
      <c r="L12" s="1446"/>
      <c r="M12" s="1450"/>
      <c r="N12" s="1446"/>
      <c r="O12" s="1450"/>
      <c r="P12" s="1648"/>
      <c r="Q12" s="917"/>
      <c r="R12" s="1450"/>
      <c r="S12" s="1450"/>
      <c r="T12" s="1450"/>
    </row>
    <row r="13" spans="1:23" ht="12.75" customHeight="1" x14ac:dyDescent="0.2">
      <c r="A13" s="1448" t="s">
        <v>380</v>
      </c>
      <c r="C13" s="1514">
        <v>20256</v>
      </c>
      <c r="D13" s="1514">
        <v>16105</v>
      </c>
      <c r="E13" s="1514">
        <v>21736</v>
      </c>
      <c r="F13" s="1514">
        <v>19703</v>
      </c>
      <c r="G13" s="1514">
        <v>20392</v>
      </c>
      <c r="H13" s="1514">
        <v>20200</v>
      </c>
      <c r="I13" s="1514">
        <f>19216</f>
        <v>19216</v>
      </c>
      <c r="J13" s="1514">
        <v>20658</v>
      </c>
      <c r="K13" s="1514">
        <v>19997.75</v>
      </c>
      <c r="L13" s="1514">
        <f>20189.75</f>
        <v>20189.75</v>
      </c>
      <c r="M13" s="1514">
        <v>21504</v>
      </c>
      <c r="N13" s="1514">
        <v>21569</v>
      </c>
      <c r="O13" s="1447">
        <f>SUM(C13:N13)</f>
        <v>241526.5</v>
      </c>
      <c r="P13" s="1649"/>
      <c r="Q13" s="918"/>
      <c r="R13" s="1447"/>
      <c r="S13" s="1447"/>
      <c r="T13" s="1447"/>
      <c r="U13" s="1651"/>
      <c r="V13" s="1651"/>
      <c r="W13" s="1516"/>
    </row>
    <row r="14" spans="1:23" ht="12.75" customHeight="1" x14ac:dyDescent="0.2">
      <c r="A14" s="1448" t="s">
        <v>381</v>
      </c>
      <c r="C14" s="1515">
        <v>1963.25</v>
      </c>
      <c r="D14" s="1515">
        <v>1650.25</v>
      </c>
      <c r="E14" s="1515">
        <v>1844.5</v>
      </c>
      <c r="F14" s="1515">
        <v>2090.75</v>
      </c>
      <c r="G14" s="1515">
        <v>1898.75</v>
      </c>
      <c r="H14" s="1515">
        <v>1633</v>
      </c>
      <c r="I14" s="1515">
        <v>1821.25</v>
      </c>
      <c r="J14" s="1515">
        <v>1807</v>
      </c>
      <c r="K14" s="1515">
        <v>2038</v>
      </c>
      <c r="L14" s="1515">
        <v>2559.25</v>
      </c>
      <c r="M14" s="1515">
        <v>2203</v>
      </c>
      <c r="N14" s="1515">
        <v>2251.75</v>
      </c>
      <c r="O14" s="1452">
        <f>SUM(C14:N14)</f>
        <v>23760.75</v>
      </c>
      <c r="P14" s="1649"/>
      <c r="Q14" s="918"/>
      <c r="R14" s="1447"/>
      <c r="S14" s="1447"/>
      <c r="T14" s="1447"/>
      <c r="U14" s="1651"/>
      <c r="V14" s="1651"/>
      <c r="W14" s="1516"/>
    </row>
    <row r="15" spans="1:23" ht="12.75" customHeight="1" x14ac:dyDescent="0.2">
      <c r="A15" s="1448" t="s">
        <v>1896</v>
      </c>
      <c r="C15" s="1447">
        <f t="shared" ref="C15:O15" si="0">C13+C14</f>
        <v>22219.25</v>
      </c>
      <c r="D15" s="1447">
        <f t="shared" si="0"/>
        <v>17755.25</v>
      </c>
      <c r="E15" s="1447">
        <f t="shared" si="0"/>
        <v>23580.5</v>
      </c>
      <c r="F15" s="1447">
        <f t="shared" si="0"/>
        <v>21793.75</v>
      </c>
      <c r="G15" s="1447">
        <f t="shared" si="0"/>
        <v>22290.75</v>
      </c>
      <c r="H15" s="1447">
        <f t="shared" si="0"/>
        <v>21833</v>
      </c>
      <c r="I15" s="1447">
        <f t="shared" si="0"/>
        <v>21037.25</v>
      </c>
      <c r="J15" s="1447">
        <f t="shared" si="0"/>
        <v>22465</v>
      </c>
      <c r="K15" s="1447">
        <f t="shared" si="0"/>
        <v>22035.75</v>
      </c>
      <c r="L15" s="1447">
        <f t="shared" si="0"/>
        <v>22749</v>
      </c>
      <c r="M15" s="1447">
        <f t="shared" si="0"/>
        <v>23707</v>
      </c>
      <c r="N15" s="1447">
        <f t="shared" si="0"/>
        <v>23820.75</v>
      </c>
      <c r="O15" s="1447">
        <f t="shared" si="0"/>
        <v>265287.25</v>
      </c>
      <c r="P15" s="1649"/>
      <c r="Q15" s="918"/>
      <c r="R15" s="1447"/>
      <c r="S15" s="1447"/>
      <c r="T15" s="1447"/>
      <c r="U15" s="1651"/>
      <c r="V15" s="1651"/>
      <c r="W15" s="1516"/>
    </row>
    <row r="16" spans="1:23" ht="12.75" customHeight="1" x14ac:dyDescent="0.2">
      <c r="C16" s="1447"/>
      <c r="D16" s="1447"/>
      <c r="E16" s="1447"/>
      <c r="F16" s="1447"/>
      <c r="G16" s="1447"/>
      <c r="H16" s="1447"/>
      <c r="I16" s="1447"/>
      <c r="J16" s="1447"/>
      <c r="K16" s="1447"/>
      <c r="L16" s="1447"/>
      <c r="M16" s="1447"/>
      <c r="N16" s="1447"/>
      <c r="O16" s="1447"/>
      <c r="P16" s="1649"/>
      <c r="Q16" s="918"/>
      <c r="R16" s="1447"/>
      <c r="S16" s="1447"/>
      <c r="T16" s="1447"/>
      <c r="U16" s="1651"/>
      <c r="V16" s="1651"/>
      <c r="W16" s="1516"/>
    </row>
    <row r="17" spans="1:23" ht="12.75" customHeight="1" x14ac:dyDescent="0.2">
      <c r="A17" s="1484" t="s">
        <v>382</v>
      </c>
      <c r="C17" s="1447"/>
      <c r="D17" s="1447"/>
      <c r="E17" s="1447"/>
      <c r="F17" s="1447"/>
      <c r="G17" s="1447"/>
      <c r="H17" s="1447"/>
      <c r="I17" s="1447"/>
      <c r="J17" s="1447"/>
      <c r="K17" s="1447"/>
      <c r="L17" s="1447"/>
      <c r="M17" s="1447"/>
      <c r="N17" s="1447"/>
      <c r="O17" s="1447"/>
      <c r="P17" s="1649"/>
      <c r="Q17" s="918"/>
      <c r="R17" s="1447"/>
      <c r="S17" s="1447"/>
      <c r="T17" s="1447"/>
      <c r="U17" s="1651"/>
      <c r="V17" s="1651"/>
      <c r="W17" s="1516"/>
    </row>
    <row r="18" spans="1:23" ht="12.75" customHeight="1" x14ac:dyDescent="0.2">
      <c r="A18" s="1448" t="s">
        <v>383</v>
      </c>
      <c r="C18" s="1514">
        <f>613394.94+3930.75</f>
        <v>617325.68999999994</v>
      </c>
      <c r="D18" s="1514">
        <f>506412.49+31021.53</f>
        <v>537434.02</v>
      </c>
      <c r="E18" s="1514">
        <f>641276.62+14216.28</f>
        <v>655492.9</v>
      </c>
      <c r="F18" s="1514">
        <f>595905.23-1408.16</f>
        <v>594497.06999999995</v>
      </c>
      <c r="G18" s="1514">
        <f>611049.98+473.67</f>
        <v>611523.65</v>
      </c>
      <c r="H18" s="1514">
        <f>614200.95-4751.31</f>
        <v>609449.6399999999</v>
      </c>
      <c r="I18" s="1514">
        <f>591925.91+944.35</f>
        <v>592870.26</v>
      </c>
      <c r="J18" s="1514">
        <f>623963.5-1472.61</f>
        <v>622490.89</v>
      </c>
      <c r="K18" s="1514">
        <f>609647.17+1045.14</f>
        <v>610692.31000000006</v>
      </c>
      <c r="L18" s="1514">
        <f>618424.99-454.78</f>
        <v>617970.21</v>
      </c>
      <c r="M18" s="1514">
        <f>655108.46+1001.08</f>
        <v>656109.53999999992</v>
      </c>
      <c r="N18" s="1514">
        <f>652910.25+5630.25</f>
        <v>658540.5</v>
      </c>
      <c r="O18" s="1447">
        <f>SUM(C18:N18)</f>
        <v>7384396.6799999997</v>
      </c>
      <c r="P18" s="1649"/>
      <c r="Q18" s="2182"/>
      <c r="R18" s="2182"/>
      <c r="S18" s="2182"/>
      <c r="T18" s="2182"/>
      <c r="U18" s="2182"/>
      <c r="V18" s="1651"/>
      <c r="W18" s="1516"/>
    </row>
    <row r="19" spans="1:23" ht="12.75" customHeight="1" x14ac:dyDescent="0.2">
      <c r="A19" s="1448" t="s">
        <v>384</v>
      </c>
      <c r="C19" s="1515">
        <v>71285.460000000006</v>
      </c>
      <c r="D19" s="1515">
        <v>59547</v>
      </c>
      <c r="E19" s="1515">
        <v>67614.399999999994</v>
      </c>
      <c r="F19" s="1515">
        <v>77887.39</v>
      </c>
      <c r="G19" s="1515">
        <v>70943.429999999993</v>
      </c>
      <c r="H19" s="1515">
        <v>61178.35</v>
      </c>
      <c r="I19" s="1515">
        <v>69337.58</v>
      </c>
      <c r="J19" s="1515">
        <v>65833.13</v>
      </c>
      <c r="K19" s="1515">
        <v>77701.070000000007</v>
      </c>
      <c r="L19" s="1515">
        <v>99729.27</v>
      </c>
      <c r="M19" s="1515">
        <v>85370.96</v>
      </c>
      <c r="N19" s="1515">
        <v>85981.22</v>
      </c>
      <c r="O19" s="1452">
        <f>SUM(C19:N19)</f>
        <v>892409.26</v>
      </c>
      <c r="P19" s="1649"/>
      <c r="Q19" s="2182"/>
      <c r="R19" s="2182"/>
      <c r="S19" s="2182"/>
      <c r="T19" s="2182"/>
      <c r="U19" s="2182"/>
      <c r="V19" s="1651"/>
      <c r="W19" s="1516"/>
    </row>
    <row r="20" spans="1:23" ht="12.75" customHeight="1" x14ac:dyDescent="0.2">
      <c r="A20" s="1448" t="s">
        <v>385</v>
      </c>
      <c r="C20" s="1447">
        <f t="shared" ref="C20:O20" si="1">C18+C19</f>
        <v>688611.14999999991</v>
      </c>
      <c r="D20" s="1447">
        <f t="shared" si="1"/>
        <v>596981.02</v>
      </c>
      <c r="E20" s="1447">
        <f t="shared" si="1"/>
        <v>723107.3</v>
      </c>
      <c r="F20" s="1447">
        <f t="shared" si="1"/>
        <v>672384.46</v>
      </c>
      <c r="G20" s="1447">
        <f t="shared" si="1"/>
        <v>682467.08000000007</v>
      </c>
      <c r="H20" s="1447">
        <f t="shared" si="1"/>
        <v>670627.98999999987</v>
      </c>
      <c r="I20" s="1447">
        <f t="shared" si="1"/>
        <v>662207.84</v>
      </c>
      <c r="J20" s="1447">
        <f t="shared" si="1"/>
        <v>688324.02</v>
      </c>
      <c r="K20" s="1447">
        <f t="shared" si="1"/>
        <v>688393.38000000012</v>
      </c>
      <c r="L20" s="1447">
        <f t="shared" si="1"/>
        <v>717699.48</v>
      </c>
      <c r="M20" s="1447">
        <f t="shared" si="1"/>
        <v>741480.49999999988</v>
      </c>
      <c r="N20" s="1447">
        <f t="shared" si="1"/>
        <v>744521.72</v>
      </c>
      <c r="O20" s="1447">
        <f t="shared" si="1"/>
        <v>8276805.9399999995</v>
      </c>
      <c r="P20" s="1649"/>
      <c r="Q20" s="2182"/>
      <c r="R20" s="2182"/>
      <c r="S20" s="2182"/>
      <c r="T20" s="2182"/>
      <c r="U20" s="2182"/>
      <c r="V20" s="1651"/>
      <c r="W20" s="1516"/>
    </row>
    <row r="21" spans="1:23" ht="12.75" customHeight="1" x14ac:dyDescent="0.2">
      <c r="C21" s="1447"/>
      <c r="D21" s="1447"/>
      <c r="E21" s="1447"/>
      <c r="F21" s="1447"/>
      <c r="G21" s="1447"/>
      <c r="H21" s="1447"/>
      <c r="I21" s="1447"/>
      <c r="J21" s="1447"/>
      <c r="K21" s="1447"/>
      <c r="L21" s="1447"/>
      <c r="M21" s="1447"/>
      <c r="N21" s="1447"/>
      <c r="O21" s="1447"/>
      <c r="P21" s="1649"/>
      <c r="Q21" s="918"/>
      <c r="R21" s="1447"/>
      <c r="S21" s="1447"/>
      <c r="T21" s="1447"/>
      <c r="U21" s="1651"/>
      <c r="V21" s="1651"/>
      <c r="W21" s="1516"/>
    </row>
    <row r="22" spans="1:23" ht="12.75" customHeight="1" x14ac:dyDescent="0.2">
      <c r="A22" s="1484" t="s">
        <v>1891</v>
      </c>
      <c r="C22" s="1483">
        <v>609247</v>
      </c>
      <c r="D22" s="1483">
        <v>578799</v>
      </c>
      <c r="E22" s="1483">
        <v>617066</v>
      </c>
      <c r="F22" s="1483">
        <v>559384</v>
      </c>
      <c r="G22" s="1483">
        <v>572175</v>
      </c>
      <c r="H22" s="1483">
        <v>492117</v>
      </c>
      <c r="I22" s="1483">
        <v>503722</v>
      </c>
      <c r="J22" s="1483">
        <v>598377</v>
      </c>
      <c r="K22" s="1483">
        <v>517008</v>
      </c>
      <c r="L22" s="1483">
        <v>565763</v>
      </c>
      <c r="M22" s="1483">
        <v>560166</v>
      </c>
      <c r="N22" s="1483">
        <v>604881</v>
      </c>
      <c r="O22" s="1447">
        <f>SUM(C22:N22)</f>
        <v>6778705</v>
      </c>
      <c r="P22" s="1649"/>
      <c r="Q22" s="918"/>
      <c r="R22" s="1447"/>
      <c r="S22" s="1447"/>
      <c r="T22" s="1447"/>
      <c r="U22" s="1651"/>
      <c r="V22" s="1651"/>
      <c r="W22" s="1516"/>
    </row>
    <row r="23" spans="1:23" ht="12.75" customHeight="1" x14ac:dyDescent="0.2">
      <c r="C23" s="1483"/>
      <c r="D23" s="1483"/>
      <c r="E23" s="1483"/>
      <c r="F23" s="1483"/>
      <c r="G23" s="1483"/>
      <c r="H23" s="1483"/>
      <c r="I23" s="1483"/>
      <c r="J23" s="1483"/>
      <c r="K23" s="1483"/>
      <c r="L23" s="1483"/>
      <c r="M23" s="1483"/>
      <c r="N23" s="1483"/>
      <c r="O23" s="1447" t="s">
        <v>680</v>
      </c>
      <c r="P23" s="1649"/>
      <c r="Q23" s="918"/>
      <c r="R23" s="1447"/>
      <c r="S23" s="1447"/>
      <c r="T23" s="1447"/>
      <c r="U23" s="1651"/>
      <c r="V23" s="1651"/>
      <c r="W23" s="1516"/>
    </row>
    <row r="24" spans="1:23" ht="12.75" customHeight="1" x14ac:dyDescent="0.2">
      <c r="A24" s="1484" t="s">
        <v>317</v>
      </c>
      <c r="C24" s="1483"/>
      <c r="D24" s="1483"/>
      <c r="E24" s="1483"/>
      <c r="F24" s="1483"/>
      <c r="G24" s="1483"/>
      <c r="H24" s="1483"/>
      <c r="I24" s="1483"/>
      <c r="J24" s="1483"/>
      <c r="K24" s="1483"/>
      <c r="L24" s="1483"/>
      <c r="M24" s="1483"/>
      <c r="N24" s="1483"/>
      <c r="O24" s="1447"/>
      <c r="P24" s="1649"/>
      <c r="Q24" s="918"/>
      <c r="R24" s="1447"/>
      <c r="S24" s="1447"/>
      <c r="T24" s="1447"/>
      <c r="U24" s="1651"/>
      <c r="V24" s="1651"/>
      <c r="W24" s="1516"/>
    </row>
    <row r="25" spans="1:23" ht="12.75" customHeight="1" x14ac:dyDescent="0.2">
      <c r="A25" s="1448" t="s">
        <v>320</v>
      </c>
      <c r="C25" s="1483">
        <v>153599</v>
      </c>
      <c r="D25" s="1483">
        <v>223439</v>
      </c>
      <c r="E25" s="1483">
        <v>215063</v>
      </c>
      <c r="F25" s="1483">
        <v>208937</v>
      </c>
      <c r="G25" s="1483">
        <v>208695</v>
      </c>
      <c r="H25" s="1483">
        <v>225757</v>
      </c>
      <c r="I25" s="1483">
        <v>244208</v>
      </c>
      <c r="J25" s="1483">
        <v>199612</v>
      </c>
      <c r="K25" s="1483">
        <v>241031</v>
      </c>
      <c r="L25" s="1483">
        <v>250709</v>
      </c>
      <c r="M25" s="1483">
        <v>38352</v>
      </c>
      <c r="N25" s="1483">
        <v>273189</v>
      </c>
      <c r="O25" s="1447">
        <f>SUM(C25:N25)</f>
        <v>2482591</v>
      </c>
      <c r="P25" s="1649"/>
      <c r="Q25" s="918"/>
      <c r="R25" s="1447"/>
      <c r="S25" s="1447"/>
      <c r="T25" s="1447"/>
      <c r="U25" s="1651"/>
      <c r="V25" s="1651"/>
      <c r="W25" s="1516"/>
    </row>
    <row r="26" spans="1:23" ht="12.75" customHeight="1" x14ac:dyDescent="0.2">
      <c r="A26" s="1448" t="s">
        <v>1889</v>
      </c>
      <c r="C26" s="1483">
        <v>92095</v>
      </c>
      <c r="D26" s="1483">
        <v>178135</v>
      </c>
      <c r="E26" s="1483">
        <v>142203</v>
      </c>
      <c r="F26" s="1483">
        <v>157734</v>
      </c>
      <c r="G26" s="1483">
        <v>158591</v>
      </c>
      <c r="H26" s="1483">
        <v>173914</v>
      </c>
      <c r="I26" s="1483">
        <v>202413</v>
      </c>
      <c r="J26" s="1483">
        <v>143088</v>
      </c>
      <c r="K26" s="1483">
        <v>181597</v>
      </c>
      <c r="L26" s="1483">
        <v>182752</v>
      </c>
      <c r="M26" s="1483">
        <v>-18906</v>
      </c>
      <c r="N26" s="1483">
        <v>223719</v>
      </c>
      <c r="O26" s="1447">
        <f>SUM(C26:N26)</f>
        <v>1817335</v>
      </c>
      <c r="P26" s="1649"/>
      <c r="Q26" s="918"/>
      <c r="R26" s="1447"/>
      <c r="S26" s="1447"/>
      <c r="T26" s="1447"/>
      <c r="U26" s="1651"/>
      <c r="V26" s="1651"/>
      <c r="W26" s="1516"/>
    </row>
    <row r="27" spans="1:23" ht="12.75" customHeight="1" x14ac:dyDescent="0.2">
      <c r="C27" s="1483"/>
      <c r="D27" s="1483"/>
      <c r="E27" s="1483"/>
      <c r="F27" s="1483"/>
      <c r="G27" s="1483"/>
      <c r="H27" s="1483"/>
      <c r="I27" s="1483"/>
      <c r="J27" s="1483"/>
      <c r="K27" s="1483"/>
      <c r="L27" s="1483"/>
      <c r="M27" s="1483"/>
      <c r="N27" s="1483"/>
      <c r="O27" s="1447"/>
      <c r="P27" s="1649"/>
      <c r="Q27" s="918"/>
      <c r="R27" s="1447"/>
      <c r="S27" s="1447"/>
      <c r="T27" s="1447"/>
      <c r="U27" s="1651"/>
      <c r="V27" s="1651"/>
      <c r="W27" s="1516"/>
    </row>
    <row r="28" spans="1:23" ht="12.75" customHeight="1" x14ac:dyDescent="0.2">
      <c r="A28" s="1484" t="s">
        <v>321</v>
      </c>
      <c r="C28" s="1483"/>
      <c r="D28" s="1483"/>
      <c r="E28" s="1483"/>
      <c r="F28" s="1483"/>
      <c r="G28" s="1483"/>
      <c r="H28" s="1483"/>
      <c r="I28" s="1483"/>
      <c r="J28" s="1483"/>
      <c r="K28" s="1483"/>
      <c r="L28" s="1483"/>
      <c r="M28" s="1483"/>
      <c r="N28" s="1483"/>
      <c r="O28" s="1447"/>
      <c r="P28" s="1649"/>
      <c r="Q28" s="918"/>
      <c r="R28" s="1447"/>
      <c r="S28" s="1447"/>
      <c r="T28" s="1447"/>
      <c r="U28" s="1651"/>
      <c r="V28" s="1651"/>
      <c r="W28" s="1516"/>
    </row>
    <row r="29" spans="1:23" ht="12.75" customHeight="1" x14ac:dyDescent="0.2">
      <c r="A29" s="1448" t="s">
        <v>325</v>
      </c>
      <c r="C29" s="1483">
        <v>58166</v>
      </c>
      <c r="D29" s="1483">
        <v>108297</v>
      </c>
      <c r="E29" s="1483">
        <v>53328</v>
      </c>
      <c r="F29" s="1483">
        <v>45668</v>
      </c>
      <c r="G29" s="1483">
        <v>44608</v>
      </c>
      <c r="H29" s="1483">
        <v>44687</v>
      </c>
      <c r="I29" s="1483">
        <v>63732</v>
      </c>
      <c r="J29" s="1483">
        <v>45689</v>
      </c>
      <c r="K29" s="1483">
        <v>43549</v>
      </c>
      <c r="L29" s="1483">
        <v>47690</v>
      </c>
      <c r="M29" s="1483">
        <v>49703</v>
      </c>
      <c r="N29" s="1483">
        <v>73830</v>
      </c>
      <c r="O29" s="1447">
        <f>SUM(C29:N29)</f>
        <v>678947</v>
      </c>
      <c r="P29" s="1649"/>
      <c r="Q29" s="1517"/>
      <c r="R29" s="1447"/>
      <c r="S29" s="1447"/>
      <c r="T29" s="1447"/>
      <c r="U29" s="1651"/>
      <c r="V29" s="1651"/>
      <c r="W29" s="1516"/>
    </row>
    <row r="30" spans="1:23" ht="12.75" customHeight="1" x14ac:dyDescent="0.2">
      <c r="A30" s="1448" t="s">
        <v>1890</v>
      </c>
      <c r="C30" s="1483">
        <v>48572</v>
      </c>
      <c r="D30" s="1483">
        <v>44463</v>
      </c>
      <c r="E30" s="1483">
        <v>40372</v>
      </c>
      <c r="F30" s="1483">
        <v>34600</v>
      </c>
      <c r="G30" s="1483">
        <v>34487</v>
      </c>
      <c r="H30" s="1483">
        <v>33681</v>
      </c>
      <c r="I30" s="1483">
        <v>55431</v>
      </c>
      <c r="J30" s="1483">
        <v>33978</v>
      </c>
      <c r="K30" s="1483">
        <v>30319</v>
      </c>
      <c r="L30" s="1483">
        <v>31275</v>
      </c>
      <c r="M30" s="1483">
        <v>38893</v>
      </c>
      <c r="N30" s="1483">
        <v>67991</v>
      </c>
      <c r="O30" s="1447">
        <f>SUM(C30:N30)</f>
        <v>494062</v>
      </c>
      <c r="P30" s="1649"/>
      <c r="Q30" s="918"/>
      <c r="R30" s="1447"/>
      <c r="S30" s="1447"/>
      <c r="T30" s="1447"/>
      <c r="U30" s="1651"/>
      <c r="V30" s="1651"/>
      <c r="W30" s="1516"/>
    </row>
    <row r="31" spans="1:23" ht="12.75" customHeight="1" x14ac:dyDescent="0.2">
      <c r="C31" s="1447"/>
      <c r="D31" s="1447"/>
      <c r="E31" s="1447"/>
      <c r="F31" s="1447"/>
      <c r="G31" s="1447"/>
      <c r="H31" s="1447"/>
      <c r="I31" s="1447"/>
      <c r="J31" s="1447"/>
      <c r="K31" s="1447"/>
      <c r="L31" s="1447"/>
      <c r="M31" s="1447"/>
      <c r="N31" s="1447"/>
      <c r="O31" s="1447"/>
      <c r="P31" s="1649"/>
      <c r="Q31" s="918"/>
      <c r="R31" s="1447"/>
      <c r="S31" s="1447"/>
      <c r="T31" s="1447"/>
      <c r="U31" s="1651"/>
      <c r="V31" s="1651"/>
      <c r="W31" s="1516"/>
    </row>
    <row r="32" spans="1:23" ht="12.75" customHeight="1" x14ac:dyDescent="0.2">
      <c r="A32" s="1484" t="s">
        <v>1962</v>
      </c>
      <c r="C32" s="1447"/>
      <c r="D32" s="1447"/>
      <c r="E32" s="1447"/>
      <c r="F32" s="1447"/>
      <c r="G32" s="1447"/>
      <c r="H32" s="1447"/>
      <c r="I32" s="1447"/>
      <c r="J32" s="1447"/>
      <c r="K32" s="1447"/>
      <c r="L32" s="1447"/>
      <c r="M32" s="1447"/>
      <c r="N32" s="1447"/>
      <c r="O32" s="1447"/>
      <c r="P32" s="1649"/>
      <c r="Q32" s="918"/>
      <c r="R32" s="1447"/>
      <c r="S32" s="1447"/>
      <c r="T32" s="1447"/>
      <c r="U32" s="1651"/>
      <c r="V32" s="1651"/>
      <c r="W32" s="1516"/>
    </row>
    <row r="33" spans="1:23" ht="12.75" customHeight="1" x14ac:dyDescent="0.2">
      <c r="A33" s="1448" t="s">
        <v>386</v>
      </c>
      <c r="C33" s="1514">
        <v>120</v>
      </c>
      <c r="D33" s="1514">
        <v>118</v>
      </c>
      <c r="E33" s="1514">
        <v>118</v>
      </c>
      <c r="F33" s="1514">
        <v>117</v>
      </c>
      <c r="G33" s="1514">
        <v>117</v>
      </c>
      <c r="H33" s="1514">
        <v>114</v>
      </c>
      <c r="I33" s="1514">
        <v>114</v>
      </c>
      <c r="J33" s="1514">
        <v>114</v>
      </c>
      <c r="K33" s="1514">
        <v>114</v>
      </c>
      <c r="L33" s="1514">
        <v>122</v>
      </c>
      <c r="M33" s="1514">
        <v>122</v>
      </c>
      <c r="N33" s="1514">
        <v>122</v>
      </c>
      <c r="O33" s="1447">
        <f>SUM(C33:N33)/12</f>
        <v>117.66666666666667</v>
      </c>
      <c r="P33" s="1649"/>
      <c r="Q33" s="918"/>
      <c r="R33" s="1447"/>
      <c r="S33" s="1447"/>
      <c r="T33" s="1447"/>
      <c r="U33" s="1651"/>
      <c r="V33" s="1651"/>
      <c r="W33" s="1516"/>
    </row>
    <row r="34" spans="1:23" ht="12.75" customHeight="1" x14ac:dyDescent="0.2">
      <c r="C34" s="1447"/>
      <c r="D34" s="1447"/>
      <c r="E34" s="1447"/>
      <c r="F34" s="1447"/>
      <c r="G34" s="1447"/>
      <c r="H34" s="1447"/>
      <c r="I34" s="1447"/>
      <c r="J34" s="1447"/>
      <c r="K34" s="1447"/>
      <c r="L34" s="1447"/>
      <c r="M34" s="1447"/>
      <c r="N34" s="1447"/>
      <c r="O34" s="1447"/>
      <c r="P34" s="1649"/>
      <c r="Q34" s="918"/>
      <c r="R34" s="1447"/>
      <c r="S34" s="1447"/>
      <c r="T34" s="1447"/>
      <c r="U34" s="1651"/>
      <c r="V34" s="1651"/>
      <c r="W34" s="1516"/>
    </row>
    <row r="35" spans="1:23" ht="12.75" customHeight="1" x14ac:dyDescent="0.2">
      <c r="C35" s="1447"/>
      <c r="D35" s="1447"/>
      <c r="E35" s="1447"/>
      <c r="F35" s="1447"/>
      <c r="G35" s="1447"/>
      <c r="H35" s="1447"/>
      <c r="I35" s="1447"/>
      <c r="J35" s="1447"/>
      <c r="K35" s="1447"/>
      <c r="L35" s="1447"/>
      <c r="M35" s="1447"/>
      <c r="N35" s="1447"/>
      <c r="O35" s="1447"/>
      <c r="P35" s="1649"/>
      <c r="Q35" s="918"/>
      <c r="R35" s="1447"/>
      <c r="S35" s="1447"/>
      <c r="T35" s="1447"/>
      <c r="U35" s="1651"/>
      <c r="V35" s="1651"/>
      <c r="W35" s="1516"/>
    </row>
    <row r="36" spans="1:23" ht="12.75" customHeight="1" x14ac:dyDescent="0.2">
      <c r="A36" s="1451"/>
      <c r="B36" s="1451"/>
      <c r="C36" s="1902" t="s">
        <v>1877</v>
      </c>
      <c r="D36" s="1902" t="s">
        <v>368</v>
      </c>
      <c r="E36" s="1902" t="s">
        <v>369</v>
      </c>
      <c r="F36" s="1902" t="s">
        <v>370</v>
      </c>
      <c r="G36" s="1902" t="s">
        <v>371</v>
      </c>
      <c r="H36" s="1902" t="s">
        <v>372</v>
      </c>
      <c r="I36" s="1902" t="s">
        <v>373</v>
      </c>
      <c r="J36" s="1902" t="s">
        <v>374</v>
      </c>
      <c r="K36" s="1902" t="s">
        <v>375</v>
      </c>
      <c r="L36" s="1902" t="s">
        <v>376</v>
      </c>
      <c r="M36" s="1902" t="s">
        <v>377</v>
      </c>
      <c r="N36" s="1902" t="s">
        <v>378</v>
      </c>
      <c r="O36" s="1902" t="s">
        <v>1194</v>
      </c>
      <c r="P36" s="1649"/>
      <c r="Q36" s="918"/>
      <c r="R36" s="1447"/>
      <c r="S36" s="1447"/>
      <c r="T36" s="1447"/>
      <c r="U36" s="1651"/>
      <c r="V36" s="1651"/>
      <c r="W36" s="1516"/>
    </row>
    <row r="37" spans="1:23" ht="12.75" customHeight="1" x14ac:dyDescent="0.2">
      <c r="A37" s="1484" t="s">
        <v>379</v>
      </c>
      <c r="C37" s="1902">
        <v>2012</v>
      </c>
      <c r="D37" s="1902">
        <v>2012</v>
      </c>
      <c r="E37" s="1902">
        <v>2012</v>
      </c>
      <c r="F37" s="1902">
        <v>2012</v>
      </c>
      <c r="G37" s="1902">
        <v>2012</v>
      </c>
      <c r="H37" s="1902">
        <v>2012</v>
      </c>
      <c r="I37" s="1902">
        <v>2012</v>
      </c>
      <c r="J37" s="1902">
        <v>2012</v>
      </c>
      <c r="K37" s="1902">
        <v>2012</v>
      </c>
      <c r="L37" s="1902">
        <v>2012</v>
      </c>
      <c r="M37" s="1902">
        <v>2012</v>
      </c>
      <c r="N37" s="1902">
        <v>2012</v>
      </c>
      <c r="O37" s="1902">
        <v>2012</v>
      </c>
      <c r="P37" s="1649"/>
      <c r="Q37" s="918"/>
      <c r="R37" s="1447"/>
      <c r="S37" s="1447"/>
      <c r="T37" s="1447"/>
      <c r="U37" s="1651"/>
      <c r="V37" s="1651"/>
      <c r="W37" s="1516"/>
    </row>
    <row r="38" spans="1:23" ht="12.75" customHeight="1" x14ac:dyDescent="0.2">
      <c r="D38" s="1449"/>
      <c r="F38" s="1449"/>
      <c r="H38" s="1449"/>
      <c r="J38" s="1449"/>
      <c r="L38" s="1449"/>
      <c r="N38" s="1449"/>
      <c r="P38" s="1649"/>
      <c r="Q38" s="918"/>
      <c r="R38" s="1447"/>
      <c r="S38" s="1447"/>
      <c r="T38" s="1447"/>
      <c r="U38" s="1651"/>
      <c r="V38" s="1651"/>
      <c r="W38" s="1516"/>
    </row>
    <row r="39" spans="1:23" ht="12.75" customHeight="1" x14ac:dyDescent="0.2">
      <c r="A39" s="1484" t="s">
        <v>1897</v>
      </c>
      <c r="C39" s="1450"/>
      <c r="D39" s="1446"/>
      <c r="E39" s="1450"/>
      <c r="F39" s="1446"/>
      <c r="G39" s="1450"/>
      <c r="H39" s="1446"/>
      <c r="I39" s="1450"/>
      <c r="J39" s="1446"/>
      <c r="K39" s="1450"/>
      <c r="L39" s="1446"/>
      <c r="M39" s="1450"/>
      <c r="N39" s="1446"/>
      <c r="O39" s="1450"/>
      <c r="P39" s="1649"/>
      <c r="Q39" s="918"/>
      <c r="R39" s="1447"/>
      <c r="S39" s="1447"/>
      <c r="T39" s="1447"/>
      <c r="U39" s="1651"/>
      <c r="V39" s="1651"/>
      <c r="W39" s="1516"/>
    </row>
    <row r="40" spans="1:23" ht="12.75" customHeight="1" x14ac:dyDescent="0.2">
      <c r="A40" s="1448" t="s">
        <v>380</v>
      </c>
      <c r="C40" s="1514">
        <v>21453.75</v>
      </c>
      <c r="D40" s="1514">
        <v>20480</v>
      </c>
      <c r="E40" s="1514">
        <f>21336.25</f>
        <v>21336.25</v>
      </c>
      <c r="F40" s="1514">
        <v>19777.75</v>
      </c>
      <c r="G40" s="1514">
        <v>21015.25</v>
      </c>
      <c r="H40" s="1514">
        <v>19480</v>
      </c>
      <c r="I40" s="1514">
        <v>20424</v>
      </c>
      <c r="J40" s="1514">
        <v>20463.5</v>
      </c>
      <c r="K40" s="1514">
        <v>19200</v>
      </c>
      <c r="L40" s="1514">
        <v>22918</v>
      </c>
      <c r="M40" s="1514">
        <v>21528.5</v>
      </c>
      <c r="N40" s="1514">
        <f>20224</f>
        <v>20224</v>
      </c>
      <c r="O40" s="1447">
        <f>SUM(C40:N40)</f>
        <v>248301</v>
      </c>
      <c r="P40" s="1649"/>
      <c r="Q40" s="918"/>
      <c r="R40" s="1447"/>
      <c r="S40" s="1447"/>
      <c r="T40" s="1447"/>
      <c r="U40" s="1651"/>
      <c r="V40" s="1651"/>
      <c r="W40" s="1516"/>
    </row>
    <row r="41" spans="1:23" ht="12.75" customHeight="1" x14ac:dyDescent="0.2">
      <c r="A41" s="1448" t="s">
        <v>381</v>
      </c>
      <c r="C41" s="1515">
        <v>2012.75</v>
      </c>
      <c r="D41" s="1515">
        <v>1963</v>
      </c>
      <c r="E41" s="1515">
        <v>2138.5</v>
      </c>
      <c r="F41" s="1515">
        <v>1654.75</v>
      </c>
      <c r="G41" s="1515">
        <v>1619</v>
      </c>
      <c r="H41" s="1515">
        <v>1823</v>
      </c>
      <c r="I41" s="1515">
        <v>2057.25</v>
      </c>
      <c r="J41" s="1515">
        <v>1898.75</v>
      </c>
      <c r="K41" s="1515">
        <v>2161.75</v>
      </c>
      <c r="L41" s="1515">
        <v>2574.5</v>
      </c>
      <c r="M41" s="1515">
        <v>3128.5</v>
      </c>
      <c r="N41" s="1515">
        <v>2544</v>
      </c>
      <c r="O41" s="1452">
        <f>SUM(C41:N41)</f>
        <v>25575.75</v>
      </c>
      <c r="P41" s="1649"/>
      <c r="Q41" s="918"/>
      <c r="R41" s="1447"/>
      <c r="S41" s="1447"/>
      <c r="T41" s="1447"/>
      <c r="U41" s="1651"/>
      <c r="V41" s="1651"/>
      <c r="W41" s="1516"/>
    </row>
    <row r="42" spans="1:23" ht="12.75" customHeight="1" x14ac:dyDescent="0.2">
      <c r="A42" s="1448" t="s">
        <v>1896</v>
      </c>
      <c r="C42" s="1447">
        <f t="shared" ref="C42:O42" si="2">C40+C41</f>
        <v>23466.5</v>
      </c>
      <c r="D42" s="1447">
        <f t="shared" si="2"/>
        <v>22443</v>
      </c>
      <c r="E42" s="1447">
        <f t="shared" si="2"/>
        <v>23474.75</v>
      </c>
      <c r="F42" s="1447">
        <f t="shared" si="2"/>
        <v>21432.5</v>
      </c>
      <c r="G42" s="1447">
        <f t="shared" si="2"/>
        <v>22634.25</v>
      </c>
      <c r="H42" s="1447">
        <f t="shared" si="2"/>
        <v>21303</v>
      </c>
      <c r="I42" s="1447">
        <f t="shared" si="2"/>
        <v>22481.25</v>
      </c>
      <c r="J42" s="1447">
        <f t="shared" si="2"/>
        <v>22362.25</v>
      </c>
      <c r="K42" s="1447">
        <f t="shared" si="2"/>
        <v>21361.75</v>
      </c>
      <c r="L42" s="1447">
        <f t="shared" si="2"/>
        <v>25492.5</v>
      </c>
      <c r="M42" s="1447">
        <f t="shared" si="2"/>
        <v>24657</v>
      </c>
      <c r="N42" s="1447">
        <f t="shared" si="2"/>
        <v>22768</v>
      </c>
      <c r="O42" s="1447">
        <f t="shared" si="2"/>
        <v>273876.75</v>
      </c>
      <c r="P42" s="1649"/>
      <c r="Q42" s="918"/>
      <c r="R42" s="1447"/>
      <c r="S42" s="1447"/>
      <c r="T42" s="1447"/>
      <c r="U42" s="1651"/>
      <c r="V42" s="1651"/>
      <c r="W42" s="1516"/>
    </row>
    <row r="43" spans="1:23" ht="12.75" customHeight="1" x14ac:dyDescent="0.2">
      <c r="C43" s="1447"/>
      <c r="D43" s="1447"/>
      <c r="E43" s="1447"/>
      <c r="F43" s="1447"/>
      <c r="G43" s="1447"/>
      <c r="H43" s="1447"/>
      <c r="I43" s="1447"/>
      <c r="J43" s="1447"/>
      <c r="K43" s="1447"/>
      <c r="L43" s="1447"/>
      <c r="M43" s="1447"/>
      <c r="N43" s="1447"/>
      <c r="O43" s="1447"/>
      <c r="P43" s="1649"/>
      <c r="Q43" s="918"/>
      <c r="R43" s="1447"/>
      <c r="S43" s="1447"/>
      <c r="T43" s="1447"/>
      <c r="U43" s="1651"/>
      <c r="V43" s="1651"/>
      <c r="W43" s="1516"/>
    </row>
    <row r="44" spans="1:23" ht="12.75" customHeight="1" x14ac:dyDescent="0.2">
      <c r="A44" s="1484" t="s">
        <v>382</v>
      </c>
      <c r="C44" s="1447"/>
      <c r="D44" s="1447"/>
      <c r="E44" s="1447"/>
      <c r="F44" s="1447"/>
      <c r="G44" s="1447"/>
      <c r="H44" s="1447"/>
      <c r="I44" s="1447"/>
      <c r="J44" s="1447"/>
      <c r="K44" s="1447"/>
      <c r="L44" s="1447"/>
      <c r="M44" s="1447"/>
      <c r="N44" s="1447"/>
      <c r="O44" s="1447"/>
      <c r="P44" s="1649"/>
      <c r="Q44" s="918"/>
      <c r="R44" s="1447"/>
      <c r="S44" s="1447"/>
      <c r="T44" s="1447"/>
      <c r="U44" s="1651"/>
      <c r="V44" s="1651"/>
      <c r="W44" s="1516"/>
    </row>
    <row r="45" spans="1:23" ht="12.75" customHeight="1" x14ac:dyDescent="0.2">
      <c r="A45" s="1448" t="s">
        <v>383</v>
      </c>
      <c r="C45" s="1514">
        <f>656294.09+2474.94</f>
        <v>658769.02999999991</v>
      </c>
      <c r="D45" s="1514">
        <f>632234.08+41358.42</f>
        <v>673592.5</v>
      </c>
      <c r="E45" s="1514">
        <f>653842.1+5542.65</f>
        <v>659384.75</v>
      </c>
      <c r="F45" s="1514">
        <f>606959.28+5486.83</f>
        <v>612446.11</v>
      </c>
      <c r="G45" s="1514">
        <f>631210.99+26340.11</f>
        <v>657551.1</v>
      </c>
      <c r="H45" s="1514">
        <f>598301.09+23650.69</f>
        <v>621951.77999999991</v>
      </c>
      <c r="I45" s="1514">
        <f>628830.1+5837.46</f>
        <v>634667.55999999994</v>
      </c>
      <c r="J45" s="1514">
        <f>632530.48+3611.68</f>
        <v>636142.16</v>
      </c>
      <c r="K45" s="1514">
        <f>601277.31+6959.22</f>
        <v>608236.53</v>
      </c>
      <c r="L45" s="1514">
        <f>686343.02+6980.13</f>
        <v>693323.15</v>
      </c>
      <c r="M45" s="1514">
        <f>663166.81+11771.78</f>
        <v>674938.59000000008</v>
      </c>
      <c r="N45" s="1514">
        <f>638774.45+10557.15</f>
        <v>649331.6</v>
      </c>
      <c r="O45" s="1447">
        <f>SUM(C45:N45)</f>
        <v>7780334.8599999994</v>
      </c>
      <c r="P45" s="1649"/>
      <c r="Q45" s="918"/>
      <c r="R45" s="1447"/>
      <c r="S45" s="1447"/>
      <c r="T45" s="1447"/>
      <c r="U45" s="1651"/>
      <c r="V45" s="1651"/>
      <c r="W45" s="1516"/>
    </row>
    <row r="46" spans="1:23" ht="12.75" customHeight="1" x14ac:dyDescent="0.2">
      <c r="A46" s="1448" t="s">
        <v>384</v>
      </c>
      <c r="C46" s="1515">
        <v>76880.800000000003</v>
      </c>
      <c r="D46" s="1515">
        <v>75548.960000000006</v>
      </c>
      <c r="E46" s="1515">
        <v>82384.639999999999</v>
      </c>
      <c r="F46" s="1515">
        <v>68237.88</v>
      </c>
      <c r="G46" s="1515">
        <v>65456.41</v>
      </c>
      <c r="H46" s="1515">
        <v>74451.03</v>
      </c>
      <c r="I46" s="1515">
        <v>86717.86</v>
      </c>
      <c r="J46" s="1515">
        <v>78495.44</v>
      </c>
      <c r="K46" s="1515">
        <v>89901.38</v>
      </c>
      <c r="L46" s="1515">
        <v>103308.29</v>
      </c>
      <c r="M46" s="1515">
        <v>129104.32000000001</v>
      </c>
      <c r="N46" s="1515">
        <v>109447.03</v>
      </c>
      <c r="O46" s="1452">
        <f>SUM(C46:N46)</f>
        <v>1039934.04</v>
      </c>
      <c r="P46" s="1649"/>
      <c r="Q46" s="918"/>
      <c r="R46" s="1447"/>
      <c r="S46" s="1447"/>
      <c r="T46" s="1447"/>
      <c r="U46" s="1651"/>
      <c r="V46" s="1651"/>
      <c r="W46" s="1516"/>
    </row>
    <row r="47" spans="1:23" ht="12.75" customHeight="1" x14ac:dyDescent="0.2">
      <c r="A47" s="1448" t="s">
        <v>385</v>
      </c>
      <c r="C47" s="1447">
        <f t="shared" ref="C47:O47" si="3">C45+C46</f>
        <v>735649.83</v>
      </c>
      <c r="D47" s="1447">
        <f t="shared" si="3"/>
        <v>749141.46</v>
      </c>
      <c r="E47" s="1447">
        <f t="shared" si="3"/>
        <v>741769.39</v>
      </c>
      <c r="F47" s="1447">
        <f t="shared" si="3"/>
        <v>680683.99</v>
      </c>
      <c r="G47" s="1447">
        <f t="shared" si="3"/>
        <v>723007.51</v>
      </c>
      <c r="H47" s="1447">
        <f t="shared" si="3"/>
        <v>696402.80999999994</v>
      </c>
      <c r="I47" s="1447">
        <f t="shared" si="3"/>
        <v>721385.41999999993</v>
      </c>
      <c r="J47" s="1447">
        <f t="shared" si="3"/>
        <v>714637.60000000009</v>
      </c>
      <c r="K47" s="1447">
        <f t="shared" si="3"/>
        <v>698137.91</v>
      </c>
      <c r="L47" s="1447">
        <f t="shared" si="3"/>
        <v>796631.44000000006</v>
      </c>
      <c r="M47" s="1447">
        <f t="shared" si="3"/>
        <v>804042.91000000015</v>
      </c>
      <c r="N47" s="1447">
        <f t="shared" si="3"/>
        <v>758778.63</v>
      </c>
      <c r="O47" s="1447">
        <f t="shared" si="3"/>
        <v>8820268.8999999985</v>
      </c>
      <c r="P47" s="1648"/>
      <c r="Q47" s="917"/>
      <c r="R47" s="1450"/>
      <c r="S47" s="1450"/>
      <c r="T47" s="1450"/>
    </row>
    <row r="48" spans="1:23" ht="12.75" customHeight="1" x14ac:dyDescent="0.2">
      <c r="C48" s="1447"/>
      <c r="D48" s="1447"/>
      <c r="E48" s="1447"/>
      <c r="F48" s="1447"/>
      <c r="G48" s="1447"/>
      <c r="H48" s="1447"/>
      <c r="I48" s="1447"/>
      <c r="J48" s="1447"/>
      <c r="K48" s="1447"/>
      <c r="L48" s="1447"/>
      <c r="M48" s="1447"/>
      <c r="N48" s="1447"/>
      <c r="O48" s="1447"/>
      <c r="P48" s="1648"/>
      <c r="Q48" s="917"/>
      <c r="R48" s="1450"/>
      <c r="S48" s="1450"/>
      <c r="T48" s="1450"/>
    </row>
    <row r="49" spans="1:20" ht="12.75" customHeight="1" x14ac:dyDescent="0.2">
      <c r="A49" s="1484" t="s">
        <v>1891</v>
      </c>
      <c r="C49" s="1483">
        <v>628208</v>
      </c>
      <c r="D49" s="1483">
        <v>620084</v>
      </c>
      <c r="E49" s="1483">
        <v>636039</v>
      </c>
      <c r="F49" s="1483">
        <v>604012</v>
      </c>
      <c r="G49" s="1483">
        <v>595019</v>
      </c>
      <c r="H49" s="1483">
        <v>562798</v>
      </c>
      <c r="I49" s="1483">
        <v>565711</v>
      </c>
      <c r="J49" s="1483">
        <v>617690</v>
      </c>
      <c r="K49" s="1483">
        <v>586389</v>
      </c>
      <c r="L49" s="1483">
        <v>657770</v>
      </c>
      <c r="M49" s="1483">
        <v>680599</v>
      </c>
      <c r="N49" s="1483">
        <v>587904</v>
      </c>
      <c r="O49" s="1447">
        <f>SUM(C49:N49)</f>
        <v>7342223</v>
      </c>
      <c r="P49" s="1648"/>
      <c r="Q49" s="917"/>
      <c r="R49" s="1450"/>
      <c r="S49" s="1450"/>
      <c r="T49" s="1450"/>
    </row>
    <row r="50" spans="1:20" ht="12.75" customHeight="1" x14ac:dyDescent="0.2">
      <c r="C50" s="1812"/>
      <c r="D50" s="1812"/>
      <c r="E50" s="1812"/>
      <c r="F50" s="1812"/>
      <c r="G50" s="1812"/>
      <c r="H50" s="1812"/>
      <c r="I50" s="1812"/>
      <c r="J50" s="1812"/>
      <c r="K50" s="1812"/>
      <c r="L50" s="1812"/>
      <c r="M50" s="1812"/>
      <c r="N50" s="1812"/>
      <c r="O50" s="1447" t="s">
        <v>680</v>
      </c>
      <c r="P50" s="1648"/>
      <c r="Q50" s="917"/>
      <c r="R50" s="1450"/>
      <c r="S50" s="1450"/>
      <c r="T50" s="1450"/>
    </row>
    <row r="51" spans="1:20" ht="12.75" customHeight="1" x14ac:dyDescent="0.2">
      <c r="A51" s="1484" t="s">
        <v>317</v>
      </c>
      <c r="C51" s="1483"/>
      <c r="D51" s="1483"/>
      <c r="E51" s="1483"/>
      <c r="F51" s="1483"/>
      <c r="G51" s="1483"/>
      <c r="H51" s="1483"/>
      <c r="I51" s="1483"/>
      <c r="J51" s="1483"/>
      <c r="K51" s="1483"/>
      <c r="L51" s="1483"/>
      <c r="M51" s="1483"/>
      <c r="N51" s="1483"/>
      <c r="O51" s="1447"/>
      <c r="P51" s="1648"/>
      <c r="Q51" s="917"/>
      <c r="R51" s="1450"/>
      <c r="S51" s="1450"/>
      <c r="T51" s="1450"/>
    </row>
    <row r="52" spans="1:20" ht="12.75" customHeight="1" x14ac:dyDescent="0.2">
      <c r="A52" s="1448" t="s">
        <v>320</v>
      </c>
      <c r="C52" s="1483">
        <v>243051</v>
      </c>
      <c r="D52" s="1483">
        <v>242132</v>
      </c>
      <c r="E52" s="1483">
        <v>237837</v>
      </c>
      <c r="F52" s="1483">
        <v>258396</v>
      </c>
      <c r="G52" s="1483">
        <v>243559</v>
      </c>
      <c r="H52" s="1483">
        <v>201084</v>
      </c>
      <c r="I52" s="1483">
        <v>256501</v>
      </c>
      <c r="J52" s="1483">
        <v>259896</v>
      </c>
      <c r="K52" s="1483">
        <v>247432</v>
      </c>
      <c r="L52" s="1483">
        <v>236225</v>
      </c>
      <c r="M52" s="1483">
        <v>448842</v>
      </c>
      <c r="N52" s="1483">
        <v>252650</v>
      </c>
      <c r="O52" s="1447">
        <f>SUM(C52:N52)</f>
        <v>3127605</v>
      </c>
      <c r="P52" s="1648"/>
      <c r="Q52" s="917"/>
      <c r="R52" s="1450"/>
      <c r="S52" s="1450"/>
      <c r="T52" s="1450"/>
    </row>
    <row r="53" spans="1:20" ht="12.75" customHeight="1" x14ac:dyDescent="0.2">
      <c r="A53" s="1448" t="s">
        <v>1889</v>
      </c>
      <c r="C53" s="1483">
        <v>192529</v>
      </c>
      <c r="D53" s="1483">
        <v>193400</v>
      </c>
      <c r="E53" s="1483">
        <v>190536</v>
      </c>
      <c r="F53" s="1483">
        <v>214041</v>
      </c>
      <c r="G53" s="1483">
        <v>188007</v>
      </c>
      <c r="H53" s="1483">
        <v>156298</v>
      </c>
      <c r="I53" s="1483">
        <v>201634</v>
      </c>
      <c r="J53" s="1483">
        <v>201747</v>
      </c>
      <c r="K53" s="1483">
        <v>193176</v>
      </c>
      <c r="L53" s="1483">
        <v>162532</v>
      </c>
      <c r="M53" s="1483">
        <v>396001</v>
      </c>
      <c r="N53" s="1483">
        <v>191211</v>
      </c>
      <c r="O53" s="1447">
        <f>SUM(C53:N53)</f>
        <v>2481112</v>
      </c>
      <c r="P53" s="1648"/>
      <c r="Q53" s="917"/>
      <c r="R53" s="1450"/>
      <c r="S53" s="1450"/>
      <c r="T53" s="1450"/>
    </row>
    <row r="54" spans="1:20" ht="12.75" customHeight="1" x14ac:dyDescent="0.2">
      <c r="C54" s="1483"/>
      <c r="D54" s="1483"/>
      <c r="E54" s="1483"/>
      <c r="F54" s="1483"/>
      <c r="G54" s="1483"/>
      <c r="H54" s="1483"/>
      <c r="I54" s="1483"/>
      <c r="J54" s="1483"/>
      <c r="K54" s="1483"/>
      <c r="L54" s="1483"/>
      <c r="M54" s="1483"/>
      <c r="N54" s="1483"/>
      <c r="O54" s="1447"/>
      <c r="P54" s="1648"/>
      <c r="Q54" s="917"/>
      <c r="R54" s="1450"/>
      <c r="S54" s="1450"/>
      <c r="T54" s="1450"/>
    </row>
    <row r="55" spans="1:20" ht="12.75" customHeight="1" x14ac:dyDescent="0.2">
      <c r="A55" s="1484" t="s">
        <v>321</v>
      </c>
      <c r="C55" s="1483"/>
      <c r="D55" s="1483"/>
      <c r="E55" s="1483"/>
      <c r="F55" s="1483"/>
      <c r="G55" s="1483"/>
      <c r="H55" s="1483"/>
      <c r="I55" s="1483"/>
      <c r="J55" s="1483"/>
      <c r="K55" s="1483"/>
      <c r="L55" s="1483"/>
      <c r="M55" s="1483"/>
      <c r="N55" s="1483"/>
      <c r="O55" s="1447"/>
      <c r="P55" s="1648"/>
      <c r="Q55" s="917"/>
      <c r="R55" s="1450"/>
      <c r="S55" s="1450"/>
      <c r="T55" s="1450"/>
    </row>
    <row r="56" spans="1:20" ht="12.75" customHeight="1" x14ac:dyDescent="0.2">
      <c r="A56" s="1448" t="s">
        <v>325</v>
      </c>
      <c r="C56" s="1483">
        <v>63733</v>
      </c>
      <c r="D56" s="1483">
        <v>88348</v>
      </c>
      <c r="E56" s="1483">
        <v>77026</v>
      </c>
      <c r="F56" s="1483">
        <v>49348</v>
      </c>
      <c r="G56" s="1483">
        <v>50408</v>
      </c>
      <c r="H56" s="1483">
        <v>67465</v>
      </c>
      <c r="I56" s="1483">
        <v>47449</v>
      </c>
      <c r="J56" s="1483">
        <v>49012</v>
      </c>
      <c r="K56" s="1483">
        <v>48391</v>
      </c>
      <c r="L56" s="1483">
        <v>53415</v>
      </c>
      <c r="M56" s="1483">
        <v>77243</v>
      </c>
      <c r="N56" s="1483">
        <v>62369</v>
      </c>
      <c r="O56" s="1447">
        <f>SUM(C56:N56)</f>
        <v>734207</v>
      </c>
      <c r="P56" s="1648"/>
      <c r="Q56" s="917"/>
      <c r="R56" s="1450"/>
      <c r="S56" s="1450"/>
      <c r="T56" s="1450"/>
    </row>
    <row r="57" spans="1:20" ht="12.75" customHeight="1" x14ac:dyDescent="0.2">
      <c r="A57" s="1448" t="s">
        <v>1890</v>
      </c>
      <c r="C57" s="1483">
        <v>52363</v>
      </c>
      <c r="D57" s="1483">
        <v>51103</v>
      </c>
      <c r="E57" s="1483">
        <v>40186</v>
      </c>
      <c r="F57" s="1483">
        <v>41993</v>
      </c>
      <c r="G57" s="1483">
        <v>39005</v>
      </c>
      <c r="H57" s="1483">
        <v>59207</v>
      </c>
      <c r="I57" s="1483">
        <v>36261</v>
      </c>
      <c r="J57" s="1483">
        <v>37254</v>
      </c>
      <c r="K57" s="1483">
        <v>37342</v>
      </c>
      <c r="L57" s="1483">
        <v>37339</v>
      </c>
      <c r="M57" s="1483">
        <v>76940</v>
      </c>
      <c r="N57" s="1483">
        <v>49287</v>
      </c>
      <c r="O57" s="1447">
        <f>SUM(C57:N57)</f>
        <v>558280</v>
      </c>
      <c r="P57" s="1648"/>
      <c r="Q57" s="917"/>
      <c r="R57" s="1450"/>
      <c r="S57" s="1450"/>
      <c r="T57" s="1450"/>
    </row>
    <row r="58" spans="1:20" ht="12.75" customHeight="1" x14ac:dyDescent="0.2">
      <c r="C58" s="1447"/>
      <c r="D58" s="1447"/>
      <c r="E58" s="1447"/>
      <c r="F58" s="1447"/>
      <c r="G58" s="1447"/>
      <c r="H58" s="1447"/>
      <c r="I58" s="1447"/>
      <c r="J58" s="1447"/>
      <c r="K58" s="1447"/>
      <c r="L58" s="1447"/>
      <c r="M58" s="1447"/>
      <c r="N58" s="1447"/>
      <c r="O58" s="1447"/>
      <c r="P58" s="1648"/>
      <c r="Q58" s="917"/>
      <c r="R58" s="1450"/>
      <c r="S58" s="1450"/>
      <c r="T58" s="1450"/>
    </row>
    <row r="59" spans="1:20" ht="12.75" customHeight="1" x14ac:dyDescent="0.2">
      <c r="A59" s="1484" t="s">
        <v>1962</v>
      </c>
      <c r="C59" s="1447"/>
      <c r="D59" s="1447"/>
      <c r="E59" s="1447"/>
      <c r="F59" s="1447"/>
      <c r="G59" s="1447"/>
      <c r="H59" s="1447"/>
      <c r="I59" s="1447"/>
      <c r="J59" s="1447"/>
      <c r="K59" s="1447"/>
      <c r="L59" s="1447"/>
      <c r="M59" s="1447"/>
      <c r="N59" s="1447"/>
      <c r="O59" s="1447"/>
      <c r="P59" s="1648"/>
      <c r="Q59" s="917"/>
      <c r="R59" s="1450"/>
      <c r="S59" s="1450"/>
      <c r="T59" s="1450"/>
    </row>
    <row r="60" spans="1:20" ht="12.75" customHeight="1" x14ac:dyDescent="0.2">
      <c r="A60" s="1448" t="s">
        <v>386</v>
      </c>
      <c r="C60" s="1514">
        <v>122</v>
      </c>
      <c r="D60" s="1514">
        <v>122</v>
      </c>
      <c r="E60" s="1514">
        <v>121</v>
      </c>
      <c r="F60" s="1514">
        <v>114</v>
      </c>
      <c r="G60" s="1514">
        <v>114</v>
      </c>
      <c r="H60" s="1514">
        <v>115</v>
      </c>
      <c r="I60" s="1514">
        <v>112</v>
      </c>
      <c r="J60" s="1514">
        <v>111</v>
      </c>
      <c r="K60" s="1514">
        <v>123</v>
      </c>
      <c r="L60" s="1514">
        <v>123</v>
      </c>
      <c r="M60" s="1514">
        <v>122</v>
      </c>
      <c r="N60" s="1514">
        <v>117</v>
      </c>
      <c r="O60" s="1447">
        <f>SUM(C60:N60)/12</f>
        <v>118</v>
      </c>
      <c r="P60" s="1648"/>
      <c r="Q60" s="917"/>
      <c r="R60" s="1450"/>
      <c r="S60" s="1450"/>
      <c r="T60" s="1450"/>
    </row>
    <row r="61" spans="1:20" ht="12.75" customHeight="1" x14ac:dyDescent="0.2">
      <c r="C61" s="1514"/>
      <c r="D61" s="1514"/>
      <c r="E61" s="1514"/>
      <c r="F61" s="1514"/>
      <c r="G61" s="1514"/>
      <c r="H61" s="1514"/>
      <c r="I61" s="1514"/>
      <c r="J61" s="1514"/>
      <c r="K61" s="1514"/>
      <c r="L61" s="1514"/>
      <c r="M61" s="1514"/>
      <c r="N61" s="1514"/>
      <c r="O61" s="1447"/>
      <c r="P61" s="1648"/>
      <c r="Q61" s="917"/>
      <c r="R61" s="1450"/>
      <c r="S61" s="1450"/>
      <c r="T61" s="1450"/>
    </row>
    <row r="62" spans="1:20" ht="12.75" customHeight="1" x14ac:dyDescent="0.2">
      <c r="A62" s="2183" t="s">
        <v>624</v>
      </c>
      <c r="B62" s="2183"/>
      <c r="C62" s="2183"/>
      <c r="D62" s="2183"/>
      <c r="E62" s="2183"/>
      <c r="F62" s="2183"/>
      <c r="G62" s="2183"/>
      <c r="H62" s="2183"/>
      <c r="I62" s="2183"/>
      <c r="J62" s="2183"/>
      <c r="K62" s="2183"/>
      <c r="L62" s="2183"/>
      <c r="M62" s="2183"/>
      <c r="N62" s="2183"/>
      <c r="O62" s="2183"/>
      <c r="P62" s="1646"/>
      <c r="Q62" s="915"/>
    </row>
    <row r="63" spans="1:20" ht="12.75" customHeight="1" x14ac:dyDescent="0.2">
      <c r="A63" s="2183" t="str">
        <f>A2</f>
        <v>CASE NO. 2016 - 00162</v>
      </c>
      <c r="B63" s="2183"/>
      <c r="C63" s="2183"/>
      <c r="D63" s="2183"/>
      <c r="E63" s="2183"/>
      <c r="F63" s="2183"/>
      <c r="G63" s="2183"/>
      <c r="H63" s="2183"/>
      <c r="I63" s="2183"/>
      <c r="J63" s="2183"/>
      <c r="K63" s="2183"/>
      <c r="L63" s="2183"/>
      <c r="M63" s="2183"/>
      <c r="N63" s="2183"/>
      <c r="O63" s="2183"/>
      <c r="P63" s="1646"/>
      <c r="Q63" s="915"/>
    </row>
    <row r="64" spans="1:20" ht="12.75" customHeight="1" x14ac:dyDescent="0.2">
      <c r="A64" s="2183" t="s">
        <v>366</v>
      </c>
      <c r="B64" s="2183"/>
      <c r="C64" s="2183"/>
      <c r="D64" s="2183"/>
      <c r="E64" s="2183"/>
      <c r="F64" s="2183"/>
      <c r="G64" s="2183"/>
      <c r="H64" s="2183"/>
      <c r="I64" s="2183"/>
      <c r="J64" s="2183"/>
      <c r="K64" s="2183"/>
      <c r="L64" s="2183"/>
      <c r="M64" s="2183"/>
      <c r="N64" s="2183"/>
      <c r="O64" s="2183"/>
      <c r="P64" s="1646"/>
      <c r="Q64" s="915"/>
    </row>
    <row r="65" spans="1:20" ht="12.75" customHeight="1" x14ac:dyDescent="0.2">
      <c r="A65" s="2183" t="s">
        <v>367</v>
      </c>
      <c r="B65" s="2183"/>
      <c r="C65" s="2183"/>
      <c r="D65" s="2183"/>
      <c r="E65" s="2183"/>
      <c r="F65" s="2183"/>
      <c r="G65" s="2183"/>
      <c r="H65" s="2183"/>
      <c r="I65" s="2183"/>
      <c r="J65" s="2183"/>
      <c r="K65" s="2183"/>
      <c r="L65" s="2183"/>
      <c r="M65" s="2183"/>
      <c r="N65" s="2183"/>
      <c r="O65" s="2183"/>
      <c r="P65" s="1646"/>
      <c r="Q65" s="915"/>
    </row>
    <row r="66" spans="1:20" ht="12.75" customHeight="1" x14ac:dyDescent="0.2">
      <c r="A66" s="1451"/>
      <c r="B66" s="1451"/>
      <c r="C66" s="1451"/>
      <c r="D66" s="1451"/>
      <c r="E66" s="1451"/>
      <c r="F66" s="1451"/>
      <c r="G66" s="1451"/>
      <c r="H66" s="1451"/>
      <c r="I66" s="1451"/>
      <c r="J66" s="1451"/>
      <c r="K66" s="1451"/>
      <c r="L66" s="1451"/>
      <c r="M66" s="1451"/>
      <c r="N66" s="1451"/>
      <c r="O66" s="1901" t="s">
        <v>1878</v>
      </c>
      <c r="P66" s="1646"/>
      <c r="Q66" s="915"/>
    </row>
    <row r="67" spans="1:20" ht="12.75" customHeight="1" x14ac:dyDescent="0.2">
      <c r="A67" s="1451"/>
      <c r="B67" s="1451"/>
      <c r="C67" s="1451"/>
      <c r="D67" s="1451"/>
      <c r="E67" s="1451"/>
      <c r="F67" s="1451"/>
      <c r="G67" s="1451"/>
      <c r="H67" s="1451"/>
      <c r="I67" s="1451"/>
      <c r="J67" s="1451"/>
      <c r="K67" s="1451"/>
      <c r="L67" s="1451"/>
      <c r="M67" s="1451"/>
      <c r="N67" s="1451"/>
      <c r="O67" s="1451" t="s">
        <v>1895</v>
      </c>
      <c r="P67" s="1646"/>
      <c r="Q67" s="915"/>
    </row>
    <row r="68" spans="1:20" ht="12.75" customHeight="1" x14ac:dyDescent="0.2">
      <c r="A68" s="1451"/>
      <c r="B68" s="1451"/>
      <c r="C68" s="1451"/>
      <c r="D68" s="1451"/>
      <c r="E68" s="1451"/>
      <c r="F68" s="1451"/>
      <c r="G68" s="1451"/>
      <c r="H68" s="1451"/>
      <c r="I68" s="1451"/>
      <c r="J68" s="1451"/>
      <c r="K68" s="1451"/>
      <c r="L68" s="1451"/>
      <c r="M68" s="1451"/>
      <c r="N68" s="1451"/>
      <c r="O68" s="1451"/>
      <c r="P68" s="1646"/>
      <c r="Q68" s="915"/>
    </row>
    <row r="69" spans="1:20" ht="12.75" customHeight="1" x14ac:dyDescent="0.2">
      <c r="A69" s="1451"/>
      <c r="B69" s="1451"/>
      <c r="C69" s="1451"/>
      <c r="D69" s="1451"/>
      <c r="E69" s="1451"/>
      <c r="F69" s="1451"/>
      <c r="G69" s="1451"/>
      <c r="H69" s="1451"/>
      <c r="I69" s="1451"/>
      <c r="J69" s="1451"/>
      <c r="K69" s="1451"/>
      <c r="L69" s="1451"/>
      <c r="M69" s="1451"/>
      <c r="N69" s="1451"/>
      <c r="O69" s="1451"/>
      <c r="P69" s="1646"/>
      <c r="Q69" s="915"/>
    </row>
    <row r="70" spans="1:20" ht="12.75" customHeight="1" x14ac:dyDescent="0.2">
      <c r="A70" s="1451"/>
      <c r="B70" s="1451"/>
      <c r="C70" s="1902" t="s">
        <v>1877</v>
      </c>
      <c r="D70" s="1902" t="s">
        <v>368</v>
      </c>
      <c r="E70" s="1902" t="s">
        <v>369</v>
      </c>
      <c r="F70" s="1902" t="s">
        <v>370</v>
      </c>
      <c r="G70" s="1902" t="s">
        <v>371</v>
      </c>
      <c r="H70" s="1902" t="s">
        <v>372</v>
      </c>
      <c r="I70" s="1902" t="s">
        <v>373</v>
      </c>
      <c r="J70" s="1902" t="s">
        <v>374</v>
      </c>
      <c r="K70" s="1902" t="s">
        <v>375</v>
      </c>
      <c r="L70" s="1902" t="s">
        <v>376</v>
      </c>
      <c r="M70" s="1902" t="s">
        <v>377</v>
      </c>
      <c r="N70" s="1902" t="s">
        <v>378</v>
      </c>
      <c r="O70" s="1902" t="s">
        <v>1194</v>
      </c>
      <c r="P70" s="1648"/>
      <c r="Q70" s="917"/>
      <c r="R70" s="1450"/>
      <c r="S70" s="1450"/>
      <c r="T70" s="1450"/>
    </row>
    <row r="71" spans="1:20" ht="12.75" customHeight="1" x14ac:dyDescent="0.2">
      <c r="A71" s="1484" t="s">
        <v>379</v>
      </c>
      <c r="C71" s="1902">
        <v>2013</v>
      </c>
      <c r="D71" s="1902">
        <f t="shared" ref="D71:O71" si="4">C71</f>
        <v>2013</v>
      </c>
      <c r="E71" s="1902">
        <f t="shared" si="4"/>
        <v>2013</v>
      </c>
      <c r="F71" s="1902">
        <f t="shared" si="4"/>
        <v>2013</v>
      </c>
      <c r="G71" s="1902">
        <f t="shared" si="4"/>
        <v>2013</v>
      </c>
      <c r="H71" s="1902">
        <f t="shared" si="4"/>
        <v>2013</v>
      </c>
      <c r="I71" s="1902">
        <f t="shared" si="4"/>
        <v>2013</v>
      </c>
      <c r="J71" s="1902">
        <f t="shared" si="4"/>
        <v>2013</v>
      </c>
      <c r="K71" s="1902">
        <f t="shared" si="4"/>
        <v>2013</v>
      </c>
      <c r="L71" s="1902">
        <f t="shared" si="4"/>
        <v>2013</v>
      </c>
      <c r="M71" s="1902">
        <f t="shared" si="4"/>
        <v>2013</v>
      </c>
      <c r="N71" s="1902">
        <f t="shared" si="4"/>
        <v>2013</v>
      </c>
      <c r="O71" s="1902">
        <f t="shared" si="4"/>
        <v>2013</v>
      </c>
      <c r="P71" s="1648"/>
      <c r="Q71" s="917"/>
      <c r="R71" s="1450"/>
      <c r="S71" s="1450"/>
      <c r="T71" s="1450"/>
    </row>
    <row r="72" spans="1:20" ht="12.75" customHeight="1" x14ac:dyDescent="0.2">
      <c r="D72" s="1449"/>
      <c r="F72" s="1449"/>
      <c r="H72" s="1449"/>
      <c r="J72" s="1449"/>
      <c r="L72" s="1449"/>
      <c r="N72" s="1449"/>
      <c r="P72" s="1648"/>
      <c r="Q72" s="917"/>
      <c r="R72" s="1450"/>
      <c r="S72" s="1450"/>
      <c r="T72" s="1450"/>
    </row>
    <row r="73" spans="1:20" ht="12.75" customHeight="1" x14ac:dyDescent="0.2">
      <c r="A73" s="1484" t="s">
        <v>1897</v>
      </c>
      <c r="C73" s="1450"/>
      <c r="D73" s="1446"/>
      <c r="E73" s="1450"/>
      <c r="F73" s="1446"/>
      <c r="G73" s="1450"/>
      <c r="H73" s="1446"/>
      <c r="I73" s="1450"/>
      <c r="J73" s="1446"/>
      <c r="K73" s="1450"/>
      <c r="L73" s="1446"/>
      <c r="M73" s="1450"/>
      <c r="N73" s="1446"/>
      <c r="O73" s="1450"/>
      <c r="P73" s="1648"/>
      <c r="Q73" s="917"/>
      <c r="R73" s="1450"/>
      <c r="S73" s="1450"/>
      <c r="T73" s="1450"/>
    </row>
    <row r="74" spans="1:20" ht="12.75" customHeight="1" x14ac:dyDescent="0.2">
      <c r="A74" s="1448" t="s">
        <v>380</v>
      </c>
      <c r="C74" s="1514">
        <v>21728</v>
      </c>
      <c r="D74" s="1514">
        <v>19520</v>
      </c>
      <c r="E74" s="1514">
        <v>20414</v>
      </c>
      <c r="F74" s="1514">
        <v>21274.25</v>
      </c>
      <c r="G74" s="1514">
        <v>23916.25</v>
      </c>
      <c r="H74" s="1514">
        <v>20188.5</v>
      </c>
      <c r="I74" s="1514">
        <v>22812.5</v>
      </c>
      <c r="J74" s="1514">
        <v>21893</v>
      </c>
      <c r="K74" s="1514">
        <v>20610</v>
      </c>
      <c r="L74" s="1514">
        <v>22643.5</v>
      </c>
      <c r="M74" s="1514">
        <v>21501.5</v>
      </c>
      <c r="N74" s="1514">
        <v>22610</v>
      </c>
      <c r="O74" s="1447">
        <f>SUM(C74:N74)</f>
        <v>259111.5</v>
      </c>
      <c r="P74" s="1648"/>
      <c r="Q74" s="917"/>
      <c r="R74" s="1450"/>
      <c r="S74" s="1450"/>
      <c r="T74" s="1450"/>
    </row>
    <row r="75" spans="1:20" ht="12.75" customHeight="1" x14ac:dyDescent="0.2">
      <c r="A75" s="1448" t="s">
        <v>381</v>
      </c>
      <c r="C75" s="1515">
        <v>2270</v>
      </c>
      <c r="D75" s="1515">
        <v>2174</v>
      </c>
      <c r="E75" s="1515">
        <v>2466.5</v>
      </c>
      <c r="F75" s="1515">
        <v>2408.75</v>
      </c>
      <c r="G75" s="1515">
        <v>2792.5</v>
      </c>
      <c r="H75" s="1515">
        <v>2359.75</v>
      </c>
      <c r="I75" s="1515">
        <v>2089.5</v>
      </c>
      <c r="J75" s="1515">
        <v>2990.25</v>
      </c>
      <c r="K75" s="1515">
        <v>2909.25</v>
      </c>
      <c r="L75" s="1515">
        <v>3481.5</v>
      </c>
      <c r="M75" s="1515">
        <v>3993</v>
      </c>
      <c r="N75" s="1515">
        <v>2944</v>
      </c>
      <c r="O75" s="1452">
        <f>SUM(C75:N75)</f>
        <v>32879</v>
      </c>
      <c r="P75" s="1648"/>
      <c r="Q75" s="917"/>
      <c r="R75" s="1450"/>
      <c r="S75" s="1450"/>
      <c r="T75" s="1450"/>
    </row>
    <row r="76" spans="1:20" ht="12.75" customHeight="1" x14ac:dyDescent="0.2">
      <c r="A76" s="1448" t="s">
        <v>1896</v>
      </c>
      <c r="C76" s="1447">
        <f t="shared" ref="C76:O76" si="5">C74+C75</f>
        <v>23998</v>
      </c>
      <c r="D76" s="1447">
        <f t="shared" si="5"/>
        <v>21694</v>
      </c>
      <c r="E76" s="1447">
        <f t="shared" si="5"/>
        <v>22880.5</v>
      </c>
      <c r="F76" s="1447">
        <f t="shared" si="5"/>
        <v>23683</v>
      </c>
      <c r="G76" s="1447">
        <f t="shared" si="5"/>
        <v>26708.75</v>
      </c>
      <c r="H76" s="1447">
        <f t="shared" si="5"/>
        <v>22548.25</v>
      </c>
      <c r="I76" s="1447">
        <f t="shared" si="5"/>
        <v>24902</v>
      </c>
      <c r="J76" s="1447">
        <f t="shared" si="5"/>
        <v>24883.25</v>
      </c>
      <c r="K76" s="1447">
        <f t="shared" si="5"/>
        <v>23519.25</v>
      </c>
      <c r="L76" s="1447">
        <f t="shared" si="5"/>
        <v>26125</v>
      </c>
      <c r="M76" s="1447">
        <f t="shared" si="5"/>
        <v>25494.5</v>
      </c>
      <c r="N76" s="1447">
        <f t="shared" si="5"/>
        <v>25554</v>
      </c>
      <c r="O76" s="1447">
        <f t="shared" si="5"/>
        <v>291990.5</v>
      </c>
      <c r="P76" s="1648"/>
      <c r="Q76" s="917"/>
      <c r="R76" s="1450"/>
      <c r="S76" s="1450"/>
      <c r="T76" s="1450"/>
    </row>
    <row r="77" spans="1:20" ht="12.75" customHeight="1" x14ac:dyDescent="0.2">
      <c r="C77" s="1447"/>
      <c r="D77" s="1447"/>
      <c r="E77" s="1447"/>
      <c r="F77" s="1447"/>
      <c r="G77" s="1447"/>
      <c r="H77" s="1447"/>
      <c r="I77" s="1447"/>
      <c r="J77" s="1447"/>
      <c r="K77" s="1447"/>
      <c r="L77" s="1447"/>
      <c r="M77" s="1447"/>
      <c r="N77" s="1447"/>
      <c r="O77" s="1447"/>
      <c r="P77" s="1648"/>
      <c r="Q77" s="917"/>
      <c r="R77" s="1450"/>
      <c r="S77" s="1450"/>
      <c r="T77" s="1450"/>
    </row>
    <row r="78" spans="1:20" ht="12.75" customHeight="1" x14ac:dyDescent="0.2">
      <c r="A78" s="1484" t="s">
        <v>382</v>
      </c>
      <c r="C78" s="1447"/>
      <c r="D78" s="1447"/>
      <c r="E78" s="1447"/>
      <c r="F78" s="1447"/>
      <c r="G78" s="1447"/>
      <c r="H78" s="1447"/>
      <c r="I78" s="1447"/>
      <c r="J78" s="1447"/>
      <c r="K78" s="1447"/>
      <c r="L78" s="1447"/>
      <c r="M78" s="1447"/>
      <c r="N78" s="1447"/>
      <c r="O78" s="1447"/>
      <c r="P78" s="1648"/>
      <c r="Q78" s="917"/>
      <c r="R78" s="1450"/>
      <c r="S78" s="1450"/>
      <c r="T78" s="1450"/>
    </row>
    <row r="79" spans="1:20" ht="12.75" customHeight="1" x14ac:dyDescent="0.3">
      <c r="A79" s="1448" t="s">
        <v>383</v>
      </c>
      <c r="C79" s="1514">
        <f>666065.83+6980.31</f>
        <v>673046.14</v>
      </c>
      <c r="D79" s="1514">
        <f>611076.69+36871.39</f>
        <v>647948.07999999996</v>
      </c>
      <c r="E79" s="1514">
        <f>637020+7004.49</f>
        <v>644024.49</v>
      </c>
      <c r="F79" s="1514">
        <f>660170.78+8472.24</f>
        <v>668643.02</v>
      </c>
      <c r="G79" s="1514">
        <f>606973.26+13955.96</f>
        <v>620929.22</v>
      </c>
      <c r="H79" s="1514">
        <f>638322.11+10240.99</f>
        <v>648563.1</v>
      </c>
      <c r="I79" s="1514">
        <f>698226.94+10098.93</f>
        <v>708325.87</v>
      </c>
      <c r="J79" s="1514">
        <f>673019.54+10971.93</f>
        <v>683991.47000000009</v>
      </c>
      <c r="K79" s="1514">
        <f>647720.72+12757.13</f>
        <v>660477.85</v>
      </c>
      <c r="L79" s="1514">
        <f>699424.34+13068.18</f>
        <v>712492.52</v>
      </c>
      <c r="M79" s="1514">
        <f>675386.33+17246.52</f>
        <v>692632.85</v>
      </c>
      <c r="N79" s="1514">
        <f>718126.3+10034.02</f>
        <v>728160.32000000007</v>
      </c>
      <c r="O79" s="1447">
        <f>SUM(C79:N79)</f>
        <v>8089234.9299999997</v>
      </c>
      <c r="P79" s="1648"/>
      <c r="Q79" s="917"/>
      <c r="R79" s="1652"/>
      <c r="S79" s="1450"/>
      <c r="T79" s="1450"/>
    </row>
    <row r="80" spans="1:20" ht="12.75" customHeight="1" x14ac:dyDescent="0.3">
      <c r="A80" s="1448" t="s">
        <v>384</v>
      </c>
      <c r="C80" s="1515">
        <v>92256.45</v>
      </c>
      <c r="D80" s="1515">
        <v>90381.28</v>
      </c>
      <c r="E80" s="1515">
        <f>99624.3</f>
        <v>99624.3</v>
      </c>
      <c r="F80" s="1515">
        <v>100480.61</v>
      </c>
      <c r="G80" s="1515">
        <v>93787.4</v>
      </c>
      <c r="H80" s="1515">
        <v>98523.75</v>
      </c>
      <c r="I80" s="1515">
        <v>88393.98</v>
      </c>
      <c r="J80" s="1515">
        <f>125747.47</f>
        <v>125747.47</v>
      </c>
      <c r="K80" s="1515">
        <v>122767.92</v>
      </c>
      <c r="L80" s="1515">
        <v>150013.16</v>
      </c>
      <c r="M80" s="1515">
        <v>172197.04</v>
      </c>
      <c r="N80" s="1515">
        <v>129266.56</v>
      </c>
      <c r="O80" s="1452">
        <f>SUM(C80:N80)</f>
        <v>1363439.92</v>
      </c>
      <c r="P80" s="1648"/>
      <c r="Q80" s="917"/>
      <c r="R80" s="1652"/>
      <c r="S80" s="1450"/>
      <c r="T80" s="1652"/>
    </row>
    <row r="81" spans="1:20" ht="12.75" customHeight="1" x14ac:dyDescent="0.3">
      <c r="A81" s="1448" t="s">
        <v>385</v>
      </c>
      <c r="C81" s="1447">
        <f t="shared" ref="C81:O81" si="6">C79+C80</f>
        <v>765302.59</v>
      </c>
      <c r="D81" s="1447">
        <f t="shared" si="6"/>
        <v>738329.36</v>
      </c>
      <c r="E81" s="1447">
        <f t="shared" si="6"/>
        <v>743648.79</v>
      </c>
      <c r="F81" s="1447">
        <f t="shared" si="6"/>
        <v>769123.63</v>
      </c>
      <c r="G81" s="1447">
        <f t="shared" si="6"/>
        <v>714716.62</v>
      </c>
      <c r="H81" s="1447">
        <f t="shared" si="6"/>
        <v>747086.85</v>
      </c>
      <c r="I81" s="1447">
        <f t="shared" si="6"/>
        <v>796719.85</v>
      </c>
      <c r="J81" s="1447">
        <f t="shared" si="6"/>
        <v>809738.94000000006</v>
      </c>
      <c r="K81" s="1447">
        <f t="shared" si="6"/>
        <v>783245.77</v>
      </c>
      <c r="L81" s="1447">
        <f t="shared" si="6"/>
        <v>862505.68</v>
      </c>
      <c r="M81" s="1447">
        <f t="shared" si="6"/>
        <v>864829.89</v>
      </c>
      <c r="N81" s="1447">
        <f t="shared" si="6"/>
        <v>857426.88000000012</v>
      </c>
      <c r="O81" s="1447">
        <f t="shared" si="6"/>
        <v>9452674.8499999996</v>
      </c>
      <c r="P81" s="1648"/>
      <c r="Q81" s="917"/>
      <c r="R81" s="1652"/>
      <c r="S81" s="1450"/>
      <c r="T81" s="1652"/>
    </row>
    <row r="82" spans="1:20" ht="12.75" customHeight="1" x14ac:dyDescent="0.3">
      <c r="C82" s="1447"/>
      <c r="D82" s="1447"/>
      <c r="E82" s="1447"/>
      <c r="F82" s="1447"/>
      <c r="G82" s="1447"/>
      <c r="H82" s="1447"/>
      <c r="I82" s="1447"/>
      <c r="J82" s="1447"/>
      <c r="K82" s="1447"/>
      <c r="L82" s="1447"/>
      <c r="M82" s="1447"/>
      <c r="N82" s="1447"/>
      <c r="O82" s="1447"/>
      <c r="P82" s="1648"/>
      <c r="Q82" s="917"/>
      <c r="R82" s="1652"/>
      <c r="S82" s="1450"/>
      <c r="T82" s="1652"/>
    </row>
    <row r="83" spans="1:20" ht="12.75" customHeight="1" x14ac:dyDescent="0.3">
      <c r="A83" s="1484" t="s">
        <v>1891</v>
      </c>
      <c r="C83" s="1483">
        <v>650334</v>
      </c>
      <c r="D83" s="1483">
        <v>648524</v>
      </c>
      <c r="E83" s="1483">
        <v>644560.60000000056</v>
      </c>
      <c r="F83" s="1483">
        <v>612679.54000000178</v>
      </c>
      <c r="G83" s="1483">
        <v>664646.28999999957</v>
      </c>
      <c r="H83" s="1483">
        <v>628333.37999999069</v>
      </c>
      <c r="I83" s="1483">
        <v>571849.57999999973</v>
      </c>
      <c r="J83" s="1483">
        <v>664685.96000000008</v>
      </c>
      <c r="K83" s="1483">
        <v>562069.32999999961</v>
      </c>
      <c r="L83" s="1483">
        <v>658926.23000000056</v>
      </c>
      <c r="M83" s="1483">
        <v>672870.65000000037</v>
      </c>
      <c r="N83" s="1483">
        <v>745802.36</v>
      </c>
      <c r="O83" s="1447">
        <f>SUM(C83:N83)</f>
        <v>7725281.9199999934</v>
      </c>
      <c r="P83" s="1648"/>
      <c r="Q83" s="917"/>
      <c r="R83" s="1652"/>
      <c r="S83" s="1450"/>
      <c r="T83" s="1652"/>
    </row>
    <row r="84" spans="1:20" ht="12.75" customHeight="1" x14ac:dyDescent="0.3">
      <c r="C84" s="1483"/>
      <c r="D84" s="1483"/>
      <c r="E84" s="1483"/>
      <c r="F84" s="1483"/>
      <c r="G84" s="1483"/>
      <c r="H84" s="1483"/>
      <c r="I84" s="1483"/>
      <c r="J84" s="1483"/>
      <c r="K84" s="1483"/>
      <c r="L84" s="1483"/>
      <c r="M84" s="1483"/>
      <c r="N84" s="1483"/>
      <c r="O84" s="1447" t="s">
        <v>680</v>
      </c>
      <c r="P84" s="1648"/>
      <c r="Q84" s="917"/>
      <c r="R84" s="1652"/>
      <c r="S84" s="1450"/>
      <c r="T84" s="1652"/>
    </row>
    <row r="85" spans="1:20" ht="12.75" customHeight="1" x14ac:dyDescent="0.3">
      <c r="A85" s="1484" t="s">
        <v>317</v>
      </c>
      <c r="C85" s="1483"/>
      <c r="D85" s="1483"/>
      <c r="E85" s="1483"/>
      <c r="F85" s="1483"/>
      <c r="G85" s="1483"/>
      <c r="H85" s="1483"/>
      <c r="I85" s="1483"/>
      <c r="J85" s="1483"/>
      <c r="K85" s="1483"/>
      <c r="L85" s="1483"/>
      <c r="M85" s="1483"/>
      <c r="N85" s="1483"/>
      <c r="O85" s="1447"/>
      <c r="P85" s="1648"/>
      <c r="Q85" s="917"/>
      <c r="R85" s="1652"/>
      <c r="S85" s="1653"/>
      <c r="T85" s="1654"/>
    </row>
    <row r="86" spans="1:20" ht="12.75" customHeight="1" x14ac:dyDescent="0.3">
      <c r="A86" s="1448" t="s">
        <v>320</v>
      </c>
      <c r="C86" s="1483">
        <v>195013</v>
      </c>
      <c r="D86" s="1483">
        <v>201970</v>
      </c>
      <c r="E86" s="1483">
        <v>1333896.1200000001</v>
      </c>
      <c r="F86" s="1483">
        <v>183155.88</v>
      </c>
      <c r="G86" s="1483">
        <v>172082.03999999998</v>
      </c>
      <c r="H86" s="1483">
        <v>240983.44999999995</v>
      </c>
      <c r="I86" s="1483">
        <v>191576.99999999994</v>
      </c>
      <c r="J86" s="1483">
        <v>167281.98999999993</v>
      </c>
      <c r="K86" s="1483">
        <v>495168.2</v>
      </c>
      <c r="L86" s="1483">
        <v>194522.86000000002</v>
      </c>
      <c r="M86" s="1483">
        <v>-428454.35000000003</v>
      </c>
      <c r="N86" s="1483">
        <v>262737.14999999997</v>
      </c>
      <c r="O86" s="1447">
        <f>SUM(C86:N86)</f>
        <v>3209933.34</v>
      </c>
      <c r="P86" s="1648"/>
      <c r="Q86" s="917"/>
      <c r="R86" s="1652"/>
      <c r="S86" s="1450"/>
      <c r="T86" s="1450"/>
    </row>
    <row r="87" spans="1:20" ht="15" x14ac:dyDescent="0.3">
      <c r="A87" s="1448" t="s">
        <v>1889</v>
      </c>
      <c r="C87" s="1483">
        <v>134158</v>
      </c>
      <c r="D87" s="1483">
        <v>145888</v>
      </c>
      <c r="E87" s="1483">
        <v>1278553.7499999993</v>
      </c>
      <c r="F87" s="1483">
        <v>90667.329999999682</v>
      </c>
      <c r="G87" s="1483">
        <v>86111.15999999996</v>
      </c>
      <c r="H87" s="1483">
        <v>154253.28</v>
      </c>
      <c r="I87" s="1483">
        <v>102954.91999999978</v>
      </c>
      <c r="J87" s="1483">
        <v>68444.17</v>
      </c>
      <c r="K87" s="1483">
        <v>389315.83999999973</v>
      </c>
      <c r="L87" s="1483">
        <v>56116.309999999808</v>
      </c>
      <c r="M87" s="1483">
        <v>-547981.05000000028</v>
      </c>
      <c r="N87" s="1483">
        <v>166613.12999999942</v>
      </c>
      <c r="O87" s="1447">
        <f>SUM(C87:N87)</f>
        <v>2125094.8399999971</v>
      </c>
      <c r="P87" s="1648"/>
      <c r="Q87" s="917"/>
      <c r="R87" s="1652"/>
      <c r="S87" s="1450"/>
      <c r="T87" s="1450"/>
    </row>
    <row r="88" spans="1:20" ht="12.75" customHeight="1" x14ac:dyDescent="0.3">
      <c r="C88" s="1483"/>
      <c r="D88" s="1483"/>
      <c r="E88" s="1483"/>
      <c r="F88" s="1483"/>
      <c r="G88" s="1483"/>
      <c r="H88" s="1483"/>
      <c r="I88" s="1483"/>
      <c r="J88" s="1483"/>
      <c r="K88" s="1483"/>
      <c r="L88" s="1483"/>
      <c r="M88" s="1483"/>
      <c r="N88" s="1483"/>
      <c r="O88" s="1447"/>
      <c r="P88" s="1648"/>
      <c r="Q88" s="917"/>
      <c r="R88" s="1652"/>
      <c r="S88" s="1450"/>
      <c r="T88" s="1450"/>
    </row>
    <row r="89" spans="1:20" ht="12.75" customHeight="1" x14ac:dyDescent="0.3">
      <c r="A89" s="1484" t="s">
        <v>321</v>
      </c>
      <c r="C89" s="1483"/>
      <c r="D89" s="1483"/>
      <c r="E89" s="1483"/>
      <c r="F89" s="1483"/>
      <c r="G89" s="1483"/>
      <c r="H89" s="1483"/>
      <c r="I89" s="1483"/>
      <c r="J89" s="1483"/>
      <c r="K89" s="1483"/>
      <c r="L89" s="1483"/>
      <c r="M89" s="1483"/>
      <c r="N89" s="1483"/>
      <c r="O89" s="1447"/>
      <c r="P89" s="1648"/>
      <c r="Q89" s="917"/>
      <c r="R89" s="1652"/>
      <c r="S89" s="1450"/>
      <c r="T89" s="1450"/>
    </row>
    <row r="90" spans="1:20" ht="12.75" customHeight="1" x14ac:dyDescent="0.3">
      <c r="A90" s="1448" t="s">
        <v>325</v>
      </c>
      <c r="C90" s="1483">
        <v>60712</v>
      </c>
      <c r="D90" s="1483">
        <v>87240</v>
      </c>
      <c r="E90" s="1483">
        <v>82822.33</v>
      </c>
      <c r="F90" s="1483">
        <v>51949.64</v>
      </c>
      <c r="G90" s="1483">
        <v>74540.179999999993</v>
      </c>
      <c r="H90" s="1483">
        <v>57420.210000000006</v>
      </c>
      <c r="I90" s="1483">
        <v>52756.770000000004</v>
      </c>
      <c r="J90" s="1483">
        <v>54021.909999999996</v>
      </c>
      <c r="K90" s="1483">
        <v>53663.759999999995</v>
      </c>
      <c r="L90" s="1483">
        <v>56770.31</v>
      </c>
      <c r="M90" s="1483">
        <v>84082.959999999992</v>
      </c>
      <c r="N90" s="1483">
        <v>62473.55</v>
      </c>
      <c r="O90" s="1447">
        <f>SUM(C90:N90)</f>
        <v>778453.62000000011</v>
      </c>
      <c r="P90" s="1648"/>
      <c r="Q90" s="917"/>
      <c r="R90" s="1652"/>
      <c r="S90" s="1450"/>
      <c r="T90" s="1450"/>
    </row>
    <row r="91" spans="1:20" ht="12.75" customHeight="1" x14ac:dyDescent="0.3">
      <c r="A91" s="1448" t="s">
        <v>1890</v>
      </c>
      <c r="C91" s="1483">
        <v>47475</v>
      </c>
      <c r="D91" s="1483">
        <v>50215</v>
      </c>
      <c r="E91" s="1483">
        <v>42266.679999999906</v>
      </c>
      <c r="F91" s="1483">
        <v>37445.549999999967</v>
      </c>
      <c r="G91" s="1483">
        <v>60582.010000000053</v>
      </c>
      <c r="H91" s="1483">
        <v>44648.269999999597</v>
      </c>
      <c r="I91" s="1483">
        <v>39202.819999999927</v>
      </c>
      <c r="J91" s="1483">
        <v>38669.479999999741</v>
      </c>
      <c r="K91" s="1483">
        <v>36858.099999999882</v>
      </c>
      <c r="L91" s="1483">
        <v>35920.319999999796</v>
      </c>
      <c r="M91" s="1483">
        <v>73376.870000000315</v>
      </c>
      <c r="N91" s="1483">
        <v>58303.619999999988</v>
      </c>
      <c r="O91" s="1447">
        <f>SUM(C91:N91)</f>
        <v>564963.71999999916</v>
      </c>
      <c r="P91" s="1648"/>
      <c r="Q91" s="917"/>
      <c r="R91" s="1652"/>
      <c r="S91" s="1450"/>
      <c r="T91" s="1450"/>
    </row>
    <row r="92" spans="1:20" ht="12.75" customHeight="1" x14ac:dyDescent="0.2">
      <c r="C92" s="1565"/>
      <c r="D92" s="1565"/>
      <c r="E92" s="1565"/>
      <c r="F92" s="1565"/>
      <c r="G92" s="1565"/>
      <c r="H92" s="1565"/>
      <c r="I92" s="1565"/>
      <c r="J92" s="1565"/>
      <c r="K92" s="1565"/>
      <c r="L92" s="1565"/>
      <c r="M92" s="1565"/>
      <c r="N92" s="1565"/>
      <c r="O92" s="1447"/>
      <c r="P92" s="1648"/>
      <c r="Q92" s="917"/>
      <c r="R92" s="1450"/>
      <c r="S92" s="1450"/>
      <c r="T92" s="1450"/>
    </row>
    <row r="93" spans="1:20" ht="12.75" customHeight="1" x14ac:dyDescent="0.2">
      <c r="A93" s="1484" t="s">
        <v>1962</v>
      </c>
      <c r="C93" s="1447"/>
      <c r="D93" s="1447"/>
      <c r="E93" s="1447"/>
      <c r="F93" s="1447"/>
      <c r="G93" s="1447"/>
      <c r="H93" s="1447"/>
      <c r="I93" s="1447"/>
      <c r="J93" s="1447"/>
      <c r="K93" s="1447"/>
      <c r="L93" s="1447"/>
      <c r="M93" s="1447"/>
      <c r="N93" s="1447"/>
      <c r="O93" s="1447"/>
      <c r="P93" s="1648"/>
      <c r="Q93" s="917"/>
      <c r="R93" s="1450"/>
      <c r="S93" s="1450"/>
      <c r="T93" s="1450"/>
    </row>
    <row r="94" spans="1:20" ht="12.75" customHeight="1" x14ac:dyDescent="0.2">
      <c r="A94" s="1448" t="s">
        <v>386</v>
      </c>
      <c r="C94" s="1514">
        <v>118</v>
      </c>
      <c r="D94" s="1514">
        <v>121</v>
      </c>
      <c r="E94" s="1514">
        <v>120</v>
      </c>
      <c r="F94" s="1514">
        <v>119</v>
      </c>
      <c r="G94" s="1514">
        <v>123</v>
      </c>
      <c r="H94" s="1514">
        <v>123</v>
      </c>
      <c r="I94" s="1514">
        <v>123</v>
      </c>
      <c r="J94" s="1514">
        <v>122</v>
      </c>
      <c r="K94" s="1514">
        <v>122</v>
      </c>
      <c r="L94" s="1514">
        <v>122</v>
      </c>
      <c r="M94" s="1514">
        <v>127</v>
      </c>
      <c r="N94" s="1514">
        <v>128</v>
      </c>
      <c r="O94" s="1447">
        <f>SUM(C94:N94)/12</f>
        <v>122.33333333333333</v>
      </c>
      <c r="P94" s="1648"/>
      <c r="Q94" s="917"/>
      <c r="R94" s="1450"/>
      <c r="S94" s="1450"/>
      <c r="T94" s="1450"/>
    </row>
    <row r="95" spans="1:20" ht="12.75" customHeight="1" x14ac:dyDescent="0.2">
      <c r="C95" s="1447"/>
      <c r="D95" s="1447"/>
      <c r="E95" s="1447"/>
      <c r="F95" s="1447"/>
      <c r="G95" s="1447"/>
      <c r="H95" s="1447"/>
      <c r="I95" s="1447"/>
      <c r="J95" s="1447"/>
      <c r="K95" s="1447"/>
      <c r="L95" s="1447"/>
      <c r="M95" s="1447"/>
      <c r="N95" s="1447"/>
      <c r="O95" s="1447"/>
      <c r="P95" s="1648"/>
      <c r="Q95" s="917"/>
      <c r="R95" s="1450"/>
      <c r="S95" s="1450"/>
      <c r="T95" s="1450"/>
    </row>
    <row r="96" spans="1:20" ht="12.75" customHeight="1" x14ac:dyDescent="0.2">
      <c r="C96" s="1450"/>
      <c r="D96" s="1450"/>
      <c r="E96" s="1450"/>
      <c r="F96" s="1450"/>
      <c r="G96" s="1450"/>
      <c r="H96" s="1450"/>
      <c r="I96" s="1450"/>
      <c r="J96" s="1450"/>
      <c r="K96" s="1450"/>
      <c r="L96" s="1450"/>
      <c r="M96" s="1450"/>
      <c r="N96" s="1450"/>
      <c r="O96" s="1450"/>
      <c r="P96" s="1648"/>
      <c r="Q96" s="917"/>
      <c r="R96" s="1450"/>
      <c r="S96" s="1450"/>
      <c r="T96" s="1450"/>
    </row>
    <row r="97" spans="1:20" ht="12.75" customHeight="1" x14ac:dyDescent="0.2">
      <c r="A97" s="1451"/>
      <c r="B97" s="1451"/>
      <c r="C97" s="1902" t="s">
        <v>1877</v>
      </c>
      <c r="D97" s="1902" t="s">
        <v>368</v>
      </c>
      <c r="E97" s="1902" t="s">
        <v>369</v>
      </c>
      <c r="F97" s="1902" t="s">
        <v>370</v>
      </c>
      <c r="G97" s="1902" t="s">
        <v>371</v>
      </c>
      <c r="H97" s="1902" t="s">
        <v>372</v>
      </c>
      <c r="I97" s="1902" t="s">
        <v>373</v>
      </c>
      <c r="J97" s="1902" t="s">
        <v>374</v>
      </c>
      <c r="K97" s="1902" t="s">
        <v>375</v>
      </c>
      <c r="L97" s="1902" t="s">
        <v>376</v>
      </c>
      <c r="M97" s="1902" t="s">
        <v>377</v>
      </c>
      <c r="N97" s="1902" t="s">
        <v>378</v>
      </c>
      <c r="O97" s="1902" t="s">
        <v>1194</v>
      </c>
      <c r="P97" s="1648"/>
      <c r="Q97" s="917"/>
      <c r="R97" s="1450"/>
      <c r="S97" s="1450"/>
      <c r="T97" s="1450"/>
    </row>
    <row r="98" spans="1:20" ht="12.75" customHeight="1" x14ac:dyDescent="0.2">
      <c r="A98" s="1484" t="s">
        <v>379</v>
      </c>
      <c r="C98" s="1902">
        <v>2014</v>
      </c>
      <c r="D98" s="1902">
        <f t="shared" ref="D98:O98" si="7">C98</f>
        <v>2014</v>
      </c>
      <c r="E98" s="1902">
        <f t="shared" si="7"/>
        <v>2014</v>
      </c>
      <c r="F98" s="1902">
        <f t="shared" si="7"/>
        <v>2014</v>
      </c>
      <c r="G98" s="1902">
        <f t="shared" si="7"/>
        <v>2014</v>
      </c>
      <c r="H98" s="1902">
        <f t="shared" si="7"/>
        <v>2014</v>
      </c>
      <c r="I98" s="1902">
        <f t="shared" si="7"/>
        <v>2014</v>
      </c>
      <c r="J98" s="1902">
        <f t="shared" si="7"/>
        <v>2014</v>
      </c>
      <c r="K98" s="1902">
        <f t="shared" si="7"/>
        <v>2014</v>
      </c>
      <c r="L98" s="1902">
        <f t="shared" si="7"/>
        <v>2014</v>
      </c>
      <c r="M98" s="1902">
        <f t="shared" si="7"/>
        <v>2014</v>
      </c>
      <c r="N98" s="1902">
        <f t="shared" si="7"/>
        <v>2014</v>
      </c>
      <c r="O98" s="1902">
        <f t="shared" si="7"/>
        <v>2014</v>
      </c>
      <c r="P98" s="1648"/>
      <c r="Q98" s="917"/>
      <c r="R98" s="1450"/>
      <c r="S98" s="1450"/>
      <c r="T98" s="1450"/>
    </row>
    <row r="99" spans="1:20" ht="12.75" customHeight="1" x14ac:dyDescent="0.2">
      <c r="D99" s="1449"/>
      <c r="F99" s="1449"/>
      <c r="H99" s="1449"/>
      <c r="J99" s="1449"/>
      <c r="L99" s="1449"/>
      <c r="N99" s="1449"/>
      <c r="P99" s="1648"/>
      <c r="Q99" s="917"/>
      <c r="R99" s="1450"/>
      <c r="S99" s="1450"/>
      <c r="T99" s="1450"/>
    </row>
    <row r="100" spans="1:20" ht="12.75" customHeight="1" x14ac:dyDescent="0.2">
      <c r="A100" s="1484" t="s">
        <v>1897</v>
      </c>
      <c r="C100" s="1450"/>
      <c r="D100" s="1446"/>
      <c r="E100" s="1450"/>
      <c r="F100" s="1446"/>
      <c r="G100" s="1450"/>
      <c r="H100" s="1446"/>
      <c r="I100" s="1450"/>
      <c r="J100" s="1446"/>
      <c r="K100" s="1450"/>
      <c r="L100" s="1446"/>
      <c r="M100" s="1450"/>
      <c r="N100" s="1446"/>
      <c r="O100" s="1450"/>
      <c r="P100" s="1648"/>
      <c r="Q100" s="917"/>
      <c r="R100" s="1450"/>
      <c r="S100" s="1450"/>
      <c r="T100" s="1450"/>
    </row>
    <row r="101" spans="1:20" ht="12.75" customHeight="1" x14ac:dyDescent="0.2">
      <c r="A101" s="1448" t="s">
        <v>380</v>
      </c>
      <c r="C101" s="1514">
        <v>23800</v>
      </c>
      <c r="D101" s="1514">
        <v>21168</v>
      </c>
      <c r="E101" s="1514">
        <v>22826</v>
      </c>
      <c r="F101" s="1514">
        <v>23853.25</v>
      </c>
      <c r="G101" s="1514">
        <v>23549.25</v>
      </c>
      <c r="H101" s="1514">
        <v>22463.5</v>
      </c>
      <c r="I101" s="1514">
        <f>24552</f>
        <v>24552</v>
      </c>
      <c r="J101" s="1514">
        <v>22173</v>
      </c>
      <c r="K101" s="1514">
        <v>23000</v>
      </c>
      <c r="L101" s="1514">
        <v>23486</v>
      </c>
      <c r="M101" s="1514">
        <v>20152.75</v>
      </c>
      <c r="N101" s="1514">
        <v>24116</v>
      </c>
      <c r="O101" s="1447">
        <f>SUM(C101:N101)</f>
        <v>275139.75</v>
      </c>
      <c r="P101" s="1648"/>
      <c r="Q101" s="917"/>
      <c r="R101" s="1450"/>
      <c r="S101" s="1450"/>
      <c r="T101" s="1450"/>
    </row>
    <row r="102" spans="1:20" ht="12.75" customHeight="1" x14ac:dyDescent="0.2">
      <c r="A102" s="1448" t="s">
        <v>381</v>
      </c>
      <c r="C102" s="1515">
        <v>4671</v>
      </c>
      <c r="D102" s="1515">
        <v>3213</v>
      </c>
      <c r="E102" s="1515">
        <v>2424.75</v>
      </c>
      <c r="F102" s="1515">
        <v>2072.5</v>
      </c>
      <c r="G102" s="1515">
        <v>2166</v>
      </c>
      <c r="H102" s="1515">
        <v>2426.75</v>
      </c>
      <c r="I102" s="1515">
        <v>2382.75</v>
      </c>
      <c r="J102" s="1515">
        <v>2797</v>
      </c>
      <c r="K102" s="1515">
        <v>3126.5</v>
      </c>
      <c r="L102" s="1515">
        <v>2514.5</v>
      </c>
      <c r="M102" s="1515">
        <v>3230.5</v>
      </c>
      <c r="N102" s="1515">
        <v>3038</v>
      </c>
      <c r="O102" s="1452">
        <f>SUM(C102:N102)</f>
        <v>34063.25</v>
      </c>
      <c r="P102" s="1648"/>
      <c r="Q102" s="917"/>
      <c r="R102" s="1450"/>
      <c r="S102" s="1450"/>
      <c r="T102" s="1450"/>
    </row>
    <row r="103" spans="1:20" ht="12.75" customHeight="1" x14ac:dyDescent="0.2">
      <c r="A103" s="1448" t="s">
        <v>1896</v>
      </c>
      <c r="C103" s="1447">
        <f t="shared" ref="C103:O103" si="8">C101+C102</f>
        <v>28471</v>
      </c>
      <c r="D103" s="1447">
        <f t="shared" si="8"/>
        <v>24381</v>
      </c>
      <c r="E103" s="1447">
        <f t="shared" si="8"/>
        <v>25250.75</v>
      </c>
      <c r="F103" s="1447">
        <f t="shared" si="8"/>
        <v>25925.75</v>
      </c>
      <c r="G103" s="1447">
        <f t="shared" si="8"/>
        <v>25715.25</v>
      </c>
      <c r="H103" s="1447">
        <f t="shared" si="8"/>
        <v>24890.25</v>
      </c>
      <c r="I103" s="1447">
        <f t="shared" si="8"/>
        <v>26934.75</v>
      </c>
      <c r="J103" s="1447">
        <f t="shared" si="8"/>
        <v>24970</v>
      </c>
      <c r="K103" s="1447">
        <f t="shared" si="8"/>
        <v>26126.5</v>
      </c>
      <c r="L103" s="1447">
        <f t="shared" si="8"/>
        <v>26000.5</v>
      </c>
      <c r="M103" s="1447">
        <f t="shared" si="8"/>
        <v>23383.25</v>
      </c>
      <c r="N103" s="1447">
        <f t="shared" si="8"/>
        <v>27154</v>
      </c>
      <c r="O103" s="1447">
        <f t="shared" si="8"/>
        <v>309203</v>
      </c>
      <c r="P103" s="1648"/>
      <c r="Q103" s="917"/>
      <c r="R103" s="1450"/>
      <c r="S103" s="1450"/>
      <c r="T103" s="1450"/>
    </row>
    <row r="104" spans="1:20" ht="12.75" customHeight="1" x14ac:dyDescent="0.2">
      <c r="C104" s="1447"/>
      <c r="D104" s="1447"/>
      <c r="E104" s="1447"/>
      <c r="F104" s="1447"/>
      <c r="G104" s="1447"/>
      <c r="H104" s="1447"/>
      <c r="I104" s="1447"/>
      <c r="J104" s="1447"/>
      <c r="K104" s="1447"/>
      <c r="L104" s="1447"/>
      <c r="M104" s="1447"/>
      <c r="N104" s="1447"/>
      <c r="O104" s="1447"/>
      <c r="P104" s="1648"/>
      <c r="Q104" s="917"/>
      <c r="R104" s="1450"/>
      <c r="S104" s="1450"/>
      <c r="T104" s="1450"/>
    </row>
    <row r="105" spans="1:20" ht="12.75" customHeight="1" x14ac:dyDescent="0.2">
      <c r="A105" s="1484" t="s">
        <v>382</v>
      </c>
      <c r="C105" s="1447"/>
      <c r="D105" s="1447"/>
      <c r="E105" s="1447"/>
      <c r="F105" s="1447"/>
      <c r="G105" s="1447"/>
      <c r="H105" s="1447"/>
      <c r="I105" s="1447"/>
      <c r="J105" s="1447"/>
      <c r="K105" s="1447"/>
      <c r="L105" s="1447"/>
      <c r="M105" s="1447"/>
      <c r="N105" s="1447"/>
      <c r="O105" s="1447"/>
      <c r="P105" s="1648"/>
      <c r="Q105" s="917"/>
      <c r="R105" s="1450"/>
      <c r="S105" s="1450"/>
      <c r="T105" s="1450"/>
    </row>
    <row r="106" spans="1:20" ht="12.75" customHeight="1" x14ac:dyDescent="0.2">
      <c r="A106" s="1448" t="s">
        <v>383</v>
      </c>
      <c r="C106" s="1514">
        <f>743897.44+9967.29</f>
        <v>753864.73</v>
      </c>
      <c r="D106" s="1514">
        <f>680292.66+42233.03</f>
        <v>722525.69000000006</v>
      </c>
      <c r="E106" s="1514">
        <f>721236.72+10245.77</f>
        <v>731482.49</v>
      </c>
      <c r="F106" s="1514">
        <f>747575.22+11441.01</f>
        <v>759016.23</v>
      </c>
      <c r="G106" s="1514">
        <f>741425.98+19299.06</f>
        <v>760725.04</v>
      </c>
      <c r="H106" s="1514">
        <f>726201.14+13540.44</f>
        <v>739741.58</v>
      </c>
      <c r="I106" s="1514">
        <f>778023.66+9428.16</f>
        <v>787451.82000000007</v>
      </c>
      <c r="J106" s="1514">
        <f>724395.97+12498.54</f>
        <v>736894.51</v>
      </c>
      <c r="K106" s="1514">
        <f>741147.5+16357.79</f>
        <v>757505.29</v>
      </c>
      <c r="L106" s="1514">
        <f>752567.83+21908.7</f>
        <v>774476.52999999991</v>
      </c>
      <c r="M106" s="1514">
        <f>668879.22+15439.44</f>
        <v>684318.65999999992</v>
      </c>
      <c r="N106" s="1514">
        <f>763292.35+15663.69</f>
        <v>778956.03999999992</v>
      </c>
      <c r="O106" s="1447">
        <f>SUM(C106:N106)</f>
        <v>8986958.6099999994</v>
      </c>
      <c r="P106" s="1648"/>
      <c r="Q106" s="917"/>
      <c r="R106" s="1450"/>
      <c r="S106" s="1450"/>
      <c r="T106" s="1450"/>
    </row>
    <row r="107" spans="1:20" ht="12.75" customHeight="1" x14ac:dyDescent="0.2">
      <c r="A107" s="1448" t="s">
        <v>384</v>
      </c>
      <c r="C107" s="1515">
        <v>201626.39</v>
      </c>
      <c r="D107" s="1515">
        <v>138904.94</v>
      </c>
      <c r="E107" s="1515">
        <f>100650.94</f>
        <v>100650.94</v>
      </c>
      <c r="F107" s="1515">
        <v>87646.43</v>
      </c>
      <c r="G107" s="1515">
        <v>92207.9</v>
      </c>
      <c r="H107" s="1515">
        <v>103785.85</v>
      </c>
      <c r="I107" s="1515">
        <v>102406.71</v>
      </c>
      <c r="J107" s="1515">
        <v>125572.73</v>
      </c>
      <c r="K107" s="1515">
        <v>136469.63</v>
      </c>
      <c r="L107" s="1515">
        <v>110220.65</v>
      </c>
      <c r="M107" s="1515">
        <v>144598.63</v>
      </c>
      <c r="N107" s="1515">
        <v>134477.16</v>
      </c>
      <c r="O107" s="1452">
        <f>SUM(C107:N107)</f>
        <v>1478567.9599999997</v>
      </c>
      <c r="P107" s="1648"/>
      <c r="Q107" s="917"/>
      <c r="R107" s="1450"/>
      <c r="S107" s="1450"/>
      <c r="T107" s="1450"/>
    </row>
    <row r="108" spans="1:20" ht="12.75" customHeight="1" x14ac:dyDescent="0.2">
      <c r="A108" s="1448" t="s">
        <v>385</v>
      </c>
      <c r="C108" s="1447">
        <f t="shared" ref="C108:O108" si="9">C106+C107</f>
        <v>955491.12</v>
      </c>
      <c r="D108" s="1447">
        <f t="shared" si="9"/>
        <v>861430.63000000012</v>
      </c>
      <c r="E108" s="1447">
        <f t="shared" si="9"/>
        <v>832133.42999999993</v>
      </c>
      <c r="F108" s="1447">
        <f t="shared" si="9"/>
        <v>846662.65999999992</v>
      </c>
      <c r="G108" s="1447">
        <f t="shared" si="9"/>
        <v>852932.94000000006</v>
      </c>
      <c r="H108" s="1447">
        <f t="shared" si="9"/>
        <v>843527.42999999993</v>
      </c>
      <c r="I108" s="1447">
        <f t="shared" si="9"/>
        <v>889858.53</v>
      </c>
      <c r="J108" s="1447">
        <f t="shared" si="9"/>
        <v>862467.24</v>
      </c>
      <c r="K108" s="1447">
        <f t="shared" si="9"/>
        <v>893974.92</v>
      </c>
      <c r="L108" s="1447">
        <f t="shared" si="9"/>
        <v>884697.17999999993</v>
      </c>
      <c r="M108" s="1447">
        <f t="shared" si="9"/>
        <v>828917.28999999992</v>
      </c>
      <c r="N108" s="1447">
        <f t="shared" si="9"/>
        <v>913433.2</v>
      </c>
      <c r="O108" s="1447">
        <f t="shared" si="9"/>
        <v>10465526.569999998</v>
      </c>
      <c r="P108" s="1648"/>
      <c r="R108" s="1450"/>
      <c r="S108" s="1450"/>
      <c r="T108" s="1450"/>
    </row>
    <row r="109" spans="1:20" ht="12.75" customHeight="1" x14ac:dyDescent="0.2">
      <c r="C109" s="1447"/>
      <c r="D109" s="1447"/>
      <c r="E109" s="1447"/>
      <c r="F109" s="1447"/>
      <c r="G109" s="1447"/>
      <c r="H109" s="1447"/>
      <c r="I109" s="1447"/>
      <c r="J109" s="1447"/>
      <c r="K109" s="1447"/>
      <c r="L109" s="1447"/>
      <c r="M109" s="1447"/>
      <c r="N109" s="1447"/>
      <c r="O109" s="1447"/>
      <c r="P109" s="1648"/>
      <c r="Q109" s="918"/>
      <c r="R109" s="1450"/>
      <c r="S109" s="1450"/>
      <c r="T109" s="1450"/>
    </row>
    <row r="110" spans="1:20" ht="12.75" customHeight="1" x14ac:dyDescent="0.2">
      <c r="A110" s="1484" t="s">
        <v>1891</v>
      </c>
      <c r="C110" s="1483">
        <v>765635.05999999912</v>
      </c>
      <c r="D110" s="1483">
        <f>545161.21+7384.3</f>
        <v>552545.51</v>
      </c>
      <c r="E110" s="1483">
        <f>564344.55+7313.75</f>
        <v>571658.30000000005</v>
      </c>
      <c r="F110" s="1483">
        <f>531710.7+7169.23</f>
        <v>538879.92999999993</v>
      </c>
      <c r="G110" s="1483">
        <f>572128.14+7300.15</f>
        <v>579428.29</v>
      </c>
      <c r="H110" s="1483">
        <f>514533.41+7300.15</f>
        <v>521833.56</v>
      </c>
      <c r="I110" s="1483">
        <f>577072.28+7300.15</f>
        <v>584372.43000000005</v>
      </c>
      <c r="J110" s="1483">
        <f>586352.32+7480.41</f>
        <v>593832.73</v>
      </c>
      <c r="K110" s="1483">
        <f>666100.14+68990.53</f>
        <v>735090.67</v>
      </c>
      <c r="L110" s="1483">
        <f>628110.85+11400.79</f>
        <v>639511.64</v>
      </c>
      <c r="M110" s="1483">
        <f>631077.58+7055.28</f>
        <v>638132.86</v>
      </c>
      <c r="N110" s="1483">
        <f>730801.62+11230.06</f>
        <v>742031.68</v>
      </c>
      <c r="O110" s="1447">
        <f>SUM(C110:N110)</f>
        <v>7462952.6599999983</v>
      </c>
      <c r="P110" s="1648"/>
      <c r="Q110" s="918"/>
      <c r="R110" s="1447"/>
      <c r="S110" s="1450"/>
      <c r="T110" s="1450"/>
    </row>
    <row r="111" spans="1:20" ht="12.75" customHeight="1" x14ac:dyDescent="0.2">
      <c r="C111" s="1483"/>
      <c r="D111" s="1483"/>
      <c r="E111" s="1483"/>
      <c r="F111" s="1903"/>
      <c r="G111" s="1903"/>
      <c r="H111" s="1903"/>
      <c r="I111" s="1903"/>
      <c r="J111" s="1903"/>
      <c r="K111" s="1903"/>
      <c r="L111" s="1903"/>
      <c r="M111" s="1903"/>
      <c r="N111" s="1903"/>
      <c r="O111" s="1447" t="s">
        <v>680</v>
      </c>
      <c r="P111" s="1648"/>
      <c r="Q111" s="918"/>
      <c r="R111" s="1450"/>
      <c r="S111" s="1450"/>
      <c r="T111" s="1450"/>
    </row>
    <row r="112" spans="1:20" ht="12.75" customHeight="1" x14ac:dyDescent="0.2">
      <c r="A112" s="1484" t="s">
        <v>317</v>
      </c>
      <c r="C112" s="1483"/>
      <c r="D112" s="1483"/>
      <c r="E112" s="1483"/>
      <c r="F112" s="1483"/>
      <c r="G112" s="1483"/>
      <c r="H112" s="1483"/>
      <c r="I112" s="1483"/>
      <c r="J112" s="1483"/>
      <c r="K112" s="1483"/>
      <c r="L112" s="1483"/>
      <c r="M112" s="1483"/>
      <c r="N112" s="1483"/>
      <c r="O112" s="1447"/>
      <c r="P112" s="1648"/>
      <c r="Q112" s="918"/>
      <c r="R112" s="1450"/>
      <c r="S112" s="1450"/>
      <c r="T112" s="1450"/>
    </row>
    <row r="113" spans="1:20" ht="12.75" customHeight="1" x14ac:dyDescent="0.2">
      <c r="A113" s="1448" t="s">
        <v>320</v>
      </c>
      <c r="C113" s="1483">
        <v>164002.46999999997</v>
      </c>
      <c r="D113" s="1483">
        <v>148069.42999999996</v>
      </c>
      <c r="E113" s="1483">
        <v>155448.92999999996</v>
      </c>
      <c r="F113" s="1483">
        <f>146414.56-7169.23</f>
        <v>139245.32999999999</v>
      </c>
      <c r="G113" s="1483">
        <f>135936.42-7300.15</f>
        <v>128636.27000000002</v>
      </c>
      <c r="H113" s="1483">
        <f>184414.93-7300.15</f>
        <v>177114.78</v>
      </c>
      <c r="I113" s="1483">
        <f>143431.27-7300.15</f>
        <v>136131.12</v>
      </c>
      <c r="J113" s="1483">
        <f>170146.21-7480.41</f>
        <v>162665.79999999999</v>
      </c>
      <c r="K113" s="1483">
        <f>275613.04-68990.53</f>
        <v>206622.50999999998</v>
      </c>
      <c r="L113" s="1483">
        <f>174591.08-11400.79</f>
        <v>163190.28999999998</v>
      </c>
      <c r="M113" s="1483">
        <v>34129.730000000003</v>
      </c>
      <c r="N113" s="1483">
        <v>173336.13</v>
      </c>
      <c r="O113" s="1447">
        <f>SUM(C113:N113)</f>
        <v>1788592.79</v>
      </c>
      <c r="P113" s="1648"/>
      <c r="Q113" s="918"/>
      <c r="R113" s="1447"/>
      <c r="S113" s="1450"/>
      <c r="T113" s="1450"/>
    </row>
    <row r="114" spans="1:20" ht="12.75" customHeight="1" x14ac:dyDescent="0.2">
      <c r="A114" s="1448" t="s">
        <v>1889</v>
      </c>
      <c r="C114" s="1483">
        <v>100723.32</v>
      </c>
      <c r="D114" s="1483">
        <v>47155.160000000098</v>
      </c>
      <c r="E114" s="1483">
        <v>66842.100000000166</v>
      </c>
      <c r="F114" s="1483">
        <f>113127.2</f>
        <v>113127.2</v>
      </c>
      <c r="G114" s="1483">
        <v>57989</v>
      </c>
      <c r="H114" s="1483">
        <v>113281.27</v>
      </c>
      <c r="I114" s="1483">
        <f>93280.08-7300.15</f>
        <v>85979.930000000008</v>
      </c>
      <c r="J114" s="1483">
        <f>115221.18-7480.41</f>
        <v>107740.76999999999</v>
      </c>
      <c r="K114" s="1483">
        <f>209158.36-68990.53</f>
        <v>140167.82999999999</v>
      </c>
      <c r="L114" s="1483">
        <f>117906.48-11400.79</f>
        <v>106505.69</v>
      </c>
      <c r="M114" s="1483">
        <v>28819.23</v>
      </c>
      <c r="N114" s="1483">
        <v>127742.65</v>
      </c>
      <c r="O114" s="1447">
        <f>SUM(C114:N114)</f>
        <v>1096074.1500000001</v>
      </c>
      <c r="P114" s="1648"/>
      <c r="Q114" s="918"/>
      <c r="R114" s="1447"/>
      <c r="S114" s="1450"/>
      <c r="T114" s="1450"/>
    </row>
    <row r="115" spans="1:20" ht="12.75" customHeight="1" x14ac:dyDescent="0.2">
      <c r="C115" s="1483"/>
      <c r="D115" s="1483"/>
      <c r="E115" s="1483"/>
      <c r="F115" s="1483"/>
      <c r="G115" s="1483"/>
      <c r="H115" s="1483"/>
      <c r="I115" s="1483"/>
      <c r="J115" s="1483"/>
      <c r="K115" s="1483"/>
      <c r="L115" s="1483"/>
      <c r="M115" s="1483"/>
      <c r="N115" s="1483"/>
      <c r="O115" s="1447"/>
      <c r="P115" s="1648"/>
      <c r="Q115" s="918"/>
      <c r="R115" s="1450"/>
      <c r="S115" s="1450"/>
      <c r="T115" s="1450"/>
    </row>
    <row r="116" spans="1:20" ht="12.75" customHeight="1" x14ac:dyDescent="0.2">
      <c r="A116" s="1484" t="s">
        <v>321</v>
      </c>
      <c r="C116" s="1483"/>
      <c r="D116" s="1483"/>
      <c r="E116" s="1483"/>
      <c r="F116" s="1483"/>
      <c r="G116" s="1483"/>
      <c r="H116" s="1483"/>
      <c r="I116" s="1483"/>
      <c r="J116" s="1483"/>
      <c r="K116" s="1483"/>
      <c r="L116" s="1483"/>
      <c r="M116" s="1483"/>
      <c r="N116" s="1483"/>
      <c r="O116" s="1447"/>
      <c r="P116" s="1648"/>
      <c r="Q116" s="918"/>
      <c r="R116" s="1450"/>
      <c r="S116" s="1450"/>
      <c r="T116" s="1450"/>
    </row>
    <row r="117" spans="1:20" ht="12.75" customHeight="1" x14ac:dyDescent="0.2">
      <c r="A117" s="1448" t="s">
        <v>325</v>
      </c>
      <c r="C117" s="1483">
        <v>79887.22</v>
      </c>
      <c r="D117" s="1483">
        <v>100588.78000000001</v>
      </c>
      <c r="E117" s="1483">
        <v>87593.799999999988</v>
      </c>
      <c r="F117" s="1483">
        <v>53579.54</v>
      </c>
      <c r="G117" s="1483">
        <v>83449.66</v>
      </c>
      <c r="H117" s="1483">
        <v>59926.880000000005</v>
      </c>
      <c r="I117" s="1483">
        <v>61538.009999999995</v>
      </c>
      <c r="J117" s="1483">
        <v>65540.33</v>
      </c>
      <c r="K117" s="1483">
        <v>68187.739999999991</v>
      </c>
      <c r="L117" s="1483">
        <v>88946.91</v>
      </c>
      <c r="M117" s="1483">
        <v>74313.259999999995</v>
      </c>
      <c r="N117" s="1483">
        <v>67507.27</v>
      </c>
      <c r="O117" s="1447">
        <f>SUM(C117:N117)</f>
        <v>891059.4</v>
      </c>
      <c r="P117" s="1648"/>
      <c r="Q117" s="918"/>
      <c r="R117" s="1450"/>
      <c r="S117" s="1450"/>
      <c r="T117" s="1450"/>
    </row>
    <row r="118" spans="1:20" ht="12.75" customHeight="1" x14ac:dyDescent="0.2">
      <c r="A118" s="1448" t="s">
        <v>1890</v>
      </c>
      <c r="C118" s="1483">
        <v>64137.090000000047</v>
      </c>
      <c r="D118" s="1483">
        <v>44469.939999999988</v>
      </c>
      <c r="E118" s="1483">
        <v>32647.390000000003</v>
      </c>
      <c r="F118" s="1483">
        <v>32495.809999999994</v>
      </c>
      <c r="G118" s="1483">
        <v>49594.830000000024</v>
      </c>
      <c r="H118" s="1483">
        <v>35953.699999999997</v>
      </c>
      <c r="I118" s="1483">
        <v>38088.780000000006</v>
      </c>
      <c r="J118" s="1483">
        <v>40262.450000000012</v>
      </c>
      <c r="K118" s="1483">
        <v>45576.809999999983</v>
      </c>
      <c r="L118" s="1483">
        <v>62312.719999999987</v>
      </c>
      <c r="M118" s="1483">
        <v>55044.219999999979</v>
      </c>
      <c r="N118" s="1483">
        <v>48192.770000000011</v>
      </c>
      <c r="O118" s="1447">
        <f>SUM(C118:N118)</f>
        <v>548776.51</v>
      </c>
      <c r="P118" s="1648"/>
      <c r="Q118" s="1506"/>
      <c r="R118" s="1447"/>
      <c r="S118" s="1450"/>
      <c r="T118" s="1450"/>
    </row>
    <row r="119" spans="1:20" ht="12.75" customHeight="1" x14ac:dyDescent="0.2">
      <c r="C119" s="1565"/>
      <c r="D119" s="1565"/>
      <c r="E119" s="1565"/>
      <c r="F119" s="1513"/>
      <c r="G119" s="1513"/>
      <c r="H119" s="1513"/>
      <c r="I119" s="1513"/>
      <c r="J119" s="1513"/>
      <c r="K119" s="1513"/>
      <c r="L119" s="1513"/>
      <c r="M119" s="1513"/>
      <c r="N119" s="1513"/>
      <c r="O119" s="1447"/>
      <c r="P119" s="1648"/>
      <c r="Q119" s="918"/>
      <c r="R119" s="1450"/>
      <c r="S119" s="1450"/>
      <c r="T119" s="1450"/>
    </row>
    <row r="120" spans="1:20" ht="12.75" customHeight="1" x14ac:dyDescent="0.2">
      <c r="A120" s="1484" t="s">
        <v>1962</v>
      </c>
      <c r="C120" s="1447"/>
      <c r="D120" s="1447"/>
      <c r="E120" s="1447"/>
      <c r="F120" s="1447"/>
      <c r="G120" s="1447"/>
      <c r="H120" s="1447"/>
      <c r="I120" s="1447"/>
      <c r="J120" s="1447"/>
      <c r="K120" s="1447"/>
      <c r="L120" s="1447"/>
      <c r="M120" s="1447"/>
      <c r="N120" s="1447"/>
      <c r="O120" s="1447"/>
      <c r="P120" s="1648"/>
      <c r="Q120" s="918"/>
      <c r="R120" s="1450"/>
      <c r="S120" s="1450"/>
      <c r="T120" s="1450"/>
    </row>
    <row r="121" spans="1:20" ht="12.75" customHeight="1" x14ac:dyDescent="0.2">
      <c r="A121" s="1448" t="s">
        <v>386</v>
      </c>
      <c r="C121" s="1514">
        <v>128</v>
      </c>
      <c r="D121" s="1514">
        <v>132</v>
      </c>
      <c r="E121" s="1514">
        <v>134</v>
      </c>
      <c r="F121" s="1514">
        <v>133</v>
      </c>
      <c r="G121" s="1514">
        <v>132</v>
      </c>
      <c r="H121" s="1514">
        <v>131</v>
      </c>
      <c r="I121" s="1514">
        <v>130</v>
      </c>
      <c r="J121" s="1514">
        <v>130</v>
      </c>
      <c r="K121" s="1514">
        <v>128</v>
      </c>
      <c r="L121" s="1514">
        <v>126</v>
      </c>
      <c r="M121" s="1514">
        <v>125</v>
      </c>
      <c r="N121" s="1514">
        <v>127</v>
      </c>
      <c r="O121" s="1447">
        <f>SUM(C121:N121)/12</f>
        <v>129.66666666666666</v>
      </c>
      <c r="P121" s="1648"/>
      <c r="Q121" s="918"/>
      <c r="R121" s="1450"/>
      <c r="S121" s="1450"/>
      <c r="T121" s="1450"/>
    </row>
    <row r="122" spans="1:20" ht="12.75" customHeight="1" x14ac:dyDescent="0.2">
      <c r="C122" s="1447"/>
      <c r="D122" s="1447"/>
      <c r="E122" s="1447"/>
      <c r="F122" s="1447"/>
      <c r="G122" s="1447"/>
      <c r="H122" s="1447"/>
      <c r="I122" s="1447"/>
      <c r="J122" s="1447"/>
      <c r="K122" s="1447"/>
      <c r="L122" s="1447"/>
      <c r="M122" s="1447"/>
      <c r="N122" s="1447"/>
      <c r="O122" s="1447"/>
      <c r="P122" s="1648"/>
      <c r="Q122" s="917"/>
      <c r="R122" s="1450"/>
      <c r="S122" s="1450"/>
      <c r="T122" s="1450"/>
    </row>
    <row r="123" spans="1:20" ht="12.75" customHeight="1" x14ac:dyDescent="0.2">
      <c r="A123" s="2183" t="s">
        <v>624</v>
      </c>
      <c r="B123" s="2183"/>
      <c r="C123" s="2183"/>
      <c r="D123" s="2183"/>
      <c r="E123" s="2183"/>
      <c r="F123" s="2183"/>
      <c r="G123" s="2183"/>
      <c r="H123" s="2183"/>
      <c r="I123" s="2183"/>
      <c r="J123" s="2183"/>
      <c r="K123" s="2183"/>
      <c r="L123" s="2183"/>
      <c r="M123" s="2183"/>
      <c r="N123" s="2183"/>
      <c r="O123" s="2183"/>
      <c r="P123" s="1646"/>
      <c r="Q123" s="915"/>
    </row>
    <row r="124" spans="1:20" ht="12.75" customHeight="1" x14ac:dyDescent="0.2">
      <c r="A124" s="2183" t="str">
        <f>A2</f>
        <v>CASE NO. 2016 - 00162</v>
      </c>
      <c r="B124" s="2183"/>
      <c r="C124" s="2183"/>
      <c r="D124" s="2183"/>
      <c r="E124" s="2183"/>
      <c r="F124" s="2183"/>
      <c r="G124" s="2183"/>
      <c r="H124" s="2183"/>
      <c r="I124" s="2183"/>
      <c r="J124" s="2183"/>
      <c r="K124" s="2183"/>
      <c r="L124" s="2183"/>
      <c r="M124" s="2183"/>
      <c r="N124" s="2183"/>
      <c r="O124" s="2183"/>
      <c r="P124" s="1646"/>
      <c r="Q124" s="915"/>
    </row>
    <row r="125" spans="1:20" ht="12.75" customHeight="1" x14ac:dyDescent="0.2">
      <c r="A125" s="2183" t="s">
        <v>366</v>
      </c>
      <c r="B125" s="2183"/>
      <c r="C125" s="2183"/>
      <c r="D125" s="2183"/>
      <c r="E125" s="2183"/>
      <c r="F125" s="2183"/>
      <c r="G125" s="2183"/>
      <c r="H125" s="2183"/>
      <c r="I125" s="2183"/>
      <c r="J125" s="2183"/>
      <c r="K125" s="2183"/>
      <c r="L125" s="2183"/>
      <c r="M125" s="2183"/>
      <c r="N125" s="2183"/>
      <c r="O125" s="2183"/>
      <c r="P125" s="1646"/>
      <c r="Q125" s="915"/>
    </row>
    <row r="126" spans="1:20" ht="12.75" customHeight="1" x14ac:dyDescent="0.2">
      <c r="A126" s="2183" t="s">
        <v>367</v>
      </c>
      <c r="B126" s="2183"/>
      <c r="C126" s="2183"/>
      <c r="D126" s="2183"/>
      <c r="E126" s="2183"/>
      <c r="F126" s="2183"/>
      <c r="G126" s="2183"/>
      <c r="H126" s="2183"/>
      <c r="I126" s="2183"/>
      <c r="J126" s="2183"/>
      <c r="K126" s="2183"/>
      <c r="L126" s="2183"/>
      <c r="M126" s="2183"/>
      <c r="N126" s="2183"/>
      <c r="O126" s="2183"/>
      <c r="P126" s="1646"/>
      <c r="Q126" s="915"/>
    </row>
    <row r="127" spans="1:20" ht="12.75" customHeight="1" x14ac:dyDescent="0.2">
      <c r="A127" s="1451"/>
      <c r="B127" s="1451"/>
      <c r="C127" s="1451"/>
      <c r="D127" s="1451"/>
      <c r="E127" s="1451"/>
      <c r="F127" s="1451"/>
      <c r="G127" s="1451"/>
      <c r="H127" s="1451"/>
      <c r="I127" s="1451"/>
      <c r="J127" s="1451"/>
      <c r="K127" s="1451"/>
      <c r="L127" s="1451"/>
      <c r="M127" s="1451"/>
      <c r="N127" s="1451"/>
      <c r="O127" s="1901" t="s">
        <v>1878</v>
      </c>
      <c r="P127" s="1646"/>
      <c r="Q127" s="915"/>
    </row>
    <row r="128" spans="1:20" ht="12.75" customHeight="1" x14ac:dyDescent="0.2">
      <c r="A128" s="1451"/>
      <c r="B128" s="1451"/>
      <c r="C128" s="1451"/>
      <c r="D128" s="1451"/>
      <c r="E128" s="1451"/>
      <c r="F128" s="1451"/>
      <c r="G128" s="1451"/>
      <c r="H128" s="1451"/>
      <c r="I128" s="1451"/>
      <c r="J128" s="1451"/>
      <c r="K128" s="1451"/>
      <c r="L128" s="1451"/>
      <c r="M128" s="1451"/>
      <c r="N128" s="1451"/>
      <c r="O128" s="1451" t="s">
        <v>1892</v>
      </c>
      <c r="P128" s="1646"/>
      <c r="Q128" s="915"/>
    </row>
    <row r="129" spans="1:20" ht="12.75" customHeight="1" x14ac:dyDescent="0.2">
      <c r="C129" s="1450"/>
      <c r="D129" s="1450"/>
      <c r="E129" s="1450"/>
      <c r="F129" s="1450"/>
      <c r="G129" s="1450"/>
      <c r="H129" s="1450"/>
      <c r="I129" s="1450"/>
      <c r="J129" s="1450"/>
      <c r="K129" s="1450"/>
      <c r="L129" s="1450"/>
      <c r="M129" s="1450"/>
      <c r="N129" s="1450"/>
      <c r="O129" s="1450"/>
      <c r="P129" s="1648"/>
      <c r="Q129" s="917"/>
      <c r="R129" s="1450"/>
      <c r="S129" s="1450"/>
      <c r="T129" s="1450"/>
    </row>
    <row r="130" spans="1:20" ht="12.75" customHeight="1" x14ac:dyDescent="0.2">
      <c r="A130" s="1451"/>
      <c r="B130" s="1451"/>
      <c r="C130" s="1902" t="s">
        <v>1877</v>
      </c>
      <c r="D130" s="1902" t="s">
        <v>368</v>
      </c>
      <c r="E130" s="1902" t="s">
        <v>369</v>
      </c>
      <c r="F130" s="1902" t="s">
        <v>370</v>
      </c>
      <c r="G130" s="1902" t="s">
        <v>371</v>
      </c>
      <c r="H130" s="1902" t="s">
        <v>372</v>
      </c>
      <c r="I130" s="1902" t="s">
        <v>373</v>
      </c>
      <c r="J130" s="1902" t="s">
        <v>374</v>
      </c>
      <c r="K130" s="1902" t="s">
        <v>375</v>
      </c>
      <c r="L130" s="1902" t="s">
        <v>376</v>
      </c>
      <c r="M130" s="1902" t="s">
        <v>377</v>
      </c>
      <c r="N130" s="1902" t="s">
        <v>378</v>
      </c>
      <c r="O130" s="1902" t="s">
        <v>1194</v>
      </c>
      <c r="P130" s="1648"/>
      <c r="Q130" s="917"/>
      <c r="R130" s="1450"/>
      <c r="S130" s="1450"/>
      <c r="T130" s="1450"/>
    </row>
    <row r="131" spans="1:20" ht="12.75" customHeight="1" x14ac:dyDescent="0.2">
      <c r="A131" s="1484" t="s">
        <v>379</v>
      </c>
      <c r="C131" s="1902">
        <v>2015</v>
      </c>
      <c r="D131" s="1902">
        <f t="shared" ref="D131:O131" si="10">C131</f>
        <v>2015</v>
      </c>
      <c r="E131" s="1902">
        <f t="shared" si="10"/>
        <v>2015</v>
      </c>
      <c r="F131" s="1902">
        <f t="shared" si="10"/>
        <v>2015</v>
      </c>
      <c r="G131" s="1902">
        <f t="shared" si="10"/>
        <v>2015</v>
      </c>
      <c r="H131" s="1902">
        <f t="shared" si="10"/>
        <v>2015</v>
      </c>
      <c r="I131" s="1902">
        <f t="shared" si="10"/>
        <v>2015</v>
      </c>
      <c r="J131" s="1902">
        <f t="shared" si="10"/>
        <v>2015</v>
      </c>
      <c r="K131" s="1902">
        <f t="shared" si="10"/>
        <v>2015</v>
      </c>
      <c r="L131" s="1902">
        <f t="shared" si="10"/>
        <v>2015</v>
      </c>
      <c r="M131" s="1902">
        <f t="shared" si="10"/>
        <v>2015</v>
      </c>
      <c r="N131" s="1902">
        <f t="shared" si="10"/>
        <v>2015</v>
      </c>
      <c r="O131" s="1902">
        <f t="shared" si="10"/>
        <v>2015</v>
      </c>
      <c r="P131" s="1648"/>
      <c r="Q131" s="917"/>
      <c r="R131" s="1450"/>
      <c r="S131" s="1450"/>
      <c r="T131" s="1450"/>
    </row>
    <row r="132" spans="1:20" ht="12.75" customHeight="1" x14ac:dyDescent="0.2">
      <c r="D132" s="1449"/>
      <c r="F132" s="1449"/>
      <c r="H132" s="1449"/>
      <c r="J132" s="1449"/>
      <c r="L132" s="1449"/>
      <c r="N132" s="1449"/>
      <c r="P132" s="1648"/>
      <c r="Q132" s="917"/>
      <c r="R132" s="1450"/>
      <c r="S132" s="1450"/>
      <c r="T132" s="1450"/>
    </row>
    <row r="133" spans="1:20" ht="12.75" customHeight="1" x14ac:dyDescent="0.2">
      <c r="A133" s="1484" t="s">
        <v>1897</v>
      </c>
      <c r="C133" s="1450"/>
      <c r="D133" s="1446"/>
      <c r="E133" s="1450"/>
      <c r="F133" s="1446"/>
      <c r="G133" s="1450"/>
      <c r="H133" s="1446"/>
      <c r="I133" s="1450"/>
      <c r="J133" s="1446"/>
      <c r="K133" s="1450"/>
      <c r="L133" s="1446"/>
      <c r="M133" s="1450"/>
      <c r="N133" s="1446"/>
      <c r="O133" s="1450"/>
      <c r="P133" s="1648"/>
      <c r="Q133" s="917"/>
      <c r="R133" s="1450"/>
      <c r="S133" s="1450"/>
      <c r="T133" s="1450"/>
    </row>
    <row r="134" spans="1:20" ht="12.75" customHeight="1" x14ac:dyDescent="0.2">
      <c r="A134" s="1448" t="s">
        <v>380</v>
      </c>
      <c r="C134" s="1514">
        <v>22632</v>
      </c>
      <c r="D134" s="1514">
        <v>20912</v>
      </c>
      <c r="E134" s="1514">
        <v>23274.75</v>
      </c>
      <c r="F134" s="1514">
        <v>23275</v>
      </c>
      <c r="G134" s="1514">
        <v>24832</v>
      </c>
      <c r="H134" s="1514">
        <v>25448</v>
      </c>
      <c r="I134" s="1514">
        <v>26697.25</v>
      </c>
      <c r="J134" s="1514">
        <v>24361</v>
      </c>
      <c r="K134" s="1514">
        <v>25856</v>
      </c>
      <c r="L134" s="1514">
        <v>25820</v>
      </c>
      <c r="M134" s="1514">
        <v>24700</v>
      </c>
      <c r="N134" s="1514">
        <v>27054.5</v>
      </c>
      <c r="O134" s="1447">
        <f>SUM(C134:N134)</f>
        <v>294862.5</v>
      </c>
      <c r="P134" s="1648"/>
      <c r="Q134" s="917"/>
      <c r="R134" s="1450"/>
      <c r="S134" s="1450"/>
      <c r="T134" s="1450"/>
    </row>
    <row r="135" spans="1:20" ht="12.75" customHeight="1" x14ac:dyDescent="0.2">
      <c r="A135" s="1448" t="s">
        <v>381</v>
      </c>
      <c r="C135" s="1515">
        <v>2289.5</v>
      </c>
      <c r="D135" s="1515">
        <v>2711</v>
      </c>
      <c r="E135" s="1515">
        <v>3062.25</v>
      </c>
      <c r="F135" s="1515">
        <v>2212</v>
      </c>
      <c r="G135" s="1515">
        <v>1856</v>
      </c>
      <c r="H135" s="1515">
        <v>2432.5</v>
      </c>
      <c r="I135" s="1515">
        <v>2324.75</v>
      </c>
      <c r="J135" s="1515">
        <v>2829.5</v>
      </c>
      <c r="K135" s="1515">
        <v>1979.5</v>
      </c>
      <c r="L135" s="1515">
        <v>2767.5</v>
      </c>
      <c r="M135" s="1515">
        <v>3829</v>
      </c>
      <c r="N135" s="1515">
        <v>2858.25</v>
      </c>
      <c r="O135" s="1452">
        <f>SUM(C135:N135)</f>
        <v>31151.75</v>
      </c>
      <c r="P135" s="1648"/>
      <c r="Q135" s="917"/>
      <c r="R135" s="1450"/>
      <c r="S135" s="1450"/>
      <c r="T135" s="1450"/>
    </row>
    <row r="136" spans="1:20" ht="12.75" customHeight="1" x14ac:dyDescent="0.2">
      <c r="A136" s="1448" t="s">
        <v>1896</v>
      </c>
      <c r="C136" s="1447">
        <f t="shared" ref="C136:N136" si="11">C134+C135</f>
        <v>24921.5</v>
      </c>
      <c r="D136" s="1447">
        <f t="shared" si="11"/>
        <v>23623</v>
      </c>
      <c r="E136" s="1447">
        <f t="shared" si="11"/>
        <v>26337</v>
      </c>
      <c r="F136" s="1447">
        <f t="shared" si="11"/>
        <v>25487</v>
      </c>
      <c r="G136" s="1447">
        <f t="shared" si="11"/>
        <v>26688</v>
      </c>
      <c r="H136" s="1447">
        <f t="shared" si="11"/>
        <v>27880.5</v>
      </c>
      <c r="I136" s="1447">
        <f t="shared" si="11"/>
        <v>29022</v>
      </c>
      <c r="J136" s="1447">
        <f t="shared" si="11"/>
        <v>27190.5</v>
      </c>
      <c r="K136" s="1447">
        <f t="shared" si="11"/>
        <v>27835.5</v>
      </c>
      <c r="L136" s="1447">
        <f t="shared" si="11"/>
        <v>28587.5</v>
      </c>
      <c r="M136" s="1447">
        <f t="shared" si="11"/>
        <v>28529</v>
      </c>
      <c r="N136" s="1447">
        <f t="shared" si="11"/>
        <v>29912.75</v>
      </c>
      <c r="O136" s="1447">
        <f>O134+O135</f>
        <v>326014.25</v>
      </c>
      <c r="P136" s="1648"/>
      <c r="Q136" s="917"/>
      <c r="R136" s="1450"/>
      <c r="S136" s="1450"/>
      <c r="T136" s="1450"/>
    </row>
    <row r="137" spans="1:20" ht="12.75" customHeight="1" x14ac:dyDescent="0.2">
      <c r="C137" s="1447"/>
      <c r="D137" s="1447"/>
      <c r="E137" s="1447"/>
      <c r="F137" s="1447"/>
      <c r="G137" s="1447"/>
      <c r="H137" s="1447"/>
      <c r="I137" s="1447"/>
      <c r="J137" s="1447"/>
      <c r="K137" s="1447"/>
      <c r="L137" s="1447"/>
      <c r="M137" s="1447"/>
      <c r="N137" s="1447"/>
      <c r="O137" s="1447"/>
      <c r="P137" s="1648"/>
      <c r="Q137" s="917"/>
      <c r="R137" s="1450"/>
      <c r="S137" s="1450"/>
      <c r="T137" s="1450"/>
    </row>
    <row r="138" spans="1:20" ht="12.75" customHeight="1" x14ac:dyDescent="0.2">
      <c r="A138" s="1484" t="s">
        <v>382</v>
      </c>
      <c r="C138" s="1447"/>
      <c r="D138" s="1447"/>
      <c r="E138" s="1447"/>
      <c r="F138" s="1447"/>
      <c r="G138" s="1447"/>
      <c r="H138" s="1447"/>
      <c r="I138" s="1447"/>
      <c r="J138" s="1447"/>
      <c r="K138" s="1447"/>
      <c r="L138" s="1447"/>
      <c r="M138" s="1447"/>
      <c r="N138" s="1447"/>
      <c r="O138" s="1447"/>
      <c r="P138" s="1648"/>
      <c r="Q138" s="917"/>
      <c r="R138" s="1450"/>
      <c r="S138" s="1450"/>
      <c r="T138" s="1450"/>
    </row>
    <row r="139" spans="1:20" ht="12.75" customHeight="1" x14ac:dyDescent="0.2">
      <c r="A139" s="1448" t="s">
        <v>383</v>
      </c>
      <c r="C139" s="1514">
        <f>739537.3+10801.29</f>
        <v>750338.59000000008</v>
      </c>
      <c r="D139" s="1514">
        <f>700894.85+10726.37</f>
        <v>711621.22</v>
      </c>
      <c r="E139" s="1514">
        <f>758342.3+11324.85</f>
        <v>769667.15</v>
      </c>
      <c r="F139" s="1514">
        <f>761667.98+9964.68</f>
        <v>771632.66</v>
      </c>
      <c r="G139" s="1514">
        <f>772598.6+16826.06</f>
        <v>789424.66</v>
      </c>
      <c r="H139" s="1514">
        <f>806683.49+13982.34</f>
        <v>820665.83</v>
      </c>
      <c r="I139" s="1514">
        <f>844707.12+13493.97</f>
        <v>858201.09</v>
      </c>
      <c r="J139" s="1514">
        <f>795645.86+32093.03</f>
        <v>827738.89</v>
      </c>
      <c r="K139" s="1514">
        <f>822292.44+17306.06</f>
        <v>839598.5</v>
      </c>
      <c r="L139" s="1514">
        <f>828654.07+23120.87</f>
        <v>851774.94</v>
      </c>
      <c r="M139" s="1514">
        <f>805956.59+20205.44</f>
        <v>826162.02999999991</v>
      </c>
      <c r="N139" s="1514">
        <f>877780.31+22356.56</f>
        <v>900136.87000000011</v>
      </c>
      <c r="O139" s="1447">
        <f>SUM(C139:N139)</f>
        <v>9716962.4299999997</v>
      </c>
      <c r="P139" s="1650"/>
      <c r="Q139" s="917"/>
      <c r="R139" s="1513"/>
      <c r="T139" s="1450"/>
    </row>
    <row r="140" spans="1:20" ht="12.75" customHeight="1" x14ac:dyDescent="0.2">
      <c r="A140" s="1448" t="s">
        <v>384</v>
      </c>
      <c r="C140" s="1515">
        <v>100195.61</v>
      </c>
      <c r="D140" s="1515">
        <v>124172.54</v>
      </c>
      <c r="E140" s="1515">
        <f>136291.35</f>
        <v>136291.35</v>
      </c>
      <c r="F140" s="1515">
        <v>98782.79</v>
      </c>
      <c r="G140" s="1515">
        <v>82485.22</v>
      </c>
      <c r="H140" s="1515">
        <f>107835.59</f>
        <v>107835.59</v>
      </c>
      <c r="I140" s="1515">
        <v>103035.03</v>
      </c>
      <c r="J140" s="1515">
        <f>128140.47</f>
        <v>128140.47</v>
      </c>
      <c r="K140" s="1515">
        <v>87542.69</v>
      </c>
      <c r="L140" s="1515">
        <f>123023.85</f>
        <v>123023.85</v>
      </c>
      <c r="M140" s="1515">
        <v>167708.62</v>
      </c>
      <c r="N140" s="1515">
        <v>129254.86</v>
      </c>
      <c r="O140" s="1452">
        <f>SUM(C140:N140)</f>
        <v>1388468.6200000003</v>
      </c>
      <c r="P140" s="1650"/>
      <c r="Q140" s="917"/>
      <c r="R140" s="1655"/>
      <c r="T140" s="1450"/>
    </row>
    <row r="141" spans="1:20" ht="12.75" customHeight="1" x14ac:dyDescent="0.2">
      <c r="A141" s="1448" t="s">
        <v>385</v>
      </c>
      <c r="C141" s="1447">
        <f t="shared" ref="C141:O141" si="12">C139+C140</f>
        <v>850534.20000000007</v>
      </c>
      <c r="D141" s="1447">
        <f t="shared" si="12"/>
        <v>835793.76</v>
      </c>
      <c r="E141" s="1447">
        <f t="shared" si="12"/>
        <v>905958.5</v>
      </c>
      <c r="F141" s="1447">
        <f t="shared" si="12"/>
        <v>870415.45000000007</v>
      </c>
      <c r="G141" s="1447">
        <f t="shared" si="12"/>
        <v>871909.88</v>
      </c>
      <c r="H141" s="1447">
        <f t="shared" si="12"/>
        <v>928501.41999999993</v>
      </c>
      <c r="I141" s="1447">
        <f t="shared" si="12"/>
        <v>961236.12</v>
      </c>
      <c r="J141" s="1447">
        <f t="shared" si="12"/>
        <v>955879.36</v>
      </c>
      <c r="K141" s="1447">
        <f t="shared" si="12"/>
        <v>927141.19</v>
      </c>
      <c r="L141" s="1447">
        <f t="shared" si="12"/>
        <v>974798.78999999992</v>
      </c>
      <c r="M141" s="1447">
        <f t="shared" si="12"/>
        <v>993870.64999999991</v>
      </c>
      <c r="N141" s="1447">
        <f t="shared" si="12"/>
        <v>1029391.7300000001</v>
      </c>
      <c r="O141" s="1447">
        <f t="shared" si="12"/>
        <v>11105431.050000001</v>
      </c>
      <c r="P141" s="1648"/>
      <c r="Q141" s="917"/>
      <c r="R141" s="1656"/>
      <c r="T141" s="1450"/>
    </row>
    <row r="142" spans="1:20" ht="12.75" customHeight="1" x14ac:dyDescent="0.2">
      <c r="C142" s="1447"/>
      <c r="D142" s="1447"/>
      <c r="E142" s="1447"/>
      <c r="F142" s="1447"/>
      <c r="G142" s="1447"/>
      <c r="H142" s="1447"/>
      <c r="I142" s="1447"/>
      <c r="J142" s="1447"/>
      <c r="K142" s="1447"/>
      <c r="L142" s="1447"/>
      <c r="M142" s="1447"/>
      <c r="N142" s="1447"/>
      <c r="O142" s="1447"/>
      <c r="P142" s="1648"/>
      <c r="Q142" s="917"/>
      <c r="R142" s="1450"/>
      <c r="T142" s="1450"/>
    </row>
    <row r="143" spans="1:20" ht="12.75" customHeight="1" x14ac:dyDescent="0.2">
      <c r="A143" s="1484" t="s">
        <v>1891</v>
      </c>
      <c r="C143" s="1483">
        <f>629809.56+11230.06</f>
        <v>641039.62000000011</v>
      </c>
      <c r="D143" s="1483">
        <f>629008.07+15780.37</f>
        <v>644788.43999999994</v>
      </c>
      <c r="E143" s="1483">
        <f>723109.38+28704.59</f>
        <v>751813.97</v>
      </c>
      <c r="F143" s="1483">
        <f>632611.6-11942.68</f>
        <v>620668.91999999993</v>
      </c>
      <c r="G143" s="1483">
        <f>662086.18+8293.32</f>
        <v>670379.5</v>
      </c>
      <c r="H143" s="1483">
        <f>720475.62+8293.32</f>
        <v>728768.94</v>
      </c>
      <c r="I143" s="1483">
        <f>673649.66+9160</f>
        <v>682809.66</v>
      </c>
      <c r="J143" s="1483">
        <f>609297.71+13319</f>
        <v>622616.71</v>
      </c>
      <c r="K143" s="1483">
        <f>596803.46+13319</f>
        <v>610122.46</v>
      </c>
      <c r="L143" s="1483">
        <f>606670.23+13319</f>
        <v>619989.23</v>
      </c>
      <c r="M143" s="1483">
        <f>717463.77+15665.68</f>
        <v>733129.45000000007</v>
      </c>
      <c r="N143" s="1483">
        <f>737666.22+21051</f>
        <v>758717.22</v>
      </c>
      <c r="O143" s="1447">
        <f>SUM(C143:N143)</f>
        <v>8084844.1199999992</v>
      </c>
      <c r="P143" s="1648"/>
      <c r="Q143" s="917"/>
      <c r="R143" s="1450"/>
      <c r="T143" s="1450"/>
    </row>
    <row r="144" spans="1:20" ht="12.75" customHeight="1" x14ac:dyDescent="0.2">
      <c r="C144" s="1483"/>
      <c r="D144" s="1483"/>
      <c r="E144" s="1483"/>
      <c r="F144" s="1483"/>
      <c r="G144" s="1483"/>
      <c r="H144" s="1483"/>
      <c r="I144" s="1483"/>
      <c r="J144" s="1483"/>
      <c r="K144" s="1483"/>
      <c r="L144" s="1483"/>
      <c r="M144" s="1483"/>
      <c r="N144" s="1483"/>
      <c r="O144" s="1447" t="s">
        <v>680</v>
      </c>
      <c r="P144" s="1648"/>
      <c r="Q144" s="917"/>
      <c r="R144" s="1450"/>
      <c r="T144" s="1450"/>
    </row>
    <row r="145" spans="1:20" ht="12.75" customHeight="1" x14ac:dyDescent="0.2">
      <c r="A145" s="1484" t="s">
        <v>317</v>
      </c>
      <c r="C145" s="1483"/>
      <c r="D145" s="1483"/>
      <c r="E145" s="1483"/>
      <c r="F145" s="1483"/>
      <c r="G145" s="1483"/>
      <c r="H145" s="1483"/>
      <c r="I145" s="1483"/>
      <c r="J145" s="1483"/>
      <c r="K145" s="1483"/>
      <c r="L145" s="1483"/>
      <c r="M145" s="1483"/>
      <c r="N145" s="1483"/>
      <c r="O145" s="1447"/>
      <c r="P145" s="1648"/>
      <c r="Q145" s="917"/>
      <c r="R145" s="1450"/>
      <c r="T145" s="1450"/>
    </row>
    <row r="146" spans="1:20" ht="12.75" customHeight="1" x14ac:dyDescent="0.2">
      <c r="A146" s="1448" t="s">
        <v>320</v>
      </c>
      <c r="C146" s="1483">
        <v>250482.09</v>
      </c>
      <c r="D146" s="1483">
        <v>213103.96</v>
      </c>
      <c r="E146" s="1483">
        <v>130713.13</v>
      </c>
      <c r="F146" s="1483">
        <v>143267.85999999999</v>
      </c>
      <c r="G146" s="1483">
        <f>138879.31</f>
        <v>138879.31</v>
      </c>
      <c r="H146" s="1483">
        <f>194733.2</f>
        <v>194733.2</v>
      </c>
      <c r="I146" s="1483">
        <f>181515.23</f>
        <v>181515.23</v>
      </c>
      <c r="J146" s="1483">
        <f>174348.26</f>
        <v>174348.26</v>
      </c>
      <c r="K146" s="1483">
        <f>157194.47</f>
        <v>157194.47</v>
      </c>
      <c r="L146" s="1483">
        <f>172723.35</f>
        <v>172723.35</v>
      </c>
      <c r="M146" s="1483">
        <v>186923.4</v>
      </c>
      <c r="N146" s="1483">
        <v>195700.73</v>
      </c>
      <c r="O146" s="1447">
        <f>SUM(C146:N146)</f>
        <v>2139584.9899999998</v>
      </c>
      <c r="P146" s="1648"/>
      <c r="Q146" s="917"/>
      <c r="R146" s="1450"/>
      <c r="T146" s="1450"/>
    </row>
    <row r="147" spans="1:20" ht="12.75" customHeight="1" x14ac:dyDescent="0.2">
      <c r="A147" s="1448" t="s">
        <v>1889</v>
      </c>
      <c r="C147" s="1483">
        <v>172693.74</v>
      </c>
      <c r="D147" s="1483">
        <v>147418.14000000001</v>
      </c>
      <c r="E147" s="1483">
        <v>94266.47</v>
      </c>
      <c r="F147" s="1483">
        <v>100925.42</v>
      </c>
      <c r="G147" s="1483">
        <v>95843.67</v>
      </c>
      <c r="H147" s="1483">
        <f>135321.27</f>
        <v>135321.26999999999</v>
      </c>
      <c r="I147" s="1483">
        <f>118746.82</f>
        <v>118746.82</v>
      </c>
      <c r="J147" s="1483">
        <v>105917.86</v>
      </c>
      <c r="K147" s="1483">
        <f>94495.44</f>
        <v>94495.44</v>
      </c>
      <c r="L147" s="1483">
        <f>106575.9</f>
        <v>106575.9</v>
      </c>
      <c r="M147" s="1483">
        <v>119061.9</v>
      </c>
      <c r="N147" s="1483">
        <f>195700.73-68082.49</f>
        <v>127618.24000000001</v>
      </c>
      <c r="O147" s="1447">
        <f>SUM(C147:N147)</f>
        <v>1418884.8699999999</v>
      </c>
      <c r="P147" s="1648"/>
      <c r="Q147" s="917"/>
      <c r="R147" s="1450"/>
      <c r="T147" s="1450"/>
    </row>
    <row r="148" spans="1:20" ht="12.75" customHeight="1" x14ac:dyDescent="0.2">
      <c r="C148" s="1483"/>
      <c r="D148" s="1483"/>
      <c r="E148" s="1483"/>
      <c r="F148" s="1483"/>
      <c r="G148" s="1483"/>
      <c r="H148" s="1483"/>
      <c r="I148" s="1483"/>
      <c r="J148" s="1483"/>
      <c r="K148" s="1483"/>
      <c r="L148" s="1483"/>
      <c r="M148" s="1483"/>
      <c r="N148" s="1483"/>
      <c r="O148" s="1447"/>
      <c r="P148" s="1648"/>
      <c r="R148" s="1450"/>
      <c r="T148" s="1450"/>
    </row>
    <row r="149" spans="1:20" ht="12.75" customHeight="1" x14ac:dyDescent="0.2">
      <c r="A149" s="1484" t="s">
        <v>321</v>
      </c>
      <c r="C149" s="1483"/>
      <c r="D149" s="1483"/>
      <c r="E149" s="1483"/>
      <c r="F149" s="1483"/>
      <c r="G149" s="1483"/>
      <c r="H149" s="1483"/>
      <c r="I149" s="1483"/>
      <c r="J149" s="1483"/>
      <c r="K149" s="1483"/>
      <c r="L149" s="1483"/>
      <c r="M149" s="1483"/>
      <c r="N149" s="1483"/>
      <c r="O149" s="1447"/>
      <c r="P149" s="1648"/>
      <c r="Q149" s="917"/>
      <c r="R149" s="1450"/>
      <c r="T149" s="1450"/>
    </row>
    <row r="150" spans="1:20" ht="12.75" customHeight="1" x14ac:dyDescent="0.2">
      <c r="A150" s="1448" t="s">
        <v>325</v>
      </c>
      <c r="C150" s="1483">
        <v>77620.75999999998</v>
      </c>
      <c r="D150" s="1483">
        <v>70082.66</v>
      </c>
      <c r="E150" s="1483">
        <v>76911.25999999998</v>
      </c>
      <c r="F150" s="1483">
        <v>64699.709999999992</v>
      </c>
      <c r="G150" s="1483">
        <f>92328.06</f>
        <v>92328.06</v>
      </c>
      <c r="H150" s="1483">
        <f>66632.36</f>
        <v>66632.36</v>
      </c>
      <c r="I150" s="1483">
        <f>70271.62</f>
        <v>70271.62</v>
      </c>
      <c r="J150" s="1483">
        <f>67810.09</f>
        <v>67810.09</v>
      </c>
      <c r="K150" s="1483">
        <f>67697.49</f>
        <v>67697.490000000005</v>
      </c>
      <c r="L150" s="1483">
        <f>92152.18</f>
        <v>92152.18</v>
      </c>
      <c r="M150" s="1483">
        <v>71846.33</v>
      </c>
      <c r="N150" s="1483">
        <v>74017.52</v>
      </c>
      <c r="O150" s="1447">
        <f>SUM(C150:N150)</f>
        <v>892070.03999999992</v>
      </c>
      <c r="P150" s="1648"/>
      <c r="Q150" s="917"/>
      <c r="R150" s="1656"/>
      <c r="T150" s="1450"/>
    </row>
    <row r="151" spans="1:20" ht="12.75" customHeight="1" x14ac:dyDescent="0.2">
      <c r="A151" s="1448" t="s">
        <v>1890</v>
      </c>
      <c r="C151" s="1483">
        <v>53664.1</v>
      </c>
      <c r="D151" s="1483">
        <v>47318.809999999983</v>
      </c>
      <c r="E151" s="1483">
        <v>55061.960000000014</v>
      </c>
      <c r="F151" s="1483">
        <v>46022.249999999993</v>
      </c>
      <c r="G151" s="1483">
        <f>323875.9-261421-404</f>
        <v>62050.900000000023</v>
      </c>
      <c r="H151" s="1483">
        <f>310291.86-261421-1513</f>
        <v>47357.859999999986</v>
      </c>
      <c r="I151" s="1483">
        <f>307597.17-261421</f>
        <v>46176.169999999984</v>
      </c>
      <c r="J151" s="1483">
        <f>42297.59</f>
        <v>42297.59</v>
      </c>
      <c r="K151" s="1483">
        <v>40727.57</v>
      </c>
      <c r="L151" s="1483">
        <f>57296.25</f>
        <v>57296.25</v>
      </c>
      <c r="M151" s="1483">
        <v>46947.9</v>
      </c>
      <c r="N151" s="1483">
        <v>48268.91</v>
      </c>
      <c r="O151" s="1447">
        <f>SUM(C151:N151)</f>
        <v>593190.27</v>
      </c>
      <c r="P151" s="1648"/>
      <c r="Q151" s="917"/>
      <c r="R151" s="1450"/>
      <c r="S151" s="1450"/>
      <c r="T151" s="1450"/>
    </row>
    <row r="152" spans="1:20" ht="12.75" customHeight="1" x14ac:dyDescent="0.2">
      <c r="C152" s="1447"/>
      <c r="D152" s="1447"/>
      <c r="E152" s="1447"/>
      <c r="F152" s="1447"/>
      <c r="G152" s="1447"/>
      <c r="H152" s="1447"/>
      <c r="I152" s="1447"/>
      <c r="J152" s="1447"/>
      <c r="K152" s="1447"/>
      <c r="L152" s="1447"/>
      <c r="M152" s="1447"/>
      <c r="N152" s="1447"/>
      <c r="O152" s="1447"/>
      <c r="P152" s="1648"/>
      <c r="Q152" s="917"/>
      <c r="R152" s="1450"/>
      <c r="S152" s="1450"/>
      <c r="T152" s="1450"/>
    </row>
    <row r="153" spans="1:20" ht="12.75" customHeight="1" x14ac:dyDescent="0.2">
      <c r="A153" s="1484" t="s">
        <v>1962</v>
      </c>
      <c r="C153" s="1447"/>
      <c r="D153" s="1447"/>
      <c r="E153" s="1447"/>
      <c r="F153" s="1447"/>
      <c r="G153" s="1447"/>
      <c r="H153" s="1447"/>
      <c r="I153" s="1447"/>
      <c r="J153" s="1447"/>
      <c r="K153" s="1447"/>
      <c r="L153" s="1447"/>
      <c r="M153" s="1447"/>
      <c r="N153" s="1447"/>
      <c r="O153" s="1447"/>
      <c r="P153" s="1648"/>
      <c r="Q153" s="917"/>
      <c r="R153" s="1450"/>
      <c r="S153" s="1450"/>
      <c r="T153" s="1450"/>
    </row>
    <row r="154" spans="1:20" ht="12.75" customHeight="1" x14ac:dyDescent="0.2">
      <c r="A154" s="1448" t="s">
        <v>386</v>
      </c>
      <c r="C154" s="1514">
        <v>130</v>
      </c>
      <c r="D154" s="1514">
        <v>132</v>
      </c>
      <c r="E154" s="1514">
        <v>132</v>
      </c>
      <c r="F154" s="1514">
        <v>144</v>
      </c>
      <c r="G154" s="1514">
        <v>143</v>
      </c>
      <c r="H154" s="1514">
        <v>142</v>
      </c>
      <c r="I154" s="1514">
        <v>143</v>
      </c>
      <c r="J154" s="1514">
        <v>143</v>
      </c>
      <c r="K154" s="1514">
        <v>144</v>
      </c>
      <c r="L154" s="1514">
        <v>144</v>
      </c>
      <c r="M154" s="1514">
        <v>144</v>
      </c>
      <c r="N154" s="1514">
        <v>144</v>
      </c>
      <c r="O154" s="1447">
        <f>SUM(C154:N154)/12</f>
        <v>140.41666666666666</v>
      </c>
      <c r="P154" s="1648"/>
      <c r="Q154" s="917"/>
      <c r="R154" s="1450"/>
      <c r="S154" s="1450"/>
      <c r="T154" s="1450"/>
    </row>
    <row r="155" spans="1:20" ht="12.75" customHeight="1" x14ac:dyDescent="0.2">
      <c r="C155" s="1450"/>
      <c r="D155" s="1450"/>
      <c r="E155" s="1450"/>
      <c r="F155" s="1450"/>
      <c r="G155" s="1450"/>
      <c r="H155" s="1450"/>
      <c r="I155" s="1450"/>
      <c r="J155" s="1450"/>
      <c r="K155" s="1450"/>
      <c r="L155" s="1450"/>
      <c r="M155" s="1450"/>
      <c r="N155" s="1450"/>
      <c r="O155" s="1450"/>
      <c r="P155" s="1648"/>
      <c r="Q155" s="918"/>
      <c r="R155" s="1450"/>
      <c r="S155" s="1450"/>
      <c r="T155" s="1450"/>
    </row>
    <row r="156" spans="1:20" ht="12.75" customHeight="1" x14ac:dyDescent="0.2">
      <c r="A156" s="2183" t="s">
        <v>624</v>
      </c>
      <c r="B156" s="2183"/>
      <c r="C156" s="2183"/>
      <c r="D156" s="2183"/>
      <c r="E156" s="2183"/>
      <c r="F156" s="2183"/>
      <c r="G156" s="2183"/>
      <c r="H156" s="2183"/>
      <c r="I156" s="2183"/>
      <c r="J156" s="2183"/>
      <c r="K156" s="2183"/>
      <c r="L156" s="2183"/>
      <c r="M156" s="2183"/>
      <c r="N156" s="2183"/>
      <c r="O156" s="2183"/>
      <c r="P156" s="1648"/>
      <c r="Q156" s="918"/>
      <c r="R156" s="1450"/>
      <c r="S156" s="1450"/>
      <c r="T156" s="1450"/>
    </row>
    <row r="157" spans="1:20" ht="12.75" customHeight="1" x14ac:dyDescent="0.2">
      <c r="A157" s="2183" t="str">
        <f>A2</f>
        <v>CASE NO. 2016 - 00162</v>
      </c>
      <c r="B157" s="2183"/>
      <c r="C157" s="2183"/>
      <c r="D157" s="2183"/>
      <c r="E157" s="2183"/>
      <c r="F157" s="2183"/>
      <c r="G157" s="2183"/>
      <c r="H157" s="2183"/>
      <c r="I157" s="2183"/>
      <c r="J157" s="2183"/>
      <c r="K157" s="2183"/>
      <c r="L157" s="2183"/>
      <c r="M157" s="2183"/>
      <c r="N157" s="2183"/>
      <c r="O157" s="2183"/>
      <c r="P157" s="1648"/>
      <c r="Q157" s="917"/>
      <c r="R157" s="1450"/>
      <c r="S157" s="1450"/>
      <c r="T157" s="1450"/>
    </row>
    <row r="158" spans="1:20" ht="12.75" customHeight="1" x14ac:dyDescent="0.2">
      <c r="A158" s="2183" t="s">
        <v>366</v>
      </c>
      <c r="B158" s="2183"/>
      <c r="C158" s="2183"/>
      <c r="D158" s="2183"/>
      <c r="E158" s="2183"/>
      <c r="F158" s="2183"/>
      <c r="G158" s="2183"/>
      <c r="H158" s="2183"/>
      <c r="I158" s="2183"/>
      <c r="J158" s="2183"/>
      <c r="K158" s="2183"/>
      <c r="L158" s="2183"/>
      <c r="M158" s="2183"/>
      <c r="N158" s="2183"/>
      <c r="O158" s="2183"/>
      <c r="P158" s="1648"/>
      <c r="Q158" s="917"/>
      <c r="R158" s="1450"/>
      <c r="S158" s="1450"/>
      <c r="T158" s="1450"/>
    </row>
    <row r="159" spans="1:20" ht="12.75" customHeight="1" x14ac:dyDescent="0.2">
      <c r="A159" s="2183" t="s">
        <v>1879</v>
      </c>
      <c r="B159" s="2183"/>
      <c r="C159" s="2183"/>
      <c r="D159" s="2183"/>
      <c r="E159" s="2183"/>
      <c r="F159" s="2183"/>
      <c r="G159" s="2183"/>
      <c r="H159" s="2183"/>
      <c r="I159" s="2183"/>
      <c r="J159" s="2183"/>
      <c r="K159" s="2183"/>
      <c r="L159" s="2183"/>
      <c r="M159" s="2183"/>
      <c r="N159" s="2183"/>
      <c r="O159" s="2183"/>
      <c r="P159" s="1648"/>
      <c r="Q159" s="917"/>
      <c r="R159" s="1450"/>
      <c r="S159" s="1450"/>
      <c r="T159" s="1450"/>
    </row>
    <row r="160" spans="1:20" ht="12.75" customHeight="1" x14ac:dyDescent="0.2">
      <c r="A160" s="1451"/>
      <c r="B160" s="1451"/>
      <c r="C160" s="1451"/>
      <c r="D160" s="1451"/>
      <c r="E160" s="1451"/>
      <c r="F160" s="1451"/>
      <c r="G160" s="1451"/>
      <c r="H160" s="1451"/>
      <c r="I160" s="1451"/>
      <c r="J160" s="1451"/>
      <c r="K160" s="1451"/>
      <c r="L160" s="1451"/>
      <c r="M160" s="1451"/>
      <c r="N160" s="1451"/>
      <c r="O160" s="1901" t="s">
        <v>1878</v>
      </c>
      <c r="P160" s="1648"/>
      <c r="Q160" s="917"/>
      <c r="R160" s="1450"/>
      <c r="S160" s="1450"/>
      <c r="T160" s="1450"/>
    </row>
    <row r="161" spans="1:20" ht="12.75" customHeight="1" x14ac:dyDescent="0.2">
      <c r="A161" s="1451"/>
      <c r="B161" s="1451"/>
      <c r="C161" s="1451"/>
      <c r="D161" s="1451"/>
      <c r="E161" s="1451"/>
      <c r="F161" s="1451"/>
      <c r="G161" s="1451"/>
      <c r="H161" s="1451"/>
      <c r="I161" s="1451"/>
      <c r="J161" s="1451"/>
      <c r="K161" s="1451"/>
      <c r="L161" s="1451"/>
      <c r="M161" s="1451"/>
      <c r="N161" s="1451"/>
      <c r="O161" s="1451" t="s">
        <v>1893</v>
      </c>
      <c r="P161" s="1648"/>
      <c r="Q161" s="917"/>
      <c r="R161" s="1450"/>
      <c r="S161" s="1450"/>
      <c r="T161" s="1450"/>
    </row>
    <row r="162" spans="1:20" ht="12.75" customHeight="1" x14ac:dyDescent="0.2">
      <c r="C162" s="1450"/>
      <c r="D162" s="1450"/>
      <c r="E162" s="1450"/>
      <c r="F162" s="1450"/>
      <c r="G162" s="1450"/>
      <c r="H162" s="1450"/>
      <c r="I162" s="1450"/>
      <c r="J162" s="1450"/>
      <c r="K162" s="1450"/>
      <c r="L162" s="1450"/>
      <c r="M162" s="1450"/>
      <c r="N162" s="1450"/>
      <c r="O162" s="1450"/>
      <c r="P162" s="1648"/>
      <c r="Q162" s="917"/>
      <c r="R162" s="1450"/>
      <c r="S162" s="1450"/>
      <c r="T162" s="1450"/>
    </row>
    <row r="163" spans="1:20" ht="12.75" customHeight="1" x14ac:dyDescent="0.2">
      <c r="A163" s="1451"/>
      <c r="B163" s="1451"/>
      <c r="C163" s="1902" t="s">
        <v>375</v>
      </c>
      <c r="D163" s="1902" t="s">
        <v>376</v>
      </c>
      <c r="E163" s="1902" t="s">
        <v>377</v>
      </c>
      <c r="F163" s="1902" t="s">
        <v>378</v>
      </c>
      <c r="G163" s="1902" t="s">
        <v>2122</v>
      </c>
      <c r="H163" s="1902" t="s">
        <v>368</v>
      </c>
      <c r="I163" s="1902" t="s">
        <v>369</v>
      </c>
      <c r="J163" s="1902" t="s">
        <v>370</v>
      </c>
      <c r="K163" s="1902" t="s">
        <v>371</v>
      </c>
      <c r="L163" s="1902" t="s">
        <v>372</v>
      </c>
      <c r="M163" s="1902" t="s">
        <v>373</v>
      </c>
      <c r="N163" s="1902" t="s">
        <v>374</v>
      </c>
      <c r="O163" s="1902" t="s">
        <v>1194</v>
      </c>
      <c r="P163" s="1648"/>
      <c r="Q163" s="917"/>
      <c r="R163" s="1450"/>
      <c r="S163" s="1450"/>
      <c r="T163" s="1450"/>
    </row>
    <row r="164" spans="1:20" ht="12.75" customHeight="1" x14ac:dyDescent="0.2">
      <c r="A164" s="1484" t="s">
        <v>379</v>
      </c>
      <c r="C164" s="1902">
        <v>2015</v>
      </c>
      <c r="D164" s="1902">
        <v>2015</v>
      </c>
      <c r="E164" s="1902">
        <v>2015</v>
      </c>
      <c r="F164" s="1902">
        <v>2015</v>
      </c>
      <c r="G164" s="1902">
        <v>2016</v>
      </c>
      <c r="H164" s="1902">
        <v>2016</v>
      </c>
      <c r="I164" s="1902">
        <v>2016</v>
      </c>
      <c r="J164" s="1902">
        <v>2016</v>
      </c>
      <c r="K164" s="1902">
        <v>2016</v>
      </c>
      <c r="L164" s="1902">
        <v>2016</v>
      </c>
      <c r="M164" s="1902">
        <v>2016</v>
      </c>
      <c r="N164" s="1902">
        <v>2016</v>
      </c>
      <c r="O164" s="1902" t="s">
        <v>223</v>
      </c>
      <c r="P164" s="1648"/>
      <c r="Q164" s="917"/>
      <c r="R164" s="1450"/>
      <c r="S164" s="1450"/>
      <c r="T164" s="1450"/>
    </row>
    <row r="165" spans="1:20" ht="12.75" customHeight="1" x14ac:dyDescent="0.2">
      <c r="D165" s="1449"/>
      <c r="F165" s="1449"/>
      <c r="H165" s="1449"/>
      <c r="I165" s="2039" t="s">
        <v>1105</v>
      </c>
      <c r="J165" s="2039" t="s">
        <v>1105</v>
      </c>
      <c r="K165" s="2039" t="s">
        <v>1105</v>
      </c>
      <c r="L165" s="2039" t="s">
        <v>1105</v>
      </c>
      <c r="M165" s="2039" t="s">
        <v>1105</v>
      </c>
      <c r="N165" s="2039" t="s">
        <v>1105</v>
      </c>
      <c r="P165" s="1648"/>
      <c r="Q165" s="917"/>
      <c r="R165" s="1450"/>
      <c r="S165" s="1450"/>
      <c r="T165" s="1450"/>
    </row>
    <row r="166" spans="1:20" ht="12.75" customHeight="1" x14ac:dyDescent="0.2">
      <c r="A166" s="1484" t="s">
        <v>1897</v>
      </c>
      <c r="C166" s="1450"/>
      <c r="D166" s="1446"/>
      <c r="E166" s="1450"/>
      <c r="F166" s="1446"/>
      <c r="G166" s="1450"/>
      <c r="H166" s="1446"/>
      <c r="I166" s="1450"/>
      <c r="J166" s="1446"/>
      <c r="K166" s="1450"/>
      <c r="L166" s="1446"/>
      <c r="M166" s="1450"/>
      <c r="N166" s="1446"/>
      <c r="O166" s="1450"/>
      <c r="P166" s="2025"/>
      <c r="Q166" s="1450"/>
      <c r="R166" s="1450"/>
      <c r="S166" s="1450"/>
      <c r="T166" s="1450"/>
    </row>
    <row r="167" spans="1:20" ht="12.75" customHeight="1" x14ac:dyDescent="0.2">
      <c r="A167" s="1448" t="s">
        <v>380</v>
      </c>
      <c r="C167" s="1514">
        <v>25856</v>
      </c>
      <c r="D167" s="1514">
        <v>25820</v>
      </c>
      <c r="E167" s="1514">
        <v>24700</v>
      </c>
      <c r="F167" s="1514">
        <v>27054.5</v>
      </c>
      <c r="G167" s="1514">
        <v>24504</v>
      </c>
      <c r="H167" s="1514">
        <v>50992</v>
      </c>
      <c r="I167" s="1817" t="s">
        <v>546</v>
      </c>
      <c r="J167" s="1817" t="s">
        <v>546</v>
      </c>
      <c r="K167" s="1817" t="s">
        <v>546</v>
      </c>
      <c r="L167" s="1817" t="s">
        <v>546</v>
      </c>
      <c r="M167" s="1817" t="s">
        <v>546</v>
      </c>
      <c r="N167" s="1817" t="s">
        <v>546</v>
      </c>
      <c r="O167" s="1485" t="s">
        <v>546</v>
      </c>
      <c r="P167" s="2025"/>
      <c r="Q167" s="1450"/>
      <c r="R167" s="1450"/>
      <c r="S167" s="1450"/>
      <c r="T167" s="1450"/>
    </row>
    <row r="168" spans="1:20" ht="12.75" customHeight="1" x14ac:dyDescent="0.2">
      <c r="A168" s="1448" t="s">
        <v>381</v>
      </c>
      <c r="C168" s="1515">
        <v>1979.5</v>
      </c>
      <c r="D168" s="1515">
        <v>2767.5</v>
      </c>
      <c r="E168" s="1515">
        <v>3829</v>
      </c>
      <c r="F168" s="1515">
        <v>2858.25</v>
      </c>
      <c r="G168" s="1515">
        <v>2446.25</v>
      </c>
      <c r="H168" s="1515">
        <v>5384</v>
      </c>
      <c r="I168" s="1818" t="s">
        <v>546</v>
      </c>
      <c r="J168" s="1818" t="s">
        <v>546</v>
      </c>
      <c r="K168" s="1818" t="s">
        <v>546</v>
      </c>
      <c r="L168" s="1818" t="s">
        <v>546</v>
      </c>
      <c r="M168" s="1818" t="s">
        <v>546</v>
      </c>
      <c r="N168" s="1818" t="s">
        <v>546</v>
      </c>
      <c r="O168" s="1489" t="s">
        <v>546</v>
      </c>
      <c r="P168" s="2025"/>
      <c r="Q168" s="1450"/>
      <c r="R168" s="1450"/>
      <c r="S168" s="1450"/>
      <c r="T168" s="1450"/>
    </row>
    <row r="169" spans="1:20" ht="12.75" customHeight="1" x14ac:dyDescent="0.2">
      <c r="A169" s="1448" t="s">
        <v>1896</v>
      </c>
      <c r="C169" s="1447">
        <f t="shared" ref="C169:H169" si="13">C167+C168</f>
        <v>27835.5</v>
      </c>
      <c r="D169" s="1447">
        <f t="shared" si="13"/>
        <v>28587.5</v>
      </c>
      <c r="E169" s="1447">
        <f t="shared" si="13"/>
        <v>28529</v>
      </c>
      <c r="F169" s="1447">
        <f t="shared" si="13"/>
        <v>29912.75</v>
      </c>
      <c r="G169" s="1447">
        <f t="shared" si="13"/>
        <v>26950.25</v>
      </c>
      <c r="H169" s="1447">
        <f t="shared" si="13"/>
        <v>56376</v>
      </c>
      <c r="I169" s="1485" t="s">
        <v>546</v>
      </c>
      <c r="J169" s="1485" t="s">
        <v>546</v>
      </c>
      <c r="K169" s="1485" t="s">
        <v>546</v>
      </c>
      <c r="L169" s="1485" t="s">
        <v>546</v>
      </c>
      <c r="M169" s="1485" t="s">
        <v>546</v>
      </c>
      <c r="N169" s="1485" t="s">
        <v>546</v>
      </c>
      <c r="O169" s="1485" t="s">
        <v>546</v>
      </c>
      <c r="P169" s="2025"/>
      <c r="Q169" s="1450"/>
      <c r="R169" s="1450"/>
      <c r="S169" s="1450"/>
      <c r="T169" s="1450"/>
    </row>
    <row r="170" spans="1:20" ht="12.75" customHeight="1" x14ac:dyDescent="0.2">
      <c r="C170" s="1447"/>
      <c r="D170" s="1447"/>
      <c r="E170" s="1447"/>
      <c r="F170" s="1447"/>
      <c r="G170" s="1447"/>
      <c r="H170" s="1447"/>
      <c r="I170" s="1447"/>
      <c r="J170" s="1447"/>
      <c r="K170" s="1447"/>
      <c r="L170" s="1447"/>
      <c r="M170" s="1447"/>
      <c r="N170" s="1447"/>
      <c r="O170" s="1447"/>
      <c r="P170" s="2025"/>
      <c r="Q170" s="1450"/>
      <c r="R170" s="1450"/>
      <c r="S170" s="1450"/>
      <c r="T170" s="1450"/>
    </row>
    <row r="171" spans="1:20" ht="12.75" customHeight="1" x14ac:dyDescent="0.2">
      <c r="A171" s="1484" t="s">
        <v>382</v>
      </c>
      <c r="C171" s="1447"/>
      <c r="D171" s="1447"/>
      <c r="E171" s="1447"/>
      <c r="F171" s="1447"/>
      <c r="G171" s="1447"/>
      <c r="H171" s="1447"/>
      <c r="I171" s="1447"/>
      <c r="J171" s="1447"/>
      <c r="K171" s="1447"/>
      <c r="L171" s="1447"/>
      <c r="M171" s="1447"/>
      <c r="N171" s="1447"/>
      <c r="O171" s="1447"/>
      <c r="P171" s="2025"/>
      <c r="Q171" s="1450"/>
      <c r="R171" s="1450"/>
      <c r="S171" s="1450"/>
      <c r="T171" s="1450"/>
    </row>
    <row r="172" spans="1:20" ht="12.75" customHeight="1" x14ac:dyDescent="0.2">
      <c r="A172" s="1448" t="s">
        <v>383</v>
      </c>
      <c r="C172" s="1514">
        <f>822292.44+17306.06</f>
        <v>839598.5</v>
      </c>
      <c r="D172" s="1514">
        <f>828654.07+23120.87</f>
        <v>851774.94</v>
      </c>
      <c r="E172" s="1514">
        <f>805956.59+20205.44</f>
        <v>826162.02999999991</v>
      </c>
      <c r="F172" s="1514">
        <f>877780.31+22356.56</f>
        <v>900136.87000000011</v>
      </c>
      <c r="G172" s="1514">
        <f>817840.02+16512.33</f>
        <v>834352.35</v>
      </c>
      <c r="H172" s="1514">
        <f>818568.4+22905.89</f>
        <v>841474.29</v>
      </c>
      <c r="I172" s="1483">
        <v>876559</v>
      </c>
      <c r="J172" s="1483">
        <v>844864</v>
      </c>
      <c r="K172" s="1483">
        <v>868592</v>
      </c>
      <c r="L172" s="1483">
        <v>913034</v>
      </c>
      <c r="M172" s="1483">
        <v>884240</v>
      </c>
      <c r="N172" s="1483">
        <v>811920</v>
      </c>
      <c r="O172" s="1447">
        <f>SUM(C172:N172)</f>
        <v>10292707.98</v>
      </c>
      <c r="P172" s="2026"/>
      <c r="Q172" s="1450"/>
      <c r="R172" s="1450"/>
      <c r="S172" s="1450"/>
      <c r="T172" s="1450"/>
    </row>
    <row r="173" spans="1:20" ht="12.75" customHeight="1" x14ac:dyDescent="0.2">
      <c r="A173" s="1448" t="s">
        <v>384</v>
      </c>
      <c r="C173" s="1515">
        <v>87542.69</v>
      </c>
      <c r="D173" s="1515">
        <f>123023.85</f>
        <v>123023.85</v>
      </c>
      <c r="E173" s="1515">
        <v>167708.62</v>
      </c>
      <c r="F173" s="1515">
        <v>129254.86</v>
      </c>
      <c r="G173" s="1515">
        <v>108956.92</v>
      </c>
      <c r="H173" s="1515">
        <f>132999.11</f>
        <v>132999.10999999999</v>
      </c>
      <c r="I173" s="1515">
        <v>155220</v>
      </c>
      <c r="J173" s="1515">
        <v>108158</v>
      </c>
      <c r="K173" s="1515">
        <v>90757</v>
      </c>
      <c r="L173" s="1515">
        <v>119973</v>
      </c>
      <c r="M173" s="1515">
        <v>106161</v>
      </c>
      <c r="N173" s="1515">
        <v>125692</v>
      </c>
      <c r="O173" s="1452">
        <f>SUM(C173:N173)</f>
        <v>1455447.05</v>
      </c>
      <c r="P173" s="2026"/>
      <c r="Q173" s="1450"/>
      <c r="R173" s="1450"/>
      <c r="S173" s="1450"/>
      <c r="T173" s="1450"/>
    </row>
    <row r="174" spans="1:20" ht="12.75" customHeight="1" x14ac:dyDescent="0.2">
      <c r="A174" s="1448" t="s">
        <v>385</v>
      </c>
      <c r="C174" s="1447">
        <f t="shared" ref="C174:O174" si="14">C172+C173</f>
        <v>927141.19</v>
      </c>
      <c r="D174" s="1447">
        <f t="shared" si="14"/>
        <v>974798.78999999992</v>
      </c>
      <c r="E174" s="1447">
        <f t="shared" si="14"/>
        <v>993870.64999999991</v>
      </c>
      <c r="F174" s="1447">
        <f t="shared" si="14"/>
        <v>1029391.7300000001</v>
      </c>
      <c r="G174" s="1447">
        <f t="shared" si="14"/>
        <v>943309.27</v>
      </c>
      <c r="H174" s="1447">
        <f t="shared" si="14"/>
        <v>974473.4</v>
      </c>
      <c r="I174" s="1447">
        <f t="shared" si="14"/>
        <v>1031779</v>
      </c>
      <c r="J174" s="1447">
        <f t="shared" si="14"/>
        <v>953022</v>
      </c>
      <c r="K174" s="1447">
        <f t="shared" si="14"/>
        <v>959349</v>
      </c>
      <c r="L174" s="1447">
        <f t="shared" si="14"/>
        <v>1033007</v>
      </c>
      <c r="M174" s="1447">
        <f t="shared" si="14"/>
        <v>990401</v>
      </c>
      <c r="N174" s="1447">
        <f t="shared" si="14"/>
        <v>937612</v>
      </c>
      <c r="O174" s="1447">
        <f t="shared" si="14"/>
        <v>11748155.030000001</v>
      </c>
      <c r="P174" s="1827"/>
      <c r="Q174" s="1523"/>
      <c r="S174" s="1450"/>
      <c r="T174" s="1450"/>
    </row>
    <row r="175" spans="1:20" ht="12.75" customHeight="1" x14ac:dyDescent="0.2">
      <c r="C175" s="1447"/>
      <c r="D175" s="1447"/>
      <c r="E175" s="1447"/>
      <c r="F175" s="1447"/>
      <c r="G175" s="1447"/>
      <c r="H175" s="1447"/>
      <c r="I175" s="1447"/>
      <c r="J175" s="1447"/>
      <c r="K175" s="1447"/>
      <c r="L175" s="1447"/>
      <c r="M175" s="1447"/>
      <c r="N175" s="1447"/>
      <c r="O175" s="1447"/>
      <c r="P175" s="2025"/>
      <c r="Q175" s="1450"/>
      <c r="R175" s="1450"/>
      <c r="S175" s="1450"/>
      <c r="T175" s="1450"/>
    </row>
    <row r="176" spans="1:20" ht="12.75" customHeight="1" x14ac:dyDescent="0.2">
      <c r="A176" s="1484" t="s">
        <v>1891</v>
      </c>
      <c r="C176" s="1483">
        <f>596803.46+13319</f>
        <v>610122.46</v>
      </c>
      <c r="D176" s="1483">
        <f>606670.23+13319</f>
        <v>619989.23</v>
      </c>
      <c r="E176" s="1483">
        <f>717463.77+15665.68</f>
        <v>733129.45000000007</v>
      </c>
      <c r="F176" s="1483">
        <f>737666.22+21051</f>
        <v>758717.22</v>
      </c>
      <c r="G176" s="1483">
        <f>663512.41+13268</f>
        <v>676780.41</v>
      </c>
      <c r="H176" s="1483">
        <f>728849.92+18898.28</f>
        <v>747748.20000000007</v>
      </c>
      <c r="I176" s="1483">
        <v>782602</v>
      </c>
      <c r="J176" s="1483">
        <v>726736</v>
      </c>
      <c r="K176" s="1483">
        <v>731224</v>
      </c>
      <c r="L176" s="1483">
        <v>783473</v>
      </c>
      <c r="M176" s="1483">
        <v>754102</v>
      </c>
      <c r="N176" s="1483">
        <v>716656</v>
      </c>
      <c r="O176" s="1447">
        <f>SUM(C176:N176)</f>
        <v>8641279.9700000007</v>
      </c>
      <c r="P176" s="2025"/>
      <c r="Q176" s="1450"/>
      <c r="R176" s="1450"/>
      <c r="S176" s="1450"/>
      <c r="T176" s="1450"/>
    </row>
    <row r="177" spans="1:20" ht="12.75" customHeight="1" x14ac:dyDescent="0.2">
      <c r="C177" s="1812"/>
      <c r="D177" s="1812"/>
      <c r="E177" s="1812"/>
      <c r="F177" s="1812"/>
      <c r="G177" s="1812"/>
      <c r="H177" s="1812"/>
      <c r="I177" s="1812"/>
      <c r="J177" s="1812"/>
      <c r="K177" s="1812"/>
      <c r="L177" s="1812"/>
      <c r="M177" s="1812"/>
      <c r="N177" s="1812"/>
      <c r="O177" s="1812"/>
      <c r="P177" s="1827"/>
      <c r="Q177" s="1450"/>
      <c r="R177" s="1450"/>
      <c r="S177" s="1450"/>
      <c r="T177" s="1450"/>
    </row>
    <row r="178" spans="1:20" ht="12.75" customHeight="1" x14ac:dyDescent="0.2">
      <c r="A178" s="1484" t="s">
        <v>317</v>
      </c>
      <c r="C178" s="1483"/>
      <c r="D178" s="1483"/>
      <c r="E178" s="1483"/>
      <c r="F178" s="1483"/>
      <c r="G178" s="1483"/>
      <c r="H178" s="1483"/>
      <c r="I178" s="1483"/>
      <c r="J178" s="1483"/>
      <c r="K178" s="1483"/>
      <c r="L178" s="1483"/>
      <c r="M178" s="1483"/>
      <c r="N178" s="1483"/>
      <c r="O178" s="1447"/>
      <c r="P178" s="2025"/>
      <c r="Q178" s="1450"/>
      <c r="R178" s="1450"/>
      <c r="S178" s="1450"/>
      <c r="T178" s="1450"/>
    </row>
    <row r="179" spans="1:20" ht="12.75" customHeight="1" x14ac:dyDescent="0.2">
      <c r="A179" s="1448" t="s">
        <v>320</v>
      </c>
      <c r="C179" s="1483">
        <f>157194.47</f>
        <v>157194.47</v>
      </c>
      <c r="D179" s="1483">
        <f>172723.35</f>
        <v>172723.35</v>
      </c>
      <c r="E179" s="1483">
        <v>186923.4</v>
      </c>
      <c r="F179" s="1483">
        <v>195700.73</v>
      </c>
      <c r="G179" s="1483">
        <v>201491.53</v>
      </c>
      <c r="H179" s="1483">
        <v>336139.6</v>
      </c>
      <c r="I179" s="1483">
        <v>162231</v>
      </c>
      <c r="J179" s="1483">
        <v>173301</v>
      </c>
      <c r="K179" s="1483">
        <v>170318</v>
      </c>
      <c r="L179" s="1483">
        <v>197515</v>
      </c>
      <c r="M179" s="1483">
        <v>204361</v>
      </c>
      <c r="N179" s="1483">
        <v>190626</v>
      </c>
      <c r="O179" s="1447">
        <f>SUM(C179:N179)</f>
        <v>2348525.08</v>
      </c>
      <c r="P179" s="2025"/>
      <c r="Q179" s="1450"/>
      <c r="R179" s="1450"/>
      <c r="S179" s="1450"/>
      <c r="T179" s="1450"/>
    </row>
    <row r="180" spans="1:20" ht="12.75" customHeight="1" x14ac:dyDescent="0.2">
      <c r="A180" s="1448" t="s">
        <v>1889</v>
      </c>
      <c r="C180" s="1483">
        <f>94495.44</f>
        <v>94495.44</v>
      </c>
      <c r="D180" s="1483">
        <f>106575.9</f>
        <v>106575.9</v>
      </c>
      <c r="E180" s="1483">
        <v>119061.9</v>
      </c>
      <c r="F180" s="1483">
        <f>195700.73-68082.49</f>
        <v>127618.24000000001</v>
      </c>
      <c r="G180" s="1483">
        <f>G179-65520</f>
        <v>135971.53</v>
      </c>
      <c r="H180" s="1483">
        <f>H179-114468.81</f>
        <v>221670.78999999998</v>
      </c>
      <c r="I180" s="1483">
        <v>108697</v>
      </c>
      <c r="J180" s="1483">
        <v>115972</v>
      </c>
      <c r="K180" s="1483">
        <v>114012</v>
      </c>
      <c r="L180" s="1483">
        <v>131886</v>
      </c>
      <c r="M180" s="1483">
        <v>136385</v>
      </c>
      <c r="N180" s="1483">
        <v>127358</v>
      </c>
      <c r="O180" s="1447">
        <f>SUM(C180:N180)</f>
        <v>1539703.8</v>
      </c>
      <c r="P180" s="2025"/>
      <c r="Q180" s="1450"/>
      <c r="R180" s="1450"/>
      <c r="S180" s="1450"/>
      <c r="T180" s="1450"/>
    </row>
    <row r="181" spans="1:20" ht="12.75" customHeight="1" x14ac:dyDescent="0.2">
      <c r="C181" s="1812"/>
      <c r="D181" s="1812"/>
      <c r="E181" s="1812"/>
      <c r="F181" s="1812"/>
      <c r="G181" s="1812"/>
      <c r="H181" s="1812"/>
      <c r="I181" s="1812"/>
      <c r="J181" s="1812"/>
      <c r="K181" s="1812"/>
      <c r="L181" s="1812"/>
      <c r="M181" s="1812"/>
      <c r="N181" s="1812"/>
      <c r="O181" s="1447"/>
      <c r="P181" s="1827"/>
      <c r="Q181" s="1450"/>
      <c r="R181" s="1450"/>
      <c r="S181" s="1450"/>
      <c r="T181" s="1450"/>
    </row>
    <row r="182" spans="1:20" ht="12.75" customHeight="1" x14ac:dyDescent="0.2">
      <c r="A182" s="1484" t="s">
        <v>321</v>
      </c>
      <c r="C182" s="1483"/>
      <c r="D182" s="1483"/>
      <c r="E182" s="1483"/>
      <c r="F182" s="1483"/>
      <c r="G182" s="1483"/>
      <c r="H182" s="1483"/>
      <c r="I182" s="1483"/>
      <c r="J182" s="1483"/>
      <c r="K182" s="1483"/>
      <c r="L182" s="1483"/>
      <c r="M182" s="1483"/>
      <c r="N182" s="1483"/>
      <c r="O182" s="1447"/>
      <c r="P182" s="2025"/>
      <c r="Q182" s="1450"/>
      <c r="R182" s="1450"/>
      <c r="S182" s="1450"/>
      <c r="T182" s="1450"/>
    </row>
    <row r="183" spans="1:20" ht="12.75" customHeight="1" x14ac:dyDescent="0.2">
      <c r="A183" s="1448" t="s">
        <v>325</v>
      </c>
      <c r="C183" s="1483">
        <f>67697.49</f>
        <v>67697.490000000005</v>
      </c>
      <c r="D183" s="1483">
        <f>92152.18</f>
        <v>92152.18</v>
      </c>
      <c r="E183" s="1483">
        <v>71846.33</v>
      </c>
      <c r="F183" s="1483">
        <v>74017.52</v>
      </c>
      <c r="G183" s="1483">
        <f>2654+55332.17+12940.59+4926.48+10903.1</f>
        <v>86756.34</v>
      </c>
      <c r="H183" s="1483">
        <v>79999.520000000004</v>
      </c>
      <c r="I183" s="1483">
        <v>68150.615909765518</v>
      </c>
      <c r="J183" s="1483">
        <v>66695.874146631046</v>
      </c>
      <c r="K183" s="1483">
        <v>82429.073909171857</v>
      </c>
      <c r="L183" s="1483">
        <v>83633.720688631642</v>
      </c>
      <c r="M183" s="1483">
        <v>81657.720391807656</v>
      </c>
      <c r="N183" s="1483">
        <v>70661.277827248443</v>
      </c>
      <c r="O183" s="1447">
        <f>SUM(C183:N183)</f>
        <v>925697.66287325614</v>
      </c>
      <c r="P183" s="2025"/>
      <c r="Q183" s="1450"/>
      <c r="R183" s="1450"/>
      <c r="S183" s="1450"/>
      <c r="T183" s="1450"/>
    </row>
    <row r="184" spans="1:20" ht="12.75" customHeight="1" x14ac:dyDescent="0.2">
      <c r="A184" s="1448" t="s">
        <v>1890</v>
      </c>
      <c r="C184" s="1483">
        <v>40727.57</v>
      </c>
      <c r="D184" s="1483">
        <f>57296.25</f>
        <v>57296.25</v>
      </c>
      <c r="E184" s="1483">
        <v>46947.9</v>
      </c>
      <c r="F184" s="1483">
        <v>48268.91</v>
      </c>
      <c r="G184" s="1483">
        <v>57714.73</v>
      </c>
      <c r="H184" s="1657">
        <v>53331.519999999997</v>
      </c>
      <c r="I184" s="1483">
        <v>46000</v>
      </c>
      <c r="J184" s="1483">
        <v>45000</v>
      </c>
      <c r="K184" s="1483">
        <v>56000</v>
      </c>
      <c r="L184" s="1483">
        <v>56000</v>
      </c>
      <c r="M184" s="1483">
        <v>55000</v>
      </c>
      <c r="N184" s="1483">
        <v>48000</v>
      </c>
      <c r="O184" s="1447">
        <f>SUM(C184:N184)</f>
        <v>610286.88</v>
      </c>
      <c r="P184" s="1827"/>
      <c r="Q184" s="1450"/>
      <c r="R184" s="1450"/>
      <c r="S184" s="1450"/>
      <c r="T184" s="1450"/>
    </row>
    <row r="185" spans="1:20" ht="12.75" customHeight="1" x14ac:dyDescent="0.2">
      <c r="C185" s="1447"/>
      <c r="D185" s="1447"/>
      <c r="E185" s="1447"/>
      <c r="F185" s="1447"/>
      <c r="G185" s="1447"/>
      <c r="H185" s="1447"/>
      <c r="I185" s="1447"/>
      <c r="J185" s="1447"/>
      <c r="K185" s="1447"/>
      <c r="L185" s="1447"/>
      <c r="M185" s="1447"/>
      <c r="N185" s="1447"/>
      <c r="O185" s="1447"/>
      <c r="P185" s="2025"/>
      <c r="Q185" s="1450"/>
      <c r="R185" s="1450"/>
      <c r="S185" s="1450"/>
      <c r="T185" s="1450"/>
    </row>
    <row r="186" spans="1:20" ht="12.75" customHeight="1" x14ac:dyDescent="0.2">
      <c r="A186" s="1484" t="s">
        <v>1962</v>
      </c>
      <c r="C186" s="1904"/>
      <c r="D186" s="1904"/>
      <c r="E186" s="1904"/>
      <c r="F186" s="1904"/>
      <c r="G186" s="1904"/>
      <c r="H186" s="1904"/>
      <c r="I186" s="1904"/>
      <c r="J186" s="1904"/>
      <c r="K186" s="1904"/>
      <c r="L186" s="1904"/>
      <c r="M186" s="1904"/>
      <c r="N186" s="1904"/>
      <c r="O186" s="1447"/>
      <c r="P186" s="2025"/>
      <c r="Q186" s="1450"/>
      <c r="R186" s="1450"/>
      <c r="S186" s="1450"/>
      <c r="T186" s="1450"/>
    </row>
    <row r="187" spans="1:20" ht="12.75" customHeight="1" x14ac:dyDescent="0.2">
      <c r="A187" s="1448" t="s">
        <v>386</v>
      </c>
      <c r="C187" s="1514">
        <v>144</v>
      </c>
      <c r="D187" s="1514">
        <v>144</v>
      </c>
      <c r="E187" s="1514">
        <v>144</v>
      </c>
      <c r="F187" s="1514">
        <v>144</v>
      </c>
      <c r="G187" s="1514">
        <v>142</v>
      </c>
      <c r="H187" s="1514">
        <v>153</v>
      </c>
      <c r="I187" s="1514">
        <v>155</v>
      </c>
      <c r="J187" s="1514">
        <v>158</v>
      </c>
      <c r="K187" s="1514">
        <v>156</v>
      </c>
      <c r="L187" s="1514">
        <v>154</v>
      </c>
      <c r="M187" s="1514">
        <v>154</v>
      </c>
      <c r="N187" s="1514">
        <v>154</v>
      </c>
      <c r="O187" s="1447">
        <f>SUM(C187:N187)/12</f>
        <v>150.16666666666666</v>
      </c>
      <c r="P187" s="2025"/>
      <c r="Q187" s="1450"/>
      <c r="R187" s="1450"/>
      <c r="S187" s="1450"/>
      <c r="T187" s="1450"/>
    </row>
    <row r="188" spans="1:20" ht="12.75" customHeight="1" x14ac:dyDescent="0.2">
      <c r="C188" s="1447"/>
      <c r="D188" s="1447"/>
      <c r="E188" s="1447"/>
      <c r="F188" s="1447"/>
      <c r="G188" s="1447"/>
      <c r="H188" s="1447"/>
      <c r="I188" s="1447"/>
      <c r="J188" s="1447"/>
      <c r="K188" s="1447"/>
      <c r="L188" s="1447"/>
      <c r="M188" s="1447"/>
      <c r="N188" s="1447"/>
      <c r="O188" s="1447"/>
      <c r="P188" s="1827"/>
      <c r="Q188" s="1450"/>
      <c r="R188" s="1450"/>
      <c r="S188" s="1450"/>
      <c r="T188" s="1450"/>
    </row>
    <row r="189" spans="1:20" ht="12.75" customHeight="1" x14ac:dyDescent="0.2">
      <c r="C189" s="1450"/>
      <c r="D189" s="1447"/>
      <c r="E189" s="1450"/>
      <c r="F189" s="1450"/>
      <c r="G189" s="1450"/>
      <c r="H189" s="1450"/>
      <c r="I189" s="1450"/>
      <c r="J189" s="1450"/>
      <c r="K189" s="1450"/>
      <c r="L189" s="1450"/>
      <c r="M189" s="1450"/>
      <c r="N189" s="1450"/>
      <c r="O189" s="1450"/>
      <c r="P189" s="1648"/>
      <c r="Q189" s="1450"/>
      <c r="R189" s="1450"/>
      <c r="S189" s="1450"/>
      <c r="T189" s="1450"/>
    </row>
    <row r="190" spans="1:20" ht="12.75" customHeight="1" x14ac:dyDescent="0.2">
      <c r="C190" s="1450"/>
      <c r="D190" s="1450"/>
      <c r="E190" s="1450"/>
      <c r="F190" s="1450"/>
      <c r="G190" s="1450"/>
      <c r="H190" s="1450"/>
      <c r="I190" s="1450"/>
      <c r="J190" s="1450"/>
      <c r="K190" s="1450"/>
      <c r="L190" s="1450"/>
      <c r="M190" s="1450"/>
      <c r="N190" s="1450"/>
      <c r="O190" s="1902" t="s">
        <v>1194</v>
      </c>
      <c r="P190" s="1648"/>
      <c r="Q190" s="1450"/>
      <c r="R190" s="1450"/>
      <c r="S190" s="1450"/>
      <c r="T190" s="1450"/>
    </row>
    <row r="191" spans="1:20" ht="12.75" customHeight="1" x14ac:dyDescent="0.2">
      <c r="A191" s="1451"/>
      <c r="B191" s="1451"/>
      <c r="C191" s="1902" t="s">
        <v>1877</v>
      </c>
      <c r="D191" s="1902" t="s">
        <v>368</v>
      </c>
      <c r="E191" s="1902" t="s">
        <v>369</v>
      </c>
      <c r="F191" s="1902" t="s">
        <v>370</v>
      </c>
      <c r="G191" s="1902" t="s">
        <v>371</v>
      </c>
      <c r="H191" s="1902" t="s">
        <v>372</v>
      </c>
      <c r="I191" s="1902" t="s">
        <v>373</v>
      </c>
      <c r="J191" s="1902" t="s">
        <v>374</v>
      </c>
      <c r="K191" s="1902" t="s">
        <v>375</v>
      </c>
      <c r="L191" s="1902" t="s">
        <v>376</v>
      </c>
      <c r="M191" s="1902" t="s">
        <v>377</v>
      </c>
      <c r="N191" s="1902" t="s">
        <v>378</v>
      </c>
      <c r="O191" s="1902" t="s">
        <v>1598</v>
      </c>
      <c r="Q191" s="1448"/>
    </row>
    <row r="192" spans="1:20" ht="12.75" customHeight="1" x14ac:dyDescent="0.2">
      <c r="A192" s="1484" t="s">
        <v>379</v>
      </c>
      <c r="C192" s="1902">
        <v>2017</v>
      </c>
      <c r="D192" s="1902">
        <f t="shared" ref="D192:N192" si="15">C192</f>
        <v>2017</v>
      </c>
      <c r="E192" s="1902">
        <f t="shared" si="15"/>
        <v>2017</v>
      </c>
      <c r="F192" s="1902">
        <f t="shared" si="15"/>
        <v>2017</v>
      </c>
      <c r="G192" s="1902">
        <f t="shared" si="15"/>
        <v>2017</v>
      </c>
      <c r="H192" s="1902">
        <f t="shared" si="15"/>
        <v>2017</v>
      </c>
      <c r="I192" s="1902">
        <f t="shared" si="15"/>
        <v>2017</v>
      </c>
      <c r="J192" s="1902">
        <f t="shared" si="15"/>
        <v>2017</v>
      </c>
      <c r="K192" s="1902">
        <f t="shared" si="15"/>
        <v>2017</v>
      </c>
      <c r="L192" s="1902">
        <f t="shared" si="15"/>
        <v>2017</v>
      </c>
      <c r="M192" s="1902">
        <f t="shared" si="15"/>
        <v>2017</v>
      </c>
      <c r="N192" s="1902">
        <f t="shared" si="15"/>
        <v>2017</v>
      </c>
      <c r="O192" s="1905" t="s">
        <v>330</v>
      </c>
      <c r="Q192" s="1448"/>
    </row>
    <row r="193" spans="1:19" ht="12.75" customHeight="1" x14ac:dyDescent="0.2">
      <c r="C193" s="2039" t="s">
        <v>1105</v>
      </c>
      <c r="D193" s="2039" t="s">
        <v>1105</v>
      </c>
      <c r="E193" s="2039" t="s">
        <v>1105</v>
      </c>
      <c r="F193" s="2039" t="s">
        <v>1105</v>
      </c>
      <c r="G193" s="2039" t="s">
        <v>1105</v>
      </c>
      <c r="H193" s="2039" t="s">
        <v>1105</v>
      </c>
      <c r="I193" s="2039" t="s">
        <v>1105</v>
      </c>
      <c r="J193" s="2039" t="s">
        <v>1105</v>
      </c>
      <c r="K193" s="2039" t="s">
        <v>1105</v>
      </c>
      <c r="L193" s="2039" t="s">
        <v>1105</v>
      </c>
      <c r="M193" s="2039" t="s">
        <v>1105</v>
      </c>
      <c r="N193" s="2039" t="s">
        <v>1105</v>
      </c>
      <c r="Q193" s="1448"/>
    </row>
    <row r="194" spans="1:19" ht="12.75" customHeight="1" x14ac:dyDescent="0.2">
      <c r="A194" s="1484" t="s">
        <v>1897</v>
      </c>
      <c r="C194" s="1450"/>
      <c r="D194" s="1446"/>
      <c r="E194" s="1450"/>
      <c r="F194" s="1446"/>
      <c r="G194" s="1450"/>
      <c r="H194" s="1446"/>
      <c r="I194" s="1450"/>
      <c r="J194" s="1446"/>
      <c r="K194" s="1450"/>
      <c r="L194" s="1446"/>
      <c r="M194" s="1450"/>
      <c r="N194" s="1446"/>
      <c r="O194" s="1450"/>
      <c r="P194" s="2025"/>
      <c r="Q194" s="1448"/>
    </row>
    <row r="195" spans="1:19" ht="12.75" customHeight="1" x14ac:dyDescent="0.2">
      <c r="A195" s="1448" t="s">
        <v>380</v>
      </c>
      <c r="C195" s="1817" t="s">
        <v>546</v>
      </c>
      <c r="D195" s="1817" t="s">
        <v>546</v>
      </c>
      <c r="E195" s="1817" t="s">
        <v>546</v>
      </c>
      <c r="F195" s="1817" t="s">
        <v>546</v>
      </c>
      <c r="G195" s="1817" t="s">
        <v>546</v>
      </c>
      <c r="H195" s="1817" t="s">
        <v>546</v>
      </c>
      <c r="I195" s="1817" t="s">
        <v>546</v>
      </c>
      <c r="J195" s="1817" t="s">
        <v>546</v>
      </c>
      <c r="K195" s="1817" t="s">
        <v>546</v>
      </c>
      <c r="L195" s="1817" t="s">
        <v>546</v>
      </c>
      <c r="M195" s="1817" t="s">
        <v>546</v>
      </c>
      <c r="N195" s="1817" t="s">
        <v>546</v>
      </c>
      <c r="O195" s="1817" t="s">
        <v>546</v>
      </c>
      <c r="P195" s="2025"/>
      <c r="Q195" s="1450"/>
    </row>
    <row r="196" spans="1:19" ht="12.75" customHeight="1" x14ac:dyDescent="0.2">
      <c r="A196" s="1448" t="s">
        <v>381</v>
      </c>
      <c r="C196" s="1818" t="s">
        <v>546</v>
      </c>
      <c r="D196" s="1818" t="s">
        <v>546</v>
      </c>
      <c r="E196" s="1818" t="s">
        <v>546</v>
      </c>
      <c r="F196" s="1818" t="s">
        <v>546</v>
      </c>
      <c r="G196" s="1818" t="s">
        <v>546</v>
      </c>
      <c r="H196" s="1818" t="s">
        <v>546</v>
      </c>
      <c r="I196" s="1818" t="s">
        <v>546</v>
      </c>
      <c r="J196" s="1818" t="s">
        <v>546</v>
      </c>
      <c r="K196" s="1818" t="s">
        <v>546</v>
      </c>
      <c r="L196" s="1818" t="s">
        <v>546</v>
      </c>
      <c r="M196" s="1818" t="s">
        <v>546</v>
      </c>
      <c r="N196" s="1818" t="s">
        <v>546</v>
      </c>
      <c r="O196" s="1818" t="s">
        <v>546</v>
      </c>
      <c r="P196" s="2025"/>
      <c r="Q196" s="1450"/>
    </row>
    <row r="197" spans="1:19" ht="12.75" customHeight="1" x14ac:dyDescent="0.2">
      <c r="A197" s="1448" t="s">
        <v>1896</v>
      </c>
      <c r="C197" s="1485" t="s">
        <v>546</v>
      </c>
      <c r="D197" s="1485" t="s">
        <v>546</v>
      </c>
      <c r="E197" s="1485" t="s">
        <v>546</v>
      </c>
      <c r="F197" s="1485" t="s">
        <v>546</v>
      </c>
      <c r="G197" s="1485" t="s">
        <v>546</v>
      </c>
      <c r="H197" s="1485" t="s">
        <v>546</v>
      </c>
      <c r="I197" s="1485" t="s">
        <v>546</v>
      </c>
      <c r="J197" s="1485" t="s">
        <v>546</v>
      </c>
      <c r="K197" s="1485" t="s">
        <v>546</v>
      </c>
      <c r="L197" s="1485" t="s">
        <v>546</v>
      </c>
      <c r="M197" s="1485" t="s">
        <v>546</v>
      </c>
      <c r="N197" s="1485" t="s">
        <v>546</v>
      </c>
      <c r="O197" s="1485" t="s">
        <v>546</v>
      </c>
      <c r="P197" s="2025"/>
      <c r="Q197" s="1448"/>
    </row>
    <row r="198" spans="1:19" ht="12.75" customHeight="1" x14ac:dyDescent="0.2">
      <c r="C198" s="1447"/>
      <c r="D198" s="1447"/>
      <c r="E198" s="1447"/>
      <c r="F198" s="1447"/>
      <c r="G198" s="1447"/>
      <c r="H198" s="1447"/>
      <c r="I198" s="1447"/>
      <c r="J198" s="1447"/>
      <c r="K198" s="1447"/>
      <c r="L198" s="1447"/>
      <c r="M198" s="1447"/>
      <c r="N198" s="1447"/>
      <c r="O198" s="1447"/>
      <c r="P198" s="2025"/>
      <c r="Q198" s="1448"/>
    </row>
    <row r="199" spans="1:19" ht="12.75" customHeight="1" x14ac:dyDescent="0.2">
      <c r="A199" s="1484" t="s">
        <v>382</v>
      </c>
      <c r="C199" s="1447"/>
      <c r="D199" s="1447"/>
      <c r="E199" s="1447"/>
      <c r="F199" s="1447"/>
      <c r="G199" s="1447"/>
      <c r="H199" s="1447"/>
      <c r="I199" s="1447"/>
      <c r="J199" s="1447"/>
      <c r="K199" s="1447"/>
      <c r="L199" s="1447"/>
      <c r="M199" s="1447"/>
      <c r="N199" s="1447"/>
      <c r="O199" s="1447"/>
      <c r="P199" s="2025"/>
      <c r="Q199" s="1448"/>
    </row>
    <row r="200" spans="1:19" ht="12.75" customHeight="1" x14ac:dyDescent="0.2">
      <c r="A200" s="1448" t="s">
        <v>383</v>
      </c>
      <c r="C200" s="1483">
        <v>913904</v>
      </c>
      <c r="D200" s="1483">
        <v>711101</v>
      </c>
      <c r="E200" s="1483">
        <v>922795</v>
      </c>
      <c r="F200" s="1483">
        <v>893043</v>
      </c>
      <c r="G200" s="1483">
        <v>918932</v>
      </c>
      <c r="H200" s="1483">
        <v>938669</v>
      </c>
      <c r="I200" s="1483">
        <v>947286</v>
      </c>
      <c r="J200" s="1483">
        <v>842544</v>
      </c>
      <c r="K200" s="1483">
        <v>932079</v>
      </c>
      <c r="L200" s="1483">
        <v>899057</v>
      </c>
      <c r="M200" s="1483">
        <v>855010</v>
      </c>
      <c r="N200" s="1483">
        <v>990348</v>
      </c>
      <c r="O200" s="1447">
        <f>SUM(C200:N200)</f>
        <v>10764768</v>
      </c>
      <c r="P200" s="2026"/>
      <c r="Q200" s="1513"/>
      <c r="S200" s="1522"/>
    </row>
    <row r="201" spans="1:19" ht="12.75" customHeight="1" x14ac:dyDescent="0.2">
      <c r="A201" s="1448" t="s">
        <v>384</v>
      </c>
      <c r="C201" s="1906">
        <v>122037</v>
      </c>
      <c r="D201" s="1906">
        <v>124082</v>
      </c>
      <c r="E201" s="1906">
        <v>163407</v>
      </c>
      <c r="F201" s="1906">
        <v>114326</v>
      </c>
      <c r="G201" s="1906">
        <v>96017</v>
      </c>
      <c r="H201" s="1906">
        <v>123341</v>
      </c>
      <c r="I201" s="1906">
        <v>113731</v>
      </c>
      <c r="J201" s="1906">
        <v>130432</v>
      </c>
      <c r="K201" s="1906">
        <v>97185</v>
      </c>
      <c r="L201" s="1906">
        <v>129853</v>
      </c>
      <c r="M201" s="1906">
        <v>173565</v>
      </c>
      <c r="N201" s="1906">
        <v>142209</v>
      </c>
      <c r="O201" s="1452">
        <f>SUM(C201:N201)</f>
        <v>1530185</v>
      </c>
      <c r="P201" s="2026"/>
      <c r="Q201" s="1513"/>
      <c r="S201" s="1522"/>
    </row>
    <row r="202" spans="1:19" ht="12.75" customHeight="1" x14ac:dyDescent="0.2">
      <c r="A202" s="1448" t="s">
        <v>385</v>
      </c>
      <c r="C202" s="1447">
        <f t="shared" ref="C202:N202" si="16">C200+C201</f>
        <v>1035941</v>
      </c>
      <c r="D202" s="1447">
        <f t="shared" si="16"/>
        <v>835183</v>
      </c>
      <c r="E202" s="1447">
        <f t="shared" si="16"/>
        <v>1086202</v>
      </c>
      <c r="F202" s="1447">
        <f t="shared" si="16"/>
        <v>1007369</v>
      </c>
      <c r="G202" s="1447">
        <f t="shared" si="16"/>
        <v>1014949</v>
      </c>
      <c r="H202" s="1447">
        <f t="shared" si="16"/>
        <v>1062010</v>
      </c>
      <c r="I202" s="1447">
        <f t="shared" si="16"/>
        <v>1061017</v>
      </c>
      <c r="J202" s="1447">
        <f t="shared" si="16"/>
        <v>972976</v>
      </c>
      <c r="K202" s="1447">
        <f t="shared" si="16"/>
        <v>1029264</v>
      </c>
      <c r="L202" s="1447">
        <f t="shared" si="16"/>
        <v>1028910</v>
      </c>
      <c r="M202" s="1447">
        <f t="shared" si="16"/>
        <v>1028575</v>
      </c>
      <c r="N202" s="1447">
        <f t="shared" si="16"/>
        <v>1132557</v>
      </c>
      <c r="O202" s="1447">
        <f>SUM(C202:N202)</f>
        <v>12294953</v>
      </c>
      <c r="P202" s="1827"/>
      <c r="Q202" s="1513"/>
      <c r="R202" s="1523"/>
      <c r="S202" s="1522"/>
    </row>
    <row r="203" spans="1:19" ht="12.75" customHeight="1" x14ac:dyDescent="0.2">
      <c r="C203" s="1447"/>
      <c r="D203" s="1447"/>
      <c r="E203" s="1447"/>
      <c r="F203" s="1447"/>
      <c r="G203" s="1447"/>
      <c r="H203" s="1447"/>
      <c r="I203" s="1447"/>
      <c r="J203" s="1447"/>
      <c r="K203" s="1447"/>
      <c r="L203" s="1447"/>
      <c r="M203" s="1447"/>
      <c r="N203" s="1447"/>
      <c r="O203" s="1513"/>
      <c r="P203" s="2025"/>
      <c r="Q203" s="1448"/>
    </row>
    <row r="204" spans="1:19" ht="12.75" customHeight="1" x14ac:dyDescent="0.2">
      <c r="A204" s="1484" t="s">
        <v>1891</v>
      </c>
      <c r="C204" s="1483">
        <v>787625.25</v>
      </c>
      <c r="D204" s="1483">
        <v>645094.65</v>
      </c>
      <c r="E204" s="1483">
        <v>823153.67</v>
      </c>
      <c r="F204" s="1483">
        <v>767234</v>
      </c>
      <c r="G204" s="1483">
        <v>772610.83</v>
      </c>
      <c r="H204" s="1483">
        <v>805993.2</v>
      </c>
      <c r="I204" s="1483">
        <v>806172.12</v>
      </c>
      <c r="J204" s="1483">
        <v>743720.44</v>
      </c>
      <c r="K204" s="1483">
        <v>783648.11</v>
      </c>
      <c r="L204" s="1483">
        <v>783397.09</v>
      </c>
      <c r="M204" s="1483">
        <v>783159</v>
      </c>
      <c r="N204" s="1483">
        <v>856918.08</v>
      </c>
      <c r="O204" s="1447">
        <f>SUM(C204:N204)</f>
        <v>9358726.4399999995</v>
      </c>
      <c r="P204" s="2025"/>
      <c r="Q204" s="1522"/>
    </row>
    <row r="205" spans="1:19" ht="12.75" customHeight="1" x14ac:dyDescent="0.2">
      <c r="C205" s="1907"/>
      <c r="D205" s="1907"/>
      <c r="E205" s="1907"/>
      <c r="F205" s="1907"/>
      <c r="G205" s="1907"/>
      <c r="H205" s="1907"/>
      <c r="I205" s="1907"/>
      <c r="J205" s="1907"/>
      <c r="K205" s="1907"/>
      <c r="L205" s="1907"/>
      <c r="M205" s="1907"/>
      <c r="N205" s="1907"/>
      <c r="O205" s="1565"/>
      <c r="P205" s="1827"/>
      <c r="Q205" s="1450"/>
    </row>
    <row r="206" spans="1:19" ht="12.75" customHeight="1" x14ac:dyDescent="0.2">
      <c r="A206" s="1484" t="s">
        <v>317</v>
      </c>
      <c r="C206" s="1483"/>
      <c r="D206" s="1483"/>
      <c r="E206" s="1483"/>
      <c r="F206" s="1483"/>
      <c r="G206" s="1483"/>
      <c r="H206" s="1483"/>
      <c r="I206" s="1483"/>
      <c r="J206" s="1483"/>
      <c r="K206" s="1483"/>
      <c r="L206" s="1483"/>
      <c r="M206" s="1483"/>
      <c r="N206" s="1483"/>
      <c r="O206" s="1447"/>
      <c r="P206" s="2025"/>
      <c r="Q206" s="1450"/>
    </row>
    <row r="207" spans="1:19" ht="12.75" customHeight="1" x14ac:dyDescent="0.2">
      <c r="A207" s="1448" t="s">
        <v>320</v>
      </c>
      <c r="C207" s="1483">
        <v>298098</v>
      </c>
      <c r="D207" s="1483">
        <v>291962</v>
      </c>
      <c r="E207" s="1483">
        <v>162440</v>
      </c>
      <c r="F207" s="1483">
        <v>174468</v>
      </c>
      <c r="G207" s="1483">
        <v>171227</v>
      </c>
      <c r="H207" s="1483">
        <v>200777</v>
      </c>
      <c r="I207" s="1483">
        <v>208216</v>
      </c>
      <c r="J207" s="1483">
        <v>193292</v>
      </c>
      <c r="K207" s="1483">
        <v>181433</v>
      </c>
      <c r="L207" s="1483">
        <v>190386</v>
      </c>
      <c r="M207" s="1483">
        <v>299893</v>
      </c>
      <c r="N207" s="1483">
        <v>299893</v>
      </c>
      <c r="O207" s="1447">
        <f>SUM(C207:N207)</f>
        <v>2672085</v>
      </c>
      <c r="P207" s="2025"/>
      <c r="Q207" s="1450"/>
    </row>
    <row r="208" spans="1:19" ht="12.75" customHeight="1" x14ac:dyDescent="0.2">
      <c r="A208" s="1448" t="s">
        <v>1889</v>
      </c>
      <c r="C208" s="1483">
        <v>196590</v>
      </c>
      <c r="D208" s="1483">
        <v>210075</v>
      </c>
      <c r="E208" s="1483">
        <v>107436</v>
      </c>
      <c r="F208" s="1483">
        <v>115341</v>
      </c>
      <c r="G208" s="1483">
        <v>113211</v>
      </c>
      <c r="H208" s="1483">
        <v>132631</v>
      </c>
      <c r="I208" s="1483">
        <v>137520</v>
      </c>
      <c r="J208" s="1483">
        <v>127712</v>
      </c>
      <c r="K208" s="1483">
        <v>119918</v>
      </c>
      <c r="L208" s="1483">
        <v>125802</v>
      </c>
      <c r="M208" s="1483">
        <v>197770</v>
      </c>
      <c r="N208" s="1483">
        <v>197770</v>
      </c>
      <c r="O208" s="1447">
        <f>SUM(C208:N208)</f>
        <v>1781776</v>
      </c>
      <c r="P208" s="2025"/>
      <c r="Q208" s="1450"/>
    </row>
    <row r="209" spans="1:17" ht="12.75" customHeight="1" x14ac:dyDescent="0.2">
      <c r="C209" s="1483"/>
      <c r="D209" s="1483"/>
      <c r="E209" s="1483"/>
      <c r="F209" s="1483"/>
      <c r="G209" s="1483"/>
      <c r="H209" s="1483"/>
      <c r="I209" s="1483"/>
      <c r="J209" s="1483"/>
      <c r="K209" s="1483"/>
      <c r="L209" s="1483"/>
      <c r="M209" s="1483"/>
      <c r="N209" s="1483"/>
      <c r="O209" s="1447"/>
      <c r="P209" s="1827"/>
      <c r="Q209" s="1450"/>
    </row>
    <row r="210" spans="1:17" ht="12.75" customHeight="1" x14ac:dyDescent="0.2">
      <c r="A210" s="1484" t="s">
        <v>321</v>
      </c>
      <c r="C210" s="1483"/>
      <c r="D210" s="1483"/>
      <c r="E210" s="1483"/>
      <c r="F210" s="1483"/>
      <c r="G210" s="1483"/>
      <c r="H210" s="1483"/>
      <c r="I210" s="1483"/>
      <c r="J210" s="1483"/>
      <c r="K210" s="1483"/>
      <c r="L210" s="1483"/>
      <c r="M210" s="1483"/>
      <c r="N210" s="1483"/>
      <c r="O210" s="1447"/>
      <c r="P210" s="2025"/>
      <c r="Q210" s="1450"/>
    </row>
    <row r="211" spans="1:17" ht="12.75" customHeight="1" x14ac:dyDescent="0.2">
      <c r="A211" s="1448" t="s">
        <v>325</v>
      </c>
      <c r="C211" s="1483">
        <v>94759.893143365989</v>
      </c>
      <c r="D211" s="1483">
        <v>86166.927871772044</v>
      </c>
      <c r="E211" s="1483">
        <v>70266.580587711491</v>
      </c>
      <c r="F211" s="1483">
        <v>68768.87948946275</v>
      </c>
      <c r="G211" s="1483">
        <v>84989.016028495113</v>
      </c>
      <c r="H211" s="1483">
        <v>86234.41822499258</v>
      </c>
      <c r="I211" s="1483">
        <v>84195.509053131493</v>
      </c>
      <c r="J211" s="1483">
        <v>72854.85752448799</v>
      </c>
      <c r="K211" s="1483">
        <v>69542.392401306017</v>
      </c>
      <c r="L211" s="1483">
        <v>88577.910359157031</v>
      </c>
      <c r="M211" s="1483">
        <v>100185.70940932026</v>
      </c>
      <c r="N211" s="1483">
        <v>90570.862273671708</v>
      </c>
      <c r="O211" s="1447">
        <f>SUM(C211:N211)</f>
        <v>997112.95636687451</v>
      </c>
      <c r="P211" s="2025"/>
      <c r="Q211" s="1450"/>
    </row>
    <row r="212" spans="1:17" ht="12.75" customHeight="1" x14ac:dyDescent="0.2">
      <c r="A212" s="1448" t="s">
        <v>1890</v>
      </c>
      <c r="C212" s="1483">
        <v>64000</v>
      </c>
      <c r="D212" s="1483">
        <v>58000</v>
      </c>
      <c r="E212" s="1483">
        <v>47000</v>
      </c>
      <c r="F212" s="1483">
        <v>46000</v>
      </c>
      <c r="G212" s="1483">
        <v>57000</v>
      </c>
      <c r="H212" s="1483">
        <v>58000</v>
      </c>
      <c r="I212" s="1483">
        <v>57000</v>
      </c>
      <c r="J212" s="1483">
        <v>49000</v>
      </c>
      <c r="K212" s="1483">
        <v>47000</v>
      </c>
      <c r="L212" s="1483">
        <v>60000</v>
      </c>
      <c r="M212" s="1483">
        <v>68000</v>
      </c>
      <c r="N212" s="1483">
        <v>61000</v>
      </c>
      <c r="O212" s="1447">
        <f>SUM(C212:N212)</f>
        <v>672000</v>
      </c>
      <c r="P212" s="1827"/>
      <c r="Q212" s="1450"/>
    </row>
    <row r="213" spans="1:17" ht="12.75" customHeight="1" x14ac:dyDescent="0.2">
      <c r="C213" s="1447"/>
      <c r="D213" s="1447"/>
      <c r="E213" s="1447"/>
      <c r="F213" s="1447"/>
      <c r="G213" s="1447"/>
      <c r="H213" s="1447"/>
      <c r="I213" s="1447"/>
      <c r="J213" s="1447"/>
      <c r="K213" s="1447"/>
      <c r="L213" s="1447"/>
      <c r="M213" s="1447"/>
      <c r="N213" s="1447"/>
      <c r="O213" s="1447"/>
      <c r="P213" s="2025"/>
      <c r="Q213" s="1448"/>
    </row>
    <row r="214" spans="1:17" ht="12.75" customHeight="1" x14ac:dyDescent="0.2">
      <c r="A214" s="1484" t="s">
        <v>1962</v>
      </c>
      <c r="C214" s="1514"/>
      <c r="D214" s="1514"/>
      <c r="E214" s="1514"/>
      <c r="F214" s="1514"/>
      <c r="G214" s="1514"/>
      <c r="H214" s="1514"/>
      <c r="I214" s="1514"/>
      <c r="J214" s="1514"/>
      <c r="K214" s="1514"/>
      <c r="L214" s="1514"/>
      <c r="M214" s="1514"/>
      <c r="N214" s="1514"/>
      <c r="O214" s="1447"/>
      <c r="P214" s="2025"/>
      <c r="Q214" s="1448"/>
    </row>
    <row r="215" spans="1:17" ht="12.75" customHeight="1" x14ac:dyDescent="0.2">
      <c r="A215" s="1448" t="s">
        <v>386</v>
      </c>
      <c r="C215" s="1514">
        <v>156</v>
      </c>
      <c r="D215" s="1514">
        <v>157</v>
      </c>
      <c r="E215" s="1514">
        <v>158</v>
      </c>
      <c r="F215" s="1514">
        <v>158</v>
      </c>
      <c r="G215" s="1514">
        <v>158</v>
      </c>
      <c r="H215" s="1514">
        <v>158</v>
      </c>
      <c r="I215" s="1514">
        <v>158</v>
      </c>
      <c r="J215" s="1514">
        <v>158</v>
      </c>
      <c r="K215" s="1514">
        <v>158</v>
      </c>
      <c r="L215" s="1514">
        <v>158</v>
      </c>
      <c r="M215" s="1514">
        <v>158</v>
      </c>
      <c r="N215" s="1514">
        <v>158</v>
      </c>
      <c r="O215" s="1447">
        <f>SUM(C215:N215)/12</f>
        <v>157.75</v>
      </c>
      <c r="P215" s="1827"/>
      <c r="Q215" s="1448"/>
    </row>
    <row r="216" spans="1:17" ht="12.75" customHeight="1" x14ac:dyDescent="0.2">
      <c r="C216" s="1447"/>
      <c r="D216" s="1447"/>
      <c r="E216" s="1447"/>
      <c r="F216" s="1447"/>
      <c r="G216" s="1447"/>
      <c r="H216" s="1447"/>
      <c r="I216" s="1447"/>
      <c r="J216" s="1447"/>
      <c r="K216" s="1447"/>
      <c r="L216" s="1447"/>
      <c r="M216" s="1447"/>
      <c r="N216" s="1447"/>
      <c r="O216" s="1447"/>
      <c r="P216" s="1828"/>
      <c r="Q216" s="1448"/>
    </row>
    <row r="217" spans="1:17" ht="12.75" customHeight="1" x14ac:dyDescent="0.2">
      <c r="Q217" s="1448"/>
    </row>
    <row r="218" spans="1:17" x14ac:dyDescent="0.2">
      <c r="C218" s="1447"/>
      <c r="D218" s="1447"/>
      <c r="E218" s="1447"/>
      <c r="F218" s="1447"/>
      <c r="G218" s="1447"/>
      <c r="H218" s="1447"/>
      <c r="I218" s="1447"/>
      <c r="J218" s="1447"/>
      <c r="K218" s="1447"/>
      <c r="L218" s="1447"/>
      <c r="M218" s="1447"/>
      <c r="N218" s="1447"/>
      <c r="O218" s="1447"/>
      <c r="Q218" s="1448"/>
    </row>
    <row r="219" spans="1:17" x14ac:dyDescent="0.2">
      <c r="Q219" s="1448"/>
    </row>
    <row r="220" spans="1:17" x14ac:dyDescent="0.2">
      <c r="Q220" s="1448"/>
    </row>
    <row r="221" spans="1:17" x14ac:dyDescent="0.2">
      <c r="Q221" s="1448"/>
    </row>
    <row r="222" spans="1:17" x14ac:dyDescent="0.2">
      <c r="O222" s="1524"/>
      <c r="Q222" s="1448"/>
    </row>
    <row r="223" spans="1:17" x14ac:dyDescent="0.2">
      <c r="O223" s="1908"/>
      <c r="Q223" s="1448"/>
    </row>
    <row r="224" spans="1:17" x14ac:dyDescent="0.2">
      <c r="Q224" s="1448"/>
    </row>
    <row r="225" spans="15:17" x14ac:dyDescent="0.2">
      <c r="O225" s="1524"/>
      <c r="Q225" s="1448"/>
    </row>
    <row r="226" spans="15:17" x14ac:dyDescent="0.2">
      <c r="O226" s="1908"/>
      <c r="Q226" s="1448"/>
    </row>
    <row r="227" spans="15:17" x14ac:dyDescent="0.2">
      <c r="Q227" s="1448"/>
    </row>
    <row r="228" spans="15:17" x14ac:dyDescent="0.2">
      <c r="O228" s="1524"/>
    </row>
  </sheetData>
  <mergeCells count="17">
    <mergeCell ref="A1:O1"/>
    <mergeCell ref="A2:O2"/>
    <mergeCell ref="A3:O3"/>
    <mergeCell ref="A4:O4"/>
    <mergeCell ref="A62:O62"/>
    <mergeCell ref="A158:O158"/>
    <mergeCell ref="A63:O63"/>
    <mergeCell ref="A159:O159"/>
    <mergeCell ref="A123:O123"/>
    <mergeCell ref="A124:O124"/>
    <mergeCell ref="A125:O125"/>
    <mergeCell ref="A126:O126"/>
    <mergeCell ref="Q18:U20"/>
    <mergeCell ref="A64:O64"/>
    <mergeCell ref="A65:O65"/>
    <mergeCell ref="A156:O156"/>
    <mergeCell ref="A157:O157"/>
  </mergeCells>
  <phoneticPr fontId="0" type="noConversion"/>
  <printOptions horizontalCentered="1"/>
  <pageMargins left="0.5" right="0.5" top="1" bottom="0.5" header="0.3" footer="0.3"/>
  <pageSetup scale="65" orientation="landscape" r:id="rId1"/>
  <headerFooter alignWithMargins="0"/>
  <rowBreaks count="3" manualBreakCount="3">
    <brk id="60" max="16383" man="1"/>
    <brk id="121" max="16383" man="1"/>
    <brk id="154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81"/>
  <dimension ref="A1:H128"/>
  <sheetViews>
    <sheetView zoomScaleNormal="100" workbookViewId="0">
      <selection activeCell="C27" sqref="C27"/>
    </sheetView>
  </sheetViews>
  <sheetFormatPr defaultColWidth="9.83203125" defaultRowHeight="10.5" x14ac:dyDescent="0.15"/>
  <cols>
    <col min="1" max="1" width="26.1640625" style="836" customWidth="1"/>
    <col min="2" max="2" width="1.6640625" style="836" customWidth="1"/>
    <col min="3" max="3" width="61.33203125" style="836" customWidth="1"/>
    <col min="4" max="16384" width="9.83203125" style="836"/>
  </cols>
  <sheetData>
    <row r="1" spans="1:8" ht="12.75" x14ac:dyDescent="0.2">
      <c r="A1" s="241"/>
      <c r="B1" s="241"/>
      <c r="C1" s="241"/>
      <c r="D1" s="241"/>
      <c r="E1" s="241"/>
      <c r="F1" s="577"/>
      <c r="G1" s="577"/>
      <c r="H1" s="577"/>
    </row>
    <row r="2" spans="1:8" ht="12.75" x14ac:dyDescent="0.2">
      <c r="A2" s="241"/>
      <c r="B2" s="241"/>
      <c r="C2" s="241"/>
      <c r="D2" s="241"/>
      <c r="E2" s="241"/>
      <c r="F2" s="577"/>
      <c r="G2" s="577"/>
      <c r="H2" s="577"/>
    </row>
    <row r="3" spans="1:8" ht="12.75" x14ac:dyDescent="0.2">
      <c r="A3" s="241"/>
      <c r="B3" s="241"/>
      <c r="C3" s="241"/>
      <c r="D3" s="241"/>
      <c r="E3" s="241"/>
      <c r="F3" s="577"/>
      <c r="G3" s="577"/>
      <c r="H3" s="577"/>
    </row>
    <row r="4" spans="1:8" ht="12.75" x14ac:dyDescent="0.2">
      <c r="A4" s="241"/>
      <c r="B4" s="241"/>
      <c r="C4" s="241"/>
      <c r="D4" s="241"/>
      <c r="E4" s="241"/>
      <c r="F4" s="577"/>
      <c r="G4" s="577"/>
      <c r="H4" s="577"/>
    </row>
    <row r="5" spans="1:8" ht="12.75" x14ac:dyDescent="0.2">
      <c r="A5" s="2055" t="s">
        <v>387</v>
      </c>
      <c r="B5" s="2055"/>
      <c r="C5" s="2055"/>
      <c r="D5" s="241"/>
      <c r="E5" s="241"/>
      <c r="F5" s="577"/>
      <c r="G5" s="577"/>
      <c r="H5" s="577"/>
    </row>
    <row r="6" spans="1:8" ht="12.75" x14ac:dyDescent="0.2">
      <c r="A6" s="241"/>
      <c r="B6" s="241"/>
      <c r="C6" s="241"/>
      <c r="D6" s="241"/>
      <c r="E6" s="241"/>
      <c r="F6" s="577"/>
      <c r="G6" s="577"/>
      <c r="H6" s="577"/>
    </row>
    <row r="7" spans="1:8" ht="12.75" x14ac:dyDescent="0.2">
      <c r="A7" s="2055" t="s">
        <v>388</v>
      </c>
      <c r="B7" s="2055"/>
      <c r="C7" s="2055"/>
      <c r="D7" s="241"/>
      <c r="E7" s="241"/>
      <c r="F7" s="577"/>
      <c r="G7" s="577"/>
      <c r="H7" s="577"/>
    </row>
    <row r="8" spans="1:8" ht="12.75" x14ac:dyDescent="0.2">
      <c r="A8" s="241"/>
      <c r="B8" s="241"/>
      <c r="C8" s="241"/>
      <c r="D8" s="241"/>
      <c r="E8" s="241"/>
      <c r="F8" s="577"/>
      <c r="G8" s="577"/>
      <c r="H8" s="577"/>
    </row>
    <row r="9" spans="1:8" ht="12.75" x14ac:dyDescent="0.2">
      <c r="A9" s="2055" t="s">
        <v>624</v>
      </c>
      <c r="B9" s="2055"/>
      <c r="C9" s="2055"/>
      <c r="D9" s="241"/>
      <c r="E9" s="241"/>
      <c r="F9" s="577"/>
      <c r="G9" s="577"/>
      <c r="H9" s="577"/>
    </row>
    <row r="10" spans="1:8" ht="12.75" x14ac:dyDescent="0.2">
      <c r="A10" s="241"/>
      <c r="B10" s="241"/>
      <c r="C10" s="241"/>
      <c r="D10" s="241"/>
      <c r="E10" s="241"/>
      <c r="F10" s="577"/>
      <c r="G10" s="577"/>
      <c r="H10" s="577"/>
    </row>
    <row r="11" spans="1:8" ht="12.75" x14ac:dyDescent="0.2">
      <c r="A11" s="2055" t="str">
        <f>case</f>
        <v>CASE NO. 2016 - 00162</v>
      </c>
      <c r="B11" s="2055"/>
      <c r="C11" s="2055"/>
      <c r="D11" s="241"/>
      <c r="E11" s="241"/>
      <c r="F11" s="577"/>
      <c r="G11" s="577"/>
      <c r="H11" s="577"/>
    </row>
    <row r="12" spans="1:8" ht="12.75" x14ac:dyDescent="0.2">
      <c r="A12" s="242"/>
      <c r="B12" s="241"/>
      <c r="C12" s="560"/>
      <c r="D12" s="241"/>
      <c r="E12" s="241"/>
      <c r="F12" s="577"/>
      <c r="G12" s="577"/>
      <c r="H12" s="577"/>
    </row>
    <row r="13" spans="1:8" ht="12.75" x14ac:dyDescent="0.2">
      <c r="A13" s="242"/>
      <c r="B13" s="241"/>
      <c r="C13" s="560"/>
      <c r="D13" s="241"/>
      <c r="E13" s="241"/>
      <c r="F13" s="577"/>
      <c r="G13" s="577"/>
      <c r="H13" s="577"/>
    </row>
    <row r="14" spans="1:8" ht="12.75" x14ac:dyDescent="0.2">
      <c r="A14" s="242"/>
      <c r="B14" s="241"/>
      <c r="C14" s="560"/>
      <c r="D14" s="241"/>
      <c r="E14" s="241"/>
      <c r="F14" s="577"/>
      <c r="G14" s="577"/>
      <c r="H14" s="577"/>
    </row>
    <row r="15" spans="1:8" ht="12.75" x14ac:dyDescent="0.2">
      <c r="A15" s="242"/>
      <c r="B15" s="241"/>
      <c r="C15" s="560"/>
      <c r="D15" s="241"/>
      <c r="E15" s="241"/>
      <c r="F15" s="577"/>
      <c r="G15" s="577"/>
      <c r="H15" s="577"/>
    </row>
    <row r="16" spans="1:8" ht="12.75" x14ac:dyDescent="0.2">
      <c r="A16" s="242" t="s">
        <v>389</v>
      </c>
      <c r="B16" s="241"/>
      <c r="C16" s="1162" t="str">
        <f>base</f>
        <v>FOR THE TWELVE MONTHS ENDED AUGUST 31, 2016</v>
      </c>
      <c r="D16" s="241"/>
      <c r="E16" s="241"/>
      <c r="F16" s="577"/>
      <c r="G16" s="577"/>
      <c r="H16" s="577"/>
    </row>
    <row r="17" spans="1:8" ht="12.75" x14ac:dyDescent="0.2">
      <c r="A17" s="242"/>
      <c r="B17" s="241"/>
      <c r="C17" s="560"/>
      <c r="D17" s="241"/>
      <c r="E17" s="241"/>
      <c r="F17" s="577"/>
      <c r="G17" s="577"/>
      <c r="H17" s="577"/>
    </row>
    <row r="18" spans="1:8" ht="12.75" x14ac:dyDescent="0.2">
      <c r="A18" s="242" t="s">
        <v>1253</v>
      </c>
      <c r="B18" s="241"/>
      <c r="C18" s="1162" t="str">
        <f>forecast</f>
        <v>FOR THE TWELVE MONTHS ENDED DECEMBER 31, 2017</v>
      </c>
      <c r="D18" s="241"/>
      <c r="E18" s="241"/>
      <c r="F18" s="577"/>
      <c r="G18" s="577"/>
      <c r="H18" s="577"/>
    </row>
    <row r="19" spans="1:8" ht="12.75" x14ac:dyDescent="0.2">
      <c r="A19" s="241"/>
      <c r="B19" s="241"/>
      <c r="C19" s="241"/>
      <c r="D19" s="241"/>
      <c r="E19" s="241"/>
      <c r="F19" s="577"/>
      <c r="G19" s="577"/>
      <c r="H19" s="577"/>
    </row>
    <row r="20" spans="1:8" ht="12.75" x14ac:dyDescent="0.2">
      <c r="A20" s="241"/>
      <c r="B20" s="241"/>
      <c r="C20" s="241"/>
      <c r="D20" s="241"/>
      <c r="E20" s="241"/>
      <c r="F20" s="577"/>
      <c r="G20" s="577"/>
      <c r="H20" s="577"/>
    </row>
    <row r="21" spans="1:8" ht="12.75" x14ac:dyDescent="0.2">
      <c r="A21" s="243" t="s">
        <v>633</v>
      </c>
      <c r="B21" s="244"/>
      <c r="C21" s="245" t="s">
        <v>778</v>
      </c>
      <c r="D21" s="244"/>
      <c r="E21" s="244"/>
      <c r="F21" s="899"/>
      <c r="G21" s="899"/>
      <c r="H21" s="899"/>
    </row>
    <row r="22" spans="1:8" ht="12.75" x14ac:dyDescent="0.2">
      <c r="A22" s="837"/>
      <c r="B22" s="241"/>
      <c r="C22" s="241"/>
      <c r="D22" s="241"/>
      <c r="E22" s="241"/>
      <c r="F22" s="577"/>
      <c r="G22" s="577"/>
      <c r="H22" s="577"/>
    </row>
    <row r="23" spans="1:8" ht="12.75" x14ac:dyDescent="0.2">
      <c r="A23" s="242" t="s">
        <v>390</v>
      </c>
      <c r="B23" s="241"/>
      <c r="C23" s="241" t="s">
        <v>1273</v>
      </c>
      <c r="D23" s="241"/>
      <c r="E23" s="241"/>
      <c r="F23" s="577"/>
      <c r="G23" s="577"/>
      <c r="H23" s="577"/>
    </row>
    <row r="24" spans="1:8" ht="12.75" x14ac:dyDescent="0.2">
      <c r="A24" s="241"/>
      <c r="B24" s="241"/>
      <c r="C24" s="241"/>
      <c r="D24" s="241"/>
      <c r="E24" s="241"/>
      <c r="F24" s="577"/>
      <c r="G24" s="577"/>
      <c r="H24" s="577"/>
    </row>
    <row r="25" spans="1:8" ht="11.25" x14ac:dyDescent="0.2">
      <c r="A25" s="577"/>
      <c r="B25" s="577"/>
      <c r="C25" s="577"/>
      <c r="D25" s="577"/>
      <c r="E25" s="577"/>
      <c r="F25" s="577"/>
      <c r="G25" s="577"/>
      <c r="H25" s="577"/>
    </row>
    <row r="26" spans="1:8" ht="11.25" x14ac:dyDescent="0.2">
      <c r="A26" s="577"/>
      <c r="B26" s="577"/>
      <c r="C26" s="577"/>
      <c r="D26" s="577"/>
      <c r="E26" s="577"/>
      <c r="F26" s="577"/>
      <c r="G26" s="577"/>
      <c r="H26" s="577"/>
    </row>
    <row r="27" spans="1:8" ht="11.25" x14ac:dyDescent="0.2">
      <c r="A27" s="577"/>
      <c r="B27" s="577"/>
      <c r="C27" s="577"/>
      <c r="D27" s="577"/>
      <c r="E27" s="577"/>
      <c r="F27" s="577"/>
      <c r="G27" s="577"/>
      <c r="H27" s="577"/>
    </row>
    <row r="28" spans="1:8" ht="11.25" x14ac:dyDescent="0.2">
      <c r="A28" s="577"/>
      <c r="B28" s="577"/>
      <c r="C28" s="577"/>
      <c r="D28" s="577"/>
      <c r="E28" s="577"/>
      <c r="F28" s="577"/>
      <c r="G28" s="577"/>
      <c r="H28" s="577"/>
    </row>
    <row r="29" spans="1:8" ht="11.25" x14ac:dyDescent="0.2">
      <c r="A29" s="577"/>
      <c r="B29" s="577"/>
      <c r="C29" s="577"/>
      <c r="D29" s="577"/>
      <c r="E29" s="577"/>
      <c r="F29" s="577"/>
      <c r="G29" s="577"/>
      <c r="H29" s="577"/>
    </row>
    <row r="30" spans="1:8" ht="11.25" x14ac:dyDescent="0.2">
      <c r="A30" s="577"/>
      <c r="B30" s="577"/>
      <c r="C30" s="577"/>
      <c r="D30" s="577"/>
      <c r="E30" s="577"/>
      <c r="F30" s="577"/>
      <c r="G30" s="577"/>
      <c r="H30" s="577"/>
    </row>
    <row r="31" spans="1:8" ht="11.25" x14ac:dyDescent="0.2">
      <c r="A31" s="577"/>
      <c r="B31" s="577"/>
      <c r="C31" s="577"/>
      <c r="D31" s="577"/>
      <c r="E31" s="577"/>
      <c r="F31" s="577"/>
      <c r="G31" s="577"/>
      <c r="H31" s="577"/>
    </row>
    <row r="32" spans="1:8" ht="11.25" x14ac:dyDescent="0.2">
      <c r="A32" s="577"/>
      <c r="B32" s="577"/>
      <c r="C32" s="577"/>
      <c r="D32" s="577"/>
      <c r="E32" s="577"/>
      <c r="F32" s="577"/>
      <c r="G32" s="577"/>
      <c r="H32" s="577"/>
    </row>
    <row r="33" spans="1:8" ht="11.25" x14ac:dyDescent="0.2">
      <c r="A33" s="577"/>
      <c r="B33" s="577"/>
      <c r="C33" s="577"/>
      <c r="D33" s="577"/>
      <c r="E33" s="577"/>
      <c r="F33" s="577"/>
      <c r="G33" s="577"/>
      <c r="H33" s="577"/>
    </row>
    <row r="34" spans="1:8" ht="11.25" x14ac:dyDescent="0.2">
      <c r="A34" s="577"/>
      <c r="B34" s="577"/>
      <c r="C34" s="577"/>
      <c r="D34" s="577"/>
      <c r="E34" s="577"/>
      <c r="F34" s="577"/>
      <c r="G34" s="577"/>
      <c r="H34" s="577"/>
    </row>
    <row r="35" spans="1:8" ht="11.25" x14ac:dyDescent="0.2">
      <c r="A35" s="577"/>
      <c r="B35" s="577"/>
      <c r="C35" s="577"/>
      <c r="D35" s="577"/>
      <c r="E35" s="577"/>
      <c r="F35" s="577"/>
      <c r="G35" s="577"/>
      <c r="H35" s="577"/>
    </row>
    <row r="36" spans="1:8" ht="11.25" x14ac:dyDescent="0.2">
      <c r="A36" s="577"/>
      <c r="B36" s="577"/>
      <c r="C36" s="577"/>
      <c r="D36" s="577"/>
      <c r="E36" s="577"/>
      <c r="F36" s="577"/>
      <c r="G36" s="577"/>
      <c r="H36" s="577"/>
    </row>
    <row r="37" spans="1:8" ht="11.25" x14ac:dyDescent="0.2">
      <c r="A37" s="577"/>
      <c r="B37" s="577"/>
      <c r="C37" s="577"/>
      <c r="D37" s="577"/>
      <c r="E37" s="577"/>
      <c r="F37" s="577"/>
      <c r="G37" s="577"/>
      <c r="H37" s="577"/>
    </row>
    <row r="38" spans="1:8" ht="11.25" x14ac:dyDescent="0.2">
      <c r="A38" s="577"/>
      <c r="B38" s="577"/>
      <c r="C38" s="577"/>
      <c r="D38" s="577"/>
      <c r="E38" s="577"/>
      <c r="F38" s="577"/>
      <c r="G38" s="577"/>
      <c r="H38" s="577"/>
    </row>
    <row r="39" spans="1:8" ht="11.25" x14ac:dyDescent="0.2">
      <c r="A39" s="577"/>
      <c r="B39" s="577"/>
      <c r="C39" s="577"/>
      <c r="D39" s="577"/>
      <c r="E39" s="577"/>
      <c r="F39" s="577"/>
      <c r="G39" s="577"/>
      <c r="H39" s="577"/>
    </row>
    <row r="40" spans="1:8" ht="11.25" x14ac:dyDescent="0.2">
      <c r="A40" s="577"/>
      <c r="B40" s="577"/>
      <c r="C40" s="577"/>
      <c r="D40" s="577"/>
      <c r="E40" s="577"/>
      <c r="F40" s="577"/>
      <c r="G40" s="577"/>
      <c r="H40" s="577"/>
    </row>
    <row r="41" spans="1:8" ht="11.25" x14ac:dyDescent="0.2">
      <c r="A41" s="577"/>
      <c r="B41" s="577"/>
      <c r="C41" s="577"/>
      <c r="D41" s="577"/>
      <c r="E41" s="577"/>
      <c r="F41" s="577"/>
      <c r="G41" s="577"/>
      <c r="H41" s="577"/>
    </row>
    <row r="42" spans="1:8" ht="11.25" x14ac:dyDescent="0.2">
      <c r="A42" s="577"/>
      <c r="B42" s="577"/>
      <c r="C42" s="577"/>
      <c r="D42" s="577"/>
      <c r="E42" s="577"/>
      <c r="F42" s="577"/>
      <c r="G42" s="577"/>
      <c r="H42" s="577"/>
    </row>
    <row r="43" spans="1:8" ht="11.25" x14ac:dyDescent="0.2">
      <c r="A43" s="577"/>
      <c r="B43" s="577"/>
      <c r="C43" s="577"/>
      <c r="D43" s="577"/>
      <c r="E43" s="577"/>
      <c r="F43" s="577"/>
      <c r="G43" s="577"/>
      <c r="H43" s="577"/>
    </row>
    <row r="44" spans="1:8" ht="11.25" x14ac:dyDescent="0.2">
      <c r="A44" s="577"/>
      <c r="B44" s="577"/>
      <c r="C44" s="577"/>
      <c r="D44" s="577"/>
      <c r="E44" s="577"/>
      <c r="F44" s="577"/>
      <c r="G44" s="577"/>
      <c r="H44" s="577"/>
    </row>
    <row r="45" spans="1:8" ht="11.25" x14ac:dyDescent="0.2">
      <c r="A45" s="577"/>
      <c r="B45" s="577"/>
      <c r="C45" s="577"/>
      <c r="D45" s="577"/>
      <c r="E45" s="577"/>
      <c r="F45" s="577"/>
      <c r="G45" s="577"/>
      <c r="H45" s="577"/>
    </row>
    <row r="46" spans="1:8" ht="11.25" x14ac:dyDescent="0.2">
      <c r="A46" s="577"/>
      <c r="B46" s="577"/>
      <c r="C46" s="577"/>
      <c r="D46" s="577"/>
      <c r="E46" s="577"/>
      <c r="F46" s="577"/>
      <c r="G46" s="577"/>
      <c r="H46" s="577"/>
    </row>
    <row r="47" spans="1:8" ht="11.25" x14ac:dyDescent="0.2">
      <c r="A47" s="577"/>
      <c r="B47" s="577"/>
      <c r="C47" s="577"/>
      <c r="D47" s="577"/>
      <c r="E47" s="577"/>
      <c r="F47" s="577"/>
      <c r="G47" s="577"/>
      <c r="H47" s="577"/>
    </row>
    <row r="48" spans="1:8" ht="11.25" x14ac:dyDescent="0.2">
      <c r="A48" s="577"/>
      <c r="B48" s="577"/>
      <c r="C48" s="577"/>
      <c r="D48" s="577"/>
      <c r="E48" s="577"/>
      <c r="F48" s="577"/>
      <c r="G48" s="577"/>
      <c r="H48" s="577"/>
    </row>
    <row r="49" spans="1:8" ht="11.25" x14ac:dyDescent="0.2">
      <c r="A49" s="577"/>
      <c r="B49" s="577"/>
      <c r="C49" s="577"/>
      <c r="D49" s="577"/>
      <c r="E49" s="577"/>
      <c r="F49" s="577"/>
      <c r="G49" s="577"/>
      <c r="H49" s="577"/>
    </row>
    <row r="50" spans="1:8" ht="11.25" x14ac:dyDescent="0.2">
      <c r="A50" s="577"/>
      <c r="B50" s="577"/>
      <c r="C50" s="577"/>
      <c r="D50" s="577"/>
      <c r="E50" s="577"/>
      <c r="F50" s="577"/>
      <c r="G50" s="577"/>
      <c r="H50" s="577"/>
    </row>
    <row r="51" spans="1:8" ht="11.25" x14ac:dyDescent="0.2">
      <c r="A51" s="577"/>
      <c r="B51" s="577"/>
      <c r="C51" s="577"/>
      <c r="D51" s="577"/>
      <c r="E51" s="577"/>
      <c r="F51" s="577"/>
      <c r="G51" s="577"/>
      <c r="H51" s="577"/>
    </row>
    <row r="52" spans="1:8" ht="11.25" x14ac:dyDescent="0.2">
      <c r="A52" s="577"/>
      <c r="B52" s="577"/>
      <c r="C52" s="577"/>
      <c r="D52" s="577"/>
      <c r="E52" s="577"/>
      <c r="F52" s="577"/>
      <c r="G52" s="577"/>
      <c r="H52" s="577"/>
    </row>
    <row r="53" spans="1:8" ht="11.25" x14ac:dyDescent="0.2">
      <c r="A53" s="577"/>
      <c r="B53" s="577"/>
      <c r="C53" s="577"/>
      <c r="D53" s="577"/>
      <c r="E53" s="577"/>
      <c r="F53" s="577"/>
      <c r="G53" s="577"/>
      <c r="H53" s="577"/>
    </row>
    <row r="54" spans="1:8" ht="11.25" x14ac:dyDescent="0.2">
      <c r="A54" s="577"/>
      <c r="B54" s="577"/>
      <c r="C54" s="577"/>
      <c r="D54" s="577"/>
      <c r="E54" s="577"/>
      <c r="F54" s="577"/>
      <c r="G54" s="577"/>
      <c r="H54" s="577"/>
    </row>
    <row r="55" spans="1:8" ht="11.25" x14ac:dyDescent="0.2">
      <c r="A55" s="577"/>
      <c r="B55" s="577"/>
      <c r="C55" s="577"/>
      <c r="D55" s="577"/>
      <c r="E55" s="577"/>
      <c r="F55" s="577"/>
      <c r="G55" s="577"/>
      <c r="H55" s="577"/>
    </row>
    <row r="56" spans="1:8" ht="11.25" x14ac:dyDescent="0.2">
      <c r="A56" s="577"/>
      <c r="B56" s="577"/>
      <c r="C56" s="577"/>
      <c r="D56" s="577"/>
      <c r="E56" s="577"/>
      <c r="F56" s="577"/>
      <c r="G56" s="577"/>
      <c r="H56" s="577"/>
    </row>
    <row r="57" spans="1:8" ht="11.25" x14ac:dyDescent="0.2">
      <c r="A57" s="577"/>
      <c r="B57" s="577"/>
      <c r="C57" s="577"/>
      <c r="D57" s="577"/>
      <c r="E57" s="577"/>
      <c r="F57" s="577"/>
      <c r="G57" s="577"/>
      <c r="H57" s="577"/>
    </row>
    <row r="58" spans="1:8" ht="11.25" x14ac:dyDescent="0.2">
      <c r="A58" s="577"/>
      <c r="B58" s="577"/>
      <c r="C58" s="577"/>
      <c r="D58" s="577"/>
      <c r="E58" s="577"/>
      <c r="F58" s="577"/>
      <c r="G58" s="577"/>
      <c r="H58" s="577"/>
    </row>
    <row r="59" spans="1:8" ht="11.25" x14ac:dyDescent="0.2">
      <c r="A59" s="577"/>
      <c r="B59" s="577"/>
      <c r="C59" s="577"/>
      <c r="D59" s="577"/>
      <c r="E59" s="577"/>
      <c r="F59" s="577"/>
      <c r="G59" s="577"/>
      <c r="H59" s="577"/>
    </row>
    <row r="60" spans="1:8" ht="11.25" x14ac:dyDescent="0.2">
      <c r="A60" s="577"/>
      <c r="B60" s="577"/>
      <c r="C60" s="577"/>
      <c r="D60" s="577"/>
      <c r="E60" s="577"/>
      <c r="F60" s="577"/>
      <c r="G60" s="577"/>
      <c r="H60" s="577"/>
    </row>
    <row r="61" spans="1:8" ht="11.25" x14ac:dyDescent="0.2">
      <c r="A61" s="577"/>
      <c r="B61" s="577"/>
      <c r="C61" s="577"/>
      <c r="D61" s="577"/>
      <c r="E61" s="577"/>
      <c r="F61" s="577"/>
      <c r="G61" s="577"/>
      <c r="H61" s="577"/>
    </row>
    <row r="62" spans="1:8" ht="11.25" x14ac:dyDescent="0.2">
      <c r="A62" s="577"/>
      <c r="B62" s="577"/>
      <c r="C62" s="577"/>
      <c r="D62" s="577"/>
      <c r="E62" s="577"/>
      <c r="F62" s="577"/>
      <c r="G62" s="577"/>
      <c r="H62" s="577"/>
    </row>
    <row r="63" spans="1:8" ht="11.25" x14ac:dyDescent="0.2">
      <c r="A63" s="577"/>
      <c r="B63" s="577"/>
      <c r="C63" s="577"/>
      <c r="D63" s="577"/>
      <c r="E63" s="577"/>
      <c r="F63" s="577"/>
      <c r="G63" s="577"/>
      <c r="H63" s="577"/>
    </row>
    <row r="64" spans="1:8" ht="11.25" x14ac:dyDescent="0.2">
      <c r="A64" s="577"/>
      <c r="B64" s="577"/>
      <c r="C64" s="577"/>
      <c r="D64" s="577"/>
      <c r="E64" s="577"/>
      <c r="F64" s="577"/>
      <c r="G64" s="577"/>
      <c r="H64" s="577"/>
    </row>
    <row r="65" spans="1:8" ht="11.25" x14ac:dyDescent="0.2">
      <c r="A65" s="577"/>
      <c r="B65" s="577"/>
      <c r="C65" s="577"/>
      <c r="D65" s="577"/>
      <c r="E65" s="577"/>
      <c r="F65" s="577"/>
      <c r="G65" s="577"/>
      <c r="H65" s="577"/>
    </row>
    <row r="66" spans="1:8" ht="11.25" x14ac:dyDescent="0.2">
      <c r="A66" s="577"/>
      <c r="B66" s="577"/>
      <c r="C66" s="577"/>
      <c r="D66" s="577"/>
      <c r="E66" s="577"/>
      <c r="F66" s="577"/>
      <c r="G66" s="577"/>
      <c r="H66" s="577"/>
    </row>
    <row r="67" spans="1:8" ht="11.25" x14ac:dyDescent="0.2">
      <c r="A67" s="577"/>
      <c r="B67" s="577"/>
      <c r="C67" s="577"/>
      <c r="D67" s="577"/>
      <c r="E67" s="577"/>
      <c r="F67" s="577"/>
      <c r="G67" s="577"/>
      <c r="H67" s="577"/>
    </row>
    <row r="68" spans="1:8" ht="11.25" x14ac:dyDescent="0.2">
      <c r="A68" s="577"/>
      <c r="B68" s="577"/>
      <c r="C68" s="577"/>
      <c r="D68" s="577"/>
      <c r="E68" s="577"/>
      <c r="F68" s="577"/>
      <c r="G68" s="577"/>
      <c r="H68" s="577"/>
    </row>
    <row r="69" spans="1:8" ht="11.25" x14ac:dyDescent="0.2">
      <c r="A69" s="577"/>
      <c r="B69" s="577"/>
      <c r="C69" s="577"/>
      <c r="D69" s="577"/>
      <c r="E69" s="577"/>
      <c r="F69" s="577"/>
      <c r="G69" s="577"/>
      <c r="H69" s="577"/>
    </row>
    <row r="70" spans="1:8" ht="11.25" x14ac:dyDescent="0.2">
      <c r="A70" s="577"/>
      <c r="B70" s="577"/>
      <c r="C70" s="577"/>
      <c r="D70" s="577"/>
      <c r="E70" s="577"/>
      <c r="F70" s="577"/>
      <c r="G70" s="577"/>
      <c r="H70" s="577"/>
    </row>
    <row r="71" spans="1:8" ht="11.25" x14ac:dyDescent="0.2">
      <c r="A71" s="577"/>
      <c r="B71" s="577"/>
      <c r="C71" s="577"/>
      <c r="D71" s="577"/>
      <c r="E71" s="577"/>
      <c r="F71" s="577"/>
      <c r="G71" s="577"/>
      <c r="H71" s="577"/>
    </row>
    <row r="72" spans="1:8" ht="11.25" x14ac:dyDescent="0.2">
      <c r="A72" s="577"/>
      <c r="B72" s="577"/>
      <c r="C72" s="577"/>
      <c r="D72" s="577"/>
      <c r="E72" s="577"/>
      <c r="F72" s="577"/>
      <c r="G72" s="577"/>
      <c r="H72" s="577"/>
    </row>
    <row r="73" spans="1:8" ht="11.25" x14ac:dyDescent="0.2">
      <c r="A73" s="577"/>
      <c r="B73" s="577"/>
      <c r="C73" s="577"/>
      <c r="D73" s="577"/>
      <c r="E73" s="577"/>
      <c r="F73" s="577"/>
      <c r="G73" s="577"/>
      <c r="H73" s="577"/>
    </row>
    <row r="74" spans="1:8" ht="11.25" x14ac:dyDescent="0.2">
      <c r="A74" s="577"/>
      <c r="B74" s="577"/>
      <c r="C74" s="577"/>
      <c r="D74" s="577"/>
      <c r="E74" s="577"/>
      <c r="F74" s="577"/>
      <c r="G74" s="577"/>
      <c r="H74" s="577"/>
    </row>
    <row r="75" spans="1:8" ht="11.25" x14ac:dyDescent="0.2">
      <c r="A75" s="577"/>
      <c r="B75" s="577"/>
      <c r="C75" s="577"/>
      <c r="D75" s="577"/>
      <c r="E75" s="577"/>
      <c r="F75" s="577"/>
      <c r="G75" s="577"/>
      <c r="H75" s="577"/>
    </row>
    <row r="76" spans="1:8" ht="11.25" x14ac:dyDescent="0.2">
      <c r="A76" s="577"/>
      <c r="B76" s="577"/>
      <c r="C76" s="577"/>
      <c r="D76" s="577"/>
      <c r="E76" s="577"/>
      <c r="F76" s="577"/>
      <c r="G76" s="577"/>
      <c r="H76" s="577"/>
    </row>
    <row r="77" spans="1:8" ht="11.25" x14ac:dyDescent="0.2">
      <c r="A77" s="577"/>
      <c r="B77" s="577"/>
      <c r="C77" s="577"/>
      <c r="D77" s="577"/>
      <c r="E77" s="577"/>
      <c r="F77" s="577"/>
      <c r="G77" s="577"/>
      <c r="H77" s="577"/>
    </row>
    <row r="78" spans="1:8" ht="11.25" x14ac:dyDescent="0.2">
      <c r="A78" s="577"/>
      <c r="B78" s="577"/>
      <c r="C78" s="577"/>
      <c r="D78" s="577"/>
      <c r="E78" s="577"/>
      <c r="F78" s="577"/>
      <c r="G78" s="577"/>
      <c r="H78" s="577"/>
    </row>
    <row r="79" spans="1:8" ht="11.25" x14ac:dyDescent="0.2">
      <c r="A79" s="577"/>
      <c r="B79" s="577"/>
      <c r="C79" s="577"/>
      <c r="D79" s="577"/>
      <c r="E79" s="577"/>
      <c r="F79" s="577"/>
      <c r="G79" s="577"/>
      <c r="H79" s="577"/>
    </row>
    <row r="80" spans="1:8" ht="11.25" x14ac:dyDescent="0.2">
      <c r="A80" s="577"/>
      <c r="B80" s="577"/>
      <c r="C80" s="577"/>
      <c r="D80" s="577"/>
      <c r="E80" s="577"/>
      <c r="F80" s="577"/>
      <c r="G80" s="577"/>
      <c r="H80" s="577"/>
    </row>
    <row r="81" spans="1:8" ht="11.25" x14ac:dyDescent="0.2">
      <c r="A81" s="577"/>
      <c r="B81" s="577"/>
      <c r="C81" s="577"/>
      <c r="D81" s="577"/>
      <c r="E81" s="577"/>
      <c r="F81" s="577"/>
      <c r="G81" s="577"/>
      <c r="H81" s="577"/>
    </row>
    <row r="82" spans="1:8" ht="11.25" x14ac:dyDescent="0.2">
      <c r="A82" s="577"/>
      <c r="B82" s="577"/>
      <c r="C82" s="577"/>
      <c r="D82" s="577"/>
      <c r="E82" s="577"/>
      <c r="F82" s="577"/>
      <c r="G82" s="577"/>
      <c r="H82" s="577"/>
    </row>
    <row r="83" spans="1:8" ht="11.25" x14ac:dyDescent="0.2">
      <c r="A83" s="577"/>
      <c r="B83" s="577"/>
      <c r="C83" s="577"/>
      <c r="D83" s="577"/>
      <c r="E83" s="577"/>
      <c r="F83" s="577"/>
      <c r="G83" s="577"/>
      <c r="H83" s="577"/>
    </row>
    <row r="84" spans="1:8" ht="11.25" x14ac:dyDescent="0.2">
      <c r="A84" s="577"/>
      <c r="B84" s="577"/>
      <c r="C84" s="577"/>
      <c r="D84" s="577"/>
      <c r="E84" s="577"/>
      <c r="F84" s="577"/>
      <c r="G84" s="577"/>
      <c r="H84" s="577"/>
    </row>
    <row r="85" spans="1:8" ht="11.25" x14ac:dyDescent="0.2">
      <c r="A85" s="577"/>
      <c r="B85" s="577"/>
      <c r="C85" s="577"/>
      <c r="D85" s="577"/>
      <c r="E85" s="577"/>
      <c r="F85" s="577"/>
      <c r="G85" s="577"/>
      <c r="H85" s="577"/>
    </row>
    <row r="86" spans="1:8" ht="11.25" x14ac:dyDescent="0.2">
      <c r="A86" s="577"/>
      <c r="B86" s="577"/>
      <c r="C86" s="577"/>
      <c r="D86" s="577"/>
      <c r="E86" s="577"/>
      <c r="F86" s="577"/>
      <c r="G86" s="577"/>
      <c r="H86" s="577"/>
    </row>
    <row r="87" spans="1:8" ht="11.25" x14ac:dyDescent="0.2">
      <c r="A87" s="577"/>
      <c r="B87" s="577"/>
      <c r="C87" s="577"/>
      <c r="D87" s="577"/>
      <c r="E87" s="577"/>
      <c r="F87" s="577"/>
      <c r="G87" s="577"/>
      <c r="H87" s="577"/>
    </row>
    <row r="88" spans="1:8" ht="11.25" x14ac:dyDescent="0.2">
      <c r="A88" s="577"/>
      <c r="B88" s="577"/>
      <c r="C88" s="577"/>
      <c r="D88" s="577"/>
      <c r="E88" s="577"/>
      <c r="F88" s="577"/>
      <c r="G88" s="577"/>
      <c r="H88" s="577"/>
    </row>
    <row r="89" spans="1:8" ht="11.25" x14ac:dyDescent="0.2">
      <c r="A89" s="577"/>
      <c r="B89" s="577"/>
      <c r="C89" s="577"/>
      <c r="D89" s="577"/>
      <c r="E89" s="577"/>
      <c r="F89" s="577"/>
      <c r="G89" s="577"/>
      <c r="H89" s="577"/>
    </row>
    <row r="90" spans="1:8" ht="11.25" x14ac:dyDescent="0.2">
      <c r="A90" s="577"/>
      <c r="B90" s="577"/>
      <c r="C90" s="577"/>
      <c r="D90" s="577"/>
      <c r="E90" s="577"/>
      <c r="F90" s="577"/>
      <c r="G90" s="577"/>
      <c r="H90" s="577"/>
    </row>
    <row r="91" spans="1:8" ht="11.25" x14ac:dyDescent="0.2">
      <c r="A91" s="577"/>
      <c r="B91" s="577"/>
      <c r="C91" s="577"/>
      <c r="D91" s="577"/>
      <c r="E91" s="577"/>
      <c r="F91" s="577"/>
      <c r="G91" s="577"/>
      <c r="H91" s="577"/>
    </row>
    <row r="92" spans="1:8" ht="11.25" x14ac:dyDescent="0.2">
      <c r="A92" s="577"/>
      <c r="B92" s="577"/>
      <c r="C92" s="577"/>
      <c r="D92" s="577"/>
      <c r="E92" s="577"/>
      <c r="F92" s="577"/>
      <c r="G92" s="577"/>
      <c r="H92" s="577"/>
    </row>
    <row r="93" spans="1:8" ht="11.25" x14ac:dyDescent="0.2">
      <c r="A93" s="577"/>
      <c r="B93" s="577"/>
      <c r="C93" s="577"/>
      <c r="D93" s="577"/>
      <c r="E93" s="577"/>
      <c r="F93" s="577"/>
      <c r="G93" s="577"/>
      <c r="H93" s="577"/>
    </row>
    <row r="94" spans="1:8" ht="11.25" x14ac:dyDescent="0.2">
      <c r="A94" s="577"/>
      <c r="B94" s="577"/>
      <c r="C94" s="577"/>
      <c r="D94" s="577"/>
      <c r="E94" s="577"/>
      <c r="F94" s="577"/>
      <c r="G94" s="577"/>
      <c r="H94" s="577"/>
    </row>
    <row r="95" spans="1:8" ht="11.25" x14ac:dyDescent="0.2">
      <c r="A95" s="577"/>
      <c r="B95" s="577"/>
      <c r="C95" s="577"/>
      <c r="D95" s="577"/>
      <c r="E95" s="577"/>
      <c r="F95" s="577"/>
      <c r="G95" s="577"/>
      <c r="H95" s="577"/>
    </row>
    <row r="96" spans="1:8" ht="11.25" x14ac:dyDescent="0.2">
      <c r="A96" s="577"/>
      <c r="B96" s="577"/>
      <c r="C96" s="577"/>
      <c r="D96" s="577"/>
      <c r="E96" s="577"/>
      <c r="F96" s="577"/>
      <c r="G96" s="577"/>
      <c r="H96" s="577"/>
    </row>
    <row r="97" spans="1:8" ht="11.25" x14ac:dyDescent="0.2">
      <c r="A97" s="577"/>
      <c r="B97" s="577"/>
      <c r="C97" s="577"/>
      <c r="D97" s="577"/>
      <c r="E97" s="577"/>
      <c r="F97" s="577"/>
      <c r="G97" s="577"/>
      <c r="H97" s="577"/>
    </row>
    <row r="98" spans="1:8" ht="11.25" x14ac:dyDescent="0.2">
      <c r="A98" s="577"/>
      <c r="B98" s="577"/>
      <c r="C98" s="577"/>
      <c r="D98" s="577"/>
      <c r="E98" s="577"/>
      <c r="F98" s="577"/>
      <c r="G98" s="577"/>
      <c r="H98" s="577"/>
    </row>
    <row r="99" spans="1:8" ht="11.25" x14ac:dyDescent="0.2">
      <c r="A99" s="577"/>
      <c r="B99" s="577"/>
      <c r="C99" s="577"/>
      <c r="D99" s="577"/>
      <c r="E99" s="577"/>
      <c r="F99" s="577"/>
      <c r="G99" s="577"/>
      <c r="H99" s="577"/>
    </row>
    <row r="100" spans="1:8" ht="11.25" x14ac:dyDescent="0.2">
      <c r="A100" s="577"/>
      <c r="B100" s="577"/>
      <c r="C100" s="577"/>
      <c r="D100" s="577"/>
      <c r="E100" s="577"/>
      <c r="F100" s="577"/>
      <c r="G100" s="577"/>
      <c r="H100" s="577"/>
    </row>
    <row r="101" spans="1:8" ht="11.25" x14ac:dyDescent="0.2">
      <c r="A101" s="577"/>
      <c r="B101" s="577"/>
      <c r="C101" s="577"/>
      <c r="D101" s="577"/>
      <c r="E101" s="577"/>
      <c r="F101" s="577"/>
      <c r="G101" s="577"/>
      <c r="H101" s="577"/>
    </row>
    <row r="102" spans="1:8" ht="11.25" x14ac:dyDescent="0.2">
      <c r="A102" s="577"/>
      <c r="B102" s="577"/>
      <c r="C102" s="577"/>
      <c r="D102" s="577"/>
      <c r="E102" s="577"/>
      <c r="F102" s="577"/>
      <c r="G102" s="577"/>
      <c r="H102" s="577"/>
    </row>
    <row r="103" spans="1:8" ht="11.25" x14ac:dyDescent="0.2">
      <c r="A103" s="577"/>
      <c r="B103" s="577"/>
      <c r="C103" s="577"/>
      <c r="D103" s="577"/>
      <c r="E103" s="577"/>
      <c r="F103" s="577"/>
      <c r="G103" s="577"/>
      <c r="H103" s="577"/>
    </row>
    <row r="104" spans="1:8" ht="11.25" x14ac:dyDescent="0.2">
      <c r="A104" s="577"/>
      <c r="B104" s="577"/>
      <c r="C104" s="577"/>
      <c r="D104" s="577"/>
      <c r="E104" s="577"/>
      <c r="F104" s="577"/>
      <c r="G104" s="577"/>
      <c r="H104" s="577"/>
    </row>
    <row r="105" spans="1:8" ht="11.25" x14ac:dyDescent="0.2">
      <c r="A105" s="577"/>
      <c r="B105" s="577"/>
      <c r="C105" s="577"/>
      <c r="D105" s="577"/>
      <c r="E105" s="577"/>
      <c r="F105" s="577"/>
      <c r="G105" s="577"/>
      <c r="H105" s="577"/>
    </row>
    <row r="106" spans="1:8" ht="11.25" x14ac:dyDescent="0.2">
      <c r="A106" s="577"/>
      <c r="B106" s="577"/>
      <c r="C106" s="577"/>
      <c r="D106" s="577"/>
      <c r="E106" s="577"/>
      <c r="F106" s="577"/>
      <c r="G106" s="577"/>
      <c r="H106" s="577"/>
    </row>
    <row r="107" spans="1:8" ht="11.25" x14ac:dyDescent="0.2">
      <c r="A107" s="577"/>
      <c r="B107" s="577"/>
      <c r="C107" s="577"/>
      <c r="D107" s="577"/>
      <c r="E107" s="577"/>
      <c r="F107" s="577"/>
      <c r="G107" s="577"/>
      <c r="H107" s="577"/>
    </row>
    <row r="108" spans="1:8" ht="11.25" x14ac:dyDescent="0.2">
      <c r="A108" s="577"/>
      <c r="B108" s="577"/>
      <c r="C108" s="577"/>
      <c r="D108" s="577"/>
      <c r="E108" s="577"/>
      <c r="F108" s="577"/>
      <c r="G108" s="577"/>
      <c r="H108" s="577"/>
    </row>
    <row r="109" spans="1:8" ht="11.25" x14ac:dyDescent="0.2">
      <c r="A109" s="577"/>
      <c r="B109" s="577"/>
      <c r="C109" s="577"/>
      <c r="D109" s="577"/>
      <c r="E109" s="577"/>
      <c r="F109" s="577"/>
      <c r="G109" s="577"/>
      <c r="H109" s="577"/>
    </row>
    <row r="110" spans="1:8" ht="11.25" x14ac:dyDescent="0.2">
      <c r="A110" s="577"/>
      <c r="B110" s="577"/>
      <c r="C110" s="577"/>
      <c r="D110" s="577"/>
      <c r="E110" s="577"/>
      <c r="F110" s="577"/>
      <c r="G110" s="577"/>
      <c r="H110" s="577"/>
    </row>
    <row r="111" spans="1:8" ht="11.25" x14ac:dyDescent="0.2">
      <c r="A111" s="577"/>
      <c r="B111" s="577"/>
      <c r="C111" s="577"/>
      <c r="D111" s="577"/>
      <c r="E111" s="577"/>
      <c r="F111" s="577"/>
      <c r="G111" s="577"/>
      <c r="H111" s="577"/>
    </row>
    <row r="112" spans="1:8" ht="11.25" x14ac:dyDescent="0.2">
      <c r="A112" s="577"/>
      <c r="B112" s="577"/>
      <c r="C112" s="577"/>
      <c r="D112" s="577"/>
      <c r="E112" s="577"/>
      <c r="F112" s="577"/>
      <c r="G112" s="577"/>
      <c r="H112" s="577"/>
    </row>
    <row r="113" spans="1:8" ht="11.25" x14ac:dyDescent="0.2">
      <c r="A113" s="577"/>
      <c r="B113" s="577"/>
      <c r="C113" s="577"/>
      <c r="D113" s="577"/>
      <c r="E113" s="577"/>
      <c r="F113" s="577"/>
      <c r="G113" s="577"/>
      <c r="H113" s="577"/>
    </row>
    <row r="114" spans="1:8" ht="11.25" x14ac:dyDescent="0.2">
      <c r="A114" s="577"/>
      <c r="B114" s="577"/>
      <c r="C114" s="577"/>
      <c r="D114" s="577"/>
      <c r="E114" s="577"/>
      <c r="F114" s="577"/>
      <c r="G114" s="577"/>
      <c r="H114" s="577"/>
    </row>
    <row r="115" spans="1:8" ht="11.25" x14ac:dyDescent="0.2">
      <c r="A115" s="577"/>
      <c r="B115" s="577"/>
      <c r="C115" s="577"/>
      <c r="D115" s="577"/>
      <c r="E115" s="577"/>
      <c r="F115" s="577"/>
      <c r="G115" s="577"/>
      <c r="H115" s="577"/>
    </row>
    <row r="116" spans="1:8" ht="11.25" x14ac:dyDescent="0.2">
      <c r="A116" s="577"/>
      <c r="B116" s="577"/>
      <c r="C116" s="577"/>
      <c r="D116" s="577"/>
      <c r="E116" s="577"/>
      <c r="F116" s="577"/>
      <c r="G116" s="577"/>
      <c r="H116" s="577"/>
    </row>
    <row r="117" spans="1:8" ht="11.25" x14ac:dyDescent="0.2">
      <c r="A117" s="577"/>
      <c r="B117" s="577"/>
      <c r="C117" s="577"/>
      <c r="D117" s="577"/>
      <c r="E117" s="577"/>
      <c r="F117" s="577"/>
      <c r="G117" s="577"/>
      <c r="H117" s="577"/>
    </row>
    <row r="118" spans="1:8" ht="11.25" x14ac:dyDescent="0.2">
      <c r="A118" s="577"/>
      <c r="B118" s="577"/>
      <c r="C118" s="577"/>
      <c r="D118" s="577"/>
      <c r="E118" s="577"/>
      <c r="F118" s="577"/>
      <c r="G118" s="577"/>
      <c r="H118" s="577"/>
    </row>
    <row r="119" spans="1:8" ht="11.25" x14ac:dyDescent="0.2">
      <c r="A119" s="577"/>
      <c r="B119" s="577"/>
      <c r="C119" s="577"/>
      <c r="D119" s="577"/>
      <c r="E119" s="577"/>
      <c r="F119" s="577"/>
      <c r="G119" s="577"/>
      <c r="H119" s="577"/>
    </row>
    <row r="120" spans="1:8" ht="11.25" x14ac:dyDescent="0.2">
      <c r="A120" s="577"/>
      <c r="B120" s="577"/>
      <c r="C120" s="577"/>
      <c r="D120" s="577"/>
      <c r="E120" s="577"/>
      <c r="F120" s="577"/>
      <c r="G120" s="577"/>
      <c r="H120" s="577"/>
    </row>
    <row r="121" spans="1:8" ht="11.25" x14ac:dyDescent="0.2">
      <c r="A121" s="577"/>
      <c r="B121" s="577"/>
      <c r="C121" s="577"/>
      <c r="D121" s="577"/>
      <c r="E121" s="577"/>
      <c r="F121" s="577"/>
      <c r="G121" s="577"/>
      <c r="H121" s="577"/>
    </row>
    <row r="122" spans="1:8" ht="11.25" x14ac:dyDescent="0.2">
      <c r="A122" s="577"/>
      <c r="B122" s="577"/>
      <c r="C122" s="577"/>
      <c r="D122" s="577"/>
      <c r="E122" s="577"/>
      <c r="F122" s="577"/>
      <c r="G122" s="577"/>
      <c r="H122" s="577"/>
    </row>
    <row r="123" spans="1:8" ht="11.25" x14ac:dyDescent="0.2">
      <c r="A123" s="577"/>
      <c r="B123" s="577"/>
      <c r="C123" s="577"/>
      <c r="D123" s="577"/>
      <c r="E123" s="577"/>
      <c r="F123" s="577"/>
      <c r="G123" s="577"/>
      <c r="H123" s="577"/>
    </row>
    <row r="124" spans="1:8" ht="11.25" x14ac:dyDescent="0.2">
      <c r="A124" s="577"/>
      <c r="B124" s="577"/>
      <c r="C124" s="577"/>
      <c r="D124" s="577"/>
      <c r="E124" s="577"/>
      <c r="F124" s="577"/>
      <c r="G124" s="577"/>
      <c r="H124" s="577"/>
    </row>
    <row r="125" spans="1:8" ht="11.25" x14ac:dyDescent="0.2">
      <c r="A125" s="577"/>
      <c r="B125" s="577"/>
      <c r="C125" s="577"/>
      <c r="D125" s="577"/>
      <c r="E125" s="577"/>
      <c r="F125" s="577"/>
      <c r="G125" s="577"/>
      <c r="H125" s="577"/>
    </row>
    <row r="126" spans="1:8" ht="11.25" x14ac:dyDescent="0.2">
      <c r="A126" s="577"/>
      <c r="B126" s="577"/>
      <c r="C126" s="577"/>
      <c r="D126" s="577"/>
      <c r="E126" s="577"/>
      <c r="F126" s="577"/>
      <c r="G126" s="577"/>
      <c r="H126" s="577"/>
    </row>
    <row r="127" spans="1:8" ht="11.25" x14ac:dyDescent="0.2">
      <c r="A127" s="577"/>
      <c r="B127" s="577"/>
      <c r="C127" s="577"/>
      <c r="D127" s="577"/>
      <c r="E127" s="577"/>
      <c r="F127" s="577"/>
      <c r="G127" s="577"/>
      <c r="H127" s="577"/>
    </row>
    <row r="128" spans="1:8" ht="11.25" x14ac:dyDescent="0.2">
      <c r="A128" s="577"/>
      <c r="B128" s="577"/>
      <c r="C128" s="577"/>
      <c r="D128" s="577"/>
      <c r="E128" s="577"/>
      <c r="F128" s="577"/>
      <c r="G128" s="577"/>
      <c r="H128" s="577"/>
    </row>
  </sheetData>
  <mergeCells count="4">
    <mergeCell ref="A5:C5"/>
    <mergeCell ref="A7:C7"/>
    <mergeCell ref="A9:C9"/>
    <mergeCell ref="A11:C11"/>
  </mergeCells>
  <phoneticPr fontId="0" type="noConversion"/>
  <printOptions horizontalCentered="1"/>
  <pageMargins left="0.5" right="0.5" top="1" bottom="1" header="0.5" footer="0.5"/>
  <pageSetup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82">
    <pageSetUpPr fitToPage="1"/>
  </sheetPr>
  <dimension ref="A1:Q83"/>
  <sheetViews>
    <sheetView zoomScaleNormal="100" workbookViewId="0">
      <selection activeCell="L18" sqref="L18:L20"/>
    </sheetView>
  </sheetViews>
  <sheetFormatPr defaultColWidth="11.33203125" defaultRowHeight="10.5" x14ac:dyDescent="0.15"/>
  <cols>
    <col min="1" max="1" width="6.6640625" style="920" customWidth="1"/>
    <col min="2" max="2" width="4.33203125" style="920" customWidth="1"/>
    <col min="3" max="3" width="53.33203125" style="920" customWidth="1"/>
    <col min="4" max="4" width="2.6640625" style="920" customWidth="1"/>
    <col min="5" max="5" width="10.1640625" style="920" customWidth="1"/>
    <col min="6" max="6" width="22.1640625" style="920" customWidth="1"/>
    <col min="7" max="7" width="2.5" style="920" customWidth="1"/>
    <col min="8" max="8" width="23.33203125" style="920" customWidth="1"/>
    <col min="9" max="9" width="11.33203125" style="920"/>
    <col min="10" max="10" width="13" style="920" customWidth="1"/>
    <col min="11" max="11" width="13.6640625" style="920" bestFit="1" customWidth="1"/>
    <col min="12" max="12" width="16" style="920" customWidth="1"/>
    <col min="13" max="16384" width="11.33203125" style="920"/>
  </cols>
  <sheetData>
    <row r="1" spans="1:12" ht="12.75" x14ac:dyDescent="0.2">
      <c r="A1" s="2185" t="str">
        <f>co</f>
        <v>COLUMBIA GAS OF KENTUCKY, INC.</v>
      </c>
      <c r="B1" s="2185"/>
      <c r="C1" s="2185"/>
      <c r="D1" s="2185"/>
      <c r="E1" s="2185"/>
      <c r="F1" s="2185"/>
      <c r="G1" s="2185"/>
      <c r="H1" s="2185"/>
      <c r="I1" s="919"/>
    </row>
    <row r="2" spans="1:12" ht="12.75" x14ac:dyDescent="0.2">
      <c r="A2" s="2185" t="str">
        <f>case</f>
        <v>CASE NO. 2016 - 00162</v>
      </c>
      <c r="B2" s="2185"/>
      <c r="C2" s="2185"/>
      <c r="D2" s="2185"/>
      <c r="E2" s="2185"/>
      <c r="F2" s="2185"/>
      <c r="G2" s="2185"/>
      <c r="H2" s="2185"/>
      <c r="I2" s="919"/>
    </row>
    <row r="3" spans="1:12" ht="12.75" x14ac:dyDescent="0.2">
      <c r="A3" s="2186" t="s">
        <v>388</v>
      </c>
      <c r="B3" s="2186"/>
      <c r="C3" s="2186"/>
      <c r="D3" s="2186"/>
      <c r="E3" s="2186"/>
      <c r="F3" s="2186"/>
      <c r="G3" s="2186"/>
      <c r="H3" s="2186"/>
      <c r="I3" s="919"/>
    </row>
    <row r="4" spans="1:12" ht="12.75" x14ac:dyDescent="0.2">
      <c r="A4" s="2187" t="s">
        <v>1983</v>
      </c>
      <c r="B4" s="2188"/>
      <c r="C4" s="2188"/>
      <c r="D4" s="2188"/>
      <c r="E4" s="2188"/>
      <c r="F4" s="2188"/>
      <c r="G4" s="2188"/>
      <c r="H4" s="2188"/>
      <c r="I4" s="919"/>
    </row>
    <row r="5" spans="1:12" ht="12.75" x14ac:dyDescent="0.2">
      <c r="A5" s="921"/>
      <c r="B5" s="921"/>
      <c r="C5" s="921"/>
      <c r="D5" s="921"/>
      <c r="E5" s="921"/>
      <c r="F5" s="921"/>
      <c r="G5" s="921"/>
      <c r="H5" s="921"/>
      <c r="I5" s="919"/>
    </row>
    <row r="6" spans="1:12" ht="12.75" x14ac:dyDescent="0.2">
      <c r="A6" s="921"/>
      <c r="B6" s="921"/>
      <c r="C6" s="921"/>
      <c r="D6" s="921"/>
      <c r="E6" s="921"/>
      <c r="F6" s="921"/>
      <c r="G6" s="921"/>
      <c r="H6" s="921"/>
      <c r="I6" s="919"/>
    </row>
    <row r="7" spans="1:12" ht="12.75" x14ac:dyDescent="0.2">
      <c r="A7" s="922" t="s">
        <v>105</v>
      </c>
      <c r="B7" s="922"/>
      <c r="C7" s="921"/>
      <c r="D7" s="921"/>
      <c r="E7" s="919"/>
      <c r="F7" s="919"/>
      <c r="G7" s="921"/>
      <c r="H7" s="923" t="s">
        <v>391</v>
      </c>
      <c r="I7" s="919"/>
    </row>
    <row r="8" spans="1:12" ht="12.75" x14ac:dyDescent="0.2">
      <c r="A8" s="924" t="s">
        <v>627</v>
      </c>
      <c r="B8" s="924"/>
      <c r="C8" s="925"/>
      <c r="D8" s="925"/>
      <c r="E8" s="926"/>
      <c r="F8" s="926"/>
      <c r="G8" s="925"/>
      <c r="H8" s="927" t="s">
        <v>1299</v>
      </c>
      <c r="I8" s="919"/>
    </row>
    <row r="9" spans="1:12" ht="12.75" x14ac:dyDescent="0.2">
      <c r="A9" s="924" t="s">
        <v>392</v>
      </c>
      <c r="B9" s="924"/>
      <c r="C9" s="925"/>
      <c r="D9" s="925"/>
      <c r="E9" s="926"/>
      <c r="F9" s="926"/>
      <c r="G9" s="925"/>
      <c r="H9" s="927" t="str">
        <f>JTC</f>
        <v>WITNESS:  J. T. CROOM</v>
      </c>
      <c r="I9" s="919"/>
      <c r="J9" s="928"/>
      <c r="L9" s="928"/>
    </row>
    <row r="10" spans="1:12" ht="12.75" x14ac:dyDescent="0.2">
      <c r="A10" s="924"/>
      <c r="B10" s="924"/>
      <c r="C10" s="925"/>
      <c r="D10" s="925"/>
      <c r="E10" s="926"/>
      <c r="F10" s="926"/>
      <c r="G10" s="925"/>
      <c r="H10" s="929"/>
      <c r="I10" s="919"/>
      <c r="J10" s="928"/>
      <c r="L10" s="928"/>
    </row>
    <row r="11" spans="1:12" s="928" customFormat="1" ht="12.75" x14ac:dyDescent="0.2">
      <c r="A11" s="930"/>
      <c r="B11" s="930"/>
      <c r="C11" s="931"/>
      <c r="D11" s="931"/>
      <c r="E11" s="932"/>
      <c r="F11" s="933" t="s">
        <v>830</v>
      </c>
      <c r="G11" s="931"/>
      <c r="H11" s="933" t="s">
        <v>1258</v>
      </c>
      <c r="I11" s="934"/>
    </row>
    <row r="12" spans="1:12" s="938" customFormat="1" ht="12.75" x14ac:dyDescent="0.2">
      <c r="A12" s="935"/>
      <c r="B12" s="935"/>
      <c r="C12" s="935"/>
      <c r="D12" s="935"/>
      <c r="E12" s="935"/>
      <c r="F12" s="936" t="s">
        <v>393</v>
      </c>
      <c r="G12" s="935"/>
      <c r="H12" s="936" t="s">
        <v>393</v>
      </c>
      <c r="I12" s="937"/>
    </row>
    <row r="13" spans="1:12" s="938" customFormat="1" ht="12.75" x14ac:dyDescent="0.2">
      <c r="A13" s="939" t="s">
        <v>632</v>
      </c>
      <c r="B13" s="939"/>
      <c r="C13" s="940"/>
      <c r="D13" s="940"/>
      <c r="E13" s="940"/>
      <c r="F13" s="939" t="s">
        <v>394</v>
      </c>
      <c r="G13" s="940"/>
      <c r="H13" s="939" t="s">
        <v>394</v>
      </c>
      <c r="I13" s="937"/>
      <c r="J13" s="2184"/>
      <c r="K13" s="2184"/>
    </row>
    <row r="14" spans="1:12" s="938" customFormat="1" ht="12.75" x14ac:dyDescent="0.2">
      <c r="A14" s="941" t="s">
        <v>635</v>
      </c>
      <c r="B14" s="941"/>
      <c r="C14" s="942" t="s">
        <v>778</v>
      </c>
      <c r="D14" s="943"/>
      <c r="E14" s="943"/>
      <c r="F14" s="941" t="s">
        <v>395</v>
      </c>
      <c r="G14" s="944"/>
      <c r="H14" s="941" t="s">
        <v>395</v>
      </c>
      <c r="I14" s="937"/>
      <c r="J14" s="1139"/>
      <c r="K14" s="1139"/>
    </row>
    <row r="15" spans="1:12" ht="12.75" x14ac:dyDescent="0.2">
      <c r="A15" s="945"/>
      <c r="B15" s="921"/>
      <c r="C15" s="921"/>
      <c r="D15" s="921"/>
      <c r="E15" s="921"/>
      <c r="F15" s="921"/>
      <c r="G15" s="921"/>
      <c r="H15" s="921"/>
      <c r="I15" s="919"/>
      <c r="J15" s="1134"/>
      <c r="K15" s="1134"/>
    </row>
    <row r="16" spans="1:12" ht="12.75" x14ac:dyDescent="0.2">
      <c r="A16" s="939" t="s">
        <v>640</v>
      </c>
      <c r="B16" s="939"/>
      <c r="C16" s="922" t="s">
        <v>1326</v>
      </c>
      <c r="D16" s="921"/>
      <c r="E16" s="921"/>
      <c r="F16" s="946">
        <v>1</v>
      </c>
      <c r="G16" s="921"/>
      <c r="H16" s="946">
        <v>1</v>
      </c>
      <c r="I16" s="919"/>
      <c r="J16" s="1235"/>
      <c r="K16" s="1236"/>
      <c r="L16" s="1134"/>
    </row>
    <row r="17" spans="1:17" ht="12.75" x14ac:dyDescent="0.2">
      <c r="A17" s="940"/>
      <c r="B17" s="921"/>
      <c r="C17" s="921"/>
      <c r="D17" s="921"/>
      <c r="E17" s="921"/>
      <c r="F17" s="921"/>
      <c r="G17" s="921"/>
      <c r="H17" s="921"/>
      <c r="I17" s="919"/>
      <c r="J17" s="1237"/>
      <c r="K17" s="1237"/>
      <c r="L17" s="1134"/>
    </row>
    <row r="18" spans="1:17" ht="12.75" x14ac:dyDescent="0.2">
      <c r="A18" s="939" t="s">
        <v>643</v>
      </c>
      <c r="B18" s="939"/>
      <c r="C18" s="922" t="s">
        <v>396</v>
      </c>
      <c r="D18" s="921"/>
      <c r="E18" s="921"/>
      <c r="F18" s="1743">
        <f>H18</f>
        <v>9.2332899999999999E-3</v>
      </c>
      <c r="G18" s="1744"/>
      <c r="H18" s="1743">
        <v>9.2332899999999999E-3</v>
      </c>
      <c r="I18" s="919"/>
      <c r="J18" s="1236"/>
      <c r="K18" s="1236"/>
      <c r="L18" s="1237"/>
      <c r="M18" s="1762"/>
      <c r="N18" s="1762"/>
      <c r="O18" s="1762"/>
      <c r="P18" s="1762"/>
      <c r="Q18" s="1762"/>
    </row>
    <row r="19" spans="1:17" ht="12.75" x14ac:dyDescent="0.2">
      <c r="A19" s="940"/>
      <c r="B19" s="921"/>
      <c r="C19" s="921"/>
      <c r="D19" s="921"/>
      <c r="E19" s="921"/>
      <c r="F19" s="921"/>
      <c r="G19" s="921"/>
      <c r="H19" s="921"/>
      <c r="I19" s="919"/>
      <c r="J19" s="1135"/>
      <c r="K19" s="1135"/>
      <c r="L19" s="1134"/>
    </row>
    <row r="20" spans="1:17" ht="12.75" x14ac:dyDescent="0.2">
      <c r="A20" s="939" t="s">
        <v>646</v>
      </c>
      <c r="B20" s="939"/>
      <c r="C20" s="922" t="s">
        <v>397</v>
      </c>
      <c r="D20" s="921"/>
      <c r="E20" s="921"/>
      <c r="F20" s="1763">
        <f>H20</f>
        <v>1.9009999999999999E-3</v>
      </c>
      <c r="G20" s="1744"/>
      <c r="H20" s="1763">
        <v>1.9009999999999999E-3</v>
      </c>
      <c r="I20" s="919"/>
      <c r="J20" s="1244"/>
      <c r="K20" s="1245"/>
      <c r="L20" s="2"/>
    </row>
    <row r="21" spans="1:17" ht="12.75" x14ac:dyDescent="0.2">
      <c r="A21" s="940"/>
      <c r="B21" s="921"/>
      <c r="C21" s="921"/>
      <c r="D21" s="921"/>
      <c r="E21" s="921"/>
      <c r="F21" s="921"/>
      <c r="G21" s="921"/>
      <c r="H21" s="921"/>
      <c r="I21" s="919"/>
      <c r="J21" s="1135"/>
      <c r="K21" s="1135"/>
    </row>
    <row r="22" spans="1:17" ht="12.75" x14ac:dyDescent="0.2">
      <c r="A22" s="939" t="s">
        <v>649</v>
      </c>
      <c r="B22" s="939"/>
      <c r="C22" s="922" t="s">
        <v>398</v>
      </c>
      <c r="D22" s="921"/>
      <c r="E22" s="921"/>
      <c r="F22" s="946">
        <f>F16-F18-F20</f>
        <v>0.98886571000000001</v>
      </c>
      <c r="G22" s="921"/>
      <c r="H22" s="946">
        <f>H16-H18-H20</f>
        <v>0.98886571000000001</v>
      </c>
      <c r="I22" s="919"/>
      <c r="J22" s="1136"/>
      <c r="K22" s="1136"/>
    </row>
    <row r="23" spans="1:17" ht="12.75" x14ac:dyDescent="0.2">
      <c r="A23" s="940"/>
      <c r="B23" s="921"/>
      <c r="C23" s="921"/>
      <c r="D23" s="921"/>
      <c r="E23" s="921"/>
      <c r="F23" s="921"/>
      <c r="G23" s="921"/>
      <c r="H23" s="921"/>
      <c r="I23" s="919"/>
      <c r="J23" s="1134"/>
      <c r="K23" s="1134"/>
    </row>
    <row r="24" spans="1:17" ht="12.75" x14ac:dyDescent="0.2">
      <c r="A24" s="939" t="s">
        <v>652</v>
      </c>
      <c r="B24" s="939"/>
      <c r="C24" s="922" t="s">
        <v>399</v>
      </c>
      <c r="D24" s="921"/>
      <c r="E24" s="947">
        <v>0.06</v>
      </c>
      <c r="F24" s="948">
        <f>ROUND(F22*E24,8)</f>
        <v>5.933194E-2</v>
      </c>
      <c r="G24" s="921"/>
      <c r="H24" s="948">
        <f>ROUND(H22*E24,8)</f>
        <v>5.933194E-2</v>
      </c>
      <c r="I24" s="919"/>
      <c r="J24" s="1135"/>
      <c r="K24" s="1135"/>
    </row>
    <row r="25" spans="1:17" ht="12.75" x14ac:dyDescent="0.2">
      <c r="A25" s="940"/>
      <c r="B25" s="921"/>
      <c r="C25" s="921"/>
      <c r="D25" s="921"/>
      <c r="E25" s="921"/>
      <c r="F25" s="921"/>
      <c r="G25" s="921"/>
      <c r="H25" s="921"/>
      <c r="I25" s="919"/>
      <c r="J25" s="1134"/>
      <c r="K25" s="1134"/>
    </row>
    <row r="26" spans="1:17" ht="12.75" x14ac:dyDescent="0.2">
      <c r="A26" s="939" t="s">
        <v>654</v>
      </c>
      <c r="B26" s="939"/>
      <c r="C26" s="922" t="s">
        <v>400</v>
      </c>
      <c r="D26" s="921"/>
      <c r="E26" s="921"/>
      <c r="F26" s="946">
        <f>(F22-F24)</f>
        <v>0.92953377000000004</v>
      </c>
      <c r="G26" s="921"/>
      <c r="H26" s="946">
        <f>(H22-H24)</f>
        <v>0.92953377000000004</v>
      </c>
      <c r="I26" s="919"/>
      <c r="J26" s="1137"/>
      <c r="K26" s="1137"/>
    </row>
    <row r="27" spans="1:17" ht="12.75" x14ac:dyDescent="0.2">
      <c r="A27" s="940"/>
      <c r="B27" s="921"/>
      <c r="C27" s="921"/>
      <c r="D27" s="921"/>
      <c r="E27" s="921"/>
      <c r="F27" s="921"/>
      <c r="G27" s="921"/>
      <c r="H27" s="921"/>
      <c r="I27" s="919"/>
      <c r="J27" s="1134"/>
      <c r="K27" s="1134"/>
    </row>
    <row r="28" spans="1:17" ht="12.75" x14ac:dyDescent="0.2">
      <c r="A28" s="939" t="s">
        <v>657</v>
      </c>
      <c r="B28" s="939"/>
      <c r="C28" s="922" t="s">
        <v>401</v>
      </c>
      <c r="D28" s="921"/>
      <c r="E28" s="949">
        <v>0.35</v>
      </c>
      <c r="F28" s="948">
        <f>ROUND(F26*E28,8)</f>
        <v>0.32533682000000003</v>
      </c>
      <c r="G28" s="921"/>
      <c r="H28" s="948">
        <f>ROUND(H26*E28,8)</f>
        <v>0.32533682000000003</v>
      </c>
      <c r="I28" s="919"/>
      <c r="J28" s="1135"/>
      <c r="K28" s="1135"/>
    </row>
    <row r="29" spans="1:17" ht="12.75" x14ac:dyDescent="0.2">
      <c r="A29" s="940"/>
      <c r="B29" s="921"/>
      <c r="C29" s="921"/>
      <c r="D29" s="921"/>
      <c r="E29" s="921"/>
      <c r="F29" s="921"/>
      <c r="G29" s="921"/>
      <c r="H29" s="921"/>
      <c r="I29" s="919"/>
      <c r="J29" s="1134"/>
      <c r="K29" s="1134"/>
    </row>
    <row r="30" spans="1:17" ht="12.75" x14ac:dyDescent="0.2">
      <c r="A30" s="939" t="s">
        <v>660</v>
      </c>
      <c r="B30" s="939"/>
      <c r="C30" s="922" t="s">
        <v>402</v>
      </c>
      <c r="D30" s="921"/>
      <c r="E30" s="921"/>
      <c r="F30" s="946">
        <f>F26-F28</f>
        <v>0.60419694999999995</v>
      </c>
      <c r="G30" s="921"/>
      <c r="H30" s="946">
        <f>H26-H28</f>
        <v>0.60419694999999995</v>
      </c>
      <c r="I30" s="919"/>
      <c r="J30" s="1137"/>
      <c r="K30" s="1137"/>
    </row>
    <row r="31" spans="1:17" ht="12.75" x14ac:dyDescent="0.2">
      <c r="A31" s="940"/>
      <c r="B31" s="921"/>
      <c r="C31" s="921"/>
      <c r="D31" s="921"/>
      <c r="E31" s="921"/>
      <c r="F31" s="921"/>
      <c r="G31" s="921"/>
      <c r="H31" s="921"/>
      <c r="I31" s="919"/>
      <c r="J31" s="1134"/>
      <c r="K31" s="1134"/>
    </row>
    <row r="32" spans="1:17" ht="12.75" x14ac:dyDescent="0.2">
      <c r="A32" s="939" t="s">
        <v>663</v>
      </c>
      <c r="B32" s="939"/>
      <c r="C32" s="922" t="s">
        <v>1273</v>
      </c>
      <c r="D32" s="921"/>
      <c r="E32" s="921"/>
      <c r="F32" s="921"/>
      <c r="G32" s="921"/>
      <c r="H32" s="921"/>
      <c r="I32" s="919"/>
      <c r="J32" s="1134"/>
      <c r="K32" s="1134"/>
    </row>
    <row r="33" spans="1:11" ht="12.75" x14ac:dyDescent="0.2">
      <c r="A33" s="939" t="s">
        <v>665</v>
      </c>
      <c r="B33" s="939"/>
      <c r="C33" s="922" t="s">
        <v>403</v>
      </c>
      <c r="D33" s="921"/>
      <c r="E33" s="921"/>
      <c r="F33" s="950">
        <f>ROUND(1/$F$30,6)</f>
        <v>1.655089</v>
      </c>
      <c r="G33" s="921"/>
      <c r="H33" s="950">
        <f>ROUND(1/$H$30,6)</f>
        <v>1.655089</v>
      </c>
      <c r="I33" s="919"/>
      <c r="J33" s="1138"/>
      <c r="K33" s="1138"/>
    </row>
    <row r="34" spans="1:11" ht="12.75" x14ac:dyDescent="0.2">
      <c r="A34" s="921"/>
      <c r="B34" s="921"/>
      <c r="C34" s="921"/>
      <c r="D34" s="921"/>
      <c r="E34" s="921"/>
      <c r="F34" s="921"/>
      <c r="G34" s="921"/>
      <c r="H34" s="921"/>
      <c r="I34" s="919"/>
    </row>
    <row r="35" spans="1:11" ht="12" x14ac:dyDescent="0.2">
      <c r="A35" s="919"/>
      <c r="B35" s="919"/>
      <c r="C35" s="919"/>
      <c r="D35" s="919"/>
      <c r="E35" s="919"/>
      <c r="F35" s="919"/>
      <c r="G35" s="919"/>
      <c r="H35" s="919"/>
      <c r="I35" s="919"/>
    </row>
    <row r="36" spans="1:11" ht="12" x14ac:dyDescent="0.2">
      <c r="A36" s="919"/>
      <c r="B36" s="919"/>
      <c r="C36" s="951"/>
      <c r="D36" s="951"/>
      <c r="E36" s="919"/>
      <c r="F36" s="919"/>
      <c r="G36" s="919"/>
      <c r="H36" s="919"/>
      <c r="I36" s="919"/>
    </row>
    <row r="37" spans="1:11" ht="12" x14ac:dyDescent="0.2">
      <c r="A37" s="919"/>
      <c r="B37" s="919"/>
      <c r="C37" s="919"/>
      <c r="D37" s="951"/>
      <c r="E37" s="919"/>
      <c r="F37" s="919"/>
      <c r="G37" s="919"/>
      <c r="H37" s="919"/>
      <c r="I37" s="919"/>
    </row>
    <row r="38" spans="1:11" ht="12" x14ac:dyDescent="0.2">
      <c r="A38" s="919"/>
      <c r="B38" s="919"/>
      <c r="C38" s="919"/>
      <c r="D38" s="951"/>
      <c r="E38" s="919"/>
      <c r="F38" s="919"/>
      <c r="G38" s="919"/>
      <c r="H38" s="919"/>
      <c r="I38" s="919"/>
    </row>
    <row r="39" spans="1:11" ht="12" x14ac:dyDescent="0.2">
      <c r="A39" s="919"/>
      <c r="B39" s="919"/>
      <c r="C39" s="919"/>
      <c r="D39" s="919"/>
      <c r="E39" s="919"/>
      <c r="F39" s="919"/>
      <c r="G39" s="919"/>
      <c r="H39" s="919"/>
      <c r="I39" s="919"/>
    </row>
    <row r="40" spans="1:11" ht="12" x14ac:dyDescent="0.2">
      <c r="A40" s="919"/>
      <c r="B40" s="919"/>
      <c r="C40" s="919"/>
      <c r="D40" s="919"/>
      <c r="E40" s="919"/>
      <c r="F40" s="919"/>
      <c r="G40" s="919"/>
      <c r="H40" s="919"/>
      <c r="I40" s="919"/>
    </row>
    <row r="41" spans="1:11" ht="12" x14ac:dyDescent="0.2">
      <c r="A41" s="919"/>
      <c r="B41" s="919"/>
      <c r="C41" s="919"/>
      <c r="D41" s="919"/>
      <c r="E41" s="919"/>
      <c r="F41" s="919"/>
      <c r="G41" s="919"/>
      <c r="H41" s="919"/>
      <c r="I41" s="919"/>
    </row>
    <row r="42" spans="1:11" ht="12" x14ac:dyDescent="0.2">
      <c r="A42" s="919"/>
      <c r="B42" s="919"/>
      <c r="C42" s="919"/>
      <c r="D42" s="919"/>
      <c r="E42" s="919"/>
      <c r="F42" s="919"/>
      <c r="G42" s="919"/>
      <c r="H42" s="919"/>
      <c r="I42" s="919"/>
    </row>
    <row r="43" spans="1:11" ht="12" x14ac:dyDescent="0.2">
      <c r="A43" s="951" t="s">
        <v>404</v>
      </c>
      <c r="B43" s="951"/>
      <c r="C43" s="919"/>
      <c r="D43" s="919"/>
      <c r="E43" s="919"/>
      <c r="F43" s="919"/>
      <c r="G43" s="919"/>
      <c r="H43" s="919"/>
      <c r="I43" s="919"/>
    </row>
    <row r="44" spans="1:11" ht="12" x14ac:dyDescent="0.2">
      <c r="A44" s="919"/>
      <c r="B44" s="919"/>
      <c r="C44" s="919"/>
      <c r="D44" s="919"/>
      <c r="E44" s="919"/>
      <c r="F44" s="919"/>
      <c r="G44" s="919"/>
      <c r="H44" s="919"/>
      <c r="I44" s="919"/>
    </row>
    <row r="45" spans="1:11" ht="12" x14ac:dyDescent="0.2">
      <c r="A45" s="919"/>
      <c r="B45" s="919"/>
      <c r="C45" s="919"/>
      <c r="D45" s="919"/>
      <c r="E45" s="919"/>
      <c r="F45" s="919"/>
      <c r="G45" s="919"/>
      <c r="H45" s="919"/>
      <c r="I45" s="919"/>
    </row>
    <row r="46" spans="1:11" ht="12" x14ac:dyDescent="0.2">
      <c r="A46" s="919"/>
      <c r="B46" s="919"/>
      <c r="C46" s="919"/>
      <c r="D46" s="919"/>
      <c r="E46" s="919"/>
      <c r="F46" s="919"/>
      <c r="G46" s="919"/>
      <c r="H46" s="919"/>
      <c r="I46" s="919"/>
    </row>
    <row r="47" spans="1:11" ht="12" x14ac:dyDescent="0.2">
      <c r="A47" s="919"/>
      <c r="B47" s="919"/>
      <c r="C47" s="919"/>
      <c r="D47" s="919"/>
      <c r="E47" s="919"/>
      <c r="F47" s="919"/>
      <c r="G47" s="919"/>
      <c r="H47" s="919"/>
      <c r="I47" s="919"/>
    </row>
    <row r="48" spans="1:11" ht="12" x14ac:dyDescent="0.2">
      <c r="A48" s="919"/>
      <c r="B48" s="919"/>
      <c r="C48" s="919"/>
      <c r="D48" s="919"/>
      <c r="E48" s="919"/>
      <c r="F48" s="919"/>
      <c r="G48" s="919"/>
      <c r="H48" s="919"/>
      <c r="I48" s="919"/>
    </row>
    <row r="49" spans="1:9" ht="12" x14ac:dyDescent="0.2">
      <c r="A49" s="919"/>
      <c r="B49" s="919"/>
      <c r="C49" s="919"/>
      <c r="D49" s="919"/>
      <c r="E49" s="919"/>
      <c r="F49" s="919"/>
      <c r="G49" s="919"/>
      <c r="H49" s="919"/>
      <c r="I49" s="919"/>
    </row>
    <row r="50" spans="1:9" ht="12" x14ac:dyDescent="0.2">
      <c r="A50" s="919"/>
      <c r="B50" s="919"/>
      <c r="C50" s="919"/>
      <c r="D50" s="919"/>
      <c r="E50" s="919"/>
      <c r="F50" s="919"/>
      <c r="G50" s="919"/>
      <c r="H50" s="919"/>
      <c r="I50" s="919"/>
    </row>
    <row r="51" spans="1:9" ht="12" x14ac:dyDescent="0.2">
      <c r="A51" s="919"/>
      <c r="B51" s="919"/>
      <c r="C51" s="919"/>
      <c r="D51" s="919"/>
      <c r="E51" s="919"/>
      <c r="F51" s="919"/>
      <c r="G51" s="919"/>
      <c r="H51" s="919"/>
      <c r="I51" s="919"/>
    </row>
    <row r="52" spans="1:9" ht="12" x14ac:dyDescent="0.2">
      <c r="A52" s="919"/>
      <c r="B52" s="919"/>
      <c r="C52" s="919"/>
      <c r="D52" s="919"/>
      <c r="E52" s="919"/>
      <c r="F52" s="919"/>
      <c r="G52" s="919"/>
      <c r="H52" s="919"/>
      <c r="I52" s="919"/>
    </row>
    <row r="53" spans="1:9" ht="12" x14ac:dyDescent="0.2">
      <c r="A53" s="919"/>
      <c r="B53" s="919"/>
      <c r="C53" s="919"/>
      <c r="D53" s="919"/>
      <c r="E53" s="919"/>
      <c r="F53" s="919"/>
      <c r="G53" s="919"/>
      <c r="H53" s="919"/>
      <c r="I53" s="919"/>
    </row>
    <row r="54" spans="1:9" ht="12" x14ac:dyDescent="0.2">
      <c r="A54" s="919"/>
      <c r="B54" s="919"/>
      <c r="C54" s="919"/>
      <c r="D54" s="919"/>
      <c r="E54" s="919"/>
      <c r="F54" s="919"/>
      <c r="G54" s="919"/>
      <c r="H54" s="919"/>
      <c r="I54" s="919"/>
    </row>
    <row r="55" spans="1:9" ht="12" x14ac:dyDescent="0.2">
      <c r="A55" s="919"/>
      <c r="B55" s="919"/>
      <c r="C55" s="919"/>
      <c r="D55" s="919"/>
      <c r="E55" s="919"/>
      <c r="F55" s="919"/>
      <c r="G55" s="919"/>
      <c r="H55" s="919"/>
      <c r="I55" s="919"/>
    </row>
    <row r="56" spans="1:9" ht="12" x14ac:dyDescent="0.2">
      <c r="A56" s="919"/>
      <c r="B56" s="919"/>
      <c r="C56" s="919"/>
      <c r="D56" s="919"/>
      <c r="E56" s="919"/>
      <c r="F56" s="919"/>
      <c r="G56" s="919"/>
      <c r="H56" s="919"/>
      <c r="I56" s="919"/>
    </row>
    <row r="57" spans="1:9" ht="12" x14ac:dyDescent="0.2">
      <c r="A57" s="919"/>
      <c r="B57" s="919"/>
      <c r="C57" s="919"/>
      <c r="D57" s="919"/>
      <c r="E57" s="919"/>
      <c r="F57" s="919"/>
      <c r="G57" s="919"/>
      <c r="H57" s="919"/>
      <c r="I57" s="919"/>
    </row>
    <row r="58" spans="1:9" ht="12" x14ac:dyDescent="0.2">
      <c r="A58" s="919"/>
      <c r="B58" s="919"/>
      <c r="C58" s="919"/>
      <c r="D58" s="919"/>
      <c r="E58" s="919"/>
      <c r="F58" s="919"/>
      <c r="G58" s="919"/>
      <c r="H58" s="919"/>
      <c r="I58" s="919"/>
    </row>
    <row r="59" spans="1:9" ht="12" x14ac:dyDescent="0.2">
      <c r="A59" s="919"/>
      <c r="B59" s="919"/>
      <c r="C59" s="919"/>
      <c r="D59" s="919"/>
      <c r="E59" s="919"/>
      <c r="F59" s="919"/>
      <c r="G59" s="919"/>
      <c r="H59" s="919"/>
      <c r="I59" s="919"/>
    </row>
    <row r="60" spans="1:9" ht="12" x14ac:dyDescent="0.2">
      <c r="A60" s="919"/>
      <c r="B60" s="919"/>
      <c r="C60" s="919"/>
      <c r="D60" s="919"/>
      <c r="E60" s="919"/>
      <c r="F60" s="919"/>
      <c r="G60" s="919"/>
      <c r="H60" s="919"/>
      <c r="I60" s="919"/>
    </row>
    <row r="61" spans="1:9" ht="12" x14ac:dyDescent="0.2">
      <c r="A61" s="919"/>
      <c r="B61" s="919"/>
      <c r="C61" s="919"/>
      <c r="D61" s="919"/>
      <c r="E61" s="919"/>
      <c r="F61" s="919"/>
      <c r="G61" s="919"/>
      <c r="H61" s="919"/>
      <c r="I61" s="919"/>
    </row>
    <row r="62" spans="1:9" ht="12" x14ac:dyDescent="0.2">
      <c r="A62" s="919"/>
      <c r="B62" s="919"/>
      <c r="C62" s="919"/>
      <c r="D62" s="919"/>
      <c r="E62" s="919"/>
      <c r="F62" s="919"/>
      <c r="G62" s="919"/>
      <c r="H62" s="919"/>
      <c r="I62" s="919"/>
    </row>
    <row r="63" spans="1:9" ht="12" x14ac:dyDescent="0.2">
      <c r="A63" s="919"/>
      <c r="B63" s="919"/>
      <c r="C63" s="919"/>
      <c r="D63" s="919"/>
      <c r="E63" s="919"/>
      <c r="F63" s="919"/>
      <c r="G63" s="919"/>
      <c r="H63" s="919"/>
      <c r="I63" s="919"/>
    </row>
    <row r="64" spans="1:9" ht="12" x14ac:dyDescent="0.2">
      <c r="A64" s="919"/>
      <c r="B64" s="919"/>
      <c r="C64" s="919"/>
      <c r="D64" s="919"/>
      <c r="E64" s="919"/>
      <c r="F64" s="919"/>
      <c r="G64" s="919"/>
      <c r="H64" s="919"/>
      <c r="I64" s="919"/>
    </row>
    <row r="65" spans="1:9" ht="12" x14ac:dyDescent="0.2">
      <c r="A65" s="919"/>
      <c r="B65" s="919"/>
      <c r="C65" s="919"/>
      <c r="D65" s="919"/>
      <c r="E65" s="919"/>
      <c r="F65" s="919"/>
      <c r="G65" s="919"/>
      <c r="H65" s="919"/>
      <c r="I65" s="919"/>
    </row>
    <row r="66" spans="1:9" ht="12" x14ac:dyDescent="0.2">
      <c r="A66" s="919"/>
      <c r="B66" s="919"/>
      <c r="C66" s="919"/>
      <c r="D66" s="919"/>
      <c r="E66" s="919"/>
      <c r="F66" s="919"/>
      <c r="G66" s="919"/>
      <c r="H66" s="919"/>
      <c r="I66" s="919"/>
    </row>
    <row r="67" spans="1:9" ht="12" x14ac:dyDescent="0.2">
      <c r="A67" s="919"/>
      <c r="B67" s="919"/>
      <c r="C67" s="919"/>
      <c r="D67" s="919"/>
      <c r="E67" s="919"/>
      <c r="F67" s="919"/>
      <c r="G67" s="919"/>
      <c r="H67" s="919"/>
      <c r="I67" s="919"/>
    </row>
    <row r="68" spans="1:9" ht="12" x14ac:dyDescent="0.2">
      <c r="A68" s="919"/>
      <c r="B68" s="919"/>
      <c r="C68" s="919"/>
      <c r="D68" s="919"/>
      <c r="E68" s="919"/>
      <c r="F68" s="919"/>
      <c r="G68" s="919"/>
      <c r="H68" s="919"/>
      <c r="I68" s="919"/>
    </row>
    <row r="69" spans="1:9" ht="12" x14ac:dyDescent="0.2">
      <c r="A69" s="919"/>
      <c r="B69" s="919"/>
      <c r="C69" s="919"/>
      <c r="D69" s="919"/>
      <c r="E69" s="919"/>
      <c r="F69" s="919"/>
      <c r="G69" s="919"/>
      <c r="H69" s="919"/>
      <c r="I69" s="919"/>
    </row>
    <row r="70" spans="1:9" ht="12" x14ac:dyDescent="0.2">
      <c r="A70" s="919"/>
      <c r="B70" s="919"/>
      <c r="C70" s="919"/>
      <c r="D70" s="919"/>
      <c r="E70" s="919"/>
      <c r="F70" s="919"/>
      <c r="G70" s="919"/>
      <c r="H70" s="919"/>
      <c r="I70" s="919"/>
    </row>
    <row r="71" spans="1:9" ht="12" x14ac:dyDescent="0.2">
      <c r="A71" s="919"/>
      <c r="B71" s="919"/>
      <c r="C71" s="919"/>
      <c r="D71" s="919"/>
      <c r="E71" s="919"/>
      <c r="F71" s="919"/>
      <c r="G71" s="919"/>
      <c r="H71" s="919"/>
      <c r="I71" s="919"/>
    </row>
    <row r="72" spans="1:9" ht="12" x14ac:dyDescent="0.2">
      <c r="A72" s="919"/>
      <c r="B72" s="919"/>
      <c r="C72" s="919"/>
      <c r="D72" s="919"/>
      <c r="E72" s="919"/>
      <c r="F72" s="919"/>
      <c r="G72" s="919"/>
      <c r="H72" s="919"/>
      <c r="I72" s="919"/>
    </row>
    <row r="73" spans="1:9" ht="12" x14ac:dyDescent="0.2">
      <c r="A73" s="919"/>
      <c r="B73" s="919"/>
      <c r="C73" s="919"/>
      <c r="D73" s="919"/>
      <c r="E73" s="919"/>
      <c r="F73" s="919"/>
      <c r="G73" s="919"/>
      <c r="H73" s="919"/>
      <c r="I73" s="919"/>
    </row>
    <row r="74" spans="1:9" ht="12" x14ac:dyDescent="0.2">
      <c r="A74" s="919"/>
      <c r="B74" s="919"/>
      <c r="C74" s="919"/>
      <c r="D74" s="919"/>
      <c r="E74" s="919"/>
      <c r="F74" s="919"/>
      <c r="G74" s="919"/>
      <c r="H74" s="919"/>
      <c r="I74" s="919"/>
    </row>
    <row r="75" spans="1:9" ht="12" x14ac:dyDescent="0.2">
      <c r="A75" s="919"/>
      <c r="B75" s="919"/>
      <c r="C75" s="919"/>
      <c r="D75" s="919"/>
      <c r="E75" s="919"/>
      <c r="F75" s="919"/>
      <c r="G75" s="919"/>
      <c r="H75" s="919"/>
      <c r="I75" s="919"/>
    </row>
    <row r="76" spans="1:9" ht="12" x14ac:dyDescent="0.2">
      <c r="A76" s="919"/>
      <c r="B76" s="919"/>
      <c r="C76" s="919"/>
      <c r="D76" s="919"/>
      <c r="E76" s="919"/>
      <c r="F76" s="919"/>
      <c r="G76" s="919"/>
      <c r="H76" s="919"/>
      <c r="I76" s="919"/>
    </row>
    <row r="77" spans="1:9" ht="12" x14ac:dyDescent="0.2">
      <c r="A77" s="919"/>
      <c r="B77" s="919"/>
      <c r="C77" s="919"/>
      <c r="D77" s="919"/>
      <c r="E77" s="919"/>
      <c r="F77" s="919"/>
      <c r="G77" s="919"/>
      <c r="H77" s="919"/>
      <c r="I77" s="919"/>
    </row>
    <row r="78" spans="1:9" ht="12" x14ac:dyDescent="0.2">
      <c r="A78" s="919"/>
      <c r="B78" s="919"/>
      <c r="C78" s="919"/>
      <c r="D78" s="919"/>
      <c r="E78" s="919"/>
      <c r="F78" s="919"/>
      <c r="G78" s="919"/>
      <c r="H78" s="919"/>
      <c r="I78" s="919"/>
    </row>
    <row r="79" spans="1:9" ht="12" x14ac:dyDescent="0.2">
      <c r="A79" s="919"/>
      <c r="B79" s="919"/>
      <c r="C79" s="919"/>
      <c r="D79" s="919"/>
      <c r="E79" s="919"/>
      <c r="F79" s="919"/>
      <c r="G79" s="919"/>
      <c r="H79" s="919"/>
      <c r="I79" s="919"/>
    </row>
    <row r="80" spans="1:9" ht="12" x14ac:dyDescent="0.2">
      <c r="A80" s="919"/>
      <c r="B80" s="919"/>
      <c r="C80" s="919"/>
      <c r="D80" s="919"/>
      <c r="E80" s="919"/>
      <c r="F80" s="919"/>
      <c r="G80" s="919"/>
      <c r="H80" s="919"/>
      <c r="I80" s="919"/>
    </row>
    <row r="81" spans="1:9" ht="12" x14ac:dyDescent="0.2">
      <c r="A81" s="919"/>
      <c r="B81" s="919"/>
      <c r="C81" s="919"/>
      <c r="D81" s="919"/>
      <c r="E81" s="919"/>
      <c r="F81" s="919"/>
      <c r="G81" s="919"/>
      <c r="H81" s="919"/>
      <c r="I81" s="919"/>
    </row>
    <row r="82" spans="1:9" ht="12" x14ac:dyDescent="0.2">
      <c r="A82" s="919"/>
      <c r="B82" s="919"/>
      <c r="C82" s="919"/>
      <c r="D82" s="919"/>
      <c r="E82" s="919"/>
      <c r="F82" s="919"/>
      <c r="G82" s="919"/>
      <c r="H82" s="919"/>
      <c r="I82" s="919"/>
    </row>
    <row r="83" spans="1:9" ht="12" x14ac:dyDescent="0.2">
      <c r="A83" s="919"/>
      <c r="B83" s="919"/>
      <c r="C83" s="919"/>
      <c r="D83" s="919"/>
      <c r="E83" s="919"/>
      <c r="F83" s="919"/>
      <c r="G83" s="919"/>
      <c r="H83" s="919"/>
      <c r="I83" s="919"/>
    </row>
  </sheetData>
  <mergeCells count="5">
    <mergeCell ref="J13:K13"/>
    <mergeCell ref="A1:H1"/>
    <mergeCell ref="A2:H2"/>
    <mergeCell ref="A3:H3"/>
    <mergeCell ref="A4:H4"/>
  </mergeCells>
  <phoneticPr fontId="0" type="noConversion"/>
  <printOptions horizontalCentered="1"/>
  <pageMargins left="0.5" right="0.5" top="1" bottom="0.5" header="0.3" footer="0.3"/>
  <pageSetup orientation="landscape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4" transitionEvaluation="1" codeName="Sheet83"/>
  <dimension ref="A1:I25"/>
  <sheetViews>
    <sheetView topLeftCell="A4" zoomScaleNormal="100" workbookViewId="0">
      <selection activeCell="C27" sqref="C27"/>
    </sheetView>
  </sheetViews>
  <sheetFormatPr defaultColWidth="9.83203125" defaultRowHeight="10.5" x14ac:dyDescent="0.15"/>
  <cols>
    <col min="1" max="1" width="26.5" style="953" bestFit="1" customWidth="1"/>
    <col min="2" max="2" width="4.83203125" style="953" customWidth="1"/>
    <col min="3" max="3" width="62.1640625" style="953" bestFit="1" customWidth="1"/>
    <col min="4" max="16384" width="9.83203125" style="953"/>
  </cols>
  <sheetData>
    <row r="1" spans="1:9" ht="12.75" x14ac:dyDescent="0.2">
      <c r="A1" s="952"/>
      <c r="B1" s="952"/>
      <c r="C1" s="952"/>
      <c r="D1" s="952"/>
      <c r="E1" s="952"/>
      <c r="F1" s="952"/>
      <c r="G1" s="952"/>
      <c r="H1" s="952"/>
      <c r="I1" s="952"/>
    </row>
    <row r="2" spans="1:9" ht="12.75" x14ac:dyDescent="0.2">
      <c r="A2" s="952"/>
      <c r="B2" s="952"/>
      <c r="C2" s="952"/>
      <c r="D2" s="952"/>
      <c r="E2" s="952"/>
      <c r="F2" s="952"/>
      <c r="G2" s="952"/>
      <c r="H2" s="952"/>
      <c r="I2" s="952"/>
    </row>
    <row r="3" spans="1:9" ht="12.75" x14ac:dyDescent="0.2">
      <c r="A3" s="952"/>
      <c r="B3" s="952"/>
      <c r="C3" s="952"/>
      <c r="D3" s="952"/>
      <c r="E3" s="952"/>
      <c r="F3" s="952"/>
      <c r="G3" s="952"/>
      <c r="H3" s="952"/>
      <c r="I3" s="952"/>
    </row>
    <row r="4" spans="1:9" ht="12.75" x14ac:dyDescent="0.2">
      <c r="A4" s="2189" t="s">
        <v>405</v>
      </c>
      <c r="B4" s="2189"/>
      <c r="C4" s="2189"/>
      <c r="E4" s="952"/>
      <c r="F4" s="952"/>
      <c r="G4" s="952"/>
      <c r="H4" s="952"/>
      <c r="I4" s="952"/>
    </row>
    <row r="5" spans="1:9" ht="12.75" x14ac:dyDescent="0.2">
      <c r="A5" s="952"/>
      <c r="B5" s="952"/>
      <c r="C5" s="952"/>
      <c r="E5" s="952"/>
      <c r="F5" s="952"/>
      <c r="G5" s="952"/>
      <c r="H5" s="952"/>
      <c r="I5" s="952"/>
    </row>
    <row r="6" spans="1:9" ht="12.75" x14ac:dyDescent="0.2">
      <c r="A6" s="2189" t="s">
        <v>406</v>
      </c>
      <c r="B6" s="2189"/>
      <c r="C6" s="2189"/>
      <c r="E6" s="952"/>
      <c r="F6" s="952"/>
      <c r="G6" s="952"/>
      <c r="H6" s="952"/>
      <c r="I6" s="952"/>
    </row>
    <row r="7" spans="1:9" ht="12.75" x14ac:dyDescent="0.2">
      <c r="A7" s="952"/>
      <c r="B7" s="952"/>
      <c r="C7" s="952"/>
      <c r="E7" s="952"/>
      <c r="F7" s="952"/>
      <c r="G7" s="952"/>
      <c r="H7" s="952"/>
      <c r="I7" s="952"/>
    </row>
    <row r="8" spans="1:9" ht="12.75" x14ac:dyDescent="0.2">
      <c r="A8" s="2190" t="s">
        <v>624</v>
      </c>
      <c r="B8" s="2190"/>
      <c r="C8" s="2190"/>
      <c r="E8" s="952"/>
      <c r="F8" s="952"/>
      <c r="G8" s="952"/>
      <c r="H8" s="952"/>
      <c r="I8" s="952"/>
    </row>
    <row r="9" spans="1:9" ht="12.75" x14ac:dyDescent="0.2">
      <c r="A9" s="1161"/>
      <c r="B9" s="1161"/>
      <c r="C9" s="1161"/>
      <c r="E9" s="952"/>
      <c r="F9" s="952"/>
      <c r="G9" s="952"/>
      <c r="H9" s="952"/>
      <c r="I9" s="952"/>
    </row>
    <row r="10" spans="1:9" ht="12.75" x14ac:dyDescent="0.2">
      <c r="A10" s="2190" t="str">
        <f>case</f>
        <v>CASE NO. 2016 - 00162</v>
      </c>
      <c r="B10" s="2190"/>
      <c r="C10" s="2190"/>
      <c r="E10" s="952"/>
      <c r="F10" s="952"/>
      <c r="G10" s="952"/>
      <c r="H10" s="952"/>
      <c r="I10" s="952"/>
    </row>
    <row r="11" spans="1:9" ht="12.75" x14ac:dyDescent="0.2">
      <c r="A11" s="1161"/>
      <c r="B11" s="1161"/>
      <c r="C11" s="1161"/>
      <c r="E11" s="952"/>
      <c r="F11" s="952"/>
      <c r="G11" s="952"/>
      <c r="H11" s="952"/>
      <c r="I11" s="952"/>
    </row>
    <row r="12" spans="1:9" ht="12.75" x14ac:dyDescent="0.2">
      <c r="A12" s="1161"/>
      <c r="B12" s="1161"/>
      <c r="C12" s="1161"/>
      <c r="E12" s="952"/>
      <c r="F12" s="952"/>
      <c r="G12" s="952"/>
      <c r="H12" s="952"/>
      <c r="I12" s="952"/>
    </row>
    <row r="13" spans="1:9" ht="12.75" x14ac:dyDescent="0.2">
      <c r="A13" s="1162" t="s">
        <v>1252</v>
      </c>
      <c r="B13" s="1161"/>
      <c r="C13" s="1162" t="str">
        <f>base</f>
        <v>FOR THE TWELVE MONTHS ENDED AUGUST 31, 2016</v>
      </c>
      <c r="E13" s="952"/>
      <c r="F13" s="952"/>
      <c r="G13" s="952"/>
      <c r="H13" s="952"/>
      <c r="I13" s="952"/>
    </row>
    <row r="14" spans="1:9" ht="12.75" x14ac:dyDescent="0.2">
      <c r="A14" s="1161"/>
      <c r="B14" s="1161"/>
      <c r="C14" s="1161"/>
      <c r="E14" s="952"/>
      <c r="F14" s="952"/>
      <c r="G14" s="952"/>
      <c r="H14" s="952"/>
      <c r="I14" s="952"/>
    </row>
    <row r="15" spans="1:9" ht="12.75" x14ac:dyDescent="0.2">
      <c r="A15" s="1162" t="s">
        <v>407</v>
      </c>
      <c r="B15" s="1161"/>
      <c r="C15" s="1162" t="str">
        <f>forecast</f>
        <v>FOR THE TWELVE MONTHS ENDED DECEMBER 31, 2017</v>
      </c>
      <c r="E15" s="952"/>
      <c r="F15" s="952"/>
      <c r="G15" s="952"/>
      <c r="H15" s="952"/>
      <c r="I15" s="952"/>
    </row>
    <row r="16" spans="1:9" ht="12.75" x14ac:dyDescent="0.2">
      <c r="A16" s="1161"/>
      <c r="B16" s="1161"/>
      <c r="C16" s="1161"/>
      <c r="E16" s="952"/>
      <c r="F16" s="952"/>
      <c r="G16" s="952"/>
      <c r="H16" s="952"/>
      <c r="I16" s="952"/>
    </row>
    <row r="17" spans="1:9" ht="12.75" x14ac:dyDescent="0.2">
      <c r="A17" s="1161"/>
      <c r="B17" s="1161"/>
      <c r="C17" s="1161"/>
      <c r="E17" s="952"/>
      <c r="F17" s="952"/>
      <c r="G17" s="952"/>
      <c r="H17" s="952"/>
      <c r="I17" s="952"/>
    </row>
    <row r="18" spans="1:9" ht="12.75" x14ac:dyDescent="0.2">
      <c r="A18" s="1438" t="s">
        <v>633</v>
      </c>
      <c r="B18" s="1437"/>
      <c r="C18" s="1436" t="s">
        <v>778</v>
      </c>
      <c r="E18" s="954"/>
      <c r="F18" s="952"/>
      <c r="G18" s="952"/>
      <c r="H18" s="952"/>
      <c r="I18" s="952"/>
    </row>
    <row r="19" spans="1:9" ht="12.75" x14ac:dyDescent="0.2">
      <c r="A19" s="1163"/>
      <c r="B19" s="1161"/>
      <c r="C19" s="1164"/>
      <c r="D19" s="955"/>
      <c r="E19" s="954"/>
      <c r="F19" s="952"/>
      <c r="G19" s="952"/>
      <c r="H19" s="952"/>
      <c r="I19" s="952"/>
    </row>
    <row r="20" spans="1:9" ht="12.75" x14ac:dyDescent="0.2">
      <c r="A20" s="1165" t="s">
        <v>408</v>
      </c>
      <c r="B20" s="1161"/>
      <c r="C20" s="1164" t="s">
        <v>409</v>
      </c>
      <c r="D20" s="955"/>
      <c r="E20" s="954"/>
      <c r="F20" s="952"/>
      <c r="G20" s="952"/>
      <c r="H20" s="952"/>
      <c r="I20" s="952"/>
    </row>
    <row r="21" spans="1:9" ht="12.75" x14ac:dyDescent="0.2">
      <c r="A21" s="1165" t="s">
        <v>410</v>
      </c>
      <c r="B21" s="1161"/>
      <c r="C21" s="1161" t="s">
        <v>411</v>
      </c>
      <c r="D21" s="952"/>
      <c r="E21" s="952"/>
      <c r="F21" s="952"/>
      <c r="G21" s="952"/>
      <c r="H21" s="952"/>
      <c r="I21" s="952"/>
    </row>
    <row r="22" spans="1:9" ht="12.75" x14ac:dyDescent="0.2">
      <c r="A22" s="1165" t="s">
        <v>412</v>
      </c>
      <c r="B22" s="1161"/>
      <c r="C22" s="1161" t="s">
        <v>413</v>
      </c>
      <c r="D22" s="952"/>
      <c r="E22" s="952"/>
      <c r="F22" s="952"/>
      <c r="G22" s="952"/>
      <c r="H22" s="952"/>
      <c r="I22" s="952"/>
    </row>
    <row r="23" spans="1:9" x14ac:dyDescent="0.15">
      <c r="A23" s="1166"/>
      <c r="B23" s="1166"/>
      <c r="C23" s="1166"/>
    </row>
    <row r="24" spans="1:9" x14ac:dyDescent="0.15">
      <c r="A24" s="1166"/>
      <c r="B24" s="1166"/>
      <c r="C24" s="1166"/>
    </row>
    <row r="25" spans="1:9" x14ac:dyDescent="0.15">
      <c r="A25" s="1166"/>
      <c r="B25" s="1166"/>
      <c r="C25" s="1166"/>
    </row>
  </sheetData>
  <mergeCells count="4">
    <mergeCell ref="A4:C4"/>
    <mergeCell ref="A6:C6"/>
    <mergeCell ref="A8:C8"/>
    <mergeCell ref="A10:C10"/>
  </mergeCells>
  <phoneticPr fontId="0" type="noConversion"/>
  <printOptions horizontalCentered="1"/>
  <pageMargins left="0.25" right="0.25" top="1" bottom="0.25" header="0.5" footer="0.5"/>
  <pageSetup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S46"/>
  <sheetViews>
    <sheetView zoomScale="85" zoomScaleNormal="85" workbookViewId="0">
      <selection activeCell="G29" sqref="G29"/>
    </sheetView>
  </sheetViews>
  <sheetFormatPr defaultColWidth="9.33203125" defaultRowHeight="12.75" x14ac:dyDescent="0.2"/>
  <cols>
    <col min="1" max="2" width="5.5" style="659" customWidth="1"/>
    <col min="3" max="3" width="48.83203125" style="659" bestFit="1" customWidth="1"/>
    <col min="4" max="4" width="14.83203125" style="659" customWidth="1"/>
    <col min="5" max="5" width="15.6640625" style="659" bestFit="1" customWidth="1"/>
    <col min="6" max="6" width="15.5" style="659" bestFit="1" customWidth="1"/>
    <col min="7" max="7" width="15.1640625" style="881" bestFit="1" customWidth="1"/>
    <col min="8" max="9" width="15.5" style="659" customWidth="1"/>
    <col min="10" max="10" width="14" style="659" customWidth="1"/>
    <col min="11" max="11" width="16.83203125" style="659" customWidth="1"/>
    <col min="12" max="12" width="18.1640625" style="659" customWidth="1"/>
    <col min="13" max="13" width="9.33203125" style="659"/>
    <col min="14" max="15" width="10.83203125" style="659" bestFit="1" customWidth="1"/>
    <col min="16" max="16384" width="9.33203125" style="659"/>
  </cols>
  <sheetData>
    <row r="1" spans="1:18" x14ac:dyDescent="0.2">
      <c r="A1" s="2195" t="s">
        <v>624</v>
      </c>
      <c r="B1" s="2195"/>
      <c r="C1" s="2195"/>
      <c r="D1" s="2195"/>
      <c r="E1" s="2195"/>
      <c r="F1" s="2195"/>
      <c r="G1" s="2195"/>
      <c r="H1" s="2195"/>
      <c r="I1" s="2195"/>
      <c r="J1" s="2195"/>
      <c r="K1" s="2195"/>
      <c r="L1" s="2195"/>
      <c r="M1" s="956"/>
      <c r="N1" s="956"/>
      <c r="O1" s="956"/>
      <c r="P1" s="956"/>
      <c r="Q1" s="956"/>
      <c r="R1" s="956"/>
    </row>
    <row r="2" spans="1:18" x14ac:dyDescent="0.2">
      <c r="A2" s="2196" t="str">
        <f>case</f>
        <v>CASE NO. 2016 - 00162</v>
      </c>
      <c r="B2" s="2196"/>
      <c r="C2" s="2196"/>
      <c r="D2" s="2196"/>
      <c r="E2" s="2196"/>
      <c r="F2" s="2196"/>
      <c r="G2" s="2196"/>
      <c r="H2" s="2196"/>
      <c r="I2" s="2196"/>
      <c r="J2" s="2196"/>
      <c r="K2" s="2196"/>
      <c r="L2" s="2196"/>
      <c r="M2" s="956"/>
      <c r="N2" s="956"/>
      <c r="O2" s="956"/>
      <c r="P2" s="956"/>
      <c r="Q2" s="956"/>
      <c r="R2" s="956"/>
    </row>
    <row r="3" spans="1:18" x14ac:dyDescent="0.2">
      <c r="A3" s="2192" t="s">
        <v>414</v>
      </c>
      <c r="B3" s="2192"/>
      <c r="C3" s="2192"/>
      <c r="D3" s="2192"/>
      <c r="E3" s="2192"/>
      <c r="F3" s="2192"/>
      <c r="G3" s="2192"/>
      <c r="H3" s="2192"/>
      <c r="I3" s="2192"/>
      <c r="J3" s="2192"/>
      <c r="K3" s="2192"/>
      <c r="L3" s="2192"/>
      <c r="M3" s="956"/>
      <c r="N3" s="956"/>
      <c r="O3" s="956"/>
      <c r="P3" s="956"/>
      <c r="Q3" s="956"/>
      <c r="R3" s="956"/>
    </row>
    <row r="4" spans="1:18" x14ac:dyDescent="0.2">
      <c r="A4" s="2192" t="s">
        <v>1980</v>
      </c>
      <c r="B4" s="2192"/>
      <c r="C4" s="2192"/>
      <c r="D4" s="2192"/>
      <c r="E4" s="2192"/>
      <c r="F4" s="2192"/>
      <c r="G4" s="2192"/>
      <c r="H4" s="2192"/>
      <c r="I4" s="2192"/>
      <c r="J4" s="2192"/>
      <c r="K4" s="2192"/>
      <c r="L4" s="2192"/>
      <c r="M4" s="956"/>
      <c r="N4" s="956"/>
      <c r="O4" s="956"/>
      <c r="P4" s="956"/>
      <c r="Q4" s="956"/>
      <c r="R4" s="956"/>
    </row>
    <row r="5" spans="1:18" x14ac:dyDescent="0.2">
      <c r="A5" s="2192" t="s">
        <v>1981</v>
      </c>
      <c r="B5" s="2192"/>
      <c r="C5" s="2192"/>
      <c r="D5" s="2192"/>
      <c r="E5" s="2192"/>
      <c r="F5" s="2192"/>
      <c r="G5" s="2192"/>
      <c r="H5" s="2192"/>
      <c r="I5" s="2192"/>
      <c r="J5" s="2192"/>
      <c r="K5" s="2192"/>
      <c r="L5" s="2192"/>
      <c r="M5" s="956"/>
      <c r="N5" s="956"/>
      <c r="O5" s="956"/>
      <c r="P5" s="956"/>
      <c r="Q5" s="956"/>
      <c r="R5" s="956"/>
    </row>
    <row r="6" spans="1:18" x14ac:dyDescent="0.2">
      <c r="A6" s="1553"/>
      <c r="B6" s="1553"/>
      <c r="C6" s="1553"/>
      <c r="D6" s="1553"/>
      <c r="E6" s="1553"/>
      <c r="F6" s="1553"/>
      <c r="G6" s="1553"/>
      <c r="H6" s="1553"/>
      <c r="I6" s="1553"/>
      <c r="J6" s="1553"/>
      <c r="K6" s="1553"/>
      <c r="L6" s="1553"/>
      <c r="M6" s="956"/>
      <c r="N6" s="956"/>
      <c r="O6" s="956"/>
      <c r="P6" s="956"/>
      <c r="Q6" s="956"/>
      <c r="R6" s="956"/>
    </row>
    <row r="7" spans="1:18" x14ac:dyDescent="0.2">
      <c r="A7" s="1801" t="s">
        <v>1317</v>
      </c>
      <c r="B7" s="1554"/>
      <c r="C7" s="1554"/>
      <c r="D7" s="1554"/>
      <c r="E7" s="1554"/>
      <c r="F7" s="1554"/>
      <c r="G7" s="1554"/>
      <c r="H7" s="1554"/>
      <c r="I7" s="1554"/>
      <c r="J7" s="1554"/>
      <c r="K7" s="1554"/>
      <c r="L7" s="1802" t="s">
        <v>415</v>
      </c>
      <c r="M7" s="958"/>
      <c r="N7" s="960"/>
      <c r="O7" s="958"/>
      <c r="P7" s="958"/>
      <c r="Q7" s="958"/>
    </row>
    <row r="8" spans="1:18" x14ac:dyDescent="0.2">
      <c r="A8" s="957" t="s">
        <v>977</v>
      </c>
      <c r="B8" s="958"/>
      <c r="C8" s="958"/>
      <c r="D8" s="958"/>
      <c r="E8" s="958"/>
      <c r="F8" s="958"/>
      <c r="G8" s="1554"/>
      <c r="H8" s="958"/>
      <c r="I8" s="958"/>
      <c r="J8" s="958"/>
      <c r="K8" s="958"/>
      <c r="L8" s="959" t="s">
        <v>1299</v>
      </c>
      <c r="M8" s="961"/>
      <c r="N8" s="962"/>
      <c r="O8" s="961"/>
      <c r="P8" s="961"/>
      <c r="Q8" s="961"/>
    </row>
    <row r="9" spans="1:18" x14ac:dyDescent="0.2">
      <c r="A9" s="963" t="s">
        <v>996</v>
      </c>
      <c r="B9" s="964"/>
      <c r="C9" s="964"/>
      <c r="D9" s="964"/>
      <c r="E9" s="964"/>
      <c r="F9" s="964"/>
      <c r="G9" s="1555"/>
      <c r="H9" s="964"/>
      <c r="I9" s="964"/>
      <c r="J9" s="964"/>
      <c r="K9" s="964"/>
      <c r="L9" s="1948" t="s">
        <v>2407</v>
      </c>
      <c r="M9" s="961"/>
      <c r="N9" s="962"/>
      <c r="O9" s="961"/>
      <c r="P9" s="961"/>
      <c r="Q9" s="961"/>
    </row>
    <row r="10" spans="1:18" x14ac:dyDescent="0.2">
      <c r="A10" s="965"/>
      <c r="B10" s="961"/>
      <c r="C10" s="961"/>
      <c r="D10" s="2193" t="s">
        <v>416</v>
      </c>
      <c r="E10" s="2193"/>
      <c r="F10" s="2193"/>
      <c r="G10" s="2193"/>
      <c r="H10" s="2193"/>
      <c r="I10" s="961"/>
      <c r="J10" s="961"/>
      <c r="K10" s="2194" t="s">
        <v>417</v>
      </c>
      <c r="L10" s="2194"/>
      <c r="M10" s="961"/>
      <c r="N10" s="962"/>
      <c r="O10" s="961"/>
      <c r="P10" s="961"/>
      <c r="Q10" s="961"/>
      <c r="R10" s="966"/>
    </row>
    <row r="11" spans="1:18" x14ac:dyDescent="0.2">
      <c r="A11" s="965"/>
      <c r="B11" s="961"/>
      <c r="C11" s="961"/>
      <c r="D11" s="961"/>
      <c r="E11" s="961"/>
      <c r="F11" s="961"/>
      <c r="G11" s="1556"/>
      <c r="H11" s="961"/>
      <c r="I11" s="961"/>
      <c r="J11" s="961"/>
      <c r="K11" s="961"/>
      <c r="L11" s="961"/>
      <c r="M11" s="961"/>
      <c r="N11" s="962"/>
      <c r="O11" s="961"/>
      <c r="P11" s="961"/>
      <c r="Q11" s="961"/>
      <c r="R11" s="966"/>
    </row>
    <row r="12" spans="1:18" x14ac:dyDescent="0.2">
      <c r="A12" s="967" t="s">
        <v>632</v>
      </c>
      <c r="B12" s="961"/>
      <c r="C12" s="961"/>
      <c r="D12" s="968"/>
      <c r="E12" s="968"/>
      <c r="F12" s="968"/>
      <c r="G12" s="1557"/>
      <c r="H12" s="968"/>
      <c r="I12" s="968" t="s">
        <v>634</v>
      </c>
      <c r="J12" s="968" t="s">
        <v>418</v>
      </c>
      <c r="K12" s="968"/>
      <c r="L12" s="968"/>
      <c r="M12" s="961"/>
      <c r="N12" s="962"/>
      <c r="O12" s="961"/>
      <c r="P12" s="961"/>
      <c r="Q12" s="961"/>
      <c r="R12" s="966"/>
    </row>
    <row r="13" spans="1:18" x14ac:dyDescent="0.2">
      <c r="A13" s="969" t="s">
        <v>635</v>
      </c>
      <c r="B13" s="970" t="s">
        <v>778</v>
      </c>
      <c r="C13" s="970"/>
      <c r="D13" s="971">
        <v>2011</v>
      </c>
      <c r="E13" s="971">
        <v>2012</v>
      </c>
      <c r="F13" s="971">
        <v>2013</v>
      </c>
      <c r="G13" s="1558">
        <v>2014</v>
      </c>
      <c r="H13" s="971">
        <v>2015</v>
      </c>
      <c r="I13" s="1800">
        <v>42613</v>
      </c>
      <c r="J13" s="1800">
        <v>43100</v>
      </c>
      <c r="K13" s="1558">
        <v>2018</v>
      </c>
      <c r="L13" s="1558">
        <v>2019</v>
      </c>
      <c r="M13" s="961"/>
      <c r="N13" s="962"/>
      <c r="O13" s="961"/>
      <c r="P13" s="961"/>
      <c r="Q13" s="961"/>
      <c r="R13" s="966"/>
    </row>
    <row r="14" spans="1:18" x14ac:dyDescent="0.2">
      <c r="A14" s="967"/>
      <c r="B14" s="961"/>
      <c r="C14" s="961"/>
      <c r="D14" s="968" t="s">
        <v>639</v>
      </c>
      <c r="E14" s="968" t="s">
        <v>639</v>
      </c>
      <c r="F14" s="968" t="s">
        <v>639</v>
      </c>
      <c r="G14" s="1557" t="s">
        <v>639</v>
      </c>
      <c r="H14" s="968" t="s">
        <v>639</v>
      </c>
      <c r="I14" s="1557" t="s">
        <v>639</v>
      </c>
      <c r="J14" s="1557" t="s">
        <v>639</v>
      </c>
      <c r="K14" s="968" t="s">
        <v>639</v>
      </c>
      <c r="L14" s="968" t="s">
        <v>639</v>
      </c>
      <c r="M14" s="961"/>
      <c r="N14" s="962"/>
      <c r="O14" s="961"/>
      <c r="P14" s="961"/>
      <c r="Q14" s="961"/>
      <c r="R14" s="966"/>
    </row>
    <row r="15" spans="1:18" x14ac:dyDescent="0.2">
      <c r="A15" s="848"/>
      <c r="I15" s="848" t="s">
        <v>1647</v>
      </c>
      <c r="J15" s="1682" t="s">
        <v>1647</v>
      </c>
      <c r="K15" s="1682" t="s">
        <v>2402</v>
      </c>
      <c r="L15" s="1682" t="s">
        <v>2402</v>
      </c>
    </row>
    <row r="16" spans="1:18" x14ac:dyDescent="0.2">
      <c r="A16" s="848">
        <v>1</v>
      </c>
      <c r="B16" s="659" t="s">
        <v>1305</v>
      </c>
      <c r="D16" s="973"/>
      <c r="E16" s="853"/>
      <c r="F16" s="894"/>
      <c r="G16" s="894"/>
      <c r="H16" s="853"/>
      <c r="I16" s="853"/>
      <c r="J16" s="853"/>
      <c r="K16" s="853"/>
      <c r="L16" s="853"/>
    </row>
    <row r="17" spans="1:19" x14ac:dyDescent="0.2">
      <c r="A17" s="848">
        <f>A16+1</f>
        <v>2</v>
      </c>
      <c r="C17" s="659" t="s">
        <v>419</v>
      </c>
      <c r="D17" s="1551">
        <v>97332278</v>
      </c>
      <c r="E17" s="1551">
        <v>77362488</v>
      </c>
      <c r="F17" s="1551">
        <v>95020405</v>
      </c>
      <c r="G17" s="1551">
        <f>117490423.65+810000</f>
        <v>118300423.65000001</v>
      </c>
      <c r="H17" s="1551">
        <f>105788718.71-5562000</f>
        <v>100226718.70999999</v>
      </c>
      <c r="I17" s="342">
        <f>'Oper Rev&amp;Exp by Accts C2.1A'!F20+'Oper Rev&amp;Exp by Accts C2.1A'!F23</f>
        <v>69628812.079999998</v>
      </c>
      <c r="J17" s="342">
        <f>'Oper Rev&amp;Exp by Accts C2.1B'!F20+'Oper Rev&amp;Exp by Accts C2.1B'!F23+'Adj Operating Income Sum C-2'!K13</f>
        <v>69675104.830000013</v>
      </c>
      <c r="K17" s="1551">
        <v>97838000</v>
      </c>
      <c r="L17" s="1551">
        <v>100641000</v>
      </c>
    </row>
    <row r="18" spans="1:19" x14ac:dyDescent="0.2">
      <c r="A18" s="848">
        <f>A17+1</f>
        <v>3</v>
      </c>
      <c r="C18" s="659" t="s">
        <v>420</v>
      </c>
      <c r="D18" s="1551">
        <v>19652794</v>
      </c>
      <c r="E18" s="1551">
        <v>19408997</v>
      </c>
      <c r="F18" s="1551">
        <v>20455808</v>
      </c>
      <c r="G18" s="1551">
        <v>22595855.760000002</v>
      </c>
      <c r="H18" s="1551">
        <v>21572375.140000001</v>
      </c>
      <c r="I18" s="342">
        <f>'Oper Rev&amp;Exp by Accts C2.1A'!F26</f>
        <v>21950546.569999997</v>
      </c>
      <c r="J18" s="342">
        <f>'Oper Rev&amp;Exp by Accts C2.1B'!F26</f>
        <v>21807062.239999998</v>
      </c>
      <c r="K18" s="1551">
        <v>22782000</v>
      </c>
      <c r="L18" s="1551">
        <v>22744000</v>
      </c>
    </row>
    <row r="19" spans="1:19" x14ac:dyDescent="0.2">
      <c r="A19" s="848">
        <f>A18+1</f>
        <v>4</v>
      </c>
      <c r="C19" s="659" t="s">
        <v>421</v>
      </c>
      <c r="D19" s="1552">
        <v>28329061</v>
      </c>
      <c r="E19" s="1552">
        <v>4313965</v>
      </c>
      <c r="F19" s="1552">
        <v>22025094</v>
      </c>
      <c r="G19" s="1552">
        <v>27162572.329999998</v>
      </c>
      <c r="H19" s="1552">
        <f>4598861.66+5562000</f>
        <v>10160861.66</v>
      </c>
      <c r="I19" s="1160">
        <f>'Oper Rev&amp;Exp by Accts C2.1A'!F24+'Oper Rev&amp;Exp by Accts C2.1A'!F25+'Oper Rev&amp;Exp by Accts C2.1A'!F27</f>
        <v>10463825.209999999</v>
      </c>
      <c r="J19" s="1160">
        <f>'Oper Rev&amp;Exp by Accts C2.1B'!F24+'Oper Rev&amp;Exp by Accts C2.1B'!F25+'Oper Rev&amp;Exp by Accts C2.1B'!F27</f>
        <v>1200000</v>
      </c>
      <c r="K19" s="1552">
        <v>1515000</v>
      </c>
      <c r="L19" s="1552">
        <v>1563000</v>
      </c>
    </row>
    <row r="20" spans="1:19" x14ac:dyDescent="0.2">
      <c r="A20" s="848">
        <f>A19+1</f>
        <v>5</v>
      </c>
      <c r="B20" s="659" t="s">
        <v>422</v>
      </c>
      <c r="D20" s="894">
        <f>SUM(D17:D19)</f>
        <v>145314133</v>
      </c>
      <c r="E20" s="894">
        <f t="shared" ref="E20:L20" si="0">SUM(E17:E19)</f>
        <v>101085450</v>
      </c>
      <c r="F20" s="894">
        <f t="shared" si="0"/>
        <v>137501307</v>
      </c>
      <c r="G20" s="894">
        <f t="shared" si="0"/>
        <v>168058851.74000001</v>
      </c>
      <c r="H20" s="894">
        <f t="shared" si="0"/>
        <v>131959955.50999999</v>
      </c>
      <c r="I20" s="853">
        <f t="shared" si="0"/>
        <v>102043183.85999998</v>
      </c>
      <c r="J20" s="853">
        <f t="shared" si="0"/>
        <v>92682167.070000008</v>
      </c>
      <c r="K20" s="894">
        <f t="shared" si="0"/>
        <v>122135000</v>
      </c>
      <c r="L20" s="894">
        <f t="shared" si="0"/>
        <v>124948000</v>
      </c>
    </row>
    <row r="21" spans="1:19" x14ac:dyDescent="0.2">
      <c r="A21" s="848"/>
      <c r="D21" s="894"/>
      <c r="E21" s="894"/>
      <c r="F21" s="894"/>
      <c r="G21" s="894"/>
      <c r="H21" s="894"/>
      <c r="I21" s="853"/>
      <c r="J21" s="853"/>
      <c r="K21" s="853"/>
      <c r="L21" s="853"/>
    </row>
    <row r="22" spans="1:19" x14ac:dyDescent="0.2">
      <c r="A22" s="848">
        <f>A20+1</f>
        <v>6</v>
      </c>
      <c r="B22" s="659" t="s">
        <v>1306</v>
      </c>
      <c r="D22" s="894"/>
      <c r="E22" s="894"/>
      <c r="F22" s="894"/>
      <c r="G22" s="894"/>
      <c r="H22" s="894"/>
      <c r="I22" s="853"/>
      <c r="J22" s="853"/>
      <c r="K22" s="853"/>
      <c r="L22" s="853"/>
    </row>
    <row r="23" spans="1:19" x14ac:dyDescent="0.2">
      <c r="A23" s="848">
        <f t="shared" ref="A23:A28" si="1">A22+1</f>
        <v>7</v>
      </c>
      <c r="C23" s="659" t="s">
        <v>423</v>
      </c>
      <c r="D23" s="1551">
        <v>85849591</v>
      </c>
      <c r="E23" s="1551">
        <v>43027998</v>
      </c>
      <c r="F23" s="1551">
        <v>74953091</v>
      </c>
      <c r="G23" s="1551">
        <v>97530188</v>
      </c>
      <c r="H23" s="1551">
        <v>62975860.439999998</v>
      </c>
      <c r="I23" s="342">
        <f>'Oper Rev&amp;Exp by Accts C2.1A'!F51</f>
        <v>30222805.32</v>
      </c>
      <c r="J23" s="342">
        <f>'Adj Operating Income Sum C-2'!M16</f>
        <v>21817507.119999997</v>
      </c>
      <c r="K23" s="1551">
        <v>49064000</v>
      </c>
      <c r="L23" s="1551">
        <v>51860000</v>
      </c>
    </row>
    <row r="24" spans="1:19" x14ac:dyDescent="0.2">
      <c r="A24" s="848">
        <f t="shared" si="1"/>
        <v>8</v>
      </c>
      <c r="C24" s="659" t="s">
        <v>424</v>
      </c>
      <c r="D24" s="1551">
        <v>28840095</v>
      </c>
      <c r="E24" s="1551">
        <v>29817379</v>
      </c>
      <c r="F24" s="1551">
        <v>31932947</v>
      </c>
      <c r="G24" s="1551">
        <v>32973195.969999999</v>
      </c>
      <c r="H24" s="1551">
        <v>31799247.25</v>
      </c>
      <c r="I24" s="342">
        <f>'Oper Rev&amp;Exp by Accts C2.1A'!F39+'Oper Rev&amp;Exp by Accts C2.1A'!F63+'Oper Rev&amp;Exp by Accts C2.1A'!F97+'Oper Rev&amp;Exp by Accts C2.1A'!F106+'Oper Rev&amp;Exp by Accts C2.1A'!F113+'Oper Rev&amp;Exp by Accts C2.1A'!F127</f>
        <v>34147063.073740005</v>
      </c>
      <c r="J24" s="342">
        <f>'Oper Rev&amp;Exp by Accts C2.1B'!F39+'Oper Rev&amp;Exp by Accts C2.1B'!F63+'Oper Rev&amp;Exp by Accts C2.1B'!F97+'Oper Rev&amp;Exp by Accts C2.1B'!F106+'Oper Rev&amp;Exp by Accts C2.1B'!F113+'Oper Rev&amp;Exp by Accts C2.1B'!F127+SUM('Adj Operating Income Sum C-2'!K18:K22)</f>
        <v>39714509.439960003</v>
      </c>
      <c r="K24" s="1551">
        <f>ROUND(45072000*(J24/(J24+J25)),0)</f>
        <v>39997171</v>
      </c>
      <c r="L24" s="1551">
        <f>ROUND(45971000*(J24/(J24+J25)),0)</f>
        <v>40794949</v>
      </c>
      <c r="N24" s="1684"/>
    </row>
    <row r="25" spans="1:19" x14ac:dyDescent="0.2">
      <c r="A25" s="848">
        <f t="shared" si="1"/>
        <v>9</v>
      </c>
      <c r="C25" s="659" t="s">
        <v>425</v>
      </c>
      <c r="D25" s="1551">
        <v>2493935</v>
      </c>
      <c r="E25" s="1551">
        <v>2949746</v>
      </c>
      <c r="F25" s="1551">
        <v>2498513</v>
      </c>
      <c r="G25" s="1551">
        <f>2924941.41+80</f>
        <v>2925021.41</v>
      </c>
      <c r="H25" s="1551">
        <v>3774971.09</v>
      </c>
      <c r="I25" s="342">
        <f>'Oper Rev&amp;Exp by Accts C2.1A'!F74+'Oper Rev&amp;Exp by Accts C2.1A'!F132</f>
        <v>4594699.4862599997</v>
      </c>
      <c r="J25" s="342">
        <f>'Oper Rev&amp;Exp by Accts C2.1B'!F74+'Oper Rev&amp;Exp by Accts C2.1B'!F132</f>
        <v>5038965</v>
      </c>
      <c r="K25" s="1551">
        <f>45072000-K24</f>
        <v>5074829</v>
      </c>
      <c r="L25" s="1551">
        <f>45971000-L24</f>
        <v>5176051</v>
      </c>
    </row>
    <row r="26" spans="1:19" x14ac:dyDescent="0.2">
      <c r="A26" s="848">
        <f t="shared" si="1"/>
        <v>10</v>
      </c>
      <c r="C26" s="659" t="s">
        <v>426</v>
      </c>
      <c r="D26" s="1551">
        <v>6182943</v>
      </c>
      <c r="E26" s="1551">
        <v>6676553</v>
      </c>
      <c r="F26" s="1551">
        <v>7011749</v>
      </c>
      <c r="G26" s="1551">
        <f>6687566.54+910947.11</f>
        <v>7598513.6500000004</v>
      </c>
      <c r="H26" s="1551">
        <v>8361042.1900000004</v>
      </c>
      <c r="I26" s="342">
        <f>'Oper Rev&amp;Exp by Accts C2.1A'!F136</f>
        <v>8846618.3807191737</v>
      </c>
      <c r="J26" s="342">
        <f>'Adj Operating Income Sum C-2'!M23</f>
        <v>15828137.157035036</v>
      </c>
      <c r="K26" s="1551">
        <v>11135000</v>
      </c>
      <c r="L26" s="1551">
        <v>12035000</v>
      </c>
    </row>
    <row r="27" spans="1:19" x14ac:dyDescent="0.2">
      <c r="A27" s="848">
        <f t="shared" si="1"/>
        <v>11</v>
      </c>
      <c r="C27" s="659" t="s">
        <v>427</v>
      </c>
      <c r="D27" s="1552">
        <v>2770426</v>
      </c>
      <c r="E27" s="1552">
        <v>2913004</v>
      </c>
      <c r="F27" s="1552">
        <v>3046818</v>
      </c>
      <c r="G27" s="1552">
        <v>3400268.56</v>
      </c>
      <c r="H27" s="1552">
        <v>3761012.17</v>
      </c>
      <c r="I27" s="1160">
        <f>'Oper Rev&amp;Exp by Accts C2.1A'!F137</f>
        <v>4010989.3299999996</v>
      </c>
      <c r="J27" s="1160">
        <f>'Adj Operating Income Sum C-2'!M25+'Adj Operating Income Sum C-2'!M26+'Adj Operating Income Sum C-2'!M27</f>
        <v>4790881</v>
      </c>
      <c r="K27" s="1552">
        <v>5000000</v>
      </c>
      <c r="L27" s="1552">
        <v>5405000</v>
      </c>
    </row>
    <row r="28" spans="1:19" x14ac:dyDescent="0.2">
      <c r="A28" s="848">
        <f t="shared" si="1"/>
        <v>12</v>
      </c>
      <c r="B28" s="659" t="s">
        <v>1339</v>
      </c>
      <c r="D28" s="894">
        <f>SUM(D23:D27)</f>
        <v>126136990</v>
      </c>
      <c r="E28" s="894">
        <f t="shared" ref="E28:L28" si="2">SUM(E23:E27)</f>
        <v>85384680</v>
      </c>
      <c r="F28" s="894">
        <f t="shared" si="2"/>
        <v>119443118</v>
      </c>
      <c r="G28" s="894">
        <f t="shared" si="2"/>
        <v>144427187.59</v>
      </c>
      <c r="H28" s="894">
        <f t="shared" si="2"/>
        <v>110672133.14</v>
      </c>
      <c r="I28" s="853">
        <f t="shared" si="2"/>
        <v>81822175.590719178</v>
      </c>
      <c r="J28" s="853">
        <f t="shared" si="2"/>
        <v>87189999.716995031</v>
      </c>
      <c r="K28" s="894">
        <f t="shared" si="2"/>
        <v>110271000</v>
      </c>
      <c r="L28" s="894">
        <f t="shared" si="2"/>
        <v>115271000</v>
      </c>
    </row>
    <row r="29" spans="1:19" x14ac:dyDescent="0.2">
      <c r="A29" s="848"/>
      <c r="D29" s="894"/>
      <c r="E29" s="894"/>
      <c r="F29" s="894"/>
      <c r="G29" s="894"/>
      <c r="H29" s="894"/>
      <c r="I29" s="853"/>
      <c r="J29" s="853"/>
      <c r="K29" s="894"/>
      <c r="L29" s="894"/>
    </row>
    <row r="30" spans="1:19" x14ac:dyDescent="0.2">
      <c r="A30" s="848">
        <f>A28+1</f>
        <v>13</v>
      </c>
      <c r="B30" s="659" t="s">
        <v>428</v>
      </c>
      <c r="D30" s="894">
        <f>D20-D28</f>
        <v>19177143</v>
      </c>
      <c r="E30" s="894">
        <f t="shared" ref="E30:L30" si="3">E20-E28</f>
        <v>15700770</v>
      </c>
      <c r="F30" s="894">
        <f t="shared" si="3"/>
        <v>18058189</v>
      </c>
      <c r="G30" s="894">
        <f t="shared" si="3"/>
        <v>23631664.150000006</v>
      </c>
      <c r="H30" s="894">
        <f t="shared" si="3"/>
        <v>21287822.36999999</v>
      </c>
      <c r="I30" s="853">
        <f t="shared" si="3"/>
        <v>20221008.269280806</v>
      </c>
      <c r="J30" s="853">
        <f t="shared" si="3"/>
        <v>5492167.3530049771</v>
      </c>
      <c r="K30" s="894">
        <f t="shared" si="3"/>
        <v>11864000</v>
      </c>
      <c r="L30" s="894">
        <f t="shared" si="3"/>
        <v>9677000</v>
      </c>
      <c r="Q30" s="881"/>
      <c r="R30" s="881"/>
      <c r="S30" s="881"/>
    </row>
    <row r="31" spans="1:19" x14ac:dyDescent="0.2">
      <c r="A31" s="848"/>
      <c r="D31" s="894"/>
      <c r="E31" s="894"/>
      <c r="F31" s="894"/>
      <c r="G31" s="894"/>
      <c r="H31" s="894"/>
      <c r="I31" s="853"/>
      <c r="J31" s="853"/>
      <c r="K31" s="894"/>
      <c r="L31" s="894"/>
      <c r="Q31" s="881"/>
      <c r="R31" s="881"/>
      <c r="S31" s="881"/>
    </row>
    <row r="32" spans="1:19" x14ac:dyDescent="0.2">
      <c r="A32" s="848">
        <f>A30+1</f>
        <v>14</v>
      </c>
      <c r="B32" s="659" t="s">
        <v>429</v>
      </c>
      <c r="D32" s="1551"/>
      <c r="E32" s="894"/>
      <c r="F32" s="894"/>
      <c r="G32" s="894"/>
      <c r="H32" s="894"/>
      <c r="I32" s="853"/>
      <c r="J32" s="853"/>
      <c r="K32" s="894"/>
      <c r="L32" s="894"/>
      <c r="Q32" s="881"/>
      <c r="R32" s="881"/>
      <c r="S32" s="881"/>
    </row>
    <row r="33" spans="1:19" x14ac:dyDescent="0.2">
      <c r="A33" s="848">
        <f>A32+1</f>
        <v>15</v>
      </c>
      <c r="C33" s="659" t="s">
        <v>430</v>
      </c>
      <c r="D33" s="1551">
        <v>49728</v>
      </c>
      <c r="E33" s="1551">
        <v>42384</v>
      </c>
      <c r="F33" s="1551">
        <v>35719</v>
      </c>
      <c r="G33" s="1551">
        <v>26318.82</v>
      </c>
      <c r="H33" s="1551">
        <v>13409.91</v>
      </c>
      <c r="I33" s="1551">
        <v>17000</v>
      </c>
      <c r="J33" s="1551">
        <v>0</v>
      </c>
      <c r="K33" s="1551">
        <v>0</v>
      </c>
      <c r="L33" s="1551">
        <v>0</v>
      </c>
      <c r="N33" s="2191"/>
      <c r="O33" s="2191"/>
      <c r="P33" s="2191"/>
      <c r="Q33" s="1171"/>
      <c r="R33" s="1171"/>
      <c r="S33" s="1171"/>
    </row>
    <row r="34" spans="1:19" x14ac:dyDescent="0.2">
      <c r="A34" s="848">
        <f>A33+1</f>
        <v>16</v>
      </c>
      <c r="C34" s="659" t="s">
        <v>431</v>
      </c>
      <c r="D34" s="1551">
        <v>2992077</v>
      </c>
      <c r="E34" s="1551">
        <f>2471583+28600</f>
        <v>2500183</v>
      </c>
      <c r="F34" s="1551">
        <v>2304810</v>
      </c>
      <c r="G34" s="1551">
        <v>1071441.25</v>
      </c>
      <c r="H34" s="1551">
        <v>3447549.9</v>
      </c>
      <c r="I34" s="1551">
        <v>2311000</v>
      </c>
      <c r="J34" s="1551">
        <v>3099000</v>
      </c>
      <c r="K34" s="1551">
        <v>1671000</v>
      </c>
      <c r="L34" s="1551">
        <v>1658000</v>
      </c>
      <c r="Q34" s="881"/>
      <c r="R34" s="881"/>
      <c r="S34" s="881"/>
    </row>
    <row r="35" spans="1:19" x14ac:dyDescent="0.2">
      <c r="A35" s="848">
        <f>A34+1</f>
        <v>17</v>
      </c>
      <c r="C35" s="659" t="s">
        <v>432</v>
      </c>
      <c r="D35" s="1552">
        <v>-4810858</v>
      </c>
      <c r="E35" s="1552">
        <v>-4759887</v>
      </c>
      <c r="F35" s="1552">
        <v>-4968527</v>
      </c>
      <c r="G35" s="1552">
        <v>-5361082.5599999996</v>
      </c>
      <c r="H35" s="1552">
        <v>-5614881.0099999998</v>
      </c>
      <c r="I35" s="1552">
        <v>-5315000</v>
      </c>
      <c r="J35" s="1552">
        <v>-6241000</v>
      </c>
      <c r="K35" s="1552">
        <v>-6945000</v>
      </c>
      <c r="L35" s="1552">
        <v>-7614000</v>
      </c>
      <c r="Q35" s="881"/>
      <c r="R35" s="881"/>
      <c r="S35" s="881"/>
    </row>
    <row r="36" spans="1:19" x14ac:dyDescent="0.2">
      <c r="A36" s="848">
        <f>A35+1</f>
        <v>18</v>
      </c>
      <c r="B36" s="659" t="s">
        <v>433</v>
      </c>
      <c r="D36" s="898">
        <f>SUM(D33:D35)</f>
        <v>-1769053</v>
      </c>
      <c r="E36" s="898">
        <f t="shared" ref="E36:L36" si="4">SUM(E33:E35)</f>
        <v>-2217320</v>
      </c>
      <c r="F36" s="898">
        <f t="shared" si="4"/>
        <v>-2627998</v>
      </c>
      <c r="G36" s="898">
        <f t="shared" si="4"/>
        <v>-4263322.4899999993</v>
      </c>
      <c r="H36" s="898">
        <f t="shared" si="4"/>
        <v>-2153921.1999999997</v>
      </c>
      <c r="I36" s="974">
        <f t="shared" si="4"/>
        <v>-2987000</v>
      </c>
      <c r="J36" s="974">
        <f t="shared" si="4"/>
        <v>-3142000</v>
      </c>
      <c r="K36" s="898">
        <f t="shared" si="4"/>
        <v>-5274000</v>
      </c>
      <c r="L36" s="898">
        <f t="shared" si="4"/>
        <v>-5956000</v>
      </c>
    </row>
    <row r="37" spans="1:19" x14ac:dyDescent="0.2">
      <c r="A37" s="848"/>
      <c r="D37" s="894"/>
      <c r="E37" s="894"/>
      <c r="F37" s="894"/>
      <c r="G37" s="894"/>
      <c r="H37" s="894"/>
      <c r="I37" s="853"/>
      <c r="J37" s="853"/>
      <c r="K37" s="894"/>
      <c r="L37" s="894"/>
    </row>
    <row r="38" spans="1:19" x14ac:dyDescent="0.2">
      <c r="A38" s="848">
        <f>A36+1</f>
        <v>19</v>
      </c>
      <c r="B38" s="659" t="s">
        <v>434</v>
      </c>
      <c r="D38" s="894">
        <f>D30+D36</f>
        <v>17408090</v>
      </c>
      <c r="E38" s="894">
        <f t="shared" ref="E38:L38" si="5">E30+E36</f>
        <v>13483450</v>
      </c>
      <c r="F38" s="894">
        <f t="shared" si="5"/>
        <v>15430191</v>
      </c>
      <c r="G38" s="894">
        <f t="shared" si="5"/>
        <v>19368341.660000008</v>
      </c>
      <c r="H38" s="894">
        <f t="shared" si="5"/>
        <v>19133901.169999991</v>
      </c>
      <c r="I38" s="853">
        <f t="shared" si="5"/>
        <v>17234008.269280806</v>
      </c>
      <c r="J38" s="853">
        <f t="shared" si="5"/>
        <v>2350167.3530049771</v>
      </c>
      <c r="K38" s="894">
        <f t="shared" si="5"/>
        <v>6590000</v>
      </c>
      <c r="L38" s="894">
        <f t="shared" si="5"/>
        <v>3721000</v>
      </c>
    </row>
    <row r="39" spans="1:19" x14ac:dyDescent="0.2">
      <c r="A39" s="848">
        <f>A38+1</f>
        <v>20</v>
      </c>
      <c r="B39" s="659" t="s">
        <v>435</v>
      </c>
      <c r="D39" s="1552">
        <v>6553831</v>
      </c>
      <c r="E39" s="1552">
        <v>4967729</v>
      </c>
      <c r="F39" s="1552">
        <v>4993607</v>
      </c>
      <c r="G39" s="1552">
        <v>7296367.2300000004</v>
      </c>
      <c r="H39" s="1552">
        <v>8012250.1200000001</v>
      </c>
      <c r="I39" s="1720">
        <f>'Oper Rev&amp;Exp by Accts C2.1A'!F138+'Oper Rev&amp;Exp by Accts C2.1A'!F139</f>
        <v>6002501.5852621505</v>
      </c>
      <c r="J39" s="1720">
        <f>'Adj Operating Income Sum C-2'!M28+'Adj Operating Income Sum C-2'!M29</f>
        <v>-508250.92119930859</v>
      </c>
      <c r="K39" s="1552">
        <v>2517000</v>
      </c>
      <c r="L39" s="1552">
        <v>1401000</v>
      </c>
      <c r="N39" s="1356"/>
      <c r="O39" s="1356"/>
      <c r="P39" s="1356"/>
      <c r="Q39" s="1356"/>
      <c r="R39" s="1356"/>
    </row>
    <row r="40" spans="1:19" x14ac:dyDescent="0.2">
      <c r="A40" s="848"/>
      <c r="D40" s="894"/>
      <c r="E40" s="894"/>
      <c r="F40" s="894"/>
      <c r="G40" s="894"/>
      <c r="H40" s="853"/>
      <c r="I40" s="853"/>
      <c r="J40" s="853"/>
      <c r="K40" s="1457"/>
      <c r="L40" s="1457"/>
      <c r="N40" s="1356"/>
      <c r="O40" s="1356"/>
      <c r="P40" s="1356"/>
      <c r="Q40" s="1356"/>
      <c r="R40" s="1356"/>
    </row>
    <row r="41" spans="1:19" ht="13.5" customHeight="1" thickBot="1" x14ac:dyDescent="0.25">
      <c r="A41" s="848">
        <f>A39+1</f>
        <v>21</v>
      </c>
      <c r="B41" s="659" t="s">
        <v>436</v>
      </c>
      <c r="D41" s="975">
        <f>D38-D39</f>
        <v>10854259</v>
      </c>
      <c r="E41" s="975">
        <f t="shared" ref="E41:L41" si="6">E38-E39</f>
        <v>8515721</v>
      </c>
      <c r="F41" s="1389">
        <f t="shared" si="6"/>
        <v>10436584</v>
      </c>
      <c r="G41" s="1389">
        <f t="shared" si="6"/>
        <v>12071974.430000007</v>
      </c>
      <c r="H41" s="975">
        <f t="shared" si="6"/>
        <v>11121651.04999999</v>
      </c>
      <c r="I41" s="1389">
        <f t="shared" si="6"/>
        <v>11231506.684018657</v>
      </c>
      <c r="J41" s="1389">
        <f t="shared" si="6"/>
        <v>2858418.2742042858</v>
      </c>
      <c r="K41" s="975">
        <f t="shared" si="6"/>
        <v>4073000</v>
      </c>
      <c r="L41" s="975">
        <f t="shared" si="6"/>
        <v>2320000</v>
      </c>
      <c r="N41" s="1356"/>
      <c r="O41" s="1356"/>
      <c r="P41" s="1356"/>
      <c r="Q41" s="1356"/>
      <c r="R41" s="1356"/>
    </row>
    <row r="42" spans="1:19" ht="13.5" thickTop="1" x14ac:dyDescent="0.2">
      <c r="F42" s="881"/>
      <c r="N42" s="1356"/>
      <c r="O42" s="1356"/>
      <c r="P42" s="1356"/>
      <c r="Q42" s="1356"/>
      <c r="R42" s="1356"/>
    </row>
    <row r="43" spans="1:19" x14ac:dyDescent="0.2">
      <c r="F43" s="881"/>
    </row>
    <row r="44" spans="1:19" x14ac:dyDescent="0.2">
      <c r="A44" s="1803" t="s">
        <v>2405</v>
      </c>
      <c r="F44" s="881"/>
    </row>
    <row r="45" spans="1:19" x14ac:dyDescent="0.2">
      <c r="A45" s="1684" t="s">
        <v>2404</v>
      </c>
      <c r="F45" s="881"/>
    </row>
    <row r="46" spans="1:19" x14ac:dyDescent="0.2">
      <c r="F46" s="881"/>
    </row>
  </sheetData>
  <mergeCells count="8">
    <mergeCell ref="N33:P33"/>
    <mergeCell ref="A5:L5"/>
    <mergeCell ref="D10:H10"/>
    <mergeCell ref="K10:L10"/>
    <mergeCell ref="A1:L1"/>
    <mergeCell ref="A2:L2"/>
    <mergeCell ref="A3:L3"/>
    <mergeCell ref="A4:L4"/>
  </mergeCells>
  <phoneticPr fontId="0" type="noConversion"/>
  <printOptions horizontalCentered="1"/>
  <pageMargins left="0.5" right="0.5" top="1" bottom="0.5" header="0.3" footer="0.3"/>
  <pageSetup scale="75" orientation="landscape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V115"/>
  <sheetViews>
    <sheetView zoomScale="85" zoomScaleNormal="85" workbookViewId="0">
      <selection activeCell="H21" sqref="H21"/>
    </sheetView>
  </sheetViews>
  <sheetFormatPr defaultColWidth="9.33203125" defaultRowHeight="12.75" x14ac:dyDescent="0.2"/>
  <cols>
    <col min="1" max="2" width="5.5" style="659" customWidth="1"/>
    <col min="3" max="3" width="23.5" style="659" customWidth="1"/>
    <col min="4" max="4" width="17.1640625" style="659" customWidth="1"/>
    <col min="5" max="5" width="17.33203125" style="659" customWidth="1"/>
    <col min="6" max="6" width="17.6640625" style="659" customWidth="1"/>
    <col min="7" max="7" width="16.83203125" style="659" customWidth="1"/>
    <col min="8" max="8" width="16.6640625" style="659" customWidth="1"/>
    <col min="9" max="9" width="16" style="659" bestFit="1" customWidth="1"/>
    <col min="10" max="10" width="16.33203125" style="659" bestFit="1" customWidth="1"/>
    <col min="11" max="11" width="16.6640625" style="659" customWidth="1"/>
    <col min="12" max="12" width="18.83203125" style="659" customWidth="1"/>
    <col min="13" max="15" width="9.33203125" style="659"/>
    <col min="16" max="16" width="14.83203125" style="659" bestFit="1" customWidth="1"/>
    <col min="17" max="17" width="16" style="659" bestFit="1" customWidth="1"/>
    <col min="18" max="18" width="14.5" style="659" customWidth="1"/>
    <col min="19" max="20" width="14.83203125" style="659" bestFit="1" customWidth="1"/>
    <col min="21" max="16384" width="9.33203125" style="659"/>
  </cols>
  <sheetData>
    <row r="1" spans="1:22" x14ac:dyDescent="0.2">
      <c r="A1" s="2199" t="str">
        <f>'I-1 Comp Income Statement'!A1</f>
        <v>COLUMBIA GAS OF KENTUCKY, INC.</v>
      </c>
      <c r="B1" s="2199"/>
      <c r="C1" s="2199"/>
      <c r="D1" s="2199"/>
      <c r="E1" s="2199"/>
      <c r="F1" s="2199"/>
      <c r="G1" s="2199"/>
      <c r="H1" s="2199"/>
      <c r="I1" s="2199"/>
      <c r="J1" s="2199"/>
      <c r="K1" s="2199"/>
      <c r="L1" s="2199"/>
      <c r="M1" s="976"/>
    </row>
    <row r="2" spans="1:22" x14ac:dyDescent="0.2">
      <c r="A2" s="2199" t="str">
        <f>'I-1 Comp Income Statement'!A2</f>
        <v>CASE NO. 2016 - 00162</v>
      </c>
      <c r="B2" s="2199"/>
      <c r="C2" s="2199"/>
      <c r="D2" s="2199"/>
      <c r="E2" s="2199"/>
      <c r="F2" s="2199"/>
      <c r="G2" s="2199"/>
      <c r="H2" s="2199"/>
      <c r="I2" s="2199"/>
      <c r="J2" s="2199"/>
      <c r="K2" s="2199"/>
      <c r="L2" s="2199"/>
      <c r="M2" s="976"/>
    </row>
    <row r="3" spans="1:22" x14ac:dyDescent="0.2">
      <c r="A3" s="2195" t="s">
        <v>1642</v>
      </c>
      <c r="B3" s="2195"/>
      <c r="C3" s="2195"/>
      <c r="D3" s="2195"/>
      <c r="E3" s="2195"/>
      <c r="F3" s="2195"/>
      <c r="G3" s="2195"/>
      <c r="H3" s="2195"/>
      <c r="I3" s="2195"/>
      <c r="J3" s="2195"/>
      <c r="K3" s="2195"/>
      <c r="L3" s="2195"/>
      <c r="M3" s="956"/>
    </row>
    <row r="4" spans="1:22" x14ac:dyDescent="0.2">
      <c r="A4" s="2199" t="str">
        <f>'I-1 Comp Income Statement'!A4</f>
        <v>BASE PERIOD TWELVE MONTHS ENDED AUGUST 31, 2016</v>
      </c>
      <c r="B4" s="2199"/>
      <c r="C4" s="2199"/>
      <c r="D4" s="2199"/>
      <c r="E4" s="2199"/>
      <c r="F4" s="2199"/>
      <c r="G4" s="2199"/>
      <c r="H4" s="2199"/>
      <c r="I4" s="2199"/>
      <c r="J4" s="2199"/>
      <c r="K4" s="2199"/>
      <c r="L4" s="2199"/>
      <c r="M4" s="976"/>
    </row>
    <row r="5" spans="1:22" x14ac:dyDescent="0.2">
      <c r="A5" s="2199" t="str">
        <f>'I-1 Comp Income Statement'!A5</f>
        <v>FORECASTED PERIOD TWELVE MONTHS ENDED DECEMBER 31, 2017</v>
      </c>
      <c r="B5" s="2199"/>
      <c r="C5" s="2199"/>
      <c r="D5" s="2199"/>
      <c r="E5" s="2199"/>
      <c r="F5" s="2199"/>
      <c r="G5" s="2199"/>
      <c r="H5" s="2199"/>
      <c r="I5" s="2199"/>
      <c r="J5" s="2199"/>
      <c r="K5" s="2199"/>
      <c r="L5" s="2199"/>
      <c r="M5" s="976"/>
    </row>
    <row r="6" spans="1:22" x14ac:dyDescent="0.2">
      <c r="A6" s="956"/>
      <c r="B6" s="956"/>
      <c r="C6" s="956"/>
      <c r="D6" s="956"/>
      <c r="E6" s="956"/>
      <c r="F6" s="956"/>
      <c r="G6" s="956"/>
      <c r="H6" s="956"/>
      <c r="I6" s="956"/>
      <c r="J6" s="956"/>
      <c r="K6" s="956"/>
      <c r="L6" s="956"/>
      <c r="M6" s="956"/>
    </row>
    <row r="7" spans="1:22" x14ac:dyDescent="0.2">
      <c r="A7" s="957" t="s">
        <v>1317</v>
      </c>
      <c r="B7" s="958"/>
      <c r="C7" s="958"/>
      <c r="D7" s="958"/>
      <c r="E7" s="958"/>
      <c r="F7" s="958"/>
      <c r="G7" s="958"/>
      <c r="H7" s="958"/>
      <c r="I7" s="958"/>
      <c r="J7" s="958"/>
      <c r="K7" s="958"/>
      <c r="L7" s="959" t="s">
        <v>437</v>
      </c>
    </row>
    <row r="8" spans="1:22" x14ac:dyDescent="0.2">
      <c r="A8" s="957" t="s">
        <v>977</v>
      </c>
      <c r="B8" s="958"/>
      <c r="C8" s="958"/>
      <c r="D8" s="958"/>
      <c r="E8" s="958"/>
      <c r="F8" s="958"/>
      <c r="G8" s="958"/>
      <c r="H8" s="958"/>
      <c r="I8" s="958"/>
      <c r="J8" s="958"/>
      <c r="K8" s="958"/>
      <c r="L8" s="959" t="s">
        <v>1299</v>
      </c>
    </row>
    <row r="9" spans="1:22" x14ac:dyDescent="0.2">
      <c r="A9" s="963" t="s">
        <v>996</v>
      </c>
      <c r="B9" s="964"/>
      <c r="C9" s="964"/>
      <c r="D9" s="964"/>
      <c r="E9" s="964"/>
      <c r="F9" s="964"/>
      <c r="G9" s="964"/>
      <c r="H9" s="964"/>
      <c r="I9" s="964"/>
      <c r="J9" s="964"/>
      <c r="K9" s="964"/>
      <c r="L9" s="977" t="str">
        <f>'I-1 Comp Income Statement'!L9</f>
        <v>WITNESS:  J. T. CROOM, BRIAN J. NOEL</v>
      </c>
    </row>
    <row r="10" spans="1:22" x14ac:dyDescent="0.2">
      <c r="A10" s="965"/>
      <c r="B10" s="961"/>
      <c r="C10" s="961"/>
      <c r="D10" s="2193" t="s">
        <v>416</v>
      </c>
      <c r="E10" s="2193"/>
      <c r="F10" s="2193"/>
      <c r="G10" s="2193"/>
      <c r="H10" s="2193"/>
      <c r="I10" s="961"/>
      <c r="J10" s="961"/>
      <c r="K10" s="2194" t="s">
        <v>417</v>
      </c>
      <c r="L10" s="2194"/>
      <c r="M10" s="961"/>
    </row>
    <row r="11" spans="1:22" x14ac:dyDescent="0.2">
      <c r="A11" s="965"/>
      <c r="B11" s="961"/>
      <c r="C11" s="961"/>
      <c r="D11" s="961"/>
      <c r="E11" s="961"/>
      <c r="F11" s="961"/>
      <c r="G11" s="961"/>
      <c r="H11" s="961"/>
      <c r="I11" s="961"/>
      <c r="J11" s="961"/>
      <c r="K11" s="961"/>
      <c r="L11" s="961"/>
      <c r="M11" s="961"/>
    </row>
    <row r="12" spans="1:22" x14ac:dyDescent="0.2">
      <c r="A12" s="967" t="s">
        <v>632</v>
      </c>
      <c r="B12" s="961"/>
      <c r="C12" s="961"/>
      <c r="D12" s="968"/>
      <c r="E12" s="968"/>
      <c r="F12" s="968"/>
      <c r="G12" s="968"/>
      <c r="H12" s="968"/>
      <c r="I12" s="968" t="s">
        <v>634</v>
      </c>
      <c r="J12" s="968" t="s">
        <v>418</v>
      </c>
      <c r="K12" s="961"/>
      <c r="L12" s="961"/>
      <c r="M12" s="961"/>
    </row>
    <row r="13" spans="1:22" x14ac:dyDescent="0.2">
      <c r="A13" s="969" t="s">
        <v>635</v>
      </c>
      <c r="B13" s="970" t="s">
        <v>778</v>
      </c>
      <c r="C13" s="970"/>
      <c r="D13" s="971">
        <f>'I-1 Comp Income Statement'!D13</f>
        <v>2011</v>
      </c>
      <c r="E13" s="971">
        <f>'I-1 Comp Income Statement'!E13</f>
        <v>2012</v>
      </c>
      <c r="F13" s="971">
        <f>'I-1 Comp Income Statement'!F13</f>
        <v>2013</v>
      </c>
      <c r="G13" s="971">
        <f>'I-1 Comp Income Statement'!G13</f>
        <v>2014</v>
      </c>
      <c r="H13" s="971">
        <f>'I-1 Comp Income Statement'!H13</f>
        <v>2015</v>
      </c>
      <c r="I13" s="972">
        <f>'I-1 Comp Income Statement'!I13</f>
        <v>42613</v>
      </c>
      <c r="J13" s="972">
        <f>'I-1 Comp Income Statement'!J13</f>
        <v>43100</v>
      </c>
      <c r="K13" s="971">
        <f>'I-1 Comp Income Statement'!K13</f>
        <v>2018</v>
      </c>
      <c r="L13" s="971">
        <f>'I-1 Comp Income Statement'!L13</f>
        <v>2019</v>
      </c>
      <c r="M13" s="968"/>
    </row>
    <row r="14" spans="1:22" x14ac:dyDescent="0.2">
      <c r="A14" s="848"/>
      <c r="C14" s="853"/>
      <c r="D14" s="978"/>
      <c r="E14" s="978"/>
      <c r="F14" s="978"/>
      <c r="G14" s="978"/>
      <c r="H14" s="978"/>
      <c r="I14" s="978" t="s">
        <v>1647</v>
      </c>
      <c r="J14" s="978" t="s">
        <v>1647</v>
      </c>
      <c r="K14" s="1945" t="s">
        <v>2402</v>
      </c>
      <c r="L14" s="1945" t="s">
        <v>2402</v>
      </c>
      <c r="M14" s="974"/>
    </row>
    <row r="15" spans="1:22" x14ac:dyDescent="0.2">
      <c r="A15" s="848">
        <v>1</v>
      </c>
      <c r="B15" s="659" t="s">
        <v>1639</v>
      </c>
      <c r="C15" s="853"/>
      <c r="D15" s="894"/>
      <c r="E15" s="894"/>
      <c r="F15" s="853"/>
      <c r="G15" s="853"/>
      <c r="H15" s="853"/>
      <c r="I15" s="853"/>
      <c r="J15" s="853"/>
      <c r="K15" s="894"/>
      <c r="L15" s="894"/>
      <c r="M15" s="974"/>
      <c r="N15" s="881"/>
      <c r="O15" s="881"/>
      <c r="P15" s="881"/>
      <c r="Q15" s="881"/>
      <c r="R15" s="881"/>
    </row>
    <row r="16" spans="1:22" x14ac:dyDescent="0.2">
      <c r="A16" s="848">
        <f t="shared" ref="A16:A21" si="0">A15+1</f>
        <v>2</v>
      </c>
      <c r="C16" s="853" t="s">
        <v>438</v>
      </c>
      <c r="D16" s="1559">
        <v>69481707</v>
      </c>
      <c r="E16" s="1559">
        <v>54689609</v>
      </c>
      <c r="F16" s="1559">
        <v>63771036</v>
      </c>
      <c r="G16" s="1559">
        <f>81911826.23+99326.57</f>
        <v>82011152.799999997</v>
      </c>
      <c r="H16" s="1559">
        <v>73659594.689999998</v>
      </c>
      <c r="I16" s="1169">
        <f>'Oper Rev&amp;Exp by Accts C2.1A'!F16</f>
        <v>50027627.229999997</v>
      </c>
      <c r="J16" s="1169">
        <f>'Oper Rev&amp;Exp by Accts C2.1B'!F16</f>
        <v>49633580.289999999</v>
      </c>
      <c r="K16" s="1559">
        <f>68710000</f>
        <v>68710000</v>
      </c>
      <c r="L16" s="1559">
        <v>70748000</v>
      </c>
      <c r="M16" s="853"/>
      <c r="N16" s="1456"/>
      <c r="O16" s="1456"/>
      <c r="P16" s="1456"/>
      <c r="Q16" s="1456"/>
      <c r="R16" s="1456"/>
      <c r="S16" s="1170"/>
      <c r="T16" s="1170"/>
      <c r="U16" s="1170"/>
      <c r="V16" s="1170"/>
    </row>
    <row r="17" spans="1:22" x14ac:dyDescent="0.2">
      <c r="A17" s="848">
        <f t="shared" si="0"/>
        <v>3</v>
      </c>
      <c r="C17" s="853" t="s">
        <v>439</v>
      </c>
      <c r="D17" s="1551">
        <v>30642988</v>
      </c>
      <c r="E17" s="1551">
        <v>21673684</v>
      </c>
      <c r="F17" s="1551">
        <v>26068736</v>
      </c>
      <c r="G17" s="1551">
        <f>34072663.16+46432.14</f>
        <v>34119095.299999997</v>
      </c>
      <c r="H17" s="1551">
        <v>30564719.190000001</v>
      </c>
      <c r="I17" s="342">
        <f>'Oper Rev&amp;Exp by Accts C2.1A'!F17</f>
        <v>18619386.41</v>
      </c>
      <c r="J17" s="342">
        <f>'Oper Rev&amp;Exp by Accts C2.1B'!F17</f>
        <v>18489335.329999998</v>
      </c>
      <c r="K17" s="1551">
        <f>27931000</f>
        <v>27931000</v>
      </c>
      <c r="L17" s="1551">
        <v>29012000</v>
      </c>
      <c r="M17" s="853"/>
      <c r="N17" s="1456"/>
      <c r="O17" s="1456"/>
      <c r="P17" s="1456"/>
      <c r="Q17" s="1456"/>
      <c r="R17" s="1456"/>
      <c r="S17" s="1170"/>
      <c r="T17" s="1170"/>
      <c r="U17" s="1170"/>
      <c r="V17" s="1170"/>
    </row>
    <row r="18" spans="1:22" x14ac:dyDescent="0.2">
      <c r="A18" s="848">
        <f t="shared" si="0"/>
        <v>4</v>
      </c>
      <c r="C18" s="853" t="s">
        <v>440</v>
      </c>
      <c r="D18" s="1551">
        <v>1386480</v>
      </c>
      <c r="E18" s="1551">
        <v>1316437</v>
      </c>
      <c r="F18" s="1551">
        <v>2042987</v>
      </c>
      <c r="G18" s="1551">
        <f>1228249.26+1624.81</f>
        <v>1229874.07</v>
      </c>
      <c r="H18" s="1551">
        <v>1467112.14</v>
      </c>
      <c r="I18" s="342">
        <f>'Oper Rev&amp;Exp by Accts C2.1A'!F18</f>
        <v>938767.47</v>
      </c>
      <c r="J18" s="342">
        <f>'Oper Rev&amp;Exp by Accts C2.1B'!F18</f>
        <v>1407299.0899999999</v>
      </c>
      <c r="K18" s="1551">
        <f>846000</f>
        <v>846000</v>
      </c>
      <c r="L18" s="1551">
        <v>889000</v>
      </c>
      <c r="M18" s="853"/>
      <c r="N18" s="881"/>
      <c r="O18" s="881"/>
      <c r="P18" s="881"/>
      <c r="Q18" s="881"/>
      <c r="R18" s="881"/>
    </row>
    <row r="19" spans="1:22" x14ac:dyDescent="0.2">
      <c r="A19" s="848">
        <f t="shared" si="0"/>
        <v>5</v>
      </c>
      <c r="C19" s="853" t="s">
        <v>1538</v>
      </c>
      <c r="D19" s="1551">
        <v>128094</v>
      </c>
      <c r="E19" s="1551">
        <v>72753</v>
      </c>
      <c r="F19" s="1551">
        <v>106635</v>
      </c>
      <c r="G19" s="1551">
        <v>130301.48</v>
      </c>
      <c r="H19" s="1551">
        <v>97292.69</v>
      </c>
      <c r="I19" s="342">
        <f>'Oper Rev&amp;Exp by Accts C2.1A'!F23</f>
        <v>43030.970000000008</v>
      </c>
      <c r="J19" s="342">
        <f>'Oper Rev&amp;Exp by Accts C2.1B'!F23</f>
        <v>47711.12000000001</v>
      </c>
      <c r="K19" s="1551">
        <f>12000</f>
        <v>12000</v>
      </c>
      <c r="L19" s="1551">
        <v>12000</v>
      </c>
      <c r="M19" s="853"/>
      <c r="N19" s="881"/>
      <c r="O19" s="881"/>
      <c r="P19" s="881"/>
      <c r="Q19" s="881"/>
      <c r="R19" s="881"/>
    </row>
    <row r="20" spans="1:22" x14ac:dyDescent="0.2">
      <c r="A20" s="848">
        <f>A19+1</f>
        <v>6</v>
      </c>
      <c r="C20" s="853" t="s">
        <v>686</v>
      </c>
      <c r="D20" s="1551">
        <v>0</v>
      </c>
      <c r="E20" s="1551">
        <v>0</v>
      </c>
      <c r="F20" s="1551">
        <v>0</v>
      </c>
      <c r="G20" s="1551">
        <v>0</v>
      </c>
      <c r="H20" s="1551">
        <v>0</v>
      </c>
      <c r="I20" s="1551">
        <v>0</v>
      </c>
      <c r="J20" s="1551">
        <v>0</v>
      </c>
      <c r="K20" s="1551">
        <v>0</v>
      </c>
      <c r="L20" s="1551">
        <v>0</v>
      </c>
      <c r="M20" s="853"/>
      <c r="N20" s="1837"/>
      <c r="O20" s="1837"/>
      <c r="P20" s="1837"/>
      <c r="Q20" s="1837"/>
      <c r="R20" s="1837"/>
    </row>
    <row r="21" spans="1:22" x14ac:dyDescent="0.2">
      <c r="A21" s="848">
        <f t="shared" si="0"/>
        <v>7</v>
      </c>
      <c r="C21" s="894" t="s">
        <v>441</v>
      </c>
      <c r="D21" s="1552">
        <v>-4306991</v>
      </c>
      <c r="E21" s="1552">
        <v>-389995</v>
      </c>
      <c r="F21" s="1552">
        <v>3031011</v>
      </c>
      <c r="G21" s="1552">
        <f>509000+98000+129000+62000+13000-1000</f>
        <v>810000</v>
      </c>
      <c r="H21" s="1552">
        <v>-5562000</v>
      </c>
      <c r="I21" s="1552">
        <v>0</v>
      </c>
      <c r="J21" s="1552">
        <v>0</v>
      </c>
      <c r="K21" s="1552">
        <v>339000</v>
      </c>
      <c r="L21" s="1552">
        <v>-20000</v>
      </c>
      <c r="M21" s="853"/>
      <c r="N21" s="1837"/>
      <c r="O21" s="1837"/>
      <c r="P21" s="1837"/>
      <c r="Q21" s="1837"/>
      <c r="R21" s="1837"/>
    </row>
    <row r="22" spans="1:22" x14ac:dyDescent="0.2">
      <c r="A22" s="848">
        <f>A21+1</f>
        <v>8</v>
      </c>
      <c r="C22" s="894"/>
      <c r="D22" s="1456">
        <f>SUM(D16:D21)</f>
        <v>97332278</v>
      </c>
      <c r="E22" s="1456">
        <f t="shared" ref="E22:L22" si="1">SUM(E16:E21)</f>
        <v>77362488</v>
      </c>
      <c r="F22" s="1456">
        <f t="shared" si="1"/>
        <v>95020405</v>
      </c>
      <c r="G22" s="1456">
        <f t="shared" si="1"/>
        <v>118300423.64999999</v>
      </c>
      <c r="H22" s="1170">
        <f t="shared" si="1"/>
        <v>100226718.70999999</v>
      </c>
      <c r="I22" s="1170">
        <f t="shared" si="1"/>
        <v>69628812.079999998</v>
      </c>
      <c r="J22" s="1170">
        <f t="shared" si="1"/>
        <v>69577925.830000013</v>
      </c>
      <c r="K22" s="1456">
        <f t="shared" si="1"/>
        <v>97838000</v>
      </c>
      <c r="L22" s="1456">
        <f t="shared" si="1"/>
        <v>100641000</v>
      </c>
      <c r="M22" s="853"/>
      <c r="N22" s="881"/>
      <c r="O22" s="881"/>
      <c r="P22" s="881"/>
      <c r="Q22" s="881"/>
      <c r="R22" s="881"/>
    </row>
    <row r="23" spans="1:22" x14ac:dyDescent="0.2">
      <c r="A23" s="848"/>
      <c r="C23" s="894"/>
      <c r="D23" s="894"/>
      <c r="E23" s="894"/>
      <c r="F23" s="894"/>
      <c r="G23" s="853"/>
      <c r="H23" s="894"/>
      <c r="I23" s="853"/>
      <c r="J23" s="853"/>
      <c r="K23" s="894"/>
      <c r="L23" s="894"/>
      <c r="M23" s="853"/>
      <c r="N23" s="881"/>
      <c r="O23" s="881"/>
      <c r="P23" s="881"/>
      <c r="Q23" s="881"/>
      <c r="R23" s="881"/>
    </row>
    <row r="24" spans="1:22" x14ac:dyDescent="0.2">
      <c r="A24" s="848">
        <f>A22+1</f>
        <v>9</v>
      </c>
      <c r="B24" s="659" t="s">
        <v>1643</v>
      </c>
      <c r="C24" s="894"/>
      <c r="D24" s="894"/>
      <c r="E24" s="894"/>
      <c r="F24" s="894"/>
      <c r="G24" s="853"/>
      <c r="H24" s="894"/>
      <c r="I24" s="853"/>
      <c r="J24" s="853"/>
      <c r="K24" s="894"/>
      <c r="L24" s="894"/>
      <c r="M24" s="853"/>
      <c r="N24" s="881"/>
      <c r="O24" s="881"/>
      <c r="P24" s="881"/>
      <c r="Q24" s="881"/>
      <c r="R24" s="881"/>
    </row>
    <row r="25" spans="1:22" x14ac:dyDescent="0.2">
      <c r="A25" s="848">
        <f>A24+1</f>
        <v>10</v>
      </c>
      <c r="C25" s="894" t="s">
        <v>438</v>
      </c>
      <c r="D25" s="1562">
        <f>8720450.82-8</f>
        <v>8720442.8200000003</v>
      </c>
      <c r="E25" s="1562">
        <f>8221986.9-3</f>
        <v>8221983.9000000004</v>
      </c>
      <c r="F25" s="1562">
        <f>8038906.1-5</f>
        <v>8038901.0999999996</v>
      </c>
      <c r="G25" s="1562">
        <v>9071135.1600000001</v>
      </c>
      <c r="H25" s="1562">
        <v>8903443.8900000006</v>
      </c>
      <c r="I25" s="1562">
        <f>3873920.22+4773386.52+309000</f>
        <v>8956306.7400000002</v>
      </c>
      <c r="J25" s="1562">
        <v>9029105.3399999999</v>
      </c>
      <c r="K25" s="1559">
        <v>9203000</v>
      </c>
      <c r="L25" s="1559">
        <v>9204000</v>
      </c>
      <c r="M25" s="853"/>
      <c r="N25" s="896"/>
      <c r="O25" s="881"/>
      <c r="P25" s="881"/>
      <c r="Q25" s="881"/>
      <c r="R25" s="881"/>
    </row>
    <row r="26" spans="1:22" x14ac:dyDescent="0.2">
      <c r="A26" s="848">
        <f>A25+1</f>
        <v>11</v>
      </c>
      <c r="C26" s="894" t="s">
        <v>439</v>
      </c>
      <c r="D26" s="1560">
        <f>6077571.04</f>
        <v>6077571.04</v>
      </c>
      <c r="E26" s="1560">
        <v>6213229.3399999999</v>
      </c>
      <c r="F26" s="1560">
        <v>6892595.9800000004</v>
      </c>
      <c r="G26" s="1560">
        <v>7863216.2999999998</v>
      </c>
      <c r="H26" s="1560">
        <v>7488890.3300000001</v>
      </c>
      <c r="I26" s="1560">
        <f>3292695.63+4154170.4+161000+19000</f>
        <v>7626866.0299999993</v>
      </c>
      <c r="J26" s="1560">
        <v>7982048.6699999999</v>
      </c>
      <c r="K26" s="1560">
        <v>8132000</v>
      </c>
      <c r="L26" s="1560">
        <v>8133000</v>
      </c>
      <c r="M26" s="853"/>
      <c r="N26" s="881"/>
      <c r="O26" s="881"/>
      <c r="P26" s="881"/>
      <c r="Q26" s="881"/>
      <c r="R26" s="881"/>
    </row>
    <row r="27" spans="1:22" ht="12.75" customHeight="1" x14ac:dyDescent="0.2">
      <c r="A27" s="848">
        <f>A26+1</f>
        <v>12</v>
      </c>
      <c r="C27" s="894" t="s">
        <v>440</v>
      </c>
      <c r="D27" s="1560">
        <f>5099769.05</f>
        <v>5099769.05</v>
      </c>
      <c r="E27" s="1560">
        <v>4918771.33</v>
      </c>
      <c r="F27" s="1560">
        <v>5533299.5300000003</v>
      </c>
      <c r="G27" s="1560">
        <v>5491504.2999999998</v>
      </c>
      <c r="H27" s="1560">
        <v>5504040.9199999999</v>
      </c>
      <c r="I27" s="1560">
        <f>2595118.97+2768254.8-2000+6000</f>
        <v>5367373.7699999996</v>
      </c>
      <c r="J27" s="1560">
        <v>4795908.2299999995</v>
      </c>
      <c r="K27" s="1560">
        <v>5449000</v>
      </c>
      <c r="L27" s="1560">
        <v>5403000</v>
      </c>
      <c r="M27" s="853"/>
      <c r="N27" s="1837"/>
      <c r="O27" s="1837"/>
      <c r="P27" s="1837"/>
      <c r="Q27" s="1837"/>
      <c r="R27" s="1837"/>
    </row>
    <row r="28" spans="1:22" x14ac:dyDescent="0.2">
      <c r="A28" s="848">
        <f>A27+1</f>
        <v>13</v>
      </c>
      <c r="C28" s="894" t="s">
        <v>441</v>
      </c>
      <c r="D28" s="1561">
        <v>-244989</v>
      </c>
      <c r="E28" s="1561">
        <v>55012</v>
      </c>
      <c r="F28" s="1561">
        <v>-8989</v>
      </c>
      <c r="G28" s="1561">
        <f>67000+17000+43000+31000+1000+11000</f>
        <v>170000</v>
      </c>
      <c r="H28" s="1561">
        <f>-208000-137000+15000-2000+8000</f>
        <v>-324000</v>
      </c>
      <c r="I28" s="1561">
        <v>0</v>
      </c>
      <c r="J28" s="1561">
        <v>0</v>
      </c>
      <c r="K28" s="1561">
        <v>-2000</v>
      </c>
      <c r="L28" s="1561">
        <v>4000</v>
      </c>
      <c r="M28" s="853"/>
      <c r="N28" s="1837"/>
      <c r="O28" s="1837"/>
      <c r="P28" s="1837"/>
      <c r="Q28" s="1837"/>
      <c r="R28" s="1837"/>
    </row>
    <row r="29" spans="1:22" x14ac:dyDescent="0.2">
      <c r="A29" s="848">
        <f>A28+1</f>
        <v>14</v>
      </c>
      <c r="C29" s="894"/>
      <c r="D29" s="1456">
        <f>SUM(D25:D28)</f>
        <v>19652793.91</v>
      </c>
      <c r="E29" s="1456">
        <f t="shared" ref="E29:L29" si="2">SUM(E25:E28)</f>
        <v>19408996.57</v>
      </c>
      <c r="F29" s="1170">
        <f t="shared" si="2"/>
        <v>20455807.609999999</v>
      </c>
      <c r="G29" s="1170">
        <f t="shared" si="2"/>
        <v>22595855.760000002</v>
      </c>
      <c r="H29" s="1170">
        <f t="shared" si="2"/>
        <v>21572375.140000001</v>
      </c>
      <c r="I29" s="1170">
        <f t="shared" si="2"/>
        <v>21950546.539999999</v>
      </c>
      <c r="J29" s="1170">
        <f t="shared" si="2"/>
        <v>21807062.239999998</v>
      </c>
      <c r="K29" s="1456">
        <f t="shared" si="2"/>
        <v>22782000</v>
      </c>
      <c r="L29" s="1456">
        <f t="shared" si="2"/>
        <v>22744000</v>
      </c>
      <c r="M29" s="853"/>
      <c r="N29" s="881"/>
      <c r="O29" s="881"/>
      <c r="P29" s="881"/>
      <c r="Q29" s="881"/>
      <c r="R29" s="881"/>
    </row>
    <row r="30" spans="1:22" x14ac:dyDescent="0.2">
      <c r="A30" s="848"/>
      <c r="C30" s="853"/>
      <c r="D30" s="894"/>
      <c r="E30" s="894"/>
      <c r="F30" s="894"/>
      <c r="G30" s="853"/>
      <c r="H30" s="894"/>
      <c r="I30" s="853"/>
      <c r="J30" s="853"/>
      <c r="K30" s="894"/>
      <c r="L30" s="894"/>
      <c r="M30" s="853"/>
      <c r="N30" s="881"/>
      <c r="O30" s="881"/>
      <c r="P30" s="881"/>
      <c r="Q30" s="881"/>
      <c r="R30" s="881"/>
    </row>
    <row r="31" spans="1:22" x14ac:dyDescent="0.2">
      <c r="A31" s="848">
        <f>A29+1</f>
        <v>15</v>
      </c>
      <c r="C31" s="1168" t="s">
        <v>1644</v>
      </c>
      <c r="D31" s="1456">
        <f>D22+D29</f>
        <v>116985071.91</v>
      </c>
      <c r="E31" s="1456">
        <f t="shared" ref="E31:L31" si="3">E22+E29</f>
        <v>96771484.569999993</v>
      </c>
      <c r="F31" s="1170">
        <f t="shared" si="3"/>
        <v>115476212.61</v>
      </c>
      <c r="G31" s="1170">
        <f t="shared" si="3"/>
        <v>140896279.41</v>
      </c>
      <c r="H31" s="1170">
        <f t="shared" si="3"/>
        <v>121799093.84999999</v>
      </c>
      <c r="I31" s="1170">
        <f t="shared" si="3"/>
        <v>91579358.620000005</v>
      </c>
      <c r="J31" s="1170">
        <f t="shared" si="3"/>
        <v>91384988.070000008</v>
      </c>
      <c r="K31" s="1170">
        <f t="shared" si="3"/>
        <v>120620000</v>
      </c>
      <c r="L31" s="1170">
        <f t="shared" si="3"/>
        <v>123385000</v>
      </c>
      <c r="M31" s="853"/>
      <c r="N31" s="881"/>
      <c r="O31" s="881"/>
      <c r="P31" s="881"/>
      <c r="Q31" s="881"/>
      <c r="R31" s="881"/>
    </row>
    <row r="32" spans="1:22" x14ac:dyDescent="0.2">
      <c r="A32" s="848"/>
      <c r="C32" s="853"/>
      <c r="D32" s="894"/>
      <c r="E32" s="894"/>
      <c r="F32" s="894"/>
      <c r="G32" s="853"/>
      <c r="H32" s="853"/>
      <c r="I32" s="853"/>
      <c r="J32" s="853"/>
      <c r="K32" s="853"/>
      <c r="L32" s="853"/>
      <c r="M32" s="853"/>
      <c r="N32" s="881"/>
      <c r="O32" s="881"/>
      <c r="P32" s="881"/>
      <c r="Q32" s="881"/>
      <c r="R32" s="881"/>
    </row>
    <row r="33" spans="1:18" x14ac:dyDescent="0.2">
      <c r="A33" s="848">
        <f>A31+1</f>
        <v>16</v>
      </c>
      <c r="B33" s="659" t="s">
        <v>1640</v>
      </c>
      <c r="D33" s="894"/>
      <c r="E33" s="894"/>
      <c r="F33" s="894"/>
      <c r="G33" s="894"/>
      <c r="H33" s="894"/>
      <c r="I33" s="894"/>
      <c r="J33" s="894"/>
      <c r="K33" s="853"/>
      <c r="L33" s="853"/>
      <c r="N33" s="881"/>
      <c r="O33" s="881"/>
      <c r="P33" s="881"/>
      <c r="Q33" s="881"/>
      <c r="R33" s="881"/>
    </row>
    <row r="34" spans="1:18" x14ac:dyDescent="0.2">
      <c r="A34" s="848">
        <f t="shared" ref="A34:A39" si="4">A33+1</f>
        <v>17</v>
      </c>
      <c r="C34" s="853" t="s">
        <v>438</v>
      </c>
      <c r="D34" s="1551">
        <v>93061</v>
      </c>
      <c r="E34" s="1551">
        <v>94308</v>
      </c>
      <c r="F34" s="1551">
        <v>95514</v>
      </c>
      <c r="G34" s="1551">
        <v>96099</v>
      </c>
      <c r="H34" s="1551">
        <v>97855</v>
      </c>
      <c r="I34" s="1551">
        <v>94948</v>
      </c>
      <c r="J34" s="1551">
        <v>97362</v>
      </c>
      <c r="K34" s="1560">
        <v>97465</v>
      </c>
      <c r="L34" s="1560">
        <v>97595</v>
      </c>
      <c r="M34" s="881"/>
      <c r="N34" s="1171"/>
      <c r="O34" s="1171"/>
      <c r="P34" s="1171"/>
      <c r="Q34" s="1171"/>
      <c r="R34" s="1171"/>
    </row>
    <row r="35" spans="1:18" x14ac:dyDescent="0.2">
      <c r="A35" s="848">
        <f t="shared" si="4"/>
        <v>18</v>
      </c>
      <c r="C35" s="853" t="s">
        <v>439</v>
      </c>
      <c r="D35" s="1551">
        <v>9845</v>
      </c>
      <c r="E35" s="1551">
        <v>9846</v>
      </c>
      <c r="F35" s="1551">
        <v>9910</v>
      </c>
      <c r="G35" s="1551">
        <v>9988</v>
      </c>
      <c r="H35" s="1551">
        <v>10078</v>
      </c>
      <c r="I35" s="1551">
        <f>9683+44</f>
        <v>9727</v>
      </c>
      <c r="J35" s="1551">
        <f>10023+44</f>
        <v>10067</v>
      </c>
      <c r="K35" s="1560">
        <v>10009</v>
      </c>
      <c r="L35" s="1560">
        <v>10041</v>
      </c>
      <c r="M35" s="881"/>
      <c r="N35" s="1171"/>
      <c r="O35" s="1171"/>
      <c r="P35" s="1171"/>
      <c r="Q35" s="1171"/>
      <c r="R35" s="1171"/>
    </row>
    <row r="36" spans="1:18" x14ac:dyDescent="0.2">
      <c r="A36" s="848">
        <f t="shared" si="4"/>
        <v>19</v>
      </c>
      <c r="C36" s="853" t="s">
        <v>440</v>
      </c>
      <c r="D36" s="1551">
        <v>100</v>
      </c>
      <c r="E36" s="1551">
        <v>103</v>
      </c>
      <c r="F36" s="1551">
        <v>104</v>
      </c>
      <c r="G36" s="1551">
        <f>103+1</f>
        <v>104</v>
      </c>
      <c r="H36" s="1551">
        <v>103</v>
      </c>
      <c r="I36" s="1551">
        <f>41+59</f>
        <v>100</v>
      </c>
      <c r="J36" s="1551">
        <f>41+62</f>
        <v>103</v>
      </c>
      <c r="K36" s="1560">
        <v>104</v>
      </c>
      <c r="L36" s="1560">
        <v>104</v>
      </c>
      <c r="M36" s="881"/>
      <c r="N36" s="1171"/>
      <c r="O36" s="1171"/>
      <c r="P36" s="1171"/>
      <c r="Q36" s="1171"/>
      <c r="R36" s="1171"/>
    </row>
    <row r="37" spans="1:18" x14ac:dyDescent="0.2">
      <c r="A37" s="848">
        <f t="shared" si="4"/>
        <v>20</v>
      </c>
      <c r="C37" s="853" t="s">
        <v>1538</v>
      </c>
      <c r="D37" s="1551">
        <v>2</v>
      </c>
      <c r="E37" s="1551">
        <v>2</v>
      </c>
      <c r="F37" s="1551">
        <v>3</v>
      </c>
      <c r="G37" s="1551">
        <v>3</v>
      </c>
      <c r="H37" s="1551">
        <v>2</v>
      </c>
      <c r="I37" s="1551">
        <f>2</f>
        <v>2</v>
      </c>
      <c r="J37" s="1551">
        <v>2</v>
      </c>
      <c r="K37" s="1696">
        <f>J37</f>
        <v>2</v>
      </c>
      <c r="L37" s="1696">
        <f>J37</f>
        <v>2</v>
      </c>
      <c r="M37" s="881"/>
      <c r="N37" s="881"/>
      <c r="O37" s="881"/>
      <c r="P37" s="881"/>
      <c r="Q37" s="881"/>
      <c r="R37" s="881"/>
    </row>
    <row r="38" spans="1:18" x14ac:dyDescent="0.2">
      <c r="A38" s="848">
        <f t="shared" si="4"/>
        <v>21</v>
      </c>
      <c r="C38" s="853" t="s">
        <v>686</v>
      </c>
      <c r="D38" s="1552">
        <v>0</v>
      </c>
      <c r="E38" s="1552">
        <v>0</v>
      </c>
      <c r="F38" s="1552">
        <v>0</v>
      </c>
      <c r="G38" s="1552">
        <v>0</v>
      </c>
      <c r="H38" s="1552">
        <v>0</v>
      </c>
      <c r="I38" s="1552">
        <v>0</v>
      </c>
      <c r="J38" s="1552">
        <v>0</v>
      </c>
      <c r="K38" s="1720">
        <f>J38</f>
        <v>0</v>
      </c>
      <c r="L38" s="1720">
        <f>J38</f>
        <v>0</v>
      </c>
      <c r="M38" s="881"/>
      <c r="N38" s="1171"/>
      <c r="O38" s="1171"/>
      <c r="P38" s="1171"/>
      <c r="Q38" s="1171"/>
      <c r="R38" s="1171"/>
    </row>
    <row r="39" spans="1:18" x14ac:dyDescent="0.2">
      <c r="A39" s="848">
        <f t="shared" si="4"/>
        <v>22</v>
      </c>
      <c r="C39" s="853"/>
      <c r="D39" s="894">
        <f>SUM(D34:D38)</f>
        <v>103008</v>
      </c>
      <c r="E39" s="894">
        <f t="shared" ref="E39:L39" si="5">SUM(E34:E38)</f>
        <v>104259</v>
      </c>
      <c r="F39" s="894">
        <f t="shared" si="5"/>
        <v>105531</v>
      </c>
      <c r="G39" s="894">
        <f t="shared" si="5"/>
        <v>106194</v>
      </c>
      <c r="H39" s="894">
        <f t="shared" si="5"/>
        <v>108038</v>
      </c>
      <c r="I39" s="894">
        <f t="shared" si="5"/>
        <v>104777</v>
      </c>
      <c r="J39" s="894">
        <f t="shared" si="5"/>
        <v>107534</v>
      </c>
      <c r="K39" s="894">
        <f t="shared" si="5"/>
        <v>107580</v>
      </c>
      <c r="L39" s="894">
        <f t="shared" si="5"/>
        <v>107742</v>
      </c>
      <c r="M39" s="881"/>
      <c r="N39" s="881"/>
      <c r="O39" s="881"/>
      <c r="P39" s="881"/>
      <c r="Q39" s="881"/>
      <c r="R39" s="881"/>
    </row>
    <row r="40" spans="1:18" x14ac:dyDescent="0.2">
      <c r="A40" s="848"/>
      <c r="C40" s="853"/>
      <c r="D40" s="894"/>
      <c r="E40" s="894"/>
      <c r="F40" s="894"/>
      <c r="G40" s="894"/>
      <c r="H40" s="894"/>
      <c r="I40" s="894"/>
      <c r="J40" s="894"/>
      <c r="K40" s="894"/>
      <c r="L40" s="894"/>
      <c r="M40" s="881"/>
      <c r="N40" s="881"/>
      <c r="O40" s="881"/>
      <c r="P40" s="881"/>
      <c r="Q40" s="881"/>
      <c r="R40" s="881"/>
    </row>
    <row r="41" spans="1:18" x14ac:dyDescent="0.2">
      <c r="A41" s="848">
        <f>A39+1</f>
        <v>23</v>
      </c>
      <c r="B41" s="659" t="s">
        <v>1860</v>
      </c>
      <c r="C41" s="853"/>
      <c r="D41" s="894"/>
      <c r="E41" s="894"/>
      <c r="F41" s="894"/>
      <c r="G41" s="894"/>
      <c r="H41" s="894"/>
      <c r="I41" s="894"/>
      <c r="J41" s="894"/>
      <c r="K41" s="894"/>
      <c r="L41" s="894"/>
      <c r="M41" s="881"/>
      <c r="N41" s="881"/>
      <c r="O41" s="881"/>
      <c r="P41" s="881"/>
      <c r="Q41" s="881"/>
      <c r="R41" s="881"/>
    </row>
    <row r="42" spans="1:18" x14ac:dyDescent="0.2">
      <c r="A42" s="848">
        <f>A41+1</f>
        <v>24</v>
      </c>
      <c r="C42" s="853" t="s">
        <v>438</v>
      </c>
      <c r="D42" s="1560">
        <v>27620</v>
      </c>
      <c r="E42" s="1560">
        <v>26138</v>
      </c>
      <c r="F42" s="1560">
        <v>25075</v>
      </c>
      <c r="G42" s="1560">
        <v>24635</v>
      </c>
      <c r="H42" s="1560">
        <v>22925</v>
      </c>
      <c r="I42" s="1560">
        <v>22960</v>
      </c>
      <c r="J42" s="1560">
        <v>23543</v>
      </c>
      <c r="K42" s="1551">
        <v>23568</v>
      </c>
      <c r="L42" s="1551">
        <v>23599</v>
      </c>
      <c r="M42" s="881"/>
    </row>
    <row r="43" spans="1:18" x14ac:dyDescent="0.2">
      <c r="A43" s="848">
        <f>A42+1</f>
        <v>25</v>
      </c>
      <c r="C43" s="853" t="s">
        <v>439</v>
      </c>
      <c r="D43" s="1560">
        <v>4211</v>
      </c>
      <c r="E43" s="1560">
        <v>4168</v>
      </c>
      <c r="F43" s="1560">
        <v>4117</v>
      </c>
      <c r="G43" s="1560">
        <v>4050</v>
      </c>
      <c r="H43" s="1560">
        <v>3883</v>
      </c>
      <c r="I43" s="1560">
        <v>3987</v>
      </c>
      <c r="J43" s="1560">
        <v>3889</v>
      </c>
      <c r="K43" s="1551">
        <v>4258</v>
      </c>
      <c r="L43" s="1551">
        <v>4271</v>
      </c>
      <c r="M43" s="881"/>
    </row>
    <row r="44" spans="1:18" x14ac:dyDescent="0.2">
      <c r="A44" s="848">
        <f>A43+1</f>
        <v>26</v>
      </c>
      <c r="C44" s="853" t="s">
        <v>440</v>
      </c>
      <c r="D44" s="1561">
        <v>75</v>
      </c>
      <c r="E44" s="1561">
        <v>74</v>
      </c>
      <c r="F44" s="1561">
        <v>73</v>
      </c>
      <c r="G44" s="1561">
        <v>76</v>
      </c>
      <c r="H44" s="1561">
        <v>74</v>
      </c>
      <c r="I44" s="1561">
        <v>74</v>
      </c>
      <c r="J44" s="1561">
        <v>75</v>
      </c>
      <c r="K44" s="1720">
        <v>75</v>
      </c>
      <c r="L44" s="1720">
        <v>75</v>
      </c>
      <c r="M44" s="881"/>
    </row>
    <row r="45" spans="1:18" x14ac:dyDescent="0.2">
      <c r="A45" s="848">
        <f>A44+1</f>
        <v>27</v>
      </c>
      <c r="C45" s="853"/>
      <c r="D45" s="894">
        <f>SUM(D42:D44)</f>
        <v>31906</v>
      </c>
      <c r="E45" s="894">
        <f t="shared" ref="E45:L45" si="6">SUM(E42:E44)</f>
        <v>30380</v>
      </c>
      <c r="F45" s="894">
        <f t="shared" si="6"/>
        <v>29265</v>
      </c>
      <c r="G45" s="853">
        <f t="shared" si="6"/>
        <v>28761</v>
      </c>
      <c r="H45" s="894">
        <f t="shared" si="6"/>
        <v>26882</v>
      </c>
      <c r="I45" s="894">
        <f t="shared" si="6"/>
        <v>27021</v>
      </c>
      <c r="J45" s="894">
        <f t="shared" si="6"/>
        <v>27507</v>
      </c>
      <c r="K45" s="894">
        <f t="shared" si="6"/>
        <v>27901</v>
      </c>
      <c r="L45" s="894">
        <f t="shared" si="6"/>
        <v>27945</v>
      </c>
      <c r="M45" s="881"/>
    </row>
    <row r="46" spans="1:18" x14ac:dyDescent="0.2">
      <c r="A46" s="848"/>
      <c r="C46" s="853"/>
      <c r="D46" s="894"/>
      <c r="E46" s="894"/>
      <c r="F46" s="894"/>
      <c r="G46" s="853"/>
      <c r="H46" s="894"/>
      <c r="I46" s="894"/>
      <c r="J46" s="853"/>
      <c r="K46" s="894"/>
      <c r="L46" s="894"/>
      <c r="M46" s="881"/>
    </row>
    <row r="47" spans="1:18" x14ac:dyDescent="0.2">
      <c r="A47" s="848">
        <f>A45+1</f>
        <v>28</v>
      </c>
      <c r="C47" s="1168" t="s">
        <v>1645</v>
      </c>
      <c r="D47" s="894">
        <f>D39+D45</f>
        <v>134914</v>
      </c>
      <c r="E47" s="894">
        <f t="shared" ref="E47:L47" si="7">E39+E45</f>
        <v>134639</v>
      </c>
      <c r="F47" s="853">
        <f t="shared" si="7"/>
        <v>134796</v>
      </c>
      <c r="G47" s="853">
        <f t="shared" si="7"/>
        <v>134955</v>
      </c>
      <c r="H47" s="894">
        <f t="shared" si="7"/>
        <v>134920</v>
      </c>
      <c r="I47" s="853">
        <f t="shared" si="7"/>
        <v>131798</v>
      </c>
      <c r="J47" s="853">
        <f t="shared" si="7"/>
        <v>135041</v>
      </c>
      <c r="K47" s="894">
        <f t="shared" si="7"/>
        <v>135481</v>
      </c>
      <c r="L47" s="894">
        <f t="shared" si="7"/>
        <v>135687</v>
      </c>
      <c r="M47" s="881"/>
    </row>
    <row r="48" spans="1:18" x14ac:dyDescent="0.2">
      <c r="A48" s="848"/>
      <c r="D48" s="894"/>
      <c r="E48" s="894"/>
      <c r="F48" s="853"/>
      <c r="G48" s="853"/>
      <c r="H48" s="853"/>
      <c r="I48" s="853"/>
      <c r="J48" s="853"/>
      <c r="K48" s="894"/>
      <c r="L48" s="894"/>
      <c r="M48" s="881"/>
    </row>
    <row r="49" spans="1:13" x14ac:dyDescent="0.2">
      <c r="A49" s="848">
        <f>A47+1</f>
        <v>29</v>
      </c>
      <c r="B49" s="659" t="s">
        <v>1641</v>
      </c>
      <c r="D49" s="853"/>
      <c r="E49" s="853"/>
      <c r="F49" s="853"/>
      <c r="G49" s="853"/>
      <c r="H49" s="853"/>
      <c r="I49" s="853"/>
      <c r="J49" s="853"/>
      <c r="K49" s="894"/>
      <c r="L49" s="894"/>
      <c r="M49" s="881"/>
    </row>
    <row r="50" spans="1:13" x14ac:dyDescent="0.2">
      <c r="A50" s="848">
        <f>A49+1</f>
        <v>30</v>
      </c>
      <c r="C50" s="853" t="s">
        <v>438</v>
      </c>
      <c r="D50" s="853">
        <f>ROUND(D16/D34,0)</f>
        <v>747</v>
      </c>
      <c r="E50" s="853">
        <f t="shared" ref="E50:J50" si="8">ROUND(E16/E34,0)</f>
        <v>580</v>
      </c>
      <c r="F50" s="853">
        <f t="shared" si="8"/>
        <v>668</v>
      </c>
      <c r="G50" s="853">
        <f t="shared" si="8"/>
        <v>853</v>
      </c>
      <c r="H50" s="853">
        <f t="shared" si="8"/>
        <v>753</v>
      </c>
      <c r="I50" s="853">
        <f t="shared" si="8"/>
        <v>527</v>
      </c>
      <c r="J50" s="853">
        <f t="shared" si="8"/>
        <v>510</v>
      </c>
      <c r="K50" s="894">
        <f t="shared" ref="K50:L53" si="9">K16/K34</f>
        <v>704.9710152362386</v>
      </c>
      <c r="L50" s="894">
        <f t="shared" si="9"/>
        <v>724.91418617757063</v>
      </c>
      <c r="M50" s="881"/>
    </row>
    <row r="51" spans="1:13" x14ac:dyDescent="0.2">
      <c r="A51" s="848">
        <f>A50+1</f>
        <v>31</v>
      </c>
      <c r="C51" s="853" t="s">
        <v>439</v>
      </c>
      <c r="D51" s="853">
        <f t="shared" ref="D51:J53" si="10">ROUND(D17/D35,0)</f>
        <v>3113</v>
      </c>
      <c r="E51" s="853">
        <f t="shared" si="10"/>
        <v>2201</v>
      </c>
      <c r="F51" s="853">
        <f t="shared" si="10"/>
        <v>2631</v>
      </c>
      <c r="G51" s="853">
        <f t="shared" si="10"/>
        <v>3416</v>
      </c>
      <c r="H51" s="853">
        <f t="shared" si="10"/>
        <v>3033</v>
      </c>
      <c r="I51" s="853">
        <f t="shared" si="10"/>
        <v>1914</v>
      </c>
      <c r="J51" s="853">
        <f t="shared" si="10"/>
        <v>1837</v>
      </c>
      <c r="K51" s="894">
        <f t="shared" si="9"/>
        <v>2790.588470376661</v>
      </c>
      <c r="L51" s="894">
        <f t="shared" si="9"/>
        <v>2889.3536500348573</v>
      </c>
      <c r="M51" s="881"/>
    </row>
    <row r="52" spans="1:13" x14ac:dyDescent="0.2">
      <c r="A52" s="848">
        <f>A51+1</f>
        <v>32</v>
      </c>
      <c r="C52" s="853" t="s">
        <v>440</v>
      </c>
      <c r="D52" s="853">
        <f t="shared" si="10"/>
        <v>13865</v>
      </c>
      <c r="E52" s="853">
        <f t="shared" si="10"/>
        <v>12781</v>
      </c>
      <c r="F52" s="853">
        <f t="shared" si="10"/>
        <v>19644</v>
      </c>
      <c r="G52" s="853">
        <f t="shared" si="10"/>
        <v>11826</v>
      </c>
      <c r="H52" s="853">
        <f t="shared" si="10"/>
        <v>14244</v>
      </c>
      <c r="I52" s="853">
        <f t="shared" si="10"/>
        <v>9388</v>
      </c>
      <c r="J52" s="853">
        <f t="shared" si="10"/>
        <v>13663</v>
      </c>
      <c r="K52" s="853">
        <f t="shared" si="9"/>
        <v>8134.6153846153848</v>
      </c>
      <c r="L52" s="853">
        <f t="shared" si="9"/>
        <v>8548.0769230769238</v>
      </c>
    </row>
    <row r="53" spans="1:13" x14ac:dyDescent="0.2">
      <c r="A53" s="848">
        <f>A52+1</f>
        <v>33</v>
      </c>
      <c r="C53" s="853" t="s">
        <v>1538</v>
      </c>
      <c r="D53" s="853">
        <f t="shared" si="10"/>
        <v>64047</v>
      </c>
      <c r="E53" s="853">
        <f t="shared" si="10"/>
        <v>36377</v>
      </c>
      <c r="F53" s="853">
        <f t="shared" si="10"/>
        <v>35545</v>
      </c>
      <c r="G53" s="853">
        <f t="shared" si="10"/>
        <v>43434</v>
      </c>
      <c r="H53" s="853">
        <f t="shared" si="10"/>
        <v>48646</v>
      </c>
      <c r="I53" s="853">
        <f t="shared" si="10"/>
        <v>21515</v>
      </c>
      <c r="J53" s="853">
        <f t="shared" si="10"/>
        <v>23856</v>
      </c>
      <c r="K53" s="853">
        <f t="shared" si="9"/>
        <v>6000</v>
      </c>
      <c r="L53" s="853">
        <f t="shared" si="9"/>
        <v>6000</v>
      </c>
    </row>
    <row r="54" spans="1:13" x14ac:dyDescent="0.2">
      <c r="A54" s="848">
        <f>A53+1</f>
        <v>34</v>
      </c>
      <c r="C54" s="853" t="s">
        <v>686</v>
      </c>
      <c r="D54" s="853">
        <f>IF(D38=0,0,ROUND(D20/D38,0))</f>
        <v>0</v>
      </c>
      <c r="E54" s="853">
        <f t="shared" ref="E54:L54" si="11">IF(E38=0,0,ROUND(E20/E38,0))</f>
        <v>0</v>
      </c>
      <c r="F54" s="853">
        <f t="shared" si="11"/>
        <v>0</v>
      </c>
      <c r="G54" s="853">
        <f t="shared" si="11"/>
        <v>0</v>
      </c>
      <c r="H54" s="853">
        <f t="shared" si="11"/>
        <v>0</v>
      </c>
      <c r="I54" s="853">
        <f t="shared" si="11"/>
        <v>0</v>
      </c>
      <c r="J54" s="853">
        <f t="shared" si="11"/>
        <v>0</v>
      </c>
      <c r="K54" s="853">
        <f t="shared" si="11"/>
        <v>0</v>
      </c>
      <c r="L54" s="853">
        <f t="shared" si="11"/>
        <v>0</v>
      </c>
    </row>
    <row r="55" spans="1:13" x14ac:dyDescent="0.2">
      <c r="A55" s="848"/>
      <c r="D55" s="853"/>
      <c r="E55" s="853"/>
      <c r="F55" s="853"/>
      <c r="G55" s="853"/>
      <c r="H55" s="853"/>
      <c r="I55" s="853"/>
      <c r="J55" s="853"/>
      <c r="K55" s="853"/>
      <c r="L55" s="853"/>
    </row>
    <row r="56" spans="1:13" x14ac:dyDescent="0.2">
      <c r="A56" s="848">
        <f>A54+1</f>
        <v>35</v>
      </c>
      <c r="B56" s="659" t="s">
        <v>1646</v>
      </c>
      <c r="D56" s="853"/>
      <c r="E56" s="853"/>
      <c r="F56" s="853"/>
      <c r="G56" s="853"/>
      <c r="H56" s="853"/>
      <c r="I56" s="853"/>
      <c r="J56" s="853"/>
      <c r="K56" s="853"/>
      <c r="L56" s="853"/>
    </row>
    <row r="57" spans="1:13" x14ac:dyDescent="0.2">
      <c r="A57" s="848">
        <f>A56+1</f>
        <v>36</v>
      </c>
      <c r="C57" s="853" t="s">
        <v>438</v>
      </c>
      <c r="D57" s="853">
        <f>ROUND(D25/D42,0)</f>
        <v>316</v>
      </c>
      <c r="E57" s="853">
        <f t="shared" ref="E57:L57" si="12">ROUND(E25/E42,0)</f>
        <v>315</v>
      </c>
      <c r="F57" s="853">
        <f t="shared" si="12"/>
        <v>321</v>
      </c>
      <c r="G57" s="853">
        <f t="shared" si="12"/>
        <v>368</v>
      </c>
      <c r="H57" s="853">
        <f t="shared" si="12"/>
        <v>388</v>
      </c>
      <c r="I57" s="853">
        <f t="shared" si="12"/>
        <v>390</v>
      </c>
      <c r="J57" s="853">
        <f t="shared" si="12"/>
        <v>384</v>
      </c>
      <c r="K57" s="853">
        <f t="shared" si="12"/>
        <v>390</v>
      </c>
      <c r="L57" s="853">
        <f t="shared" si="12"/>
        <v>390</v>
      </c>
    </row>
    <row r="58" spans="1:13" x14ac:dyDescent="0.2">
      <c r="A58" s="848">
        <f>A57+1</f>
        <v>37</v>
      </c>
      <c r="C58" s="853" t="s">
        <v>439</v>
      </c>
      <c r="D58" s="853">
        <f t="shared" ref="D58:L59" si="13">ROUND(D26/D43,0)</f>
        <v>1443</v>
      </c>
      <c r="E58" s="853">
        <f t="shared" si="13"/>
        <v>1491</v>
      </c>
      <c r="F58" s="853">
        <f t="shared" si="13"/>
        <v>1674</v>
      </c>
      <c r="G58" s="853">
        <f t="shared" si="13"/>
        <v>1942</v>
      </c>
      <c r="H58" s="853">
        <f t="shared" si="13"/>
        <v>1929</v>
      </c>
      <c r="I58" s="853">
        <f t="shared" si="13"/>
        <v>1913</v>
      </c>
      <c r="J58" s="853">
        <f t="shared" si="13"/>
        <v>2052</v>
      </c>
      <c r="K58" s="853">
        <f t="shared" si="13"/>
        <v>1910</v>
      </c>
      <c r="L58" s="853">
        <f t="shared" si="13"/>
        <v>1904</v>
      </c>
    </row>
    <row r="59" spans="1:13" x14ac:dyDescent="0.2">
      <c r="A59" s="848">
        <f>A58+1</f>
        <v>38</v>
      </c>
      <c r="C59" s="853" t="s">
        <v>440</v>
      </c>
      <c r="D59" s="853">
        <f t="shared" si="13"/>
        <v>67997</v>
      </c>
      <c r="E59" s="853">
        <f t="shared" si="13"/>
        <v>66470</v>
      </c>
      <c r="F59" s="853">
        <f t="shared" si="13"/>
        <v>75799</v>
      </c>
      <c r="G59" s="853">
        <f t="shared" si="13"/>
        <v>72257</v>
      </c>
      <c r="H59" s="853">
        <f t="shared" si="13"/>
        <v>74379</v>
      </c>
      <c r="I59" s="853">
        <f t="shared" si="13"/>
        <v>72532</v>
      </c>
      <c r="J59" s="853">
        <f t="shared" si="13"/>
        <v>63945</v>
      </c>
      <c r="K59" s="853">
        <f t="shared" si="13"/>
        <v>72653</v>
      </c>
      <c r="L59" s="853">
        <f t="shared" si="13"/>
        <v>72040</v>
      </c>
      <c r="M59" s="976"/>
    </row>
    <row r="60" spans="1:13" x14ac:dyDescent="0.2">
      <c r="A60" s="1172"/>
      <c r="B60" s="1172"/>
      <c r="C60" s="1172"/>
      <c r="D60" s="1172"/>
      <c r="E60" s="1172"/>
      <c r="F60" s="1172"/>
      <c r="G60" s="1172"/>
      <c r="H60" s="1172"/>
      <c r="I60" s="1172"/>
      <c r="J60" s="1172"/>
      <c r="K60" s="1172"/>
      <c r="L60" s="1172"/>
      <c r="M60" s="976"/>
    </row>
    <row r="61" spans="1:13" x14ac:dyDescent="0.2">
      <c r="A61" s="1803" t="str">
        <f>'I-1 Comp Income Statement'!A44</f>
        <v>[1]  Unbilled Revenue is not included in the forecasted months of the Base and Forecast Period.  Additionally, the Forecast period does not include the revenue from this case.</v>
      </c>
      <c r="B61" s="1172"/>
      <c r="C61" s="1172"/>
      <c r="D61" s="1172"/>
      <c r="E61" s="1172"/>
      <c r="F61" s="1172"/>
      <c r="G61" s="1172"/>
      <c r="H61" s="1172"/>
      <c r="I61" s="1172"/>
      <c r="J61" s="1172"/>
      <c r="K61" s="1172"/>
      <c r="L61" s="1172"/>
      <c r="M61" s="976"/>
    </row>
    <row r="62" spans="1:13" x14ac:dyDescent="0.2">
      <c r="A62" s="1803" t="str">
        <f>'I-1 Comp Income Statement'!A45</f>
        <v>[2]  Projected calender years 2018 and 2019 do not reflect what is presented in the current case or subsequent cases, if any.</v>
      </c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56"/>
    </row>
    <row r="63" spans="1:13" x14ac:dyDescent="0.2">
      <c r="A63" s="1947"/>
      <c r="B63" s="961"/>
      <c r="C63" s="961"/>
      <c r="D63" s="961"/>
      <c r="E63" s="961"/>
      <c r="F63" s="961"/>
      <c r="G63" s="961"/>
      <c r="H63" s="961"/>
      <c r="I63" s="961"/>
      <c r="J63" s="961"/>
      <c r="K63" s="961"/>
      <c r="L63" s="961"/>
    </row>
    <row r="64" spans="1:13" x14ac:dyDescent="0.2">
      <c r="A64" s="965"/>
      <c r="B64" s="961"/>
      <c r="C64" s="961"/>
      <c r="D64" s="961"/>
      <c r="E64" s="961"/>
      <c r="F64" s="961"/>
      <c r="G64" s="961"/>
      <c r="H64" s="961"/>
      <c r="I64" s="961"/>
      <c r="J64" s="961"/>
      <c r="K64" s="961"/>
      <c r="L64" s="961"/>
    </row>
    <row r="65" spans="1:13" x14ac:dyDescent="0.2">
      <c r="A65" s="965"/>
      <c r="B65" s="961"/>
      <c r="C65" s="961"/>
      <c r="D65" s="961"/>
      <c r="E65" s="961"/>
      <c r="F65" s="961"/>
      <c r="G65" s="961"/>
      <c r="H65" s="961"/>
      <c r="I65" s="961"/>
      <c r="J65" s="961"/>
      <c r="K65" s="961"/>
      <c r="L65" s="961"/>
    </row>
    <row r="66" spans="1:13" x14ac:dyDescent="0.2">
      <c r="A66" s="965"/>
      <c r="B66" s="961"/>
      <c r="C66" s="961"/>
      <c r="D66" s="2197"/>
      <c r="E66" s="2197"/>
      <c r="F66" s="2197"/>
      <c r="G66" s="2197"/>
      <c r="H66" s="2197"/>
      <c r="I66" s="961"/>
      <c r="J66" s="961"/>
      <c r="K66" s="2198"/>
      <c r="L66" s="2198"/>
      <c r="M66" s="961"/>
    </row>
    <row r="67" spans="1:13" x14ac:dyDescent="0.2">
      <c r="A67" s="965"/>
      <c r="B67" s="961"/>
      <c r="C67" s="961"/>
      <c r="D67" s="961"/>
      <c r="E67" s="961"/>
      <c r="F67" s="961"/>
      <c r="G67" s="961"/>
      <c r="H67" s="961"/>
      <c r="I67" s="961"/>
      <c r="J67" s="961"/>
      <c r="K67" s="961"/>
      <c r="L67" s="961"/>
      <c r="M67" s="961"/>
    </row>
    <row r="68" spans="1:13" x14ac:dyDescent="0.2">
      <c r="A68" s="967"/>
      <c r="B68" s="961"/>
      <c r="C68" s="961"/>
      <c r="D68" s="968"/>
      <c r="E68" s="968"/>
      <c r="F68" s="968"/>
      <c r="G68" s="968"/>
      <c r="H68" s="968"/>
      <c r="I68" s="968"/>
      <c r="J68" s="968"/>
      <c r="K68" s="961"/>
      <c r="L68" s="961"/>
      <c r="M68" s="961"/>
    </row>
    <row r="69" spans="1:13" x14ac:dyDescent="0.2">
      <c r="A69" s="967"/>
      <c r="B69" s="961"/>
      <c r="C69" s="961"/>
      <c r="D69" s="968"/>
      <c r="E69" s="968"/>
      <c r="F69" s="968"/>
      <c r="G69" s="968"/>
      <c r="H69" s="968"/>
      <c r="I69" s="980"/>
      <c r="J69" s="980"/>
      <c r="K69" s="968"/>
      <c r="L69" s="968"/>
      <c r="M69" s="968"/>
    </row>
    <row r="70" spans="1:13" x14ac:dyDescent="0.2">
      <c r="A70" s="862"/>
      <c r="B70" s="845"/>
      <c r="C70" s="974"/>
      <c r="D70" s="974"/>
      <c r="E70" s="974"/>
      <c r="F70" s="974"/>
      <c r="G70" s="974"/>
      <c r="H70" s="974"/>
      <c r="I70" s="974"/>
      <c r="J70" s="974"/>
      <c r="K70" s="974"/>
      <c r="L70" s="974"/>
      <c r="M70" s="974"/>
    </row>
    <row r="71" spans="1:13" x14ac:dyDescent="0.2">
      <c r="A71" s="862"/>
      <c r="B71" s="845"/>
      <c r="C71" s="974"/>
      <c r="D71" s="974"/>
      <c r="E71" s="974"/>
      <c r="F71" s="974"/>
      <c r="G71" s="974"/>
      <c r="H71" s="974"/>
      <c r="I71" s="974"/>
      <c r="J71" s="974"/>
      <c r="K71" s="974"/>
      <c r="L71" s="974"/>
      <c r="M71" s="974"/>
    </row>
    <row r="72" spans="1:13" x14ac:dyDescent="0.2">
      <c r="A72" s="862"/>
      <c r="B72" s="845"/>
      <c r="C72" s="974"/>
      <c r="D72" s="981"/>
      <c r="E72" s="981"/>
      <c r="F72" s="981"/>
      <c r="G72" s="981"/>
      <c r="H72" s="981"/>
      <c r="I72" s="981"/>
      <c r="J72" s="981"/>
      <c r="K72" s="981"/>
      <c r="L72" s="981"/>
      <c r="M72" s="853"/>
    </row>
    <row r="73" spans="1:13" x14ac:dyDescent="0.2">
      <c r="A73" s="862"/>
      <c r="B73" s="845"/>
      <c r="C73" s="974"/>
      <c r="D73" s="981"/>
      <c r="E73" s="981"/>
      <c r="F73" s="981"/>
      <c r="G73" s="981"/>
      <c r="H73" s="981"/>
      <c r="I73" s="981"/>
      <c r="J73" s="981"/>
      <c r="K73" s="981"/>
      <c r="L73" s="981"/>
      <c r="M73" s="853"/>
    </row>
    <row r="74" spans="1:13" x14ac:dyDescent="0.2">
      <c r="A74" s="862"/>
      <c r="B74" s="845"/>
      <c r="C74" s="974"/>
      <c r="D74" s="981"/>
      <c r="E74" s="981"/>
      <c r="F74" s="981"/>
      <c r="G74" s="981"/>
      <c r="H74" s="981"/>
      <c r="I74" s="981"/>
      <c r="J74" s="981"/>
      <c r="K74" s="981"/>
      <c r="L74" s="981"/>
      <c r="M74" s="853"/>
    </row>
    <row r="75" spans="1:13" x14ac:dyDescent="0.2">
      <c r="A75" s="862"/>
      <c r="B75" s="845"/>
      <c r="C75" s="974"/>
      <c r="D75" s="981"/>
      <c r="E75" s="981"/>
      <c r="F75" s="981"/>
      <c r="G75" s="981"/>
      <c r="H75" s="981"/>
      <c r="I75" s="981"/>
      <c r="J75" s="981"/>
      <c r="K75" s="981"/>
      <c r="L75" s="981"/>
      <c r="M75" s="853"/>
    </row>
    <row r="76" spans="1:13" x14ac:dyDescent="0.2">
      <c r="A76" s="862"/>
      <c r="B76" s="845"/>
      <c r="C76" s="974"/>
      <c r="D76" s="974"/>
      <c r="E76" s="974"/>
      <c r="F76" s="974"/>
      <c r="G76" s="974"/>
      <c r="H76" s="974"/>
      <c r="I76" s="974"/>
      <c r="J76" s="974"/>
      <c r="K76" s="974"/>
      <c r="L76" s="974"/>
      <c r="M76" s="853"/>
    </row>
    <row r="77" spans="1:13" x14ac:dyDescent="0.2">
      <c r="A77" s="862"/>
      <c r="B77" s="845"/>
      <c r="C77" s="974"/>
      <c r="D77" s="974"/>
      <c r="E77" s="974"/>
      <c r="F77" s="974"/>
      <c r="G77" s="974"/>
      <c r="H77" s="974"/>
      <c r="I77" s="974"/>
      <c r="J77" s="974"/>
      <c r="K77" s="974"/>
      <c r="L77" s="974"/>
      <c r="M77" s="853"/>
    </row>
    <row r="78" spans="1:13" x14ac:dyDescent="0.2">
      <c r="A78" s="862"/>
      <c r="B78" s="845"/>
      <c r="C78" s="974"/>
      <c r="D78" s="974"/>
      <c r="E78" s="974"/>
      <c r="F78" s="974"/>
      <c r="G78" s="974"/>
      <c r="H78" s="974"/>
      <c r="I78" s="974"/>
      <c r="J78" s="974"/>
      <c r="K78" s="974"/>
      <c r="L78" s="974"/>
      <c r="M78" s="853"/>
    </row>
    <row r="79" spans="1:13" x14ac:dyDescent="0.2">
      <c r="A79" s="862"/>
      <c r="B79" s="845"/>
      <c r="C79" s="845"/>
      <c r="D79" s="974"/>
      <c r="E79" s="974"/>
      <c r="F79" s="974"/>
      <c r="G79" s="974"/>
      <c r="H79" s="974"/>
      <c r="I79" s="974"/>
      <c r="J79" s="974"/>
      <c r="K79" s="974"/>
      <c r="L79" s="974"/>
    </row>
    <row r="80" spans="1:13" x14ac:dyDescent="0.2">
      <c r="A80" s="862"/>
      <c r="B80" s="845"/>
      <c r="C80" s="974"/>
      <c r="D80" s="981"/>
      <c r="E80" s="981"/>
      <c r="F80" s="981"/>
      <c r="G80" s="981"/>
      <c r="H80" s="981"/>
      <c r="I80" s="981"/>
      <c r="J80" s="981"/>
      <c r="K80" s="981"/>
      <c r="L80" s="981"/>
    </row>
    <row r="81" spans="1:12" x14ac:dyDescent="0.2">
      <c r="A81" s="862"/>
      <c r="B81" s="845"/>
      <c r="C81" s="974"/>
      <c r="D81" s="981"/>
      <c r="E81" s="981"/>
      <c r="F81" s="981"/>
      <c r="G81" s="981"/>
      <c r="H81" s="981"/>
      <c r="I81" s="981"/>
      <c r="J81" s="981"/>
      <c r="K81" s="981"/>
      <c r="L81" s="981"/>
    </row>
    <row r="82" spans="1:12" x14ac:dyDescent="0.2">
      <c r="A82" s="862"/>
      <c r="B82" s="845"/>
      <c r="C82" s="974"/>
      <c r="D82" s="981"/>
      <c r="E82" s="981"/>
      <c r="F82" s="981"/>
      <c r="G82" s="981"/>
      <c r="H82" s="981"/>
      <c r="I82" s="981"/>
      <c r="J82" s="981"/>
      <c r="K82" s="981"/>
      <c r="L82" s="981"/>
    </row>
    <row r="83" spans="1:12" x14ac:dyDescent="0.2">
      <c r="A83" s="862"/>
      <c r="B83" s="845"/>
      <c r="C83" s="974"/>
      <c r="D83" s="981"/>
      <c r="E83" s="981"/>
      <c r="F83" s="981"/>
      <c r="G83" s="981"/>
      <c r="H83" s="981"/>
      <c r="I83" s="981"/>
      <c r="J83" s="981"/>
      <c r="K83" s="981"/>
      <c r="L83" s="981"/>
    </row>
    <row r="84" spans="1:12" x14ac:dyDescent="0.2">
      <c r="A84" s="862"/>
      <c r="B84" s="845"/>
      <c r="C84" s="974"/>
      <c r="D84" s="974"/>
      <c r="E84" s="974"/>
      <c r="F84" s="974"/>
      <c r="G84" s="974"/>
      <c r="H84" s="974"/>
      <c r="I84" s="974"/>
      <c r="J84" s="974"/>
      <c r="K84" s="974"/>
      <c r="L84" s="974"/>
    </row>
    <row r="85" spans="1:12" x14ac:dyDescent="0.2">
      <c r="A85" s="862"/>
      <c r="B85" s="845"/>
      <c r="C85" s="974"/>
      <c r="D85" s="974"/>
      <c r="E85" s="974"/>
      <c r="F85" s="974"/>
      <c r="G85" s="974"/>
      <c r="H85" s="974"/>
      <c r="I85" s="974"/>
      <c r="J85" s="974"/>
      <c r="K85" s="974"/>
      <c r="L85" s="974"/>
    </row>
    <row r="86" spans="1:12" x14ac:dyDescent="0.2">
      <c r="A86" s="862"/>
      <c r="B86" s="845"/>
      <c r="C86" s="845"/>
      <c r="D86" s="974"/>
      <c r="E86" s="974"/>
      <c r="F86" s="974"/>
      <c r="G86" s="974"/>
      <c r="H86" s="974"/>
      <c r="I86" s="974"/>
      <c r="J86" s="974"/>
      <c r="K86" s="974"/>
      <c r="L86" s="974"/>
    </row>
    <row r="87" spans="1:12" x14ac:dyDescent="0.2">
      <c r="A87" s="862"/>
      <c r="B87" s="845"/>
      <c r="C87" s="845"/>
      <c r="D87" s="974"/>
      <c r="E87" s="974"/>
      <c r="F87" s="974"/>
      <c r="G87" s="974"/>
      <c r="H87" s="974"/>
      <c r="I87" s="974"/>
      <c r="J87" s="974"/>
      <c r="K87" s="974"/>
      <c r="L87" s="974"/>
    </row>
    <row r="88" spans="1:12" x14ac:dyDescent="0.2">
      <c r="A88" s="862"/>
      <c r="B88" s="845"/>
      <c r="C88" s="974"/>
      <c r="D88" s="974"/>
      <c r="E88" s="974"/>
      <c r="F88" s="974"/>
      <c r="G88" s="974"/>
      <c r="H88" s="974"/>
      <c r="I88" s="974"/>
      <c r="J88" s="974"/>
      <c r="K88" s="974"/>
      <c r="L88" s="974"/>
    </row>
    <row r="89" spans="1:12" x14ac:dyDescent="0.2">
      <c r="A89" s="862"/>
      <c r="B89" s="845"/>
      <c r="C89" s="974"/>
      <c r="D89" s="974"/>
      <c r="E89" s="974"/>
      <c r="F89" s="974"/>
      <c r="G89" s="974"/>
      <c r="H89" s="974"/>
      <c r="I89" s="974"/>
      <c r="J89" s="974"/>
      <c r="K89" s="974"/>
      <c r="L89" s="974"/>
    </row>
    <row r="90" spans="1:12" x14ac:dyDescent="0.2">
      <c r="A90" s="862"/>
      <c r="B90" s="845"/>
      <c r="C90" s="974"/>
      <c r="D90" s="974"/>
      <c r="E90" s="974"/>
      <c r="F90" s="974"/>
      <c r="G90" s="974"/>
      <c r="H90" s="974"/>
      <c r="I90" s="974"/>
      <c r="J90" s="974"/>
      <c r="K90" s="974"/>
      <c r="L90" s="974"/>
    </row>
    <row r="91" spans="1:12" x14ac:dyDescent="0.2">
      <c r="A91" s="862"/>
      <c r="B91" s="845"/>
      <c r="C91" s="974"/>
      <c r="D91" s="974"/>
      <c r="E91" s="974"/>
      <c r="F91" s="974"/>
      <c r="G91" s="974"/>
      <c r="H91" s="974"/>
      <c r="I91" s="974"/>
      <c r="J91" s="974"/>
      <c r="K91" s="974"/>
      <c r="L91" s="974"/>
    </row>
    <row r="92" spans="1:12" x14ac:dyDescent="0.2">
      <c r="A92" s="845"/>
      <c r="B92" s="845"/>
      <c r="C92" s="845"/>
      <c r="D92" s="845"/>
      <c r="E92" s="845"/>
      <c r="F92" s="845"/>
      <c r="G92" s="845"/>
      <c r="H92" s="845"/>
      <c r="I92" s="845"/>
      <c r="J92" s="845"/>
      <c r="K92" s="845"/>
      <c r="L92" s="845"/>
    </row>
    <row r="93" spans="1:12" x14ac:dyDescent="0.2">
      <c r="A93" s="845"/>
      <c r="B93" s="845"/>
      <c r="C93" s="845"/>
      <c r="D93" s="845"/>
      <c r="E93" s="845"/>
      <c r="F93" s="845"/>
      <c r="G93" s="845"/>
      <c r="H93" s="845"/>
      <c r="I93" s="845"/>
      <c r="J93" s="845"/>
      <c r="K93" s="845"/>
      <c r="L93" s="845"/>
    </row>
    <row r="94" spans="1:12" x14ac:dyDescent="0.2">
      <c r="A94" s="845"/>
      <c r="B94" s="845"/>
      <c r="C94" s="845"/>
      <c r="D94" s="845"/>
      <c r="E94" s="845"/>
      <c r="F94" s="845"/>
      <c r="G94" s="845"/>
      <c r="H94" s="845"/>
      <c r="I94" s="845"/>
      <c r="J94" s="845"/>
      <c r="K94" s="845"/>
      <c r="L94" s="845"/>
    </row>
    <row r="95" spans="1:12" x14ac:dyDescent="0.2">
      <c r="A95" s="845"/>
      <c r="B95" s="845"/>
      <c r="C95" s="845"/>
      <c r="D95" s="845"/>
      <c r="E95" s="845"/>
      <c r="F95" s="845"/>
      <c r="G95" s="845"/>
      <c r="H95" s="845"/>
      <c r="I95" s="845"/>
      <c r="J95" s="845"/>
      <c r="K95" s="845"/>
      <c r="L95" s="845"/>
    </row>
    <row r="96" spans="1:12" x14ac:dyDescent="0.2">
      <c r="A96" s="845"/>
      <c r="B96" s="845"/>
      <c r="C96" s="845"/>
      <c r="D96" s="845"/>
      <c r="E96" s="845"/>
      <c r="F96" s="845"/>
      <c r="G96" s="845"/>
      <c r="H96" s="845"/>
      <c r="I96" s="845"/>
      <c r="J96" s="845"/>
      <c r="K96" s="845"/>
      <c r="L96" s="845"/>
    </row>
    <row r="97" spans="1:12" x14ac:dyDescent="0.2">
      <c r="A97" s="845"/>
      <c r="B97" s="845"/>
      <c r="C97" s="845"/>
      <c r="D97" s="845"/>
      <c r="E97" s="845"/>
      <c r="F97" s="845"/>
      <c r="G97" s="845"/>
      <c r="H97" s="845"/>
      <c r="I97" s="845"/>
      <c r="J97" s="845"/>
      <c r="K97" s="845"/>
      <c r="L97" s="845"/>
    </row>
    <row r="98" spans="1:12" x14ac:dyDescent="0.2">
      <c r="A98" s="845"/>
      <c r="B98" s="845"/>
      <c r="C98" s="845"/>
      <c r="D98" s="845"/>
      <c r="E98" s="845"/>
      <c r="F98" s="845"/>
      <c r="G98" s="845"/>
      <c r="H98" s="845"/>
      <c r="I98" s="845"/>
      <c r="J98" s="845"/>
      <c r="K98" s="845"/>
      <c r="L98" s="845"/>
    </row>
    <row r="99" spans="1:12" x14ac:dyDescent="0.2">
      <c r="A99" s="845"/>
      <c r="B99" s="845"/>
      <c r="C99" s="845"/>
      <c r="D99" s="845"/>
      <c r="E99" s="845"/>
      <c r="F99" s="845"/>
      <c r="G99" s="845"/>
      <c r="H99" s="845"/>
      <c r="I99" s="845"/>
      <c r="J99" s="845"/>
      <c r="K99" s="845"/>
      <c r="L99" s="845"/>
    </row>
    <row r="100" spans="1:12" x14ac:dyDescent="0.2">
      <c r="A100" s="845"/>
      <c r="B100" s="845"/>
      <c r="C100" s="845"/>
      <c r="D100" s="845"/>
      <c r="E100" s="845"/>
      <c r="F100" s="845"/>
      <c r="G100" s="845"/>
      <c r="H100" s="845"/>
      <c r="I100" s="845"/>
      <c r="J100" s="845"/>
      <c r="K100" s="845"/>
      <c r="L100" s="845"/>
    </row>
    <row r="101" spans="1:12" x14ac:dyDescent="0.2">
      <c r="A101" s="845"/>
      <c r="B101" s="845"/>
      <c r="C101" s="845"/>
      <c r="D101" s="845"/>
      <c r="E101" s="845"/>
      <c r="F101" s="845"/>
      <c r="G101" s="845"/>
      <c r="H101" s="845"/>
      <c r="I101" s="845"/>
      <c r="J101" s="845"/>
      <c r="K101" s="845"/>
      <c r="L101" s="845"/>
    </row>
    <row r="102" spans="1:12" x14ac:dyDescent="0.2">
      <c r="A102" s="845"/>
      <c r="B102" s="845"/>
      <c r="C102" s="845"/>
      <c r="D102" s="845"/>
      <c r="E102" s="845"/>
      <c r="F102" s="845"/>
      <c r="G102" s="845"/>
      <c r="H102" s="845"/>
      <c r="I102" s="845"/>
      <c r="J102" s="845"/>
      <c r="K102" s="845"/>
      <c r="L102" s="845"/>
    </row>
    <row r="103" spans="1:12" x14ac:dyDescent="0.2">
      <c r="A103" s="845"/>
      <c r="B103" s="845"/>
      <c r="C103" s="845"/>
      <c r="D103" s="845"/>
      <c r="E103" s="845"/>
      <c r="F103" s="845"/>
      <c r="G103" s="845"/>
      <c r="H103" s="845"/>
      <c r="I103" s="845"/>
      <c r="J103" s="845"/>
      <c r="K103" s="845"/>
      <c r="L103" s="845"/>
    </row>
    <row r="104" spans="1:12" x14ac:dyDescent="0.2">
      <c r="A104" s="845"/>
      <c r="B104" s="845"/>
      <c r="C104" s="845"/>
      <c r="D104" s="845"/>
      <c r="E104" s="845"/>
      <c r="F104" s="845"/>
      <c r="G104" s="845"/>
      <c r="H104" s="845"/>
      <c r="I104" s="845"/>
      <c r="J104" s="845"/>
      <c r="K104" s="845"/>
      <c r="L104" s="845"/>
    </row>
    <row r="105" spans="1:12" x14ac:dyDescent="0.2">
      <c r="A105" s="845"/>
      <c r="B105" s="845"/>
      <c r="C105" s="845"/>
      <c r="D105" s="845"/>
      <c r="E105" s="845"/>
      <c r="F105" s="845"/>
      <c r="G105" s="845"/>
      <c r="H105" s="845"/>
      <c r="I105" s="845"/>
      <c r="J105" s="845"/>
      <c r="K105" s="845"/>
      <c r="L105" s="845"/>
    </row>
    <row r="106" spans="1:12" x14ac:dyDescent="0.2">
      <c r="A106" s="845"/>
      <c r="B106" s="845"/>
      <c r="C106" s="845"/>
      <c r="D106" s="845"/>
      <c r="E106" s="845"/>
      <c r="F106" s="845"/>
      <c r="G106" s="845"/>
      <c r="H106" s="845"/>
      <c r="I106" s="845"/>
      <c r="J106" s="845"/>
      <c r="K106" s="845"/>
      <c r="L106" s="845"/>
    </row>
    <row r="107" spans="1:12" x14ac:dyDescent="0.2">
      <c r="A107" s="845"/>
      <c r="B107" s="845"/>
      <c r="C107" s="845"/>
      <c r="D107" s="845"/>
      <c r="E107" s="845"/>
      <c r="F107" s="845"/>
      <c r="G107" s="845"/>
      <c r="H107" s="845"/>
      <c r="I107" s="845"/>
      <c r="J107" s="845"/>
      <c r="K107" s="845"/>
      <c r="L107" s="845"/>
    </row>
    <row r="108" spans="1:12" x14ac:dyDescent="0.2">
      <c r="A108" s="845"/>
      <c r="B108" s="845"/>
      <c r="C108" s="845"/>
      <c r="D108" s="845"/>
      <c r="E108" s="845"/>
      <c r="F108" s="845"/>
      <c r="G108" s="845"/>
      <c r="H108" s="845"/>
      <c r="I108" s="845"/>
      <c r="J108" s="845"/>
      <c r="K108" s="845"/>
      <c r="L108" s="845"/>
    </row>
    <row r="109" spans="1:12" x14ac:dyDescent="0.2">
      <c r="A109" s="845"/>
      <c r="B109" s="845"/>
      <c r="C109" s="845"/>
      <c r="D109" s="845"/>
      <c r="E109" s="845"/>
      <c r="F109" s="845"/>
      <c r="G109" s="845"/>
      <c r="H109" s="845"/>
      <c r="I109" s="845"/>
      <c r="J109" s="845"/>
      <c r="K109" s="845"/>
      <c r="L109" s="845"/>
    </row>
    <row r="110" spans="1:12" x14ac:dyDescent="0.2">
      <c r="A110" s="845"/>
      <c r="B110" s="845"/>
      <c r="C110" s="845"/>
      <c r="D110" s="845"/>
      <c r="E110" s="845"/>
      <c r="F110" s="845"/>
      <c r="G110" s="845"/>
      <c r="H110" s="845"/>
      <c r="I110" s="845"/>
      <c r="J110" s="845"/>
      <c r="K110" s="845"/>
      <c r="L110" s="845"/>
    </row>
    <row r="111" spans="1:12" x14ac:dyDescent="0.2">
      <c r="A111" s="845"/>
      <c r="B111" s="845"/>
      <c r="C111" s="845"/>
      <c r="D111" s="845"/>
      <c r="E111" s="845"/>
      <c r="F111" s="845"/>
      <c r="G111" s="845"/>
      <c r="H111" s="845"/>
      <c r="I111" s="845"/>
      <c r="J111" s="845"/>
      <c r="K111" s="845"/>
      <c r="L111" s="845"/>
    </row>
    <row r="112" spans="1:12" x14ac:dyDescent="0.2">
      <c r="A112" s="845"/>
      <c r="B112" s="845"/>
      <c r="C112" s="845"/>
      <c r="D112" s="845"/>
      <c r="E112" s="845"/>
      <c r="F112" s="845"/>
      <c r="G112" s="845"/>
      <c r="H112" s="845"/>
      <c r="I112" s="845"/>
      <c r="J112" s="845"/>
      <c r="K112" s="845"/>
      <c r="L112" s="845"/>
    </row>
    <row r="113" spans="1:12" x14ac:dyDescent="0.2">
      <c r="A113" s="845"/>
      <c r="B113" s="845"/>
      <c r="C113" s="845"/>
      <c r="D113" s="845"/>
      <c r="E113" s="845"/>
      <c r="F113" s="845"/>
      <c r="G113" s="845"/>
      <c r="H113" s="845"/>
      <c r="I113" s="845"/>
      <c r="J113" s="845"/>
      <c r="K113" s="845"/>
      <c r="L113" s="845"/>
    </row>
    <row r="114" spans="1:12" x14ac:dyDescent="0.2">
      <c r="A114" s="845"/>
      <c r="B114" s="845"/>
      <c r="C114" s="845"/>
      <c r="D114" s="845"/>
      <c r="E114" s="845"/>
      <c r="F114" s="845"/>
      <c r="G114" s="845"/>
      <c r="H114" s="845"/>
      <c r="I114" s="845"/>
      <c r="J114" s="845"/>
      <c r="K114" s="845"/>
      <c r="L114" s="845"/>
    </row>
    <row r="115" spans="1:12" x14ac:dyDescent="0.2">
      <c r="A115" s="845"/>
      <c r="B115" s="845"/>
      <c r="C115" s="845"/>
      <c r="D115" s="845"/>
      <c r="E115" s="845"/>
      <c r="F115" s="845"/>
      <c r="G115" s="845"/>
      <c r="H115" s="845"/>
      <c r="I115" s="845"/>
      <c r="J115" s="845"/>
      <c r="K115" s="845"/>
      <c r="L115" s="845"/>
    </row>
  </sheetData>
  <mergeCells count="9">
    <mergeCell ref="D10:H10"/>
    <mergeCell ref="K10:L10"/>
    <mergeCell ref="D66:H66"/>
    <mergeCell ref="K66:L66"/>
    <mergeCell ref="A1:L1"/>
    <mergeCell ref="A2:L2"/>
    <mergeCell ref="A3:L3"/>
    <mergeCell ref="A4:L4"/>
    <mergeCell ref="A5:L5"/>
  </mergeCells>
  <phoneticPr fontId="0" type="noConversion"/>
  <printOptions horizontalCentered="1"/>
  <pageMargins left="0.5" right="0.5" top="1" bottom="0.5" header="0.3" footer="0.3"/>
  <pageSetup scale="64" orientation="landscape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V42"/>
  <sheetViews>
    <sheetView zoomScale="85" zoomScaleNormal="85" workbookViewId="0">
      <selection activeCell="P26" sqref="P26"/>
    </sheetView>
  </sheetViews>
  <sheetFormatPr defaultColWidth="9.33203125" defaultRowHeight="12.75" x14ac:dyDescent="0.2"/>
  <cols>
    <col min="1" max="2" width="5.5" style="659" customWidth="1"/>
    <col min="3" max="3" width="34.33203125" style="659" customWidth="1"/>
    <col min="4" max="10" width="14.6640625" style="659" customWidth="1"/>
    <col min="11" max="11" width="18.83203125" style="659" customWidth="1"/>
    <col min="12" max="12" width="16.6640625" style="659" customWidth="1"/>
    <col min="13" max="16384" width="9.33203125" style="659"/>
  </cols>
  <sheetData>
    <row r="1" spans="1:18" x14ac:dyDescent="0.2">
      <c r="A1" s="2199" t="str">
        <f>'I-1 Comp Income Statement'!A1</f>
        <v>COLUMBIA GAS OF KENTUCKY, INC.</v>
      </c>
      <c r="B1" s="2199"/>
      <c r="C1" s="2199"/>
      <c r="D1" s="2199"/>
      <c r="E1" s="2199"/>
      <c r="F1" s="2199"/>
      <c r="G1" s="2199"/>
      <c r="H1" s="2199"/>
      <c r="I1" s="2199"/>
      <c r="J1" s="2199"/>
      <c r="K1" s="2199"/>
      <c r="L1" s="2199"/>
      <c r="M1" s="976"/>
    </row>
    <row r="2" spans="1:18" x14ac:dyDescent="0.2">
      <c r="A2" s="2199" t="str">
        <f>'I-1 Comp Income Statement'!A2</f>
        <v>CASE NO. 2016 - 00162</v>
      </c>
      <c r="B2" s="2199"/>
      <c r="C2" s="2199"/>
      <c r="D2" s="2199"/>
      <c r="E2" s="2199"/>
      <c r="F2" s="2199"/>
      <c r="G2" s="2199"/>
      <c r="H2" s="2199"/>
      <c r="I2" s="2199"/>
      <c r="J2" s="2199"/>
      <c r="K2" s="2199"/>
      <c r="L2" s="2199"/>
      <c r="M2" s="976"/>
    </row>
    <row r="3" spans="1:18" x14ac:dyDescent="0.2">
      <c r="A3" s="2195" t="s">
        <v>442</v>
      </c>
      <c r="B3" s="2195"/>
      <c r="C3" s="2195"/>
      <c r="D3" s="2195"/>
      <c r="E3" s="2195"/>
      <c r="F3" s="2195"/>
      <c r="G3" s="2195"/>
      <c r="H3" s="2195"/>
      <c r="I3" s="2195"/>
      <c r="J3" s="2195"/>
      <c r="K3" s="2195"/>
      <c r="L3" s="2195"/>
      <c r="M3" s="956"/>
    </row>
    <row r="4" spans="1:18" x14ac:dyDescent="0.2">
      <c r="A4" s="2199" t="str">
        <f>'I-1 Comp Income Statement'!A4</f>
        <v>BASE PERIOD TWELVE MONTHS ENDED AUGUST 31, 2016</v>
      </c>
      <c r="B4" s="2199"/>
      <c r="C4" s="2199"/>
      <c r="D4" s="2199"/>
      <c r="E4" s="2199"/>
      <c r="F4" s="2199"/>
      <c r="G4" s="2199"/>
      <c r="H4" s="2199"/>
      <c r="I4" s="2199"/>
      <c r="J4" s="2199"/>
      <c r="K4" s="2199"/>
      <c r="L4" s="2199"/>
      <c r="M4" s="976"/>
    </row>
    <row r="5" spans="1:18" x14ac:dyDescent="0.2">
      <c r="A5" s="2199" t="str">
        <f>'I-1 Comp Income Statement'!A5</f>
        <v>FORECASTED PERIOD TWELVE MONTHS ENDED DECEMBER 31, 2017</v>
      </c>
      <c r="B5" s="2199"/>
      <c r="C5" s="2199"/>
      <c r="D5" s="2199"/>
      <c r="E5" s="2199"/>
      <c r="F5" s="2199"/>
      <c r="G5" s="2199"/>
      <c r="H5" s="2199"/>
      <c r="I5" s="2199"/>
      <c r="J5" s="2199"/>
      <c r="K5" s="2199"/>
      <c r="L5" s="2199"/>
      <c r="M5" s="976"/>
    </row>
    <row r="6" spans="1:18" x14ac:dyDescent="0.2">
      <c r="A6" s="956"/>
      <c r="B6" s="956"/>
      <c r="C6" s="956"/>
      <c r="D6" s="956"/>
      <c r="E6" s="956"/>
      <c r="F6" s="956"/>
      <c r="G6" s="956"/>
      <c r="H6" s="956"/>
      <c r="I6" s="956"/>
      <c r="J6" s="956"/>
      <c r="K6" s="956"/>
      <c r="L6" s="956"/>
      <c r="M6" s="956"/>
    </row>
    <row r="7" spans="1:18" x14ac:dyDescent="0.2">
      <c r="A7" s="957" t="s">
        <v>1317</v>
      </c>
      <c r="B7" s="958"/>
      <c r="C7" s="958"/>
      <c r="D7" s="958"/>
      <c r="E7" s="958"/>
      <c r="F7" s="958"/>
      <c r="G7" s="958"/>
      <c r="H7" s="958"/>
      <c r="I7" s="958"/>
      <c r="J7" s="958"/>
      <c r="K7" s="958"/>
      <c r="L7" s="959" t="s">
        <v>443</v>
      </c>
    </row>
    <row r="8" spans="1:18" x14ac:dyDescent="0.2">
      <c r="A8" s="957" t="s">
        <v>977</v>
      </c>
      <c r="B8" s="958"/>
      <c r="C8" s="958"/>
      <c r="D8" s="958"/>
      <c r="E8" s="958"/>
      <c r="F8" s="958"/>
      <c r="G8" s="958"/>
      <c r="H8" s="958"/>
      <c r="I8" s="958"/>
      <c r="J8" s="958"/>
      <c r="K8" s="958"/>
      <c r="L8" s="959" t="s">
        <v>1299</v>
      </c>
    </row>
    <row r="9" spans="1:18" x14ac:dyDescent="0.2">
      <c r="A9" s="963" t="s">
        <v>996</v>
      </c>
      <c r="B9" s="964"/>
      <c r="C9" s="964"/>
      <c r="D9" s="964"/>
      <c r="E9" s="964"/>
      <c r="F9" s="964"/>
      <c r="G9" s="964"/>
      <c r="H9" s="964"/>
      <c r="I9" s="964"/>
      <c r="J9" s="964"/>
      <c r="K9" s="964"/>
      <c r="L9" s="977" t="str">
        <f>'I-1 Comp Income Statement'!L9</f>
        <v>WITNESS:  J. T. CROOM, BRIAN J. NOEL</v>
      </c>
    </row>
    <row r="10" spans="1:18" x14ac:dyDescent="0.2">
      <c r="A10" s="965"/>
      <c r="B10" s="961"/>
      <c r="C10" s="961"/>
      <c r="D10" s="2193" t="s">
        <v>1861</v>
      </c>
      <c r="E10" s="2193"/>
      <c r="F10" s="2193"/>
      <c r="G10" s="2193"/>
      <c r="H10" s="2193"/>
      <c r="I10" s="961"/>
      <c r="J10" s="961"/>
      <c r="K10" s="2194" t="s">
        <v>417</v>
      </c>
      <c r="L10" s="2194"/>
      <c r="M10" s="961"/>
    </row>
    <row r="11" spans="1:18" x14ac:dyDescent="0.2">
      <c r="A11" s="965"/>
      <c r="B11" s="961"/>
      <c r="C11" s="961"/>
      <c r="D11" s="961"/>
      <c r="E11" s="961"/>
      <c r="F11" s="961"/>
      <c r="G11" s="961"/>
      <c r="H11" s="961"/>
      <c r="I11" s="961"/>
      <c r="J11" s="961"/>
      <c r="K11" s="961"/>
      <c r="L11" s="961"/>
      <c r="M11" s="961"/>
    </row>
    <row r="12" spans="1:18" x14ac:dyDescent="0.2">
      <c r="A12" s="967" t="s">
        <v>632</v>
      </c>
      <c r="B12" s="961"/>
      <c r="C12" s="961"/>
      <c r="D12" s="968"/>
      <c r="E12" s="968"/>
      <c r="F12" s="968"/>
      <c r="G12" s="968"/>
      <c r="H12" s="968"/>
      <c r="I12" s="968" t="s">
        <v>634</v>
      </c>
      <c r="J12" s="968" t="s">
        <v>418</v>
      </c>
      <c r="K12" s="961"/>
      <c r="L12" s="961"/>
      <c r="M12" s="961"/>
    </row>
    <row r="13" spans="1:18" x14ac:dyDescent="0.2">
      <c r="A13" s="969" t="s">
        <v>635</v>
      </c>
      <c r="B13" s="970" t="s">
        <v>778</v>
      </c>
      <c r="C13" s="970"/>
      <c r="D13" s="971">
        <f>'I-1 Comp Income Statement'!D13</f>
        <v>2011</v>
      </c>
      <c r="E13" s="971">
        <f>'I-1 Comp Income Statement'!E13</f>
        <v>2012</v>
      </c>
      <c r="F13" s="971">
        <f>'I-1 Comp Income Statement'!F13</f>
        <v>2013</v>
      </c>
      <c r="G13" s="971">
        <f>'I-1 Comp Income Statement'!G13</f>
        <v>2014</v>
      </c>
      <c r="H13" s="971">
        <f>'I-1 Comp Income Statement'!H13</f>
        <v>2015</v>
      </c>
      <c r="I13" s="972">
        <f>'I-1 Comp Income Statement'!I13</f>
        <v>42613</v>
      </c>
      <c r="J13" s="972">
        <f>'I-1 Comp Income Statement'!J13</f>
        <v>43100</v>
      </c>
      <c r="K13" s="971">
        <f>'I-1 Comp Income Statement'!K13</f>
        <v>2018</v>
      </c>
      <c r="L13" s="971">
        <f>'I-1 Comp Income Statement'!L13</f>
        <v>2019</v>
      </c>
      <c r="M13" s="968"/>
    </row>
    <row r="14" spans="1:18" x14ac:dyDescent="0.2">
      <c r="A14" s="848"/>
      <c r="C14" s="853"/>
      <c r="D14" s="971" t="s">
        <v>1175</v>
      </c>
      <c r="E14" s="971" t="s">
        <v>1175</v>
      </c>
      <c r="F14" s="971" t="s">
        <v>1175</v>
      </c>
      <c r="G14" s="971" t="s">
        <v>1175</v>
      </c>
      <c r="H14" s="971" t="s">
        <v>1175</v>
      </c>
      <c r="I14" s="971" t="s">
        <v>1175</v>
      </c>
      <c r="J14" s="971" t="s">
        <v>1175</v>
      </c>
      <c r="K14" s="971" t="s">
        <v>1175</v>
      </c>
      <c r="L14" s="971" t="s">
        <v>1175</v>
      </c>
      <c r="M14" s="974"/>
    </row>
    <row r="15" spans="1:18" x14ac:dyDescent="0.2">
      <c r="A15" s="848"/>
      <c r="C15" s="853"/>
      <c r="D15" s="1944"/>
      <c r="E15" s="1944"/>
      <c r="F15" s="1944"/>
      <c r="G15" s="1944"/>
      <c r="H15" s="1944"/>
      <c r="I15" s="1944"/>
      <c r="J15" s="1944"/>
      <c r="K15" s="1946" t="s">
        <v>2402</v>
      </c>
      <c r="L15" s="1946" t="s">
        <v>2402</v>
      </c>
      <c r="M15" s="974"/>
    </row>
    <row r="16" spans="1:18" x14ac:dyDescent="0.2">
      <c r="A16" s="848">
        <v>1</v>
      </c>
      <c r="B16" s="659" t="s">
        <v>444</v>
      </c>
      <c r="C16" s="853"/>
      <c r="D16" s="853"/>
      <c r="E16" s="853"/>
      <c r="F16" s="853"/>
      <c r="G16" s="853"/>
      <c r="H16" s="853"/>
      <c r="I16" s="853"/>
      <c r="J16" s="853"/>
      <c r="K16" s="853"/>
      <c r="L16" s="853"/>
      <c r="M16" s="974"/>
      <c r="N16" s="2040"/>
      <c r="O16" s="2040"/>
      <c r="P16" s="2040"/>
      <c r="Q16" s="2040"/>
      <c r="R16" s="2040"/>
    </row>
    <row r="17" spans="1:22" ht="12.75" customHeight="1" x14ac:dyDescent="0.2">
      <c r="A17" s="848">
        <f>A16+1</f>
        <v>2</v>
      </c>
      <c r="C17" s="853" t="s">
        <v>438</v>
      </c>
      <c r="D17" s="1551">
        <f>6632485-251000</f>
        <v>6381485</v>
      </c>
      <c r="E17" s="1551">
        <f>5447602+104000</f>
        <v>5551602</v>
      </c>
      <c r="F17" s="1551">
        <f>6961673+48000</f>
        <v>7009673</v>
      </c>
      <c r="G17" s="1551">
        <v>7510782</v>
      </c>
      <c r="H17" s="1551">
        <v>6292371</v>
      </c>
      <c r="I17" s="1551">
        <v>5761554</v>
      </c>
      <c r="J17" s="1551">
        <v>6253000.0999999996</v>
      </c>
      <c r="K17" s="1551">
        <v>6245000</v>
      </c>
      <c r="L17" s="1551">
        <v>6230000</v>
      </c>
      <c r="M17" s="853"/>
      <c r="N17" s="2040"/>
      <c r="O17" s="2040"/>
      <c r="P17" s="2040"/>
      <c r="Q17" s="2040"/>
      <c r="R17" s="2040"/>
    </row>
    <row r="18" spans="1:22" x14ac:dyDescent="0.2">
      <c r="A18" s="848">
        <f>A17+1</f>
        <v>3</v>
      </c>
      <c r="C18" s="853" t="s">
        <v>439</v>
      </c>
      <c r="D18" s="1551">
        <f>3415674-133000</f>
        <v>3282674</v>
      </c>
      <c r="E18" s="1551">
        <f>2663137+34000</f>
        <v>2697137</v>
      </c>
      <c r="F18" s="1551">
        <f>3358050+44000</f>
        <v>3402050</v>
      </c>
      <c r="G18" s="1551">
        <v>3612683</v>
      </c>
      <c r="H18" s="1551">
        <v>3157309</v>
      </c>
      <c r="I18" s="1551">
        <v>2847836</v>
      </c>
      <c r="J18" s="1551">
        <v>3110692.6</v>
      </c>
      <c r="K18" s="1551">
        <v>3113000</v>
      </c>
      <c r="L18" s="1551">
        <v>3109000</v>
      </c>
      <c r="M18" s="853"/>
      <c r="N18" s="2040"/>
      <c r="O18" s="2040"/>
      <c r="P18" s="2040"/>
      <c r="Q18" s="2040"/>
      <c r="R18" s="2040"/>
    </row>
    <row r="19" spans="1:22" x14ac:dyDescent="0.2">
      <c r="A19" s="848">
        <f>A18+1</f>
        <v>4</v>
      </c>
      <c r="C19" s="853" t="s">
        <v>440</v>
      </c>
      <c r="D19" s="1551">
        <f>171492-1000</f>
        <v>170492</v>
      </c>
      <c r="E19" s="1551">
        <f>214022+3000</f>
        <v>217022</v>
      </c>
      <c r="F19" s="1551">
        <f>299668-1000</f>
        <v>298668</v>
      </c>
      <c r="G19" s="1551">
        <f>149087-G20</f>
        <v>132648.4</v>
      </c>
      <c r="H19" s="1551">
        <f>205273-H20</f>
        <v>194069.8</v>
      </c>
      <c r="I19" s="1551">
        <v>212997</v>
      </c>
      <c r="J19" s="1551">
        <v>122000.5</v>
      </c>
      <c r="K19" s="1551">
        <v>122000</v>
      </c>
      <c r="L19" s="1551">
        <v>122000</v>
      </c>
      <c r="M19" s="853"/>
      <c r="N19" s="881"/>
      <c r="O19" s="881"/>
      <c r="P19" s="881"/>
      <c r="Q19" s="881"/>
      <c r="R19" s="881"/>
    </row>
    <row r="20" spans="1:22" x14ac:dyDescent="0.2">
      <c r="A20" s="848">
        <f>A19+1</f>
        <v>5</v>
      </c>
      <c r="C20" s="853" t="s">
        <v>1538</v>
      </c>
      <c r="D20" s="1563">
        <v>16489</v>
      </c>
      <c r="E20" s="1563">
        <v>10923</v>
      </c>
      <c r="F20" s="1563">
        <v>18252</v>
      </c>
      <c r="G20" s="1563">
        <f>16590-2108.9+1957.5</f>
        <v>16438.599999999999</v>
      </c>
      <c r="H20" s="1563">
        <f>11203.2</f>
        <v>11203.2</v>
      </c>
      <c r="I20" s="1563">
        <v>8674</v>
      </c>
      <c r="J20" s="1563">
        <v>11320.7</v>
      </c>
      <c r="K20" s="1563">
        <v>0</v>
      </c>
      <c r="L20" s="1563">
        <v>0</v>
      </c>
      <c r="M20" s="974"/>
      <c r="N20" s="2041"/>
      <c r="O20" s="2041"/>
      <c r="P20" s="2041"/>
      <c r="Q20" s="2041"/>
      <c r="R20" s="2041"/>
      <c r="S20" s="845"/>
      <c r="T20" s="845"/>
      <c r="U20" s="845"/>
      <c r="V20" s="845"/>
    </row>
    <row r="21" spans="1:22" x14ac:dyDescent="0.2">
      <c r="A21" s="848">
        <f>A20+1</f>
        <v>6</v>
      </c>
      <c r="C21" s="853" t="s">
        <v>686</v>
      </c>
      <c r="D21" s="1552">
        <v>0</v>
      </c>
      <c r="E21" s="1552">
        <v>0</v>
      </c>
      <c r="F21" s="1552">
        <v>0</v>
      </c>
      <c r="G21" s="1552">
        <v>0</v>
      </c>
      <c r="H21" s="1552">
        <v>0</v>
      </c>
      <c r="I21" s="1552">
        <v>0</v>
      </c>
      <c r="J21" s="1552">
        <v>0</v>
      </c>
      <c r="K21" s="1552">
        <v>0</v>
      </c>
      <c r="L21" s="1552">
        <v>0</v>
      </c>
      <c r="M21" s="853"/>
      <c r="N21" s="2041"/>
      <c r="O21" s="2041"/>
      <c r="P21" s="2041"/>
      <c r="Q21" s="2041"/>
      <c r="R21" s="2041"/>
    </row>
    <row r="22" spans="1:22" x14ac:dyDescent="0.2">
      <c r="A22" s="848"/>
      <c r="C22" s="853"/>
      <c r="D22" s="894"/>
      <c r="E22" s="894"/>
      <c r="F22" s="894"/>
      <c r="G22" s="853"/>
      <c r="H22" s="894"/>
      <c r="I22" s="894"/>
      <c r="J22" s="894"/>
      <c r="K22" s="894"/>
      <c r="L22" s="894"/>
      <c r="M22" s="853"/>
      <c r="N22" s="2041"/>
      <c r="O22" s="2041"/>
      <c r="P22" s="2041"/>
      <c r="Q22" s="2041"/>
      <c r="R22" s="2041"/>
    </row>
    <row r="23" spans="1:22" x14ac:dyDescent="0.2">
      <c r="A23" s="848">
        <f>A21+1</f>
        <v>7</v>
      </c>
      <c r="C23" s="853" t="s">
        <v>670</v>
      </c>
      <c r="D23" s="853">
        <f t="shared" ref="D23:L23" si="0">SUM(D17:D21)</f>
        <v>9851140</v>
      </c>
      <c r="E23" s="853">
        <f t="shared" si="0"/>
        <v>8476684</v>
      </c>
      <c r="F23" s="853">
        <f t="shared" si="0"/>
        <v>10728643</v>
      </c>
      <c r="G23" s="853">
        <f>SUM(G17:G21)</f>
        <v>11272552</v>
      </c>
      <c r="H23" s="853">
        <f t="shared" si="0"/>
        <v>9654953</v>
      </c>
      <c r="I23" s="853">
        <f t="shared" si="0"/>
        <v>8831061</v>
      </c>
      <c r="J23" s="853">
        <f t="shared" si="0"/>
        <v>9497013.8999999985</v>
      </c>
      <c r="K23" s="894">
        <f t="shared" si="0"/>
        <v>9480000</v>
      </c>
      <c r="L23" s="853">
        <f t="shared" si="0"/>
        <v>9461000</v>
      </c>
      <c r="M23" s="853"/>
      <c r="N23" s="2041"/>
      <c r="O23" s="2041"/>
      <c r="P23" s="2041"/>
      <c r="Q23" s="2041"/>
      <c r="R23" s="2041"/>
    </row>
    <row r="24" spans="1:22" x14ac:dyDescent="0.2">
      <c r="A24" s="848"/>
      <c r="C24" s="853"/>
      <c r="D24" s="853"/>
      <c r="E24" s="853"/>
      <c r="F24" s="853"/>
      <c r="G24" s="853"/>
      <c r="H24" s="853"/>
      <c r="I24" s="853"/>
      <c r="J24" s="853"/>
      <c r="K24" s="894"/>
      <c r="L24" s="853"/>
      <c r="M24" s="853"/>
      <c r="N24" s="2041"/>
      <c r="O24" s="2041"/>
      <c r="P24" s="2041"/>
      <c r="Q24" s="2041"/>
      <c r="R24" s="2041"/>
    </row>
    <row r="25" spans="1:22" x14ac:dyDescent="0.2">
      <c r="A25" s="848">
        <f>A23+1</f>
        <v>8</v>
      </c>
      <c r="B25" s="659" t="s">
        <v>1640</v>
      </c>
      <c r="D25" s="853"/>
      <c r="E25" s="853"/>
      <c r="F25" s="853"/>
      <c r="G25" s="853"/>
      <c r="H25" s="853"/>
      <c r="I25" s="853"/>
      <c r="J25" s="853"/>
      <c r="K25" s="853"/>
      <c r="L25" s="853"/>
      <c r="N25" s="2041"/>
      <c r="O25" s="2041"/>
      <c r="P25" s="2041"/>
      <c r="Q25" s="2041"/>
      <c r="R25" s="2041"/>
    </row>
    <row r="26" spans="1:22" x14ac:dyDescent="0.2">
      <c r="A26" s="848">
        <f>A25+1</f>
        <v>9</v>
      </c>
      <c r="C26" s="853" t="s">
        <v>438</v>
      </c>
      <c r="D26" s="342">
        <f>'I-2 Revenue Stats'!D34</f>
        <v>93061</v>
      </c>
      <c r="E26" s="342">
        <f>'I-2 Revenue Stats'!E34</f>
        <v>94308</v>
      </c>
      <c r="F26" s="342">
        <f>'I-2 Revenue Stats'!F34</f>
        <v>95514</v>
      </c>
      <c r="G26" s="342">
        <f>'I-2 Revenue Stats'!G34</f>
        <v>96099</v>
      </c>
      <c r="H26" s="342">
        <f>'I-2 Revenue Stats'!H34</f>
        <v>97855</v>
      </c>
      <c r="I26" s="342">
        <f>'I-2 Revenue Stats'!I34</f>
        <v>94948</v>
      </c>
      <c r="J26" s="342">
        <f>'I-2 Revenue Stats'!J34</f>
        <v>97362</v>
      </c>
      <c r="K26" s="342">
        <f>'I-2 Revenue Stats'!K34</f>
        <v>97465</v>
      </c>
      <c r="L26" s="342">
        <f>'I-2 Revenue Stats'!L34</f>
        <v>97595</v>
      </c>
    </row>
    <row r="27" spans="1:22" x14ac:dyDescent="0.2">
      <c r="A27" s="848">
        <f>A26+1</f>
        <v>10</v>
      </c>
      <c r="C27" s="853" t="s">
        <v>439</v>
      </c>
      <c r="D27" s="342">
        <f>'I-2 Revenue Stats'!D35</f>
        <v>9845</v>
      </c>
      <c r="E27" s="342">
        <f>'I-2 Revenue Stats'!E35</f>
        <v>9846</v>
      </c>
      <c r="F27" s="342">
        <f>'I-2 Revenue Stats'!F35</f>
        <v>9910</v>
      </c>
      <c r="G27" s="342">
        <f>'I-2 Revenue Stats'!G35</f>
        <v>9988</v>
      </c>
      <c r="H27" s="342">
        <f>'I-2 Revenue Stats'!H35</f>
        <v>10078</v>
      </c>
      <c r="I27" s="342">
        <f>'I-2 Revenue Stats'!I35</f>
        <v>9727</v>
      </c>
      <c r="J27" s="342">
        <f>'I-2 Revenue Stats'!J35</f>
        <v>10067</v>
      </c>
      <c r="K27" s="342">
        <f>'I-2 Revenue Stats'!K35</f>
        <v>10009</v>
      </c>
      <c r="L27" s="342">
        <f>'I-2 Revenue Stats'!L35</f>
        <v>10041</v>
      </c>
    </row>
    <row r="28" spans="1:22" x14ac:dyDescent="0.2">
      <c r="A28" s="848">
        <f>A27+1</f>
        <v>11</v>
      </c>
      <c r="C28" s="853" t="s">
        <v>440</v>
      </c>
      <c r="D28" s="342">
        <f>'I-2 Revenue Stats'!D36</f>
        <v>100</v>
      </c>
      <c r="E28" s="342">
        <f>'I-2 Revenue Stats'!E36</f>
        <v>103</v>
      </c>
      <c r="F28" s="342">
        <f>'I-2 Revenue Stats'!F36</f>
        <v>104</v>
      </c>
      <c r="G28" s="342">
        <f>'I-2 Revenue Stats'!G36</f>
        <v>104</v>
      </c>
      <c r="H28" s="342">
        <f>'I-2 Revenue Stats'!H36</f>
        <v>103</v>
      </c>
      <c r="I28" s="342">
        <f>'I-2 Revenue Stats'!I36</f>
        <v>100</v>
      </c>
      <c r="J28" s="342">
        <f>'I-2 Revenue Stats'!J36</f>
        <v>103</v>
      </c>
      <c r="K28" s="342">
        <f>'I-2 Revenue Stats'!K36</f>
        <v>104</v>
      </c>
      <c r="L28" s="342">
        <f>'I-2 Revenue Stats'!L36</f>
        <v>104</v>
      </c>
    </row>
    <row r="29" spans="1:22" x14ac:dyDescent="0.2">
      <c r="A29" s="848">
        <f>A28+1</f>
        <v>12</v>
      </c>
      <c r="C29" s="853" t="s">
        <v>1538</v>
      </c>
      <c r="D29" s="342">
        <f>'I-2 Revenue Stats'!D37</f>
        <v>2</v>
      </c>
      <c r="E29" s="342">
        <f>'I-2 Revenue Stats'!E37</f>
        <v>2</v>
      </c>
      <c r="F29" s="342">
        <f>'I-2 Revenue Stats'!F37</f>
        <v>3</v>
      </c>
      <c r="G29" s="342">
        <f>'I-2 Revenue Stats'!G37</f>
        <v>3</v>
      </c>
      <c r="H29" s="342">
        <f>'I-2 Revenue Stats'!H37</f>
        <v>2</v>
      </c>
      <c r="I29" s="342">
        <f>'I-2 Revenue Stats'!I37</f>
        <v>2</v>
      </c>
      <c r="J29" s="342">
        <f>'I-2 Revenue Stats'!J37</f>
        <v>2</v>
      </c>
      <c r="K29" s="342">
        <f>'I-2 Revenue Stats'!K37</f>
        <v>2</v>
      </c>
      <c r="L29" s="342">
        <f>'I-2 Revenue Stats'!L37</f>
        <v>2</v>
      </c>
      <c r="M29" s="845"/>
      <c r="N29" s="845"/>
      <c r="O29" s="845"/>
      <c r="P29" s="845"/>
      <c r="Q29" s="845"/>
      <c r="R29" s="845"/>
      <c r="S29" s="845"/>
      <c r="T29" s="845"/>
    </row>
    <row r="30" spans="1:22" x14ac:dyDescent="0.2">
      <c r="A30" s="848">
        <f>A29+1</f>
        <v>13</v>
      </c>
      <c r="C30" s="853" t="s">
        <v>686</v>
      </c>
      <c r="D30" s="1160">
        <f>'I-2 Revenue Stats'!D38</f>
        <v>0</v>
      </c>
      <c r="E30" s="1160">
        <f>'I-2 Revenue Stats'!E38</f>
        <v>0</v>
      </c>
      <c r="F30" s="1160">
        <f>'I-2 Revenue Stats'!F38</f>
        <v>0</v>
      </c>
      <c r="G30" s="1160">
        <f>'I-2 Revenue Stats'!G38</f>
        <v>0</v>
      </c>
      <c r="H30" s="1160">
        <f>'I-2 Revenue Stats'!H38</f>
        <v>0</v>
      </c>
      <c r="I30" s="1160">
        <f>'I-2 Revenue Stats'!I38</f>
        <v>0</v>
      </c>
      <c r="J30" s="1160">
        <f>'I-2 Revenue Stats'!J38</f>
        <v>0</v>
      </c>
      <c r="K30" s="1160">
        <f>'I-2 Revenue Stats'!K38</f>
        <v>0</v>
      </c>
      <c r="L30" s="1160">
        <f>'I-2 Revenue Stats'!L38</f>
        <v>0</v>
      </c>
    </row>
    <row r="31" spans="1:22" x14ac:dyDescent="0.2">
      <c r="A31" s="848"/>
      <c r="D31" s="853"/>
      <c r="E31" s="853"/>
      <c r="F31" s="853"/>
      <c r="G31" s="853"/>
      <c r="H31" s="853"/>
      <c r="I31" s="853"/>
      <c r="J31" s="853"/>
      <c r="K31" s="853"/>
      <c r="L31" s="853"/>
    </row>
    <row r="32" spans="1:22" x14ac:dyDescent="0.2">
      <c r="A32" s="848">
        <f>A30+1</f>
        <v>14</v>
      </c>
      <c r="C32" s="853" t="s">
        <v>670</v>
      </c>
      <c r="D32" s="853">
        <f t="shared" ref="D32:L32" si="1">SUM(D26:D30)</f>
        <v>103008</v>
      </c>
      <c r="E32" s="853">
        <f t="shared" si="1"/>
        <v>104259</v>
      </c>
      <c r="F32" s="853">
        <f t="shared" si="1"/>
        <v>105531</v>
      </c>
      <c r="G32" s="853">
        <f t="shared" si="1"/>
        <v>106194</v>
      </c>
      <c r="H32" s="853">
        <f t="shared" si="1"/>
        <v>108038</v>
      </c>
      <c r="I32" s="853">
        <f t="shared" si="1"/>
        <v>104777</v>
      </c>
      <c r="J32" s="853">
        <f t="shared" si="1"/>
        <v>107534</v>
      </c>
      <c r="K32" s="853">
        <f t="shared" si="1"/>
        <v>107580</v>
      </c>
      <c r="L32" s="853">
        <f t="shared" si="1"/>
        <v>107742</v>
      </c>
    </row>
    <row r="33" spans="1:12" x14ac:dyDescent="0.2">
      <c r="A33" s="848"/>
      <c r="D33" s="853"/>
      <c r="E33" s="853"/>
      <c r="F33" s="853"/>
      <c r="G33" s="853"/>
      <c r="H33" s="853"/>
      <c r="I33" s="853"/>
      <c r="J33" s="853"/>
      <c r="K33" s="853"/>
      <c r="L33" s="853"/>
    </row>
    <row r="34" spans="1:12" x14ac:dyDescent="0.2">
      <c r="A34" s="848">
        <f>A32+1</f>
        <v>15</v>
      </c>
      <c r="B34" s="659" t="s">
        <v>445</v>
      </c>
      <c r="D34" s="853"/>
      <c r="E34" s="853"/>
      <c r="F34" s="853"/>
      <c r="G34" s="853"/>
      <c r="H34" s="853"/>
      <c r="I34" s="853"/>
      <c r="J34" s="853"/>
      <c r="K34" s="853"/>
      <c r="L34" s="853"/>
    </row>
    <row r="35" spans="1:12" x14ac:dyDescent="0.2">
      <c r="A35" s="848">
        <f>A34+1</f>
        <v>16</v>
      </c>
      <c r="C35" s="853" t="s">
        <v>438</v>
      </c>
      <c r="D35" s="853">
        <f t="shared" ref="D35:E38" si="2">+D17/D26</f>
        <v>68.573140198364513</v>
      </c>
      <c r="E35" s="853">
        <f t="shared" si="2"/>
        <v>58.866713322305635</v>
      </c>
      <c r="F35" s="853">
        <f t="shared" ref="F35:G38" si="3">+F17/F26</f>
        <v>73.388958686684674</v>
      </c>
      <c r="G35" s="853">
        <f t="shared" si="3"/>
        <v>78.156713389317261</v>
      </c>
      <c r="H35" s="853">
        <f t="shared" ref="H35:L38" si="4">+H17/H26</f>
        <v>64.303009554953761</v>
      </c>
      <c r="I35" s="853">
        <f t="shared" si="4"/>
        <v>60.681151788347307</v>
      </c>
      <c r="J35" s="853">
        <f t="shared" si="4"/>
        <v>64.224236355046116</v>
      </c>
      <c r="K35" s="853">
        <f t="shared" si="4"/>
        <v>64.074283075975998</v>
      </c>
      <c r="L35" s="853">
        <f t="shared" si="4"/>
        <v>63.835237460935495</v>
      </c>
    </row>
    <row r="36" spans="1:12" x14ac:dyDescent="0.2">
      <c r="A36" s="848">
        <f>A35+1</f>
        <v>17</v>
      </c>
      <c r="C36" s="853" t="s">
        <v>439</v>
      </c>
      <c r="D36" s="853">
        <f t="shared" si="2"/>
        <v>333.4356526155409</v>
      </c>
      <c r="E36" s="853">
        <f t="shared" si="2"/>
        <v>273.9322567540118</v>
      </c>
      <c r="F36" s="853">
        <f t="shared" si="3"/>
        <v>343.29465186680119</v>
      </c>
      <c r="G36" s="853">
        <f t="shared" si="3"/>
        <v>361.70234281137363</v>
      </c>
      <c r="H36" s="853">
        <f t="shared" si="4"/>
        <v>313.2872593768605</v>
      </c>
      <c r="I36" s="853">
        <f t="shared" si="4"/>
        <v>292.77639559987665</v>
      </c>
      <c r="J36" s="853">
        <f t="shared" si="4"/>
        <v>308.99896692162514</v>
      </c>
      <c r="K36" s="853">
        <f t="shared" si="4"/>
        <v>311.02008192626636</v>
      </c>
      <c r="L36" s="853">
        <f t="shared" si="4"/>
        <v>309.6305148889553</v>
      </c>
    </row>
    <row r="37" spans="1:12" x14ac:dyDescent="0.2">
      <c r="A37" s="848">
        <f>A36+1</f>
        <v>18</v>
      </c>
      <c r="C37" s="853" t="s">
        <v>440</v>
      </c>
      <c r="D37" s="853">
        <f t="shared" si="2"/>
        <v>1704.92</v>
      </c>
      <c r="E37" s="853">
        <f t="shared" si="2"/>
        <v>2107.009708737864</v>
      </c>
      <c r="F37" s="853">
        <f t="shared" si="3"/>
        <v>2871.8076923076924</v>
      </c>
      <c r="G37" s="853">
        <f t="shared" si="3"/>
        <v>1275.4653846153847</v>
      </c>
      <c r="H37" s="853">
        <f t="shared" si="4"/>
        <v>1884.1728155339804</v>
      </c>
      <c r="I37" s="853">
        <f t="shared" si="4"/>
        <v>2129.9699999999998</v>
      </c>
      <c r="J37" s="853">
        <f t="shared" si="4"/>
        <v>1184.4708737864078</v>
      </c>
      <c r="K37" s="853">
        <f t="shared" si="4"/>
        <v>1173.0769230769231</v>
      </c>
      <c r="L37" s="853">
        <f t="shared" si="4"/>
        <v>1173.0769230769231</v>
      </c>
    </row>
    <row r="38" spans="1:12" x14ac:dyDescent="0.2">
      <c r="A38" s="848">
        <f>A37+1</f>
        <v>19</v>
      </c>
      <c r="C38" s="853" t="s">
        <v>686</v>
      </c>
      <c r="D38" s="853">
        <f t="shared" si="2"/>
        <v>8244.5</v>
      </c>
      <c r="E38" s="853">
        <f t="shared" si="2"/>
        <v>5461.5</v>
      </c>
      <c r="F38" s="853">
        <f t="shared" si="3"/>
        <v>6084</v>
      </c>
      <c r="G38" s="853">
        <f t="shared" si="3"/>
        <v>5479.5333333333328</v>
      </c>
      <c r="H38" s="853">
        <f t="shared" si="4"/>
        <v>5601.6</v>
      </c>
      <c r="I38" s="853">
        <f t="shared" si="4"/>
        <v>4337</v>
      </c>
      <c r="J38" s="853">
        <f t="shared" si="4"/>
        <v>5660.35</v>
      </c>
      <c r="K38" s="853">
        <f t="shared" si="4"/>
        <v>0</v>
      </c>
      <c r="L38" s="853">
        <f t="shared" si="4"/>
        <v>0</v>
      </c>
    </row>
    <row r="39" spans="1:12" x14ac:dyDescent="0.2">
      <c r="A39" s="848"/>
      <c r="D39" s="853"/>
      <c r="E39" s="853"/>
      <c r="F39" s="853"/>
      <c r="G39" s="853"/>
      <c r="H39" s="853"/>
      <c r="I39" s="853"/>
      <c r="J39" s="853"/>
      <c r="K39" s="853"/>
      <c r="L39" s="853"/>
    </row>
    <row r="41" spans="1:12" x14ac:dyDescent="0.2">
      <c r="A41" s="1684" t="s">
        <v>2406</v>
      </c>
    </row>
    <row r="42" spans="1:12" x14ac:dyDescent="0.2">
      <c r="A42" s="659" t="str">
        <f>'I-1 Comp Income Statement'!A45</f>
        <v>[2]  Projected calender years 2018 and 2019 do not reflect what is presented in the current case or subsequent cases, if any.</v>
      </c>
    </row>
  </sheetData>
  <mergeCells count="7">
    <mergeCell ref="D10:H10"/>
    <mergeCell ref="K10:L10"/>
    <mergeCell ref="A1:L1"/>
    <mergeCell ref="A2:L2"/>
    <mergeCell ref="A3:L3"/>
    <mergeCell ref="A4:L4"/>
    <mergeCell ref="A5:L5"/>
  </mergeCells>
  <phoneticPr fontId="0" type="noConversion"/>
  <printOptions horizontalCentered="1"/>
  <pageMargins left="0.5" right="0.5" top="1" bottom="0.5" header="0.3" footer="0.3"/>
  <pageSetup scale="83" orientation="landscape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87">
    <pageSetUpPr fitToPage="1"/>
  </sheetPr>
  <dimension ref="A1:H124"/>
  <sheetViews>
    <sheetView zoomScaleNormal="100" workbookViewId="0">
      <selection activeCell="C27" sqref="C27"/>
    </sheetView>
  </sheetViews>
  <sheetFormatPr defaultColWidth="8.5" defaultRowHeight="10.5" x14ac:dyDescent="0.15"/>
  <cols>
    <col min="1" max="1" width="26.6640625" style="984" bestFit="1" customWidth="1"/>
    <col min="2" max="2" width="4.83203125" style="984" customWidth="1"/>
    <col min="3" max="3" width="78.5" style="984" bestFit="1" customWidth="1"/>
    <col min="4" max="6" width="8.5" style="984"/>
    <col min="7" max="7" width="12.83203125" style="984" customWidth="1"/>
    <col min="8" max="16384" width="8.5" style="984"/>
  </cols>
  <sheetData>
    <row r="1" spans="1:5" ht="12.75" x14ac:dyDescent="0.2">
      <c r="A1" s="982"/>
      <c r="B1" s="982"/>
      <c r="C1" s="982"/>
      <c r="D1" s="982"/>
      <c r="E1" s="983"/>
    </row>
    <row r="2" spans="1:5" ht="12.75" x14ac:dyDescent="0.2">
      <c r="A2" s="982"/>
      <c r="B2" s="982"/>
      <c r="C2" s="982"/>
      <c r="D2" s="982"/>
      <c r="E2" s="983"/>
    </row>
    <row r="3" spans="1:5" ht="12.75" x14ac:dyDescent="0.2">
      <c r="A3" s="982"/>
      <c r="B3" s="982"/>
      <c r="C3" s="982"/>
      <c r="D3" s="982"/>
      <c r="E3" s="983"/>
    </row>
    <row r="4" spans="1:5" ht="12.75" x14ac:dyDescent="0.2">
      <c r="A4" s="982"/>
      <c r="B4" s="982"/>
      <c r="C4" s="982"/>
      <c r="D4" s="982"/>
      <c r="E4" s="983"/>
    </row>
    <row r="5" spans="1:5" ht="12.75" x14ac:dyDescent="0.2">
      <c r="A5" s="2200" t="s">
        <v>446</v>
      </c>
      <c r="B5" s="2200"/>
      <c r="C5" s="2200"/>
      <c r="D5" s="982"/>
      <c r="E5" s="983"/>
    </row>
    <row r="6" spans="1:5" ht="12.75" x14ac:dyDescent="0.2">
      <c r="A6" s="982"/>
      <c r="B6" s="982"/>
      <c r="C6" s="985"/>
      <c r="D6" s="982"/>
      <c r="E6" s="983"/>
    </row>
    <row r="7" spans="1:5" ht="12.75" x14ac:dyDescent="0.2">
      <c r="A7" s="2200" t="s">
        <v>1884</v>
      </c>
      <c r="B7" s="2200"/>
      <c r="C7" s="2200"/>
      <c r="D7" s="982"/>
      <c r="E7" s="983"/>
    </row>
    <row r="8" spans="1:5" ht="12.75" x14ac:dyDescent="0.2">
      <c r="A8" s="982"/>
      <c r="B8" s="982"/>
      <c r="C8" s="985"/>
      <c r="D8" s="982"/>
      <c r="E8" s="983"/>
    </row>
    <row r="9" spans="1:5" ht="12.75" x14ac:dyDescent="0.2">
      <c r="A9" s="2121" t="s">
        <v>624</v>
      </c>
      <c r="B9" s="2121"/>
      <c r="C9" s="2121"/>
      <c r="D9" s="982"/>
      <c r="E9" s="983"/>
    </row>
    <row r="10" spans="1:5" ht="12.75" x14ac:dyDescent="0.2">
      <c r="A10" s="982"/>
      <c r="B10" s="982"/>
      <c r="C10" s="305"/>
      <c r="D10" s="982"/>
      <c r="E10" s="983"/>
    </row>
    <row r="11" spans="1:5" ht="12.75" x14ac:dyDescent="0.2">
      <c r="A11" s="2062" t="str">
        <f>case</f>
        <v>CASE NO. 2016 - 00162</v>
      </c>
      <c r="B11" s="2062"/>
      <c r="C11" s="2062"/>
      <c r="D11" s="982"/>
      <c r="E11" s="983"/>
    </row>
    <row r="12" spans="1:5" ht="12.75" x14ac:dyDescent="0.2">
      <c r="A12" s="982"/>
      <c r="B12" s="982"/>
      <c r="C12" s="305"/>
      <c r="D12" s="982"/>
      <c r="E12" s="983"/>
    </row>
    <row r="13" spans="1:5" ht="12.75" x14ac:dyDescent="0.2">
      <c r="A13" s="982"/>
      <c r="B13" s="982"/>
      <c r="C13" s="305"/>
      <c r="D13" s="982"/>
      <c r="E13" s="983"/>
    </row>
    <row r="14" spans="1:5" ht="12.75" x14ac:dyDescent="0.2">
      <c r="A14" s="285" t="s">
        <v>1252</v>
      </c>
      <c r="B14" s="982"/>
      <c r="C14" s="1162" t="str">
        <f>base</f>
        <v>FOR THE TWELVE MONTHS ENDED AUGUST 31, 2016</v>
      </c>
      <c r="D14" s="982"/>
      <c r="E14" s="983"/>
    </row>
    <row r="15" spans="1:5" ht="12.75" x14ac:dyDescent="0.2">
      <c r="A15" s="305"/>
      <c r="B15" s="982"/>
      <c r="C15" s="1161"/>
      <c r="D15" s="982"/>
      <c r="E15" s="983"/>
    </row>
    <row r="16" spans="1:5" ht="12.75" x14ac:dyDescent="0.2">
      <c r="A16" s="285" t="s">
        <v>407</v>
      </c>
      <c r="B16" s="982"/>
      <c r="C16" s="1162" t="str">
        <f>forecast</f>
        <v>FOR THE TWELVE MONTHS ENDED DECEMBER 31, 2017</v>
      </c>
      <c r="D16" s="982"/>
      <c r="E16" s="983"/>
    </row>
    <row r="17" spans="1:8" ht="12.75" x14ac:dyDescent="0.2">
      <c r="A17" s="982"/>
      <c r="B17" s="982"/>
      <c r="C17" s="986"/>
      <c r="D17" s="982"/>
      <c r="E17" s="983"/>
    </row>
    <row r="18" spans="1:8" ht="12.75" x14ac:dyDescent="0.2">
      <c r="A18" s="982"/>
      <c r="B18" s="982"/>
      <c r="C18" s="982"/>
      <c r="D18" s="982"/>
      <c r="E18" s="983"/>
    </row>
    <row r="19" spans="1:8" ht="12.75" x14ac:dyDescent="0.2">
      <c r="A19" s="987" t="s">
        <v>633</v>
      </c>
      <c r="B19" s="987"/>
      <c r="C19" s="987" t="s">
        <v>778</v>
      </c>
      <c r="D19" s="987"/>
      <c r="E19" s="988"/>
      <c r="F19" s="989"/>
      <c r="G19" s="989"/>
      <c r="H19" s="989"/>
    </row>
    <row r="20" spans="1:8" ht="12.75" x14ac:dyDescent="0.2">
      <c r="A20" s="982"/>
      <c r="B20" s="982"/>
      <c r="C20" s="982"/>
      <c r="D20" s="982"/>
      <c r="E20" s="983"/>
    </row>
    <row r="21" spans="1:8" ht="12.75" x14ac:dyDescent="0.2">
      <c r="A21" s="982" t="s">
        <v>447</v>
      </c>
      <c r="B21" s="982"/>
      <c r="C21" s="1001" t="s">
        <v>448</v>
      </c>
      <c r="D21" s="1001"/>
      <c r="E21" s="1167"/>
      <c r="F21" s="1003"/>
    </row>
    <row r="22" spans="1:8" ht="12.75" x14ac:dyDescent="0.2">
      <c r="A22" s="982" t="s">
        <v>1885</v>
      </c>
      <c r="B22" s="982"/>
      <c r="C22" s="1001" t="s">
        <v>1886</v>
      </c>
      <c r="D22" s="1001"/>
      <c r="E22" s="1167"/>
      <c r="F22" s="1003"/>
    </row>
    <row r="23" spans="1:8" ht="12.75" x14ac:dyDescent="0.2">
      <c r="A23" s="982" t="s">
        <v>449</v>
      </c>
      <c r="B23" s="982"/>
      <c r="C23" s="1001" t="s">
        <v>450</v>
      </c>
      <c r="D23" s="1001"/>
      <c r="E23" s="1167"/>
      <c r="F23" s="1003"/>
    </row>
    <row r="24" spans="1:8" ht="12.75" x14ac:dyDescent="0.2">
      <c r="A24" s="982" t="s">
        <v>451</v>
      </c>
      <c r="B24" s="982"/>
      <c r="C24" s="1001" t="s">
        <v>452</v>
      </c>
      <c r="D24" s="1001"/>
      <c r="E24" s="1167"/>
      <c r="F24" s="1003"/>
    </row>
    <row r="25" spans="1:8" ht="12.75" x14ac:dyDescent="0.2">
      <c r="A25" s="982" t="s">
        <v>453</v>
      </c>
      <c r="B25" s="982"/>
      <c r="C25" s="1001" t="s">
        <v>454</v>
      </c>
      <c r="D25" s="1001"/>
      <c r="E25" s="1167"/>
      <c r="F25" s="1003"/>
    </row>
    <row r="26" spans="1:8" ht="11.25" x14ac:dyDescent="0.2">
      <c r="A26" s="983"/>
      <c r="B26" s="983"/>
      <c r="C26" s="983"/>
      <c r="D26" s="1167"/>
      <c r="E26" s="1167"/>
      <c r="F26" s="1003"/>
    </row>
    <row r="27" spans="1:8" ht="11.25" x14ac:dyDescent="0.2">
      <c r="A27" s="983"/>
      <c r="B27" s="983"/>
      <c r="C27" s="983"/>
      <c r="D27" s="1167"/>
      <c r="E27" s="1167"/>
      <c r="F27" s="1003"/>
    </row>
    <row r="28" spans="1:8" ht="11.25" x14ac:dyDescent="0.2">
      <c r="A28" s="983"/>
      <c r="B28" s="983"/>
      <c r="C28" s="983"/>
      <c r="D28" s="1167"/>
      <c r="E28" s="1167"/>
      <c r="F28" s="1003"/>
    </row>
    <row r="29" spans="1:8" ht="11.25" x14ac:dyDescent="0.2">
      <c r="A29" s="983"/>
      <c r="B29" s="983"/>
      <c r="C29" s="983"/>
      <c r="D29" s="1167"/>
      <c r="E29" s="1167"/>
      <c r="F29" s="1003"/>
    </row>
    <row r="30" spans="1:8" ht="11.25" x14ac:dyDescent="0.2">
      <c r="A30" s="983"/>
      <c r="B30" s="983"/>
      <c r="C30" s="983"/>
      <c r="D30" s="1167"/>
      <c r="E30" s="1167"/>
      <c r="F30" s="1003"/>
    </row>
    <row r="31" spans="1:8" ht="11.25" x14ac:dyDescent="0.2">
      <c r="A31" s="983"/>
      <c r="B31" s="983"/>
      <c r="C31" s="983"/>
      <c r="D31" s="1167"/>
      <c r="E31" s="1167"/>
      <c r="F31" s="1003"/>
    </row>
    <row r="32" spans="1:8" ht="11.25" x14ac:dyDescent="0.2">
      <c r="A32" s="983"/>
      <c r="B32" s="983"/>
      <c r="C32" s="983"/>
      <c r="D32" s="1167"/>
      <c r="E32" s="1167"/>
      <c r="F32" s="1003"/>
    </row>
    <row r="33" spans="1:5" ht="11.25" x14ac:dyDescent="0.2">
      <c r="A33" s="983"/>
      <c r="B33" s="983"/>
      <c r="C33" s="983"/>
      <c r="D33" s="983"/>
      <c r="E33" s="983"/>
    </row>
    <row r="34" spans="1:5" ht="11.25" x14ac:dyDescent="0.2">
      <c r="A34" s="983"/>
      <c r="B34" s="983"/>
      <c r="C34" s="983"/>
      <c r="D34" s="983"/>
      <c r="E34" s="983"/>
    </row>
    <row r="35" spans="1:5" ht="11.25" x14ac:dyDescent="0.2">
      <c r="A35" s="983"/>
      <c r="B35" s="983"/>
      <c r="C35" s="983"/>
      <c r="D35" s="983"/>
      <c r="E35" s="983"/>
    </row>
    <row r="36" spans="1:5" ht="11.25" x14ac:dyDescent="0.2">
      <c r="A36" s="983"/>
      <c r="B36" s="983"/>
      <c r="C36" s="983"/>
      <c r="D36" s="983"/>
      <c r="E36" s="983"/>
    </row>
    <row r="37" spans="1:5" ht="11.25" x14ac:dyDescent="0.2">
      <c r="A37" s="983"/>
      <c r="B37" s="983"/>
      <c r="C37" s="983"/>
      <c r="D37" s="983"/>
      <c r="E37" s="983"/>
    </row>
    <row r="38" spans="1:5" ht="11.25" x14ac:dyDescent="0.2">
      <c r="A38" s="983"/>
      <c r="B38" s="983"/>
      <c r="C38" s="983"/>
      <c r="D38" s="983"/>
      <c r="E38" s="983"/>
    </row>
    <row r="39" spans="1:5" ht="11.25" x14ac:dyDescent="0.2">
      <c r="A39" s="983"/>
      <c r="B39" s="983"/>
      <c r="C39" s="983"/>
      <c r="D39" s="983"/>
      <c r="E39" s="983"/>
    </row>
    <row r="40" spans="1:5" ht="11.25" x14ac:dyDescent="0.2">
      <c r="A40" s="983"/>
      <c r="B40" s="983"/>
      <c r="C40" s="983"/>
      <c r="D40" s="983"/>
      <c r="E40" s="983"/>
    </row>
    <row r="41" spans="1:5" ht="11.25" x14ac:dyDescent="0.2">
      <c r="A41" s="983"/>
      <c r="B41" s="983"/>
      <c r="C41" s="983"/>
      <c r="D41" s="983"/>
      <c r="E41" s="983"/>
    </row>
    <row r="42" spans="1:5" ht="11.25" x14ac:dyDescent="0.2">
      <c r="A42" s="983"/>
      <c r="B42" s="983"/>
      <c r="C42" s="983"/>
      <c r="D42" s="983"/>
      <c r="E42" s="983"/>
    </row>
    <row r="43" spans="1:5" ht="11.25" x14ac:dyDescent="0.2">
      <c r="A43" s="983"/>
      <c r="B43" s="983"/>
      <c r="C43" s="983"/>
      <c r="D43" s="983"/>
      <c r="E43" s="983"/>
    </row>
    <row r="44" spans="1:5" ht="11.25" x14ac:dyDescent="0.2">
      <c r="A44" s="983"/>
      <c r="B44" s="983"/>
      <c r="C44" s="983"/>
      <c r="D44" s="983"/>
      <c r="E44" s="983"/>
    </row>
    <row r="45" spans="1:5" ht="11.25" x14ac:dyDescent="0.2">
      <c r="A45" s="983"/>
      <c r="B45" s="983"/>
      <c r="C45" s="983"/>
      <c r="D45" s="983"/>
      <c r="E45" s="983"/>
    </row>
    <row r="46" spans="1:5" ht="11.25" x14ac:dyDescent="0.2">
      <c r="A46" s="983"/>
      <c r="B46" s="983"/>
      <c r="C46" s="983"/>
      <c r="D46" s="983"/>
      <c r="E46" s="983"/>
    </row>
    <row r="47" spans="1:5" ht="11.25" x14ac:dyDescent="0.2">
      <c r="A47" s="983"/>
      <c r="B47" s="983"/>
      <c r="C47" s="983"/>
      <c r="D47" s="983"/>
      <c r="E47" s="983"/>
    </row>
    <row r="48" spans="1:5" ht="11.25" x14ac:dyDescent="0.2">
      <c r="A48" s="983"/>
      <c r="B48" s="983"/>
      <c r="C48" s="983"/>
      <c r="D48" s="983"/>
      <c r="E48" s="983"/>
    </row>
    <row r="49" spans="1:5" ht="11.25" x14ac:dyDescent="0.2">
      <c r="A49" s="983"/>
      <c r="B49" s="983"/>
      <c r="C49" s="983"/>
      <c r="D49" s="983"/>
      <c r="E49" s="983"/>
    </row>
    <row r="50" spans="1:5" ht="11.25" x14ac:dyDescent="0.2">
      <c r="A50" s="983"/>
      <c r="B50" s="983"/>
      <c r="C50" s="983"/>
      <c r="D50" s="983"/>
      <c r="E50" s="983"/>
    </row>
    <row r="51" spans="1:5" ht="11.25" x14ac:dyDescent="0.2">
      <c r="A51" s="983"/>
      <c r="B51" s="983"/>
      <c r="C51" s="983"/>
      <c r="D51" s="983"/>
      <c r="E51" s="983"/>
    </row>
    <row r="52" spans="1:5" ht="11.25" x14ac:dyDescent="0.2">
      <c r="A52" s="983"/>
      <c r="B52" s="983"/>
      <c r="C52" s="983"/>
      <c r="D52" s="983"/>
      <c r="E52" s="983"/>
    </row>
    <row r="53" spans="1:5" ht="11.25" x14ac:dyDescent="0.2">
      <c r="A53" s="983"/>
      <c r="B53" s="983"/>
      <c r="C53" s="983"/>
      <c r="D53" s="983"/>
      <c r="E53" s="983"/>
    </row>
    <row r="54" spans="1:5" ht="11.25" x14ac:dyDescent="0.2">
      <c r="A54" s="983"/>
      <c r="B54" s="983"/>
      <c r="C54" s="983"/>
      <c r="D54" s="983"/>
      <c r="E54" s="983"/>
    </row>
    <row r="55" spans="1:5" ht="11.25" x14ac:dyDescent="0.2">
      <c r="A55" s="983"/>
      <c r="B55" s="983"/>
      <c r="C55" s="983"/>
      <c r="D55" s="983"/>
      <c r="E55" s="983"/>
    </row>
    <row r="56" spans="1:5" ht="11.25" x14ac:dyDescent="0.2">
      <c r="A56" s="983"/>
      <c r="B56" s="983"/>
      <c r="C56" s="983"/>
      <c r="D56" s="983"/>
      <c r="E56" s="983"/>
    </row>
    <row r="57" spans="1:5" ht="11.25" x14ac:dyDescent="0.2">
      <c r="A57" s="983"/>
      <c r="B57" s="983"/>
      <c r="C57" s="983"/>
      <c r="D57" s="983"/>
      <c r="E57" s="983"/>
    </row>
    <row r="58" spans="1:5" ht="11.25" x14ac:dyDescent="0.2">
      <c r="A58" s="983"/>
      <c r="B58" s="983"/>
      <c r="C58" s="983"/>
      <c r="D58" s="983"/>
      <c r="E58" s="983"/>
    </row>
    <row r="59" spans="1:5" ht="11.25" x14ac:dyDescent="0.2">
      <c r="A59" s="983"/>
      <c r="B59" s="983"/>
      <c r="C59" s="983"/>
      <c r="D59" s="983"/>
      <c r="E59" s="983"/>
    </row>
    <row r="60" spans="1:5" ht="11.25" x14ac:dyDescent="0.2">
      <c r="A60" s="983"/>
      <c r="B60" s="983"/>
      <c r="C60" s="983"/>
      <c r="D60" s="983"/>
      <c r="E60" s="983"/>
    </row>
    <row r="61" spans="1:5" ht="11.25" x14ac:dyDescent="0.2">
      <c r="A61" s="983"/>
      <c r="B61" s="983"/>
      <c r="C61" s="983"/>
      <c r="D61" s="983"/>
      <c r="E61" s="983"/>
    </row>
    <row r="62" spans="1:5" ht="11.25" x14ac:dyDescent="0.2">
      <c r="A62" s="983"/>
      <c r="B62" s="983"/>
      <c r="C62" s="983"/>
      <c r="D62" s="983"/>
      <c r="E62" s="983"/>
    </row>
    <row r="63" spans="1:5" ht="11.25" x14ac:dyDescent="0.2">
      <c r="A63" s="983"/>
      <c r="B63" s="983"/>
      <c r="C63" s="983"/>
      <c r="D63" s="983"/>
      <c r="E63" s="983"/>
    </row>
    <row r="64" spans="1:5" ht="11.25" x14ac:dyDescent="0.2">
      <c r="A64" s="983"/>
      <c r="B64" s="983"/>
      <c r="C64" s="983"/>
      <c r="D64" s="983"/>
      <c r="E64" s="983"/>
    </row>
    <row r="65" spans="1:5" ht="11.25" x14ac:dyDescent="0.2">
      <c r="A65" s="983"/>
      <c r="B65" s="983"/>
      <c r="C65" s="983"/>
      <c r="D65" s="983"/>
      <c r="E65" s="983"/>
    </row>
    <row r="66" spans="1:5" ht="11.25" x14ac:dyDescent="0.2">
      <c r="A66" s="983"/>
      <c r="B66" s="983"/>
      <c r="C66" s="983"/>
      <c r="D66" s="983"/>
      <c r="E66" s="983"/>
    </row>
    <row r="67" spans="1:5" ht="11.25" x14ac:dyDescent="0.2">
      <c r="A67" s="983"/>
      <c r="B67" s="983"/>
      <c r="C67" s="983"/>
      <c r="D67" s="983"/>
      <c r="E67" s="983"/>
    </row>
    <row r="68" spans="1:5" ht="11.25" x14ac:dyDescent="0.2">
      <c r="A68" s="983"/>
      <c r="B68" s="983"/>
      <c r="C68" s="983"/>
      <c r="D68" s="983"/>
      <c r="E68" s="983"/>
    </row>
    <row r="69" spans="1:5" ht="11.25" x14ac:dyDescent="0.2">
      <c r="A69" s="983"/>
      <c r="B69" s="983"/>
      <c r="C69" s="983"/>
      <c r="D69" s="983"/>
      <c r="E69" s="983"/>
    </row>
    <row r="70" spans="1:5" ht="11.25" x14ac:dyDescent="0.2">
      <c r="A70" s="983"/>
      <c r="B70" s="983"/>
      <c r="C70" s="983"/>
      <c r="D70" s="983"/>
      <c r="E70" s="983"/>
    </row>
    <row r="71" spans="1:5" ht="11.25" x14ac:dyDescent="0.2">
      <c r="A71" s="983"/>
      <c r="B71" s="983"/>
      <c r="C71" s="983"/>
      <c r="D71" s="983"/>
      <c r="E71" s="983"/>
    </row>
    <row r="72" spans="1:5" ht="11.25" x14ac:dyDescent="0.2">
      <c r="A72" s="983"/>
      <c r="B72" s="983"/>
      <c r="C72" s="983"/>
      <c r="D72" s="983"/>
      <c r="E72" s="983"/>
    </row>
    <row r="73" spans="1:5" ht="11.25" x14ac:dyDescent="0.2">
      <c r="A73" s="983"/>
      <c r="B73" s="983"/>
      <c r="C73" s="983"/>
      <c r="D73" s="983"/>
      <c r="E73" s="983"/>
    </row>
    <row r="74" spans="1:5" ht="11.25" x14ac:dyDescent="0.2">
      <c r="A74" s="983"/>
      <c r="B74" s="983"/>
      <c r="C74" s="983"/>
      <c r="D74" s="983"/>
      <c r="E74" s="983"/>
    </row>
    <row r="75" spans="1:5" ht="11.25" x14ac:dyDescent="0.2">
      <c r="A75" s="983"/>
      <c r="B75" s="983"/>
      <c r="C75" s="983"/>
      <c r="D75" s="983"/>
      <c r="E75" s="983"/>
    </row>
    <row r="76" spans="1:5" ht="11.25" x14ac:dyDescent="0.2">
      <c r="A76" s="983"/>
      <c r="B76" s="983"/>
      <c r="C76" s="983"/>
      <c r="D76" s="983"/>
      <c r="E76" s="983"/>
    </row>
    <row r="77" spans="1:5" ht="11.25" x14ac:dyDescent="0.2">
      <c r="A77" s="983"/>
      <c r="B77" s="983"/>
      <c r="C77" s="983"/>
      <c r="D77" s="983"/>
      <c r="E77" s="983"/>
    </row>
    <row r="78" spans="1:5" ht="11.25" x14ac:dyDescent="0.2">
      <c r="A78" s="983"/>
      <c r="B78" s="983"/>
      <c r="C78" s="983"/>
      <c r="D78" s="983"/>
      <c r="E78" s="983"/>
    </row>
    <row r="79" spans="1:5" ht="11.25" x14ac:dyDescent="0.2">
      <c r="A79" s="983"/>
      <c r="B79" s="983"/>
      <c r="C79" s="983"/>
      <c r="D79" s="983"/>
      <c r="E79" s="983"/>
    </row>
    <row r="80" spans="1:5" ht="11.25" x14ac:dyDescent="0.2">
      <c r="A80" s="983"/>
      <c r="B80" s="983"/>
      <c r="C80" s="983"/>
      <c r="D80" s="983"/>
      <c r="E80" s="983"/>
    </row>
    <row r="81" spans="1:5" ht="11.25" x14ac:dyDescent="0.2">
      <c r="A81" s="983"/>
      <c r="B81" s="983"/>
      <c r="C81" s="983"/>
      <c r="D81" s="983"/>
      <c r="E81" s="983"/>
    </row>
    <row r="82" spans="1:5" ht="11.25" x14ac:dyDescent="0.2">
      <c r="A82" s="983"/>
      <c r="B82" s="983"/>
      <c r="C82" s="983"/>
      <c r="D82" s="983"/>
      <c r="E82" s="983"/>
    </row>
    <row r="83" spans="1:5" ht="11.25" x14ac:dyDescent="0.2">
      <c r="A83" s="983"/>
      <c r="B83" s="983"/>
      <c r="C83" s="983"/>
      <c r="D83" s="983"/>
      <c r="E83" s="983"/>
    </row>
    <row r="84" spans="1:5" ht="11.25" x14ac:dyDescent="0.2">
      <c r="A84" s="983"/>
      <c r="B84" s="983"/>
      <c r="C84" s="983"/>
      <c r="D84" s="983"/>
      <c r="E84" s="983"/>
    </row>
    <row r="85" spans="1:5" ht="11.25" x14ac:dyDescent="0.2">
      <c r="A85" s="983"/>
      <c r="B85" s="983"/>
      <c r="C85" s="983"/>
      <c r="D85" s="983"/>
      <c r="E85" s="983"/>
    </row>
    <row r="86" spans="1:5" ht="11.25" x14ac:dyDescent="0.2">
      <c r="A86" s="983"/>
      <c r="B86" s="983"/>
      <c r="C86" s="983"/>
      <c r="D86" s="983"/>
      <c r="E86" s="983"/>
    </row>
    <row r="87" spans="1:5" ht="11.25" x14ac:dyDescent="0.2">
      <c r="A87" s="983"/>
      <c r="B87" s="983"/>
      <c r="C87" s="983"/>
      <c r="D87" s="983"/>
      <c r="E87" s="983"/>
    </row>
    <row r="88" spans="1:5" ht="11.25" x14ac:dyDescent="0.2">
      <c r="A88" s="983"/>
      <c r="B88" s="983"/>
      <c r="C88" s="983"/>
      <c r="D88" s="983"/>
      <c r="E88" s="983"/>
    </row>
    <row r="89" spans="1:5" ht="11.25" x14ac:dyDescent="0.2">
      <c r="A89" s="983"/>
      <c r="B89" s="983"/>
      <c r="C89" s="983"/>
      <c r="D89" s="983"/>
      <c r="E89" s="983"/>
    </row>
    <row r="90" spans="1:5" ht="11.25" x14ac:dyDescent="0.2">
      <c r="A90" s="983"/>
      <c r="B90" s="983"/>
      <c r="C90" s="983"/>
      <c r="D90" s="983"/>
      <c r="E90" s="983"/>
    </row>
    <row r="91" spans="1:5" ht="11.25" x14ac:dyDescent="0.2">
      <c r="A91" s="983"/>
      <c r="B91" s="983"/>
      <c r="C91" s="983"/>
      <c r="D91" s="983"/>
      <c r="E91" s="983"/>
    </row>
    <row r="92" spans="1:5" ht="11.25" x14ac:dyDescent="0.2">
      <c r="A92" s="983"/>
      <c r="B92" s="983"/>
      <c r="C92" s="983"/>
      <c r="D92" s="983"/>
      <c r="E92" s="983"/>
    </row>
    <row r="93" spans="1:5" ht="11.25" x14ac:dyDescent="0.2">
      <c r="A93" s="983"/>
      <c r="B93" s="983"/>
      <c r="C93" s="983"/>
      <c r="D93" s="983"/>
      <c r="E93" s="983"/>
    </row>
    <row r="94" spans="1:5" ht="11.25" x14ac:dyDescent="0.2">
      <c r="A94" s="983"/>
      <c r="B94" s="983"/>
      <c r="C94" s="983"/>
      <c r="D94" s="983"/>
      <c r="E94" s="983"/>
    </row>
    <row r="95" spans="1:5" ht="11.25" x14ac:dyDescent="0.2">
      <c r="A95" s="983"/>
      <c r="B95" s="983"/>
      <c r="C95" s="983"/>
      <c r="D95" s="983"/>
      <c r="E95" s="983"/>
    </row>
    <row r="96" spans="1:5" ht="11.25" x14ac:dyDescent="0.2">
      <c r="A96" s="983"/>
      <c r="B96" s="983"/>
      <c r="C96" s="983"/>
      <c r="D96" s="983"/>
      <c r="E96" s="983"/>
    </row>
    <row r="97" spans="1:5" ht="11.25" x14ac:dyDescent="0.2">
      <c r="A97" s="983"/>
      <c r="B97" s="983"/>
      <c r="C97" s="983"/>
      <c r="D97" s="983"/>
      <c r="E97" s="983"/>
    </row>
    <row r="98" spans="1:5" ht="11.25" x14ac:dyDescent="0.2">
      <c r="A98" s="983"/>
      <c r="B98" s="983"/>
      <c r="C98" s="983"/>
      <c r="D98" s="983"/>
      <c r="E98" s="983"/>
    </row>
    <row r="99" spans="1:5" ht="11.25" x14ac:dyDescent="0.2">
      <c r="A99" s="983"/>
      <c r="B99" s="983"/>
      <c r="C99" s="983"/>
      <c r="D99" s="983"/>
      <c r="E99" s="983"/>
    </row>
    <row r="100" spans="1:5" ht="11.25" x14ac:dyDescent="0.2">
      <c r="A100" s="983"/>
      <c r="B100" s="983"/>
      <c r="C100" s="983"/>
      <c r="D100" s="983"/>
      <c r="E100" s="983"/>
    </row>
    <row r="101" spans="1:5" ht="11.25" x14ac:dyDescent="0.2">
      <c r="A101" s="983"/>
      <c r="B101" s="983"/>
      <c r="C101" s="983"/>
      <c r="D101" s="983"/>
      <c r="E101" s="983"/>
    </row>
    <row r="102" spans="1:5" ht="11.25" x14ac:dyDescent="0.2">
      <c r="A102" s="983"/>
      <c r="B102" s="983"/>
      <c r="C102" s="983"/>
      <c r="D102" s="983"/>
      <c r="E102" s="983"/>
    </row>
    <row r="103" spans="1:5" ht="11.25" x14ac:dyDescent="0.2">
      <c r="A103" s="983"/>
      <c r="B103" s="983"/>
      <c r="C103" s="983"/>
      <c r="D103" s="983"/>
      <c r="E103" s="983"/>
    </row>
    <row r="104" spans="1:5" ht="11.25" x14ac:dyDescent="0.2">
      <c r="A104" s="983"/>
      <c r="B104" s="983"/>
      <c r="C104" s="983"/>
      <c r="D104" s="983"/>
      <c r="E104" s="983"/>
    </row>
    <row r="105" spans="1:5" ht="11.25" x14ac:dyDescent="0.2">
      <c r="A105" s="983"/>
      <c r="B105" s="983"/>
      <c r="C105" s="983"/>
      <c r="D105" s="983"/>
      <c r="E105" s="983"/>
    </row>
    <row r="106" spans="1:5" ht="11.25" x14ac:dyDescent="0.2">
      <c r="A106" s="983"/>
      <c r="B106" s="983"/>
      <c r="C106" s="983"/>
      <c r="D106" s="983"/>
      <c r="E106" s="983"/>
    </row>
    <row r="107" spans="1:5" ht="11.25" x14ac:dyDescent="0.2">
      <c r="A107" s="983"/>
      <c r="B107" s="983"/>
      <c r="C107" s="983"/>
      <c r="D107" s="983"/>
      <c r="E107" s="983"/>
    </row>
    <row r="108" spans="1:5" ht="11.25" x14ac:dyDescent="0.2">
      <c r="A108" s="983"/>
      <c r="B108" s="983"/>
      <c r="C108" s="983"/>
      <c r="D108" s="983"/>
      <c r="E108" s="983"/>
    </row>
    <row r="109" spans="1:5" ht="11.25" x14ac:dyDescent="0.2">
      <c r="A109" s="983"/>
      <c r="B109" s="983"/>
      <c r="C109" s="983"/>
      <c r="D109" s="983"/>
      <c r="E109" s="983"/>
    </row>
    <row r="110" spans="1:5" ht="11.25" x14ac:dyDescent="0.2">
      <c r="A110" s="983"/>
      <c r="B110" s="983"/>
      <c r="C110" s="983"/>
      <c r="D110" s="983"/>
      <c r="E110" s="983"/>
    </row>
    <row r="111" spans="1:5" ht="11.25" x14ac:dyDescent="0.2">
      <c r="A111" s="983"/>
      <c r="B111" s="983"/>
      <c r="C111" s="983"/>
      <c r="D111" s="983"/>
      <c r="E111" s="983"/>
    </row>
    <row r="112" spans="1:5" ht="11.25" x14ac:dyDescent="0.2">
      <c r="A112" s="983"/>
      <c r="B112" s="983"/>
      <c r="C112" s="983"/>
      <c r="D112" s="983"/>
      <c r="E112" s="983"/>
    </row>
    <row r="113" spans="1:5" ht="11.25" x14ac:dyDescent="0.2">
      <c r="A113" s="983"/>
      <c r="B113" s="983"/>
      <c r="C113" s="983"/>
      <c r="D113" s="983"/>
      <c r="E113" s="983"/>
    </row>
    <row r="114" spans="1:5" ht="11.25" x14ac:dyDescent="0.2">
      <c r="A114" s="983"/>
      <c r="B114" s="983"/>
      <c r="C114" s="983"/>
      <c r="D114" s="983"/>
      <c r="E114" s="983"/>
    </row>
    <row r="115" spans="1:5" ht="11.25" x14ac:dyDescent="0.2">
      <c r="A115" s="983"/>
      <c r="B115" s="983"/>
      <c r="C115" s="983"/>
      <c r="D115" s="983"/>
      <c r="E115" s="983"/>
    </row>
    <row r="116" spans="1:5" ht="11.25" x14ac:dyDescent="0.2">
      <c r="A116" s="983"/>
      <c r="B116" s="983"/>
      <c r="C116" s="983"/>
      <c r="D116" s="983"/>
      <c r="E116" s="983"/>
    </row>
    <row r="117" spans="1:5" ht="11.25" x14ac:dyDescent="0.2">
      <c r="A117" s="983"/>
      <c r="B117" s="983"/>
      <c r="C117" s="983"/>
      <c r="D117" s="983"/>
      <c r="E117" s="983"/>
    </row>
    <row r="118" spans="1:5" ht="11.25" x14ac:dyDescent="0.2">
      <c r="A118" s="983"/>
      <c r="B118" s="983"/>
      <c r="C118" s="983"/>
      <c r="D118" s="983"/>
      <c r="E118" s="983"/>
    </row>
    <row r="119" spans="1:5" ht="11.25" x14ac:dyDescent="0.2">
      <c r="A119" s="983"/>
      <c r="B119" s="983"/>
      <c r="C119" s="983"/>
      <c r="D119" s="983"/>
      <c r="E119" s="983"/>
    </row>
    <row r="120" spans="1:5" ht="11.25" x14ac:dyDescent="0.2">
      <c r="A120" s="983"/>
      <c r="B120" s="983"/>
      <c r="C120" s="983"/>
      <c r="D120" s="983"/>
      <c r="E120" s="983"/>
    </row>
    <row r="121" spans="1:5" ht="11.25" x14ac:dyDescent="0.2">
      <c r="A121" s="983"/>
      <c r="B121" s="983"/>
      <c r="C121" s="983"/>
      <c r="D121" s="983"/>
      <c r="E121" s="983"/>
    </row>
    <row r="122" spans="1:5" ht="11.25" x14ac:dyDescent="0.2">
      <c r="A122" s="983"/>
      <c r="B122" s="983"/>
      <c r="C122" s="983"/>
      <c r="D122" s="983"/>
      <c r="E122" s="983"/>
    </row>
    <row r="123" spans="1:5" ht="11.25" x14ac:dyDescent="0.2">
      <c r="A123" s="983"/>
      <c r="B123" s="983"/>
      <c r="C123" s="983"/>
      <c r="D123" s="983"/>
      <c r="E123" s="983"/>
    </row>
    <row r="124" spans="1:5" ht="11.25" x14ac:dyDescent="0.2">
      <c r="A124" s="983"/>
      <c r="B124" s="983"/>
      <c r="C124" s="983"/>
      <c r="D124" s="983"/>
      <c r="E124" s="983"/>
    </row>
  </sheetData>
  <mergeCells count="4">
    <mergeCell ref="A5:C5"/>
    <mergeCell ref="A7:C7"/>
    <mergeCell ref="A9:C9"/>
    <mergeCell ref="A11:C11"/>
  </mergeCells>
  <phoneticPr fontId="0" type="noConversion"/>
  <printOptions horizontalCentered="1"/>
  <pageMargins left="0.5" right="0.5" top="1" bottom="1" header="0.5" footer="0.5"/>
  <pageSetup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Z169"/>
  <sheetViews>
    <sheetView zoomScaleNormal="100" workbookViewId="0">
      <selection activeCell="M29" sqref="M29"/>
    </sheetView>
  </sheetViews>
  <sheetFormatPr defaultColWidth="9.33203125" defaultRowHeight="10.5" x14ac:dyDescent="0.15"/>
  <cols>
    <col min="1" max="1" width="6.83203125" style="984" customWidth="1"/>
    <col min="2" max="2" width="4" style="984" customWidth="1"/>
    <col min="3" max="3" width="23.6640625" style="984" bestFit="1" customWidth="1"/>
    <col min="4" max="4" width="3.83203125" style="984" customWidth="1"/>
    <col min="5" max="5" width="13.6640625" style="984" customWidth="1"/>
    <col min="6" max="6" width="3.83203125" style="984" customWidth="1"/>
    <col min="7" max="7" width="15.83203125" style="984" customWidth="1"/>
    <col min="8" max="8" width="3.83203125" style="984" customWidth="1"/>
    <col min="9" max="9" width="12" style="984" bestFit="1" customWidth="1"/>
    <col min="10" max="10" width="3.83203125" style="984" customWidth="1"/>
    <col min="11" max="11" width="14.1640625" style="984" bestFit="1" customWidth="1"/>
    <col min="12" max="12" width="13.6640625" style="984" customWidth="1"/>
    <col min="13" max="13" width="17.1640625" style="984" customWidth="1"/>
    <col min="14" max="16384" width="9.33203125" style="984"/>
  </cols>
  <sheetData>
    <row r="1" spans="1:13" ht="12.75" x14ac:dyDescent="0.2">
      <c r="A1" s="2200" t="str">
        <f>'Cost of Capital Index J'!A9:C9</f>
        <v>COLUMBIA GAS OF KENTUCKY, INC.</v>
      </c>
      <c r="B1" s="2200"/>
      <c r="C1" s="2200"/>
      <c r="D1" s="2200"/>
      <c r="E1" s="2200"/>
      <c r="F1" s="2200"/>
      <c r="G1" s="2200"/>
      <c r="H1" s="2200"/>
      <c r="I1" s="2200"/>
      <c r="J1" s="2200"/>
      <c r="K1" s="2200"/>
      <c r="L1" s="2200"/>
      <c r="M1" s="2200"/>
    </row>
    <row r="2" spans="1:13" ht="12.75" x14ac:dyDescent="0.2">
      <c r="A2" s="2200" t="str">
        <f>case</f>
        <v>CASE NO. 2016 - 00162</v>
      </c>
      <c r="B2" s="2200"/>
      <c r="C2" s="2200"/>
      <c r="D2" s="2200"/>
      <c r="E2" s="2200"/>
      <c r="F2" s="2200"/>
      <c r="G2" s="2200"/>
      <c r="H2" s="2200"/>
      <c r="I2" s="2200"/>
      <c r="J2" s="2200"/>
      <c r="K2" s="2200"/>
      <c r="L2" s="2200"/>
      <c r="M2" s="2200"/>
    </row>
    <row r="3" spans="1:13" ht="12.75" x14ac:dyDescent="0.2">
      <c r="A3" s="2201" t="s">
        <v>448</v>
      </c>
      <c r="B3" s="2201"/>
      <c r="C3" s="2201"/>
      <c r="D3" s="2201"/>
      <c r="E3" s="2201"/>
      <c r="F3" s="2201"/>
      <c r="G3" s="2201"/>
      <c r="H3" s="2201"/>
      <c r="I3" s="2201"/>
      <c r="J3" s="2201"/>
      <c r="K3" s="2201"/>
      <c r="L3" s="2201"/>
      <c r="M3" s="2201"/>
    </row>
    <row r="4" spans="1:13" ht="12.75" x14ac:dyDescent="0.2">
      <c r="A4" s="2202" t="s">
        <v>2026</v>
      </c>
      <c r="B4" s="2202"/>
      <c r="C4" s="2202"/>
      <c r="D4" s="2202"/>
      <c r="E4" s="2202"/>
      <c r="F4" s="2202"/>
      <c r="G4" s="2202"/>
      <c r="H4" s="2202"/>
      <c r="I4" s="2202"/>
      <c r="J4" s="2202"/>
      <c r="K4" s="2202"/>
      <c r="L4" s="2202"/>
      <c r="M4" s="2202"/>
    </row>
    <row r="5" spans="1:13" ht="12.75" x14ac:dyDescent="0.2">
      <c r="A5" s="1280"/>
      <c r="B5" s="1280"/>
      <c r="C5" s="1280"/>
      <c r="D5" s="1280"/>
      <c r="E5" s="1280"/>
      <c r="F5" s="1280"/>
      <c r="G5" s="1280"/>
      <c r="H5" s="1280"/>
      <c r="I5" s="1280"/>
      <c r="J5" s="1280"/>
      <c r="K5" s="1280"/>
      <c r="L5" s="1280"/>
    </row>
    <row r="6" spans="1:13" ht="12.75" x14ac:dyDescent="0.2">
      <c r="A6" s="1280"/>
      <c r="B6" s="1280"/>
      <c r="C6" s="1280"/>
      <c r="D6" s="1280"/>
      <c r="E6" s="1280"/>
      <c r="F6" s="1280"/>
      <c r="G6" s="1280"/>
      <c r="H6" s="1280"/>
      <c r="I6" s="1280"/>
      <c r="J6" s="1280"/>
      <c r="K6" s="1280"/>
      <c r="L6" s="1280"/>
    </row>
    <row r="7" spans="1:13" ht="12.75" x14ac:dyDescent="0.2">
      <c r="A7" s="982"/>
      <c r="B7" s="982"/>
      <c r="C7" s="982"/>
      <c r="D7" s="982"/>
      <c r="E7" s="982"/>
      <c r="F7" s="982"/>
      <c r="G7" s="982"/>
      <c r="H7" s="982"/>
      <c r="I7" s="982"/>
      <c r="J7" s="982"/>
      <c r="K7" s="982"/>
      <c r="L7" s="982"/>
    </row>
    <row r="8" spans="1:13" ht="12.75" x14ac:dyDescent="0.2">
      <c r="A8" s="990" t="s">
        <v>1109</v>
      </c>
      <c r="B8" s="982"/>
      <c r="C8" s="982"/>
      <c r="D8" s="982"/>
      <c r="E8" s="982"/>
      <c r="F8" s="982"/>
      <c r="G8" s="982"/>
      <c r="H8" s="982"/>
      <c r="I8" s="982"/>
      <c r="J8" s="982"/>
      <c r="K8" s="983"/>
      <c r="M8" s="991" t="s">
        <v>455</v>
      </c>
    </row>
    <row r="9" spans="1:13" ht="12.75" x14ac:dyDescent="0.2">
      <c r="A9" s="990" t="s">
        <v>977</v>
      </c>
      <c r="B9" s="982"/>
      <c r="C9" s="982"/>
      <c r="D9" s="982"/>
      <c r="E9" s="982"/>
      <c r="F9" s="982"/>
      <c r="G9" s="982"/>
      <c r="H9" s="982"/>
      <c r="I9" s="982"/>
      <c r="J9" s="982"/>
      <c r="K9" s="983"/>
      <c r="M9" s="991" t="s">
        <v>628</v>
      </c>
    </row>
    <row r="10" spans="1:13" ht="12.75" x14ac:dyDescent="0.2">
      <c r="A10" s="992" t="s">
        <v>996</v>
      </c>
      <c r="B10" s="993"/>
      <c r="C10" s="993"/>
      <c r="D10" s="993"/>
      <c r="E10" s="993"/>
      <c r="F10" s="993"/>
      <c r="G10" s="993"/>
      <c r="H10" s="993"/>
      <c r="I10" s="993"/>
      <c r="J10" s="993"/>
      <c r="K10" s="994"/>
      <c r="L10" s="995"/>
      <c r="M10" s="1790" t="s">
        <v>456</v>
      </c>
    </row>
    <row r="11" spans="1:13" ht="12.75" x14ac:dyDescent="0.2">
      <c r="A11" s="1478"/>
      <c r="B11" s="1479"/>
      <c r="C11" s="1479"/>
      <c r="D11" s="1479"/>
      <c r="E11" s="1479"/>
      <c r="F11" s="1479"/>
      <c r="G11" s="1479"/>
      <c r="H11" s="1479"/>
      <c r="I11" s="1479"/>
      <c r="J11" s="1479"/>
      <c r="K11" s="1477"/>
      <c r="L11" s="1480"/>
      <c r="M11" s="998" t="s">
        <v>673</v>
      </c>
    </row>
    <row r="12" spans="1:13" s="996" customFormat="1" ht="12.75" x14ac:dyDescent="0.2">
      <c r="A12" s="985" t="s">
        <v>632</v>
      </c>
      <c r="B12" s="985"/>
      <c r="C12" s="985"/>
      <c r="D12" s="985"/>
      <c r="E12" s="985" t="s">
        <v>757</v>
      </c>
      <c r="F12" s="985"/>
      <c r="G12" s="985"/>
      <c r="H12" s="985"/>
      <c r="I12" s="985" t="s">
        <v>676</v>
      </c>
      <c r="J12" s="985"/>
      <c r="K12" s="985"/>
      <c r="L12" s="985" t="s">
        <v>457</v>
      </c>
      <c r="M12" s="985" t="s">
        <v>631</v>
      </c>
    </row>
    <row r="13" spans="1:13" s="996" customFormat="1" ht="12.75" x14ac:dyDescent="0.2">
      <c r="A13" s="997" t="s">
        <v>635</v>
      </c>
      <c r="B13" s="997"/>
      <c r="C13" s="997" t="s">
        <v>458</v>
      </c>
      <c r="D13" s="997"/>
      <c r="E13" s="997" t="s">
        <v>637</v>
      </c>
      <c r="F13" s="997"/>
      <c r="G13" s="997" t="s">
        <v>771</v>
      </c>
      <c r="H13" s="997"/>
      <c r="I13" s="997" t="s">
        <v>459</v>
      </c>
      <c r="J13" s="997"/>
      <c r="K13" s="997" t="s">
        <v>460</v>
      </c>
      <c r="L13" s="997" t="s">
        <v>780</v>
      </c>
      <c r="M13" s="997" t="s">
        <v>780</v>
      </c>
    </row>
    <row r="14" spans="1:13" s="996" customFormat="1" ht="12.75" x14ac:dyDescent="0.2">
      <c r="A14" s="998"/>
      <c r="B14" s="998"/>
      <c r="C14" s="999" t="s">
        <v>834</v>
      </c>
      <c r="D14" s="985"/>
      <c r="E14" s="999" t="s">
        <v>835</v>
      </c>
      <c r="F14" s="985"/>
      <c r="G14" s="999" t="s">
        <v>836</v>
      </c>
      <c r="H14" s="985"/>
      <c r="I14" s="999" t="s">
        <v>837</v>
      </c>
      <c r="J14" s="985"/>
      <c r="K14" s="999" t="s">
        <v>838</v>
      </c>
      <c r="L14" s="998" t="s">
        <v>461</v>
      </c>
      <c r="M14" s="998" t="s">
        <v>1888</v>
      </c>
    </row>
    <row r="15" spans="1:13" s="996" customFormat="1" ht="12.75" x14ac:dyDescent="0.2">
      <c r="A15" s="985"/>
      <c r="B15" s="985"/>
      <c r="C15" s="985"/>
      <c r="D15" s="985"/>
      <c r="E15" s="985"/>
      <c r="F15" s="985"/>
      <c r="G15" s="1864" t="s">
        <v>639</v>
      </c>
      <c r="H15" s="985"/>
      <c r="I15" s="999" t="s">
        <v>680</v>
      </c>
      <c r="J15" s="985"/>
      <c r="K15" s="999" t="s">
        <v>680</v>
      </c>
      <c r="L15" s="999" t="s">
        <v>680</v>
      </c>
    </row>
    <row r="16" spans="1:13" ht="12.75" x14ac:dyDescent="0.2">
      <c r="A16" s="991"/>
      <c r="B16" s="982"/>
      <c r="C16" s="1001"/>
      <c r="D16" s="1001"/>
      <c r="E16" s="1001"/>
      <c r="F16" s="1001"/>
      <c r="G16" s="1002"/>
      <c r="H16" s="1001"/>
      <c r="I16" s="1001"/>
      <c r="J16" s="1001"/>
      <c r="K16" s="1001"/>
      <c r="L16" s="1001"/>
    </row>
    <row r="17" spans="1:26" ht="12.75" x14ac:dyDescent="0.2">
      <c r="A17" s="985" t="s">
        <v>640</v>
      </c>
      <c r="B17" s="982"/>
      <c r="C17" s="1001" t="s">
        <v>462</v>
      </c>
      <c r="D17" s="1001"/>
      <c r="E17" s="1875" t="s">
        <v>860</v>
      </c>
      <c r="F17" s="1001"/>
      <c r="G17" s="1281">
        <v>3114231</v>
      </c>
      <c r="H17" s="1001"/>
      <c r="I17" s="1282">
        <f>ROUND(G17/$G$25,5)</f>
        <v>1.2330000000000001E-2</v>
      </c>
      <c r="J17" s="1001"/>
      <c r="K17" s="1788">
        <v>2.5000000000000001E-2</v>
      </c>
      <c r="L17" s="1282">
        <f>ROUND(K17*I17,4)</f>
        <v>2.9999999999999997E-4</v>
      </c>
      <c r="M17" s="1282">
        <f>'J-1.1, J-1.2 13 MO AVG WACC'!M16</f>
        <v>2.9999999999999997E-4</v>
      </c>
      <c r="Q17" s="2027"/>
      <c r="R17" s="2027"/>
      <c r="S17" s="2027"/>
      <c r="T17" s="2027"/>
      <c r="U17" s="2027"/>
      <c r="V17" s="1003"/>
      <c r="W17" s="1003"/>
      <c r="X17" s="1003"/>
      <c r="Y17" s="1003"/>
      <c r="Z17" s="1003"/>
    </row>
    <row r="18" spans="1:26" ht="12.75" x14ac:dyDescent="0.2">
      <c r="A18" s="985"/>
      <c r="B18" s="982"/>
      <c r="C18" s="982"/>
      <c r="D18" s="982"/>
      <c r="E18" s="1284"/>
      <c r="F18" s="982"/>
      <c r="G18" s="1281"/>
      <c r="H18" s="1001"/>
      <c r="I18" s="1282"/>
      <c r="J18" s="1001"/>
      <c r="K18" s="1324"/>
      <c r="L18" s="1001"/>
      <c r="M18" s="1001"/>
    </row>
    <row r="19" spans="1:26" ht="12.75" x14ac:dyDescent="0.2">
      <c r="A19" s="985" t="s">
        <v>643</v>
      </c>
      <c r="B19" s="982"/>
      <c r="C19" s="982" t="s">
        <v>463</v>
      </c>
      <c r="D19" s="982"/>
      <c r="E19" s="1875" t="s">
        <v>860</v>
      </c>
      <c r="F19" s="982"/>
      <c r="G19" s="1281">
        <v>114375000</v>
      </c>
      <c r="H19" s="1001"/>
      <c r="I19" s="1282">
        <f>ROUND(G19/$G$25,5)</f>
        <v>0.45284000000000002</v>
      </c>
      <c r="J19" s="1001"/>
      <c r="K19" s="1788">
        <v>5.6399999999999999E-2</v>
      </c>
      <c r="L19" s="1282">
        <f>ROUND(K19*I19,4)</f>
        <v>2.5499999999999998E-2</v>
      </c>
      <c r="M19" s="1282">
        <f>'J-1.1, J-1.2 13 MO AVG WACC'!M18</f>
        <v>2.6100000000000002E-2</v>
      </c>
      <c r="Q19" s="1860"/>
    </row>
    <row r="20" spans="1:26" ht="12.75" x14ac:dyDescent="0.2">
      <c r="A20" s="985"/>
      <c r="B20" s="982"/>
      <c r="C20" s="982"/>
      <c r="D20" s="982"/>
      <c r="E20" s="1284"/>
      <c r="F20" s="982"/>
      <c r="G20" s="1281"/>
      <c r="H20" s="1001"/>
      <c r="I20" s="1282"/>
      <c r="J20" s="1001"/>
      <c r="K20" s="1324"/>
      <c r="L20" s="1001"/>
      <c r="M20" s="1001"/>
    </row>
    <row r="21" spans="1:26" ht="12.75" x14ac:dyDescent="0.2">
      <c r="A21" s="985" t="s">
        <v>646</v>
      </c>
      <c r="B21" s="982"/>
      <c r="C21" s="982" t="s">
        <v>464</v>
      </c>
      <c r="D21" s="982"/>
      <c r="E21" s="1875" t="s">
        <v>860</v>
      </c>
      <c r="F21" s="982"/>
      <c r="G21" s="1281">
        <v>0</v>
      </c>
      <c r="H21" s="1001"/>
      <c r="I21" s="1282">
        <f>ROUND(G21/$G$25,4)</f>
        <v>0</v>
      </c>
      <c r="J21" s="1001"/>
      <c r="K21" s="1788">
        <v>0</v>
      </c>
      <c r="L21" s="1282">
        <f>ROUND(K21*I21,4)</f>
        <v>0</v>
      </c>
      <c r="M21" s="1282">
        <f>'J-1.1, J-1.2 13 MO AVG WACC'!M20</f>
        <v>0</v>
      </c>
    </row>
    <row r="22" spans="1:26" ht="12.75" x14ac:dyDescent="0.2">
      <c r="A22" s="985"/>
      <c r="B22" s="982"/>
      <c r="C22" s="982"/>
      <c r="D22" s="982"/>
      <c r="E22" s="1001"/>
      <c r="F22" s="982"/>
      <c r="G22" s="1281"/>
      <c r="H22" s="1001"/>
      <c r="I22" s="1282"/>
      <c r="J22" s="1001"/>
      <c r="K22" s="1324"/>
      <c r="L22" s="1001"/>
      <c r="M22" s="1001"/>
    </row>
    <row r="23" spans="1:26" ht="12.75" x14ac:dyDescent="0.2">
      <c r="A23" s="985" t="s">
        <v>649</v>
      </c>
      <c r="B23" s="982"/>
      <c r="C23" s="982" t="s">
        <v>465</v>
      </c>
      <c r="D23" s="982"/>
      <c r="E23" s="1875" t="s">
        <v>860</v>
      </c>
      <c r="F23" s="982"/>
      <c r="G23" s="1789">
        <v>135083000</v>
      </c>
      <c r="H23" s="1001"/>
      <c r="I23" s="1285">
        <f>ROUND(G23/$G$25,5)</f>
        <v>0.53483000000000003</v>
      </c>
      <c r="J23" s="1001"/>
      <c r="K23" s="1788">
        <v>0.11</v>
      </c>
      <c r="L23" s="1285">
        <f>ROUND(K23*I23,4)</f>
        <v>5.8799999999999998E-2</v>
      </c>
      <c r="M23" s="1285">
        <f>'J-1.1, J-1.2 13 MO AVG WACC'!M22</f>
        <v>5.7700000000000001E-2</v>
      </c>
    </row>
    <row r="24" spans="1:26" ht="12.75" x14ac:dyDescent="0.2">
      <c r="A24" s="985"/>
      <c r="B24" s="982"/>
      <c r="C24" s="982"/>
      <c r="D24" s="982"/>
      <c r="E24" s="982"/>
      <c r="F24" s="982"/>
      <c r="G24" s="1002"/>
      <c r="H24" s="1001"/>
      <c r="I24" s="1282"/>
      <c r="J24" s="1001"/>
      <c r="K24" s="1001"/>
      <c r="L24" s="1001"/>
      <c r="M24" s="1001"/>
    </row>
    <row r="25" spans="1:26" ht="12.75" x14ac:dyDescent="0.2">
      <c r="A25" s="985" t="s">
        <v>652</v>
      </c>
      <c r="B25" s="982"/>
      <c r="C25" s="982" t="s">
        <v>466</v>
      </c>
      <c r="D25" s="982"/>
      <c r="E25" s="982"/>
      <c r="F25" s="982"/>
      <c r="G25" s="1002">
        <f>SUM(G17:G23)</f>
        <v>252572231</v>
      </c>
      <c r="H25" s="1001"/>
      <c r="I25" s="1282">
        <f>SUM(I17:I23)</f>
        <v>1</v>
      </c>
      <c r="J25" s="1001"/>
      <c r="K25" s="1001"/>
      <c r="L25" s="1282">
        <f>SUM(L17:L23)</f>
        <v>8.4599999999999995E-2</v>
      </c>
      <c r="M25" s="1282">
        <f>SUM(M17:M23)</f>
        <v>8.4100000000000008E-2</v>
      </c>
    </row>
    <row r="26" spans="1:26" ht="12.75" x14ac:dyDescent="0.2">
      <c r="A26" s="991"/>
      <c r="B26" s="982"/>
      <c r="C26" s="982"/>
      <c r="D26" s="982"/>
      <c r="E26" s="982"/>
      <c r="F26" s="982"/>
      <c r="G26" s="1005"/>
      <c r="H26" s="982"/>
      <c r="I26" s="982"/>
      <c r="J26" s="982"/>
      <c r="K26" s="982"/>
      <c r="L26" s="982"/>
    </row>
    <row r="27" spans="1:26" ht="12.75" x14ac:dyDescent="0.2">
      <c r="A27" s="991"/>
      <c r="B27" s="982"/>
      <c r="C27" s="982"/>
      <c r="D27" s="982"/>
      <c r="E27" s="982"/>
      <c r="F27" s="982"/>
      <c r="G27" s="982"/>
      <c r="H27" s="982"/>
      <c r="I27" s="982"/>
      <c r="J27" s="982"/>
      <c r="K27" s="982"/>
      <c r="L27" s="982"/>
    </row>
    <row r="28" spans="1:26" ht="11.25" x14ac:dyDescent="0.2">
      <c r="A28" s="1006"/>
      <c r="B28" s="983"/>
      <c r="C28" s="983"/>
      <c r="D28" s="983"/>
      <c r="E28" s="983"/>
      <c r="F28" s="983"/>
      <c r="G28" s="983"/>
      <c r="H28" s="983"/>
      <c r="I28" s="983"/>
      <c r="J28" s="983"/>
      <c r="K28" s="983"/>
      <c r="L28" s="983"/>
    </row>
    <row r="29" spans="1:26" ht="12.75" x14ac:dyDescent="0.2">
      <c r="A29" s="983"/>
      <c r="B29" s="983"/>
      <c r="C29" s="1001" t="s">
        <v>467</v>
      </c>
      <c r="D29" s="1167"/>
      <c r="E29" s="1167"/>
      <c r="F29" s="1167"/>
      <c r="G29" s="1167"/>
      <c r="H29" s="1167"/>
      <c r="I29" s="1167"/>
      <c r="J29" s="1167"/>
      <c r="K29" s="1167"/>
      <c r="L29" s="1167"/>
    </row>
    <row r="30" spans="1:26" ht="11.25" x14ac:dyDescent="0.2">
      <c r="A30" s="983"/>
      <c r="B30" s="983"/>
      <c r="C30" s="983"/>
      <c r="D30" s="983"/>
      <c r="E30" s="983"/>
      <c r="F30" s="983"/>
      <c r="G30" s="983"/>
      <c r="H30" s="983"/>
      <c r="I30" s="983"/>
      <c r="J30" s="983"/>
      <c r="K30" s="983"/>
      <c r="L30" s="983"/>
    </row>
    <row r="31" spans="1:26" ht="11.25" x14ac:dyDescent="0.2">
      <c r="A31" s="983"/>
      <c r="B31" s="983"/>
      <c r="C31" s="983"/>
      <c r="D31" s="983"/>
      <c r="E31" s="983"/>
      <c r="F31" s="983"/>
      <c r="G31" s="983"/>
      <c r="H31" s="983"/>
      <c r="I31" s="983"/>
      <c r="J31" s="983"/>
      <c r="K31" s="983"/>
      <c r="L31" s="983"/>
    </row>
    <row r="32" spans="1:26" ht="11.25" x14ac:dyDescent="0.2">
      <c r="A32" s="983"/>
      <c r="B32" s="983"/>
      <c r="C32" s="983"/>
      <c r="D32" s="983"/>
      <c r="E32" s="983"/>
      <c r="F32" s="983"/>
      <c r="G32" s="983"/>
      <c r="H32" s="983"/>
      <c r="I32" s="983"/>
      <c r="J32" s="983"/>
      <c r="K32" s="983"/>
      <c r="L32" s="983"/>
    </row>
    <row r="33" spans="1:12" ht="11.25" x14ac:dyDescent="0.2">
      <c r="A33" s="983"/>
      <c r="B33" s="983"/>
      <c r="C33" s="983"/>
      <c r="D33" s="983"/>
      <c r="E33" s="983"/>
      <c r="F33" s="983"/>
      <c r="G33" s="983"/>
      <c r="H33" s="983"/>
      <c r="I33" s="983"/>
      <c r="J33" s="983"/>
      <c r="K33" s="983"/>
      <c r="L33" s="983"/>
    </row>
    <row r="34" spans="1:12" ht="11.25" x14ac:dyDescent="0.2">
      <c r="A34" s="983"/>
      <c r="B34" s="983"/>
      <c r="C34" s="983"/>
      <c r="D34" s="983"/>
      <c r="E34" s="983"/>
      <c r="F34" s="983"/>
      <c r="G34" s="983"/>
      <c r="H34" s="983"/>
      <c r="I34" s="983"/>
      <c r="J34" s="983"/>
      <c r="K34" s="983"/>
      <c r="L34" s="983"/>
    </row>
    <row r="35" spans="1:12" ht="11.25" x14ac:dyDescent="0.2">
      <c r="A35" s="983"/>
      <c r="B35" s="983"/>
      <c r="C35" s="983"/>
      <c r="D35" s="983"/>
      <c r="E35" s="983"/>
      <c r="F35" s="983"/>
      <c r="G35" s="983"/>
      <c r="H35" s="983"/>
      <c r="I35" s="983"/>
      <c r="J35" s="983"/>
      <c r="K35" s="983"/>
      <c r="L35" s="983"/>
    </row>
    <row r="36" spans="1:12" ht="11.25" x14ac:dyDescent="0.2">
      <c r="A36" s="983"/>
      <c r="B36" s="983"/>
      <c r="C36" s="983"/>
      <c r="D36" s="983"/>
      <c r="E36" s="983"/>
      <c r="F36" s="983"/>
      <c r="G36" s="983"/>
      <c r="H36" s="983"/>
      <c r="I36" s="983"/>
      <c r="J36" s="983"/>
      <c r="K36" s="983"/>
      <c r="L36" s="983"/>
    </row>
    <row r="37" spans="1:12" ht="11.25" x14ac:dyDescent="0.2">
      <c r="A37" s="983"/>
      <c r="B37" s="983"/>
      <c r="C37" s="983"/>
      <c r="D37" s="983"/>
      <c r="E37" s="983"/>
      <c r="F37" s="983"/>
      <c r="G37" s="983"/>
      <c r="H37" s="983"/>
      <c r="I37" s="983"/>
      <c r="J37" s="983"/>
      <c r="K37" s="983"/>
      <c r="L37" s="983"/>
    </row>
    <row r="38" spans="1:12" ht="11.25" x14ac:dyDescent="0.2">
      <c r="A38" s="983"/>
      <c r="B38" s="983"/>
      <c r="C38" s="983"/>
      <c r="D38" s="983"/>
      <c r="E38" s="983"/>
      <c r="F38" s="983"/>
      <c r="G38" s="983"/>
      <c r="H38" s="983"/>
      <c r="I38" s="983"/>
      <c r="J38" s="983"/>
      <c r="K38" s="983"/>
      <c r="L38" s="983"/>
    </row>
    <row r="39" spans="1:12" ht="11.25" x14ac:dyDescent="0.2">
      <c r="A39" s="983"/>
      <c r="B39" s="983"/>
      <c r="C39" s="983"/>
      <c r="D39" s="983"/>
      <c r="E39" s="983"/>
      <c r="F39" s="983"/>
      <c r="G39" s="983"/>
      <c r="H39" s="983"/>
      <c r="I39" s="983"/>
      <c r="J39" s="983"/>
      <c r="K39" s="983"/>
      <c r="L39" s="983"/>
    </row>
    <row r="40" spans="1:12" ht="11.25" x14ac:dyDescent="0.2">
      <c r="A40" s="983"/>
      <c r="B40" s="983"/>
      <c r="C40" s="983"/>
      <c r="D40" s="983"/>
      <c r="E40" s="983"/>
      <c r="F40" s="983"/>
      <c r="G40" s="983"/>
      <c r="H40" s="983"/>
      <c r="I40" s="983"/>
      <c r="J40" s="983"/>
      <c r="K40" s="983"/>
      <c r="L40" s="983"/>
    </row>
    <row r="41" spans="1:12" ht="11.25" x14ac:dyDescent="0.2">
      <c r="A41" s="983"/>
      <c r="B41" s="983"/>
      <c r="C41" s="983"/>
      <c r="D41" s="983"/>
      <c r="E41" s="983"/>
      <c r="F41" s="983"/>
      <c r="G41" s="983"/>
      <c r="H41" s="983"/>
      <c r="I41" s="983"/>
      <c r="J41" s="983"/>
      <c r="K41" s="983"/>
      <c r="L41" s="983"/>
    </row>
    <row r="42" spans="1:12" ht="11.25" x14ac:dyDescent="0.2">
      <c r="A42" s="983"/>
      <c r="B42" s="983"/>
      <c r="C42" s="983"/>
      <c r="D42" s="983"/>
      <c r="E42" s="983"/>
      <c r="F42" s="983"/>
      <c r="G42" s="983"/>
      <c r="H42" s="983"/>
      <c r="I42" s="983"/>
      <c r="J42" s="983"/>
      <c r="K42" s="983"/>
      <c r="L42" s="983"/>
    </row>
    <row r="43" spans="1:12" ht="11.25" x14ac:dyDescent="0.2">
      <c r="A43" s="983"/>
      <c r="B43" s="983"/>
      <c r="C43" s="983"/>
      <c r="D43" s="983"/>
      <c r="E43" s="983"/>
      <c r="F43" s="983"/>
      <c r="G43" s="983"/>
      <c r="H43" s="983"/>
      <c r="I43" s="983"/>
      <c r="J43" s="983"/>
      <c r="K43" s="983"/>
      <c r="L43" s="983"/>
    </row>
    <row r="44" spans="1:12" ht="11.25" x14ac:dyDescent="0.2">
      <c r="A44" s="983"/>
      <c r="B44" s="983"/>
      <c r="C44" s="983"/>
      <c r="D44" s="983"/>
      <c r="E44" s="983"/>
      <c r="F44" s="983"/>
      <c r="G44" s="983"/>
      <c r="H44" s="983"/>
      <c r="I44" s="983"/>
      <c r="J44" s="983"/>
      <c r="K44" s="983"/>
      <c r="L44" s="983"/>
    </row>
    <row r="45" spans="1:12" ht="11.25" x14ac:dyDescent="0.2">
      <c r="A45" s="983"/>
      <c r="B45" s="983"/>
      <c r="C45" s="983"/>
      <c r="D45" s="983"/>
      <c r="E45" s="983"/>
      <c r="F45" s="983"/>
      <c r="G45" s="983"/>
      <c r="H45" s="983"/>
      <c r="I45" s="983"/>
      <c r="J45" s="983"/>
      <c r="K45" s="983"/>
      <c r="L45" s="983"/>
    </row>
    <row r="46" spans="1:12" ht="11.25" x14ac:dyDescent="0.2">
      <c r="A46" s="983"/>
      <c r="B46" s="983"/>
      <c r="C46" s="983"/>
      <c r="D46" s="983"/>
      <c r="E46" s="983"/>
      <c r="F46" s="983"/>
      <c r="G46" s="983"/>
      <c r="H46" s="983"/>
      <c r="I46" s="983"/>
      <c r="J46" s="983"/>
      <c r="K46" s="983"/>
      <c r="L46" s="983"/>
    </row>
    <row r="47" spans="1:12" ht="11.25" x14ac:dyDescent="0.2">
      <c r="A47" s="983"/>
      <c r="B47" s="983"/>
      <c r="C47" s="983"/>
      <c r="D47" s="983"/>
      <c r="E47" s="983"/>
      <c r="F47" s="983"/>
      <c r="G47" s="983"/>
      <c r="H47" s="983"/>
      <c r="I47" s="983"/>
      <c r="J47" s="983"/>
      <c r="K47" s="983"/>
      <c r="L47" s="983"/>
    </row>
    <row r="48" spans="1:12" ht="11.25" x14ac:dyDescent="0.2">
      <c r="A48" s="983"/>
      <c r="B48" s="983"/>
      <c r="C48" s="983"/>
      <c r="D48" s="983"/>
      <c r="E48" s="983"/>
      <c r="F48" s="983"/>
      <c r="G48" s="983"/>
      <c r="H48" s="983"/>
      <c r="I48" s="983"/>
      <c r="J48" s="983"/>
      <c r="K48" s="983"/>
      <c r="L48" s="983"/>
    </row>
    <row r="49" spans="1:12" ht="11.25" x14ac:dyDescent="0.2">
      <c r="A49" s="983"/>
      <c r="B49" s="983"/>
      <c r="C49" s="983"/>
      <c r="D49" s="983"/>
      <c r="E49" s="983"/>
      <c r="F49" s="983"/>
      <c r="G49" s="983"/>
      <c r="H49" s="983"/>
      <c r="I49" s="983"/>
      <c r="J49" s="983"/>
      <c r="K49" s="983"/>
      <c r="L49" s="983"/>
    </row>
    <row r="50" spans="1:12" ht="11.25" x14ac:dyDescent="0.2">
      <c r="A50" s="983"/>
      <c r="B50" s="983"/>
      <c r="C50" s="983"/>
      <c r="D50" s="983"/>
      <c r="E50" s="983"/>
      <c r="F50" s="983"/>
      <c r="G50" s="983"/>
      <c r="H50" s="983"/>
      <c r="I50" s="983"/>
      <c r="J50" s="983"/>
      <c r="K50" s="983"/>
      <c r="L50" s="983"/>
    </row>
    <row r="51" spans="1:12" ht="11.25" x14ac:dyDescent="0.2">
      <c r="A51" s="983"/>
      <c r="B51" s="983"/>
      <c r="C51" s="983"/>
      <c r="D51" s="983"/>
      <c r="E51" s="983"/>
      <c r="F51" s="983"/>
      <c r="G51" s="983"/>
      <c r="H51" s="983"/>
      <c r="I51" s="983"/>
      <c r="J51" s="983"/>
      <c r="K51" s="983"/>
      <c r="L51" s="983"/>
    </row>
    <row r="52" spans="1:12" ht="11.25" x14ac:dyDescent="0.2">
      <c r="A52" s="983"/>
      <c r="B52" s="983"/>
      <c r="C52" s="983"/>
      <c r="D52" s="983"/>
      <c r="E52" s="983"/>
      <c r="F52" s="983"/>
      <c r="G52" s="983"/>
      <c r="H52" s="983"/>
      <c r="I52" s="983"/>
      <c r="J52" s="983"/>
      <c r="K52" s="983"/>
      <c r="L52" s="983"/>
    </row>
    <row r="53" spans="1:12" ht="11.25" x14ac:dyDescent="0.2">
      <c r="A53" s="983"/>
      <c r="B53" s="983"/>
      <c r="C53" s="983"/>
      <c r="D53" s="983"/>
      <c r="E53" s="983"/>
      <c r="F53" s="983"/>
      <c r="G53" s="983"/>
      <c r="H53" s="983"/>
      <c r="I53" s="983"/>
      <c r="J53" s="983"/>
      <c r="K53" s="983"/>
      <c r="L53" s="983"/>
    </row>
    <row r="54" spans="1:12" ht="11.25" x14ac:dyDescent="0.2">
      <c r="A54" s="983"/>
      <c r="B54" s="983"/>
      <c r="C54" s="983"/>
      <c r="D54" s="983"/>
      <c r="E54" s="983"/>
      <c r="F54" s="983"/>
      <c r="G54" s="983"/>
      <c r="H54" s="983"/>
      <c r="I54" s="983"/>
      <c r="J54" s="983"/>
      <c r="K54" s="983"/>
      <c r="L54" s="983"/>
    </row>
    <row r="55" spans="1:12" ht="11.25" x14ac:dyDescent="0.2">
      <c r="A55" s="983"/>
      <c r="B55" s="983"/>
      <c r="C55" s="983"/>
      <c r="D55" s="983"/>
      <c r="E55" s="983"/>
      <c r="F55" s="983"/>
      <c r="G55" s="983"/>
      <c r="H55" s="983"/>
      <c r="I55" s="983"/>
      <c r="J55" s="983"/>
      <c r="K55" s="983"/>
      <c r="L55" s="983"/>
    </row>
    <row r="56" spans="1:12" ht="11.25" x14ac:dyDescent="0.2">
      <c r="A56" s="983"/>
      <c r="B56" s="983"/>
      <c r="C56" s="983"/>
      <c r="D56" s="983"/>
      <c r="E56" s="983"/>
      <c r="F56" s="983"/>
      <c r="G56" s="983"/>
      <c r="H56" s="983"/>
      <c r="I56" s="983"/>
      <c r="J56" s="983"/>
      <c r="K56" s="983"/>
      <c r="L56" s="983"/>
    </row>
    <row r="57" spans="1:12" ht="11.25" x14ac:dyDescent="0.2">
      <c r="A57" s="983"/>
      <c r="B57" s="983"/>
      <c r="C57" s="983"/>
      <c r="D57" s="983"/>
      <c r="E57" s="983"/>
      <c r="F57" s="983"/>
      <c r="G57" s="983"/>
      <c r="H57" s="983"/>
      <c r="I57" s="983"/>
      <c r="J57" s="983"/>
      <c r="K57" s="983"/>
      <c r="L57" s="983"/>
    </row>
    <row r="58" spans="1:12" ht="11.25" x14ac:dyDescent="0.2">
      <c r="A58" s="983"/>
      <c r="B58" s="983"/>
      <c r="C58" s="983"/>
      <c r="D58" s="983"/>
      <c r="E58" s="983"/>
      <c r="F58" s="983"/>
      <c r="G58" s="983"/>
      <c r="H58" s="983"/>
      <c r="I58" s="983"/>
      <c r="J58" s="983"/>
      <c r="K58" s="983"/>
      <c r="L58" s="983"/>
    </row>
    <row r="59" spans="1:12" ht="11.25" x14ac:dyDescent="0.2">
      <c r="A59" s="983"/>
      <c r="B59" s="983"/>
      <c r="C59" s="983"/>
      <c r="D59" s="983"/>
      <c r="E59" s="983"/>
      <c r="F59" s="983"/>
      <c r="G59" s="983"/>
      <c r="H59" s="983"/>
      <c r="I59" s="983"/>
      <c r="J59" s="983"/>
      <c r="K59" s="983"/>
      <c r="L59" s="983"/>
    </row>
    <row r="60" spans="1:12" ht="11.25" x14ac:dyDescent="0.2">
      <c r="A60" s="983"/>
      <c r="B60" s="983"/>
      <c r="C60" s="983"/>
      <c r="D60" s="983"/>
      <c r="E60" s="983"/>
      <c r="F60" s="983"/>
      <c r="G60" s="983"/>
      <c r="H60" s="983"/>
      <c r="I60" s="983"/>
      <c r="J60" s="983"/>
      <c r="K60" s="983"/>
      <c r="L60" s="983"/>
    </row>
    <row r="61" spans="1:12" ht="11.25" x14ac:dyDescent="0.2">
      <c r="A61" s="983"/>
      <c r="B61" s="983"/>
      <c r="C61" s="983"/>
      <c r="D61" s="983"/>
      <c r="E61" s="983"/>
      <c r="F61" s="983"/>
      <c r="G61" s="983"/>
      <c r="H61" s="983"/>
      <c r="I61" s="983"/>
      <c r="J61" s="983"/>
      <c r="K61" s="983"/>
      <c r="L61" s="983"/>
    </row>
    <row r="62" spans="1:12" ht="11.25" x14ac:dyDescent="0.2">
      <c r="A62" s="983"/>
      <c r="B62" s="983"/>
      <c r="C62" s="983"/>
      <c r="D62" s="983"/>
      <c r="E62" s="983"/>
      <c r="F62" s="983"/>
      <c r="G62" s="983"/>
      <c r="H62" s="983"/>
      <c r="I62" s="983"/>
      <c r="J62" s="983"/>
      <c r="K62" s="983"/>
      <c r="L62" s="983"/>
    </row>
    <row r="63" spans="1:12" ht="11.25" x14ac:dyDescent="0.2">
      <c r="A63" s="983"/>
      <c r="B63" s="983"/>
      <c r="C63" s="983"/>
      <c r="D63" s="983"/>
      <c r="E63" s="983"/>
      <c r="F63" s="983"/>
      <c r="G63" s="983"/>
      <c r="H63" s="983"/>
      <c r="I63" s="983"/>
      <c r="J63" s="983"/>
      <c r="K63" s="983"/>
      <c r="L63" s="983"/>
    </row>
    <row r="64" spans="1:12" ht="11.25" x14ac:dyDescent="0.2">
      <c r="A64" s="983"/>
      <c r="B64" s="983"/>
      <c r="C64" s="983"/>
      <c r="D64" s="983"/>
      <c r="E64" s="983"/>
      <c r="F64" s="983"/>
      <c r="G64" s="983"/>
      <c r="H64" s="983"/>
      <c r="I64" s="983"/>
      <c r="J64" s="983"/>
      <c r="K64" s="983"/>
      <c r="L64" s="983"/>
    </row>
    <row r="65" spans="1:12" ht="11.25" x14ac:dyDescent="0.2">
      <c r="A65" s="983"/>
      <c r="B65" s="983"/>
      <c r="C65" s="983"/>
      <c r="D65" s="983"/>
      <c r="E65" s="983"/>
      <c r="F65" s="983"/>
      <c r="G65" s="983"/>
      <c r="H65" s="983"/>
      <c r="I65" s="983"/>
      <c r="J65" s="983"/>
      <c r="K65" s="983"/>
      <c r="L65" s="983"/>
    </row>
    <row r="66" spans="1:12" ht="11.25" x14ac:dyDescent="0.2">
      <c r="A66" s="983"/>
      <c r="B66" s="983"/>
      <c r="C66" s="983"/>
      <c r="D66" s="983"/>
      <c r="E66" s="983"/>
      <c r="F66" s="983"/>
      <c r="G66" s="983"/>
      <c r="H66" s="983"/>
      <c r="I66" s="983"/>
      <c r="J66" s="983"/>
      <c r="K66" s="983"/>
      <c r="L66" s="983"/>
    </row>
    <row r="67" spans="1:12" ht="11.25" x14ac:dyDescent="0.2">
      <c r="A67" s="983"/>
      <c r="B67" s="983"/>
      <c r="C67" s="983"/>
      <c r="D67" s="983"/>
      <c r="E67" s="983"/>
      <c r="F67" s="983"/>
      <c r="G67" s="983"/>
      <c r="H67" s="983"/>
      <c r="I67" s="983"/>
      <c r="J67" s="983"/>
      <c r="K67" s="983"/>
      <c r="L67" s="983"/>
    </row>
    <row r="68" spans="1:12" ht="11.25" x14ac:dyDescent="0.2">
      <c r="A68" s="983"/>
      <c r="B68" s="983"/>
      <c r="C68" s="983"/>
      <c r="D68" s="983"/>
      <c r="E68" s="983"/>
      <c r="F68" s="983"/>
      <c r="G68" s="983"/>
      <c r="H68" s="983"/>
      <c r="I68" s="983"/>
      <c r="J68" s="983"/>
      <c r="K68" s="983"/>
      <c r="L68" s="983"/>
    </row>
    <row r="69" spans="1:12" ht="11.25" x14ac:dyDescent="0.2">
      <c r="A69" s="983"/>
      <c r="B69" s="983"/>
      <c r="C69" s="983"/>
      <c r="D69" s="983"/>
      <c r="E69" s="983"/>
      <c r="F69" s="983"/>
      <c r="G69" s="983"/>
      <c r="H69" s="983"/>
      <c r="I69" s="983"/>
      <c r="J69" s="983"/>
      <c r="K69" s="983"/>
      <c r="L69" s="983"/>
    </row>
    <row r="70" spans="1:12" ht="11.25" x14ac:dyDescent="0.2">
      <c r="A70" s="983"/>
      <c r="B70" s="983"/>
      <c r="C70" s="983"/>
      <c r="D70" s="983"/>
      <c r="E70" s="983"/>
      <c r="F70" s="983"/>
      <c r="G70" s="983"/>
      <c r="H70" s="983"/>
      <c r="I70" s="983"/>
      <c r="J70" s="983"/>
      <c r="K70" s="983"/>
      <c r="L70" s="983"/>
    </row>
    <row r="71" spans="1:12" ht="11.25" x14ac:dyDescent="0.2">
      <c r="A71" s="983"/>
      <c r="B71" s="983"/>
      <c r="C71" s="983"/>
      <c r="D71" s="983"/>
      <c r="E71" s="983"/>
      <c r="F71" s="983"/>
      <c r="G71" s="983"/>
      <c r="H71" s="983"/>
      <c r="I71" s="983"/>
      <c r="J71" s="983"/>
      <c r="K71" s="983"/>
      <c r="L71" s="983"/>
    </row>
    <row r="72" spans="1:12" ht="11.25" x14ac:dyDescent="0.2">
      <c r="A72" s="983"/>
      <c r="B72" s="983"/>
      <c r="C72" s="983"/>
      <c r="D72" s="983"/>
      <c r="E72" s="983"/>
      <c r="F72" s="983"/>
      <c r="G72" s="983"/>
      <c r="H72" s="983"/>
      <c r="I72" s="983"/>
      <c r="J72" s="983"/>
      <c r="K72" s="983"/>
      <c r="L72" s="983"/>
    </row>
    <row r="73" spans="1:12" ht="11.25" x14ac:dyDescent="0.2">
      <c r="A73" s="983"/>
      <c r="B73" s="983"/>
      <c r="C73" s="983"/>
      <c r="D73" s="983"/>
      <c r="E73" s="983"/>
      <c r="F73" s="983"/>
      <c r="G73" s="983"/>
      <c r="H73" s="983"/>
      <c r="I73" s="983"/>
      <c r="J73" s="983"/>
      <c r="K73" s="983"/>
      <c r="L73" s="983"/>
    </row>
    <row r="74" spans="1:12" ht="11.25" x14ac:dyDescent="0.2">
      <c r="A74" s="983"/>
      <c r="B74" s="983"/>
      <c r="C74" s="983"/>
      <c r="D74" s="983"/>
      <c r="E74" s="983"/>
      <c r="F74" s="983"/>
      <c r="G74" s="983"/>
      <c r="H74" s="983"/>
      <c r="I74" s="983"/>
      <c r="J74" s="983"/>
      <c r="K74" s="983"/>
      <c r="L74" s="983"/>
    </row>
    <row r="75" spans="1:12" ht="11.25" x14ac:dyDescent="0.2">
      <c r="A75" s="983"/>
      <c r="B75" s="983"/>
      <c r="C75" s="983"/>
      <c r="D75" s="983"/>
      <c r="E75" s="983"/>
      <c r="F75" s="983"/>
      <c r="G75" s="983"/>
      <c r="H75" s="983"/>
      <c r="I75" s="983"/>
      <c r="J75" s="983"/>
      <c r="K75" s="983"/>
      <c r="L75" s="983"/>
    </row>
    <row r="76" spans="1:12" ht="11.25" x14ac:dyDescent="0.2">
      <c r="A76" s="983"/>
      <c r="B76" s="983"/>
      <c r="C76" s="983"/>
      <c r="D76" s="983"/>
      <c r="E76" s="983"/>
      <c r="F76" s="983"/>
      <c r="G76" s="983"/>
      <c r="H76" s="983"/>
      <c r="I76" s="983"/>
      <c r="J76" s="983"/>
      <c r="K76" s="983"/>
      <c r="L76" s="983"/>
    </row>
    <row r="77" spans="1:12" ht="11.25" x14ac:dyDescent="0.2">
      <c r="A77" s="983"/>
      <c r="B77" s="983"/>
      <c r="C77" s="983"/>
      <c r="D77" s="983"/>
      <c r="E77" s="983"/>
      <c r="F77" s="983"/>
      <c r="G77" s="983"/>
      <c r="H77" s="983"/>
      <c r="I77" s="983"/>
      <c r="J77" s="983"/>
      <c r="K77" s="983"/>
      <c r="L77" s="983"/>
    </row>
    <row r="78" spans="1:12" ht="11.25" x14ac:dyDescent="0.2">
      <c r="A78" s="983"/>
      <c r="B78" s="983"/>
      <c r="C78" s="983"/>
      <c r="D78" s="983"/>
      <c r="E78" s="983"/>
      <c r="F78" s="983"/>
      <c r="G78" s="983"/>
      <c r="H78" s="983"/>
      <c r="I78" s="983"/>
      <c r="J78" s="983"/>
      <c r="K78" s="983"/>
      <c r="L78" s="983"/>
    </row>
    <row r="79" spans="1:12" ht="11.25" x14ac:dyDescent="0.2">
      <c r="A79" s="983"/>
      <c r="B79" s="983"/>
      <c r="C79" s="983"/>
      <c r="D79" s="983"/>
      <c r="E79" s="983"/>
      <c r="F79" s="983"/>
      <c r="G79" s="983"/>
      <c r="H79" s="983"/>
      <c r="I79" s="983"/>
      <c r="J79" s="983"/>
      <c r="K79" s="983"/>
      <c r="L79" s="983"/>
    </row>
    <row r="80" spans="1:12" ht="11.25" x14ac:dyDescent="0.2">
      <c r="A80" s="983"/>
      <c r="B80" s="983"/>
      <c r="C80" s="983"/>
      <c r="D80" s="983"/>
      <c r="E80" s="983"/>
      <c r="F80" s="983"/>
      <c r="G80" s="983"/>
      <c r="H80" s="983"/>
      <c r="I80" s="983"/>
      <c r="J80" s="983"/>
      <c r="K80" s="983"/>
      <c r="L80" s="983"/>
    </row>
    <row r="81" spans="1:12" ht="11.25" x14ac:dyDescent="0.2">
      <c r="A81" s="983"/>
      <c r="B81" s="983"/>
      <c r="C81" s="983"/>
      <c r="D81" s="983"/>
      <c r="E81" s="983"/>
      <c r="F81" s="983"/>
      <c r="G81" s="983"/>
      <c r="H81" s="983"/>
      <c r="I81" s="983"/>
      <c r="J81" s="983"/>
      <c r="K81" s="983"/>
      <c r="L81" s="983"/>
    </row>
    <row r="82" spans="1:12" ht="11.25" x14ac:dyDescent="0.2">
      <c r="A82" s="983"/>
      <c r="B82" s="983"/>
      <c r="C82" s="983"/>
      <c r="D82" s="983"/>
      <c r="E82" s="983"/>
      <c r="F82" s="983"/>
      <c r="G82" s="983"/>
      <c r="H82" s="983"/>
      <c r="I82" s="983"/>
      <c r="J82" s="983"/>
      <c r="K82" s="983"/>
      <c r="L82" s="983"/>
    </row>
    <row r="83" spans="1:12" ht="11.25" x14ac:dyDescent="0.2">
      <c r="A83" s="983"/>
      <c r="B83" s="983"/>
      <c r="C83" s="983"/>
      <c r="D83" s="983"/>
      <c r="E83" s="983"/>
      <c r="F83" s="983"/>
      <c r="G83" s="983"/>
      <c r="H83" s="983"/>
      <c r="I83" s="983"/>
      <c r="J83" s="983"/>
      <c r="K83" s="983"/>
      <c r="L83" s="983"/>
    </row>
    <row r="84" spans="1:12" ht="11.25" x14ac:dyDescent="0.2">
      <c r="A84" s="983"/>
      <c r="B84" s="983"/>
      <c r="C84" s="983"/>
      <c r="D84" s="983"/>
      <c r="E84" s="983"/>
      <c r="F84" s="983"/>
      <c r="G84" s="983"/>
      <c r="H84" s="983"/>
      <c r="I84" s="983"/>
      <c r="J84" s="983"/>
      <c r="K84" s="983"/>
      <c r="L84" s="983"/>
    </row>
    <row r="85" spans="1:12" ht="11.25" x14ac:dyDescent="0.2">
      <c r="A85" s="983"/>
      <c r="B85" s="983"/>
      <c r="C85" s="983"/>
      <c r="D85" s="983"/>
      <c r="E85" s="983"/>
      <c r="F85" s="983"/>
      <c r="G85" s="983"/>
      <c r="H85" s="983"/>
      <c r="I85" s="983"/>
      <c r="J85" s="983"/>
      <c r="K85" s="983"/>
      <c r="L85" s="983"/>
    </row>
    <row r="86" spans="1:12" ht="11.25" x14ac:dyDescent="0.2">
      <c r="A86" s="983"/>
      <c r="B86" s="983"/>
      <c r="C86" s="983"/>
      <c r="D86" s="983"/>
      <c r="E86" s="983"/>
      <c r="F86" s="983"/>
      <c r="G86" s="983"/>
      <c r="H86" s="983"/>
      <c r="I86" s="983"/>
      <c r="J86" s="983"/>
      <c r="K86" s="983"/>
      <c r="L86" s="983"/>
    </row>
    <row r="87" spans="1:12" ht="11.25" x14ac:dyDescent="0.2">
      <c r="A87" s="983"/>
      <c r="B87" s="983"/>
      <c r="C87" s="983"/>
      <c r="D87" s="983"/>
      <c r="E87" s="983"/>
      <c r="F87" s="983"/>
      <c r="G87" s="983"/>
      <c r="H87" s="983"/>
      <c r="I87" s="983"/>
      <c r="J87" s="983"/>
      <c r="K87" s="983"/>
      <c r="L87" s="983"/>
    </row>
    <row r="88" spans="1:12" ht="11.25" x14ac:dyDescent="0.2">
      <c r="A88" s="983"/>
      <c r="B88" s="983"/>
      <c r="C88" s="983"/>
      <c r="D88" s="983"/>
      <c r="E88" s="983"/>
      <c r="F88" s="983"/>
      <c r="G88" s="983"/>
      <c r="H88" s="983"/>
      <c r="I88" s="983"/>
      <c r="J88" s="983"/>
      <c r="K88" s="983"/>
      <c r="L88" s="983"/>
    </row>
    <row r="89" spans="1:12" ht="11.25" x14ac:dyDescent="0.2">
      <c r="A89" s="983"/>
      <c r="B89" s="983"/>
      <c r="C89" s="983"/>
      <c r="D89" s="983"/>
      <c r="E89" s="983"/>
      <c r="F89" s="983"/>
      <c r="G89" s="983"/>
      <c r="H89" s="983"/>
      <c r="I89" s="983"/>
      <c r="J89" s="983"/>
      <c r="K89" s="983"/>
      <c r="L89" s="983"/>
    </row>
    <row r="90" spans="1:12" ht="11.25" x14ac:dyDescent="0.2">
      <c r="A90" s="983"/>
      <c r="B90" s="983"/>
      <c r="C90" s="983"/>
      <c r="D90" s="983"/>
      <c r="E90" s="983"/>
      <c r="F90" s="983"/>
      <c r="G90" s="983"/>
      <c r="H90" s="983"/>
      <c r="I90" s="983"/>
      <c r="J90" s="983"/>
      <c r="K90" s="983"/>
      <c r="L90" s="983"/>
    </row>
    <row r="91" spans="1:12" ht="11.25" x14ac:dyDescent="0.2">
      <c r="A91" s="983"/>
      <c r="B91" s="983"/>
      <c r="C91" s="983"/>
      <c r="D91" s="983"/>
      <c r="E91" s="983"/>
      <c r="F91" s="983"/>
      <c r="G91" s="983"/>
      <c r="H91" s="983"/>
      <c r="I91" s="983"/>
      <c r="J91" s="983"/>
      <c r="K91" s="983"/>
      <c r="L91" s="983"/>
    </row>
    <row r="92" spans="1:12" ht="11.25" x14ac:dyDescent="0.2">
      <c r="A92" s="983"/>
      <c r="B92" s="983"/>
      <c r="C92" s="983"/>
      <c r="D92" s="983"/>
      <c r="E92" s="983"/>
      <c r="F92" s="983"/>
      <c r="G92" s="983"/>
      <c r="H92" s="983"/>
      <c r="I92" s="983"/>
      <c r="J92" s="983"/>
      <c r="K92" s="983"/>
      <c r="L92" s="983"/>
    </row>
    <row r="93" spans="1:12" ht="11.25" x14ac:dyDescent="0.2">
      <c r="A93" s="983"/>
      <c r="B93" s="983"/>
      <c r="C93" s="983"/>
      <c r="D93" s="983"/>
      <c r="E93" s="983"/>
      <c r="F93" s="983"/>
      <c r="G93" s="983"/>
      <c r="H93" s="983"/>
      <c r="I93" s="983"/>
      <c r="J93" s="983"/>
      <c r="K93" s="983"/>
      <c r="L93" s="983"/>
    </row>
    <row r="94" spans="1:12" ht="11.25" x14ac:dyDescent="0.2">
      <c r="A94" s="983"/>
      <c r="B94" s="983"/>
      <c r="C94" s="983"/>
      <c r="D94" s="983"/>
      <c r="E94" s="983"/>
      <c r="F94" s="983"/>
      <c r="G94" s="983"/>
      <c r="H94" s="983"/>
      <c r="I94" s="983"/>
      <c r="J94" s="983"/>
      <c r="K94" s="983"/>
      <c r="L94" s="983"/>
    </row>
    <row r="95" spans="1:12" ht="11.25" x14ac:dyDescent="0.2">
      <c r="A95" s="983"/>
      <c r="B95" s="983"/>
      <c r="C95" s="983"/>
      <c r="D95" s="983"/>
      <c r="E95" s="983"/>
      <c r="F95" s="983"/>
      <c r="G95" s="983"/>
      <c r="H95" s="983"/>
      <c r="I95" s="983"/>
      <c r="J95" s="983"/>
      <c r="K95" s="983"/>
      <c r="L95" s="983"/>
    </row>
    <row r="96" spans="1:12" ht="11.25" x14ac:dyDescent="0.2">
      <c r="A96" s="983"/>
      <c r="B96" s="983"/>
      <c r="C96" s="983"/>
      <c r="D96" s="983"/>
      <c r="E96" s="983"/>
      <c r="F96" s="983"/>
      <c r="G96" s="983"/>
      <c r="H96" s="983"/>
      <c r="I96" s="983"/>
      <c r="J96" s="983"/>
      <c r="K96" s="983"/>
      <c r="L96" s="983"/>
    </row>
    <row r="97" spans="1:12" ht="11.25" x14ac:dyDescent="0.2">
      <c r="A97" s="983"/>
      <c r="B97" s="983"/>
      <c r="C97" s="983"/>
      <c r="D97" s="983"/>
      <c r="E97" s="983"/>
      <c r="F97" s="983"/>
      <c r="G97" s="983"/>
      <c r="H97" s="983"/>
      <c r="I97" s="983"/>
      <c r="J97" s="983"/>
      <c r="K97" s="983"/>
      <c r="L97" s="983"/>
    </row>
    <row r="98" spans="1:12" ht="11.25" x14ac:dyDescent="0.2">
      <c r="A98" s="983"/>
      <c r="B98" s="983"/>
      <c r="C98" s="983"/>
      <c r="D98" s="983"/>
      <c r="E98" s="983"/>
      <c r="F98" s="983"/>
      <c r="G98" s="983"/>
      <c r="H98" s="983"/>
      <c r="I98" s="983"/>
      <c r="J98" s="983"/>
      <c r="K98" s="983"/>
      <c r="L98" s="983"/>
    </row>
    <row r="99" spans="1:12" ht="11.25" x14ac:dyDescent="0.2">
      <c r="A99" s="983"/>
      <c r="B99" s="983"/>
      <c r="C99" s="983"/>
      <c r="D99" s="983"/>
      <c r="E99" s="983"/>
      <c r="F99" s="983"/>
      <c r="G99" s="983"/>
      <c r="H99" s="983"/>
      <c r="I99" s="983"/>
      <c r="J99" s="983"/>
      <c r="K99" s="983"/>
      <c r="L99" s="983"/>
    </row>
    <row r="100" spans="1:12" ht="11.25" x14ac:dyDescent="0.2">
      <c r="A100" s="983"/>
      <c r="B100" s="983"/>
      <c r="C100" s="983"/>
      <c r="D100" s="983"/>
      <c r="E100" s="983"/>
      <c r="F100" s="983"/>
      <c r="G100" s="983"/>
      <c r="H100" s="983"/>
      <c r="I100" s="983"/>
      <c r="J100" s="983"/>
      <c r="K100" s="983"/>
      <c r="L100" s="983"/>
    </row>
    <row r="101" spans="1:12" ht="11.25" x14ac:dyDescent="0.2">
      <c r="A101" s="983"/>
      <c r="B101" s="983"/>
      <c r="C101" s="983"/>
      <c r="D101" s="983"/>
      <c r="E101" s="983"/>
      <c r="F101" s="983"/>
      <c r="G101" s="983"/>
      <c r="H101" s="983"/>
      <c r="I101" s="983"/>
      <c r="J101" s="983"/>
      <c r="K101" s="983"/>
      <c r="L101" s="983"/>
    </row>
    <row r="102" spans="1:12" ht="11.25" x14ac:dyDescent="0.2">
      <c r="A102" s="983"/>
      <c r="B102" s="983"/>
      <c r="C102" s="983"/>
      <c r="D102" s="983"/>
      <c r="E102" s="983"/>
      <c r="F102" s="983"/>
      <c r="G102" s="983"/>
      <c r="H102" s="983"/>
      <c r="I102" s="983"/>
      <c r="J102" s="983"/>
      <c r="K102" s="983"/>
      <c r="L102" s="983"/>
    </row>
    <row r="103" spans="1:12" ht="11.25" x14ac:dyDescent="0.2">
      <c r="A103" s="983"/>
      <c r="B103" s="983"/>
      <c r="C103" s="983"/>
      <c r="D103" s="983"/>
      <c r="E103" s="983"/>
      <c r="F103" s="983"/>
      <c r="G103" s="983"/>
      <c r="H103" s="983"/>
      <c r="I103" s="983"/>
      <c r="J103" s="983"/>
      <c r="K103" s="983"/>
      <c r="L103" s="983"/>
    </row>
    <row r="104" spans="1:12" ht="11.25" x14ac:dyDescent="0.2">
      <c r="A104" s="983"/>
      <c r="B104" s="983"/>
      <c r="C104" s="983"/>
      <c r="D104" s="983"/>
      <c r="E104" s="983"/>
      <c r="F104" s="983"/>
      <c r="G104" s="983"/>
      <c r="H104" s="983"/>
      <c r="I104" s="983"/>
      <c r="J104" s="983"/>
      <c r="K104" s="983"/>
      <c r="L104" s="983"/>
    </row>
    <row r="105" spans="1:12" ht="11.25" x14ac:dyDescent="0.2">
      <c r="A105" s="983"/>
      <c r="B105" s="983"/>
      <c r="C105" s="983"/>
      <c r="D105" s="983"/>
      <c r="E105" s="983"/>
      <c r="F105" s="983"/>
      <c r="G105" s="983"/>
      <c r="H105" s="983"/>
      <c r="I105" s="983"/>
      <c r="J105" s="983"/>
      <c r="K105" s="983"/>
      <c r="L105" s="983"/>
    </row>
    <row r="106" spans="1:12" ht="11.25" x14ac:dyDescent="0.2">
      <c r="A106" s="983"/>
      <c r="B106" s="983"/>
      <c r="C106" s="983"/>
      <c r="D106" s="983"/>
      <c r="E106" s="983"/>
      <c r="F106" s="983"/>
      <c r="G106" s="983"/>
      <c r="H106" s="983"/>
      <c r="I106" s="983"/>
      <c r="J106" s="983"/>
      <c r="K106" s="983"/>
      <c r="L106" s="983"/>
    </row>
    <row r="107" spans="1:12" ht="11.25" x14ac:dyDescent="0.2">
      <c r="A107" s="983"/>
      <c r="B107" s="983"/>
      <c r="C107" s="983"/>
      <c r="D107" s="983"/>
      <c r="E107" s="983"/>
      <c r="F107" s="983"/>
      <c r="G107" s="983"/>
      <c r="H107" s="983"/>
      <c r="I107" s="983"/>
      <c r="J107" s="983"/>
      <c r="K107" s="983"/>
      <c r="L107" s="983"/>
    </row>
    <row r="108" spans="1:12" ht="11.25" x14ac:dyDescent="0.2">
      <c r="A108" s="983"/>
      <c r="B108" s="983"/>
      <c r="C108" s="983"/>
      <c r="D108" s="983"/>
      <c r="E108" s="983"/>
      <c r="F108" s="983"/>
      <c r="G108" s="983"/>
      <c r="H108" s="983"/>
      <c r="I108" s="983"/>
      <c r="J108" s="983"/>
      <c r="K108" s="983"/>
      <c r="L108" s="983"/>
    </row>
    <row r="109" spans="1:12" ht="11.25" x14ac:dyDescent="0.2">
      <c r="A109" s="983"/>
      <c r="B109" s="983"/>
      <c r="C109" s="983"/>
      <c r="D109" s="983"/>
      <c r="E109" s="983"/>
      <c r="F109" s="983"/>
      <c r="G109" s="983"/>
      <c r="H109" s="983"/>
      <c r="I109" s="983"/>
      <c r="J109" s="983"/>
      <c r="K109" s="983"/>
      <c r="L109" s="983"/>
    </row>
    <row r="110" spans="1:12" ht="11.25" x14ac:dyDescent="0.2">
      <c r="A110" s="983"/>
      <c r="B110" s="983"/>
      <c r="C110" s="983"/>
      <c r="D110" s="983"/>
      <c r="E110" s="983"/>
      <c r="F110" s="983"/>
      <c r="G110" s="983"/>
      <c r="H110" s="983"/>
      <c r="I110" s="983"/>
      <c r="J110" s="983"/>
      <c r="K110" s="983"/>
      <c r="L110" s="983"/>
    </row>
    <row r="111" spans="1:12" ht="11.25" x14ac:dyDescent="0.2">
      <c r="A111" s="983"/>
      <c r="B111" s="983"/>
      <c r="C111" s="983"/>
      <c r="D111" s="983"/>
      <c r="E111" s="983"/>
      <c r="F111" s="983"/>
      <c r="G111" s="983"/>
      <c r="H111" s="983"/>
      <c r="I111" s="983"/>
      <c r="J111" s="983"/>
      <c r="K111" s="983"/>
      <c r="L111" s="983"/>
    </row>
    <row r="112" spans="1:12" ht="11.25" x14ac:dyDescent="0.2">
      <c r="A112" s="983"/>
      <c r="B112" s="983"/>
      <c r="C112" s="983"/>
      <c r="D112" s="983"/>
      <c r="E112" s="983"/>
      <c r="F112" s="983"/>
      <c r="G112" s="983"/>
      <c r="H112" s="983"/>
      <c r="I112" s="983"/>
      <c r="J112" s="983"/>
      <c r="K112" s="983"/>
      <c r="L112" s="983"/>
    </row>
    <row r="113" spans="1:12" ht="11.25" x14ac:dyDescent="0.2">
      <c r="A113" s="983"/>
      <c r="B113" s="983"/>
      <c r="C113" s="983"/>
      <c r="D113" s="983"/>
      <c r="E113" s="983"/>
      <c r="F113" s="983"/>
      <c r="G113" s="983"/>
      <c r="H113" s="983"/>
      <c r="I113" s="983"/>
      <c r="J113" s="983"/>
      <c r="K113" s="983"/>
      <c r="L113" s="983"/>
    </row>
    <row r="114" spans="1:12" ht="11.25" x14ac:dyDescent="0.2">
      <c r="A114" s="983"/>
      <c r="B114" s="983"/>
      <c r="C114" s="983"/>
      <c r="D114" s="983"/>
      <c r="E114" s="983"/>
      <c r="F114" s="983"/>
      <c r="G114" s="983"/>
      <c r="H114" s="983"/>
      <c r="I114" s="983"/>
      <c r="J114" s="983"/>
      <c r="K114" s="983"/>
      <c r="L114" s="983"/>
    </row>
    <row r="115" spans="1:12" ht="11.25" x14ac:dyDescent="0.2">
      <c r="A115" s="983"/>
      <c r="B115" s="983"/>
      <c r="C115" s="983"/>
      <c r="D115" s="983"/>
      <c r="E115" s="983"/>
      <c r="F115" s="983"/>
      <c r="G115" s="983"/>
      <c r="H115" s="983"/>
      <c r="I115" s="983"/>
      <c r="J115" s="983"/>
      <c r="K115" s="983"/>
      <c r="L115" s="983"/>
    </row>
    <row r="116" spans="1:12" ht="11.25" x14ac:dyDescent="0.2">
      <c r="A116" s="983"/>
      <c r="B116" s="983"/>
      <c r="C116" s="983"/>
      <c r="D116" s="983"/>
      <c r="E116" s="983"/>
      <c r="F116" s="983"/>
      <c r="G116" s="983"/>
      <c r="H116" s="983"/>
      <c r="I116" s="983"/>
      <c r="J116" s="983"/>
      <c r="K116" s="983"/>
      <c r="L116" s="983"/>
    </row>
    <row r="117" spans="1:12" ht="11.25" x14ac:dyDescent="0.2">
      <c r="A117" s="983"/>
      <c r="B117" s="983"/>
      <c r="C117" s="983"/>
      <c r="D117" s="983"/>
      <c r="E117" s="983"/>
      <c r="F117" s="983"/>
      <c r="G117" s="983"/>
      <c r="H117" s="983"/>
      <c r="I117" s="983"/>
      <c r="J117" s="983"/>
      <c r="K117" s="983"/>
      <c r="L117" s="983"/>
    </row>
    <row r="118" spans="1:12" ht="11.25" x14ac:dyDescent="0.2">
      <c r="A118" s="983"/>
      <c r="B118" s="983"/>
      <c r="C118" s="983"/>
      <c r="D118" s="983"/>
      <c r="E118" s="983"/>
      <c r="F118" s="983"/>
      <c r="G118" s="983"/>
      <c r="H118" s="983"/>
      <c r="I118" s="983"/>
      <c r="J118" s="983"/>
      <c r="K118" s="983"/>
      <c r="L118" s="983"/>
    </row>
    <row r="119" spans="1:12" ht="11.25" x14ac:dyDescent="0.2">
      <c r="A119" s="983"/>
      <c r="B119" s="983"/>
      <c r="C119" s="983"/>
      <c r="D119" s="983"/>
      <c r="E119" s="983"/>
      <c r="F119" s="983"/>
      <c r="G119" s="983"/>
      <c r="H119" s="983"/>
      <c r="I119" s="983"/>
      <c r="J119" s="983"/>
      <c r="K119" s="983"/>
      <c r="L119" s="983"/>
    </row>
    <row r="120" spans="1:12" ht="11.25" x14ac:dyDescent="0.2">
      <c r="A120" s="983"/>
      <c r="B120" s="983"/>
      <c r="C120" s="983"/>
      <c r="D120" s="983"/>
      <c r="E120" s="983"/>
      <c r="F120" s="983"/>
      <c r="G120" s="983"/>
      <c r="H120" s="983"/>
      <c r="I120" s="983"/>
      <c r="J120" s="983"/>
      <c r="K120" s="983"/>
      <c r="L120" s="983"/>
    </row>
    <row r="121" spans="1:12" ht="11.25" x14ac:dyDescent="0.2">
      <c r="A121" s="983"/>
      <c r="B121" s="983"/>
      <c r="C121" s="983"/>
      <c r="D121" s="983"/>
      <c r="E121" s="983"/>
      <c r="F121" s="983"/>
      <c r="G121" s="983"/>
      <c r="H121" s="983"/>
      <c r="I121" s="983"/>
      <c r="J121" s="983"/>
      <c r="K121" s="983"/>
      <c r="L121" s="983"/>
    </row>
    <row r="122" spans="1:12" ht="11.25" x14ac:dyDescent="0.2">
      <c r="A122" s="983"/>
      <c r="B122" s="983"/>
      <c r="C122" s="983"/>
      <c r="D122" s="983"/>
      <c r="E122" s="983"/>
      <c r="F122" s="983"/>
      <c r="G122" s="983"/>
      <c r="H122" s="983"/>
      <c r="I122" s="983"/>
      <c r="J122" s="983"/>
      <c r="K122" s="983"/>
      <c r="L122" s="983"/>
    </row>
    <row r="123" spans="1:12" ht="11.25" x14ac:dyDescent="0.2">
      <c r="A123" s="983"/>
      <c r="B123" s="983"/>
      <c r="C123" s="983"/>
      <c r="D123" s="983"/>
      <c r="E123" s="983"/>
      <c r="F123" s="983"/>
      <c r="G123" s="983"/>
      <c r="H123" s="983"/>
      <c r="I123" s="983"/>
      <c r="J123" s="983"/>
      <c r="K123" s="983"/>
      <c r="L123" s="983"/>
    </row>
    <row r="124" spans="1:12" ht="11.25" x14ac:dyDescent="0.2">
      <c r="A124" s="983"/>
      <c r="B124" s="983"/>
      <c r="C124" s="983"/>
      <c r="D124" s="983"/>
      <c r="E124" s="983"/>
      <c r="F124" s="983"/>
      <c r="G124" s="983"/>
      <c r="H124" s="983"/>
      <c r="I124" s="983"/>
      <c r="J124" s="983"/>
      <c r="K124" s="983"/>
      <c r="L124" s="983"/>
    </row>
    <row r="125" spans="1:12" ht="11.25" x14ac:dyDescent="0.2">
      <c r="A125" s="983"/>
      <c r="B125" s="983"/>
      <c r="C125" s="983"/>
      <c r="D125" s="983"/>
      <c r="E125" s="983"/>
      <c r="F125" s="983"/>
      <c r="G125" s="983"/>
      <c r="H125" s="983"/>
      <c r="I125" s="983"/>
      <c r="J125" s="983"/>
      <c r="K125" s="983"/>
      <c r="L125" s="983"/>
    </row>
    <row r="126" spans="1:12" ht="11.25" x14ac:dyDescent="0.2">
      <c r="A126" s="983"/>
      <c r="B126" s="983"/>
      <c r="C126" s="983"/>
      <c r="D126" s="983"/>
      <c r="E126" s="983"/>
      <c r="F126" s="983"/>
      <c r="G126" s="983"/>
      <c r="H126" s="983"/>
      <c r="I126" s="983"/>
      <c r="J126" s="983"/>
      <c r="K126" s="983"/>
      <c r="L126" s="983"/>
    </row>
    <row r="127" spans="1:12" ht="11.25" x14ac:dyDescent="0.2">
      <c r="A127" s="983"/>
      <c r="B127" s="983"/>
      <c r="C127" s="983"/>
      <c r="D127" s="983"/>
      <c r="E127" s="983"/>
      <c r="F127" s="983"/>
      <c r="G127" s="983"/>
      <c r="H127" s="983"/>
      <c r="I127" s="983"/>
      <c r="J127" s="983"/>
      <c r="K127" s="983"/>
      <c r="L127" s="983"/>
    </row>
    <row r="128" spans="1:12" ht="11.25" x14ac:dyDescent="0.2">
      <c r="A128" s="983"/>
      <c r="B128" s="983"/>
      <c r="C128" s="983"/>
      <c r="D128" s="983"/>
      <c r="E128" s="983"/>
      <c r="F128" s="983"/>
      <c r="G128" s="983"/>
      <c r="H128" s="983"/>
      <c r="I128" s="983"/>
      <c r="J128" s="983"/>
      <c r="K128" s="983"/>
      <c r="L128" s="983"/>
    </row>
    <row r="129" spans="1:12" ht="11.25" x14ac:dyDescent="0.2">
      <c r="A129" s="983"/>
      <c r="B129" s="983"/>
      <c r="C129" s="983"/>
      <c r="D129" s="983"/>
      <c r="E129" s="983"/>
      <c r="F129" s="983"/>
      <c r="G129" s="983"/>
      <c r="H129" s="983"/>
      <c r="I129" s="983"/>
      <c r="J129" s="983"/>
      <c r="K129" s="983"/>
      <c r="L129" s="983"/>
    </row>
    <row r="130" spans="1:12" ht="11.25" x14ac:dyDescent="0.2">
      <c r="A130" s="983"/>
      <c r="B130" s="983"/>
      <c r="C130" s="983"/>
      <c r="D130" s="983"/>
      <c r="E130" s="983"/>
      <c r="F130" s="983"/>
      <c r="G130" s="983"/>
      <c r="H130" s="983"/>
      <c r="I130" s="983"/>
      <c r="J130" s="983"/>
      <c r="K130" s="983"/>
      <c r="L130" s="983"/>
    </row>
    <row r="131" spans="1:12" ht="11.25" x14ac:dyDescent="0.2">
      <c r="A131" s="983"/>
      <c r="B131" s="983"/>
      <c r="C131" s="983"/>
      <c r="D131" s="983"/>
      <c r="E131" s="983"/>
      <c r="F131" s="983"/>
      <c r="G131" s="983"/>
      <c r="H131" s="983"/>
      <c r="I131" s="983"/>
      <c r="J131" s="983"/>
      <c r="K131" s="983"/>
      <c r="L131" s="983"/>
    </row>
    <row r="132" spans="1:12" ht="11.25" x14ac:dyDescent="0.2">
      <c r="A132" s="983"/>
      <c r="B132" s="983"/>
      <c r="C132" s="983"/>
      <c r="D132" s="983"/>
      <c r="E132" s="983"/>
      <c r="F132" s="983"/>
      <c r="G132" s="983"/>
      <c r="H132" s="983"/>
      <c r="I132" s="983"/>
      <c r="J132" s="983"/>
      <c r="K132" s="983"/>
      <c r="L132" s="983"/>
    </row>
    <row r="133" spans="1:12" ht="11.25" x14ac:dyDescent="0.2">
      <c r="A133" s="983"/>
      <c r="B133" s="983"/>
      <c r="C133" s="983"/>
      <c r="D133" s="983"/>
      <c r="E133" s="983"/>
      <c r="F133" s="983"/>
      <c r="G133" s="983"/>
      <c r="H133" s="983"/>
      <c r="I133" s="983"/>
      <c r="J133" s="983"/>
      <c r="K133" s="983"/>
      <c r="L133" s="983"/>
    </row>
    <row r="134" spans="1:12" ht="11.25" x14ac:dyDescent="0.2">
      <c r="A134" s="983"/>
      <c r="B134" s="983"/>
      <c r="C134" s="983"/>
      <c r="D134" s="983"/>
      <c r="E134" s="983"/>
      <c r="F134" s="983"/>
      <c r="G134" s="983"/>
      <c r="H134" s="983"/>
      <c r="I134" s="983"/>
      <c r="J134" s="983"/>
      <c r="K134" s="983"/>
      <c r="L134" s="983"/>
    </row>
    <row r="135" spans="1:12" ht="11.25" x14ac:dyDescent="0.2">
      <c r="A135" s="983"/>
      <c r="B135" s="983"/>
      <c r="C135" s="983"/>
      <c r="D135" s="983"/>
      <c r="E135" s="983"/>
      <c r="F135" s="983"/>
      <c r="G135" s="983"/>
      <c r="H135" s="983"/>
      <c r="I135" s="983"/>
      <c r="J135" s="983"/>
      <c r="K135" s="983"/>
      <c r="L135" s="983"/>
    </row>
    <row r="136" spans="1:12" ht="11.25" x14ac:dyDescent="0.2">
      <c r="A136" s="983"/>
      <c r="B136" s="983"/>
      <c r="C136" s="983"/>
      <c r="D136" s="983"/>
      <c r="E136" s="983"/>
      <c r="F136" s="983"/>
      <c r="G136" s="983"/>
      <c r="H136" s="983"/>
      <c r="I136" s="983"/>
      <c r="J136" s="983"/>
      <c r="K136" s="983"/>
      <c r="L136" s="983"/>
    </row>
    <row r="137" spans="1:12" ht="11.25" x14ac:dyDescent="0.2">
      <c r="A137" s="983"/>
      <c r="B137" s="983"/>
      <c r="C137" s="983"/>
      <c r="D137" s="983"/>
      <c r="E137" s="983"/>
      <c r="F137" s="983"/>
      <c r="G137" s="983"/>
      <c r="H137" s="983"/>
      <c r="I137" s="983"/>
      <c r="J137" s="983"/>
      <c r="K137" s="983"/>
      <c r="L137" s="983"/>
    </row>
    <row r="138" spans="1:12" ht="11.25" x14ac:dyDescent="0.2">
      <c r="A138" s="983"/>
      <c r="B138" s="983"/>
      <c r="C138" s="983"/>
      <c r="D138" s="983"/>
      <c r="E138" s="983"/>
      <c r="F138" s="983"/>
      <c r="G138" s="983"/>
      <c r="H138" s="983"/>
      <c r="I138" s="983"/>
      <c r="J138" s="983"/>
      <c r="K138" s="983"/>
      <c r="L138" s="983"/>
    </row>
    <row r="139" spans="1:12" ht="11.25" x14ac:dyDescent="0.2">
      <c r="A139" s="983"/>
      <c r="B139" s="983"/>
      <c r="C139" s="983"/>
      <c r="D139" s="983"/>
      <c r="E139" s="983"/>
      <c r="F139" s="983"/>
      <c r="G139" s="983"/>
      <c r="H139" s="983"/>
      <c r="I139" s="983"/>
      <c r="J139" s="983"/>
      <c r="K139" s="983"/>
      <c r="L139" s="983"/>
    </row>
    <row r="140" spans="1:12" ht="11.25" x14ac:dyDescent="0.2">
      <c r="A140" s="983"/>
      <c r="B140" s="983"/>
      <c r="C140" s="983"/>
      <c r="D140" s="983"/>
      <c r="E140" s="983"/>
      <c r="F140" s="983"/>
      <c r="G140" s="983"/>
      <c r="H140" s="983"/>
      <c r="I140" s="983"/>
      <c r="J140" s="983"/>
      <c r="K140" s="983"/>
      <c r="L140" s="983"/>
    </row>
    <row r="141" spans="1:12" ht="11.25" x14ac:dyDescent="0.2">
      <c r="A141" s="983"/>
      <c r="B141" s="983"/>
      <c r="C141" s="983"/>
      <c r="D141" s="983"/>
      <c r="E141" s="983"/>
      <c r="F141" s="983"/>
      <c r="G141" s="983"/>
      <c r="H141" s="983"/>
      <c r="I141" s="983"/>
      <c r="J141" s="983"/>
      <c r="K141" s="983"/>
      <c r="L141" s="983"/>
    </row>
    <row r="142" spans="1:12" ht="11.25" x14ac:dyDescent="0.2">
      <c r="A142" s="983"/>
      <c r="B142" s="983"/>
      <c r="C142" s="983"/>
      <c r="D142" s="983"/>
      <c r="E142" s="983"/>
      <c r="F142" s="983"/>
      <c r="G142" s="983"/>
      <c r="H142" s="983"/>
      <c r="I142" s="983"/>
      <c r="J142" s="983"/>
      <c r="K142" s="983"/>
      <c r="L142" s="983"/>
    </row>
    <row r="143" spans="1:12" ht="11.25" x14ac:dyDescent="0.2">
      <c r="A143" s="983"/>
      <c r="B143" s="983"/>
      <c r="C143" s="983"/>
      <c r="D143" s="983"/>
      <c r="E143" s="983"/>
      <c r="F143" s="983"/>
      <c r="G143" s="983"/>
      <c r="H143" s="983"/>
      <c r="I143" s="983"/>
      <c r="J143" s="983"/>
      <c r="K143" s="983"/>
      <c r="L143" s="983"/>
    </row>
    <row r="144" spans="1:12" ht="11.25" x14ac:dyDescent="0.2">
      <c r="A144" s="983"/>
      <c r="B144" s="983"/>
      <c r="C144" s="983"/>
      <c r="D144" s="983"/>
      <c r="E144" s="983"/>
      <c r="F144" s="983"/>
      <c r="G144" s="983"/>
      <c r="H144" s="983"/>
      <c r="I144" s="983"/>
      <c r="J144" s="983"/>
      <c r="K144" s="983"/>
      <c r="L144" s="983"/>
    </row>
    <row r="145" spans="1:12" ht="11.25" x14ac:dyDescent="0.2">
      <c r="A145" s="983"/>
      <c r="B145" s="983"/>
      <c r="C145" s="983"/>
      <c r="D145" s="983"/>
      <c r="E145" s="983"/>
      <c r="F145" s="983"/>
      <c r="G145" s="983"/>
      <c r="H145" s="983"/>
      <c r="I145" s="983"/>
      <c r="J145" s="983"/>
      <c r="K145" s="983"/>
      <c r="L145" s="983"/>
    </row>
    <row r="146" spans="1:12" ht="11.25" x14ac:dyDescent="0.2">
      <c r="A146" s="983"/>
      <c r="B146" s="983"/>
      <c r="C146" s="983"/>
      <c r="D146" s="983"/>
      <c r="E146" s="983"/>
      <c r="F146" s="983"/>
      <c r="G146" s="983"/>
      <c r="H146" s="983"/>
      <c r="I146" s="983"/>
      <c r="J146" s="983"/>
      <c r="K146" s="983"/>
      <c r="L146" s="983"/>
    </row>
    <row r="147" spans="1:12" ht="11.25" x14ac:dyDescent="0.2">
      <c r="A147" s="983"/>
      <c r="B147" s="983"/>
      <c r="C147" s="983"/>
      <c r="D147" s="983"/>
      <c r="E147" s="983"/>
      <c r="F147" s="983"/>
      <c r="G147" s="983"/>
      <c r="H147" s="983"/>
      <c r="I147" s="983"/>
      <c r="J147" s="983"/>
      <c r="K147" s="983"/>
      <c r="L147" s="983"/>
    </row>
    <row r="148" spans="1:12" ht="11.25" x14ac:dyDescent="0.2">
      <c r="A148" s="983"/>
      <c r="B148" s="983"/>
      <c r="C148" s="983"/>
      <c r="D148" s="983"/>
      <c r="E148" s="983"/>
      <c r="F148" s="983"/>
      <c r="G148" s="983"/>
      <c r="H148" s="983"/>
      <c r="I148" s="983"/>
      <c r="J148" s="983"/>
      <c r="K148" s="983"/>
      <c r="L148" s="983"/>
    </row>
    <row r="149" spans="1:12" ht="11.25" x14ac:dyDescent="0.2">
      <c r="A149" s="983"/>
      <c r="B149" s="983"/>
      <c r="C149" s="983"/>
      <c r="D149" s="983"/>
      <c r="E149" s="983"/>
      <c r="F149" s="983"/>
      <c r="G149" s="983"/>
      <c r="H149" s="983"/>
      <c r="I149" s="983"/>
      <c r="J149" s="983"/>
      <c r="K149" s="983"/>
      <c r="L149" s="983"/>
    </row>
    <row r="150" spans="1:12" ht="11.25" x14ac:dyDescent="0.2">
      <c r="A150" s="983"/>
      <c r="B150" s="983"/>
      <c r="C150" s="983"/>
      <c r="D150" s="983"/>
      <c r="E150" s="983"/>
      <c r="F150" s="983"/>
      <c r="G150" s="983"/>
      <c r="H150" s="983"/>
      <c r="I150" s="983"/>
      <c r="J150" s="983"/>
      <c r="K150" s="983"/>
      <c r="L150" s="983"/>
    </row>
    <row r="151" spans="1:12" ht="11.25" x14ac:dyDescent="0.2">
      <c r="A151" s="983"/>
      <c r="B151" s="983"/>
      <c r="C151" s="983"/>
      <c r="D151" s="983"/>
      <c r="E151" s="983"/>
      <c r="F151" s="983"/>
      <c r="G151" s="983"/>
      <c r="H151" s="983"/>
      <c r="I151" s="983"/>
      <c r="J151" s="983"/>
      <c r="K151" s="983"/>
      <c r="L151" s="983"/>
    </row>
    <row r="152" spans="1:12" ht="11.25" x14ac:dyDescent="0.2">
      <c r="A152" s="983"/>
      <c r="B152" s="983"/>
      <c r="C152" s="983"/>
      <c r="D152" s="983"/>
      <c r="E152" s="983"/>
      <c r="F152" s="983"/>
      <c r="G152" s="983"/>
      <c r="H152" s="983"/>
      <c r="I152" s="983"/>
      <c r="J152" s="983"/>
      <c r="K152" s="983"/>
      <c r="L152" s="983"/>
    </row>
    <row r="153" spans="1:12" ht="11.25" x14ac:dyDescent="0.2">
      <c r="A153" s="983"/>
      <c r="B153" s="983"/>
      <c r="C153" s="983"/>
      <c r="D153" s="983"/>
      <c r="E153" s="983"/>
      <c r="F153" s="983"/>
      <c r="G153" s="983"/>
      <c r="H153" s="983"/>
      <c r="I153" s="983"/>
      <c r="J153" s="983"/>
      <c r="K153" s="983"/>
      <c r="L153" s="983"/>
    </row>
    <row r="154" spans="1:12" ht="11.25" x14ac:dyDescent="0.2">
      <c r="A154" s="983"/>
      <c r="B154" s="983"/>
      <c r="C154" s="983"/>
      <c r="D154" s="983"/>
      <c r="E154" s="983"/>
      <c r="F154" s="983"/>
      <c r="G154" s="983"/>
      <c r="H154" s="983"/>
      <c r="I154" s="983"/>
      <c r="J154" s="983"/>
      <c r="K154" s="983"/>
      <c r="L154" s="983"/>
    </row>
    <row r="155" spans="1:12" ht="11.25" x14ac:dyDescent="0.2">
      <c r="A155" s="983"/>
      <c r="B155" s="983"/>
      <c r="C155" s="983"/>
      <c r="D155" s="983"/>
      <c r="E155" s="983"/>
      <c r="F155" s="983"/>
      <c r="G155" s="983"/>
      <c r="H155" s="983"/>
      <c r="I155" s="983"/>
      <c r="J155" s="983"/>
      <c r="K155" s="983"/>
      <c r="L155" s="983"/>
    </row>
    <row r="156" spans="1:12" ht="11.25" x14ac:dyDescent="0.2">
      <c r="A156" s="983"/>
      <c r="B156" s="983"/>
      <c r="C156" s="983"/>
      <c r="D156" s="983"/>
      <c r="E156" s="983"/>
      <c r="F156" s="983"/>
      <c r="G156" s="983"/>
      <c r="H156" s="983"/>
      <c r="I156" s="983"/>
      <c r="J156" s="983"/>
      <c r="K156" s="983"/>
      <c r="L156" s="983"/>
    </row>
    <row r="157" spans="1:12" ht="11.25" x14ac:dyDescent="0.2">
      <c r="A157" s="983"/>
      <c r="B157" s="983"/>
      <c r="C157" s="983"/>
      <c r="D157" s="983"/>
      <c r="E157" s="983"/>
      <c r="F157" s="983"/>
      <c r="G157" s="983"/>
      <c r="H157" s="983"/>
      <c r="I157" s="983"/>
      <c r="J157" s="983"/>
      <c r="K157" s="983"/>
      <c r="L157" s="983"/>
    </row>
    <row r="158" spans="1:12" ht="11.25" x14ac:dyDescent="0.2">
      <c r="A158" s="983"/>
      <c r="B158" s="983"/>
      <c r="C158" s="983"/>
      <c r="D158" s="983"/>
      <c r="E158" s="983"/>
      <c r="F158" s="983"/>
      <c r="G158" s="983"/>
      <c r="H158" s="983"/>
      <c r="I158" s="983"/>
      <c r="J158" s="983"/>
      <c r="K158" s="983"/>
      <c r="L158" s="983"/>
    </row>
    <row r="159" spans="1:12" ht="11.25" x14ac:dyDescent="0.2">
      <c r="A159" s="983"/>
      <c r="B159" s="983"/>
      <c r="C159" s="983"/>
      <c r="D159" s="983"/>
      <c r="E159" s="983"/>
      <c r="F159" s="983"/>
      <c r="G159" s="983"/>
      <c r="H159" s="983"/>
      <c r="I159" s="983"/>
      <c r="J159" s="983"/>
      <c r="K159" s="983"/>
      <c r="L159" s="983"/>
    </row>
    <row r="160" spans="1:12" ht="11.25" x14ac:dyDescent="0.2">
      <c r="A160" s="983"/>
      <c r="B160" s="983"/>
      <c r="C160" s="983"/>
      <c r="D160" s="983"/>
      <c r="E160" s="983"/>
      <c r="F160" s="983"/>
      <c r="G160" s="983"/>
      <c r="H160" s="983"/>
      <c r="I160" s="983"/>
      <c r="J160" s="983"/>
      <c r="K160" s="983"/>
      <c r="L160" s="983"/>
    </row>
    <row r="161" spans="1:12" ht="11.25" x14ac:dyDescent="0.2">
      <c r="A161" s="983"/>
      <c r="B161" s="983"/>
      <c r="C161" s="983"/>
      <c r="D161" s="983"/>
      <c r="E161" s="983"/>
      <c r="F161" s="983"/>
      <c r="G161" s="983"/>
      <c r="H161" s="983"/>
      <c r="I161" s="983"/>
      <c r="J161" s="983"/>
      <c r="K161" s="983"/>
      <c r="L161" s="983"/>
    </row>
    <row r="162" spans="1:12" ht="11.25" x14ac:dyDescent="0.2">
      <c r="A162" s="983"/>
      <c r="B162" s="983"/>
      <c r="C162" s="983"/>
      <c r="D162" s="983"/>
      <c r="E162" s="983"/>
      <c r="F162" s="983"/>
      <c r="G162" s="983"/>
      <c r="H162" s="983"/>
      <c r="I162" s="983"/>
      <c r="J162" s="983"/>
      <c r="K162" s="983"/>
      <c r="L162" s="983"/>
    </row>
    <row r="163" spans="1:12" ht="11.25" x14ac:dyDescent="0.2">
      <c r="A163" s="983"/>
      <c r="B163" s="983"/>
      <c r="C163" s="983"/>
      <c r="D163" s="983"/>
      <c r="E163" s="983"/>
      <c r="F163" s="983"/>
      <c r="G163" s="983"/>
      <c r="H163" s="983"/>
      <c r="I163" s="983"/>
      <c r="J163" s="983"/>
      <c r="K163" s="983"/>
      <c r="L163" s="983"/>
    </row>
    <row r="164" spans="1:12" ht="11.25" x14ac:dyDescent="0.2">
      <c r="A164" s="983"/>
      <c r="B164" s="983"/>
      <c r="C164" s="983"/>
      <c r="D164" s="983"/>
      <c r="E164" s="983"/>
      <c r="F164" s="983"/>
      <c r="G164" s="983"/>
      <c r="H164" s="983"/>
      <c r="I164" s="983"/>
      <c r="J164" s="983"/>
      <c r="K164" s="983"/>
      <c r="L164" s="983"/>
    </row>
    <row r="165" spans="1:12" ht="11.25" x14ac:dyDescent="0.2">
      <c r="A165" s="983"/>
      <c r="B165" s="983"/>
      <c r="C165" s="983"/>
      <c r="D165" s="983"/>
      <c r="E165" s="983"/>
      <c r="F165" s="983"/>
      <c r="G165" s="983"/>
      <c r="H165" s="983"/>
      <c r="I165" s="983"/>
      <c r="J165" s="983"/>
      <c r="K165" s="983"/>
      <c r="L165" s="983"/>
    </row>
    <row r="166" spans="1:12" ht="11.25" x14ac:dyDescent="0.2">
      <c r="A166" s="983"/>
      <c r="B166" s="983"/>
      <c r="C166" s="983"/>
      <c r="D166" s="983"/>
      <c r="E166" s="983"/>
      <c r="F166" s="983"/>
      <c r="G166" s="983"/>
      <c r="H166" s="983"/>
      <c r="I166" s="983"/>
      <c r="J166" s="983"/>
      <c r="K166" s="983"/>
      <c r="L166" s="983"/>
    </row>
    <row r="167" spans="1:12" ht="11.25" x14ac:dyDescent="0.2">
      <c r="A167" s="983"/>
      <c r="B167" s="983"/>
      <c r="C167" s="983"/>
      <c r="D167" s="983"/>
      <c r="E167" s="983"/>
      <c r="F167" s="983"/>
      <c r="G167" s="983"/>
      <c r="H167" s="983"/>
      <c r="I167" s="983"/>
      <c r="J167" s="983"/>
      <c r="K167" s="983"/>
      <c r="L167" s="983"/>
    </row>
    <row r="168" spans="1:12" ht="11.25" x14ac:dyDescent="0.2">
      <c r="A168" s="983"/>
      <c r="B168" s="983"/>
      <c r="C168" s="983"/>
      <c r="D168" s="983"/>
      <c r="E168" s="983"/>
      <c r="F168" s="983"/>
      <c r="G168" s="983"/>
      <c r="H168" s="983"/>
      <c r="I168" s="983"/>
      <c r="J168" s="983"/>
      <c r="K168" s="983"/>
      <c r="L168" s="983"/>
    </row>
    <row r="169" spans="1:12" ht="11.25" x14ac:dyDescent="0.2">
      <c r="A169" s="983"/>
      <c r="B169" s="983"/>
      <c r="C169" s="983"/>
      <c r="D169" s="983"/>
      <c r="E169" s="983"/>
      <c r="F169" s="983"/>
      <c r="G169" s="983"/>
      <c r="H169" s="983"/>
      <c r="I169" s="983"/>
      <c r="J169" s="983"/>
      <c r="K169" s="983"/>
      <c r="L169" s="983"/>
    </row>
  </sheetData>
  <mergeCells count="4">
    <mergeCell ref="A1:M1"/>
    <mergeCell ref="A2:M2"/>
    <mergeCell ref="A3:M3"/>
    <mergeCell ref="A4:M4"/>
  </mergeCells>
  <printOptions horizontalCentered="1"/>
  <pageMargins left="0.75" right="0.5" top="0.75" bottom="0.5" header="0.5" footer="0.5"/>
  <pageSetup scale="86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Z168"/>
  <sheetViews>
    <sheetView zoomScaleNormal="100" workbookViewId="0">
      <selection activeCell="F26" sqref="F26"/>
    </sheetView>
  </sheetViews>
  <sheetFormatPr defaultColWidth="9.33203125" defaultRowHeight="10.5" x14ac:dyDescent="0.15"/>
  <cols>
    <col min="1" max="1" width="6.83203125" style="984" customWidth="1"/>
    <col min="2" max="2" width="4" style="984" customWidth="1"/>
    <col min="3" max="3" width="23.6640625" style="984" bestFit="1" customWidth="1"/>
    <col min="4" max="4" width="3.83203125" style="984" customWidth="1"/>
    <col min="5" max="5" width="13.6640625" style="984" customWidth="1"/>
    <col min="6" max="6" width="3.83203125" style="984" customWidth="1"/>
    <col min="7" max="7" width="15.83203125" style="984" customWidth="1"/>
    <col min="8" max="8" width="3.83203125" style="984" customWidth="1"/>
    <col min="9" max="9" width="12" style="984" bestFit="1" customWidth="1"/>
    <col min="10" max="10" width="3.83203125" style="984" customWidth="1"/>
    <col min="11" max="11" width="14.1640625" style="984" bestFit="1" customWidth="1"/>
    <col min="12" max="12" width="3.83203125" style="984" customWidth="1"/>
    <col min="13" max="13" width="13.6640625" style="984" customWidth="1"/>
    <col min="14" max="14" width="2.83203125" style="984" customWidth="1"/>
    <col min="15" max="16384" width="9.33203125" style="984"/>
  </cols>
  <sheetData>
    <row r="1" spans="1:26" ht="12.75" x14ac:dyDescent="0.2">
      <c r="A1" s="2200" t="str">
        <f>co</f>
        <v>COLUMBIA GAS OF KENTUCKY, INC.</v>
      </c>
      <c r="B1" s="2200"/>
      <c r="C1" s="2200"/>
      <c r="D1" s="2200"/>
      <c r="E1" s="2200"/>
      <c r="F1" s="2200"/>
      <c r="G1" s="2200"/>
      <c r="H1" s="2200"/>
      <c r="I1" s="2200"/>
      <c r="J1" s="2200"/>
      <c r="K1" s="2200"/>
      <c r="L1" s="2200"/>
      <c r="M1" s="2200"/>
    </row>
    <row r="2" spans="1:26" ht="12.75" x14ac:dyDescent="0.2">
      <c r="A2" s="2200" t="str">
        <f>case</f>
        <v>CASE NO. 2016 - 00162</v>
      </c>
      <c r="B2" s="2200"/>
      <c r="C2" s="2200"/>
      <c r="D2" s="2200"/>
      <c r="E2" s="2200"/>
      <c r="F2" s="2200"/>
      <c r="G2" s="2200"/>
      <c r="H2" s="2200"/>
      <c r="I2" s="2200"/>
      <c r="J2" s="2200"/>
      <c r="K2" s="2200"/>
      <c r="L2" s="2200"/>
      <c r="M2" s="2200"/>
    </row>
    <row r="3" spans="1:26" ht="12.75" x14ac:dyDescent="0.2">
      <c r="A3" s="2201" t="s">
        <v>448</v>
      </c>
      <c r="B3" s="2201"/>
      <c r="C3" s="2201"/>
      <c r="D3" s="2201"/>
      <c r="E3" s="2201"/>
      <c r="F3" s="2201"/>
      <c r="G3" s="2201"/>
      <c r="H3" s="2201"/>
      <c r="I3" s="2201"/>
      <c r="J3" s="2201"/>
      <c r="K3" s="2201"/>
      <c r="L3" s="2201"/>
      <c r="M3" s="2201"/>
    </row>
    <row r="4" spans="1:26" ht="12.75" x14ac:dyDescent="0.2">
      <c r="A4" s="2202" t="s">
        <v>2025</v>
      </c>
      <c r="B4" s="2202"/>
      <c r="C4" s="2202"/>
      <c r="D4" s="2202"/>
      <c r="E4" s="2202"/>
      <c r="F4" s="2202"/>
      <c r="G4" s="2202"/>
      <c r="H4" s="2202"/>
      <c r="I4" s="2202"/>
      <c r="J4" s="2202"/>
      <c r="K4" s="2202"/>
      <c r="L4" s="2202"/>
      <c r="M4" s="2202"/>
    </row>
    <row r="5" spans="1:26" ht="12.75" x14ac:dyDescent="0.2">
      <c r="A5" s="1280"/>
      <c r="B5" s="1280"/>
      <c r="C5" s="1280"/>
      <c r="D5" s="1280"/>
      <c r="E5" s="1280"/>
      <c r="F5" s="1280"/>
      <c r="G5" s="1280"/>
      <c r="H5" s="1280"/>
      <c r="I5" s="1280"/>
      <c r="J5" s="1280"/>
      <c r="K5" s="1280"/>
      <c r="L5" s="1280"/>
      <c r="M5" s="1280"/>
    </row>
    <row r="6" spans="1:26" ht="12.75" x14ac:dyDescent="0.2">
      <c r="A6" s="1280"/>
      <c r="B6" s="1280"/>
      <c r="C6" s="1280"/>
      <c r="D6" s="1280"/>
      <c r="E6" s="1280"/>
      <c r="F6" s="1280"/>
      <c r="G6" s="1280"/>
      <c r="H6" s="1280"/>
      <c r="I6" s="1280"/>
      <c r="J6" s="1280"/>
      <c r="K6" s="1280"/>
      <c r="L6" s="1280"/>
      <c r="M6" s="1280"/>
    </row>
    <row r="7" spans="1:26" ht="12.75" x14ac:dyDescent="0.2">
      <c r="A7" s="982"/>
      <c r="B7" s="982"/>
      <c r="C7" s="982"/>
      <c r="D7" s="982"/>
      <c r="E7" s="982"/>
      <c r="F7" s="982"/>
      <c r="G7" s="982"/>
      <c r="H7" s="982"/>
      <c r="I7" s="982"/>
      <c r="J7" s="982"/>
      <c r="K7" s="982"/>
      <c r="L7" s="982"/>
      <c r="M7" s="982"/>
    </row>
    <row r="8" spans="1:26" ht="12.75" x14ac:dyDescent="0.2">
      <c r="A8" s="990" t="s">
        <v>1780</v>
      </c>
      <c r="B8" s="982"/>
      <c r="C8" s="982"/>
      <c r="D8" s="982"/>
      <c r="E8" s="982"/>
      <c r="F8" s="982"/>
      <c r="G8" s="982"/>
      <c r="H8" s="982"/>
      <c r="I8" s="982"/>
      <c r="J8" s="982"/>
      <c r="K8" s="983"/>
      <c r="L8" s="982"/>
      <c r="M8" s="991" t="s">
        <v>455</v>
      </c>
    </row>
    <row r="9" spans="1:26" ht="12.75" x14ac:dyDescent="0.2">
      <c r="A9" s="990" t="s">
        <v>977</v>
      </c>
      <c r="B9" s="982"/>
      <c r="C9" s="982"/>
      <c r="D9" s="982"/>
      <c r="E9" s="982"/>
      <c r="F9" s="982"/>
      <c r="G9" s="982"/>
      <c r="H9" s="982"/>
      <c r="I9" s="982"/>
      <c r="J9" s="982"/>
      <c r="K9" s="983"/>
      <c r="L9" s="982"/>
      <c r="M9" s="991" t="s">
        <v>1111</v>
      </c>
    </row>
    <row r="10" spans="1:26" ht="12.75" x14ac:dyDescent="0.2">
      <c r="A10" s="992" t="s">
        <v>996</v>
      </c>
      <c r="B10" s="993"/>
      <c r="C10" s="993"/>
      <c r="D10" s="993"/>
      <c r="E10" s="993"/>
      <c r="F10" s="993"/>
      <c r="G10" s="993"/>
      <c r="H10" s="993"/>
      <c r="I10" s="993"/>
      <c r="J10" s="993"/>
      <c r="K10" s="994"/>
      <c r="L10" s="993"/>
      <c r="M10" s="995" t="str">
        <f>'J-1 Cost of Capital Summary'!M10</f>
        <v>WITNESS: P. R. MOUL</v>
      </c>
    </row>
    <row r="11" spans="1:26" s="996" customFormat="1" ht="12.75" x14ac:dyDescent="0.2">
      <c r="A11" s="985" t="s">
        <v>632</v>
      </c>
      <c r="B11" s="985"/>
      <c r="C11" s="985"/>
      <c r="D11" s="985"/>
      <c r="E11" s="985" t="s">
        <v>757</v>
      </c>
      <c r="F11" s="985"/>
      <c r="G11" s="985"/>
      <c r="H11" s="985"/>
      <c r="I11" s="985" t="s">
        <v>676</v>
      </c>
      <c r="J11" s="985"/>
      <c r="K11" s="985"/>
      <c r="L11" s="985"/>
      <c r="M11" s="985" t="s">
        <v>457</v>
      </c>
    </row>
    <row r="12" spans="1:26" s="996" customFormat="1" ht="12.75" x14ac:dyDescent="0.2">
      <c r="A12" s="997" t="s">
        <v>635</v>
      </c>
      <c r="B12" s="997"/>
      <c r="C12" s="997" t="s">
        <v>458</v>
      </c>
      <c r="D12" s="997"/>
      <c r="E12" s="997" t="s">
        <v>637</v>
      </c>
      <c r="F12" s="997"/>
      <c r="G12" s="997" t="s">
        <v>771</v>
      </c>
      <c r="H12" s="997"/>
      <c r="I12" s="997" t="s">
        <v>459</v>
      </c>
      <c r="J12" s="997"/>
      <c r="K12" s="997" t="s">
        <v>460</v>
      </c>
      <c r="L12" s="997"/>
      <c r="M12" s="997" t="s">
        <v>780</v>
      </c>
    </row>
    <row r="13" spans="1:26" s="996" customFormat="1" ht="12.75" x14ac:dyDescent="0.2">
      <c r="A13" s="998"/>
      <c r="B13" s="998"/>
      <c r="C13" s="999" t="s">
        <v>834</v>
      </c>
      <c r="D13" s="985"/>
      <c r="E13" s="999" t="s">
        <v>835</v>
      </c>
      <c r="F13" s="985"/>
      <c r="G13" s="999" t="s">
        <v>836</v>
      </c>
      <c r="H13" s="985"/>
      <c r="I13" s="999" t="s">
        <v>837</v>
      </c>
      <c r="J13" s="985"/>
      <c r="K13" s="999" t="s">
        <v>838</v>
      </c>
      <c r="L13" s="985"/>
      <c r="M13" s="998" t="s">
        <v>461</v>
      </c>
    </row>
    <row r="14" spans="1:26" s="996" customFormat="1" ht="12.75" x14ac:dyDescent="0.2">
      <c r="A14" s="985"/>
      <c r="B14" s="985"/>
      <c r="C14" s="985"/>
      <c r="D14" s="985"/>
      <c r="E14" s="985"/>
      <c r="F14" s="985"/>
      <c r="G14" s="1000" t="s">
        <v>639</v>
      </c>
      <c r="H14" s="985"/>
      <c r="I14" s="999" t="s">
        <v>680</v>
      </c>
      <c r="J14" s="985"/>
      <c r="K14" s="999" t="s">
        <v>680</v>
      </c>
      <c r="L14" s="985"/>
      <c r="M14" s="999" t="s">
        <v>680</v>
      </c>
    </row>
    <row r="15" spans="1:26" ht="12.75" x14ac:dyDescent="0.2">
      <c r="A15" s="991"/>
      <c r="B15" s="982"/>
      <c r="C15" s="1001"/>
      <c r="D15" s="1001"/>
      <c r="E15" s="1001"/>
      <c r="F15" s="1001"/>
      <c r="G15" s="1002"/>
      <c r="H15" s="1001"/>
      <c r="I15" s="1001"/>
      <c r="J15" s="1001"/>
      <c r="K15" s="1001"/>
      <c r="L15" s="1001"/>
      <c r="M15" s="1001"/>
    </row>
    <row r="16" spans="1:26" ht="12.75" x14ac:dyDescent="0.2">
      <c r="A16" s="985" t="s">
        <v>640</v>
      </c>
      <c r="B16" s="982"/>
      <c r="C16" s="1001" t="s">
        <v>462</v>
      </c>
      <c r="D16" s="1001"/>
      <c r="E16" s="1875" t="s">
        <v>860</v>
      </c>
      <c r="F16" s="1001"/>
      <c r="G16" s="1281">
        <v>5779000</v>
      </c>
      <c r="H16" s="1001"/>
      <c r="I16" s="1282">
        <f>ROUND(G16/$G$24,5)</f>
        <v>2.7390000000000001E-2</v>
      </c>
      <c r="J16" s="1001"/>
      <c r="K16" s="1795">
        <v>1.7999999999999999E-2</v>
      </c>
      <c r="L16" s="1001"/>
      <c r="M16" s="1282">
        <f>ROUND(K16*I16,4)</f>
        <v>5.0000000000000001E-4</v>
      </c>
      <c r="N16" s="1003"/>
      <c r="R16" s="2027"/>
      <c r="S16" s="1003"/>
      <c r="T16" s="1003"/>
      <c r="U16" s="1003"/>
      <c r="V16" s="1003"/>
      <c r="W16" s="1003"/>
      <c r="X16" s="1003"/>
      <c r="Y16" s="1003"/>
      <c r="Z16" s="1003"/>
    </row>
    <row r="17" spans="1:26" ht="12.75" x14ac:dyDescent="0.2">
      <c r="A17" s="985"/>
      <c r="B17" s="982"/>
      <c r="C17" s="982"/>
      <c r="D17" s="982"/>
      <c r="E17" s="1284"/>
      <c r="F17" s="982"/>
      <c r="G17" s="1281"/>
      <c r="H17" s="1001"/>
      <c r="I17" s="1861"/>
      <c r="J17" s="1001"/>
      <c r="K17" s="1283"/>
      <c r="L17" s="1001"/>
      <c r="M17" s="1001"/>
      <c r="R17" s="1003"/>
      <c r="S17" s="1003"/>
      <c r="T17" s="1003"/>
      <c r="U17" s="1003"/>
      <c r="V17" s="1003"/>
      <c r="W17" s="1003"/>
      <c r="X17" s="1003"/>
      <c r="Y17" s="1003"/>
      <c r="Z17" s="1003"/>
    </row>
    <row r="18" spans="1:26" ht="12.75" x14ac:dyDescent="0.2">
      <c r="A18" s="985" t="s">
        <v>643</v>
      </c>
      <c r="B18" s="982"/>
      <c r="C18" s="982" t="s">
        <v>463</v>
      </c>
      <c r="D18" s="982"/>
      <c r="E18" s="1875" t="s">
        <v>860</v>
      </c>
      <c r="F18" s="982"/>
      <c r="G18" s="1281">
        <v>87585000</v>
      </c>
      <c r="H18" s="1001"/>
      <c r="I18" s="1861">
        <f>ROUND(G18/$G$24,5)</f>
        <v>0.41514000000000001</v>
      </c>
      <c r="J18" s="1001"/>
      <c r="K18" s="1795">
        <v>5.8700000000000002E-2</v>
      </c>
      <c r="L18" s="1001"/>
      <c r="M18" s="1282">
        <f>ROUND(K18*I18,4)</f>
        <v>2.4400000000000002E-2</v>
      </c>
      <c r="O18" s="1004"/>
      <c r="R18" s="2027"/>
      <c r="S18" s="2027"/>
      <c r="T18" s="2027"/>
      <c r="U18" s="2027"/>
      <c r="V18" s="2027"/>
      <c r="W18" s="1003"/>
      <c r="X18" s="1003"/>
      <c r="Y18" s="1003"/>
      <c r="Z18" s="1003"/>
    </row>
    <row r="19" spans="1:26" ht="12.75" x14ac:dyDescent="0.2">
      <c r="A19" s="985"/>
      <c r="B19" s="982"/>
      <c r="C19" s="982"/>
      <c r="D19" s="982"/>
      <c r="E19" s="1284"/>
      <c r="F19" s="982"/>
      <c r="G19" s="1281"/>
      <c r="H19" s="1001"/>
      <c r="I19" s="1861"/>
      <c r="J19" s="1001"/>
      <c r="K19" s="1283"/>
      <c r="L19" s="1001"/>
      <c r="M19" s="1001"/>
      <c r="R19" s="1003"/>
      <c r="S19" s="1003"/>
      <c r="T19" s="1003"/>
      <c r="U19" s="1003"/>
      <c r="V19" s="1003"/>
      <c r="W19" s="1003"/>
      <c r="X19" s="1003"/>
      <c r="Y19" s="1003"/>
      <c r="Z19" s="1003"/>
    </row>
    <row r="20" spans="1:26" ht="12.75" x14ac:dyDescent="0.2">
      <c r="A20" s="985" t="s">
        <v>646</v>
      </c>
      <c r="B20" s="982"/>
      <c r="C20" s="982" t="s">
        <v>464</v>
      </c>
      <c r="D20" s="982"/>
      <c r="E20" s="1875" t="s">
        <v>860</v>
      </c>
      <c r="F20" s="982"/>
      <c r="G20" s="1281">
        <v>0</v>
      </c>
      <c r="H20" s="1001"/>
      <c r="I20" s="1861">
        <f>ROUND(G20/$G$24,4)</f>
        <v>0</v>
      </c>
      <c r="J20" s="1001"/>
      <c r="K20" s="1795">
        <v>0</v>
      </c>
      <c r="L20" s="1001"/>
      <c r="M20" s="1282">
        <f>ROUND(K20*I20,4)</f>
        <v>0</v>
      </c>
      <c r="R20" s="2028"/>
      <c r="S20" s="1003"/>
      <c r="T20" s="1003"/>
      <c r="U20" s="1003"/>
      <c r="V20" s="1003"/>
      <c r="W20" s="1003"/>
      <c r="X20" s="1003"/>
      <c r="Y20" s="1003"/>
      <c r="Z20" s="1003"/>
    </row>
    <row r="21" spans="1:26" ht="12.75" x14ac:dyDescent="0.2">
      <c r="A21" s="985"/>
      <c r="B21" s="982"/>
      <c r="C21" s="982"/>
      <c r="D21" s="982"/>
      <c r="E21" s="1001"/>
      <c r="F21" s="982"/>
      <c r="G21" s="1281"/>
      <c r="H21" s="1001"/>
      <c r="I21" s="1861"/>
      <c r="J21" s="1001"/>
      <c r="K21" s="1283"/>
      <c r="L21" s="1001"/>
      <c r="M21" s="1001"/>
    </row>
    <row r="22" spans="1:26" ht="12.75" x14ac:dyDescent="0.2">
      <c r="A22" s="985" t="s">
        <v>649</v>
      </c>
      <c r="B22" s="982"/>
      <c r="C22" s="982" t="s">
        <v>465</v>
      </c>
      <c r="D22" s="982"/>
      <c r="E22" s="1875" t="s">
        <v>860</v>
      </c>
      <c r="F22" s="982"/>
      <c r="G22" s="1789">
        <v>117614000</v>
      </c>
      <c r="H22" s="1001"/>
      <c r="I22" s="1862">
        <f>ROUND(G22/$G$24,5)</f>
        <v>0.55747000000000002</v>
      </c>
      <c r="J22" s="1001"/>
      <c r="K22" s="1788">
        <v>0.11</v>
      </c>
      <c r="L22" s="1001"/>
      <c r="M22" s="1285">
        <f>ROUND(K22*I22,4)</f>
        <v>6.13E-2</v>
      </c>
    </row>
    <row r="23" spans="1:26" ht="12.75" x14ac:dyDescent="0.2">
      <c r="A23" s="985"/>
      <c r="B23" s="982"/>
      <c r="C23" s="982"/>
      <c r="D23" s="982"/>
      <c r="E23" s="982"/>
      <c r="F23" s="982"/>
      <c r="G23" s="1002"/>
      <c r="H23" s="1001"/>
      <c r="I23" s="1861"/>
      <c r="J23" s="1001"/>
      <c r="K23" s="1001"/>
      <c r="L23" s="1001"/>
      <c r="M23" s="1001"/>
    </row>
    <row r="24" spans="1:26" ht="12.75" x14ac:dyDescent="0.2">
      <c r="A24" s="985" t="s">
        <v>652</v>
      </c>
      <c r="B24" s="982"/>
      <c r="C24" s="982" t="s">
        <v>466</v>
      </c>
      <c r="D24" s="982"/>
      <c r="E24" s="982"/>
      <c r="F24" s="982"/>
      <c r="G24" s="1002">
        <f>SUM(G16:G22)</f>
        <v>210978000</v>
      </c>
      <c r="H24" s="1001"/>
      <c r="I24" s="1861">
        <f>SUM(I16:I22)</f>
        <v>1</v>
      </c>
      <c r="J24" s="1001"/>
      <c r="K24" s="1001"/>
      <c r="L24" s="1001"/>
      <c r="M24" s="1282">
        <f>SUM(M16:M22)</f>
        <v>8.6199999999999999E-2</v>
      </c>
    </row>
    <row r="25" spans="1:26" ht="12.75" x14ac:dyDescent="0.2">
      <c r="A25" s="991"/>
      <c r="B25" s="982"/>
      <c r="C25" s="982"/>
      <c r="D25" s="982"/>
      <c r="E25" s="982"/>
      <c r="F25" s="982"/>
      <c r="G25" s="1005"/>
      <c r="H25" s="1001"/>
      <c r="I25" s="1863"/>
      <c r="J25" s="982"/>
      <c r="K25" s="982"/>
      <c r="L25" s="982"/>
      <c r="M25" s="982"/>
    </row>
    <row r="26" spans="1:26" ht="12.75" x14ac:dyDescent="0.2">
      <c r="A26" s="991"/>
      <c r="B26" s="982"/>
      <c r="C26" s="982"/>
      <c r="D26" s="982"/>
      <c r="E26" s="982"/>
      <c r="F26" s="982"/>
      <c r="G26" s="982"/>
      <c r="H26" s="982"/>
      <c r="I26" s="982"/>
      <c r="J26" s="982"/>
      <c r="K26" s="982"/>
      <c r="L26" s="982"/>
      <c r="M26" s="982"/>
    </row>
    <row r="27" spans="1:26" ht="11.25" x14ac:dyDescent="0.2">
      <c r="A27" s="1006"/>
      <c r="B27" s="983"/>
      <c r="C27" s="983"/>
      <c r="D27" s="983"/>
      <c r="E27" s="983"/>
      <c r="F27" s="983"/>
      <c r="G27" s="983"/>
      <c r="H27" s="983"/>
      <c r="I27" s="983"/>
      <c r="J27" s="983"/>
      <c r="K27" s="983"/>
      <c r="L27" s="983"/>
      <c r="M27" s="983"/>
    </row>
    <row r="28" spans="1:26" ht="12.75" x14ac:dyDescent="0.2">
      <c r="A28" s="983"/>
      <c r="B28" s="1167"/>
      <c r="C28" s="1001" t="s">
        <v>467</v>
      </c>
      <c r="D28" s="1167"/>
      <c r="E28" s="1167"/>
      <c r="F28" s="1167"/>
      <c r="G28" s="1167"/>
      <c r="H28" s="1167"/>
      <c r="I28" s="1167"/>
      <c r="J28" s="1167"/>
      <c r="K28" s="1167"/>
      <c r="L28" s="1167"/>
      <c r="M28" s="1167"/>
    </row>
    <row r="29" spans="1:26" ht="11.25" x14ac:dyDescent="0.2">
      <c r="A29" s="983"/>
      <c r="B29" s="983"/>
      <c r="C29" s="1167"/>
      <c r="D29" s="1167"/>
      <c r="E29" s="1167"/>
      <c r="F29" s="1167"/>
      <c r="G29" s="1167"/>
      <c r="H29" s="1167"/>
      <c r="I29" s="1167"/>
      <c r="J29" s="1167"/>
      <c r="K29" s="1167"/>
      <c r="L29" s="1167"/>
      <c r="M29" s="1167"/>
    </row>
    <row r="30" spans="1:26" ht="11.25" x14ac:dyDescent="0.2">
      <c r="A30" s="983"/>
      <c r="B30" s="983"/>
      <c r="C30" s="983"/>
      <c r="D30" s="983"/>
      <c r="E30" s="983"/>
      <c r="F30" s="983"/>
      <c r="G30" s="983"/>
      <c r="H30" s="983"/>
      <c r="I30" s="983"/>
      <c r="J30" s="983"/>
      <c r="K30" s="983"/>
      <c r="L30" s="983"/>
      <c r="M30" s="983"/>
    </row>
    <row r="31" spans="1:26" ht="11.25" x14ac:dyDescent="0.2">
      <c r="A31" s="983"/>
      <c r="B31" s="983"/>
      <c r="C31" s="983"/>
      <c r="D31" s="983"/>
      <c r="E31" s="983"/>
      <c r="F31" s="983"/>
      <c r="G31" s="983"/>
      <c r="H31" s="983"/>
      <c r="I31" s="983"/>
      <c r="J31" s="983"/>
      <c r="K31" s="983"/>
      <c r="L31" s="983"/>
      <c r="M31" s="983"/>
    </row>
    <row r="32" spans="1:26" ht="11.25" x14ac:dyDescent="0.2">
      <c r="A32" s="983"/>
      <c r="B32" s="983"/>
      <c r="C32" s="983"/>
      <c r="D32" s="983"/>
      <c r="E32" s="983"/>
      <c r="F32" s="983"/>
      <c r="G32" s="983"/>
      <c r="H32" s="983"/>
      <c r="I32" s="983"/>
      <c r="J32" s="983"/>
      <c r="K32" s="983"/>
      <c r="L32" s="983"/>
      <c r="M32" s="983"/>
    </row>
    <row r="33" spans="1:13" ht="11.25" x14ac:dyDescent="0.2">
      <c r="A33" s="983"/>
      <c r="B33" s="983"/>
      <c r="C33" s="983"/>
      <c r="D33" s="983"/>
      <c r="E33" s="983"/>
      <c r="F33" s="983"/>
      <c r="G33" s="983"/>
      <c r="H33" s="983"/>
      <c r="I33" s="983"/>
      <c r="J33" s="983"/>
      <c r="K33" s="983"/>
      <c r="L33" s="983"/>
      <c r="M33" s="983"/>
    </row>
    <row r="34" spans="1:13" ht="11.25" x14ac:dyDescent="0.2">
      <c r="A34" s="983"/>
      <c r="B34" s="983"/>
      <c r="C34" s="983"/>
      <c r="D34" s="983"/>
      <c r="E34" s="983"/>
      <c r="F34" s="983"/>
      <c r="G34" s="983"/>
      <c r="H34" s="983"/>
      <c r="I34" s="983"/>
      <c r="J34" s="983"/>
      <c r="K34" s="983"/>
      <c r="L34" s="983"/>
      <c r="M34" s="983"/>
    </row>
    <row r="35" spans="1:13" ht="11.25" x14ac:dyDescent="0.2">
      <c r="A35" s="983"/>
      <c r="B35" s="983"/>
      <c r="C35" s="983"/>
      <c r="D35" s="983"/>
      <c r="E35" s="983"/>
      <c r="F35" s="983"/>
      <c r="G35" s="983"/>
      <c r="H35" s="983"/>
      <c r="I35" s="983"/>
      <c r="J35" s="983"/>
      <c r="K35" s="983"/>
      <c r="L35" s="983"/>
      <c r="M35" s="983"/>
    </row>
    <row r="36" spans="1:13" ht="11.25" x14ac:dyDescent="0.2">
      <c r="A36" s="983"/>
      <c r="B36" s="983"/>
      <c r="C36" s="983"/>
      <c r="D36" s="983"/>
      <c r="E36" s="983"/>
      <c r="F36" s="983"/>
      <c r="G36" s="983"/>
      <c r="H36" s="983"/>
      <c r="I36" s="983"/>
      <c r="J36" s="983"/>
      <c r="K36" s="983"/>
      <c r="L36" s="983"/>
      <c r="M36" s="983"/>
    </row>
    <row r="37" spans="1:13" ht="11.25" x14ac:dyDescent="0.2">
      <c r="A37" s="983"/>
      <c r="B37" s="983"/>
      <c r="C37" s="983"/>
      <c r="D37" s="983"/>
      <c r="E37" s="983"/>
      <c r="F37" s="983"/>
      <c r="G37" s="983"/>
      <c r="H37" s="983"/>
      <c r="I37" s="983"/>
      <c r="J37" s="983"/>
      <c r="K37" s="983"/>
      <c r="L37" s="983"/>
      <c r="M37" s="983"/>
    </row>
    <row r="38" spans="1:13" ht="11.25" x14ac:dyDescent="0.2">
      <c r="A38" s="983"/>
      <c r="B38" s="983"/>
      <c r="C38" s="983"/>
      <c r="D38" s="983"/>
      <c r="E38" s="983"/>
      <c r="F38" s="983"/>
      <c r="G38" s="983"/>
      <c r="H38" s="983"/>
      <c r="I38" s="983"/>
      <c r="J38" s="983"/>
      <c r="K38" s="983"/>
      <c r="L38" s="983"/>
      <c r="M38" s="983"/>
    </row>
    <row r="39" spans="1:13" ht="11.25" x14ac:dyDescent="0.2">
      <c r="A39" s="983"/>
      <c r="B39" s="983"/>
      <c r="C39" s="983"/>
      <c r="D39" s="983"/>
      <c r="E39" s="983"/>
      <c r="F39" s="983"/>
      <c r="G39" s="983"/>
      <c r="H39" s="983"/>
      <c r="I39" s="983"/>
      <c r="J39" s="983"/>
      <c r="K39" s="983"/>
      <c r="L39" s="983"/>
      <c r="M39" s="983"/>
    </row>
    <row r="40" spans="1:13" ht="11.25" x14ac:dyDescent="0.2">
      <c r="A40" s="983"/>
      <c r="B40" s="983"/>
      <c r="C40" s="983"/>
      <c r="D40" s="983"/>
      <c r="E40" s="983"/>
      <c r="F40" s="983"/>
      <c r="G40" s="983"/>
      <c r="H40" s="983"/>
      <c r="I40" s="983"/>
      <c r="J40" s="983"/>
      <c r="K40" s="983"/>
      <c r="L40" s="983"/>
      <c r="M40" s="983"/>
    </row>
    <row r="41" spans="1:13" ht="11.25" x14ac:dyDescent="0.2">
      <c r="A41" s="983"/>
      <c r="B41" s="983"/>
      <c r="C41" s="983"/>
      <c r="D41" s="983"/>
      <c r="E41" s="983"/>
      <c r="F41" s="983"/>
      <c r="G41" s="983"/>
      <c r="H41" s="983"/>
      <c r="I41" s="983"/>
      <c r="J41" s="983"/>
      <c r="K41" s="983"/>
      <c r="L41" s="983"/>
      <c r="M41" s="983"/>
    </row>
    <row r="42" spans="1:13" ht="11.25" x14ac:dyDescent="0.2">
      <c r="A42" s="983"/>
      <c r="B42" s="983"/>
      <c r="C42" s="983"/>
      <c r="D42" s="983"/>
      <c r="E42" s="983"/>
      <c r="F42" s="983"/>
      <c r="G42" s="983"/>
      <c r="H42" s="983"/>
      <c r="I42" s="983"/>
      <c r="J42" s="983"/>
      <c r="K42" s="983"/>
      <c r="L42" s="983"/>
      <c r="M42" s="983"/>
    </row>
    <row r="43" spans="1:13" ht="11.25" x14ac:dyDescent="0.2">
      <c r="A43" s="983"/>
      <c r="B43" s="983"/>
      <c r="C43" s="983"/>
      <c r="D43" s="983"/>
      <c r="E43" s="983"/>
      <c r="F43" s="983"/>
      <c r="G43" s="983"/>
      <c r="H43" s="983"/>
      <c r="I43" s="983"/>
      <c r="J43" s="983"/>
      <c r="K43" s="983"/>
      <c r="L43" s="983"/>
      <c r="M43" s="983"/>
    </row>
    <row r="44" spans="1:13" ht="11.25" x14ac:dyDescent="0.2">
      <c r="A44" s="983"/>
      <c r="B44" s="983"/>
      <c r="C44" s="983"/>
      <c r="D44" s="983"/>
      <c r="E44" s="983"/>
      <c r="F44" s="983"/>
      <c r="G44" s="983"/>
      <c r="H44" s="983"/>
      <c r="I44" s="983"/>
      <c r="J44" s="983"/>
      <c r="K44" s="983"/>
      <c r="L44" s="983"/>
      <c r="M44" s="983"/>
    </row>
    <row r="45" spans="1:13" ht="11.25" x14ac:dyDescent="0.2">
      <c r="A45" s="983"/>
      <c r="B45" s="983"/>
      <c r="C45" s="983"/>
      <c r="D45" s="983"/>
      <c r="E45" s="983"/>
      <c r="F45" s="983"/>
      <c r="G45" s="983"/>
      <c r="H45" s="983"/>
      <c r="I45" s="983"/>
      <c r="J45" s="983"/>
      <c r="K45" s="983"/>
      <c r="L45" s="983"/>
      <c r="M45" s="983"/>
    </row>
    <row r="46" spans="1:13" ht="11.25" x14ac:dyDescent="0.2">
      <c r="A46" s="983"/>
      <c r="B46" s="983"/>
      <c r="C46" s="983"/>
      <c r="D46" s="983"/>
      <c r="E46" s="983"/>
      <c r="F46" s="983"/>
      <c r="G46" s="983"/>
      <c r="H46" s="983"/>
      <c r="I46" s="983"/>
      <c r="J46" s="983"/>
      <c r="K46" s="983"/>
      <c r="L46" s="983"/>
      <c r="M46" s="983"/>
    </row>
    <row r="47" spans="1:13" ht="11.25" x14ac:dyDescent="0.2">
      <c r="A47" s="983"/>
      <c r="B47" s="983"/>
      <c r="C47" s="983"/>
      <c r="D47" s="983"/>
      <c r="E47" s="983"/>
      <c r="F47" s="983"/>
      <c r="G47" s="983"/>
      <c r="H47" s="983"/>
      <c r="I47" s="983"/>
      <c r="J47" s="983"/>
      <c r="K47" s="983"/>
      <c r="L47" s="983"/>
      <c r="M47" s="983"/>
    </row>
    <row r="48" spans="1:13" ht="11.25" x14ac:dyDescent="0.2">
      <c r="A48" s="983"/>
      <c r="B48" s="983"/>
      <c r="C48" s="983"/>
      <c r="D48" s="983"/>
      <c r="E48" s="983"/>
      <c r="F48" s="983"/>
      <c r="G48" s="983"/>
      <c r="H48" s="983"/>
      <c r="I48" s="983"/>
      <c r="J48" s="983"/>
      <c r="K48" s="983"/>
      <c r="L48" s="983"/>
      <c r="M48" s="983"/>
    </row>
    <row r="49" spans="1:13" ht="11.25" x14ac:dyDescent="0.2">
      <c r="A49" s="983"/>
      <c r="B49" s="983"/>
      <c r="C49" s="983"/>
      <c r="D49" s="983"/>
      <c r="E49" s="983"/>
      <c r="F49" s="983"/>
      <c r="G49" s="983"/>
      <c r="H49" s="983"/>
      <c r="I49" s="983"/>
      <c r="J49" s="983"/>
      <c r="K49" s="983"/>
      <c r="L49" s="983"/>
      <c r="M49" s="983"/>
    </row>
    <row r="50" spans="1:13" ht="11.25" x14ac:dyDescent="0.2">
      <c r="A50" s="983"/>
      <c r="B50" s="983"/>
      <c r="C50" s="983"/>
      <c r="D50" s="983"/>
      <c r="E50" s="983"/>
      <c r="F50" s="983"/>
      <c r="G50" s="983"/>
      <c r="H50" s="983"/>
      <c r="I50" s="983"/>
      <c r="J50" s="983"/>
      <c r="K50" s="983"/>
      <c r="L50" s="983"/>
      <c r="M50" s="983"/>
    </row>
    <row r="51" spans="1:13" ht="11.25" x14ac:dyDescent="0.2">
      <c r="A51" s="983"/>
      <c r="B51" s="983"/>
      <c r="C51" s="983"/>
      <c r="D51" s="983"/>
      <c r="E51" s="983"/>
      <c r="F51" s="983"/>
      <c r="G51" s="983"/>
      <c r="H51" s="983"/>
      <c r="I51" s="983"/>
      <c r="J51" s="983"/>
      <c r="K51" s="983"/>
      <c r="L51" s="983"/>
      <c r="M51" s="983"/>
    </row>
    <row r="52" spans="1:13" ht="11.25" x14ac:dyDescent="0.2">
      <c r="A52" s="983"/>
      <c r="B52" s="983"/>
      <c r="C52" s="983"/>
      <c r="D52" s="983"/>
      <c r="E52" s="983"/>
      <c r="F52" s="983"/>
      <c r="G52" s="983"/>
      <c r="H52" s="983"/>
      <c r="I52" s="983"/>
      <c r="J52" s="983"/>
      <c r="K52" s="983"/>
      <c r="L52" s="983"/>
      <c r="M52" s="983"/>
    </row>
    <row r="53" spans="1:13" ht="11.25" x14ac:dyDescent="0.2">
      <c r="A53" s="983"/>
      <c r="B53" s="983"/>
      <c r="C53" s="983"/>
      <c r="D53" s="983"/>
      <c r="E53" s="983"/>
      <c r="F53" s="983"/>
      <c r="G53" s="983"/>
      <c r="H53" s="983"/>
      <c r="I53" s="983"/>
      <c r="J53" s="983"/>
      <c r="K53" s="983"/>
      <c r="L53" s="983"/>
      <c r="M53" s="983"/>
    </row>
    <row r="54" spans="1:13" ht="11.25" x14ac:dyDescent="0.2">
      <c r="A54" s="983"/>
      <c r="B54" s="983"/>
      <c r="C54" s="983"/>
      <c r="D54" s="983"/>
      <c r="E54" s="983"/>
      <c r="F54" s="983"/>
      <c r="G54" s="983"/>
      <c r="H54" s="983"/>
      <c r="I54" s="983"/>
      <c r="J54" s="983"/>
      <c r="K54" s="983"/>
      <c r="L54" s="983"/>
      <c r="M54" s="983"/>
    </row>
    <row r="55" spans="1:13" ht="11.25" x14ac:dyDescent="0.2">
      <c r="A55" s="983"/>
      <c r="B55" s="983"/>
      <c r="C55" s="983"/>
      <c r="D55" s="983"/>
      <c r="E55" s="983"/>
      <c r="F55" s="983"/>
      <c r="G55" s="983"/>
      <c r="H55" s="983"/>
      <c r="I55" s="983"/>
      <c r="J55" s="983"/>
      <c r="K55" s="983"/>
      <c r="L55" s="983"/>
      <c r="M55" s="983"/>
    </row>
    <row r="56" spans="1:13" ht="11.25" x14ac:dyDescent="0.2">
      <c r="A56" s="983"/>
      <c r="B56" s="983"/>
      <c r="C56" s="983"/>
      <c r="D56" s="983"/>
      <c r="E56" s="983"/>
      <c r="F56" s="983"/>
      <c r="G56" s="983"/>
      <c r="H56" s="983"/>
      <c r="I56" s="983"/>
      <c r="J56" s="983"/>
      <c r="K56" s="983"/>
      <c r="L56" s="983"/>
      <c r="M56" s="983"/>
    </row>
    <row r="57" spans="1:13" ht="11.25" x14ac:dyDescent="0.2">
      <c r="A57" s="983"/>
      <c r="B57" s="983"/>
      <c r="C57" s="983"/>
      <c r="D57" s="983"/>
      <c r="E57" s="983"/>
      <c r="F57" s="983"/>
      <c r="G57" s="983"/>
      <c r="H57" s="983"/>
      <c r="I57" s="983"/>
      <c r="J57" s="983"/>
      <c r="K57" s="983"/>
      <c r="L57" s="983"/>
      <c r="M57" s="983"/>
    </row>
    <row r="58" spans="1:13" ht="11.25" x14ac:dyDescent="0.2">
      <c r="A58" s="983"/>
      <c r="B58" s="983"/>
      <c r="C58" s="983"/>
      <c r="D58" s="983"/>
      <c r="E58" s="983"/>
      <c r="F58" s="983"/>
      <c r="G58" s="983"/>
      <c r="H58" s="983"/>
      <c r="I58" s="983"/>
      <c r="J58" s="983"/>
      <c r="K58" s="983"/>
      <c r="L58" s="983"/>
      <c r="M58" s="983"/>
    </row>
    <row r="59" spans="1:13" ht="11.25" x14ac:dyDescent="0.2">
      <c r="A59" s="983"/>
      <c r="B59" s="983"/>
      <c r="C59" s="983"/>
      <c r="D59" s="983"/>
      <c r="E59" s="983"/>
      <c r="F59" s="983"/>
      <c r="G59" s="983"/>
      <c r="H59" s="983"/>
      <c r="I59" s="983"/>
      <c r="J59" s="983"/>
      <c r="K59" s="983"/>
      <c r="L59" s="983"/>
      <c r="M59" s="983"/>
    </row>
    <row r="60" spans="1:13" ht="11.25" x14ac:dyDescent="0.2">
      <c r="A60" s="983"/>
      <c r="B60" s="983"/>
      <c r="C60" s="983"/>
      <c r="D60" s="983"/>
      <c r="E60" s="983"/>
      <c r="F60" s="983"/>
      <c r="G60" s="983"/>
      <c r="H60" s="983"/>
      <c r="I60" s="983"/>
      <c r="J60" s="983"/>
      <c r="K60" s="983"/>
      <c r="L60" s="983"/>
      <c r="M60" s="983"/>
    </row>
    <row r="61" spans="1:13" ht="11.25" x14ac:dyDescent="0.2">
      <c r="A61" s="983"/>
      <c r="B61" s="983"/>
      <c r="C61" s="983"/>
      <c r="D61" s="983"/>
      <c r="E61" s="983"/>
      <c r="F61" s="983"/>
      <c r="G61" s="983"/>
      <c r="H61" s="983"/>
      <c r="I61" s="983"/>
      <c r="J61" s="983"/>
      <c r="K61" s="983"/>
      <c r="L61" s="983"/>
      <c r="M61" s="983"/>
    </row>
    <row r="62" spans="1:13" ht="11.25" x14ac:dyDescent="0.2">
      <c r="A62" s="983"/>
      <c r="B62" s="983"/>
      <c r="C62" s="983"/>
      <c r="D62" s="983"/>
      <c r="E62" s="983"/>
      <c r="F62" s="983"/>
      <c r="G62" s="983"/>
      <c r="H62" s="983"/>
      <c r="I62" s="983"/>
      <c r="J62" s="983"/>
      <c r="K62" s="983"/>
      <c r="L62" s="983"/>
      <c r="M62" s="983"/>
    </row>
    <row r="63" spans="1:13" ht="11.25" x14ac:dyDescent="0.2">
      <c r="A63" s="983"/>
      <c r="B63" s="983"/>
      <c r="C63" s="983"/>
      <c r="D63" s="983"/>
      <c r="E63" s="983"/>
      <c r="F63" s="983"/>
      <c r="G63" s="983"/>
      <c r="H63" s="983"/>
      <c r="I63" s="983"/>
      <c r="J63" s="983"/>
      <c r="K63" s="983"/>
      <c r="L63" s="983"/>
      <c r="M63" s="983"/>
    </row>
    <row r="64" spans="1:13" ht="11.25" x14ac:dyDescent="0.2">
      <c r="A64" s="983"/>
      <c r="B64" s="983"/>
      <c r="C64" s="983"/>
      <c r="D64" s="983"/>
      <c r="E64" s="983"/>
      <c r="F64" s="983"/>
      <c r="G64" s="983"/>
      <c r="H64" s="983"/>
      <c r="I64" s="983"/>
      <c r="J64" s="983"/>
      <c r="K64" s="983"/>
      <c r="L64" s="983"/>
      <c r="M64" s="983"/>
    </row>
    <row r="65" spans="1:13" ht="11.25" x14ac:dyDescent="0.2">
      <c r="A65" s="983"/>
      <c r="B65" s="983"/>
      <c r="C65" s="983"/>
      <c r="D65" s="983"/>
      <c r="E65" s="983"/>
      <c r="F65" s="983"/>
      <c r="G65" s="983"/>
      <c r="H65" s="983"/>
      <c r="I65" s="983"/>
      <c r="J65" s="983"/>
      <c r="K65" s="983"/>
      <c r="L65" s="983"/>
      <c r="M65" s="983"/>
    </row>
    <row r="66" spans="1:13" ht="11.25" x14ac:dyDescent="0.2">
      <c r="A66" s="983"/>
      <c r="B66" s="983"/>
      <c r="C66" s="983"/>
      <c r="D66" s="983"/>
      <c r="E66" s="983"/>
      <c r="F66" s="983"/>
      <c r="G66" s="983"/>
      <c r="H66" s="983"/>
      <c r="I66" s="983"/>
      <c r="J66" s="983"/>
      <c r="K66" s="983"/>
      <c r="L66" s="983"/>
      <c r="M66" s="983"/>
    </row>
    <row r="67" spans="1:13" ht="11.25" x14ac:dyDescent="0.2">
      <c r="A67" s="983"/>
      <c r="B67" s="983"/>
      <c r="C67" s="983"/>
      <c r="D67" s="983"/>
      <c r="E67" s="983"/>
      <c r="F67" s="983"/>
      <c r="G67" s="983"/>
      <c r="H67" s="983"/>
      <c r="I67" s="983"/>
      <c r="J67" s="983"/>
      <c r="K67" s="983"/>
      <c r="L67" s="983"/>
      <c r="M67" s="983"/>
    </row>
    <row r="68" spans="1:13" ht="11.25" x14ac:dyDescent="0.2">
      <c r="A68" s="983"/>
      <c r="B68" s="983"/>
      <c r="C68" s="983"/>
      <c r="D68" s="983"/>
      <c r="E68" s="983"/>
      <c r="F68" s="983"/>
      <c r="G68" s="983"/>
      <c r="H68" s="983"/>
      <c r="I68" s="983"/>
      <c r="J68" s="983"/>
      <c r="K68" s="983"/>
      <c r="L68" s="983"/>
      <c r="M68" s="983"/>
    </row>
    <row r="69" spans="1:13" ht="11.25" x14ac:dyDescent="0.2">
      <c r="A69" s="983"/>
      <c r="B69" s="983"/>
      <c r="C69" s="983"/>
      <c r="D69" s="983"/>
      <c r="E69" s="983"/>
      <c r="F69" s="983"/>
      <c r="G69" s="983"/>
      <c r="H69" s="983"/>
      <c r="I69" s="983"/>
      <c r="J69" s="983"/>
      <c r="K69" s="983"/>
      <c r="L69" s="983"/>
      <c r="M69" s="983"/>
    </row>
    <row r="70" spans="1:13" ht="11.25" x14ac:dyDescent="0.2">
      <c r="A70" s="983"/>
      <c r="B70" s="983"/>
      <c r="C70" s="983"/>
      <c r="D70" s="983"/>
      <c r="E70" s="983"/>
      <c r="F70" s="983"/>
      <c r="G70" s="983"/>
      <c r="H70" s="983"/>
      <c r="I70" s="983"/>
      <c r="J70" s="983"/>
      <c r="K70" s="983"/>
      <c r="L70" s="983"/>
      <c r="M70" s="983"/>
    </row>
    <row r="71" spans="1:13" ht="11.25" x14ac:dyDescent="0.2">
      <c r="A71" s="983"/>
      <c r="B71" s="983"/>
      <c r="C71" s="983"/>
      <c r="D71" s="983"/>
      <c r="E71" s="983"/>
      <c r="F71" s="983"/>
      <c r="G71" s="983"/>
      <c r="H71" s="983"/>
      <c r="I71" s="983"/>
      <c r="J71" s="983"/>
      <c r="K71" s="983"/>
      <c r="L71" s="983"/>
      <c r="M71" s="983"/>
    </row>
    <row r="72" spans="1:13" ht="11.25" x14ac:dyDescent="0.2">
      <c r="A72" s="983"/>
      <c r="B72" s="983"/>
      <c r="C72" s="983"/>
      <c r="D72" s="983"/>
      <c r="E72" s="983"/>
      <c r="F72" s="983"/>
      <c r="G72" s="983"/>
      <c r="H72" s="983"/>
      <c r="I72" s="983"/>
      <c r="J72" s="983"/>
      <c r="K72" s="983"/>
      <c r="L72" s="983"/>
      <c r="M72" s="983"/>
    </row>
    <row r="73" spans="1:13" ht="11.25" x14ac:dyDescent="0.2">
      <c r="A73" s="983"/>
      <c r="B73" s="983"/>
      <c r="C73" s="983"/>
      <c r="D73" s="983"/>
      <c r="E73" s="983"/>
      <c r="F73" s="983"/>
      <c r="G73" s="983"/>
      <c r="H73" s="983"/>
      <c r="I73" s="983"/>
      <c r="J73" s="983"/>
      <c r="K73" s="983"/>
      <c r="L73" s="983"/>
      <c r="M73" s="983"/>
    </row>
    <row r="74" spans="1:13" ht="11.25" x14ac:dyDescent="0.2">
      <c r="A74" s="983"/>
      <c r="B74" s="983"/>
      <c r="C74" s="983"/>
      <c r="D74" s="983"/>
      <c r="E74" s="983"/>
      <c r="F74" s="983"/>
      <c r="G74" s="983"/>
      <c r="H74" s="983"/>
      <c r="I74" s="983"/>
      <c r="J74" s="983"/>
      <c r="K74" s="983"/>
      <c r="L74" s="983"/>
      <c r="M74" s="983"/>
    </row>
    <row r="75" spans="1:13" ht="11.25" x14ac:dyDescent="0.2">
      <c r="A75" s="983"/>
      <c r="B75" s="983"/>
      <c r="C75" s="983"/>
      <c r="D75" s="983"/>
      <c r="E75" s="983"/>
      <c r="F75" s="983"/>
      <c r="G75" s="983"/>
      <c r="H75" s="983"/>
      <c r="I75" s="983"/>
      <c r="J75" s="983"/>
      <c r="K75" s="983"/>
      <c r="L75" s="983"/>
      <c r="M75" s="983"/>
    </row>
    <row r="76" spans="1:13" ht="11.25" x14ac:dyDescent="0.2">
      <c r="A76" s="983"/>
      <c r="B76" s="983"/>
      <c r="C76" s="983"/>
      <c r="D76" s="983"/>
      <c r="E76" s="983"/>
      <c r="F76" s="983"/>
      <c r="G76" s="983"/>
      <c r="H76" s="983"/>
      <c r="I76" s="983"/>
      <c r="J76" s="983"/>
      <c r="K76" s="983"/>
      <c r="L76" s="983"/>
      <c r="M76" s="983"/>
    </row>
    <row r="77" spans="1:13" ht="11.25" x14ac:dyDescent="0.2">
      <c r="A77" s="983"/>
      <c r="B77" s="983"/>
      <c r="C77" s="983"/>
      <c r="D77" s="983"/>
      <c r="E77" s="983"/>
      <c r="F77" s="983"/>
      <c r="G77" s="983"/>
      <c r="H77" s="983"/>
      <c r="I77" s="983"/>
      <c r="J77" s="983"/>
      <c r="K77" s="983"/>
      <c r="L77" s="983"/>
      <c r="M77" s="983"/>
    </row>
    <row r="78" spans="1:13" ht="11.25" x14ac:dyDescent="0.2">
      <c r="A78" s="983"/>
      <c r="B78" s="983"/>
      <c r="C78" s="983"/>
      <c r="D78" s="983"/>
      <c r="E78" s="983"/>
      <c r="F78" s="983"/>
      <c r="G78" s="983"/>
      <c r="H78" s="983"/>
      <c r="I78" s="983"/>
      <c r="J78" s="983"/>
      <c r="K78" s="983"/>
      <c r="L78" s="983"/>
      <c r="M78" s="983"/>
    </row>
    <row r="79" spans="1:13" ht="11.25" x14ac:dyDescent="0.2">
      <c r="A79" s="983"/>
      <c r="B79" s="983"/>
      <c r="C79" s="983"/>
      <c r="D79" s="983"/>
      <c r="E79" s="983"/>
      <c r="F79" s="983"/>
      <c r="G79" s="983"/>
      <c r="H79" s="983"/>
      <c r="I79" s="983"/>
      <c r="J79" s="983"/>
      <c r="K79" s="983"/>
      <c r="L79" s="983"/>
      <c r="M79" s="983"/>
    </row>
    <row r="80" spans="1:13" ht="11.25" x14ac:dyDescent="0.2">
      <c r="A80" s="983"/>
      <c r="B80" s="983"/>
      <c r="C80" s="983"/>
      <c r="D80" s="983"/>
      <c r="E80" s="983"/>
      <c r="F80" s="983"/>
      <c r="G80" s="983"/>
      <c r="H80" s="983"/>
      <c r="I80" s="983"/>
      <c r="J80" s="983"/>
      <c r="K80" s="983"/>
      <c r="L80" s="983"/>
      <c r="M80" s="983"/>
    </row>
    <row r="81" spans="1:13" ht="11.25" x14ac:dyDescent="0.2">
      <c r="A81" s="983"/>
      <c r="B81" s="983"/>
      <c r="C81" s="983"/>
      <c r="D81" s="983"/>
      <c r="E81" s="983"/>
      <c r="F81" s="983"/>
      <c r="G81" s="983"/>
      <c r="H81" s="983"/>
      <c r="I81" s="983"/>
      <c r="J81" s="983"/>
      <c r="K81" s="983"/>
      <c r="L81" s="983"/>
      <c r="M81" s="983"/>
    </row>
    <row r="82" spans="1:13" ht="11.25" x14ac:dyDescent="0.2">
      <c r="A82" s="983"/>
      <c r="B82" s="983"/>
      <c r="C82" s="983"/>
      <c r="D82" s="983"/>
      <c r="E82" s="983"/>
      <c r="F82" s="983"/>
      <c r="G82" s="983"/>
      <c r="H82" s="983"/>
      <c r="I82" s="983"/>
      <c r="J82" s="983"/>
      <c r="K82" s="983"/>
      <c r="L82" s="983"/>
      <c r="M82" s="983"/>
    </row>
    <row r="83" spans="1:13" ht="11.25" x14ac:dyDescent="0.2">
      <c r="A83" s="983"/>
      <c r="B83" s="983"/>
      <c r="C83" s="983"/>
      <c r="D83" s="983"/>
      <c r="E83" s="983"/>
      <c r="F83" s="983"/>
      <c r="G83" s="983"/>
      <c r="H83" s="983"/>
      <c r="I83" s="983"/>
      <c r="J83" s="983"/>
      <c r="K83" s="983"/>
      <c r="L83" s="983"/>
      <c r="M83" s="983"/>
    </row>
    <row r="84" spans="1:13" ht="11.25" x14ac:dyDescent="0.2">
      <c r="A84" s="983"/>
      <c r="B84" s="983"/>
      <c r="C84" s="983"/>
      <c r="D84" s="983"/>
      <c r="E84" s="983"/>
      <c r="F84" s="983"/>
      <c r="G84" s="983"/>
      <c r="H84" s="983"/>
      <c r="I84" s="983"/>
      <c r="J84" s="983"/>
      <c r="K84" s="983"/>
      <c r="L84" s="983"/>
      <c r="M84" s="983"/>
    </row>
    <row r="85" spans="1:13" ht="11.25" x14ac:dyDescent="0.2">
      <c r="A85" s="983"/>
      <c r="B85" s="983"/>
      <c r="C85" s="983"/>
      <c r="D85" s="983"/>
      <c r="E85" s="983"/>
      <c r="F85" s="983"/>
      <c r="G85" s="983"/>
      <c r="H85" s="983"/>
      <c r="I85" s="983"/>
      <c r="J85" s="983"/>
      <c r="K85" s="983"/>
      <c r="L85" s="983"/>
      <c r="M85" s="983"/>
    </row>
    <row r="86" spans="1:13" ht="11.25" x14ac:dyDescent="0.2">
      <c r="A86" s="983"/>
      <c r="B86" s="983"/>
      <c r="C86" s="983"/>
      <c r="D86" s="983"/>
      <c r="E86" s="983"/>
      <c r="F86" s="983"/>
      <c r="G86" s="983"/>
      <c r="H86" s="983"/>
      <c r="I86" s="983"/>
      <c r="J86" s="983"/>
      <c r="K86" s="983"/>
      <c r="L86" s="983"/>
      <c r="M86" s="983"/>
    </row>
    <row r="87" spans="1:13" ht="11.25" x14ac:dyDescent="0.2">
      <c r="A87" s="983"/>
      <c r="B87" s="983"/>
      <c r="C87" s="983"/>
      <c r="D87" s="983"/>
      <c r="E87" s="983"/>
      <c r="F87" s="983"/>
      <c r="G87" s="983"/>
      <c r="H87" s="983"/>
      <c r="I87" s="983"/>
      <c r="J87" s="983"/>
      <c r="K87" s="983"/>
      <c r="L87" s="983"/>
      <c r="M87" s="983"/>
    </row>
    <row r="88" spans="1:13" ht="11.25" x14ac:dyDescent="0.2">
      <c r="A88" s="983"/>
      <c r="B88" s="983"/>
      <c r="C88" s="983"/>
      <c r="D88" s="983"/>
      <c r="E88" s="983"/>
      <c r="F88" s="983"/>
      <c r="G88" s="983"/>
      <c r="H88" s="983"/>
      <c r="I88" s="983"/>
      <c r="J88" s="983"/>
      <c r="K88" s="983"/>
      <c r="L88" s="983"/>
      <c r="M88" s="983"/>
    </row>
    <row r="89" spans="1:13" ht="11.25" x14ac:dyDescent="0.2">
      <c r="A89" s="983"/>
      <c r="B89" s="983"/>
      <c r="C89" s="983"/>
      <c r="D89" s="983"/>
      <c r="E89" s="983"/>
      <c r="F89" s="983"/>
      <c r="G89" s="983"/>
      <c r="H89" s="983"/>
      <c r="I89" s="983"/>
      <c r="J89" s="983"/>
      <c r="K89" s="983"/>
      <c r="L89" s="983"/>
      <c r="M89" s="983"/>
    </row>
    <row r="90" spans="1:13" ht="11.25" x14ac:dyDescent="0.2">
      <c r="A90" s="983"/>
      <c r="B90" s="983"/>
      <c r="C90" s="983"/>
      <c r="D90" s="983"/>
      <c r="E90" s="983"/>
      <c r="F90" s="983"/>
      <c r="G90" s="983"/>
      <c r="H90" s="983"/>
      <c r="I90" s="983"/>
      <c r="J90" s="983"/>
      <c r="K90" s="983"/>
      <c r="L90" s="983"/>
      <c r="M90" s="983"/>
    </row>
    <row r="91" spans="1:13" ht="11.25" x14ac:dyDescent="0.2">
      <c r="A91" s="983"/>
      <c r="B91" s="983"/>
      <c r="C91" s="983"/>
      <c r="D91" s="983"/>
      <c r="E91" s="983"/>
      <c r="F91" s="983"/>
      <c r="G91" s="983"/>
      <c r="H91" s="983"/>
      <c r="I91" s="983"/>
      <c r="J91" s="983"/>
      <c r="K91" s="983"/>
      <c r="L91" s="983"/>
      <c r="M91" s="983"/>
    </row>
    <row r="92" spans="1:13" ht="11.25" x14ac:dyDescent="0.2">
      <c r="A92" s="983"/>
      <c r="B92" s="983"/>
      <c r="C92" s="983"/>
      <c r="D92" s="983"/>
      <c r="E92" s="983"/>
      <c r="F92" s="983"/>
      <c r="G92" s="983"/>
      <c r="H92" s="983"/>
      <c r="I92" s="983"/>
      <c r="J92" s="983"/>
      <c r="K92" s="983"/>
      <c r="L92" s="983"/>
      <c r="M92" s="983"/>
    </row>
    <row r="93" spans="1:13" ht="11.25" x14ac:dyDescent="0.2">
      <c r="A93" s="983"/>
      <c r="B93" s="983"/>
      <c r="C93" s="983"/>
      <c r="D93" s="983"/>
      <c r="E93" s="983"/>
      <c r="F93" s="983"/>
      <c r="G93" s="983"/>
      <c r="H93" s="983"/>
      <c r="I93" s="983"/>
      <c r="J93" s="983"/>
      <c r="K93" s="983"/>
      <c r="L93" s="983"/>
      <c r="M93" s="983"/>
    </row>
    <row r="94" spans="1:13" ht="11.25" x14ac:dyDescent="0.2">
      <c r="A94" s="983"/>
      <c r="B94" s="983"/>
      <c r="C94" s="983"/>
      <c r="D94" s="983"/>
      <c r="E94" s="983"/>
      <c r="F94" s="983"/>
      <c r="G94" s="983"/>
      <c r="H94" s="983"/>
      <c r="I94" s="983"/>
      <c r="J94" s="983"/>
      <c r="K94" s="983"/>
      <c r="L94" s="983"/>
      <c r="M94" s="983"/>
    </row>
    <row r="95" spans="1:13" ht="11.25" x14ac:dyDescent="0.2">
      <c r="A95" s="983"/>
      <c r="B95" s="983"/>
      <c r="C95" s="983"/>
      <c r="D95" s="983"/>
      <c r="E95" s="983"/>
      <c r="F95" s="983"/>
      <c r="G95" s="983"/>
      <c r="H95" s="983"/>
      <c r="I95" s="983"/>
      <c r="J95" s="983"/>
      <c r="K95" s="983"/>
      <c r="L95" s="983"/>
      <c r="M95" s="983"/>
    </row>
    <row r="96" spans="1:13" ht="11.25" x14ac:dyDescent="0.2">
      <c r="A96" s="983"/>
      <c r="B96" s="983"/>
      <c r="C96" s="983"/>
      <c r="D96" s="983"/>
      <c r="E96" s="983"/>
      <c r="F96" s="983"/>
      <c r="G96" s="983"/>
      <c r="H96" s="983"/>
      <c r="I96" s="983"/>
      <c r="J96" s="983"/>
      <c r="K96" s="983"/>
      <c r="L96" s="983"/>
      <c r="M96" s="983"/>
    </row>
    <row r="97" spans="1:13" ht="11.25" x14ac:dyDescent="0.2">
      <c r="A97" s="983"/>
      <c r="B97" s="983"/>
      <c r="C97" s="983"/>
      <c r="D97" s="983"/>
      <c r="E97" s="983"/>
      <c r="F97" s="983"/>
      <c r="G97" s="983"/>
      <c r="H97" s="983"/>
      <c r="I97" s="983"/>
      <c r="J97" s="983"/>
      <c r="K97" s="983"/>
      <c r="L97" s="983"/>
      <c r="M97" s="983"/>
    </row>
    <row r="98" spans="1:13" ht="11.25" x14ac:dyDescent="0.2">
      <c r="A98" s="983"/>
      <c r="B98" s="983"/>
      <c r="C98" s="983"/>
      <c r="D98" s="983"/>
      <c r="E98" s="983"/>
      <c r="F98" s="983"/>
      <c r="G98" s="983"/>
      <c r="H98" s="983"/>
      <c r="I98" s="983"/>
      <c r="J98" s="983"/>
      <c r="K98" s="983"/>
      <c r="L98" s="983"/>
      <c r="M98" s="983"/>
    </row>
    <row r="99" spans="1:13" ht="11.25" x14ac:dyDescent="0.2">
      <c r="A99" s="983"/>
      <c r="B99" s="983"/>
      <c r="C99" s="983"/>
      <c r="D99" s="983"/>
      <c r="E99" s="983"/>
      <c r="F99" s="983"/>
      <c r="G99" s="983"/>
      <c r="H99" s="983"/>
      <c r="I99" s="983"/>
      <c r="J99" s="983"/>
      <c r="K99" s="983"/>
      <c r="L99" s="983"/>
      <c r="M99" s="983"/>
    </row>
    <row r="100" spans="1:13" ht="11.25" x14ac:dyDescent="0.2">
      <c r="A100" s="983"/>
      <c r="B100" s="983"/>
      <c r="C100" s="983"/>
      <c r="D100" s="983"/>
      <c r="E100" s="983"/>
      <c r="F100" s="983"/>
      <c r="G100" s="983"/>
      <c r="H100" s="983"/>
      <c r="I100" s="983"/>
      <c r="J100" s="983"/>
      <c r="K100" s="983"/>
      <c r="L100" s="983"/>
      <c r="M100" s="983"/>
    </row>
    <row r="101" spans="1:13" ht="11.25" x14ac:dyDescent="0.2">
      <c r="A101" s="983"/>
      <c r="B101" s="983"/>
      <c r="C101" s="983"/>
      <c r="D101" s="983"/>
      <c r="E101" s="983"/>
      <c r="F101" s="983"/>
      <c r="G101" s="983"/>
      <c r="H101" s="983"/>
      <c r="I101" s="983"/>
      <c r="J101" s="983"/>
      <c r="K101" s="983"/>
      <c r="L101" s="983"/>
      <c r="M101" s="983"/>
    </row>
    <row r="102" spans="1:13" ht="11.25" x14ac:dyDescent="0.2">
      <c r="A102" s="983"/>
      <c r="B102" s="983"/>
      <c r="C102" s="983"/>
      <c r="D102" s="983"/>
      <c r="E102" s="983"/>
      <c r="F102" s="983"/>
      <c r="G102" s="983"/>
      <c r="H102" s="983"/>
      <c r="I102" s="983"/>
      <c r="J102" s="983"/>
      <c r="K102" s="983"/>
      <c r="L102" s="983"/>
      <c r="M102" s="983"/>
    </row>
    <row r="103" spans="1:13" ht="11.25" x14ac:dyDescent="0.2">
      <c r="A103" s="983"/>
      <c r="B103" s="983"/>
      <c r="C103" s="983"/>
      <c r="D103" s="983"/>
      <c r="E103" s="983"/>
      <c r="F103" s="983"/>
      <c r="G103" s="983"/>
      <c r="H103" s="983"/>
      <c r="I103" s="983"/>
      <c r="J103" s="983"/>
      <c r="K103" s="983"/>
      <c r="L103" s="983"/>
      <c r="M103" s="983"/>
    </row>
    <row r="104" spans="1:13" ht="11.25" x14ac:dyDescent="0.2">
      <c r="A104" s="983"/>
      <c r="B104" s="983"/>
      <c r="C104" s="983"/>
      <c r="D104" s="983"/>
      <c r="E104" s="983"/>
      <c r="F104" s="983"/>
      <c r="G104" s="983"/>
      <c r="H104" s="983"/>
      <c r="I104" s="983"/>
      <c r="J104" s="983"/>
      <c r="K104" s="983"/>
      <c r="L104" s="983"/>
      <c r="M104" s="983"/>
    </row>
    <row r="105" spans="1:13" ht="11.25" x14ac:dyDescent="0.2">
      <c r="A105" s="983"/>
      <c r="B105" s="983"/>
      <c r="C105" s="983"/>
      <c r="D105" s="983"/>
      <c r="E105" s="983"/>
      <c r="F105" s="983"/>
      <c r="G105" s="983"/>
      <c r="H105" s="983"/>
      <c r="I105" s="983"/>
      <c r="J105" s="983"/>
      <c r="K105" s="983"/>
      <c r="L105" s="983"/>
      <c r="M105" s="983"/>
    </row>
    <row r="106" spans="1:13" ht="11.25" x14ac:dyDescent="0.2">
      <c r="A106" s="983"/>
      <c r="B106" s="983"/>
      <c r="C106" s="983"/>
      <c r="D106" s="983"/>
      <c r="E106" s="983"/>
      <c r="F106" s="983"/>
      <c r="G106" s="983"/>
      <c r="H106" s="983"/>
      <c r="I106" s="983"/>
      <c r="J106" s="983"/>
      <c r="K106" s="983"/>
      <c r="L106" s="983"/>
      <c r="M106" s="983"/>
    </row>
    <row r="107" spans="1:13" ht="11.25" x14ac:dyDescent="0.2">
      <c r="A107" s="983"/>
      <c r="B107" s="983"/>
      <c r="C107" s="983"/>
      <c r="D107" s="983"/>
      <c r="E107" s="983"/>
      <c r="F107" s="983"/>
      <c r="G107" s="983"/>
      <c r="H107" s="983"/>
      <c r="I107" s="983"/>
      <c r="J107" s="983"/>
      <c r="K107" s="983"/>
      <c r="L107" s="983"/>
      <c r="M107" s="983"/>
    </row>
    <row r="108" spans="1:13" ht="11.25" x14ac:dyDescent="0.2">
      <c r="A108" s="983"/>
      <c r="B108" s="983"/>
      <c r="C108" s="983"/>
      <c r="D108" s="983"/>
      <c r="E108" s="983"/>
      <c r="F108" s="983"/>
      <c r="G108" s="983"/>
      <c r="H108" s="983"/>
      <c r="I108" s="983"/>
      <c r="J108" s="983"/>
      <c r="K108" s="983"/>
      <c r="L108" s="983"/>
      <c r="M108" s="983"/>
    </row>
    <row r="109" spans="1:13" ht="11.25" x14ac:dyDescent="0.2">
      <c r="A109" s="983"/>
      <c r="B109" s="983"/>
      <c r="C109" s="983"/>
      <c r="D109" s="983"/>
      <c r="E109" s="983"/>
      <c r="F109" s="983"/>
      <c r="G109" s="983"/>
      <c r="H109" s="983"/>
      <c r="I109" s="983"/>
      <c r="J109" s="983"/>
      <c r="K109" s="983"/>
      <c r="L109" s="983"/>
      <c r="M109" s="983"/>
    </row>
    <row r="110" spans="1:13" ht="11.25" x14ac:dyDescent="0.2">
      <c r="A110" s="983"/>
      <c r="B110" s="983"/>
      <c r="C110" s="983"/>
      <c r="D110" s="983"/>
      <c r="E110" s="983"/>
      <c r="F110" s="983"/>
      <c r="G110" s="983"/>
      <c r="H110" s="983"/>
      <c r="I110" s="983"/>
      <c r="J110" s="983"/>
      <c r="K110" s="983"/>
      <c r="L110" s="983"/>
      <c r="M110" s="983"/>
    </row>
    <row r="111" spans="1:13" ht="11.25" x14ac:dyDescent="0.2">
      <c r="A111" s="983"/>
      <c r="B111" s="983"/>
      <c r="C111" s="983"/>
      <c r="D111" s="983"/>
      <c r="E111" s="983"/>
      <c r="F111" s="983"/>
      <c r="G111" s="983"/>
      <c r="H111" s="983"/>
      <c r="I111" s="983"/>
      <c r="J111" s="983"/>
      <c r="K111" s="983"/>
      <c r="L111" s="983"/>
      <c r="M111" s="983"/>
    </row>
    <row r="112" spans="1:13" ht="11.25" x14ac:dyDescent="0.2">
      <c r="A112" s="983"/>
      <c r="B112" s="983"/>
      <c r="C112" s="983"/>
      <c r="D112" s="983"/>
      <c r="E112" s="983"/>
      <c r="F112" s="983"/>
      <c r="G112" s="983"/>
      <c r="H112" s="983"/>
      <c r="I112" s="983"/>
      <c r="J112" s="983"/>
      <c r="K112" s="983"/>
      <c r="L112" s="983"/>
      <c r="M112" s="983"/>
    </row>
    <row r="113" spans="1:13" ht="11.25" x14ac:dyDescent="0.2">
      <c r="A113" s="983"/>
      <c r="B113" s="983"/>
      <c r="C113" s="983"/>
      <c r="D113" s="983"/>
      <c r="E113" s="983"/>
      <c r="F113" s="983"/>
      <c r="G113" s="983"/>
      <c r="H113" s="983"/>
      <c r="I113" s="983"/>
      <c r="J113" s="983"/>
      <c r="K113" s="983"/>
      <c r="L113" s="983"/>
      <c r="M113" s="983"/>
    </row>
    <row r="114" spans="1:13" ht="11.25" x14ac:dyDescent="0.2">
      <c r="A114" s="983"/>
      <c r="B114" s="983"/>
      <c r="C114" s="983"/>
      <c r="D114" s="983"/>
      <c r="E114" s="983"/>
      <c r="F114" s="983"/>
      <c r="G114" s="983"/>
      <c r="H114" s="983"/>
      <c r="I114" s="983"/>
      <c r="J114" s="983"/>
      <c r="K114" s="983"/>
      <c r="L114" s="983"/>
      <c r="M114" s="983"/>
    </row>
    <row r="115" spans="1:13" ht="11.25" x14ac:dyDescent="0.2">
      <c r="A115" s="983"/>
      <c r="B115" s="983"/>
      <c r="C115" s="983"/>
      <c r="D115" s="983"/>
      <c r="E115" s="983"/>
      <c r="F115" s="983"/>
      <c r="G115" s="983"/>
      <c r="H115" s="983"/>
      <c r="I115" s="983"/>
      <c r="J115" s="983"/>
      <c r="K115" s="983"/>
      <c r="L115" s="983"/>
      <c r="M115" s="983"/>
    </row>
    <row r="116" spans="1:13" ht="11.25" x14ac:dyDescent="0.2">
      <c r="A116" s="983"/>
      <c r="B116" s="983"/>
      <c r="C116" s="983"/>
      <c r="D116" s="983"/>
      <c r="E116" s="983"/>
      <c r="F116" s="983"/>
      <c r="G116" s="983"/>
      <c r="H116" s="983"/>
      <c r="I116" s="983"/>
      <c r="J116" s="983"/>
      <c r="K116" s="983"/>
      <c r="L116" s="983"/>
      <c r="M116" s="983"/>
    </row>
    <row r="117" spans="1:13" ht="11.25" x14ac:dyDescent="0.2">
      <c r="A117" s="983"/>
      <c r="B117" s="983"/>
      <c r="C117" s="983"/>
      <c r="D117" s="983"/>
      <c r="E117" s="983"/>
      <c r="F117" s="983"/>
      <c r="G117" s="983"/>
      <c r="H117" s="983"/>
      <c r="I117" s="983"/>
      <c r="J117" s="983"/>
      <c r="K117" s="983"/>
      <c r="L117" s="983"/>
      <c r="M117" s="983"/>
    </row>
    <row r="118" spans="1:13" ht="11.25" x14ac:dyDescent="0.2">
      <c r="A118" s="983"/>
      <c r="B118" s="983"/>
      <c r="C118" s="983"/>
      <c r="D118" s="983"/>
      <c r="E118" s="983"/>
      <c r="F118" s="983"/>
      <c r="G118" s="983"/>
      <c r="H118" s="983"/>
      <c r="I118" s="983"/>
      <c r="J118" s="983"/>
      <c r="K118" s="983"/>
      <c r="L118" s="983"/>
      <c r="M118" s="983"/>
    </row>
    <row r="119" spans="1:13" ht="11.25" x14ac:dyDescent="0.2">
      <c r="A119" s="983"/>
      <c r="B119" s="983"/>
      <c r="C119" s="983"/>
      <c r="D119" s="983"/>
      <c r="E119" s="983"/>
      <c r="F119" s="983"/>
      <c r="G119" s="983"/>
      <c r="H119" s="983"/>
      <c r="I119" s="983"/>
      <c r="J119" s="983"/>
      <c r="K119" s="983"/>
      <c r="L119" s="983"/>
      <c r="M119" s="983"/>
    </row>
    <row r="120" spans="1:13" ht="11.25" x14ac:dyDescent="0.2">
      <c r="A120" s="983"/>
      <c r="B120" s="983"/>
      <c r="C120" s="983"/>
      <c r="D120" s="983"/>
      <c r="E120" s="983"/>
      <c r="F120" s="983"/>
      <c r="G120" s="983"/>
      <c r="H120" s="983"/>
      <c r="I120" s="983"/>
      <c r="J120" s="983"/>
      <c r="K120" s="983"/>
      <c r="L120" s="983"/>
      <c r="M120" s="983"/>
    </row>
    <row r="121" spans="1:13" ht="11.25" x14ac:dyDescent="0.2">
      <c r="A121" s="983"/>
      <c r="B121" s="983"/>
      <c r="C121" s="983"/>
      <c r="D121" s="983"/>
      <c r="E121" s="983"/>
      <c r="F121" s="983"/>
      <c r="G121" s="983"/>
      <c r="H121" s="983"/>
      <c r="I121" s="983"/>
      <c r="J121" s="983"/>
      <c r="K121" s="983"/>
      <c r="L121" s="983"/>
      <c r="M121" s="983"/>
    </row>
    <row r="122" spans="1:13" ht="11.25" x14ac:dyDescent="0.2">
      <c r="A122" s="983"/>
      <c r="B122" s="983"/>
      <c r="C122" s="983"/>
      <c r="D122" s="983"/>
      <c r="E122" s="983"/>
      <c r="F122" s="983"/>
      <c r="G122" s="983"/>
      <c r="H122" s="983"/>
      <c r="I122" s="983"/>
      <c r="J122" s="983"/>
      <c r="K122" s="983"/>
      <c r="L122" s="983"/>
      <c r="M122" s="983"/>
    </row>
    <row r="123" spans="1:13" ht="11.25" x14ac:dyDescent="0.2">
      <c r="A123" s="983"/>
      <c r="B123" s="983"/>
      <c r="C123" s="983"/>
      <c r="D123" s="983"/>
      <c r="E123" s="983"/>
      <c r="F123" s="983"/>
      <c r="G123" s="983"/>
      <c r="H123" s="983"/>
      <c r="I123" s="983"/>
      <c r="J123" s="983"/>
      <c r="K123" s="983"/>
      <c r="L123" s="983"/>
      <c r="M123" s="983"/>
    </row>
    <row r="124" spans="1:13" ht="11.25" x14ac:dyDescent="0.2">
      <c r="A124" s="983"/>
      <c r="B124" s="983"/>
      <c r="C124" s="983"/>
      <c r="D124" s="983"/>
      <c r="E124" s="983"/>
      <c r="F124" s="983"/>
      <c r="G124" s="983"/>
      <c r="H124" s="983"/>
      <c r="I124" s="983"/>
      <c r="J124" s="983"/>
      <c r="K124" s="983"/>
      <c r="L124" s="983"/>
      <c r="M124" s="983"/>
    </row>
    <row r="125" spans="1:13" ht="11.25" x14ac:dyDescent="0.2">
      <c r="A125" s="983"/>
      <c r="B125" s="983"/>
      <c r="C125" s="983"/>
      <c r="D125" s="983"/>
      <c r="E125" s="983"/>
      <c r="F125" s="983"/>
      <c r="G125" s="983"/>
      <c r="H125" s="983"/>
      <c r="I125" s="983"/>
      <c r="J125" s="983"/>
      <c r="K125" s="983"/>
      <c r="L125" s="983"/>
      <c r="M125" s="983"/>
    </row>
    <row r="126" spans="1:13" ht="11.25" x14ac:dyDescent="0.2">
      <c r="A126" s="983"/>
      <c r="B126" s="983"/>
      <c r="C126" s="983"/>
      <c r="D126" s="983"/>
      <c r="E126" s="983"/>
      <c r="F126" s="983"/>
      <c r="G126" s="983"/>
      <c r="H126" s="983"/>
      <c r="I126" s="983"/>
      <c r="J126" s="983"/>
      <c r="K126" s="983"/>
      <c r="L126" s="983"/>
      <c r="M126" s="983"/>
    </row>
    <row r="127" spans="1:13" ht="11.25" x14ac:dyDescent="0.2">
      <c r="A127" s="983"/>
      <c r="B127" s="983"/>
      <c r="C127" s="983"/>
      <c r="D127" s="983"/>
      <c r="E127" s="983"/>
      <c r="F127" s="983"/>
      <c r="G127" s="983"/>
      <c r="H127" s="983"/>
      <c r="I127" s="983"/>
      <c r="J127" s="983"/>
      <c r="K127" s="983"/>
      <c r="L127" s="983"/>
      <c r="M127" s="983"/>
    </row>
    <row r="128" spans="1:13" ht="11.25" x14ac:dyDescent="0.2">
      <c r="A128" s="983"/>
      <c r="B128" s="983"/>
      <c r="C128" s="983"/>
      <c r="D128" s="983"/>
      <c r="E128" s="983"/>
      <c r="F128" s="983"/>
      <c r="G128" s="983"/>
      <c r="H128" s="983"/>
      <c r="I128" s="983"/>
      <c r="J128" s="983"/>
      <c r="K128" s="983"/>
      <c r="L128" s="983"/>
      <c r="M128" s="983"/>
    </row>
    <row r="129" spans="1:13" ht="11.25" x14ac:dyDescent="0.2">
      <c r="A129" s="983"/>
      <c r="B129" s="983"/>
      <c r="C129" s="983"/>
      <c r="D129" s="983"/>
      <c r="E129" s="983"/>
      <c r="F129" s="983"/>
      <c r="G129" s="983"/>
      <c r="H129" s="983"/>
      <c r="I129" s="983"/>
      <c r="J129" s="983"/>
      <c r="K129" s="983"/>
      <c r="L129" s="983"/>
      <c r="M129" s="983"/>
    </row>
    <row r="130" spans="1:13" ht="11.25" x14ac:dyDescent="0.2">
      <c r="A130" s="983"/>
      <c r="B130" s="983"/>
      <c r="C130" s="983"/>
      <c r="D130" s="983"/>
      <c r="E130" s="983"/>
      <c r="F130" s="983"/>
      <c r="G130" s="983"/>
      <c r="H130" s="983"/>
      <c r="I130" s="983"/>
      <c r="J130" s="983"/>
      <c r="K130" s="983"/>
      <c r="L130" s="983"/>
      <c r="M130" s="983"/>
    </row>
    <row r="131" spans="1:13" ht="11.25" x14ac:dyDescent="0.2">
      <c r="A131" s="983"/>
      <c r="B131" s="983"/>
      <c r="C131" s="983"/>
      <c r="D131" s="983"/>
      <c r="E131" s="983"/>
      <c r="F131" s="983"/>
      <c r="G131" s="983"/>
      <c r="H131" s="983"/>
      <c r="I131" s="983"/>
      <c r="J131" s="983"/>
      <c r="K131" s="983"/>
      <c r="L131" s="983"/>
      <c r="M131" s="983"/>
    </row>
    <row r="132" spans="1:13" ht="11.25" x14ac:dyDescent="0.2">
      <c r="A132" s="983"/>
      <c r="B132" s="983"/>
      <c r="C132" s="983"/>
      <c r="D132" s="983"/>
      <c r="E132" s="983"/>
      <c r="F132" s="983"/>
      <c r="G132" s="983"/>
      <c r="H132" s="983"/>
      <c r="I132" s="983"/>
      <c r="J132" s="983"/>
      <c r="K132" s="983"/>
      <c r="L132" s="983"/>
      <c r="M132" s="983"/>
    </row>
    <row r="133" spans="1:13" ht="11.25" x14ac:dyDescent="0.2">
      <c r="A133" s="983"/>
      <c r="B133" s="983"/>
      <c r="C133" s="983"/>
      <c r="D133" s="983"/>
      <c r="E133" s="983"/>
      <c r="F133" s="983"/>
      <c r="G133" s="983"/>
      <c r="H133" s="983"/>
      <c r="I133" s="983"/>
      <c r="J133" s="983"/>
      <c r="K133" s="983"/>
      <c r="L133" s="983"/>
      <c r="M133" s="983"/>
    </row>
    <row r="134" spans="1:13" ht="11.25" x14ac:dyDescent="0.2">
      <c r="A134" s="983"/>
      <c r="B134" s="983"/>
      <c r="C134" s="983"/>
      <c r="D134" s="983"/>
      <c r="E134" s="983"/>
      <c r="F134" s="983"/>
      <c r="G134" s="983"/>
      <c r="H134" s="983"/>
      <c r="I134" s="983"/>
      <c r="J134" s="983"/>
      <c r="K134" s="983"/>
      <c r="L134" s="983"/>
      <c r="M134" s="983"/>
    </row>
    <row r="135" spans="1:13" ht="11.25" x14ac:dyDescent="0.2">
      <c r="A135" s="983"/>
      <c r="B135" s="983"/>
      <c r="C135" s="983"/>
      <c r="D135" s="983"/>
      <c r="E135" s="983"/>
      <c r="F135" s="983"/>
      <c r="G135" s="983"/>
      <c r="H135" s="983"/>
      <c r="I135" s="983"/>
      <c r="J135" s="983"/>
      <c r="K135" s="983"/>
      <c r="L135" s="983"/>
      <c r="M135" s="983"/>
    </row>
    <row r="136" spans="1:13" ht="11.25" x14ac:dyDescent="0.2">
      <c r="A136" s="983"/>
      <c r="B136" s="983"/>
      <c r="C136" s="983"/>
      <c r="D136" s="983"/>
      <c r="E136" s="983"/>
      <c r="F136" s="983"/>
      <c r="G136" s="983"/>
      <c r="H136" s="983"/>
      <c r="I136" s="983"/>
      <c r="J136" s="983"/>
      <c r="K136" s="983"/>
      <c r="L136" s="983"/>
      <c r="M136" s="983"/>
    </row>
    <row r="137" spans="1:13" ht="11.25" x14ac:dyDescent="0.2">
      <c r="A137" s="983"/>
      <c r="B137" s="983"/>
      <c r="C137" s="983"/>
      <c r="D137" s="983"/>
      <c r="E137" s="983"/>
      <c r="F137" s="983"/>
      <c r="G137" s="983"/>
      <c r="H137" s="983"/>
      <c r="I137" s="983"/>
      <c r="J137" s="983"/>
      <c r="K137" s="983"/>
      <c r="L137" s="983"/>
      <c r="M137" s="983"/>
    </row>
    <row r="138" spans="1:13" ht="11.25" x14ac:dyDescent="0.2">
      <c r="A138" s="983"/>
      <c r="B138" s="983"/>
      <c r="C138" s="983"/>
      <c r="D138" s="983"/>
      <c r="E138" s="983"/>
      <c r="F138" s="983"/>
      <c r="G138" s="983"/>
      <c r="H138" s="983"/>
      <c r="I138" s="983"/>
      <c r="J138" s="983"/>
      <c r="K138" s="983"/>
      <c r="L138" s="983"/>
      <c r="M138" s="983"/>
    </row>
    <row r="139" spans="1:13" ht="11.25" x14ac:dyDescent="0.2">
      <c r="A139" s="983"/>
      <c r="B139" s="983"/>
      <c r="C139" s="983"/>
      <c r="D139" s="983"/>
      <c r="E139" s="983"/>
      <c r="F139" s="983"/>
      <c r="G139" s="983"/>
      <c r="H139" s="983"/>
      <c r="I139" s="983"/>
      <c r="J139" s="983"/>
      <c r="K139" s="983"/>
      <c r="L139" s="983"/>
      <c r="M139" s="983"/>
    </row>
    <row r="140" spans="1:13" ht="11.25" x14ac:dyDescent="0.2">
      <c r="A140" s="983"/>
      <c r="B140" s="983"/>
      <c r="C140" s="983"/>
      <c r="D140" s="983"/>
      <c r="E140" s="983"/>
      <c r="F140" s="983"/>
      <c r="G140" s="983"/>
      <c r="H140" s="983"/>
      <c r="I140" s="983"/>
      <c r="J140" s="983"/>
      <c r="K140" s="983"/>
      <c r="L140" s="983"/>
      <c r="M140" s="983"/>
    </row>
    <row r="141" spans="1:13" ht="11.25" x14ac:dyDescent="0.2">
      <c r="A141" s="983"/>
      <c r="B141" s="983"/>
      <c r="C141" s="983"/>
      <c r="D141" s="983"/>
      <c r="E141" s="983"/>
      <c r="F141" s="983"/>
      <c r="G141" s="983"/>
      <c r="H141" s="983"/>
      <c r="I141" s="983"/>
      <c r="J141" s="983"/>
      <c r="K141" s="983"/>
      <c r="L141" s="983"/>
      <c r="M141" s="983"/>
    </row>
    <row r="142" spans="1:13" ht="11.25" x14ac:dyDescent="0.2">
      <c r="A142" s="983"/>
      <c r="B142" s="983"/>
      <c r="C142" s="983"/>
      <c r="D142" s="983"/>
      <c r="E142" s="983"/>
      <c r="F142" s="983"/>
      <c r="G142" s="983"/>
      <c r="H142" s="983"/>
      <c r="I142" s="983"/>
      <c r="J142" s="983"/>
      <c r="K142" s="983"/>
      <c r="L142" s="983"/>
      <c r="M142" s="983"/>
    </row>
    <row r="143" spans="1:13" ht="11.25" x14ac:dyDescent="0.2">
      <c r="A143" s="983"/>
      <c r="B143" s="983"/>
      <c r="C143" s="983"/>
      <c r="D143" s="983"/>
      <c r="E143" s="983"/>
      <c r="F143" s="983"/>
      <c r="G143" s="983"/>
      <c r="H143" s="983"/>
      <c r="I143" s="983"/>
      <c r="J143" s="983"/>
      <c r="K143" s="983"/>
      <c r="L143" s="983"/>
      <c r="M143" s="983"/>
    </row>
    <row r="144" spans="1:13" ht="11.25" x14ac:dyDescent="0.2">
      <c r="A144" s="983"/>
      <c r="B144" s="983"/>
      <c r="C144" s="983"/>
      <c r="D144" s="983"/>
      <c r="E144" s="983"/>
      <c r="F144" s="983"/>
      <c r="G144" s="983"/>
      <c r="H144" s="983"/>
      <c r="I144" s="983"/>
      <c r="J144" s="983"/>
      <c r="K144" s="983"/>
      <c r="L144" s="983"/>
      <c r="M144" s="983"/>
    </row>
    <row r="145" spans="1:13" ht="11.25" x14ac:dyDescent="0.2">
      <c r="A145" s="983"/>
      <c r="B145" s="983"/>
      <c r="C145" s="983"/>
      <c r="D145" s="983"/>
      <c r="E145" s="983"/>
      <c r="F145" s="983"/>
      <c r="G145" s="983"/>
      <c r="H145" s="983"/>
      <c r="I145" s="983"/>
      <c r="J145" s="983"/>
      <c r="K145" s="983"/>
      <c r="L145" s="983"/>
      <c r="M145" s="983"/>
    </row>
    <row r="146" spans="1:13" ht="11.25" x14ac:dyDescent="0.2">
      <c r="A146" s="983"/>
      <c r="B146" s="983"/>
      <c r="C146" s="983"/>
      <c r="D146" s="983"/>
      <c r="E146" s="983"/>
      <c r="F146" s="983"/>
      <c r="G146" s="983"/>
      <c r="H146" s="983"/>
      <c r="I146" s="983"/>
      <c r="J146" s="983"/>
      <c r="K146" s="983"/>
      <c r="L146" s="983"/>
      <c r="M146" s="983"/>
    </row>
    <row r="147" spans="1:13" ht="11.25" x14ac:dyDescent="0.2">
      <c r="A147" s="983"/>
      <c r="B147" s="983"/>
      <c r="C147" s="983"/>
      <c r="D147" s="983"/>
      <c r="E147" s="983"/>
      <c r="F147" s="983"/>
      <c r="G147" s="983"/>
      <c r="H147" s="983"/>
      <c r="I147" s="983"/>
      <c r="J147" s="983"/>
      <c r="K147" s="983"/>
      <c r="L147" s="983"/>
      <c r="M147" s="983"/>
    </row>
    <row r="148" spans="1:13" ht="11.25" x14ac:dyDescent="0.2">
      <c r="A148" s="983"/>
      <c r="B148" s="983"/>
      <c r="C148" s="983"/>
      <c r="D148" s="983"/>
      <c r="E148" s="983"/>
      <c r="F148" s="983"/>
      <c r="G148" s="983"/>
      <c r="H148" s="983"/>
      <c r="I148" s="983"/>
      <c r="J148" s="983"/>
      <c r="K148" s="983"/>
      <c r="L148" s="983"/>
      <c r="M148" s="983"/>
    </row>
    <row r="149" spans="1:13" ht="11.25" x14ac:dyDescent="0.2">
      <c r="A149" s="983"/>
      <c r="B149" s="983"/>
      <c r="C149" s="983"/>
      <c r="D149" s="983"/>
      <c r="E149" s="983"/>
      <c r="F149" s="983"/>
      <c r="G149" s="983"/>
      <c r="H149" s="983"/>
      <c r="I149" s="983"/>
      <c r="J149" s="983"/>
      <c r="K149" s="983"/>
      <c r="L149" s="983"/>
      <c r="M149" s="983"/>
    </row>
    <row r="150" spans="1:13" ht="11.25" x14ac:dyDescent="0.2">
      <c r="A150" s="983"/>
      <c r="B150" s="983"/>
      <c r="C150" s="983"/>
      <c r="D150" s="983"/>
      <c r="E150" s="983"/>
      <c r="F150" s="983"/>
      <c r="G150" s="983"/>
      <c r="H150" s="983"/>
      <c r="I150" s="983"/>
      <c r="J150" s="983"/>
      <c r="K150" s="983"/>
      <c r="L150" s="983"/>
      <c r="M150" s="983"/>
    </row>
    <row r="151" spans="1:13" ht="11.25" x14ac:dyDescent="0.2">
      <c r="A151" s="983"/>
      <c r="B151" s="983"/>
      <c r="C151" s="983"/>
      <c r="D151" s="983"/>
      <c r="E151" s="983"/>
      <c r="F151" s="983"/>
      <c r="G151" s="983"/>
      <c r="H151" s="983"/>
      <c r="I151" s="983"/>
      <c r="J151" s="983"/>
      <c r="K151" s="983"/>
      <c r="L151" s="983"/>
      <c r="M151" s="983"/>
    </row>
    <row r="152" spans="1:13" ht="11.25" x14ac:dyDescent="0.2">
      <c r="A152" s="983"/>
      <c r="B152" s="983"/>
      <c r="C152" s="983"/>
      <c r="D152" s="983"/>
      <c r="E152" s="983"/>
      <c r="F152" s="983"/>
      <c r="G152" s="983"/>
      <c r="H152" s="983"/>
      <c r="I152" s="983"/>
      <c r="J152" s="983"/>
      <c r="K152" s="983"/>
      <c r="L152" s="983"/>
      <c r="M152" s="983"/>
    </row>
    <row r="153" spans="1:13" ht="11.25" x14ac:dyDescent="0.2">
      <c r="A153" s="983"/>
      <c r="B153" s="983"/>
      <c r="C153" s="983"/>
      <c r="D153" s="983"/>
      <c r="E153" s="983"/>
      <c r="F153" s="983"/>
      <c r="G153" s="983"/>
      <c r="H153" s="983"/>
      <c r="I153" s="983"/>
      <c r="J153" s="983"/>
      <c r="K153" s="983"/>
      <c r="L153" s="983"/>
      <c r="M153" s="983"/>
    </row>
    <row r="154" spans="1:13" ht="11.25" x14ac:dyDescent="0.2">
      <c r="A154" s="983"/>
      <c r="B154" s="983"/>
      <c r="C154" s="983"/>
      <c r="D154" s="983"/>
      <c r="E154" s="983"/>
      <c r="F154" s="983"/>
      <c r="G154" s="983"/>
      <c r="H154" s="983"/>
      <c r="I154" s="983"/>
      <c r="J154" s="983"/>
      <c r="K154" s="983"/>
      <c r="L154" s="983"/>
      <c r="M154" s="983"/>
    </row>
    <row r="155" spans="1:13" ht="11.25" x14ac:dyDescent="0.2">
      <c r="A155" s="983"/>
      <c r="B155" s="983"/>
      <c r="C155" s="983"/>
      <c r="D155" s="983"/>
      <c r="E155" s="983"/>
      <c r="F155" s="983"/>
      <c r="G155" s="983"/>
      <c r="H155" s="983"/>
      <c r="I155" s="983"/>
      <c r="J155" s="983"/>
      <c r="K155" s="983"/>
      <c r="L155" s="983"/>
      <c r="M155" s="983"/>
    </row>
    <row r="156" spans="1:13" ht="11.25" x14ac:dyDescent="0.2">
      <c r="A156" s="983"/>
      <c r="B156" s="983"/>
      <c r="C156" s="983"/>
      <c r="D156" s="983"/>
      <c r="E156" s="983"/>
      <c r="F156" s="983"/>
      <c r="G156" s="983"/>
      <c r="H156" s="983"/>
      <c r="I156" s="983"/>
      <c r="J156" s="983"/>
      <c r="K156" s="983"/>
      <c r="L156" s="983"/>
      <c r="M156" s="983"/>
    </row>
    <row r="157" spans="1:13" ht="11.25" x14ac:dyDescent="0.2">
      <c r="A157" s="983"/>
      <c r="B157" s="983"/>
      <c r="C157" s="983"/>
      <c r="D157" s="983"/>
      <c r="E157" s="983"/>
      <c r="F157" s="983"/>
      <c r="G157" s="983"/>
      <c r="H157" s="983"/>
      <c r="I157" s="983"/>
      <c r="J157" s="983"/>
      <c r="K157" s="983"/>
      <c r="L157" s="983"/>
      <c r="M157" s="983"/>
    </row>
    <row r="158" spans="1:13" ht="11.25" x14ac:dyDescent="0.2">
      <c r="A158" s="983"/>
      <c r="B158" s="983"/>
      <c r="C158" s="983"/>
      <c r="D158" s="983"/>
      <c r="E158" s="983"/>
      <c r="F158" s="983"/>
      <c r="G158" s="983"/>
      <c r="H158" s="983"/>
      <c r="I158" s="983"/>
      <c r="J158" s="983"/>
      <c r="K158" s="983"/>
      <c r="L158" s="983"/>
      <c r="M158" s="983"/>
    </row>
    <row r="159" spans="1:13" ht="11.25" x14ac:dyDescent="0.2">
      <c r="A159" s="983"/>
      <c r="B159" s="983"/>
      <c r="C159" s="983"/>
      <c r="D159" s="983"/>
      <c r="E159" s="983"/>
      <c r="F159" s="983"/>
      <c r="G159" s="983"/>
      <c r="H159" s="983"/>
      <c r="I159" s="983"/>
      <c r="J159" s="983"/>
      <c r="K159" s="983"/>
      <c r="L159" s="983"/>
      <c r="M159" s="983"/>
    </row>
    <row r="160" spans="1:13" ht="11.25" x14ac:dyDescent="0.2">
      <c r="A160" s="983"/>
      <c r="B160" s="983"/>
      <c r="C160" s="983"/>
      <c r="D160" s="983"/>
      <c r="E160" s="983"/>
      <c r="F160" s="983"/>
      <c r="G160" s="983"/>
      <c r="H160" s="983"/>
      <c r="I160" s="983"/>
      <c r="J160" s="983"/>
      <c r="K160" s="983"/>
      <c r="L160" s="983"/>
      <c r="M160" s="983"/>
    </row>
    <row r="161" spans="1:13" ht="11.25" x14ac:dyDescent="0.2">
      <c r="A161" s="983"/>
      <c r="B161" s="983"/>
      <c r="C161" s="983"/>
      <c r="D161" s="983"/>
      <c r="E161" s="983"/>
      <c r="F161" s="983"/>
      <c r="G161" s="983"/>
      <c r="H161" s="983"/>
      <c r="I161" s="983"/>
      <c r="J161" s="983"/>
      <c r="K161" s="983"/>
      <c r="L161" s="983"/>
      <c r="M161" s="983"/>
    </row>
    <row r="162" spans="1:13" ht="11.25" x14ac:dyDescent="0.2">
      <c r="A162" s="983"/>
      <c r="B162" s="983"/>
      <c r="C162" s="983"/>
      <c r="D162" s="983"/>
      <c r="E162" s="983"/>
      <c r="F162" s="983"/>
      <c r="G162" s="983"/>
      <c r="H162" s="983"/>
      <c r="I162" s="983"/>
      <c r="J162" s="983"/>
      <c r="K162" s="983"/>
      <c r="L162" s="983"/>
      <c r="M162" s="983"/>
    </row>
    <row r="163" spans="1:13" ht="11.25" x14ac:dyDescent="0.2">
      <c r="A163" s="983"/>
      <c r="B163" s="983"/>
      <c r="C163" s="983"/>
      <c r="D163" s="983"/>
      <c r="E163" s="983"/>
      <c r="F163" s="983"/>
      <c r="G163" s="983"/>
      <c r="H163" s="983"/>
      <c r="I163" s="983"/>
      <c r="J163" s="983"/>
      <c r="K163" s="983"/>
      <c r="L163" s="983"/>
      <c r="M163" s="983"/>
    </row>
    <row r="164" spans="1:13" ht="11.25" x14ac:dyDescent="0.2">
      <c r="A164" s="983"/>
      <c r="B164" s="983"/>
      <c r="C164" s="983"/>
      <c r="D164" s="983"/>
      <c r="E164" s="983"/>
      <c r="F164" s="983"/>
      <c r="G164" s="983"/>
      <c r="H164" s="983"/>
      <c r="I164" s="983"/>
      <c r="J164" s="983"/>
      <c r="K164" s="983"/>
      <c r="L164" s="983"/>
      <c r="M164" s="983"/>
    </row>
    <row r="165" spans="1:13" ht="11.25" x14ac:dyDescent="0.2">
      <c r="A165" s="983"/>
      <c r="B165" s="983"/>
      <c r="C165" s="983"/>
      <c r="D165" s="983"/>
      <c r="E165" s="983"/>
      <c r="F165" s="983"/>
      <c r="G165" s="983"/>
      <c r="H165" s="983"/>
      <c r="I165" s="983"/>
      <c r="J165" s="983"/>
      <c r="K165" s="983"/>
      <c r="L165" s="983"/>
      <c r="M165" s="983"/>
    </row>
    <row r="166" spans="1:13" ht="11.25" x14ac:dyDescent="0.2">
      <c r="A166" s="983"/>
      <c r="B166" s="983"/>
      <c r="C166" s="983"/>
      <c r="D166" s="983"/>
      <c r="E166" s="983"/>
      <c r="F166" s="983"/>
      <c r="G166" s="983"/>
      <c r="H166" s="983"/>
      <c r="I166" s="983"/>
      <c r="J166" s="983"/>
      <c r="K166" s="983"/>
      <c r="L166" s="983"/>
      <c r="M166" s="983"/>
    </row>
    <row r="167" spans="1:13" ht="11.25" x14ac:dyDescent="0.2">
      <c r="A167" s="983"/>
      <c r="B167" s="983"/>
      <c r="C167" s="983"/>
      <c r="D167" s="983"/>
      <c r="E167" s="983"/>
      <c r="F167" s="983"/>
      <c r="G167" s="983"/>
      <c r="H167" s="983"/>
      <c r="I167" s="983"/>
      <c r="J167" s="983"/>
      <c r="K167" s="983"/>
      <c r="L167" s="983"/>
      <c r="M167" s="983"/>
    </row>
    <row r="168" spans="1:13" ht="11.25" x14ac:dyDescent="0.2">
      <c r="A168" s="983"/>
      <c r="B168" s="983"/>
      <c r="C168" s="983"/>
      <c r="D168" s="983"/>
      <c r="E168" s="983"/>
      <c r="F168" s="983"/>
      <c r="G168" s="983"/>
      <c r="H168" s="983"/>
      <c r="I168" s="983"/>
      <c r="J168" s="983"/>
      <c r="K168" s="983"/>
      <c r="L168" s="983"/>
      <c r="M168" s="983"/>
    </row>
  </sheetData>
  <mergeCells count="4">
    <mergeCell ref="A1:M1"/>
    <mergeCell ref="A2:M2"/>
    <mergeCell ref="A3:M3"/>
    <mergeCell ref="A4:M4"/>
  </mergeCells>
  <phoneticPr fontId="0" type="noConversion"/>
  <printOptions horizontalCentered="1"/>
  <pageMargins left="0.75" right="0.5" top="0.75" bottom="0.5" header="0.5" footer="0.5"/>
  <pageSetup scale="9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107</vt:i4>
      </vt:variant>
      <vt:variant>
        <vt:lpstr>Named Ranges</vt:lpstr>
      </vt:variant>
      <vt:variant>
        <vt:i4>142</vt:i4>
      </vt:variant>
    </vt:vector>
  </HeadingPairs>
  <TitlesOfParts>
    <vt:vector size="249" baseType="lpstr">
      <vt:lpstr>Index A</vt:lpstr>
      <vt:lpstr>A- Financial Summary</vt:lpstr>
      <vt:lpstr>Index B</vt:lpstr>
      <vt:lpstr>B-1 p.1 Summary (Base)</vt:lpstr>
      <vt:lpstr>B-1 p.2 Summary (Forecast)</vt:lpstr>
      <vt:lpstr>B-2 p.1 Grouping (Base)</vt:lpstr>
      <vt:lpstr>B-2 p.2 Grouping (Forecast)</vt:lpstr>
      <vt:lpstr>B-2.1 Base Period GPA</vt:lpstr>
      <vt:lpstr>B-2.1 Forecast Period GPA</vt:lpstr>
      <vt:lpstr>WPB-2.1 Base Period</vt:lpstr>
      <vt:lpstr>WPB-2.1 13 mo avg</vt:lpstr>
      <vt:lpstr>Plant input detail </vt:lpstr>
      <vt:lpstr>Intangible Amort.</vt:lpstr>
      <vt:lpstr>WPB2.2 Plant detail-w slippage</vt:lpstr>
      <vt:lpstr>WPB2.2a Intan Amort. w slippage</vt:lpstr>
      <vt:lpstr>B-2.2 Proposed Adj (Base)</vt:lpstr>
      <vt:lpstr>B-2.2 Proposed Adj (Forecast)</vt:lpstr>
      <vt:lpstr>B-2.3 Base Adds, Ret, Transfers</vt:lpstr>
      <vt:lpstr>B-2.3 Forecast Adds, Ret, Trans</vt:lpstr>
      <vt:lpstr>B-2.4 PP&amp;E Acquired (base)</vt:lpstr>
      <vt:lpstr>B-2.4 PP&amp;E Acquired (forecast)</vt:lpstr>
      <vt:lpstr>B-2.5 Leased Property (base)</vt:lpstr>
      <vt:lpstr>B-2.5 Leased Prop (forecast)</vt:lpstr>
      <vt:lpstr>B-2.6 Property Held (base)</vt:lpstr>
      <vt:lpstr>B-2.6 Property Held (forecast)</vt:lpstr>
      <vt:lpstr>B-2.7 PP&amp;E Excluded (base)</vt:lpstr>
      <vt:lpstr>B-2.7 PP&amp;E Excluded (forecast)</vt:lpstr>
      <vt:lpstr>B-3 Accum Dep&amp; Amort (Base)</vt:lpstr>
      <vt:lpstr>B-3 Accum Dep&amp;A (Forecast)</vt:lpstr>
      <vt:lpstr>WPB-3.1 AD&amp;A (Base)</vt:lpstr>
      <vt:lpstr>WPB-3.1 AD&amp;A (Forecast)</vt:lpstr>
      <vt:lpstr>B-3.1 Adj.  AD&amp;A (base)</vt:lpstr>
      <vt:lpstr>B-3.1 Adj.  AD&amp;A (Forecast)</vt:lpstr>
      <vt:lpstr>B-4 CWIP (In Service)</vt:lpstr>
      <vt:lpstr>B-5 Working Capital (Base)</vt:lpstr>
      <vt:lpstr>B-5 Working Capital (Forecast)</vt:lpstr>
      <vt:lpstr>B-5.1 Working Cap. (Base)</vt:lpstr>
      <vt:lpstr>B-5.1 Working Cap. (Forecast)</vt:lpstr>
      <vt:lpstr>WPB-5.1 M&amp;S and Prepayments</vt:lpstr>
      <vt:lpstr>WPB 5.3 Storage</vt:lpstr>
      <vt:lpstr>B-5.2 CWC (Base)</vt:lpstr>
      <vt:lpstr>B-5.2 CWC (Forecast)</vt:lpstr>
      <vt:lpstr>B-6 Def. Cr. &amp; ADIT (Base)</vt:lpstr>
      <vt:lpstr>B-6 Def. Cr. &amp; ADIT (Forecast)</vt:lpstr>
      <vt:lpstr>ADIT Calc-Do not print</vt:lpstr>
      <vt:lpstr>DNF - WPB-6 Acct. (forecast)</vt:lpstr>
      <vt:lpstr>WPB-6 Acct. 282 (forecast)</vt:lpstr>
      <vt:lpstr>WPB-6 Acct. 190 (forecast)</vt:lpstr>
      <vt:lpstr>WPB-6 Acct. 282 Adj (forecast)</vt:lpstr>
      <vt:lpstr>B-7 Juris Factor</vt:lpstr>
      <vt:lpstr>Operating Income Sum Index C</vt:lpstr>
      <vt:lpstr>Operating Income Summary C-1</vt:lpstr>
      <vt:lpstr>Adj Operating Income Sum C-2</vt:lpstr>
      <vt:lpstr>Oper Rev&amp;Exp by Accts C2.1A</vt:lpstr>
      <vt:lpstr>Oper Rev&amp;Exp by Accts C2.1B</vt:lpstr>
      <vt:lpstr>Total Co Accts Activ C2.2A</vt:lpstr>
      <vt:lpstr>Total Co Accts Activ C2.2B</vt:lpstr>
      <vt:lpstr>Adjusted Forecast Period</vt:lpstr>
      <vt:lpstr>Input O&amp;M FERC 8-16</vt:lpstr>
      <vt:lpstr>Input O&amp;M FERC 12-17</vt:lpstr>
      <vt:lpstr>Base TY Budget</vt:lpstr>
      <vt:lpstr>Forecast TY Budget &amp; D-2.4 Adj</vt:lpstr>
      <vt:lpstr>O&amp;M by CE Desc Variance</vt:lpstr>
      <vt:lpstr>Operating Income Sum Index D</vt:lpstr>
      <vt:lpstr>D-1</vt:lpstr>
      <vt:lpstr>D-2.1</vt:lpstr>
      <vt:lpstr>D-2.2</vt:lpstr>
      <vt:lpstr>D-2.3</vt:lpstr>
      <vt:lpstr>D-2.4</vt:lpstr>
      <vt:lpstr>Sch E Index</vt:lpstr>
      <vt:lpstr>E-1.1 Fed &amp; State Income Taxes</vt:lpstr>
      <vt:lpstr>Sch F Index</vt:lpstr>
      <vt:lpstr>F-1 Corp Due &amp; Memberships</vt:lpstr>
      <vt:lpstr>F-2 Charitable Contributions</vt:lpstr>
      <vt:lpstr>F-3 Country Club Dues</vt:lpstr>
      <vt:lpstr>F-4 Emp Recog &amp; Activities</vt:lpstr>
      <vt:lpstr>Party, Outing, Gift DO NOT USE</vt:lpstr>
      <vt:lpstr>Adv OLD FORMAT DO NOT USE</vt:lpstr>
      <vt:lpstr>F-5 Cust. Serv.&amp;Sales Expense</vt:lpstr>
      <vt:lpstr>F-6  Advertising</vt:lpstr>
      <vt:lpstr>Prof Serv OLD FORMAT DO NOT USE</vt:lpstr>
      <vt:lpstr>F-7 Professional Services Exp</vt:lpstr>
      <vt:lpstr>F-8 Rate Case Expense</vt:lpstr>
      <vt:lpstr>F-9 Civic,Political Activities</vt:lpstr>
      <vt:lpstr>Expense Reports</vt:lpstr>
      <vt:lpstr>Sch G Index</vt:lpstr>
      <vt:lpstr>G-1 Payroll Cost</vt:lpstr>
      <vt:lpstr>G-2 Payroll Analysis</vt:lpstr>
      <vt:lpstr>G-3 Executive Comp </vt:lpstr>
      <vt:lpstr>WPG-2</vt:lpstr>
      <vt:lpstr>Gross Conversion Factor Index H</vt:lpstr>
      <vt:lpstr>Gross Conversion Factor H-1</vt:lpstr>
      <vt:lpstr>INDEX - I</vt:lpstr>
      <vt:lpstr>I-1 Comp Income Statement</vt:lpstr>
      <vt:lpstr>I-2 Revenue Stats</vt:lpstr>
      <vt:lpstr>I-3 Sales Stats</vt:lpstr>
      <vt:lpstr>Cost of Capital Index J</vt:lpstr>
      <vt:lpstr>J-1 Cost of Capital Summary</vt:lpstr>
      <vt:lpstr>J-1 Base Period Cost of Capital</vt:lpstr>
      <vt:lpstr>J-1.1, J-1.2 13 MO AVG WACC</vt:lpstr>
      <vt:lpstr>J-2</vt:lpstr>
      <vt:lpstr>J-3</vt:lpstr>
      <vt:lpstr>J-4</vt:lpstr>
      <vt:lpstr>SCH K INDEX</vt:lpstr>
      <vt:lpstr>K - Comparative Financial Data</vt:lpstr>
      <vt:lpstr>SCH L - Tariff</vt:lpstr>
      <vt:lpstr>Sch. L</vt:lpstr>
      <vt:lpstr>base</vt:lpstr>
      <vt:lpstr>case</vt:lpstr>
      <vt:lpstr>co</vt:lpstr>
      <vt:lpstr>'Base TY Budget'!data</vt:lpstr>
      <vt:lpstr>'Forecast TY Budget &amp; D-2.4 Adj'!data</vt:lpstr>
      <vt:lpstr>dateb</vt:lpstr>
      <vt:lpstr>datef</vt:lpstr>
      <vt:lpstr>forecast</vt:lpstr>
      <vt:lpstr>JTC</vt:lpstr>
      <vt:lpstr>'A- Financial Summary'!Print_Area</vt:lpstr>
      <vt:lpstr>'ADIT Calc-Do not print'!Print_Area</vt:lpstr>
      <vt:lpstr>'Adj Operating Income Sum C-2'!Print_Area</vt:lpstr>
      <vt:lpstr>'Adjusted Forecast Period'!Print_Area</vt:lpstr>
      <vt:lpstr>'Adv OLD FORMAT DO NOT USE'!Print_Area</vt:lpstr>
      <vt:lpstr>'B-1 p.1 Summary (Base)'!Print_Area</vt:lpstr>
      <vt:lpstr>'B-1 p.2 Summary (Forecast)'!Print_Area</vt:lpstr>
      <vt:lpstr>'B-2 p.1 Grouping (Base)'!Print_Area</vt:lpstr>
      <vt:lpstr>'B-2 p.2 Grouping (Forecast)'!Print_Area</vt:lpstr>
      <vt:lpstr>'B-2.1 Base Period GPA'!Print_Area</vt:lpstr>
      <vt:lpstr>'B-2.1 Forecast Period GPA'!Print_Area</vt:lpstr>
      <vt:lpstr>'B-2.2 Proposed Adj (Base)'!Print_Area</vt:lpstr>
      <vt:lpstr>'B-2.2 Proposed Adj (Forecast)'!Print_Area</vt:lpstr>
      <vt:lpstr>'B-2.3 Base Adds, Ret, Transfers'!Print_Area</vt:lpstr>
      <vt:lpstr>'B-2.3 Forecast Adds, Ret, Trans'!Print_Area</vt:lpstr>
      <vt:lpstr>'B-2.4 PP&amp;E Acquired (base)'!Print_Area</vt:lpstr>
      <vt:lpstr>'B-2.4 PP&amp;E Acquired (forecast)'!Print_Area</vt:lpstr>
      <vt:lpstr>'B-2.5 Leased Prop (forecast)'!Print_Area</vt:lpstr>
      <vt:lpstr>'B-2.5 Leased Property (base)'!Print_Area</vt:lpstr>
      <vt:lpstr>'B-2.6 Property Held (base)'!Print_Area</vt:lpstr>
      <vt:lpstr>'B-2.6 Property Held (forecast)'!Print_Area</vt:lpstr>
      <vt:lpstr>'B-2.7 PP&amp;E Excluded (base)'!Print_Area</vt:lpstr>
      <vt:lpstr>'B-2.7 PP&amp;E Excluded (forecast)'!Print_Area</vt:lpstr>
      <vt:lpstr>'B-3 Accum Dep&amp; Amort (Base)'!Print_Area</vt:lpstr>
      <vt:lpstr>'B-3 Accum Dep&amp;A (Forecast)'!Print_Area</vt:lpstr>
      <vt:lpstr>'B-3.1 Adj.  AD&amp;A (base)'!Print_Area</vt:lpstr>
      <vt:lpstr>'B-3.1 Adj.  AD&amp;A (Forecast)'!Print_Area</vt:lpstr>
      <vt:lpstr>'B-4 CWIP (In Service)'!Print_Area</vt:lpstr>
      <vt:lpstr>'B-5 Working Capital (Base)'!Print_Area</vt:lpstr>
      <vt:lpstr>'B-5 Working Capital (Forecast)'!Print_Area</vt:lpstr>
      <vt:lpstr>'B-5.1 Working Cap. (Base)'!Print_Area</vt:lpstr>
      <vt:lpstr>'B-5.1 Working Cap. (Forecast)'!Print_Area</vt:lpstr>
      <vt:lpstr>'B-5.2 CWC (Base)'!Print_Area</vt:lpstr>
      <vt:lpstr>'B-5.2 CWC (Forecast)'!Print_Area</vt:lpstr>
      <vt:lpstr>'B-6 Def. Cr. &amp; ADIT (Base)'!Print_Area</vt:lpstr>
      <vt:lpstr>'B-6 Def. Cr. &amp; ADIT (Forecast)'!Print_Area</vt:lpstr>
      <vt:lpstr>'B-7 Juris Factor'!Print_Area</vt:lpstr>
      <vt:lpstr>'Base TY Budget'!Print_Area</vt:lpstr>
      <vt:lpstr>'Cost of Capital Index J'!Print_Area</vt:lpstr>
      <vt:lpstr>'D-1'!Print_Area</vt:lpstr>
      <vt:lpstr>'D-2.1'!Print_Area</vt:lpstr>
      <vt:lpstr>'D-2.2'!Print_Area</vt:lpstr>
      <vt:lpstr>'D-2.3'!Print_Area</vt:lpstr>
      <vt:lpstr>'D-2.4'!Print_Area</vt:lpstr>
      <vt:lpstr>'DNF - WPB-6 Acct. (forecast)'!Print_Area</vt:lpstr>
      <vt:lpstr>'E-1.1 Fed &amp; State Income Taxes'!Print_Area</vt:lpstr>
      <vt:lpstr>'F-1 Corp Due &amp; Memberships'!Print_Area</vt:lpstr>
      <vt:lpstr>'F-2 Charitable Contributions'!Print_Area</vt:lpstr>
      <vt:lpstr>'F-3 Country Club Dues'!Print_Area</vt:lpstr>
      <vt:lpstr>'F-4 Emp Recog &amp; Activities'!Print_Area</vt:lpstr>
      <vt:lpstr>'F-5 Cust. Serv.&amp;Sales Expense'!Print_Area</vt:lpstr>
      <vt:lpstr>'F-6  Advertising'!Print_Area</vt:lpstr>
      <vt:lpstr>'F-7 Professional Services Exp'!Print_Area</vt:lpstr>
      <vt:lpstr>'F-8 Rate Case Expense'!Print_Area</vt:lpstr>
      <vt:lpstr>'F-9 Civic,Political Activities'!Print_Area</vt:lpstr>
      <vt:lpstr>'Forecast TY Budget &amp; D-2.4 Adj'!Print_Area</vt:lpstr>
      <vt:lpstr>'G-1 Payroll Cost'!Print_Area</vt:lpstr>
      <vt:lpstr>'G-2 Payroll Analysis'!Print_Area</vt:lpstr>
      <vt:lpstr>'Gross Conversion Factor H-1'!Print_Area</vt:lpstr>
      <vt:lpstr>'Gross Conversion Factor Index H'!Print_Area</vt:lpstr>
      <vt:lpstr>'I-1 Comp Income Statement'!Print_Area</vt:lpstr>
      <vt:lpstr>'I-2 Revenue Stats'!Print_Area</vt:lpstr>
      <vt:lpstr>'I-3 Sales Stats'!Print_Area</vt:lpstr>
      <vt:lpstr>'INDEX - I'!Print_Area</vt:lpstr>
      <vt:lpstr>'Index A'!Print_Area</vt:lpstr>
      <vt:lpstr>'Index B'!Print_Area</vt:lpstr>
      <vt:lpstr>'Input O&amp;M FERC 12-17'!Print_Area</vt:lpstr>
      <vt:lpstr>'Input O&amp;M FERC 8-16'!Print_Area</vt:lpstr>
      <vt:lpstr>'Intangible Amort.'!Print_Area</vt:lpstr>
      <vt:lpstr>'J-1 Base Period Cost of Capital'!Print_Area</vt:lpstr>
      <vt:lpstr>'J-1 Cost of Capital Summary'!Print_Area</vt:lpstr>
      <vt:lpstr>'J-1.1, J-1.2 13 MO AVG WACC'!Print_Area</vt:lpstr>
      <vt:lpstr>'J-2'!Print_Area</vt:lpstr>
      <vt:lpstr>'J-3'!Print_Area</vt:lpstr>
      <vt:lpstr>'J-4'!Print_Area</vt:lpstr>
      <vt:lpstr>'K - Comparative Financial Data'!Print_Area</vt:lpstr>
      <vt:lpstr>'Oper Rev&amp;Exp by Accts C2.1A'!Print_Area</vt:lpstr>
      <vt:lpstr>'Oper Rev&amp;Exp by Accts C2.1B'!Print_Area</vt:lpstr>
      <vt:lpstr>'Operating Income Sum Index C'!Print_Area</vt:lpstr>
      <vt:lpstr>'Operating Income Sum Index D'!Print_Area</vt:lpstr>
      <vt:lpstr>'Operating Income Summary C-1'!Print_Area</vt:lpstr>
      <vt:lpstr>'Party, Outing, Gift DO NOT USE'!Print_Area</vt:lpstr>
      <vt:lpstr>'Plant input detail '!Print_Area</vt:lpstr>
      <vt:lpstr>'Prof Serv OLD FORMAT DO NOT USE'!Print_Area</vt:lpstr>
      <vt:lpstr>'Sch E Index'!Print_Area</vt:lpstr>
      <vt:lpstr>'Sch F Index'!Print_Area</vt:lpstr>
      <vt:lpstr>'Sch G Index'!Print_Area</vt:lpstr>
      <vt:lpstr>'SCH K INDEX'!Print_Area</vt:lpstr>
      <vt:lpstr>'SCH L - Tariff'!Print_Area</vt:lpstr>
      <vt:lpstr>'Sch. L'!Print_Area</vt:lpstr>
      <vt:lpstr>'Total Co Accts Activ C2.2A'!Print_Area</vt:lpstr>
      <vt:lpstr>'Total Co Accts Activ C2.2B'!Print_Area</vt:lpstr>
      <vt:lpstr>'WPB 5.3 Storage'!Print_Area</vt:lpstr>
      <vt:lpstr>'WPB-2.1 13 mo avg'!Print_Area</vt:lpstr>
      <vt:lpstr>'WPB-2.1 Base Period'!Print_Area</vt:lpstr>
      <vt:lpstr>'WPB2.2 Plant detail-w slippage'!Print_Area</vt:lpstr>
      <vt:lpstr>'WPB2.2a Intan Amort. w slippage'!Print_Area</vt:lpstr>
      <vt:lpstr>'WPB-3.1 AD&amp;A (Base)'!Print_Area</vt:lpstr>
      <vt:lpstr>'WPB-3.1 AD&amp;A (Forecast)'!Print_Area</vt:lpstr>
      <vt:lpstr>'WPB-5.1 M&amp;S and Prepayments'!Print_Area</vt:lpstr>
      <vt:lpstr>'WPB-6 Acct. 190 (forecast)'!Print_Area</vt:lpstr>
      <vt:lpstr>'WPB-6 Acct. 282 (forecast)'!Print_Area</vt:lpstr>
      <vt:lpstr>'WPB-6 Acct. 282 Adj (forecast)'!Print_Area</vt:lpstr>
      <vt:lpstr>'WPG-2'!Print_Area</vt:lpstr>
      <vt:lpstr>'B-3.1 Adj.  AD&amp;A (base)'!Print_Area_MI</vt:lpstr>
      <vt:lpstr>'B-3.1 Adj.  AD&amp;A (Forecast)'!Print_Area_MI</vt:lpstr>
      <vt:lpstr>'Cost of Capital Index J'!Print_Area_MI</vt:lpstr>
      <vt:lpstr>'D-2.1'!Print_Area_MI</vt:lpstr>
      <vt:lpstr>'D-2.2'!Print_Area_MI</vt:lpstr>
      <vt:lpstr>'D-2.3'!Print_Area_MI</vt:lpstr>
      <vt:lpstr>'D-2.4'!Print_Area_MI</vt:lpstr>
      <vt:lpstr>'DNF - WPB-6 Acct. (forecast)'!Print_Area_MI</vt:lpstr>
      <vt:lpstr>'Gross Conversion Factor H-1'!Print_Area_MI</vt:lpstr>
      <vt:lpstr>'Gross Conversion Factor Index H'!Print_Area_MI</vt:lpstr>
      <vt:lpstr>'INDEX - I'!Print_Area_MI</vt:lpstr>
      <vt:lpstr>'Index B'!Print_Area_MI</vt:lpstr>
      <vt:lpstr>'J-2'!Print_Area_MI</vt:lpstr>
      <vt:lpstr>'J-3'!Print_Area_MI</vt:lpstr>
      <vt:lpstr>'J-4'!Print_Area_MI</vt:lpstr>
      <vt:lpstr>'Operating Income Sum Index D'!Print_Area_MI</vt:lpstr>
      <vt:lpstr>'Sch E Index'!Print_Area_MI</vt:lpstr>
      <vt:lpstr>'Sch F Index'!Print_Area_MI</vt:lpstr>
      <vt:lpstr>'Sch G Index'!Print_Area_MI</vt:lpstr>
      <vt:lpstr>'SCH K INDEX'!Print_Area_MI</vt:lpstr>
      <vt:lpstr>'SCH L - Tariff'!Print_Area_MI</vt:lpstr>
      <vt:lpstr>'WPB-5.1 M&amp;S and Prepayments'!Print_Area_MI</vt:lpstr>
      <vt:lpstr>'WPB-6 Acct. 190 (forecast)'!Print_Area_MI</vt:lpstr>
      <vt:lpstr>'WPB-6 Acct. 282 (forecast)'!Print_Area_MI</vt:lpstr>
      <vt:lpstr>'WPB-6 Acct. 282 Adj (forecast)'!Print_Area_MI</vt:lpstr>
      <vt:lpstr>'WPG-2'!Print_Area_MI</vt:lpstr>
      <vt:lpstr>Print_Area_MI</vt:lpstr>
      <vt:lpstr>'O&amp;M by CE Desc Variance'!Print_Titles</vt:lpstr>
      <vt:lpstr>SMK</vt:lpstr>
    </vt:vector>
  </TitlesOfParts>
  <Company>Columbia Energy 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 Scott Nowicki</dc:creator>
  <cp:lastModifiedBy>Inscho \ Craig \ Phillip</cp:lastModifiedBy>
  <cp:lastPrinted>2016-08-15T16:31:15Z</cp:lastPrinted>
  <dcterms:created xsi:type="dcterms:W3CDTF">2002-01-09T18:48:45Z</dcterms:created>
  <dcterms:modified xsi:type="dcterms:W3CDTF">2016-08-15T16:31:32Z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4XLRetrievePerWS">
    <vt:lpwstr>Y</vt:lpwstr>
  </property>
  <property fmtid="{D5CDD505-2E9C-101B-9397-08002B2CF9AE}" pid="3" name="K4XLScatterRefresh">
    <vt:lpwstr>N</vt:lpwstr>
  </property>
  <property fmtid="{D5CDD505-2E9C-101B-9397-08002B2CF9AE}" pid="4" name="K4XLVersion">
    <vt:lpwstr>7.1.4.2171.24</vt:lpwstr>
  </property>
  <property fmtid="{D5CDD505-2E9C-101B-9397-08002B2CF9AE}" pid="5" name="K4XL KID">
    <vt:lpwstr/>
  </property>
  <property fmtid="{D5CDD505-2E9C-101B-9397-08002B2CF9AE}" pid="6" name="K4XL DBKID">
    <vt:lpwstr/>
  </property>
  <property fmtid="{D5CDD505-2E9C-101B-9397-08002B2CF9AE}" pid="7" name="SV_QUERY_LIST_4F35BF76-6C0D-4D9B-82B2-816C12CF3733">
    <vt:lpwstr>empty_477D106A-C0D6-4607-AEBD-E2C9D60EA279</vt:lpwstr>
  </property>
</Properties>
</file>